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drawings/drawing3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drawings/drawing4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120" windowWidth="18195" windowHeight="9780" tabRatio="809"/>
  </bookViews>
  <sheets>
    <sheet name="CONTROL" sheetId="1" r:id="rId1"/>
    <sheet name="RAP-SOLID FUEL PRICES" sheetId="2" r:id="rId2"/>
    <sheet name="RAP-LIGHT OIL" sheetId="3" r:id="rId3"/>
    <sheet name="RAP-HEAVY OIL&amp;WTI" sheetId="4" r:id="rId4"/>
    <sheet name="RAP-NATURAL GAS PRICES" sheetId="5" r:id="rId5"/>
    <sheet name="RAP TEMPLATE-GAS AVAILABILITY" sheetId="6" r:id="rId6"/>
  </sheets>
  <externalReferences>
    <externalReference r:id="rId7"/>
    <externalReference r:id="rId8"/>
    <externalReference r:id="rId9"/>
    <externalReference r:id="rId10"/>
  </externalReferences>
  <definedNames>
    <definedName name="__123Graph_A" hidden="1">'[1]FPL MOST LIKELY GAS BACKUP 1'!#REF!</definedName>
    <definedName name="__123Graph_B" hidden="1">'[1]FPL MOST LIKELY GAS BACKUP 1'!#REF!</definedName>
    <definedName name="__123Graph_X" hidden="1">'[1]FPL MOST LIKELY GAS BACKUP 1'!#REF!</definedName>
    <definedName name="_1">#REF!</definedName>
    <definedName name="_1A">#REF!</definedName>
    <definedName name="_2">#REF!</definedName>
    <definedName name="_3">#REF!</definedName>
    <definedName name="_4">#REF!</definedName>
    <definedName name="_5">#REF!</definedName>
    <definedName name="_6">#REF!</definedName>
    <definedName name="_7">#REF!</definedName>
    <definedName name="_8">#REF!</definedName>
    <definedName name="_9394GAS">#REF!</definedName>
    <definedName name="_9394OIL">#REF!</definedName>
    <definedName name="_C1">#REF!</definedName>
    <definedName name="_GIP1">#REF!</definedName>
    <definedName name="_SYP1">#REF!</definedName>
    <definedName name="C_">#REF!</definedName>
    <definedName name="CC1_">#REF!</definedName>
    <definedName name="COMPET">#REF!</definedName>
    <definedName name="CopyXC">#REF!</definedName>
    <definedName name="DatabaseNameCopy">#REF!</definedName>
    <definedName name="DatabaseNameDG">#REF!</definedName>
    <definedName name="DateColumn">[2]_Setup_!#REF!</definedName>
    <definedName name="DestColRowXC">#REF!</definedName>
    <definedName name="DestDBname">#REF!</definedName>
    <definedName name="DestHdrRowColXC">#REF!</definedName>
    <definedName name="DestLayoutXC">#REF!</definedName>
    <definedName name="DestRowColXC">#REF!</definedName>
    <definedName name="DestStudyName">#REF!</definedName>
    <definedName name="DestStudyNameCopy">#REF!</definedName>
    <definedName name="DestUserName">#REF!</definedName>
    <definedName name="DestWorksheetXC">#REF!</definedName>
    <definedName name="EffectiveDate">[2]_Setup_!#REF!</definedName>
    <definedName name="FIRM">#REF!</definedName>
    <definedName name="FIRM1">#REF!</definedName>
    <definedName name="GAS">#REF!</definedName>
    <definedName name="GASAVAIL">#REF!</definedName>
    <definedName name="GIP">#REF!</definedName>
    <definedName name="HeaderXC">#REF!</definedName>
    <definedName name="I5_">#REF!</definedName>
    <definedName name="I6_">#REF!</definedName>
    <definedName name="I7_">#REF!</definedName>
    <definedName name="ImportListDG">#REF!</definedName>
    <definedName name="INDEXDATA">'[3]Index-Data'!$A$2:$CG$68</definedName>
    <definedName name="INFLAT">#REF!</definedName>
    <definedName name="LayoutXC">#REF!</definedName>
    <definedName name="Messages">[4]_UnregulatedCurves_!#REF!</definedName>
    <definedName name="MessagesDG">#REF!</definedName>
    <definedName name="MessagesDW">[4]_UnregulatedCurves_!#REF!</definedName>
    <definedName name="MONTH">#REF!</definedName>
    <definedName name="MONTH1">#REF!</definedName>
    <definedName name="MONTHID">'[3]Misc-Data'!$A$2:$F$85</definedName>
    <definedName name="MONTHS2">#REF!</definedName>
    <definedName name="MONTHS3">#REF!</definedName>
    <definedName name="MONTHS4">#REF!</definedName>
    <definedName name="MONTHS5">#REF!</definedName>
    <definedName name="MONTHS6">#REF!</definedName>
    <definedName name="MONTHS7">#REF!</definedName>
    <definedName name="OIPBBL">#REF!</definedName>
    <definedName name="OIPBBL1">#REF!</definedName>
    <definedName name="PasswordCopy">#REF!</definedName>
    <definedName name="PasswordDG">#REF!</definedName>
    <definedName name="PHASEII">#REF!</definedName>
    <definedName name="PHASEII1">#REF!</definedName>
    <definedName name="PHASEIII">#REF!</definedName>
    <definedName name="PHASEIII1">#REF!</definedName>
    <definedName name="pipedes">'[3]Misc-Data'!$D$2:$F$69</definedName>
    <definedName name="_xlnm.Print_Area" localSheetId="5">'RAP TEMPLATE-GAS AVAILABILITY'!$A$12:$T$1157</definedName>
    <definedName name="_xlnm.Print_Area" localSheetId="3">'RAP-HEAVY OIL&amp;WTI'!$A$12:$J$1157</definedName>
    <definedName name="_xlnm.Print_Area" localSheetId="2">'RAP-LIGHT OIL'!$A$12:$K$1157</definedName>
    <definedName name="_xlnm.Print_Area" localSheetId="4">'RAP-NATURAL GAS PRICES'!$A$13:$AC$1158</definedName>
    <definedName name="_xlnm.Print_Area" localSheetId="1">'RAP-SOLID FUEL PRICES'!$A$14:$O$1159</definedName>
    <definedName name="_xlnm.Print_Titles" localSheetId="5">'RAP TEMPLATE-GAS AVAILABILITY'!$1:$11</definedName>
    <definedName name="_xlnm.Print_Titles" localSheetId="3">'RAP-HEAVY OIL&amp;WTI'!$1:$11</definedName>
    <definedName name="_xlnm.Print_Titles" localSheetId="2">'RAP-LIGHT OIL'!$1:$11</definedName>
    <definedName name="_xlnm.Print_Titles" localSheetId="4">'RAP-NATURAL GAS PRICES'!$1:$12</definedName>
    <definedName name="_xlnm.Print_Titles" localSheetId="1">'RAP-SOLID FUEL PRICES'!$1:$13</definedName>
    <definedName name="RESULTS">#REF!</definedName>
    <definedName name="RESULTS1">#REF!</definedName>
    <definedName name="RESULTS2">#REF!</definedName>
    <definedName name="RESULTS3">#REF!</definedName>
    <definedName name="RESULTS4">#REF!</definedName>
    <definedName name="RESULTSA">#REF!</definedName>
    <definedName name="RowStart">[2]_Setup_!#REF!</definedName>
    <definedName name="SelectListCopy">#REF!</definedName>
    <definedName name="SFOR">#REF!</definedName>
    <definedName name="SFOR1">#REF!</definedName>
    <definedName name="SourceDBname">#REF!</definedName>
    <definedName name="SourceStudyName">#REF!</definedName>
    <definedName name="SourceStudyNameCopy">#REF!</definedName>
    <definedName name="SourceUserName">#REF!</definedName>
    <definedName name="SrcColRowXC">#REF!</definedName>
    <definedName name="SrcFileXC">#REF!</definedName>
    <definedName name="SrcStartRowColXC">#REF!</definedName>
    <definedName name="SrcWorksheetXC">#REF!</definedName>
    <definedName name="StatusCopy">#REF!</definedName>
    <definedName name="StatusDG">#REF!</definedName>
    <definedName name="StatusXC">#REF!</definedName>
    <definedName name="StudyNameDG">#REF!</definedName>
    <definedName name="SYP">#REF!</definedName>
    <definedName name="SYSGAS">#REF!</definedName>
    <definedName name="TITLES">#REF!</definedName>
    <definedName name="TOBBL">#REF!</definedName>
    <definedName name="TotalRowColXC">#REF!</definedName>
    <definedName name="TransferListDG">#REF!</definedName>
    <definedName name="TTG">#REF!</definedName>
    <definedName name="UserNameCopy">#REF!</definedName>
    <definedName name="UserNameDG">#REF!</definedName>
    <definedName name="VOLUMES">#REF!</definedName>
    <definedName name="VOLUMES1">#REF!</definedName>
    <definedName name="YEAR">#REF!</definedName>
    <definedName name="YEARS">#REF!</definedName>
  </definedNames>
  <calcPr calcId="145621" calcMode="manual"/>
</workbook>
</file>

<file path=xl/calcChain.xml><?xml version="1.0" encoding="utf-8"?>
<calcChain xmlns="http://schemas.openxmlformats.org/spreadsheetml/2006/main">
  <c r="C22" i="6" l="1"/>
  <c r="D22" i="6"/>
  <c r="E22" i="6"/>
  <c r="F22" i="6"/>
  <c r="L22" i="6"/>
  <c r="N22" i="6"/>
  <c r="Q22" i="6"/>
  <c r="R22" i="6"/>
  <c r="S22" i="6"/>
  <c r="T22" i="6"/>
  <c r="C23" i="6"/>
  <c r="D23" i="6"/>
  <c r="E23" i="6"/>
  <c r="F23" i="6"/>
  <c r="L23" i="6"/>
  <c r="N23" i="6"/>
  <c r="Q23" i="6"/>
  <c r="R23" i="6"/>
  <c r="S23" i="6"/>
  <c r="T23" i="6"/>
  <c r="C24" i="6"/>
  <c r="D24" i="6"/>
  <c r="E24" i="6"/>
  <c r="F24" i="6"/>
  <c r="L24" i="6"/>
  <c r="N24" i="6"/>
  <c r="Q24" i="6"/>
  <c r="R24" i="6"/>
  <c r="S24" i="6"/>
  <c r="T24" i="6"/>
  <c r="C25" i="6"/>
  <c r="D25" i="6"/>
  <c r="E25" i="6"/>
  <c r="F25" i="6"/>
  <c r="L25" i="6"/>
  <c r="N25" i="6"/>
  <c r="Q25" i="6"/>
  <c r="R25" i="6"/>
  <c r="S25" i="6"/>
  <c r="T25" i="6"/>
  <c r="C26" i="6"/>
  <c r="D26" i="6"/>
  <c r="E26" i="6"/>
  <c r="F26" i="6"/>
  <c r="L26" i="6"/>
  <c r="N26" i="6"/>
  <c r="Q26" i="6"/>
  <c r="R26" i="6"/>
  <c r="S26" i="6"/>
  <c r="T26" i="6"/>
  <c r="C27" i="6"/>
  <c r="D27" i="6"/>
  <c r="E27" i="6"/>
  <c r="F27" i="6"/>
  <c r="L27" i="6"/>
  <c r="N27" i="6"/>
  <c r="P27" i="6"/>
  <c r="R27" i="6"/>
  <c r="Q27" i="6" s="1"/>
  <c r="T27" i="6"/>
  <c r="C28" i="6"/>
  <c r="D28" i="6"/>
  <c r="E28" i="6"/>
  <c r="F28" i="6"/>
  <c r="L28" i="6"/>
  <c r="N28" i="6"/>
  <c r="P28" i="6"/>
  <c r="R28" i="6"/>
  <c r="Q28" i="6" s="1"/>
  <c r="S28" i="6" s="1"/>
  <c r="T28" i="6"/>
  <c r="C29" i="6"/>
  <c r="D29" i="6"/>
  <c r="E29" i="6"/>
  <c r="F29" i="6"/>
  <c r="L29" i="6"/>
  <c r="N29" i="6"/>
  <c r="P29" i="6"/>
  <c r="R29" i="6"/>
  <c r="Q29" i="6" s="1"/>
  <c r="T29" i="6"/>
  <c r="C30" i="6"/>
  <c r="D30" i="6"/>
  <c r="L30" i="6" s="1"/>
  <c r="E30" i="6"/>
  <c r="F30" i="6"/>
  <c r="N30" i="6"/>
  <c r="P30" i="6"/>
  <c r="Q30" i="6"/>
  <c r="R30" i="6"/>
  <c r="S30" i="6"/>
  <c r="T30" i="6"/>
  <c r="C31" i="6"/>
  <c r="D31" i="6"/>
  <c r="E31" i="6"/>
  <c r="F31" i="6"/>
  <c r="L31" i="6"/>
  <c r="N31" i="6"/>
  <c r="P31" i="6"/>
  <c r="S31" i="6" s="1"/>
  <c r="R31" i="6"/>
  <c r="Q31" i="6" s="1"/>
  <c r="T31" i="6"/>
  <c r="C32" i="6"/>
  <c r="D32" i="6"/>
  <c r="L32" i="6" s="1"/>
  <c r="E32" i="6"/>
  <c r="F32" i="6"/>
  <c r="N32" i="6"/>
  <c r="P32" i="6"/>
  <c r="Q32" i="6"/>
  <c r="R32" i="6"/>
  <c r="S32" i="6"/>
  <c r="T32" i="6"/>
  <c r="C33" i="6"/>
  <c r="D33" i="6"/>
  <c r="E33" i="6"/>
  <c r="F33" i="6"/>
  <c r="L33" i="6"/>
  <c r="N33" i="6"/>
  <c r="P33" i="6"/>
  <c r="R33" i="6"/>
  <c r="Q33" i="6" s="1"/>
  <c r="T33" i="6"/>
  <c r="C34" i="6"/>
  <c r="D34" i="6"/>
  <c r="L34" i="6" s="1"/>
  <c r="E34" i="6"/>
  <c r="F34" i="6"/>
  <c r="N34" i="6"/>
  <c r="R34" i="6"/>
  <c r="Q34" i="6" s="1"/>
  <c r="S34" i="6" s="1"/>
  <c r="T34" i="6"/>
  <c r="C35" i="6"/>
  <c r="D35" i="6"/>
  <c r="E35" i="6"/>
  <c r="F35" i="6"/>
  <c r="L35" i="6"/>
  <c r="N35" i="6"/>
  <c r="Q35" i="6"/>
  <c r="R35" i="6"/>
  <c r="S35" i="6"/>
  <c r="T35" i="6"/>
  <c r="C36" i="6"/>
  <c r="D36" i="6"/>
  <c r="E36" i="6"/>
  <c r="F36" i="6"/>
  <c r="L36" i="6"/>
  <c r="N36" i="6"/>
  <c r="Q36" i="6"/>
  <c r="R36" i="6"/>
  <c r="S36" i="6"/>
  <c r="T36" i="6"/>
  <c r="C37" i="6"/>
  <c r="D37" i="6"/>
  <c r="E37" i="6"/>
  <c r="F37" i="6"/>
  <c r="L37" i="6"/>
  <c r="N37" i="6"/>
  <c r="Q37" i="6"/>
  <c r="R37" i="6"/>
  <c r="S37" i="6"/>
  <c r="T37" i="6"/>
  <c r="C38" i="6"/>
  <c r="D38" i="6"/>
  <c r="E38" i="6"/>
  <c r="F38" i="6"/>
  <c r="L38" i="6"/>
  <c r="N38" i="6"/>
  <c r="Q38" i="6"/>
  <c r="R38" i="6"/>
  <c r="S38" i="6"/>
  <c r="T38" i="6"/>
  <c r="C39" i="6"/>
  <c r="L39" i="6" s="1"/>
  <c r="D39" i="6"/>
  <c r="E39" i="6"/>
  <c r="F39" i="6"/>
  <c r="H39" i="6"/>
  <c r="N39" i="6"/>
  <c r="P39" i="6"/>
  <c r="Q39" i="6"/>
  <c r="R39" i="6"/>
  <c r="S39" i="6"/>
  <c r="T39" i="6"/>
  <c r="C40" i="6"/>
  <c r="L40" i="6" s="1"/>
  <c r="D40" i="6"/>
  <c r="E40" i="6"/>
  <c r="F40" i="6"/>
  <c r="H40" i="6"/>
  <c r="N40" i="6"/>
  <c r="P40" i="6"/>
  <c r="Q40" i="6"/>
  <c r="R40" i="6"/>
  <c r="S40" i="6"/>
  <c r="T40" i="6"/>
  <c r="C41" i="6"/>
  <c r="L41" i="6" s="1"/>
  <c r="D41" i="6"/>
  <c r="E41" i="6"/>
  <c r="F41" i="6"/>
  <c r="H41" i="6"/>
  <c r="N41" i="6"/>
  <c r="P41" i="6"/>
  <c r="Q41" i="6"/>
  <c r="R41" i="6"/>
  <c r="S41" i="6"/>
  <c r="T41" i="6"/>
  <c r="C42" i="6"/>
  <c r="L42" i="6" s="1"/>
  <c r="D42" i="6"/>
  <c r="E42" i="6"/>
  <c r="F42" i="6"/>
  <c r="H42" i="6"/>
  <c r="N42" i="6"/>
  <c r="P42" i="6"/>
  <c r="Q42" i="6"/>
  <c r="R42" i="6"/>
  <c r="S42" i="6"/>
  <c r="T42" i="6"/>
  <c r="C43" i="6"/>
  <c r="L43" i="6" s="1"/>
  <c r="D43" i="6"/>
  <c r="E43" i="6"/>
  <c r="F43" i="6"/>
  <c r="H43" i="6"/>
  <c r="N43" i="6"/>
  <c r="P43" i="6"/>
  <c r="Q43" i="6"/>
  <c r="R43" i="6"/>
  <c r="S43" i="6"/>
  <c r="T43" i="6"/>
  <c r="C44" i="6"/>
  <c r="L44" i="6" s="1"/>
  <c r="D44" i="6"/>
  <c r="E44" i="6"/>
  <c r="F44" i="6"/>
  <c r="H44" i="6"/>
  <c r="N44" i="6"/>
  <c r="P44" i="6"/>
  <c r="Q44" i="6"/>
  <c r="R44" i="6"/>
  <c r="S44" i="6"/>
  <c r="T44" i="6"/>
  <c r="C45" i="6"/>
  <c r="L45" i="6" s="1"/>
  <c r="D45" i="6"/>
  <c r="E45" i="6"/>
  <c r="F45" i="6"/>
  <c r="H45" i="6"/>
  <c r="N45" i="6"/>
  <c r="P45" i="6"/>
  <c r="Q45" i="6"/>
  <c r="R45" i="6"/>
  <c r="S45" i="6"/>
  <c r="T45" i="6"/>
  <c r="C46" i="6"/>
  <c r="L46" i="6" s="1"/>
  <c r="D46" i="6"/>
  <c r="E46" i="6"/>
  <c r="F46" i="6"/>
  <c r="H46" i="6"/>
  <c r="N46" i="6"/>
  <c r="R46" i="6"/>
  <c r="Q46" i="6" s="1"/>
  <c r="S46" i="6" s="1"/>
  <c r="T46" i="6"/>
  <c r="C47" i="6"/>
  <c r="D47" i="6"/>
  <c r="E47" i="6"/>
  <c r="F47" i="6"/>
  <c r="H47" i="6"/>
  <c r="L47" i="6"/>
  <c r="N47" i="6"/>
  <c r="Q47" i="6"/>
  <c r="R47" i="6"/>
  <c r="S47" i="6"/>
  <c r="T47" i="6"/>
  <c r="C48" i="6"/>
  <c r="L48" i="6" s="1"/>
  <c r="D48" i="6"/>
  <c r="E48" i="6"/>
  <c r="F48" i="6"/>
  <c r="H48" i="6"/>
  <c r="N48" i="6"/>
  <c r="R48" i="6"/>
  <c r="Q48" i="6" s="1"/>
  <c r="S48" i="6" s="1"/>
  <c r="T48" i="6"/>
  <c r="C49" i="6"/>
  <c r="D49" i="6"/>
  <c r="E49" i="6"/>
  <c r="F49" i="6"/>
  <c r="H49" i="6"/>
  <c r="L49" i="6"/>
  <c r="N49" i="6"/>
  <c r="Q49" i="6"/>
  <c r="R49" i="6"/>
  <c r="S49" i="6"/>
  <c r="T49" i="6"/>
  <c r="C50" i="6"/>
  <c r="L50" i="6" s="1"/>
  <c r="D50" i="6"/>
  <c r="E50" i="6"/>
  <c r="F50" i="6"/>
  <c r="H50" i="6"/>
  <c r="N50" i="6"/>
  <c r="R50" i="6"/>
  <c r="Q50" i="6" s="1"/>
  <c r="S50" i="6" s="1"/>
  <c r="T50" i="6"/>
  <c r="C51" i="6"/>
  <c r="D51" i="6"/>
  <c r="E51" i="6"/>
  <c r="F51" i="6"/>
  <c r="H51" i="6"/>
  <c r="L51" i="6"/>
  <c r="N51" i="6"/>
  <c r="Q51" i="6"/>
  <c r="R51" i="6"/>
  <c r="S51" i="6"/>
  <c r="T51" i="6"/>
  <c r="C52" i="6"/>
  <c r="D52" i="6"/>
  <c r="E52" i="6"/>
  <c r="F52" i="6"/>
  <c r="H52" i="6"/>
  <c r="I52" i="6"/>
  <c r="L52" i="6"/>
  <c r="N52" i="6"/>
  <c r="Q52" i="6"/>
  <c r="R52" i="6"/>
  <c r="S52" i="6"/>
  <c r="T52" i="6"/>
  <c r="C53" i="6"/>
  <c r="D53" i="6"/>
  <c r="E53" i="6"/>
  <c r="F53" i="6"/>
  <c r="H53" i="6"/>
  <c r="I53" i="6"/>
  <c r="L53" i="6"/>
  <c r="N53" i="6"/>
  <c r="Q53" i="6"/>
  <c r="R53" i="6"/>
  <c r="S53" i="6"/>
  <c r="T53" i="6"/>
  <c r="C54" i="6"/>
  <c r="D54" i="6"/>
  <c r="E54" i="6"/>
  <c r="F54" i="6"/>
  <c r="H54" i="6"/>
  <c r="I54" i="6"/>
  <c r="L54" i="6"/>
  <c r="N54" i="6"/>
  <c r="Q54" i="6"/>
  <c r="R54" i="6"/>
  <c r="S54" i="6"/>
  <c r="T54" i="6"/>
  <c r="C55" i="6"/>
  <c r="D55" i="6"/>
  <c r="E55" i="6"/>
  <c r="F55" i="6"/>
  <c r="H55" i="6"/>
  <c r="I55" i="6"/>
  <c r="L55" i="6"/>
  <c r="N55" i="6"/>
  <c r="Q55" i="6"/>
  <c r="R55" i="6"/>
  <c r="S55" i="6"/>
  <c r="T55" i="6"/>
  <c r="C56" i="6"/>
  <c r="D56" i="6"/>
  <c r="E56" i="6"/>
  <c r="F56" i="6"/>
  <c r="H56" i="6"/>
  <c r="I56" i="6"/>
  <c r="L56" i="6"/>
  <c r="N56" i="6"/>
  <c r="Q56" i="6"/>
  <c r="R56" i="6"/>
  <c r="S56" i="6"/>
  <c r="T56" i="6"/>
  <c r="C57" i="6"/>
  <c r="D57" i="6"/>
  <c r="E57" i="6"/>
  <c r="F57" i="6"/>
  <c r="H57" i="6"/>
  <c r="I57" i="6"/>
  <c r="L57" i="6"/>
  <c r="N57" i="6"/>
  <c r="Q57" i="6"/>
  <c r="R57" i="6"/>
  <c r="S57" i="6"/>
  <c r="T57" i="6"/>
  <c r="C58" i="6"/>
  <c r="D58" i="6"/>
  <c r="E58" i="6"/>
  <c r="F58" i="6"/>
  <c r="H58" i="6"/>
  <c r="I58" i="6"/>
  <c r="L58" i="6"/>
  <c r="N58" i="6"/>
  <c r="Q58" i="6"/>
  <c r="R58" i="6"/>
  <c r="S58" i="6"/>
  <c r="T58" i="6"/>
  <c r="C59" i="6"/>
  <c r="D59" i="6"/>
  <c r="E59" i="6"/>
  <c r="F59" i="6"/>
  <c r="H59" i="6"/>
  <c r="I59" i="6"/>
  <c r="L59" i="6"/>
  <c r="N59" i="6"/>
  <c r="Q59" i="6"/>
  <c r="R59" i="6"/>
  <c r="S59" i="6"/>
  <c r="T59" i="6"/>
  <c r="C60" i="6"/>
  <c r="D60" i="6"/>
  <c r="E60" i="6"/>
  <c r="F60" i="6"/>
  <c r="H60" i="6"/>
  <c r="I60" i="6"/>
  <c r="L60" i="6"/>
  <c r="N60" i="6"/>
  <c r="Q60" i="6"/>
  <c r="R60" i="6"/>
  <c r="S60" i="6"/>
  <c r="T60" i="6"/>
  <c r="C61" i="6"/>
  <c r="D61" i="6"/>
  <c r="E61" i="6"/>
  <c r="F61" i="6"/>
  <c r="H61" i="6"/>
  <c r="I61" i="6"/>
  <c r="L61" i="6"/>
  <c r="N61" i="6"/>
  <c r="Q61" i="6"/>
  <c r="R61" i="6"/>
  <c r="S61" i="6"/>
  <c r="T61" i="6"/>
  <c r="C62" i="6"/>
  <c r="D62" i="6"/>
  <c r="E62" i="6"/>
  <c r="F62" i="6"/>
  <c r="H62" i="6"/>
  <c r="I62" i="6"/>
  <c r="L62" i="6"/>
  <c r="N62" i="6"/>
  <c r="Q62" i="6"/>
  <c r="R62" i="6"/>
  <c r="S62" i="6"/>
  <c r="T62" i="6"/>
  <c r="C63" i="6"/>
  <c r="D63" i="6"/>
  <c r="E63" i="6"/>
  <c r="F63" i="6"/>
  <c r="H63" i="6"/>
  <c r="I63" i="6"/>
  <c r="L63" i="6"/>
  <c r="N63" i="6"/>
  <c r="Q63" i="6"/>
  <c r="R63" i="6"/>
  <c r="S63" i="6"/>
  <c r="T63" i="6"/>
  <c r="C64" i="6"/>
  <c r="D64" i="6"/>
  <c r="E64" i="6"/>
  <c r="F64" i="6"/>
  <c r="H64" i="6"/>
  <c r="I64" i="6"/>
  <c r="L64" i="6"/>
  <c r="N64" i="6"/>
  <c r="Q64" i="6"/>
  <c r="R64" i="6"/>
  <c r="S64" i="6"/>
  <c r="T64" i="6"/>
  <c r="C65" i="6"/>
  <c r="D65" i="6"/>
  <c r="E65" i="6"/>
  <c r="F65" i="6"/>
  <c r="H65" i="6"/>
  <c r="I65" i="6"/>
  <c r="L65" i="6"/>
  <c r="N65" i="6"/>
  <c r="Q65" i="6"/>
  <c r="R65" i="6"/>
  <c r="S65" i="6"/>
  <c r="T65" i="6"/>
  <c r="C66" i="6"/>
  <c r="D66" i="6"/>
  <c r="E66" i="6"/>
  <c r="F66" i="6"/>
  <c r="H66" i="6"/>
  <c r="I66" i="6"/>
  <c r="L66" i="6"/>
  <c r="N66" i="6"/>
  <c r="Q66" i="6"/>
  <c r="R66" i="6"/>
  <c r="S66" i="6"/>
  <c r="T66" i="6"/>
  <c r="C67" i="6"/>
  <c r="D67" i="6"/>
  <c r="E67" i="6"/>
  <c r="F67" i="6"/>
  <c r="H67" i="6"/>
  <c r="I67" i="6"/>
  <c r="L67" i="6"/>
  <c r="N67" i="6"/>
  <c r="Q67" i="6"/>
  <c r="R67" i="6"/>
  <c r="S67" i="6"/>
  <c r="T67" i="6"/>
  <c r="C68" i="6"/>
  <c r="D68" i="6"/>
  <c r="E68" i="6"/>
  <c r="F68" i="6"/>
  <c r="H68" i="6"/>
  <c r="I68" i="6"/>
  <c r="L68" i="6"/>
  <c r="N68" i="6"/>
  <c r="Q68" i="6"/>
  <c r="R68" i="6"/>
  <c r="S68" i="6"/>
  <c r="T68" i="6"/>
  <c r="C69" i="6"/>
  <c r="D69" i="6"/>
  <c r="E69" i="6"/>
  <c r="F69" i="6"/>
  <c r="H69" i="6"/>
  <c r="I69" i="6"/>
  <c r="L69" i="6"/>
  <c r="N69" i="6"/>
  <c r="Q69" i="6"/>
  <c r="R69" i="6"/>
  <c r="S69" i="6"/>
  <c r="T69" i="6"/>
  <c r="C70" i="6"/>
  <c r="D70" i="6"/>
  <c r="E70" i="6"/>
  <c r="F70" i="6"/>
  <c r="H70" i="6"/>
  <c r="I70" i="6"/>
  <c r="L70" i="6"/>
  <c r="N70" i="6"/>
  <c r="Q70" i="6"/>
  <c r="R70" i="6"/>
  <c r="S70" i="6"/>
  <c r="T70" i="6"/>
  <c r="C71" i="6"/>
  <c r="D71" i="6"/>
  <c r="E71" i="6"/>
  <c r="F71" i="6"/>
  <c r="H71" i="6"/>
  <c r="I71" i="6"/>
  <c r="L71" i="6"/>
  <c r="N71" i="6"/>
  <c r="Q71" i="6"/>
  <c r="R71" i="6"/>
  <c r="S71" i="6"/>
  <c r="T71" i="6"/>
  <c r="C72" i="6"/>
  <c r="D72" i="6"/>
  <c r="E72" i="6"/>
  <c r="F72" i="6"/>
  <c r="H72" i="6"/>
  <c r="I72" i="6"/>
  <c r="L72" i="6"/>
  <c r="N72" i="6"/>
  <c r="Q72" i="6"/>
  <c r="R72" i="6"/>
  <c r="S72" i="6"/>
  <c r="T72" i="6"/>
  <c r="C73" i="6"/>
  <c r="D73" i="6"/>
  <c r="E73" i="6"/>
  <c r="F73" i="6"/>
  <c r="H73" i="6"/>
  <c r="I73" i="6"/>
  <c r="L73" i="6"/>
  <c r="N73" i="6"/>
  <c r="Q73" i="6"/>
  <c r="R73" i="6"/>
  <c r="S73" i="6"/>
  <c r="T73" i="6"/>
  <c r="C74" i="6"/>
  <c r="D74" i="6"/>
  <c r="E74" i="6"/>
  <c r="F74" i="6"/>
  <c r="H74" i="6"/>
  <c r="I74" i="6"/>
  <c r="L74" i="6"/>
  <c r="N74" i="6"/>
  <c r="Q74" i="6"/>
  <c r="R74" i="6"/>
  <c r="S74" i="6"/>
  <c r="T74" i="6"/>
  <c r="C75" i="6"/>
  <c r="D75" i="6"/>
  <c r="E75" i="6"/>
  <c r="F75" i="6"/>
  <c r="H75" i="6"/>
  <c r="I75" i="6"/>
  <c r="L75" i="6"/>
  <c r="N75" i="6"/>
  <c r="Q75" i="6"/>
  <c r="R75" i="6"/>
  <c r="S75" i="6"/>
  <c r="T75" i="6"/>
  <c r="C76" i="6"/>
  <c r="D76" i="6"/>
  <c r="E76" i="6"/>
  <c r="F76" i="6"/>
  <c r="H76" i="6"/>
  <c r="I76" i="6"/>
  <c r="L76" i="6"/>
  <c r="N76" i="6"/>
  <c r="Q76" i="6"/>
  <c r="R76" i="6"/>
  <c r="S76" i="6"/>
  <c r="T76" i="6"/>
  <c r="C77" i="6"/>
  <c r="D77" i="6"/>
  <c r="E77" i="6"/>
  <c r="F77" i="6"/>
  <c r="H77" i="6"/>
  <c r="I77" i="6"/>
  <c r="L77" i="6"/>
  <c r="N77" i="6"/>
  <c r="Q77" i="6"/>
  <c r="R77" i="6"/>
  <c r="S77" i="6"/>
  <c r="T77" i="6"/>
  <c r="C78" i="6"/>
  <c r="D78" i="6"/>
  <c r="E78" i="6"/>
  <c r="F78" i="6"/>
  <c r="H78" i="6"/>
  <c r="I78" i="6"/>
  <c r="L78" i="6"/>
  <c r="N78" i="6"/>
  <c r="Q78" i="6"/>
  <c r="R78" i="6"/>
  <c r="S78" i="6"/>
  <c r="T78" i="6"/>
  <c r="C79" i="6"/>
  <c r="D79" i="6"/>
  <c r="E79" i="6"/>
  <c r="F79" i="6"/>
  <c r="H79" i="6"/>
  <c r="I79" i="6"/>
  <c r="L79" i="6"/>
  <c r="N79" i="6"/>
  <c r="Q79" i="6"/>
  <c r="R79" i="6"/>
  <c r="S79" i="6"/>
  <c r="T79" i="6"/>
  <c r="C80" i="6"/>
  <c r="D80" i="6"/>
  <c r="E80" i="6"/>
  <c r="F80" i="6"/>
  <c r="H80" i="6"/>
  <c r="I80" i="6"/>
  <c r="L80" i="6"/>
  <c r="N80" i="6"/>
  <c r="Q80" i="6"/>
  <c r="R80" i="6"/>
  <c r="S80" i="6"/>
  <c r="T80" i="6"/>
  <c r="C81" i="6"/>
  <c r="D81" i="6"/>
  <c r="E81" i="6"/>
  <c r="F81" i="6"/>
  <c r="H81" i="6"/>
  <c r="I81" i="6"/>
  <c r="L81" i="6"/>
  <c r="N81" i="6"/>
  <c r="Q81" i="6"/>
  <c r="R81" i="6"/>
  <c r="S81" i="6"/>
  <c r="T81" i="6"/>
  <c r="C82" i="6"/>
  <c r="D82" i="6"/>
  <c r="E82" i="6"/>
  <c r="F82" i="6"/>
  <c r="H82" i="6"/>
  <c r="I82" i="6"/>
  <c r="L82" i="6"/>
  <c r="N82" i="6"/>
  <c r="Q82" i="6"/>
  <c r="R82" i="6"/>
  <c r="S82" i="6"/>
  <c r="T82" i="6"/>
  <c r="C83" i="6"/>
  <c r="D83" i="6"/>
  <c r="E83" i="6"/>
  <c r="F83" i="6"/>
  <c r="H83" i="6"/>
  <c r="I83" i="6"/>
  <c r="L83" i="6"/>
  <c r="N83" i="6"/>
  <c r="Q83" i="6"/>
  <c r="R83" i="6"/>
  <c r="S83" i="6"/>
  <c r="T83" i="6"/>
  <c r="C84" i="6"/>
  <c r="D84" i="6"/>
  <c r="E84" i="6"/>
  <c r="F84" i="6"/>
  <c r="H84" i="6"/>
  <c r="I84" i="6"/>
  <c r="L84" i="6"/>
  <c r="N84" i="6"/>
  <c r="Q84" i="6"/>
  <c r="R84" i="6"/>
  <c r="S84" i="6"/>
  <c r="T84" i="6"/>
  <c r="C85" i="6"/>
  <c r="D85" i="6"/>
  <c r="E85" i="6"/>
  <c r="F85" i="6"/>
  <c r="H85" i="6"/>
  <c r="I85" i="6"/>
  <c r="L85" i="6"/>
  <c r="N85" i="6"/>
  <c r="Q85" i="6"/>
  <c r="R85" i="6"/>
  <c r="S85" i="6"/>
  <c r="T85" i="6"/>
  <c r="C86" i="6"/>
  <c r="D86" i="6"/>
  <c r="E86" i="6"/>
  <c r="F86" i="6"/>
  <c r="H86" i="6"/>
  <c r="I86" i="6"/>
  <c r="L86" i="6"/>
  <c r="N86" i="6"/>
  <c r="Q86" i="6"/>
  <c r="R86" i="6"/>
  <c r="S86" i="6"/>
  <c r="T86" i="6"/>
  <c r="C87" i="6"/>
  <c r="D87" i="6"/>
  <c r="E87" i="6"/>
  <c r="F87" i="6"/>
  <c r="H87" i="6"/>
  <c r="I87" i="6"/>
  <c r="L87" i="6"/>
  <c r="N87" i="6"/>
  <c r="Q87" i="6"/>
  <c r="R87" i="6"/>
  <c r="S87" i="6"/>
  <c r="T87" i="6"/>
  <c r="C88" i="6"/>
  <c r="D88" i="6"/>
  <c r="E88" i="6"/>
  <c r="F88" i="6"/>
  <c r="H88" i="6"/>
  <c r="I88" i="6"/>
  <c r="L88" i="6"/>
  <c r="N88" i="6"/>
  <c r="Q88" i="6"/>
  <c r="R88" i="6"/>
  <c r="S88" i="6"/>
  <c r="T88" i="6"/>
  <c r="C89" i="6"/>
  <c r="D89" i="6"/>
  <c r="E89" i="6"/>
  <c r="F89" i="6"/>
  <c r="H89" i="6"/>
  <c r="I89" i="6"/>
  <c r="L89" i="6"/>
  <c r="N89" i="6"/>
  <c r="Q89" i="6"/>
  <c r="R89" i="6"/>
  <c r="S89" i="6"/>
  <c r="T89" i="6"/>
  <c r="C90" i="6"/>
  <c r="D90" i="6"/>
  <c r="E90" i="6"/>
  <c r="F90" i="6"/>
  <c r="H90" i="6"/>
  <c r="I90" i="6"/>
  <c r="L90" i="6"/>
  <c r="N90" i="6"/>
  <c r="Q90" i="6"/>
  <c r="R90" i="6"/>
  <c r="S90" i="6"/>
  <c r="T90" i="6"/>
  <c r="C91" i="6"/>
  <c r="D91" i="6"/>
  <c r="E91" i="6"/>
  <c r="F91" i="6"/>
  <c r="H91" i="6"/>
  <c r="I91" i="6"/>
  <c r="L91" i="6"/>
  <c r="N91" i="6"/>
  <c r="Q91" i="6"/>
  <c r="R91" i="6"/>
  <c r="S91" i="6"/>
  <c r="T91" i="6"/>
  <c r="C92" i="6"/>
  <c r="D92" i="6"/>
  <c r="E92" i="6"/>
  <c r="F92" i="6"/>
  <c r="H92" i="6"/>
  <c r="I92" i="6"/>
  <c r="L92" i="6"/>
  <c r="N92" i="6"/>
  <c r="Q92" i="6"/>
  <c r="R92" i="6"/>
  <c r="S92" i="6"/>
  <c r="T92" i="6"/>
  <c r="C93" i="6"/>
  <c r="D93" i="6"/>
  <c r="E93" i="6"/>
  <c r="F93" i="6"/>
  <c r="H93" i="6"/>
  <c r="I93" i="6"/>
  <c r="L93" i="6"/>
  <c r="N93" i="6"/>
  <c r="Q93" i="6"/>
  <c r="R93" i="6"/>
  <c r="S93" i="6"/>
  <c r="T93" i="6"/>
  <c r="C94" i="6"/>
  <c r="D94" i="6"/>
  <c r="E94" i="6"/>
  <c r="F94" i="6"/>
  <c r="H94" i="6"/>
  <c r="I94" i="6"/>
  <c r="L94" i="6"/>
  <c r="N94" i="6"/>
  <c r="Q94" i="6"/>
  <c r="R94" i="6"/>
  <c r="S94" i="6"/>
  <c r="T94" i="6"/>
  <c r="C95" i="6"/>
  <c r="D95" i="6"/>
  <c r="E95" i="6"/>
  <c r="F95" i="6"/>
  <c r="H95" i="6"/>
  <c r="I95" i="6"/>
  <c r="L95" i="6"/>
  <c r="N95" i="6"/>
  <c r="Q95" i="6"/>
  <c r="R95" i="6"/>
  <c r="S95" i="6"/>
  <c r="T95" i="6"/>
  <c r="C96" i="6"/>
  <c r="D96" i="6"/>
  <c r="E96" i="6"/>
  <c r="F96" i="6"/>
  <c r="H96" i="6"/>
  <c r="I96" i="6"/>
  <c r="L96" i="6"/>
  <c r="N96" i="6"/>
  <c r="Q96" i="6"/>
  <c r="R96" i="6"/>
  <c r="S96" i="6"/>
  <c r="T96" i="6"/>
  <c r="C97" i="6"/>
  <c r="D97" i="6"/>
  <c r="E97" i="6"/>
  <c r="F97" i="6"/>
  <c r="H97" i="6"/>
  <c r="I97" i="6"/>
  <c r="L97" i="6"/>
  <c r="N97" i="6"/>
  <c r="Q97" i="6"/>
  <c r="R97" i="6"/>
  <c r="S97" i="6"/>
  <c r="T97" i="6"/>
  <c r="C98" i="6"/>
  <c r="D98" i="6"/>
  <c r="E98" i="6"/>
  <c r="F98" i="6"/>
  <c r="H98" i="6"/>
  <c r="I98" i="6"/>
  <c r="L98" i="6"/>
  <c r="N98" i="6"/>
  <c r="Q98" i="6"/>
  <c r="R98" i="6"/>
  <c r="S98" i="6"/>
  <c r="T98" i="6"/>
  <c r="C99" i="6"/>
  <c r="D99" i="6"/>
  <c r="E99" i="6"/>
  <c r="F99" i="6"/>
  <c r="H99" i="6"/>
  <c r="I99" i="6"/>
  <c r="L99" i="6"/>
  <c r="N99" i="6"/>
  <c r="Q99" i="6"/>
  <c r="R99" i="6"/>
  <c r="S99" i="6"/>
  <c r="T99" i="6"/>
  <c r="C100" i="6"/>
  <c r="D100" i="6"/>
  <c r="E100" i="6"/>
  <c r="F100" i="6"/>
  <c r="H100" i="6"/>
  <c r="I100" i="6"/>
  <c r="L100" i="6"/>
  <c r="N100" i="6"/>
  <c r="Q100" i="6"/>
  <c r="R100" i="6"/>
  <c r="S100" i="6"/>
  <c r="T100" i="6"/>
  <c r="C101" i="6"/>
  <c r="D101" i="6"/>
  <c r="E101" i="6"/>
  <c r="F101" i="6"/>
  <c r="H101" i="6"/>
  <c r="I101" i="6"/>
  <c r="L101" i="6"/>
  <c r="N101" i="6"/>
  <c r="Q101" i="6"/>
  <c r="R101" i="6"/>
  <c r="S101" i="6"/>
  <c r="T101" i="6"/>
  <c r="C102" i="6"/>
  <c r="D102" i="6"/>
  <c r="E102" i="6"/>
  <c r="F102" i="6"/>
  <c r="H102" i="6"/>
  <c r="I102" i="6"/>
  <c r="L102" i="6"/>
  <c r="N102" i="6"/>
  <c r="Q102" i="6"/>
  <c r="R102" i="6"/>
  <c r="S102" i="6"/>
  <c r="T102" i="6"/>
  <c r="C103" i="6"/>
  <c r="D103" i="6"/>
  <c r="E103" i="6"/>
  <c r="F103" i="6"/>
  <c r="H103" i="6"/>
  <c r="I103" i="6"/>
  <c r="L103" i="6"/>
  <c r="N103" i="6"/>
  <c r="Q103" i="6"/>
  <c r="R103" i="6"/>
  <c r="S103" i="6"/>
  <c r="T103" i="6"/>
  <c r="C104" i="6"/>
  <c r="D104" i="6"/>
  <c r="E104" i="6"/>
  <c r="F104" i="6"/>
  <c r="H104" i="6"/>
  <c r="I104" i="6"/>
  <c r="L104" i="6"/>
  <c r="N104" i="6"/>
  <c r="Q104" i="6"/>
  <c r="R104" i="6"/>
  <c r="S104" i="6"/>
  <c r="T104" i="6"/>
  <c r="C105" i="6"/>
  <c r="D105" i="6"/>
  <c r="E105" i="6"/>
  <c r="F105" i="6"/>
  <c r="H105" i="6"/>
  <c r="I105" i="6"/>
  <c r="L105" i="6"/>
  <c r="N105" i="6"/>
  <c r="Q105" i="6"/>
  <c r="R105" i="6"/>
  <c r="S105" i="6"/>
  <c r="T105" i="6"/>
  <c r="C106" i="6"/>
  <c r="D106" i="6"/>
  <c r="E106" i="6"/>
  <c r="F106" i="6"/>
  <c r="H106" i="6"/>
  <c r="I106" i="6"/>
  <c r="L106" i="6"/>
  <c r="N106" i="6"/>
  <c r="Q106" i="6"/>
  <c r="R106" i="6"/>
  <c r="S106" i="6"/>
  <c r="T106" i="6"/>
  <c r="C107" i="6"/>
  <c r="D107" i="6"/>
  <c r="E107" i="6"/>
  <c r="F107" i="6"/>
  <c r="H107" i="6"/>
  <c r="I107" i="6"/>
  <c r="L107" i="6"/>
  <c r="N107" i="6"/>
  <c r="Q107" i="6"/>
  <c r="R107" i="6"/>
  <c r="S107" i="6"/>
  <c r="T107" i="6"/>
  <c r="C108" i="6"/>
  <c r="D108" i="6"/>
  <c r="E108" i="6"/>
  <c r="F108" i="6"/>
  <c r="H108" i="6"/>
  <c r="I108" i="6"/>
  <c r="L108" i="6"/>
  <c r="N108" i="6"/>
  <c r="Q108" i="6"/>
  <c r="R108" i="6"/>
  <c r="S108" i="6"/>
  <c r="T108" i="6"/>
  <c r="C109" i="6"/>
  <c r="D109" i="6"/>
  <c r="E109" i="6"/>
  <c r="F109" i="6"/>
  <c r="H109" i="6"/>
  <c r="I109" i="6"/>
  <c r="L109" i="6"/>
  <c r="N109" i="6"/>
  <c r="Q109" i="6"/>
  <c r="R109" i="6"/>
  <c r="S109" i="6"/>
  <c r="T109" i="6"/>
  <c r="C110" i="6"/>
  <c r="D110" i="6"/>
  <c r="E110" i="6"/>
  <c r="F110" i="6"/>
  <c r="H110" i="6"/>
  <c r="I110" i="6"/>
  <c r="L110" i="6"/>
  <c r="N110" i="6"/>
  <c r="Q110" i="6"/>
  <c r="R110" i="6"/>
  <c r="S110" i="6"/>
  <c r="T110" i="6"/>
  <c r="C111" i="6"/>
  <c r="D111" i="6"/>
  <c r="E111" i="6"/>
  <c r="F111" i="6"/>
  <c r="H111" i="6"/>
  <c r="I111" i="6"/>
  <c r="L111" i="6"/>
  <c r="N111" i="6"/>
  <c r="Q111" i="6"/>
  <c r="R111" i="6"/>
  <c r="S111" i="6"/>
  <c r="T111" i="6"/>
  <c r="C112" i="6"/>
  <c r="D112" i="6"/>
  <c r="E112" i="6"/>
  <c r="F112" i="6"/>
  <c r="H112" i="6"/>
  <c r="I112" i="6"/>
  <c r="L112" i="6"/>
  <c r="N112" i="6"/>
  <c r="Q112" i="6"/>
  <c r="R112" i="6"/>
  <c r="S112" i="6"/>
  <c r="T112" i="6"/>
  <c r="C113" i="6"/>
  <c r="D113" i="6"/>
  <c r="E113" i="6"/>
  <c r="F113" i="6"/>
  <c r="H113" i="6"/>
  <c r="I113" i="6"/>
  <c r="L113" i="6"/>
  <c r="N113" i="6"/>
  <c r="Q113" i="6"/>
  <c r="R113" i="6"/>
  <c r="S113" i="6"/>
  <c r="T113" i="6"/>
  <c r="C114" i="6"/>
  <c r="D114" i="6"/>
  <c r="E114" i="6"/>
  <c r="F114" i="6"/>
  <c r="H114" i="6"/>
  <c r="I114" i="6"/>
  <c r="L114" i="6"/>
  <c r="N114" i="6"/>
  <c r="Q114" i="6"/>
  <c r="R114" i="6"/>
  <c r="S114" i="6"/>
  <c r="T114" i="6"/>
  <c r="C115" i="6"/>
  <c r="D115" i="6"/>
  <c r="E115" i="6"/>
  <c r="F115" i="6"/>
  <c r="H115" i="6"/>
  <c r="I115" i="6"/>
  <c r="L115" i="6"/>
  <c r="N115" i="6"/>
  <c r="Q115" i="6"/>
  <c r="R115" i="6"/>
  <c r="S115" i="6"/>
  <c r="T115" i="6"/>
  <c r="C116" i="6"/>
  <c r="D116" i="6"/>
  <c r="E116" i="6"/>
  <c r="F116" i="6"/>
  <c r="H116" i="6"/>
  <c r="I116" i="6"/>
  <c r="L116" i="6"/>
  <c r="N116" i="6"/>
  <c r="Q116" i="6"/>
  <c r="R116" i="6"/>
  <c r="S116" i="6"/>
  <c r="T116" i="6"/>
  <c r="C117" i="6"/>
  <c r="D117" i="6"/>
  <c r="E117" i="6"/>
  <c r="F117" i="6"/>
  <c r="H117" i="6"/>
  <c r="I117" i="6"/>
  <c r="L117" i="6"/>
  <c r="N117" i="6"/>
  <c r="Q117" i="6"/>
  <c r="R117" i="6"/>
  <c r="S117" i="6"/>
  <c r="T117" i="6"/>
  <c r="C118" i="6"/>
  <c r="D118" i="6"/>
  <c r="E118" i="6"/>
  <c r="F118" i="6"/>
  <c r="H118" i="6"/>
  <c r="I118" i="6"/>
  <c r="L118" i="6"/>
  <c r="N118" i="6"/>
  <c r="Q118" i="6"/>
  <c r="R118" i="6"/>
  <c r="S118" i="6"/>
  <c r="T118" i="6"/>
  <c r="C119" i="6"/>
  <c r="D119" i="6"/>
  <c r="E119" i="6"/>
  <c r="F119" i="6"/>
  <c r="H119" i="6"/>
  <c r="I119" i="6"/>
  <c r="L119" i="6"/>
  <c r="N119" i="6"/>
  <c r="Q119" i="6"/>
  <c r="R119" i="6"/>
  <c r="S119" i="6"/>
  <c r="T119" i="6"/>
  <c r="C120" i="6"/>
  <c r="D120" i="6"/>
  <c r="E120" i="6"/>
  <c r="F120" i="6"/>
  <c r="H120" i="6"/>
  <c r="I120" i="6"/>
  <c r="L120" i="6"/>
  <c r="N120" i="6"/>
  <c r="Q120" i="6"/>
  <c r="R120" i="6"/>
  <c r="S120" i="6"/>
  <c r="T120" i="6"/>
  <c r="C121" i="6"/>
  <c r="D121" i="6"/>
  <c r="E121" i="6"/>
  <c r="F121" i="6"/>
  <c r="H121" i="6"/>
  <c r="I121" i="6"/>
  <c r="L121" i="6"/>
  <c r="N121" i="6"/>
  <c r="Q121" i="6"/>
  <c r="R121" i="6"/>
  <c r="S121" i="6"/>
  <c r="T121" i="6"/>
  <c r="C122" i="6"/>
  <c r="D122" i="6"/>
  <c r="E122" i="6"/>
  <c r="F122" i="6"/>
  <c r="H122" i="6"/>
  <c r="I122" i="6"/>
  <c r="L122" i="6"/>
  <c r="N122" i="6"/>
  <c r="Q122" i="6"/>
  <c r="R122" i="6"/>
  <c r="S122" i="6"/>
  <c r="T122" i="6"/>
  <c r="C123" i="6"/>
  <c r="D123" i="6"/>
  <c r="E123" i="6"/>
  <c r="F123" i="6"/>
  <c r="H123" i="6"/>
  <c r="I123" i="6"/>
  <c r="L123" i="6"/>
  <c r="N123" i="6"/>
  <c r="Q123" i="6"/>
  <c r="R123" i="6"/>
  <c r="S123" i="6"/>
  <c r="T123" i="6"/>
  <c r="C124" i="6"/>
  <c r="D124" i="6"/>
  <c r="E124" i="6"/>
  <c r="F124" i="6"/>
  <c r="H124" i="6"/>
  <c r="I124" i="6"/>
  <c r="L124" i="6"/>
  <c r="N124" i="6"/>
  <c r="Q124" i="6"/>
  <c r="R124" i="6"/>
  <c r="S124" i="6"/>
  <c r="T124" i="6"/>
  <c r="C125" i="6"/>
  <c r="D125" i="6"/>
  <c r="E125" i="6"/>
  <c r="F125" i="6"/>
  <c r="H125" i="6"/>
  <c r="I125" i="6"/>
  <c r="L125" i="6"/>
  <c r="N125" i="6"/>
  <c r="Q125" i="6"/>
  <c r="R125" i="6"/>
  <c r="S125" i="6"/>
  <c r="T125" i="6"/>
  <c r="C126" i="6"/>
  <c r="D126" i="6"/>
  <c r="E126" i="6"/>
  <c r="F126" i="6"/>
  <c r="H126" i="6"/>
  <c r="I126" i="6"/>
  <c r="L126" i="6"/>
  <c r="N126" i="6"/>
  <c r="Q126" i="6"/>
  <c r="R126" i="6"/>
  <c r="S126" i="6"/>
  <c r="T126" i="6"/>
  <c r="C127" i="6"/>
  <c r="D127" i="6"/>
  <c r="E127" i="6"/>
  <c r="F127" i="6"/>
  <c r="H127" i="6"/>
  <c r="I127" i="6"/>
  <c r="L127" i="6"/>
  <c r="N127" i="6"/>
  <c r="Q127" i="6"/>
  <c r="R127" i="6"/>
  <c r="S127" i="6"/>
  <c r="T127" i="6"/>
  <c r="C128" i="6"/>
  <c r="D128" i="6"/>
  <c r="E128" i="6"/>
  <c r="F128" i="6"/>
  <c r="H128" i="6"/>
  <c r="I128" i="6"/>
  <c r="L128" i="6"/>
  <c r="N128" i="6"/>
  <c r="Q128" i="6"/>
  <c r="R128" i="6"/>
  <c r="S128" i="6"/>
  <c r="T128" i="6"/>
  <c r="C129" i="6"/>
  <c r="D129" i="6"/>
  <c r="E129" i="6"/>
  <c r="F129" i="6"/>
  <c r="H129" i="6"/>
  <c r="I129" i="6"/>
  <c r="L129" i="6"/>
  <c r="N129" i="6"/>
  <c r="Q129" i="6"/>
  <c r="R129" i="6"/>
  <c r="S129" i="6"/>
  <c r="T129" i="6"/>
  <c r="C130" i="6"/>
  <c r="D130" i="6"/>
  <c r="E130" i="6"/>
  <c r="F130" i="6"/>
  <c r="H130" i="6"/>
  <c r="I130" i="6"/>
  <c r="L130" i="6"/>
  <c r="N130" i="6"/>
  <c r="Q130" i="6"/>
  <c r="R130" i="6"/>
  <c r="S130" i="6"/>
  <c r="T130" i="6"/>
  <c r="C131" i="6"/>
  <c r="D131" i="6"/>
  <c r="E131" i="6"/>
  <c r="F131" i="6"/>
  <c r="H131" i="6"/>
  <c r="I131" i="6"/>
  <c r="L131" i="6"/>
  <c r="N131" i="6"/>
  <c r="Q131" i="6"/>
  <c r="R131" i="6"/>
  <c r="S131" i="6"/>
  <c r="T131" i="6"/>
  <c r="C132" i="6"/>
  <c r="D132" i="6"/>
  <c r="E132" i="6"/>
  <c r="F132" i="6"/>
  <c r="H132" i="6"/>
  <c r="I132" i="6"/>
  <c r="L132" i="6"/>
  <c r="N132" i="6"/>
  <c r="Q132" i="6"/>
  <c r="R132" i="6"/>
  <c r="S132" i="6"/>
  <c r="T132" i="6"/>
  <c r="C133" i="6"/>
  <c r="D133" i="6"/>
  <c r="E133" i="6"/>
  <c r="F133" i="6"/>
  <c r="H133" i="6"/>
  <c r="I133" i="6"/>
  <c r="L133" i="6"/>
  <c r="N133" i="6"/>
  <c r="Q133" i="6"/>
  <c r="R133" i="6"/>
  <c r="S133" i="6"/>
  <c r="T133" i="6"/>
  <c r="C134" i="6"/>
  <c r="D134" i="6"/>
  <c r="E134" i="6"/>
  <c r="F134" i="6"/>
  <c r="H134" i="6"/>
  <c r="I134" i="6"/>
  <c r="L134" i="6"/>
  <c r="N134" i="6"/>
  <c r="Q134" i="6"/>
  <c r="R134" i="6"/>
  <c r="S134" i="6"/>
  <c r="T134" i="6"/>
  <c r="C135" i="6"/>
  <c r="D135" i="6"/>
  <c r="E135" i="6"/>
  <c r="F135" i="6"/>
  <c r="H135" i="6"/>
  <c r="I135" i="6"/>
  <c r="L135" i="6"/>
  <c r="N135" i="6"/>
  <c r="Q135" i="6"/>
  <c r="R135" i="6"/>
  <c r="S135" i="6"/>
  <c r="T135" i="6"/>
  <c r="C136" i="6"/>
  <c r="D136" i="6"/>
  <c r="E136" i="6"/>
  <c r="F136" i="6"/>
  <c r="H136" i="6"/>
  <c r="I136" i="6"/>
  <c r="L136" i="6"/>
  <c r="N136" i="6"/>
  <c r="Q136" i="6"/>
  <c r="R136" i="6"/>
  <c r="S136" i="6"/>
  <c r="T136" i="6"/>
  <c r="C137" i="6"/>
  <c r="D137" i="6"/>
  <c r="E137" i="6"/>
  <c r="F137" i="6"/>
  <c r="H137" i="6"/>
  <c r="I137" i="6"/>
  <c r="L137" i="6"/>
  <c r="N137" i="6"/>
  <c r="Q137" i="6"/>
  <c r="R137" i="6"/>
  <c r="S137" i="6"/>
  <c r="T137" i="6"/>
  <c r="C138" i="6"/>
  <c r="D138" i="6"/>
  <c r="E138" i="6"/>
  <c r="F138" i="6"/>
  <c r="H138" i="6"/>
  <c r="I138" i="6"/>
  <c r="L138" i="6"/>
  <c r="N138" i="6"/>
  <c r="Q138" i="6"/>
  <c r="R138" i="6"/>
  <c r="S138" i="6"/>
  <c r="T138" i="6"/>
  <c r="C139" i="6"/>
  <c r="D139" i="6"/>
  <c r="E139" i="6"/>
  <c r="F139" i="6"/>
  <c r="H139" i="6"/>
  <c r="I139" i="6"/>
  <c r="L139" i="6"/>
  <c r="N139" i="6"/>
  <c r="Q139" i="6"/>
  <c r="R139" i="6"/>
  <c r="S139" i="6"/>
  <c r="T139" i="6"/>
  <c r="C140" i="6"/>
  <c r="D140" i="6"/>
  <c r="E140" i="6"/>
  <c r="F140" i="6"/>
  <c r="H140" i="6"/>
  <c r="I140" i="6"/>
  <c r="L140" i="6"/>
  <c r="N140" i="6"/>
  <c r="Q140" i="6"/>
  <c r="R140" i="6"/>
  <c r="S140" i="6"/>
  <c r="T140" i="6"/>
  <c r="C141" i="6"/>
  <c r="D141" i="6"/>
  <c r="E141" i="6"/>
  <c r="F141" i="6"/>
  <c r="H141" i="6"/>
  <c r="I141" i="6"/>
  <c r="L141" i="6"/>
  <c r="N141" i="6"/>
  <c r="Q141" i="6"/>
  <c r="R141" i="6"/>
  <c r="S141" i="6"/>
  <c r="T141" i="6"/>
  <c r="C142" i="6"/>
  <c r="D142" i="6"/>
  <c r="E142" i="6"/>
  <c r="F142" i="6"/>
  <c r="H142" i="6"/>
  <c r="I142" i="6"/>
  <c r="L142" i="6"/>
  <c r="N142" i="6"/>
  <c r="Q142" i="6"/>
  <c r="R142" i="6"/>
  <c r="S142" i="6"/>
  <c r="T142" i="6"/>
  <c r="C143" i="6"/>
  <c r="D143" i="6"/>
  <c r="E143" i="6"/>
  <c r="F143" i="6"/>
  <c r="H143" i="6"/>
  <c r="I143" i="6"/>
  <c r="L143" i="6"/>
  <c r="N143" i="6"/>
  <c r="Q143" i="6"/>
  <c r="R143" i="6"/>
  <c r="S143" i="6"/>
  <c r="T143" i="6"/>
  <c r="C144" i="6"/>
  <c r="D144" i="6"/>
  <c r="E144" i="6"/>
  <c r="F144" i="6"/>
  <c r="H144" i="6"/>
  <c r="I144" i="6"/>
  <c r="L144" i="6"/>
  <c r="N144" i="6"/>
  <c r="Q144" i="6"/>
  <c r="R144" i="6"/>
  <c r="S144" i="6"/>
  <c r="T144" i="6"/>
  <c r="C145" i="6"/>
  <c r="D145" i="6"/>
  <c r="E145" i="6"/>
  <c r="F145" i="6"/>
  <c r="H145" i="6"/>
  <c r="I145" i="6"/>
  <c r="L145" i="6"/>
  <c r="N145" i="6"/>
  <c r="Q145" i="6"/>
  <c r="R145" i="6"/>
  <c r="S145" i="6"/>
  <c r="T145" i="6"/>
  <c r="C146" i="6"/>
  <c r="D146" i="6"/>
  <c r="E146" i="6"/>
  <c r="F146" i="6"/>
  <c r="H146" i="6"/>
  <c r="I146" i="6"/>
  <c r="L146" i="6"/>
  <c r="N146" i="6"/>
  <c r="Q146" i="6"/>
  <c r="R146" i="6"/>
  <c r="S146" i="6"/>
  <c r="T146" i="6"/>
  <c r="C147" i="6"/>
  <c r="D147" i="6"/>
  <c r="E147" i="6"/>
  <c r="F147" i="6"/>
  <c r="H147" i="6"/>
  <c r="I147" i="6"/>
  <c r="L147" i="6"/>
  <c r="N147" i="6"/>
  <c r="Q147" i="6"/>
  <c r="R147" i="6"/>
  <c r="S147" i="6"/>
  <c r="T147" i="6"/>
  <c r="C148" i="6"/>
  <c r="D148" i="6"/>
  <c r="E148" i="6"/>
  <c r="F148" i="6"/>
  <c r="H148" i="6"/>
  <c r="I148" i="6"/>
  <c r="L148" i="6"/>
  <c r="N148" i="6"/>
  <c r="Q148" i="6"/>
  <c r="R148" i="6"/>
  <c r="S148" i="6"/>
  <c r="T148" i="6"/>
  <c r="C149" i="6"/>
  <c r="D149" i="6"/>
  <c r="E149" i="6"/>
  <c r="F149" i="6"/>
  <c r="H149" i="6"/>
  <c r="I149" i="6"/>
  <c r="L149" i="6"/>
  <c r="N149" i="6"/>
  <c r="Q149" i="6"/>
  <c r="R149" i="6"/>
  <c r="S149" i="6"/>
  <c r="T149" i="6"/>
  <c r="C150" i="6"/>
  <c r="D150" i="6"/>
  <c r="E150" i="6"/>
  <c r="F150" i="6"/>
  <c r="H150" i="6"/>
  <c r="I150" i="6"/>
  <c r="L150" i="6"/>
  <c r="N150" i="6"/>
  <c r="Q150" i="6"/>
  <c r="R150" i="6"/>
  <c r="S150" i="6"/>
  <c r="T150" i="6"/>
  <c r="C151" i="6"/>
  <c r="D151" i="6"/>
  <c r="E151" i="6"/>
  <c r="F151" i="6"/>
  <c r="H151" i="6"/>
  <c r="I151" i="6"/>
  <c r="L151" i="6"/>
  <c r="N151" i="6"/>
  <c r="Q151" i="6"/>
  <c r="R151" i="6"/>
  <c r="S151" i="6"/>
  <c r="T151" i="6"/>
  <c r="C152" i="6"/>
  <c r="D152" i="6"/>
  <c r="E152" i="6"/>
  <c r="F152" i="6"/>
  <c r="H152" i="6"/>
  <c r="I152" i="6"/>
  <c r="L152" i="6"/>
  <c r="N152" i="6"/>
  <c r="Q152" i="6"/>
  <c r="R152" i="6"/>
  <c r="S152" i="6"/>
  <c r="T152" i="6"/>
  <c r="C153" i="6"/>
  <c r="D153" i="6"/>
  <c r="E153" i="6"/>
  <c r="F153" i="6"/>
  <c r="H153" i="6"/>
  <c r="I153" i="6"/>
  <c r="L153" i="6"/>
  <c r="N153" i="6"/>
  <c r="Q153" i="6"/>
  <c r="R153" i="6"/>
  <c r="S153" i="6"/>
  <c r="T153" i="6"/>
  <c r="C154" i="6"/>
  <c r="D154" i="6"/>
  <c r="E154" i="6"/>
  <c r="F154" i="6"/>
  <c r="H154" i="6"/>
  <c r="I154" i="6"/>
  <c r="L154" i="6"/>
  <c r="N154" i="6"/>
  <c r="Q154" i="6"/>
  <c r="R154" i="6"/>
  <c r="S154" i="6"/>
  <c r="T154" i="6"/>
  <c r="C155" i="6"/>
  <c r="D155" i="6"/>
  <c r="E155" i="6"/>
  <c r="F155" i="6"/>
  <c r="H155" i="6"/>
  <c r="I155" i="6"/>
  <c r="L155" i="6"/>
  <c r="N155" i="6"/>
  <c r="Q155" i="6"/>
  <c r="R155" i="6"/>
  <c r="S155" i="6"/>
  <c r="T155" i="6"/>
  <c r="C156" i="6"/>
  <c r="D156" i="6"/>
  <c r="E156" i="6"/>
  <c r="F156" i="6"/>
  <c r="H156" i="6"/>
  <c r="I156" i="6"/>
  <c r="L156" i="6"/>
  <c r="N156" i="6"/>
  <c r="Q156" i="6"/>
  <c r="R156" i="6"/>
  <c r="S156" i="6"/>
  <c r="T156" i="6"/>
  <c r="C157" i="6"/>
  <c r="D157" i="6"/>
  <c r="E157" i="6"/>
  <c r="F157" i="6"/>
  <c r="H157" i="6"/>
  <c r="I157" i="6"/>
  <c r="L157" i="6"/>
  <c r="N157" i="6"/>
  <c r="Q157" i="6"/>
  <c r="R157" i="6"/>
  <c r="S157" i="6"/>
  <c r="T157" i="6"/>
  <c r="C158" i="6"/>
  <c r="D158" i="6"/>
  <c r="E158" i="6"/>
  <c r="F158" i="6"/>
  <c r="H158" i="6"/>
  <c r="I158" i="6"/>
  <c r="L158" i="6"/>
  <c r="N158" i="6"/>
  <c r="Q158" i="6"/>
  <c r="R158" i="6"/>
  <c r="S158" i="6"/>
  <c r="T158" i="6"/>
  <c r="C159" i="6"/>
  <c r="D159" i="6"/>
  <c r="E159" i="6"/>
  <c r="F159" i="6"/>
  <c r="H159" i="6"/>
  <c r="I159" i="6"/>
  <c r="L159" i="6"/>
  <c r="N159" i="6"/>
  <c r="Q159" i="6"/>
  <c r="R159" i="6"/>
  <c r="S159" i="6"/>
  <c r="T159" i="6"/>
  <c r="C160" i="6"/>
  <c r="D160" i="6"/>
  <c r="E160" i="6"/>
  <c r="F160" i="6"/>
  <c r="H160" i="6"/>
  <c r="I160" i="6"/>
  <c r="L160" i="6"/>
  <c r="N160" i="6"/>
  <c r="Q160" i="6"/>
  <c r="R160" i="6"/>
  <c r="S160" i="6"/>
  <c r="T160" i="6"/>
  <c r="C161" i="6"/>
  <c r="D161" i="6"/>
  <c r="E161" i="6"/>
  <c r="F161" i="6"/>
  <c r="H161" i="6"/>
  <c r="I161" i="6"/>
  <c r="L161" i="6"/>
  <c r="N161" i="6"/>
  <c r="Q161" i="6"/>
  <c r="R161" i="6"/>
  <c r="S161" i="6"/>
  <c r="T161" i="6"/>
  <c r="C162" i="6"/>
  <c r="D162" i="6"/>
  <c r="E162" i="6"/>
  <c r="F162" i="6"/>
  <c r="H162" i="6"/>
  <c r="I162" i="6"/>
  <c r="L162" i="6"/>
  <c r="N162" i="6"/>
  <c r="Q162" i="6"/>
  <c r="R162" i="6"/>
  <c r="S162" i="6"/>
  <c r="T162" i="6"/>
  <c r="C163" i="6"/>
  <c r="D163" i="6"/>
  <c r="E163" i="6"/>
  <c r="F163" i="6"/>
  <c r="H163" i="6"/>
  <c r="I163" i="6"/>
  <c r="L163" i="6"/>
  <c r="N163" i="6"/>
  <c r="Q163" i="6"/>
  <c r="R163" i="6"/>
  <c r="S163" i="6"/>
  <c r="T163" i="6"/>
  <c r="C164" i="6"/>
  <c r="D164" i="6"/>
  <c r="E164" i="6"/>
  <c r="F164" i="6"/>
  <c r="H164" i="6"/>
  <c r="I164" i="6"/>
  <c r="L164" i="6"/>
  <c r="N164" i="6"/>
  <c r="Q164" i="6"/>
  <c r="R164" i="6"/>
  <c r="S164" i="6"/>
  <c r="T164" i="6"/>
  <c r="C165" i="6"/>
  <c r="D165" i="6"/>
  <c r="E165" i="6"/>
  <c r="F165" i="6"/>
  <c r="H165" i="6"/>
  <c r="I165" i="6"/>
  <c r="L165" i="6"/>
  <c r="N165" i="6"/>
  <c r="Q165" i="6"/>
  <c r="R165" i="6"/>
  <c r="S165" i="6"/>
  <c r="T165" i="6"/>
  <c r="C166" i="6"/>
  <c r="D166" i="6"/>
  <c r="E166" i="6"/>
  <c r="F166" i="6"/>
  <c r="H166" i="6"/>
  <c r="I166" i="6"/>
  <c r="L166" i="6"/>
  <c r="N166" i="6"/>
  <c r="Q166" i="6"/>
  <c r="R166" i="6"/>
  <c r="S166" i="6"/>
  <c r="T166" i="6"/>
  <c r="C167" i="6"/>
  <c r="D167" i="6"/>
  <c r="E167" i="6"/>
  <c r="F167" i="6"/>
  <c r="H167" i="6"/>
  <c r="I167" i="6"/>
  <c r="L167" i="6"/>
  <c r="N167" i="6"/>
  <c r="Q167" i="6"/>
  <c r="R167" i="6"/>
  <c r="S167" i="6"/>
  <c r="T167" i="6"/>
  <c r="C168" i="6"/>
  <c r="D168" i="6"/>
  <c r="E168" i="6"/>
  <c r="F168" i="6"/>
  <c r="H168" i="6"/>
  <c r="I168" i="6"/>
  <c r="L168" i="6"/>
  <c r="N168" i="6"/>
  <c r="Q168" i="6"/>
  <c r="R168" i="6"/>
  <c r="S168" i="6"/>
  <c r="T168" i="6"/>
  <c r="C169" i="6"/>
  <c r="D169" i="6"/>
  <c r="E169" i="6"/>
  <c r="F169" i="6"/>
  <c r="H169" i="6"/>
  <c r="I169" i="6"/>
  <c r="L169" i="6"/>
  <c r="N169" i="6"/>
  <c r="Q169" i="6"/>
  <c r="R169" i="6"/>
  <c r="S169" i="6"/>
  <c r="T169" i="6"/>
  <c r="C170" i="6"/>
  <c r="D170" i="6"/>
  <c r="E170" i="6"/>
  <c r="F170" i="6"/>
  <c r="H170" i="6"/>
  <c r="I170" i="6"/>
  <c r="L170" i="6"/>
  <c r="N170" i="6"/>
  <c r="Q170" i="6"/>
  <c r="R170" i="6"/>
  <c r="S170" i="6"/>
  <c r="T170" i="6"/>
  <c r="C171" i="6"/>
  <c r="D171" i="6"/>
  <c r="E171" i="6"/>
  <c r="F171" i="6"/>
  <c r="H171" i="6"/>
  <c r="I171" i="6"/>
  <c r="L171" i="6"/>
  <c r="N171" i="6"/>
  <c r="Q171" i="6"/>
  <c r="R171" i="6"/>
  <c r="S171" i="6"/>
  <c r="T171" i="6"/>
  <c r="C172" i="6"/>
  <c r="D172" i="6"/>
  <c r="E172" i="6"/>
  <c r="F172" i="6"/>
  <c r="H172" i="6"/>
  <c r="I172" i="6"/>
  <c r="L172" i="6"/>
  <c r="N172" i="6"/>
  <c r="Q172" i="6"/>
  <c r="R172" i="6"/>
  <c r="S172" i="6"/>
  <c r="T172" i="6"/>
  <c r="C173" i="6"/>
  <c r="D173" i="6"/>
  <c r="E173" i="6"/>
  <c r="F173" i="6"/>
  <c r="H173" i="6"/>
  <c r="I173" i="6"/>
  <c r="L173" i="6"/>
  <c r="N173" i="6"/>
  <c r="Q173" i="6"/>
  <c r="R173" i="6"/>
  <c r="S173" i="6"/>
  <c r="T173" i="6"/>
  <c r="C174" i="6"/>
  <c r="D174" i="6"/>
  <c r="E174" i="6"/>
  <c r="F174" i="6"/>
  <c r="H174" i="6"/>
  <c r="I174" i="6"/>
  <c r="L174" i="6"/>
  <c r="N174" i="6"/>
  <c r="Q174" i="6"/>
  <c r="R174" i="6"/>
  <c r="S174" i="6"/>
  <c r="T174" i="6"/>
  <c r="C175" i="6"/>
  <c r="D175" i="6"/>
  <c r="E175" i="6"/>
  <c r="F175" i="6"/>
  <c r="H175" i="6"/>
  <c r="I175" i="6"/>
  <c r="L175" i="6"/>
  <c r="N175" i="6"/>
  <c r="Q175" i="6"/>
  <c r="R175" i="6"/>
  <c r="S175" i="6"/>
  <c r="T175" i="6"/>
  <c r="C176" i="6"/>
  <c r="D176" i="6"/>
  <c r="E176" i="6"/>
  <c r="F176" i="6"/>
  <c r="H176" i="6"/>
  <c r="I176" i="6"/>
  <c r="L176" i="6"/>
  <c r="N176" i="6"/>
  <c r="Q176" i="6"/>
  <c r="R176" i="6"/>
  <c r="S176" i="6"/>
  <c r="T176" i="6"/>
  <c r="C177" i="6"/>
  <c r="D177" i="6"/>
  <c r="E177" i="6"/>
  <c r="F177" i="6"/>
  <c r="H177" i="6"/>
  <c r="I177" i="6"/>
  <c r="L177" i="6"/>
  <c r="N177" i="6"/>
  <c r="Q177" i="6"/>
  <c r="R177" i="6"/>
  <c r="S177" i="6"/>
  <c r="T177" i="6"/>
  <c r="C178" i="6"/>
  <c r="D178" i="6"/>
  <c r="E178" i="6"/>
  <c r="F178" i="6"/>
  <c r="H178" i="6"/>
  <c r="I178" i="6"/>
  <c r="L178" i="6"/>
  <c r="N178" i="6"/>
  <c r="Q178" i="6"/>
  <c r="R178" i="6"/>
  <c r="S178" i="6"/>
  <c r="T178" i="6"/>
  <c r="C179" i="6"/>
  <c r="D179" i="6"/>
  <c r="E179" i="6"/>
  <c r="F179" i="6"/>
  <c r="H179" i="6"/>
  <c r="I179" i="6"/>
  <c r="L179" i="6"/>
  <c r="N179" i="6"/>
  <c r="Q179" i="6"/>
  <c r="R179" i="6"/>
  <c r="S179" i="6"/>
  <c r="T179" i="6"/>
  <c r="C180" i="6"/>
  <c r="D180" i="6"/>
  <c r="E180" i="6"/>
  <c r="F180" i="6"/>
  <c r="H180" i="6"/>
  <c r="I180" i="6"/>
  <c r="L180" i="6"/>
  <c r="N180" i="6"/>
  <c r="Q180" i="6"/>
  <c r="R180" i="6"/>
  <c r="S180" i="6"/>
  <c r="T180" i="6"/>
  <c r="C181" i="6"/>
  <c r="D181" i="6"/>
  <c r="E181" i="6"/>
  <c r="F181" i="6"/>
  <c r="H181" i="6"/>
  <c r="I181" i="6"/>
  <c r="L181" i="6"/>
  <c r="N181" i="6"/>
  <c r="Q181" i="6"/>
  <c r="R181" i="6"/>
  <c r="S181" i="6"/>
  <c r="T181" i="6"/>
  <c r="C182" i="6"/>
  <c r="D182" i="6"/>
  <c r="E182" i="6"/>
  <c r="F182" i="6"/>
  <c r="H182" i="6"/>
  <c r="I182" i="6"/>
  <c r="L182" i="6"/>
  <c r="N182" i="6"/>
  <c r="Q182" i="6"/>
  <c r="R182" i="6"/>
  <c r="S182" i="6"/>
  <c r="T182" i="6"/>
  <c r="C183" i="6"/>
  <c r="D183" i="6"/>
  <c r="E183" i="6"/>
  <c r="F183" i="6"/>
  <c r="H183" i="6"/>
  <c r="I183" i="6"/>
  <c r="L183" i="6"/>
  <c r="N183" i="6"/>
  <c r="Q183" i="6"/>
  <c r="R183" i="6"/>
  <c r="S183" i="6"/>
  <c r="T183" i="6"/>
  <c r="C184" i="6"/>
  <c r="D184" i="6"/>
  <c r="E184" i="6"/>
  <c r="F184" i="6"/>
  <c r="H184" i="6"/>
  <c r="I184" i="6"/>
  <c r="L184" i="6"/>
  <c r="N184" i="6"/>
  <c r="Q184" i="6"/>
  <c r="R184" i="6"/>
  <c r="S184" i="6"/>
  <c r="T184" i="6"/>
  <c r="C185" i="6"/>
  <c r="D185" i="6"/>
  <c r="E185" i="6"/>
  <c r="F185" i="6"/>
  <c r="H185" i="6"/>
  <c r="I185" i="6"/>
  <c r="L185" i="6"/>
  <c r="N185" i="6"/>
  <c r="Q185" i="6"/>
  <c r="R185" i="6"/>
  <c r="S185" i="6"/>
  <c r="T185" i="6"/>
  <c r="C186" i="6"/>
  <c r="D186" i="6"/>
  <c r="E186" i="6"/>
  <c r="F186" i="6"/>
  <c r="H186" i="6"/>
  <c r="I186" i="6"/>
  <c r="L186" i="6"/>
  <c r="N186" i="6"/>
  <c r="Q186" i="6"/>
  <c r="R186" i="6"/>
  <c r="S186" i="6"/>
  <c r="T186" i="6"/>
  <c r="C187" i="6"/>
  <c r="D187" i="6"/>
  <c r="E187" i="6"/>
  <c r="F187" i="6"/>
  <c r="H187" i="6"/>
  <c r="I187" i="6"/>
  <c r="L187" i="6"/>
  <c r="N187" i="6"/>
  <c r="Q187" i="6"/>
  <c r="R187" i="6"/>
  <c r="S187" i="6"/>
  <c r="T187" i="6"/>
  <c r="C188" i="6"/>
  <c r="D188" i="6"/>
  <c r="E188" i="6"/>
  <c r="F188" i="6"/>
  <c r="H188" i="6"/>
  <c r="I188" i="6"/>
  <c r="L188" i="6"/>
  <c r="N188" i="6"/>
  <c r="Q188" i="6"/>
  <c r="R188" i="6"/>
  <c r="S188" i="6"/>
  <c r="T188" i="6"/>
  <c r="C189" i="6"/>
  <c r="D189" i="6"/>
  <c r="E189" i="6"/>
  <c r="F189" i="6"/>
  <c r="H189" i="6"/>
  <c r="I189" i="6"/>
  <c r="L189" i="6"/>
  <c r="N189" i="6"/>
  <c r="Q189" i="6"/>
  <c r="R189" i="6"/>
  <c r="S189" i="6"/>
  <c r="T189" i="6"/>
  <c r="C190" i="6"/>
  <c r="D190" i="6"/>
  <c r="E190" i="6"/>
  <c r="F190" i="6"/>
  <c r="H190" i="6"/>
  <c r="I190" i="6"/>
  <c r="L190" i="6"/>
  <c r="N190" i="6"/>
  <c r="Q190" i="6"/>
  <c r="R190" i="6"/>
  <c r="S190" i="6"/>
  <c r="T190" i="6"/>
  <c r="C191" i="6"/>
  <c r="D191" i="6"/>
  <c r="E191" i="6"/>
  <c r="F191" i="6"/>
  <c r="H191" i="6"/>
  <c r="I191" i="6"/>
  <c r="L191" i="6"/>
  <c r="N191" i="6"/>
  <c r="Q191" i="6"/>
  <c r="R191" i="6"/>
  <c r="S191" i="6"/>
  <c r="T191" i="6"/>
  <c r="C192" i="6"/>
  <c r="D192" i="6"/>
  <c r="E192" i="6"/>
  <c r="F192" i="6"/>
  <c r="H192" i="6"/>
  <c r="I192" i="6"/>
  <c r="L192" i="6"/>
  <c r="N192" i="6"/>
  <c r="Q192" i="6"/>
  <c r="R192" i="6"/>
  <c r="S192" i="6"/>
  <c r="T192" i="6"/>
  <c r="C193" i="6"/>
  <c r="D193" i="6"/>
  <c r="E193" i="6"/>
  <c r="F193" i="6"/>
  <c r="H193" i="6"/>
  <c r="I193" i="6"/>
  <c r="L193" i="6"/>
  <c r="N193" i="6"/>
  <c r="Q193" i="6"/>
  <c r="R193" i="6"/>
  <c r="S193" i="6"/>
  <c r="T193" i="6"/>
  <c r="C194" i="6"/>
  <c r="D194" i="6"/>
  <c r="E194" i="6"/>
  <c r="F194" i="6"/>
  <c r="H194" i="6"/>
  <c r="I194" i="6"/>
  <c r="L194" i="6"/>
  <c r="N194" i="6"/>
  <c r="Q194" i="6"/>
  <c r="R194" i="6"/>
  <c r="S194" i="6"/>
  <c r="T194" i="6"/>
  <c r="C195" i="6"/>
  <c r="D195" i="6"/>
  <c r="E195" i="6"/>
  <c r="F195" i="6"/>
  <c r="H195" i="6"/>
  <c r="I195" i="6"/>
  <c r="L195" i="6"/>
  <c r="N195" i="6"/>
  <c r="Q195" i="6"/>
  <c r="R195" i="6"/>
  <c r="S195" i="6"/>
  <c r="T195" i="6"/>
  <c r="C196" i="6"/>
  <c r="D196" i="6"/>
  <c r="E196" i="6"/>
  <c r="F196" i="6"/>
  <c r="H196" i="6"/>
  <c r="I196" i="6"/>
  <c r="L196" i="6"/>
  <c r="N196" i="6"/>
  <c r="Q196" i="6"/>
  <c r="R196" i="6"/>
  <c r="S196" i="6"/>
  <c r="T196" i="6"/>
  <c r="C197" i="6"/>
  <c r="D197" i="6"/>
  <c r="E197" i="6"/>
  <c r="F197" i="6"/>
  <c r="H197" i="6"/>
  <c r="I197" i="6"/>
  <c r="L197" i="6"/>
  <c r="N197" i="6"/>
  <c r="Q197" i="6"/>
  <c r="R197" i="6"/>
  <c r="S197" i="6"/>
  <c r="T197" i="6"/>
  <c r="C198" i="6"/>
  <c r="D198" i="6"/>
  <c r="E198" i="6"/>
  <c r="F198" i="6"/>
  <c r="H198" i="6"/>
  <c r="I198" i="6"/>
  <c r="L198" i="6"/>
  <c r="N198" i="6"/>
  <c r="Q198" i="6"/>
  <c r="R198" i="6"/>
  <c r="S198" i="6"/>
  <c r="T198" i="6"/>
  <c r="C199" i="6"/>
  <c r="D199" i="6"/>
  <c r="E199" i="6"/>
  <c r="F199" i="6"/>
  <c r="H199" i="6"/>
  <c r="I199" i="6"/>
  <c r="L199" i="6"/>
  <c r="N199" i="6"/>
  <c r="Q199" i="6"/>
  <c r="R199" i="6"/>
  <c r="S199" i="6"/>
  <c r="T199" i="6"/>
  <c r="C200" i="6"/>
  <c r="D200" i="6"/>
  <c r="E200" i="6"/>
  <c r="F200" i="6"/>
  <c r="H200" i="6"/>
  <c r="I200" i="6"/>
  <c r="L200" i="6"/>
  <c r="N200" i="6"/>
  <c r="Q200" i="6"/>
  <c r="R200" i="6"/>
  <c r="S200" i="6"/>
  <c r="T200" i="6"/>
  <c r="C201" i="6"/>
  <c r="D201" i="6"/>
  <c r="E201" i="6"/>
  <c r="F201" i="6"/>
  <c r="H201" i="6"/>
  <c r="I201" i="6"/>
  <c r="L201" i="6"/>
  <c r="N201" i="6"/>
  <c r="Q201" i="6"/>
  <c r="R201" i="6"/>
  <c r="S201" i="6"/>
  <c r="T201" i="6"/>
  <c r="C202" i="6"/>
  <c r="D202" i="6"/>
  <c r="E202" i="6"/>
  <c r="F202" i="6"/>
  <c r="H202" i="6"/>
  <c r="I202" i="6"/>
  <c r="L202" i="6"/>
  <c r="N202" i="6"/>
  <c r="Q202" i="6"/>
  <c r="R202" i="6"/>
  <c r="S202" i="6"/>
  <c r="T202" i="6"/>
  <c r="C203" i="6"/>
  <c r="D203" i="6"/>
  <c r="E203" i="6"/>
  <c r="F203" i="6"/>
  <c r="H203" i="6"/>
  <c r="I203" i="6"/>
  <c r="L203" i="6"/>
  <c r="N203" i="6"/>
  <c r="Q203" i="6"/>
  <c r="R203" i="6"/>
  <c r="S203" i="6"/>
  <c r="T203" i="6"/>
  <c r="C204" i="6"/>
  <c r="D204" i="6"/>
  <c r="E204" i="6"/>
  <c r="F204" i="6"/>
  <c r="H204" i="6"/>
  <c r="I204" i="6"/>
  <c r="L204" i="6"/>
  <c r="N204" i="6"/>
  <c r="Q204" i="6"/>
  <c r="R204" i="6"/>
  <c r="S204" i="6"/>
  <c r="T204" i="6"/>
  <c r="C205" i="6"/>
  <c r="D205" i="6"/>
  <c r="E205" i="6"/>
  <c r="F205" i="6"/>
  <c r="H205" i="6"/>
  <c r="I205" i="6"/>
  <c r="L205" i="6"/>
  <c r="N205" i="6"/>
  <c r="Q205" i="6"/>
  <c r="R205" i="6"/>
  <c r="S205" i="6"/>
  <c r="T205" i="6"/>
  <c r="C206" i="6"/>
  <c r="D206" i="6"/>
  <c r="E206" i="6"/>
  <c r="F206" i="6"/>
  <c r="H206" i="6"/>
  <c r="I206" i="6"/>
  <c r="L206" i="6"/>
  <c r="N206" i="6"/>
  <c r="Q206" i="6"/>
  <c r="R206" i="6"/>
  <c r="S206" i="6"/>
  <c r="T206" i="6"/>
  <c r="C207" i="6"/>
  <c r="D207" i="6"/>
  <c r="E207" i="6"/>
  <c r="F207" i="6"/>
  <c r="H207" i="6"/>
  <c r="I207" i="6"/>
  <c r="L207" i="6"/>
  <c r="N207" i="6"/>
  <c r="Q207" i="6"/>
  <c r="R207" i="6"/>
  <c r="S207" i="6"/>
  <c r="T207" i="6"/>
  <c r="C208" i="6"/>
  <c r="D208" i="6"/>
  <c r="E208" i="6"/>
  <c r="F208" i="6"/>
  <c r="H208" i="6"/>
  <c r="I208" i="6"/>
  <c r="L208" i="6"/>
  <c r="N208" i="6"/>
  <c r="Q208" i="6"/>
  <c r="R208" i="6"/>
  <c r="S208" i="6"/>
  <c r="T208" i="6"/>
  <c r="C209" i="6"/>
  <c r="D209" i="6"/>
  <c r="E209" i="6"/>
  <c r="F209" i="6"/>
  <c r="H209" i="6"/>
  <c r="I209" i="6"/>
  <c r="L209" i="6"/>
  <c r="N209" i="6"/>
  <c r="Q209" i="6"/>
  <c r="R209" i="6"/>
  <c r="S209" i="6"/>
  <c r="T209" i="6"/>
  <c r="C210" i="6"/>
  <c r="D210" i="6"/>
  <c r="E210" i="6"/>
  <c r="F210" i="6"/>
  <c r="H210" i="6"/>
  <c r="I210" i="6"/>
  <c r="L210" i="6"/>
  <c r="N210" i="6"/>
  <c r="Q210" i="6"/>
  <c r="R210" i="6"/>
  <c r="S210" i="6"/>
  <c r="T210" i="6"/>
  <c r="C211" i="6"/>
  <c r="D211" i="6"/>
  <c r="E211" i="6"/>
  <c r="F211" i="6"/>
  <c r="H211" i="6"/>
  <c r="I211" i="6"/>
  <c r="L211" i="6"/>
  <c r="N211" i="6"/>
  <c r="Q211" i="6"/>
  <c r="R211" i="6"/>
  <c r="S211" i="6"/>
  <c r="T211" i="6"/>
  <c r="C212" i="6"/>
  <c r="D212" i="6"/>
  <c r="E212" i="6"/>
  <c r="F212" i="6"/>
  <c r="H212" i="6"/>
  <c r="I212" i="6"/>
  <c r="L212" i="6"/>
  <c r="N212" i="6"/>
  <c r="Q212" i="6"/>
  <c r="R212" i="6"/>
  <c r="S212" i="6"/>
  <c r="T212" i="6"/>
  <c r="C213" i="6"/>
  <c r="D213" i="6"/>
  <c r="E213" i="6"/>
  <c r="F213" i="6"/>
  <c r="H213" i="6"/>
  <c r="I213" i="6"/>
  <c r="L213" i="6"/>
  <c r="N213" i="6"/>
  <c r="Q213" i="6"/>
  <c r="R213" i="6"/>
  <c r="S213" i="6"/>
  <c r="T213" i="6"/>
  <c r="C214" i="6"/>
  <c r="D214" i="6"/>
  <c r="E214" i="6"/>
  <c r="F214" i="6"/>
  <c r="H214" i="6"/>
  <c r="I214" i="6"/>
  <c r="L214" i="6"/>
  <c r="N214" i="6"/>
  <c r="Q214" i="6"/>
  <c r="R214" i="6"/>
  <c r="S214" i="6"/>
  <c r="T214" i="6"/>
  <c r="C215" i="6"/>
  <c r="D215" i="6"/>
  <c r="E215" i="6"/>
  <c r="F215" i="6"/>
  <c r="H215" i="6"/>
  <c r="I215" i="6"/>
  <c r="L215" i="6"/>
  <c r="N215" i="6"/>
  <c r="Q215" i="6"/>
  <c r="R215" i="6"/>
  <c r="S215" i="6"/>
  <c r="T215" i="6"/>
  <c r="C216" i="6"/>
  <c r="D216" i="6"/>
  <c r="E216" i="6"/>
  <c r="F216" i="6"/>
  <c r="H216" i="6"/>
  <c r="I216" i="6"/>
  <c r="L216" i="6"/>
  <c r="N216" i="6"/>
  <c r="Q216" i="6"/>
  <c r="R216" i="6"/>
  <c r="S216" i="6"/>
  <c r="T216" i="6"/>
  <c r="C217" i="6"/>
  <c r="D217" i="6"/>
  <c r="E217" i="6"/>
  <c r="F217" i="6"/>
  <c r="H217" i="6"/>
  <c r="I217" i="6"/>
  <c r="L217" i="6"/>
  <c r="N217" i="6"/>
  <c r="Q217" i="6"/>
  <c r="R217" i="6"/>
  <c r="S217" i="6"/>
  <c r="T217" i="6"/>
  <c r="C218" i="6"/>
  <c r="D218" i="6"/>
  <c r="E218" i="6"/>
  <c r="F218" i="6"/>
  <c r="H218" i="6"/>
  <c r="I218" i="6"/>
  <c r="L218" i="6"/>
  <c r="N218" i="6"/>
  <c r="Q218" i="6"/>
  <c r="R218" i="6"/>
  <c r="S218" i="6"/>
  <c r="T218" i="6"/>
  <c r="C219" i="6"/>
  <c r="D219" i="6"/>
  <c r="E219" i="6"/>
  <c r="F219" i="6"/>
  <c r="H219" i="6"/>
  <c r="I219" i="6"/>
  <c r="L219" i="6"/>
  <c r="N219" i="6"/>
  <c r="Q219" i="6"/>
  <c r="R219" i="6"/>
  <c r="S219" i="6"/>
  <c r="T219" i="6"/>
  <c r="C220" i="6"/>
  <c r="D220" i="6"/>
  <c r="E220" i="6"/>
  <c r="F220" i="6"/>
  <c r="H220" i="6"/>
  <c r="I220" i="6"/>
  <c r="L220" i="6"/>
  <c r="N220" i="6"/>
  <c r="Q220" i="6"/>
  <c r="R220" i="6"/>
  <c r="S220" i="6"/>
  <c r="T220" i="6"/>
  <c r="C221" i="6"/>
  <c r="D221" i="6"/>
  <c r="E221" i="6"/>
  <c r="F221" i="6"/>
  <c r="H221" i="6"/>
  <c r="I221" i="6"/>
  <c r="L221" i="6"/>
  <c r="N221" i="6"/>
  <c r="Q221" i="6"/>
  <c r="R221" i="6"/>
  <c r="S221" i="6"/>
  <c r="T221" i="6"/>
  <c r="C222" i="6"/>
  <c r="D222" i="6"/>
  <c r="E222" i="6"/>
  <c r="F222" i="6"/>
  <c r="H222" i="6"/>
  <c r="I222" i="6"/>
  <c r="L222" i="6"/>
  <c r="N222" i="6"/>
  <c r="Q222" i="6"/>
  <c r="R222" i="6"/>
  <c r="S222" i="6"/>
  <c r="T222" i="6"/>
  <c r="C223" i="6"/>
  <c r="D223" i="6"/>
  <c r="E223" i="6"/>
  <c r="F223" i="6"/>
  <c r="H223" i="6"/>
  <c r="I223" i="6"/>
  <c r="L223" i="6"/>
  <c r="N223" i="6"/>
  <c r="Q223" i="6"/>
  <c r="R223" i="6"/>
  <c r="S223" i="6"/>
  <c r="T223" i="6"/>
  <c r="C224" i="6"/>
  <c r="D224" i="6"/>
  <c r="E224" i="6"/>
  <c r="F224" i="6"/>
  <c r="H224" i="6"/>
  <c r="I224" i="6"/>
  <c r="L224" i="6"/>
  <c r="N224" i="6"/>
  <c r="Q224" i="6"/>
  <c r="R224" i="6"/>
  <c r="S224" i="6"/>
  <c r="T224" i="6"/>
  <c r="C225" i="6"/>
  <c r="D225" i="6"/>
  <c r="E225" i="6"/>
  <c r="F225" i="6"/>
  <c r="H225" i="6"/>
  <c r="I225" i="6"/>
  <c r="L225" i="6"/>
  <c r="N225" i="6"/>
  <c r="Q225" i="6"/>
  <c r="R225" i="6"/>
  <c r="S225" i="6"/>
  <c r="T225" i="6"/>
  <c r="C226" i="6"/>
  <c r="D226" i="6"/>
  <c r="E226" i="6"/>
  <c r="F226" i="6"/>
  <c r="H226" i="6"/>
  <c r="I226" i="6"/>
  <c r="L226" i="6"/>
  <c r="N226" i="6"/>
  <c r="Q226" i="6"/>
  <c r="R226" i="6"/>
  <c r="S226" i="6"/>
  <c r="T226" i="6"/>
  <c r="C227" i="6"/>
  <c r="D227" i="6"/>
  <c r="E227" i="6"/>
  <c r="F227" i="6"/>
  <c r="H227" i="6"/>
  <c r="I227" i="6"/>
  <c r="L227" i="6"/>
  <c r="N227" i="6"/>
  <c r="Q227" i="6"/>
  <c r="R227" i="6"/>
  <c r="S227" i="6"/>
  <c r="T227" i="6"/>
  <c r="C228" i="6"/>
  <c r="D228" i="6"/>
  <c r="E228" i="6"/>
  <c r="F228" i="6"/>
  <c r="H228" i="6"/>
  <c r="I228" i="6"/>
  <c r="L228" i="6"/>
  <c r="N228" i="6"/>
  <c r="Q228" i="6"/>
  <c r="R228" i="6"/>
  <c r="S228" i="6"/>
  <c r="T228" i="6"/>
  <c r="C229" i="6"/>
  <c r="D229" i="6"/>
  <c r="E229" i="6"/>
  <c r="F229" i="6"/>
  <c r="H229" i="6"/>
  <c r="I229" i="6"/>
  <c r="L229" i="6"/>
  <c r="N229" i="6"/>
  <c r="Q229" i="6"/>
  <c r="R229" i="6"/>
  <c r="S229" i="6"/>
  <c r="T229" i="6"/>
  <c r="C230" i="6"/>
  <c r="D230" i="6"/>
  <c r="E230" i="6"/>
  <c r="F230" i="6"/>
  <c r="H230" i="6"/>
  <c r="I230" i="6"/>
  <c r="L230" i="6"/>
  <c r="N230" i="6"/>
  <c r="Q230" i="6"/>
  <c r="R230" i="6"/>
  <c r="S230" i="6"/>
  <c r="T230" i="6"/>
  <c r="C231" i="6"/>
  <c r="D231" i="6"/>
  <c r="E231" i="6"/>
  <c r="F231" i="6"/>
  <c r="H231" i="6"/>
  <c r="I231" i="6"/>
  <c r="L231" i="6"/>
  <c r="N231" i="6"/>
  <c r="Q231" i="6"/>
  <c r="R231" i="6"/>
  <c r="S231" i="6"/>
  <c r="T231" i="6"/>
  <c r="C232" i="6"/>
  <c r="D232" i="6"/>
  <c r="E232" i="6"/>
  <c r="F232" i="6"/>
  <c r="H232" i="6"/>
  <c r="I232" i="6"/>
  <c r="L232" i="6"/>
  <c r="N232" i="6"/>
  <c r="Q232" i="6"/>
  <c r="R232" i="6"/>
  <c r="S232" i="6"/>
  <c r="T232" i="6"/>
  <c r="C233" i="6"/>
  <c r="D233" i="6"/>
  <c r="E233" i="6"/>
  <c r="F233" i="6"/>
  <c r="H233" i="6"/>
  <c r="I233" i="6"/>
  <c r="L233" i="6"/>
  <c r="N233" i="6"/>
  <c r="Q233" i="6"/>
  <c r="R233" i="6"/>
  <c r="S233" i="6"/>
  <c r="T233" i="6"/>
  <c r="C234" i="6"/>
  <c r="D234" i="6"/>
  <c r="E234" i="6"/>
  <c r="F234" i="6"/>
  <c r="H234" i="6"/>
  <c r="I234" i="6"/>
  <c r="L234" i="6"/>
  <c r="N234" i="6"/>
  <c r="Q234" i="6"/>
  <c r="R234" i="6"/>
  <c r="S234" i="6"/>
  <c r="T234" i="6"/>
  <c r="C235" i="6"/>
  <c r="D235" i="6"/>
  <c r="E235" i="6"/>
  <c r="F235" i="6"/>
  <c r="H235" i="6"/>
  <c r="I235" i="6"/>
  <c r="L235" i="6"/>
  <c r="N235" i="6"/>
  <c r="Q235" i="6"/>
  <c r="R235" i="6"/>
  <c r="S235" i="6"/>
  <c r="T235" i="6"/>
  <c r="C236" i="6"/>
  <c r="D236" i="6"/>
  <c r="E236" i="6"/>
  <c r="F236" i="6"/>
  <c r="H236" i="6"/>
  <c r="I236" i="6"/>
  <c r="L236" i="6"/>
  <c r="N236" i="6"/>
  <c r="Q236" i="6"/>
  <c r="R236" i="6"/>
  <c r="S236" i="6"/>
  <c r="T236" i="6"/>
  <c r="C237" i="6"/>
  <c r="D237" i="6"/>
  <c r="E237" i="6"/>
  <c r="F237" i="6"/>
  <c r="H237" i="6"/>
  <c r="I237" i="6"/>
  <c r="L237" i="6"/>
  <c r="N237" i="6"/>
  <c r="Q237" i="6"/>
  <c r="R237" i="6"/>
  <c r="S237" i="6"/>
  <c r="T237" i="6"/>
  <c r="C238" i="6"/>
  <c r="D238" i="6"/>
  <c r="E238" i="6"/>
  <c r="F238" i="6"/>
  <c r="H238" i="6"/>
  <c r="I238" i="6"/>
  <c r="L238" i="6"/>
  <c r="N238" i="6"/>
  <c r="Q238" i="6"/>
  <c r="R238" i="6"/>
  <c r="S238" i="6"/>
  <c r="T238" i="6"/>
  <c r="C239" i="6"/>
  <c r="D239" i="6"/>
  <c r="E239" i="6"/>
  <c r="F239" i="6"/>
  <c r="H239" i="6"/>
  <c r="I239" i="6"/>
  <c r="L239" i="6"/>
  <c r="N239" i="6"/>
  <c r="Q239" i="6"/>
  <c r="R239" i="6"/>
  <c r="S239" i="6"/>
  <c r="T239" i="6"/>
  <c r="C240" i="6"/>
  <c r="D240" i="6"/>
  <c r="E240" i="6"/>
  <c r="F240" i="6"/>
  <c r="H240" i="6"/>
  <c r="I240" i="6"/>
  <c r="L240" i="6"/>
  <c r="N240" i="6"/>
  <c r="Q240" i="6"/>
  <c r="R240" i="6"/>
  <c r="S240" i="6"/>
  <c r="T240" i="6"/>
  <c r="C241" i="6"/>
  <c r="D241" i="6"/>
  <c r="E241" i="6"/>
  <c r="F241" i="6"/>
  <c r="H241" i="6"/>
  <c r="I241" i="6"/>
  <c r="L241" i="6"/>
  <c r="N241" i="6"/>
  <c r="Q241" i="6"/>
  <c r="R241" i="6"/>
  <c r="S241" i="6"/>
  <c r="T241" i="6"/>
  <c r="C242" i="6"/>
  <c r="D242" i="6"/>
  <c r="E242" i="6"/>
  <c r="F242" i="6"/>
  <c r="H242" i="6"/>
  <c r="I242" i="6"/>
  <c r="L242" i="6"/>
  <c r="N242" i="6"/>
  <c r="Q242" i="6"/>
  <c r="R242" i="6"/>
  <c r="S242" i="6"/>
  <c r="T242" i="6"/>
  <c r="C243" i="6"/>
  <c r="D243" i="6"/>
  <c r="E243" i="6"/>
  <c r="F243" i="6"/>
  <c r="H243" i="6"/>
  <c r="I243" i="6"/>
  <c r="L243" i="6"/>
  <c r="N243" i="6"/>
  <c r="Q243" i="6"/>
  <c r="R243" i="6"/>
  <c r="S243" i="6"/>
  <c r="T243" i="6"/>
  <c r="C244" i="6"/>
  <c r="D244" i="6"/>
  <c r="E244" i="6"/>
  <c r="F244" i="6"/>
  <c r="H244" i="6"/>
  <c r="I244" i="6"/>
  <c r="L244" i="6"/>
  <c r="N244" i="6"/>
  <c r="Q244" i="6"/>
  <c r="R244" i="6"/>
  <c r="S244" i="6"/>
  <c r="T244" i="6"/>
  <c r="C245" i="6"/>
  <c r="D245" i="6"/>
  <c r="E245" i="6"/>
  <c r="F245" i="6"/>
  <c r="H245" i="6"/>
  <c r="I245" i="6"/>
  <c r="L245" i="6"/>
  <c r="N245" i="6"/>
  <c r="Q245" i="6"/>
  <c r="R245" i="6"/>
  <c r="S245" i="6"/>
  <c r="T245" i="6"/>
  <c r="C246" i="6"/>
  <c r="D246" i="6"/>
  <c r="E246" i="6"/>
  <c r="F246" i="6"/>
  <c r="H246" i="6"/>
  <c r="I246" i="6"/>
  <c r="L246" i="6"/>
  <c r="N246" i="6"/>
  <c r="Q246" i="6"/>
  <c r="R246" i="6"/>
  <c r="S246" i="6"/>
  <c r="T246" i="6"/>
  <c r="C247" i="6"/>
  <c r="D247" i="6"/>
  <c r="E247" i="6"/>
  <c r="F247" i="6"/>
  <c r="H247" i="6"/>
  <c r="I247" i="6"/>
  <c r="L247" i="6"/>
  <c r="N247" i="6"/>
  <c r="Q247" i="6"/>
  <c r="R247" i="6"/>
  <c r="S247" i="6"/>
  <c r="T247" i="6"/>
  <c r="C248" i="6"/>
  <c r="D248" i="6"/>
  <c r="E248" i="6"/>
  <c r="F248" i="6"/>
  <c r="H248" i="6"/>
  <c r="I248" i="6"/>
  <c r="L248" i="6"/>
  <c r="N248" i="6"/>
  <c r="Q248" i="6"/>
  <c r="R248" i="6"/>
  <c r="S248" i="6"/>
  <c r="T248" i="6"/>
  <c r="C249" i="6"/>
  <c r="D249" i="6"/>
  <c r="E249" i="6"/>
  <c r="F249" i="6"/>
  <c r="H249" i="6"/>
  <c r="I249" i="6"/>
  <c r="L249" i="6"/>
  <c r="N249" i="6"/>
  <c r="Q249" i="6"/>
  <c r="R249" i="6"/>
  <c r="S249" i="6"/>
  <c r="T249" i="6"/>
  <c r="C250" i="6"/>
  <c r="D250" i="6"/>
  <c r="E250" i="6"/>
  <c r="F250" i="6"/>
  <c r="H250" i="6"/>
  <c r="I250" i="6"/>
  <c r="L250" i="6"/>
  <c r="N250" i="6"/>
  <c r="Q250" i="6"/>
  <c r="R250" i="6"/>
  <c r="S250" i="6"/>
  <c r="T250" i="6"/>
  <c r="C251" i="6"/>
  <c r="D251" i="6"/>
  <c r="E251" i="6"/>
  <c r="F251" i="6"/>
  <c r="H251" i="6"/>
  <c r="I251" i="6"/>
  <c r="L251" i="6"/>
  <c r="N251" i="6"/>
  <c r="Q251" i="6"/>
  <c r="R251" i="6"/>
  <c r="S251" i="6"/>
  <c r="T251" i="6"/>
  <c r="C252" i="6"/>
  <c r="D252" i="6"/>
  <c r="E252" i="6"/>
  <c r="F252" i="6"/>
  <c r="H252" i="6"/>
  <c r="I252" i="6"/>
  <c r="L252" i="6"/>
  <c r="N252" i="6"/>
  <c r="Q252" i="6"/>
  <c r="R252" i="6"/>
  <c r="S252" i="6"/>
  <c r="T252" i="6"/>
  <c r="C253" i="6"/>
  <c r="D253" i="6"/>
  <c r="E253" i="6"/>
  <c r="F253" i="6"/>
  <c r="H253" i="6"/>
  <c r="I253" i="6"/>
  <c r="L253" i="6"/>
  <c r="N253" i="6"/>
  <c r="Q253" i="6"/>
  <c r="R253" i="6"/>
  <c r="S253" i="6"/>
  <c r="T253" i="6"/>
  <c r="C254" i="6"/>
  <c r="D254" i="6"/>
  <c r="E254" i="6"/>
  <c r="F254" i="6"/>
  <c r="H254" i="6"/>
  <c r="I254" i="6"/>
  <c r="L254" i="6"/>
  <c r="N254" i="6"/>
  <c r="Q254" i="6"/>
  <c r="R254" i="6"/>
  <c r="S254" i="6"/>
  <c r="T254" i="6"/>
  <c r="C255" i="6"/>
  <c r="D255" i="6"/>
  <c r="E255" i="6"/>
  <c r="F255" i="6"/>
  <c r="H255" i="6"/>
  <c r="I255" i="6"/>
  <c r="L255" i="6"/>
  <c r="N255" i="6"/>
  <c r="Q255" i="6"/>
  <c r="R255" i="6"/>
  <c r="S255" i="6"/>
  <c r="T255" i="6"/>
  <c r="C256" i="6"/>
  <c r="D256" i="6"/>
  <c r="E256" i="6"/>
  <c r="F256" i="6"/>
  <c r="H256" i="6"/>
  <c r="I256" i="6"/>
  <c r="L256" i="6"/>
  <c r="N256" i="6"/>
  <c r="Q256" i="6"/>
  <c r="R256" i="6"/>
  <c r="S256" i="6"/>
  <c r="T256" i="6"/>
  <c r="C257" i="6"/>
  <c r="D257" i="6"/>
  <c r="E257" i="6"/>
  <c r="F257" i="6"/>
  <c r="H257" i="6"/>
  <c r="I257" i="6"/>
  <c r="L257" i="6"/>
  <c r="N257" i="6"/>
  <c r="Q257" i="6"/>
  <c r="R257" i="6"/>
  <c r="S257" i="6"/>
  <c r="T257" i="6"/>
  <c r="C258" i="6"/>
  <c r="D258" i="6"/>
  <c r="E258" i="6"/>
  <c r="F258" i="6"/>
  <c r="H258" i="6"/>
  <c r="I258" i="6"/>
  <c r="L258" i="6"/>
  <c r="N258" i="6"/>
  <c r="Q258" i="6"/>
  <c r="R258" i="6"/>
  <c r="S258" i="6"/>
  <c r="T258" i="6"/>
  <c r="C259" i="6"/>
  <c r="D259" i="6"/>
  <c r="E259" i="6"/>
  <c r="F259" i="6"/>
  <c r="H259" i="6"/>
  <c r="I259" i="6"/>
  <c r="L259" i="6"/>
  <c r="N259" i="6"/>
  <c r="Q259" i="6"/>
  <c r="R259" i="6"/>
  <c r="S259" i="6"/>
  <c r="T259" i="6"/>
  <c r="C260" i="6"/>
  <c r="D260" i="6"/>
  <c r="E260" i="6"/>
  <c r="F260" i="6"/>
  <c r="H260" i="6"/>
  <c r="I260" i="6"/>
  <c r="L260" i="6"/>
  <c r="N260" i="6"/>
  <c r="Q260" i="6"/>
  <c r="R260" i="6"/>
  <c r="S260" i="6"/>
  <c r="T260" i="6"/>
  <c r="C261" i="6"/>
  <c r="D261" i="6"/>
  <c r="E261" i="6"/>
  <c r="F261" i="6"/>
  <c r="H261" i="6"/>
  <c r="I261" i="6"/>
  <c r="L261" i="6"/>
  <c r="N261" i="6"/>
  <c r="Q261" i="6"/>
  <c r="R261" i="6"/>
  <c r="S261" i="6"/>
  <c r="T261" i="6"/>
  <c r="C262" i="6"/>
  <c r="D262" i="6"/>
  <c r="E262" i="6"/>
  <c r="F262" i="6"/>
  <c r="H262" i="6"/>
  <c r="I262" i="6"/>
  <c r="L262" i="6"/>
  <c r="N262" i="6"/>
  <c r="Q262" i="6"/>
  <c r="R262" i="6"/>
  <c r="S262" i="6"/>
  <c r="T262" i="6"/>
  <c r="C263" i="6"/>
  <c r="D263" i="6"/>
  <c r="E263" i="6"/>
  <c r="F263" i="6"/>
  <c r="H263" i="6"/>
  <c r="I263" i="6"/>
  <c r="L263" i="6"/>
  <c r="N263" i="6"/>
  <c r="Q263" i="6"/>
  <c r="R263" i="6"/>
  <c r="S263" i="6"/>
  <c r="T263" i="6"/>
  <c r="C264" i="6"/>
  <c r="D264" i="6"/>
  <c r="E264" i="6"/>
  <c r="F264" i="6"/>
  <c r="H264" i="6"/>
  <c r="I264" i="6"/>
  <c r="L264" i="6"/>
  <c r="N264" i="6"/>
  <c r="Q264" i="6"/>
  <c r="R264" i="6"/>
  <c r="S264" i="6"/>
  <c r="T264" i="6"/>
  <c r="C265" i="6"/>
  <c r="D265" i="6"/>
  <c r="E265" i="6"/>
  <c r="F265" i="6"/>
  <c r="H265" i="6"/>
  <c r="I265" i="6"/>
  <c r="L265" i="6"/>
  <c r="N265" i="6"/>
  <c r="Q265" i="6"/>
  <c r="R265" i="6"/>
  <c r="S265" i="6"/>
  <c r="T265" i="6"/>
  <c r="C266" i="6"/>
  <c r="D266" i="6"/>
  <c r="E266" i="6"/>
  <c r="F266" i="6"/>
  <c r="H266" i="6"/>
  <c r="I266" i="6"/>
  <c r="L266" i="6"/>
  <c r="N266" i="6"/>
  <c r="Q266" i="6"/>
  <c r="R266" i="6"/>
  <c r="S266" i="6"/>
  <c r="T266" i="6"/>
  <c r="C267" i="6"/>
  <c r="D267" i="6"/>
  <c r="E267" i="6"/>
  <c r="F267" i="6"/>
  <c r="H267" i="6"/>
  <c r="I267" i="6"/>
  <c r="L267" i="6"/>
  <c r="N267" i="6"/>
  <c r="Q267" i="6"/>
  <c r="R267" i="6"/>
  <c r="S267" i="6"/>
  <c r="T267" i="6"/>
  <c r="C268" i="6"/>
  <c r="D268" i="6"/>
  <c r="E268" i="6"/>
  <c r="F268" i="6"/>
  <c r="H268" i="6"/>
  <c r="I268" i="6"/>
  <c r="L268" i="6"/>
  <c r="N268" i="6"/>
  <c r="Q268" i="6"/>
  <c r="R268" i="6"/>
  <c r="S268" i="6"/>
  <c r="T268" i="6"/>
  <c r="C269" i="6"/>
  <c r="D269" i="6"/>
  <c r="E269" i="6"/>
  <c r="F269" i="6"/>
  <c r="H269" i="6"/>
  <c r="I269" i="6"/>
  <c r="L269" i="6"/>
  <c r="N269" i="6"/>
  <c r="Q269" i="6"/>
  <c r="R269" i="6"/>
  <c r="S269" i="6"/>
  <c r="T269" i="6"/>
  <c r="C270" i="6"/>
  <c r="D270" i="6"/>
  <c r="E270" i="6"/>
  <c r="F270" i="6"/>
  <c r="H270" i="6"/>
  <c r="I270" i="6"/>
  <c r="L270" i="6"/>
  <c r="N270" i="6"/>
  <c r="Q270" i="6"/>
  <c r="R270" i="6"/>
  <c r="S270" i="6"/>
  <c r="T270" i="6"/>
  <c r="C271" i="6"/>
  <c r="D271" i="6"/>
  <c r="E271" i="6"/>
  <c r="F271" i="6"/>
  <c r="H271" i="6"/>
  <c r="I271" i="6"/>
  <c r="L271" i="6"/>
  <c r="N271" i="6"/>
  <c r="Q271" i="6"/>
  <c r="R271" i="6"/>
  <c r="S271" i="6"/>
  <c r="T271" i="6"/>
  <c r="C272" i="6"/>
  <c r="D272" i="6"/>
  <c r="E272" i="6"/>
  <c r="F272" i="6"/>
  <c r="H272" i="6"/>
  <c r="I272" i="6"/>
  <c r="L272" i="6"/>
  <c r="N272" i="6"/>
  <c r="Q272" i="6"/>
  <c r="R272" i="6"/>
  <c r="S272" i="6"/>
  <c r="T272" i="6"/>
  <c r="C273" i="6"/>
  <c r="D273" i="6"/>
  <c r="E273" i="6"/>
  <c r="F273" i="6"/>
  <c r="H273" i="6"/>
  <c r="I273" i="6"/>
  <c r="L273" i="6"/>
  <c r="N273" i="6"/>
  <c r="Q273" i="6"/>
  <c r="R273" i="6"/>
  <c r="S273" i="6"/>
  <c r="T273" i="6"/>
  <c r="C274" i="6"/>
  <c r="D274" i="6"/>
  <c r="E274" i="6"/>
  <c r="F274" i="6"/>
  <c r="H274" i="6"/>
  <c r="I274" i="6"/>
  <c r="L274" i="6"/>
  <c r="N274" i="6"/>
  <c r="Q274" i="6"/>
  <c r="R274" i="6"/>
  <c r="S274" i="6"/>
  <c r="T274" i="6"/>
  <c r="C275" i="6"/>
  <c r="D275" i="6"/>
  <c r="E275" i="6"/>
  <c r="F275" i="6"/>
  <c r="H275" i="6"/>
  <c r="I275" i="6"/>
  <c r="L275" i="6"/>
  <c r="N275" i="6"/>
  <c r="Q275" i="6"/>
  <c r="R275" i="6"/>
  <c r="S275" i="6"/>
  <c r="T275" i="6"/>
  <c r="C276" i="6"/>
  <c r="D276" i="6"/>
  <c r="E276" i="6"/>
  <c r="F276" i="6"/>
  <c r="H276" i="6"/>
  <c r="I276" i="6"/>
  <c r="L276" i="6"/>
  <c r="N276" i="6"/>
  <c r="Q276" i="6"/>
  <c r="R276" i="6"/>
  <c r="S276" i="6"/>
  <c r="T276" i="6"/>
  <c r="C277" i="6"/>
  <c r="D277" i="6"/>
  <c r="E277" i="6"/>
  <c r="F277" i="6"/>
  <c r="H277" i="6"/>
  <c r="I277" i="6"/>
  <c r="L277" i="6"/>
  <c r="N277" i="6"/>
  <c r="Q277" i="6"/>
  <c r="R277" i="6"/>
  <c r="S277" i="6"/>
  <c r="T277" i="6"/>
  <c r="C278" i="6"/>
  <c r="D278" i="6"/>
  <c r="E278" i="6"/>
  <c r="F278" i="6"/>
  <c r="H278" i="6"/>
  <c r="I278" i="6"/>
  <c r="L278" i="6"/>
  <c r="N278" i="6"/>
  <c r="Q278" i="6"/>
  <c r="R278" i="6"/>
  <c r="S278" i="6"/>
  <c r="T278" i="6"/>
  <c r="C279" i="6"/>
  <c r="D279" i="6"/>
  <c r="E279" i="6"/>
  <c r="F279" i="6"/>
  <c r="H279" i="6"/>
  <c r="I279" i="6"/>
  <c r="L279" i="6"/>
  <c r="N279" i="6"/>
  <c r="Q279" i="6"/>
  <c r="R279" i="6"/>
  <c r="S279" i="6"/>
  <c r="T279" i="6"/>
  <c r="C280" i="6"/>
  <c r="D280" i="6"/>
  <c r="E280" i="6"/>
  <c r="F280" i="6"/>
  <c r="H280" i="6"/>
  <c r="I280" i="6"/>
  <c r="L280" i="6"/>
  <c r="N280" i="6"/>
  <c r="Q280" i="6"/>
  <c r="R280" i="6"/>
  <c r="S280" i="6"/>
  <c r="T280" i="6"/>
  <c r="C281" i="6"/>
  <c r="D281" i="6"/>
  <c r="E281" i="6"/>
  <c r="F281" i="6"/>
  <c r="H281" i="6"/>
  <c r="I281" i="6"/>
  <c r="L281" i="6"/>
  <c r="N281" i="6"/>
  <c r="Q281" i="6"/>
  <c r="R281" i="6"/>
  <c r="S281" i="6"/>
  <c r="T281" i="6"/>
  <c r="C282" i="6"/>
  <c r="D282" i="6"/>
  <c r="E282" i="6"/>
  <c r="F282" i="6"/>
  <c r="H282" i="6"/>
  <c r="I282" i="6"/>
  <c r="L282" i="6"/>
  <c r="N282" i="6"/>
  <c r="Q282" i="6"/>
  <c r="R282" i="6"/>
  <c r="S282" i="6"/>
  <c r="T282" i="6"/>
  <c r="C283" i="6"/>
  <c r="D283" i="6"/>
  <c r="E283" i="6"/>
  <c r="F283" i="6"/>
  <c r="H283" i="6"/>
  <c r="I283" i="6"/>
  <c r="L283" i="6"/>
  <c r="N283" i="6"/>
  <c r="Q283" i="6"/>
  <c r="R283" i="6"/>
  <c r="S283" i="6"/>
  <c r="T283" i="6"/>
  <c r="C284" i="6"/>
  <c r="D284" i="6"/>
  <c r="E284" i="6"/>
  <c r="F284" i="6"/>
  <c r="H284" i="6"/>
  <c r="I284" i="6"/>
  <c r="L284" i="6"/>
  <c r="N284" i="6"/>
  <c r="Q284" i="6"/>
  <c r="R284" i="6"/>
  <c r="S284" i="6"/>
  <c r="T284" i="6"/>
  <c r="C285" i="6"/>
  <c r="D285" i="6"/>
  <c r="E285" i="6"/>
  <c r="F285" i="6"/>
  <c r="H285" i="6"/>
  <c r="I285" i="6"/>
  <c r="L285" i="6"/>
  <c r="N285" i="6"/>
  <c r="Q285" i="6"/>
  <c r="R285" i="6"/>
  <c r="S285" i="6"/>
  <c r="T285" i="6"/>
  <c r="C286" i="6"/>
  <c r="D286" i="6"/>
  <c r="E286" i="6"/>
  <c r="F286" i="6"/>
  <c r="H286" i="6"/>
  <c r="I286" i="6"/>
  <c r="L286" i="6"/>
  <c r="N286" i="6"/>
  <c r="Q286" i="6"/>
  <c r="R286" i="6"/>
  <c r="S286" i="6"/>
  <c r="T286" i="6"/>
  <c r="C287" i="6"/>
  <c r="D287" i="6"/>
  <c r="E287" i="6"/>
  <c r="F287" i="6"/>
  <c r="H287" i="6"/>
  <c r="I287" i="6"/>
  <c r="L287" i="6"/>
  <c r="N287" i="6"/>
  <c r="Q287" i="6"/>
  <c r="R287" i="6"/>
  <c r="S287" i="6"/>
  <c r="T287" i="6"/>
  <c r="C288" i="6"/>
  <c r="D288" i="6"/>
  <c r="E288" i="6"/>
  <c r="F288" i="6"/>
  <c r="H288" i="6"/>
  <c r="I288" i="6"/>
  <c r="L288" i="6"/>
  <c r="N288" i="6"/>
  <c r="Q288" i="6"/>
  <c r="R288" i="6"/>
  <c r="S288" i="6"/>
  <c r="T288" i="6"/>
  <c r="C289" i="6"/>
  <c r="D289" i="6"/>
  <c r="E289" i="6"/>
  <c r="F289" i="6"/>
  <c r="H289" i="6"/>
  <c r="I289" i="6"/>
  <c r="L289" i="6"/>
  <c r="N289" i="6"/>
  <c r="Q289" i="6"/>
  <c r="R289" i="6"/>
  <c r="S289" i="6"/>
  <c r="T289" i="6"/>
  <c r="C290" i="6"/>
  <c r="D290" i="6"/>
  <c r="E290" i="6"/>
  <c r="F290" i="6"/>
  <c r="H290" i="6"/>
  <c r="I290" i="6"/>
  <c r="L290" i="6"/>
  <c r="N290" i="6"/>
  <c r="Q290" i="6"/>
  <c r="R290" i="6"/>
  <c r="S290" i="6"/>
  <c r="T290" i="6"/>
  <c r="C291" i="6"/>
  <c r="D291" i="6"/>
  <c r="E291" i="6"/>
  <c r="F291" i="6"/>
  <c r="H291" i="6"/>
  <c r="I291" i="6"/>
  <c r="L291" i="6"/>
  <c r="N291" i="6"/>
  <c r="Q291" i="6"/>
  <c r="R291" i="6"/>
  <c r="S291" i="6"/>
  <c r="T291" i="6"/>
  <c r="C292" i="6"/>
  <c r="D292" i="6"/>
  <c r="E292" i="6"/>
  <c r="F292" i="6"/>
  <c r="H292" i="6"/>
  <c r="I292" i="6"/>
  <c r="L292" i="6"/>
  <c r="N292" i="6"/>
  <c r="Q292" i="6"/>
  <c r="R292" i="6"/>
  <c r="S292" i="6"/>
  <c r="T292" i="6"/>
  <c r="C293" i="6"/>
  <c r="D293" i="6"/>
  <c r="E293" i="6"/>
  <c r="F293" i="6"/>
  <c r="H293" i="6"/>
  <c r="I293" i="6"/>
  <c r="L293" i="6"/>
  <c r="N293" i="6"/>
  <c r="Q293" i="6"/>
  <c r="R293" i="6"/>
  <c r="S293" i="6"/>
  <c r="T293" i="6"/>
  <c r="C294" i="6"/>
  <c r="D294" i="6"/>
  <c r="E294" i="6"/>
  <c r="F294" i="6"/>
  <c r="H294" i="6"/>
  <c r="I294" i="6"/>
  <c r="L294" i="6"/>
  <c r="N294" i="6"/>
  <c r="Q294" i="6"/>
  <c r="R294" i="6"/>
  <c r="S294" i="6"/>
  <c r="T294" i="6"/>
  <c r="C295" i="6"/>
  <c r="D295" i="6"/>
  <c r="E295" i="6"/>
  <c r="F295" i="6"/>
  <c r="H295" i="6"/>
  <c r="I295" i="6"/>
  <c r="L295" i="6"/>
  <c r="N295" i="6"/>
  <c r="Q295" i="6"/>
  <c r="R295" i="6"/>
  <c r="S295" i="6"/>
  <c r="T295" i="6"/>
  <c r="C296" i="6"/>
  <c r="D296" i="6"/>
  <c r="E296" i="6"/>
  <c r="F296" i="6"/>
  <c r="H296" i="6"/>
  <c r="I296" i="6"/>
  <c r="L296" i="6"/>
  <c r="N296" i="6"/>
  <c r="Q296" i="6"/>
  <c r="R296" i="6"/>
  <c r="S296" i="6"/>
  <c r="T296" i="6"/>
  <c r="C297" i="6"/>
  <c r="D297" i="6"/>
  <c r="E297" i="6"/>
  <c r="F297" i="6"/>
  <c r="H297" i="6"/>
  <c r="I297" i="6"/>
  <c r="L297" i="6"/>
  <c r="N297" i="6"/>
  <c r="Q297" i="6"/>
  <c r="R297" i="6"/>
  <c r="S297" i="6"/>
  <c r="T297" i="6"/>
  <c r="C298" i="6"/>
  <c r="D298" i="6"/>
  <c r="E298" i="6"/>
  <c r="F298" i="6"/>
  <c r="H298" i="6"/>
  <c r="I298" i="6"/>
  <c r="L298" i="6"/>
  <c r="N298" i="6"/>
  <c r="Q298" i="6"/>
  <c r="R298" i="6"/>
  <c r="S298" i="6"/>
  <c r="T298" i="6"/>
  <c r="C299" i="6"/>
  <c r="D299" i="6"/>
  <c r="E299" i="6"/>
  <c r="F299" i="6"/>
  <c r="H299" i="6"/>
  <c r="I299" i="6"/>
  <c r="L299" i="6"/>
  <c r="N299" i="6"/>
  <c r="Q299" i="6"/>
  <c r="R299" i="6"/>
  <c r="S299" i="6"/>
  <c r="T299" i="6"/>
  <c r="C300" i="6"/>
  <c r="D300" i="6"/>
  <c r="E300" i="6"/>
  <c r="F300" i="6"/>
  <c r="H300" i="6"/>
  <c r="I300" i="6"/>
  <c r="L300" i="6"/>
  <c r="N300" i="6"/>
  <c r="Q300" i="6"/>
  <c r="R300" i="6"/>
  <c r="S300" i="6"/>
  <c r="T300" i="6"/>
  <c r="C301" i="6"/>
  <c r="D301" i="6"/>
  <c r="E301" i="6"/>
  <c r="F301" i="6"/>
  <c r="H301" i="6"/>
  <c r="I301" i="6"/>
  <c r="L301" i="6"/>
  <c r="N301" i="6"/>
  <c r="Q301" i="6"/>
  <c r="R301" i="6"/>
  <c r="S301" i="6"/>
  <c r="T301" i="6"/>
  <c r="C302" i="6"/>
  <c r="D302" i="6"/>
  <c r="E302" i="6"/>
  <c r="F302" i="6"/>
  <c r="H302" i="6"/>
  <c r="I302" i="6"/>
  <c r="L302" i="6"/>
  <c r="N302" i="6"/>
  <c r="Q302" i="6"/>
  <c r="R302" i="6"/>
  <c r="S302" i="6"/>
  <c r="T302" i="6"/>
  <c r="C303" i="6"/>
  <c r="D303" i="6"/>
  <c r="E303" i="6"/>
  <c r="F303" i="6"/>
  <c r="H303" i="6"/>
  <c r="I303" i="6"/>
  <c r="L303" i="6"/>
  <c r="N303" i="6"/>
  <c r="Q303" i="6"/>
  <c r="R303" i="6"/>
  <c r="S303" i="6"/>
  <c r="T303" i="6"/>
  <c r="C304" i="6"/>
  <c r="D304" i="6"/>
  <c r="E304" i="6"/>
  <c r="F304" i="6"/>
  <c r="H304" i="6"/>
  <c r="I304" i="6"/>
  <c r="L304" i="6"/>
  <c r="N304" i="6"/>
  <c r="Q304" i="6"/>
  <c r="R304" i="6"/>
  <c r="S304" i="6"/>
  <c r="T304" i="6"/>
  <c r="C305" i="6"/>
  <c r="D305" i="6"/>
  <c r="E305" i="6"/>
  <c r="F305" i="6"/>
  <c r="H305" i="6"/>
  <c r="I305" i="6"/>
  <c r="L305" i="6"/>
  <c r="N305" i="6"/>
  <c r="Q305" i="6"/>
  <c r="R305" i="6"/>
  <c r="S305" i="6"/>
  <c r="T305" i="6"/>
  <c r="C306" i="6"/>
  <c r="D306" i="6"/>
  <c r="E306" i="6"/>
  <c r="F306" i="6"/>
  <c r="H306" i="6"/>
  <c r="I306" i="6"/>
  <c r="L306" i="6"/>
  <c r="N306" i="6"/>
  <c r="Q306" i="6"/>
  <c r="R306" i="6"/>
  <c r="S306" i="6"/>
  <c r="T306" i="6"/>
  <c r="C307" i="6"/>
  <c r="D307" i="6"/>
  <c r="E307" i="6"/>
  <c r="F307" i="6"/>
  <c r="H307" i="6"/>
  <c r="I307" i="6"/>
  <c r="L307" i="6"/>
  <c r="N307" i="6"/>
  <c r="Q307" i="6"/>
  <c r="R307" i="6"/>
  <c r="S307" i="6"/>
  <c r="T307" i="6"/>
  <c r="C308" i="6"/>
  <c r="D308" i="6"/>
  <c r="E308" i="6"/>
  <c r="F308" i="6"/>
  <c r="H308" i="6"/>
  <c r="I308" i="6"/>
  <c r="L308" i="6"/>
  <c r="N308" i="6"/>
  <c r="Q308" i="6"/>
  <c r="R308" i="6"/>
  <c r="S308" i="6"/>
  <c r="T308" i="6"/>
  <c r="C309" i="6"/>
  <c r="D309" i="6"/>
  <c r="E309" i="6"/>
  <c r="F309" i="6"/>
  <c r="H309" i="6"/>
  <c r="I309" i="6"/>
  <c r="L309" i="6"/>
  <c r="N309" i="6"/>
  <c r="Q309" i="6"/>
  <c r="R309" i="6"/>
  <c r="S309" i="6"/>
  <c r="T309" i="6"/>
  <c r="C310" i="6"/>
  <c r="D310" i="6"/>
  <c r="E310" i="6"/>
  <c r="F310" i="6"/>
  <c r="H310" i="6"/>
  <c r="I310" i="6"/>
  <c r="L310" i="6"/>
  <c r="N310" i="6"/>
  <c r="Q310" i="6"/>
  <c r="R310" i="6"/>
  <c r="S310" i="6"/>
  <c r="T310" i="6"/>
  <c r="C311" i="6"/>
  <c r="D311" i="6"/>
  <c r="E311" i="6"/>
  <c r="F311" i="6"/>
  <c r="H311" i="6"/>
  <c r="I311" i="6"/>
  <c r="L311" i="6"/>
  <c r="N311" i="6"/>
  <c r="Q311" i="6"/>
  <c r="R311" i="6"/>
  <c r="S311" i="6"/>
  <c r="T311" i="6"/>
  <c r="C312" i="6"/>
  <c r="D312" i="6"/>
  <c r="E312" i="6"/>
  <c r="F312" i="6"/>
  <c r="H312" i="6"/>
  <c r="I312" i="6"/>
  <c r="L312" i="6"/>
  <c r="N312" i="6"/>
  <c r="Q312" i="6"/>
  <c r="R312" i="6"/>
  <c r="S312" i="6"/>
  <c r="T312" i="6"/>
  <c r="C313" i="6"/>
  <c r="D313" i="6"/>
  <c r="E313" i="6"/>
  <c r="F313" i="6"/>
  <c r="H313" i="6"/>
  <c r="I313" i="6"/>
  <c r="L313" i="6"/>
  <c r="N313" i="6"/>
  <c r="Q313" i="6"/>
  <c r="R313" i="6"/>
  <c r="S313" i="6"/>
  <c r="T313" i="6"/>
  <c r="C314" i="6"/>
  <c r="D314" i="6"/>
  <c r="E314" i="6"/>
  <c r="F314" i="6"/>
  <c r="H314" i="6"/>
  <c r="I314" i="6"/>
  <c r="L314" i="6"/>
  <c r="N314" i="6"/>
  <c r="Q314" i="6"/>
  <c r="R314" i="6"/>
  <c r="S314" i="6"/>
  <c r="T314" i="6"/>
  <c r="C315" i="6"/>
  <c r="D315" i="6"/>
  <c r="E315" i="6"/>
  <c r="F315" i="6"/>
  <c r="H315" i="6"/>
  <c r="I315" i="6"/>
  <c r="L315" i="6"/>
  <c r="N315" i="6"/>
  <c r="Q315" i="6"/>
  <c r="R315" i="6"/>
  <c r="S315" i="6"/>
  <c r="T315" i="6"/>
  <c r="C316" i="6"/>
  <c r="D316" i="6"/>
  <c r="E316" i="6"/>
  <c r="F316" i="6"/>
  <c r="H316" i="6"/>
  <c r="I316" i="6"/>
  <c r="L316" i="6"/>
  <c r="N316" i="6"/>
  <c r="Q316" i="6"/>
  <c r="R316" i="6"/>
  <c r="S316" i="6"/>
  <c r="T316" i="6"/>
  <c r="C317" i="6"/>
  <c r="D317" i="6"/>
  <c r="E317" i="6"/>
  <c r="F317" i="6"/>
  <c r="H317" i="6"/>
  <c r="I317" i="6"/>
  <c r="L317" i="6"/>
  <c r="N317" i="6"/>
  <c r="Q317" i="6"/>
  <c r="R317" i="6"/>
  <c r="S317" i="6"/>
  <c r="T317" i="6"/>
  <c r="C318" i="6"/>
  <c r="D318" i="6"/>
  <c r="E318" i="6"/>
  <c r="F318" i="6"/>
  <c r="H318" i="6"/>
  <c r="I318" i="6"/>
  <c r="L318" i="6"/>
  <c r="N318" i="6"/>
  <c r="Q318" i="6"/>
  <c r="R318" i="6"/>
  <c r="S318" i="6"/>
  <c r="T318" i="6"/>
  <c r="C319" i="6"/>
  <c r="D319" i="6"/>
  <c r="E319" i="6"/>
  <c r="F319" i="6"/>
  <c r="H319" i="6"/>
  <c r="I319" i="6"/>
  <c r="L319" i="6"/>
  <c r="N319" i="6"/>
  <c r="Q319" i="6"/>
  <c r="R319" i="6"/>
  <c r="S319" i="6"/>
  <c r="T319" i="6"/>
  <c r="C320" i="6"/>
  <c r="D320" i="6"/>
  <c r="E320" i="6"/>
  <c r="F320" i="6"/>
  <c r="H320" i="6"/>
  <c r="I320" i="6"/>
  <c r="L320" i="6"/>
  <c r="N320" i="6"/>
  <c r="Q320" i="6"/>
  <c r="R320" i="6"/>
  <c r="S320" i="6"/>
  <c r="T320" i="6"/>
  <c r="C321" i="6"/>
  <c r="D321" i="6"/>
  <c r="E321" i="6"/>
  <c r="F321" i="6"/>
  <c r="H321" i="6"/>
  <c r="I321" i="6"/>
  <c r="L321" i="6"/>
  <c r="N321" i="6"/>
  <c r="Q321" i="6"/>
  <c r="R321" i="6"/>
  <c r="S321" i="6"/>
  <c r="T321" i="6"/>
  <c r="C322" i="6"/>
  <c r="D322" i="6"/>
  <c r="E322" i="6"/>
  <c r="F322" i="6"/>
  <c r="H322" i="6"/>
  <c r="I322" i="6"/>
  <c r="L322" i="6"/>
  <c r="N322" i="6"/>
  <c r="Q322" i="6"/>
  <c r="R322" i="6"/>
  <c r="S322" i="6"/>
  <c r="T322" i="6"/>
  <c r="C323" i="6"/>
  <c r="D323" i="6"/>
  <c r="E323" i="6"/>
  <c r="F323" i="6"/>
  <c r="H323" i="6"/>
  <c r="I323" i="6"/>
  <c r="L323" i="6"/>
  <c r="N323" i="6"/>
  <c r="Q323" i="6"/>
  <c r="R323" i="6"/>
  <c r="S323" i="6"/>
  <c r="T323" i="6"/>
  <c r="C324" i="6"/>
  <c r="D324" i="6"/>
  <c r="E324" i="6"/>
  <c r="F324" i="6"/>
  <c r="H324" i="6"/>
  <c r="I324" i="6"/>
  <c r="L324" i="6"/>
  <c r="N324" i="6"/>
  <c r="Q324" i="6"/>
  <c r="R324" i="6"/>
  <c r="S324" i="6"/>
  <c r="T324" i="6"/>
  <c r="C325" i="6"/>
  <c r="D325" i="6"/>
  <c r="E325" i="6"/>
  <c r="F325" i="6"/>
  <c r="H325" i="6"/>
  <c r="I325" i="6"/>
  <c r="L325" i="6"/>
  <c r="N325" i="6"/>
  <c r="Q325" i="6"/>
  <c r="R325" i="6"/>
  <c r="S325" i="6"/>
  <c r="T325" i="6"/>
  <c r="C326" i="6"/>
  <c r="D326" i="6"/>
  <c r="E326" i="6"/>
  <c r="F326" i="6"/>
  <c r="H326" i="6"/>
  <c r="I326" i="6"/>
  <c r="L326" i="6"/>
  <c r="N326" i="6"/>
  <c r="Q326" i="6"/>
  <c r="R326" i="6"/>
  <c r="S326" i="6"/>
  <c r="T326" i="6"/>
  <c r="C327" i="6"/>
  <c r="D327" i="6"/>
  <c r="E327" i="6"/>
  <c r="F327" i="6"/>
  <c r="H327" i="6"/>
  <c r="I327" i="6"/>
  <c r="L327" i="6"/>
  <c r="N327" i="6"/>
  <c r="Q327" i="6"/>
  <c r="R327" i="6"/>
  <c r="S327" i="6"/>
  <c r="T327" i="6"/>
  <c r="C328" i="6"/>
  <c r="D328" i="6"/>
  <c r="E328" i="6"/>
  <c r="F328" i="6"/>
  <c r="H328" i="6"/>
  <c r="I328" i="6"/>
  <c r="L328" i="6"/>
  <c r="N328" i="6"/>
  <c r="Q328" i="6"/>
  <c r="R328" i="6"/>
  <c r="S328" i="6"/>
  <c r="T328" i="6"/>
  <c r="C329" i="6"/>
  <c r="D329" i="6"/>
  <c r="E329" i="6"/>
  <c r="F329" i="6"/>
  <c r="H329" i="6"/>
  <c r="I329" i="6"/>
  <c r="L329" i="6"/>
  <c r="N329" i="6"/>
  <c r="Q329" i="6"/>
  <c r="R329" i="6"/>
  <c r="S329" i="6"/>
  <c r="T329" i="6"/>
  <c r="C330" i="6"/>
  <c r="D330" i="6"/>
  <c r="E330" i="6"/>
  <c r="F330" i="6"/>
  <c r="H330" i="6"/>
  <c r="I330" i="6"/>
  <c r="L330" i="6"/>
  <c r="N330" i="6"/>
  <c r="Q330" i="6"/>
  <c r="R330" i="6"/>
  <c r="S330" i="6"/>
  <c r="T330" i="6"/>
  <c r="C331" i="6"/>
  <c r="D331" i="6"/>
  <c r="E331" i="6"/>
  <c r="F331" i="6"/>
  <c r="H331" i="6"/>
  <c r="I331" i="6"/>
  <c r="L331" i="6"/>
  <c r="N331" i="6"/>
  <c r="Q331" i="6"/>
  <c r="R331" i="6"/>
  <c r="S331" i="6"/>
  <c r="T331" i="6"/>
  <c r="C332" i="6"/>
  <c r="D332" i="6"/>
  <c r="E332" i="6"/>
  <c r="F332" i="6"/>
  <c r="H332" i="6"/>
  <c r="I332" i="6"/>
  <c r="L332" i="6"/>
  <c r="N332" i="6"/>
  <c r="Q332" i="6"/>
  <c r="R332" i="6"/>
  <c r="S332" i="6"/>
  <c r="T332" i="6"/>
  <c r="C333" i="6"/>
  <c r="D333" i="6"/>
  <c r="E333" i="6"/>
  <c r="F333" i="6"/>
  <c r="H333" i="6"/>
  <c r="I333" i="6"/>
  <c r="L333" i="6"/>
  <c r="N333" i="6"/>
  <c r="Q333" i="6"/>
  <c r="R333" i="6"/>
  <c r="S333" i="6"/>
  <c r="T333" i="6"/>
  <c r="C334" i="6"/>
  <c r="D334" i="6"/>
  <c r="E334" i="6"/>
  <c r="F334" i="6"/>
  <c r="H334" i="6"/>
  <c r="I334" i="6"/>
  <c r="L334" i="6"/>
  <c r="N334" i="6"/>
  <c r="Q334" i="6"/>
  <c r="R334" i="6"/>
  <c r="S334" i="6"/>
  <c r="T334" i="6"/>
  <c r="C335" i="6"/>
  <c r="D335" i="6"/>
  <c r="E335" i="6"/>
  <c r="F335" i="6"/>
  <c r="H335" i="6"/>
  <c r="I335" i="6"/>
  <c r="L335" i="6"/>
  <c r="N335" i="6"/>
  <c r="Q335" i="6"/>
  <c r="R335" i="6"/>
  <c r="S335" i="6"/>
  <c r="T335" i="6"/>
  <c r="C336" i="6"/>
  <c r="D336" i="6"/>
  <c r="E336" i="6"/>
  <c r="F336" i="6"/>
  <c r="H336" i="6"/>
  <c r="I336" i="6"/>
  <c r="L336" i="6"/>
  <c r="N336" i="6"/>
  <c r="Q336" i="6"/>
  <c r="R336" i="6"/>
  <c r="S336" i="6"/>
  <c r="T336" i="6"/>
  <c r="C337" i="6"/>
  <c r="D337" i="6"/>
  <c r="E337" i="6"/>
  <c r="F337" i="6"/>
  <c r="H337" i="6"/>
  <c r="I337" i="6"/>
  <c r="L337" i="6"/>
  <c r="N337" i="6"/>
  <c r="Q337" i="6"/>
  <c r="R337" i="6"/>
  <c r="S337" i="6"/>
  <c r="T337" i="6"/>
  <c r="C338" i="6"/>
  <c r="D338" i="6"/>
  <c r="E338" i="6"/>
  <c r="F338" i="6"/>
  <c r="H338" i="6"/>
  <c r="I338" i="6"/>
  <c r="L338" i="6"/>
  <c r="N338" i="6"/>
  <c r="Q338" i="6"/>
  <c r="R338" i="6"/>
  <c r="S338" i="6"/>
  <c r="T338" i="6"/>
  <c r="C339" i="6"/>
  <c r="D339" i="6"/>
  <c r="E339" i="6"/>
  <c r="F339" i="6"/>
  <c r="H339" i="6"/>
  <c r="I339" i="6"/>
  <c r="L339" i="6"/>
  <c r="N339" i="6"/>
  <c r="Q339" i="6"/>
  <c r="R339" i="6"/>
  <c r="S339" i="6"/>
  <c r="T339" i="6"/>
  <c r="C340" i="6"/>
  <c r="D340" i="6"/>
  <c r="E340" i="6"/>
  <c r="F340" i="6"/>
  <c r="H340" i="6"/>
  <c r="I340" i="6"/>
  <c r="L340" i="6"/>
  <c r="N340" i="6"/>
  <c r="Q340" i="6"/>
  <c r="R340" i="6"/>
  <c r="S340" i="6"/>
  <c r="T340" i="6"/>
  <c r="C341" i="6"/>
  <c r="D341" i="6"/>
  <c r="E341" i="6"/>
  <c r="F341" i="6"/>
  <c r="H341" i="6"/>
  <c r="I341" i="6"/>
  <c r="L341" i="6"/>
  <c r="N341" i="6"/>
  <c r="Q341" i="6"/>
  <c r="R341" i="6"/>
  <c r="S341" i="6"/>
  <c r="T341" i="6"/>
  <c r="C342" i="6"/>
  <c r="D342" i="6"/>
  <c r="E342" i="6"/>
  <c r="F342" i="6"/>
  <c r="H342" i="6"/>
  <c r="I342" i="6"/>
  <c r="L342" i="6"/>
  <c r="N342" i="6"/>
  <c r="Q342" i="6"/>
  <c r="R342" i="6"/>
  <c r="S342" i="6"/>
  <c r="T342" i="6"/>
  <c r="C343" i="6"/>
  <c r="D343" i="6"/>
  <c r="E343" i="6"/>
  <c r="F343" i="6"/>
  <c r="H343" i="6"/>
  <c r="I343" i="6"/>
  <c r="L343" i="6"/>
  <c r="N343" i="6"/>
  <c r="Q343" i="6"/>
  <c r="R343" i="6"/>
  <c r="S343" i="6"/>
  <c r="T343" i="6"/>
  <c r="C344" i="6"/>
  <c r="D344" i="6"/>
  <c r="E344" i="6"/>
  <c r="F344" i="6"/>
  <c r="H344" i="6"/>
  <c r="I344" i="6"/>
  <c r="L344" i="6"/>
  <c r="N344" i="6"/>
  <c r="Q344" i="6"/>
  <c r="R344" i="6"/>
  <c r="S344" i="6"/>
  <c r="T344" i="6"/>
  <c r="C345" i="6"/>
  <c r="D345" i="6"/>
  <c r="E345" i="6"/>
  <c r="F345" i="6"/>
  <c r="H345" i="6"/>
  <c r="I345" i="6"/>
  <c r="L345" i="6"/>
  <c r="N345" i="6"/>
  <c r="Q345" i="6"/>
  <c r="R345" i="6"/>
  <c r="S345" i="6"/>
  <c r="T345" i="6"/>
  <c r="C346" i="6"/>
  <c r="D346" i="6"/>
  <c r="E346" i="6"/>
  <c r="F346" i="6"/>
  <c r="H346" i="6"/>
  <c r="I346" i="6"/>
  <c r="L346" i="6"/>
  <c r="N346" i="6"/>
  <c r="Q346" i="6"/>
  <c r="R346" i="6"/>
  <c r="S346" i="6"/>
  <c r="T346" i="6"/>
  <c r="C347" i="6"/>
  <c r="D347" i="6"/>
  <c r="E347" i="6"/>
  <c r="F347" i="6"/>
  <c r="H347" i="6"/>
  <c r="I347" i="6"/>
  <c r="L347" i="6"/>
  <c r="N347" i="6"/>
  <c r="Q347" i="6"/>
  <c r="R347" i="6"/>
  <c r="S347" i="6"/>
  <c r="T347" i="6"/>
  <c r="C348" i="6"/>
  <c r="D348" i="6"/>
  <c r="E348" i="6"/>
  <c r="F348" i="6"/>
  <c r="H348" i="6"/>
  <c r="I348" i="6"/>
  <c r="L348" i="6"/>
  <c r="N348" i="6"/>
  <c r="Q348" i="6"/>
  <c r="R348" i="6"/>
  <c r="S348" i="6"/>
  <c r="T348" i="6"/>
  <c r="C349" i="6"/>
  <c r="D349" i="6"/>
  <c r="E349" i="6"/>
  <c r="F349" i="6"/>
  <c r="H349" i="6"/>
  <c r="I349" i="6"/>
  <c r="L349" i="6"/>
  <c r="N349" i="6"/>
  <c r="Q349" i="6"/>
  <c r="R349" i="6"/>
  <c r="S349" i="6"/>
  <c r="T349" i="6"/>
  <c r="C350" i="6"/>
  <c r="D350" i="6"/>
  <c r="E350" i="6"/>
  <c r="F350" i="6"/>
  <c r="H350" i="6"/>
  <c r="I350" i="6"/>
  <c r="L350" i="6"/>
  <c r="N350" i="6"/>
  <c r="Q350" i="6"/>
  <c r="R350" i="6"/>
  <c r="S350" i="6"/>
  <c r="T350" i="6"/>
  <c r="C351" i="6"/>
  <c r="D351" i="6"/>
  <c r="E351" i="6"/>
  <c r="F351" i="6"/>
  <c r="H351" i="6"/>
  <c r="I351" i="6"/>
  <c r="L351" i="6"/>
  <c r="N351" i="6"/>
  <c r="Q351" i="6"/>
  <c r="R351" i="6"/>
  <c r="S351" i="6"/>
  <c r="T351" i="6"/>
  <c r="C352" i="6"/>
  <c r="D352" i="6"/>
  <c r="E352" i="6"/>
  <c r="F352" i="6"/>
  <c r="H352" i="6"/>
  <c r="I352" i="6"/>
  <c r="L352" i="6"/>
  <c r="N352" i="6"/>
  <c r="Q352" i="6"/>
  <c r="R352" i="6"/>
  <c r="S352" i="6"/>
  <c r="T352" i="6"/>
  <c r="C353" i="6"/>
  <c r="D353" i="6"/>
  <c r="E353" i="6"/>
  <c r="F353" i="6"/>
  <c r="H353" i="6"/>
  <c r="I353" i="6"/>
  <c r="L353" i="6"/>
  <c r="N353" i="6"/>
  <c r="Q353" i="6"/>
  <c r="R353" i="6"/>
  <c r="S353" i="6"/>
  <c r="T353" i="6"/>
  <c r="C354" i="6"/>
  <c r="D354" i="6"/>
  <c r="E354" i="6"/>
  <c r="F354" i="6"/>
  <c r="H354" i="6"/>
  <c r="I354" i="6"/>
  <c r="L354" i="6"/>
  <c r="N354" i="6"/>
  <c r="Q354" i="6"/>
  <c r="R354" i="6"/>
  <c r="S354" i="6"/>
  <c r="T354" i="6"/>
  <c r="C355" i="6"/>
  <c r="D355" i="6"/>
  <c r="E355" i="6"/>
  <c r="F355" i="6"/>
  <c r="H355" i="6"/>
  <c r="I355" i="6"/>
  <c r="L355" i="6"/>
  <c r="N355" i="6"/>
  <c r="Q355" i="6"/>
  <c r="R355" i="6"/>
  <c r="S355" i="6"/>
  <c r="T355" i="6"/>
  <c r="C356" i="6"/>
  <c r="D356" i="6"/>
  <c r="E356" i="6"/>
  <c r="F356" i="6"/>
  <c r="H356" i="6"/>
  <c r="I356" i="6"/>
  <c r="L356" i="6"/>
  <c r="N356" i="6"/>
  <c r="Q356" i="6"/>
  <c r="R356" i="6"/>
  <c r="S356" i="6"/>
  <c r="T356" i="6"/>
  <c r="C357" i="6"/>
  <c r="D357" i="6"/>
  <c r="E357" i="6"/>
  <c r="F357" i="6"/>
  <c r="H357" i="6"/>
  <c r="I357" i="6"/>
  <c r="L357" i="6"/>
  <c r="N357" i="6"/>
  <c r="Q357" i="6"/>
  <c r="R357" i="6"/>
  <c r="S357" i="6"/>
  <c r="T357" i="6"/>
  <c r="C358" i="6"/>
  <c r="D358" i="6"/>
  <c r="E358" i="6"/>
  <c r="F358" i="6"/>
  <c r="H358" i="6"/>
  <c r="I358" i="6"/>
  <c r="L358" i="6"/>
  <c r="N358" i="6"/>
  <c r="Q358" i="6"/>
  <c r="R358" i="6"/>
  <c r="S358" i="6"/>
  <c r="T358" i="6"/>
  <c r="C359" i="6"/>
  <c r="D359" i="6"/>
  <c r="E359" i="6"/>
  <c r="F359" i="6"/>
  <c r="H359" i="6"/>
  <c r="I359" i="6"/>
  <c r="L359" i="6"/>
  <c r="N359" i="6"/>
  <c r="Q359" i="6"/>
  <c r="R359" i="6"/>
  <c r="S359" i="6"/>
  <c r="T359" i="6"/>
  <c r="C360" i="6"/>
  <c r="D360" i="6"/>
  <c r="E360" i="6"/>
  <c r="F360" i="6"/>
  <c r="H360" i="6"/>
  <c r="I360" i="6"/>
  <c r="L360" i="6"/>
  <c r="N360" i="6"/>
  <c r="Q360" i="6"/>
  <c r="R360" i="6"/>
  <c r="S360" i="6"/>
  <c r="T360" i="6"/>
  <c r="C361" i="6"/>
  <c r="D361" i="6"/>
  <c r="E361" i="6"/>
  <c r="F361" i="6"/>
  <c r="H361" i="6"/>
  <c r="I361" i="6"/>
  <c r="L361" i="6"/>
  <c r="N361" i="6"/>
  <c r="Q361" i="6"/>
  <c r="R361" i="6"/>
  <c r="S361" i="6"/>
  <c r="T361" i="6"/>
  <c r="C362" i="6"/>
  <c r="D362" i="6"/>
  <c r="E362" i="6"/>
  <c r="F362" i="6"/>
  <c r="H362" i="6"/>
  <c r="I362" i="6"/>
  <c r="L362" i="6"/>
  <c r="N362" i="6"/>
  <c r="Q362" i="6"/>
  <c r="R362" i="6"/>
  <c r="S362" i="6"/>
  <c r="T362" i="6"/>
  <c r="C363" i="6"/>
  <c r="D363" i="6"/>
  <c r="E363" i="6"/>
  <c r="F363" i="6"/>
  <c r="H363" i="6"/>
  <c r="I363" i="6"/>
  <c r="L363" i="6"/>
  <c r="N363" i="6"/>
  <c r="Q363" i="6"/>
  <c r="R363" i="6"/>
  <c r="S363" i="6"/>
  <c r="T363" i="6"/>
  <c r="C364" i="6"/>
  <c r="D364" i="6"/>
  <c r="E364" i="6"/>
  <c r="F364" i="6"/>
  <c r="H364" i="6"/>
  <c r="I364" i="6"/>
  <c r="L364" i="6"/>
  <c r="N364" i="6"/>
  <c r="Q364" i="6"/>
  <c r="R364" i="6"/>
  <c r="S364" i="6"/>
  <c r="T364" i="6"/>
  <c r="C365" i="6"/>
  <c r="D365" i="6"/>
  <c r="E365" i="6"/>
  <c r="F365" i="6"/>
  <c r="H365" i="6"/>
  <c r="I365" i="6"/>
  <c r="L365" i="6"/>
  <c r="N365" i="6"/>
  <c r="Q365" i="6"/>
  <c r="R365" i="6"/>
  <c r="S365" i="6"/>
  <c r="T365" i="6"/>
  <c r="C366" i="6"/>
  <c r="D366" i="6"/>
  <c r="E366" i="6"/>
  <c r="F366" i="6"/>
  <c r="H366" i="6"/>
  <c r="I366" i="6"/>
  <c r="L366" i="6"/>
  <c r="N366" i="6"/>
  <c r="Q366" i="6"/>
  <c r="R366" i="6"/>
  <c r="S366" i="6"/>
  <c r="T366" i="6"/>
  <c r="C367" i="6"/>
  <c r="D367" i="6"/>
  <c r="E367" i="6"/>
  <c r="F367" i="6"/>
  <c r="H367" i="6"/>
  <c r="I367" i="6"/>
  <c r="L367" i="6"/>
  <c r="N367" i="6"/>
  <c r="Q367" i="6"/>
  <c r="R367" i="6"/>
  <c r="S367" i="6"/>
  <c r="T367" i="6"/>
  <c r="C368" i="6"/>
  <c r="D368" i="6"/>
  <c r="E368" i="6"/>
  <c r="F368" i="6"/>
  <c r="H368" i="6"/>
  <c r="I368" i="6"/>
  <c r="L368" i="6"/>
  <c r="N368" i="6"/>
  <c r="Q368" i="6"/>
  <c r="R368" i="6"/>
  <c r="S368" i="6"/>
  <c r="T368" i="6"/>
  <c r="C369" i="6"/>
  <c r="D369" i="6"/>
  <c r="E369" i="6"/>
  <c r="F369" i="6"/>
  <c r="H369" i="6"/>
  <c r="I369" i="6"/>
  <c r="L369" i="6"/>
  <c r="N369" i="6"/>
  <c r="Q369" i="6"/>
  <c r="R369" i="6"/>
  <c r="S369" i="6"/>
  <c r="T369" i="6"/>
  <c r="C370" i="6"/>
  <c r="D370" i="6"/>
  <c r="E370" i="6"/>
  <c r="F370" i="6"/>
  <c r="H370" i="6"/>
  <c r="I370" i="6"/>
  <c r="L370" i="6"/>
  <c r="N370" i="6"/>
  <c r="Q370" i="6"/>
  <c r="R370" i="6"/>
  <c r="S370" i="6"/>
  <c r="T370" i="6"/>
  <c r="C371" i="6"/>
  <c r="D371" i="6"/>
  <c r="E371" i="6"/>
  <c r="F371" i="6"/>
  <c r="H371" i="6"/>
  <c r="I371" i="6"/>
  <c r="L371" i="6"/>
  <c r="N371" i="6"/>
  <c r="Q371" i="6"/>
  <c r="R371" i="6"/>
  <c r="S371" i="6"/>
  <c r="T371" i="6"/>
  <c r="C372" i="6"/>
  <c r="D372" i="6"/>
  <c r="E372" i="6"/>
  <c r="F372" i="6"/>
  <c r="H372" i="6"/>
  <c r="I372" i="6"/>
  <c r="L372" i="6"/>
  <c r="N372" i="6"/>
  <c r="Q372" i="6"/>
  <c r="R372" i="6"/>
  <c r="S372" i="6"/>
  <c r="T372" i="6"/>
  <c r="C373" i="6"/>
  <c r="D373" i="6"/>
  <c r="E373" i="6"/>
  <c r="F373" i="6"/>
  <c r="H373" i="6"/>
  <c r="I373" i="6"/>
  <c r="L373" i="6"/>
  <c r="N373" i="6"/>
  <c r="Q373" i="6"/>
  <c r="R373" i="6"/>
  <c r="S373" i="6"/>
  <c r="T373" i="6"/>
  <c r="C374" i="6"/>
  <c r="D374" i="6"/>
  <c r="E374" i="6"/>
  <c r="F374" i="6"/>
  <c r="H374" i="6"/>
  <c r="I374" i="6"/>
  <c r="L374" i="6"/>
  <c r="N374" i="6"/>
  <c r="Q374" i="6"/>
  <c r="R374" i="6"/>
  <c r="S374" i="6"/>
  <c r="T374" i="6"/>
  <c r="C375" i="6"/>
  <c r="D375" i="6"/>
  <c r="E375" i="6"/>
  <c r="F375" i="6"/>
  <c r="H375" i="6"/>
  <c r="I375" i="6"/>
  <c r="L375" i="6"/>
  <c r="N375" i="6"/>
  <c r="Q375" i="6"/>
  <c r="R375" i="6"/>
  <c r="S375" i="6"/>
  <c r="T375" i="6"/>
  <c r="C376" i="6"/>
  <c r="D376" i="6"/>
  <c r="E376" i="6"/>
  <c r="F376" i="6"/>
  <c r="H376" i="6"/>
  <c r="I376" i="6"/>
  <c r="L376" i="6"/>
  <c r="N376" i="6"/>
  <c r="Q376" i="6"/>
  <c r="R376" i="6"/>
  <c r="S376" i="6"/>
  <c r="T376" i="6"/>
  <c r="C377" i="6"/>
  <c r="D377" i="6"/>
  <c r="E377" i="6"/>
  <c r="F377" i="6"/>
  <c r="H377" i="6"/>
  <c r="I377" i="6"/>
  <c r="L377" i="6"/>
  <c r="N377" i="6"/>
  <c r="Q377" i="6"/>
  <c r="R377" i="6"/>
  <c r="S377" i="6"/>
  <c r="T377" i="6"/>
  <c r="C378" i="6"/>
  <c r="D378" i="6"/>
  <c r="E378" i="6"/>
  <c r="F378" i="6"/>
  <c r="H378" i="6"/>
  <c r="I378" i="6"/>
  <c r="L378" i="6"/>
  <c r="N378" i="6"/>
  <c r="Q378" i="6"/>
  <c r="R378" i="6"/>
  <c r="S378" i="6"/>
  <c r="T378" i="6"/>
  <c r="C379" i="6"/>
  <c r="D379" i="6"/>
  <c r="E379" i="6"/>
  <c r="F379" i="6"/>
  <c r="H379" i="6"/>
  <c r="I379" i="6"/>
  <c r="L379" i="6"/>
  <c r="N379" i="6"/>
  <c r="Q379" i="6"/>
  <c r="R379" i="6"/>
  <c r="S379" i="6"/>
  <c r="T379" i="6"/>
  <c r="C380" i="6"/>
  <c r="D380" i="6"/>
  <c r="E380" i="6"/>
  <c r="F380" i="6"/>
  <c r="H380" i="6"/>
  <c r="I380" i="6"/>
  <c r="L380" i="6"/>
  <c r="N380" i="6"/>
  <c r="Q380" i="6"/>
  <c r="R380" i="6"/>
  <c r="S380" i="6"/>
  <c r="T380" i="6"/>
  <c r="C381" i="6"/>
  <c r="D381" i="6"/>
  <c r="E381" i="6"/>
  <c r="F381" i="6"/>
  <c r="H381" i="6"/>
  <c r="I381" i="6"/>
  <c r="L381" i="6"/>
  <c r="N381" i="6"/>
  <c r="Q381" i="6"/>
  <c r="R381" i="6"/>
  <c r="S381" i="6"/>
  <c r="T381" i="6"/>
  <c r="C382" i="6"/>
  <c r="D382" i="6"/>
  <c r="E382" i="6"/>
  <c r="F382" i="6"/>
  <c r="H382" i="6"/>
  <c r="I382" i="6"/>
  <c r="L382" i="6"/>
  <c r="N382" i="6"/>
  <c r="Q382" i="6"/>
  <c r="R382" i="6"/>
  <c r="S382" i="6"/>
  <c r="T382" i="6"/>
  <c r="C383" i="6"/>
  <c r="D383" i="6"/>
  <c r="E383" i="6"/>
  <c r="F383" i="6"/>
  <c r="H383" i="6"/>
  <c r="I383" i="6"/>
  <c r="L383" i="6"/>
  <c r="N383" i="6"/>
  <c r="Q383" i="6"/>
  <c r="R383" i="6"/>
  <c r="S383" i="6"/>
  <c r="T383" i="6"/>
  <c r="C384" i="6"/>
  <c r="D384" i="6"/>
  <c r="E384" i="6"/>
  <c r="F384" i="6"/>
  <c r="H384" i="6"/>
  <c r="I384" i="6"/>
  <c r="L384" i="6"/>
  <c r="N384" i="6"/>
  <c r="Q384" i="6"/>
  <c r="R384" i="6"/>
  <c r="S384" i="6"/>
  <c r="T384" i="6"/>
  <c r="C385" i="6"/>
  <c r="D385" i="6"/>
  <c r="E385" i="6"/>
  <c r="F385" i="6"/>
  <c r="H385" i="6"/>
  <c r="I385" i="6"/>
  <c r="L385" i="6"/>
  <c r="N385" i="6"/>
  <c r="Q385" i="6"/>
  <c r="R385" i="6"/>
  <c r="S385" i="6"/>
  <c r="T385" i="6"/>
  <c r="C386" i="6"/>
  <c r="D386" i="6"/>
  <c r="E386" i="6"/>
  <c r="F386" i="6"/>
  <c r="H386" i="6"/>
  <c r="I386" i="6"/>
  <c r="L386" i="6"/>
  <c r="N386" i="6"/>
  <c r="Q386" i="6"/>
  <c r="R386" i="6"/>
  <c r="S386" i="6"/>
  <c r="T386" i="6"/>
  <c r="C387" i="6"/>
  <c r="D387" i="6"/>
  <c r="E387" i="6"/>
  <c r="F387" i="6"/>
  <c r="H387" i="6"/>
  <c r="I387" i="6"/>
  <c r="L387" i="6"/>
  <c r="N387" i="6"/>
  <c r="Q387" i="6"/>
  <c r="R387" i="6"/>
  <c r="S387" i="6"/>
  <c r="T387" i="6"/>
  <c r="C388" i="6"/>
  <c r="D388" i="6"/>
  <c r="E388" i="6"/>
  <c r="F388" i="6"/>
  <c r="H388" i="6"/>
  <c r="I388" i="6"/>
  <c r="L388" i="6"/>
  <c r="N388" i="6"/>
  <c r="Q388" i="6"/>
  <c r="R388" i="6"/>
  <c r="S388" i="6"/>
  <c r="T388" i="6"/>
  <c r="C389" i="6"/>
  <c r="D389" i="6"/>
  <c r="E389" i="6"/>
  <c r="F389" i="6"/>
  <c r="H389" i="6"/>
  <c r="I389" i="6"/>
  <c r="L389" i="6"/>
  <c r="N389" i="6"/>
  <c r="Q389" i="6"/>
  <c r="R389" i="6"/>
  <c r="S389" i="6"/>
  <c r="T389" i="6"/>
  <c r="C390" i="6"/>
  <c r="D390" i="6"/>
  <c r="E390" i="6"/>
  <c r="F390" i="6"/>
  <c r="H390" i="6"/>
  <c r="I390" i="6"/>
  <c r="L390" i="6"/>
  <c r="N390" i="6"/>
  <c r="Q390" i="6"/>
  <c r="R390" i="6"/>
  <c r="S390" i="6"/>
  <c r="T390" i="6"/>
  <c r="C391" i="6"/>
  <c r="D391" i="6"/>
  <c r="E391" i="6"/>
  <c r="F391" i="6"/>
  <c r="H391" i="6"/>
  <c r="I391" i="6"/>
  <c r="L391" i="6"/>
  <c r="N391" i="6"/>
  <c r="Q391" i="6"/>
  <c r="R391" i="6"/>
  <c r="S391" i="6"/>
  <c r="T391" i="6"/>
  <c r="C392" i="6"/>
  <c r="D392" i="6"/>
  <c r="E392" i="6"/>
  <c r="F392" i="6"/>
  <c r="H392" i="6"/>
  <c r="I392" i="6"/>
  <c r="L392" i="6"/>
  <c r="N392" i="6"/>
  <c r="Q392" i="6"/>
  <c r="R392" i="6"/>
  <c r="S392" i="6"/>
  <c r="T392" i="6"/>
  <c r="C393" i="6"/>
  <c r="D393" i="6"/>
  <c r="E393" i="6"/>
  <c r="F393" i="6"/>
  <c r="H393" i="6"/>
  <c r="I393" i="6"/>
  <c r="L393" i="6"/>
  <c r="N393" i="6"/>
  <c r="Q393" i="6"/>
  <c r="R393" i="6"/>
  <c r="S393" i="6"/>
  <c r="T393" i="6"/>
  <c r="C394" i="6"/>
  <c r="D394" i="6"/>
  <c r="E394" i="6"/>
  <c r="F394" i="6"/>
  <c r="H394" i="6"/>
  <c r="I394" i="6"/>
  <c r="L394" i="6"/>
  <c r="N394" i="6"/>
  <c r="Q394" i="6"/>
  <c r="R394" i="6"/>
  <c r="S394" i="6"/>
  <c r="T394" i="6"/>
  <c r="C395" i="6"/>
  <c r="D395" i="6"/>
  <c r="E395" i="6"/>
  <c r="F395" i="6"/>
  <c r="H395" i="6"/>
  <c r="I395" i="6"/>
  <c r="L395" i="6"/>
  <c r="N395" i="6"/>
  <c r="Q395" i="6"/>
  <c r="R395" i="6"/>
  <c r="S395" i="6"/>
  <c r="T395" i="6"/>
  <c r="C396" i="6"/>
  <c r="D396" i="6"/>
  <c r="E396" i="6"/>
  <c r="F396" i="6"/>
  <c r="H396" i="6"/>
  <c r="I396" i="6"/>
  <c r="L396" i="6"/>
  <c r="N396" i="6"/>
  <c r="Q396" i="6"/>
  <c r="R396" i="6"/>
  <c r="S396" i="6"/>
  <c r="T396" i="6"/>
  <c r="C397" i="6"/>
  <c r="D397" i="6"/>
  <c r="E397" i="6"/>
  <c r="F397" i="6"/>
  <c r="H397" i="6"/>
  <c r="I397" i="6"/>
  <c r="L397" i="6"/>
  <c r="N397" i="6"/>
  <c r="Q397" i="6"/>
  <c r="R397" i="6"/>
  <c r="S397" i="6"/>
  <c r="T397" i="6"/>
  <c r="C398" i="6"/>
  <c r="D398" i="6"/>
  <c r="E398" i="6"/>
  <c r="F398" i="6"/>
  <c r="H398" i="6"/>
  <c r="I398" i="6"/>
  <c r="L398" i="6"/>
  <c r="N398" i="6"/>
  <c r="Q398" i="6"/>
  <c r="R398" i="6"/>
  <c r="S398" i="6"/>
  <c r="T398" i="6"/>
  <c r="C399" i="6"/>
  <c r="D399" i="6"/>
  <c r="E399" i="6"/>
  <c r="F399" i="6"/>
  <c r="H399" i="6"/>
  <c r="I399" i="6"/>
  <c r="L399" i="6"/>
  <c r="N399" i="6"/>
  <c r="Q399" i="6"/>
  <c r="R399" i="6"/>
  <c r="S399" i="6"/>
  <c r="T399" i="6"/>
  <c r="C400" i="6"/>
  <c r="D400" i="6"/>
  <c r="E400" i="6"/>
  <c r="F400" i="6"/>
  <c r="H400" i="6"/>
  <c r="I400" i="6"/>
  <c r="L400" i="6"/>
  <c r="N400" i="6"/>
  <c r="Q400" i="6"/>
  <c r="R400" i="6"/>
  <c r="S400" i="6"/>
  <c r="T400" i="6"/>
  <c r="C401" i="6"/>
  <c r="D401" i="6"/>
  <c r="E401" i="6"/>
  <c r="F401" i="6"/>
  <c r="H401" i="6"/>
  <c r="I401" i="6"/>
  <c r="L401" i="6"/>
  <c r="N401" i="6"/>
  <c r="Q401" i="6"/>
  <c r="R401" i="6"/>
  <c r="S401" i="6"/>
  <c r="T401" i="6"/>
  <c r="C402" i="6"/>
  <c r="D402" i="6"/>
  <c r="E402" i="6"/>
  <c r="F402" i="6"/>
  <c r="H402" i="6"/>
  <c r="I402" i="6"/>
  <c r="L402" i="6"/>
  <c r="N402" i="6"/>
  <c r="Q402" i="6"/>
  <c r="R402" i="6"/>
  <c r="S402" i="6"/>
  <c r="T402" i="6"/>
  <c r="C403" i="6"/>
  <c r="D403" i="6"/>
  <c r="E403" i="6"/>
  <c r="F403" i="6"/>
  <c r="H403" i="6"/>
  <c r="I403" i="6"/>
  <c r="L403" i="6"/>
  <c r="N403" i="6"/>
  <c r="Q403" i="6"/>
  <c r="R403" i="6"/>
  <c r="S403" i="6"/>
  <c r="T403" i="6"/>
  <c r="C404" i="6"/>
  <c r="D404" i="6"/>
  <c r="E404" i="6"/>
  <c r="F404" i="6"/>
  <c r="H404" i="6"/>
  <c r="I404" i="6"/>
  <c r="L404" i="6"/>
  <c r="N404" i="6"/>
  <c r="Q404" i="6"/>
  <c r="R404" i="6"/>
  <c r="S404" i="6"/>
  <c r="T404" i="6"/>
  <c r="C405" i="6"/>
  <c r="D405" i="6"/>
  <c r="E405" i="6"/>
  <c r="F405" i="6"/>
  <c r="H405" i="6"/>
  <c r="I405" i="6"/>
  <c r="L405" i="6"/>
  <c r="N405" i="6"/>
  <c r="Q405" i="6"/>
  <c r="R405" i="6"/>
  <c r="S405" i="6"/>
  <c r="T405" i="6"/>
  <c r="C406" i="6"/>
  <c r="D406" i="6"/>
  <c r="E406" i="6"/>
  <c r="F406" i="6"/>
  <c r="H406" i="6"/>
  <c r="I406" i="6"/>
  <c r="L406" i="6"/>
  <c r="N406" i="6"/>
  <c r="Q406" i="6"/>
  <c r="R406" i="6"/>
  <c r="S406" i="6"/>
  <c r="T406" i="6"/>
  <c r="C407" i="6"/>
  <c r="D407" i="6"/>
  <c r="E407" i="6"/>
  <c r="F407" i="6"/>
  <c r="H407" i="6"/>
  <c r="I407" i="6"/>
  <c r="L407" i="6"/>
  <c r="N407" i="6"/>
  <c r="Q407" i="6"/>
  <c r="R407" i="6"/>
  <c r="S407" i="6"/>
  <c r="T407" i="6"/>
  <c r="C408" i="6"/>
  <c r="D408" i="6"/>
  <c r="E408" i="6"/>
  <c r="F408" i="6"/>
  <c r="H408" i="6"/>
  <c r="I408" i="6"/>
  <c r="L408" i="6"/>
  <c r="N408" i="6"/>
  <c r="Q408" i="6"/>
  <c r="R408" i="6"/>
  <c r="S408" i="6"/>
  <c r="T408" i="6"/>
  <c r="C409" i="6"/>
  <c r="D409" i="6"/>
  <c r="E409" i="6"/>
  <c r="F409" i="6"/>
  <c r="H409" i="6"/>
  <c r="I409" i="6"/>
  <c r="L409" i="6"/>
  <c r="N409" i="6"/>
  <c r="Q409" i="6"/>
  <c r="R409" i="6"/>
  <c r="S409" i="6"/>
  <c r="T409" i="6"/>
  <c r="C410" i="6"/>
  <c r="D410" i="6"/>
  <c r="E410" i="6"/>
  <c r="F410" i="6"/>
  <c r="H410" i="6"/>
  <c r="I410" i="6"/>
  <c r="L410" i="6"/>
  <c r="N410" i="6"/>
  <c r="Q410" i="6"/>
  <c r="R410" i="6"/>
  <c r="S410" i="6"/>
  <c r="T410" i="6"/>
  <c r="C411" i="6"/>
  <c r="D411" i="6"/>
  <c r="E411" i="6"/>
  <c r="F411" i="6"/>
  <c r="H411" i="6"/>
  <c r="I411" i="6"/>
  <c r="L411" i="6"/>
  <c r="N411" i="6"/>
  <c r="Q411" i="6"/>
  <c r="R411" i="6"/>
  <c r="S411" i="6"/>
  <c r="T411" i="6"/>
  <c r="C412" i="6"/>
  <c r="D412" i="6"/>
  <c r="E412" i="6"/>
  <c r="F412" i="6"/>
  <c r="H412" i="6"/>
  <c r="I412" i="6"/>
  <c r="L412" i="6"/>
  <c r="N412" i="6"/>
  <c r="Q412" i="6"/>
  <c r="R412" i="6"/>
  <c r="S412" i="6"/>
  <c r="T412" i="6"/>
  <c r="C413" i="6"/>
  <c r="D413" i="6"/>
  <c r="E413" i="6"/>
  <c r="F413" i="6"/>
  <c r="H413" i="6"/>
  <c r="I413" i="6"/>
  <c r="L413" i="6"/>
  <c r="N413" i="6"/>
  <c r="Q413" i="6"/>
  <c r="R413" i="6"/>
  <c r="S413" i="6"/>
  <c r="T413" i="6"/>
  <c r="C414" i="6"/>
  <c r="D414" i="6"/>
  <c r="E414" i="6"/>
  <c r="F414" i="6"/>
  <c r="H414" i="6"/>
  <c r="I414" i="6"/>
  <c r="L414" i="6"/>
  <c r="N414" i="6"/>
  <c r="Q414" i="6"/>
  <c r="R414" i="6"/>
  <c r="S414" i="6"/>
  <c r="T414" i="6"/>
  <c r="C415" i="6"/>
  <c r="D415" i="6"/>
  <c r="E415" i="6"/>
  <c r="F415" i="6"/>
  <c r="H415" i="6"/>
  <c r="I415" i="6"/>
  <c r="L415" i="6"/>
  <c r="N415" i="6"/>
  <c r="Q415" i="6"/>
  <c r="R415" i="6"/>
  <c r="S415" i="6"/>
  <c r="T415" i="6"/>
  <c r="C416" i="6"/>
  <c r="D416" i="6"/>
  <c r="E416" i="6"/>
  <c r="F416" i="6"/>
  <c r="H416" i="6"/>
  <c r="I416" i="6"/>
  <c r="L416" i="6"/>
  <c r="N416" i="6"/>
  <c r="Q416" i="6"/>
  <c r="R416" i="6"/>
  <c r="S416" i="6"/>
  <c r="T416" i="6"/>
  <c r="C417" i="6"/>
  <c r="D417" i="6"/>
  <c r="E417" i="6"/>
  <c r="F417" i="6"/>
  <c r="H417" i="6"/>
  <c r="I417" i="6"/>
  <c r="L417" i="6"/>
  <c r="N417" i="6"/>
  <c r="Q417" i="6"/>
  <c r="R417" i="6"/>
  <c r="S417" i="6"/>
  <c r="T417" i="6"/>
  <c r="C418" i="6"/>
  <c r="D418" i="6"/>
  <c r="E418" i="6"/>
  <c r="F418" i="6"/>
  <c r="H418" i="6"/>
  <c r="I418" i="6"/>
  <c r="L418" i="6"/>
  <c r="N418" i="6"/>
  <c r="Q418" i="6"/>
  <c r="R418" i="6"/>
  <c r="S418" i="6"/>
  <c r="T418" i="6"/>
  <c r="C419" i="6"/>
  <c r="D419" i="6"/>
  <c r="E419" i="6"/>
  <c r="F419" i="6"/>
  <c r="H419" i="6"/>
  <c r="I419" i="6"/>
  <c r="L419" i="6"/>
  <c r="N419" i="6"/>
  <c r="Q419" i="6"/>
  <c r="R419" i="6"/>
  <c r="S419" i="6"/>
  <c r="T419" i="6"/>
  <c r="C420" i="6"/>
  <c r="D420" i="6"/>
  <c r="E420" i="6"/>
  <c r="F420" i="6"/>
  <c r="H420" i="6"/>
  <c r="I420" i="6"/>
  <c r="L420" i="6"/>
  <c r="N420" i="6"/>
  <c r="Q420" i="6"/>
  <c r="R420" i="6"/>
  <c r="S420" i="6"/>
  <c r="T420" i="6"/>
  <c r="C421" i="6"/>
  <c r="D421" i="6"/>
  <c r="E421" i="6"/>
  <c r="F421" i="6"/>
  <c r="H421" i="6"/>
  <c r="I421" i="6"/>
  <c r="L421" i="6"/>
  <c r="N421" i="6"/>
  <c r="Q421" i="6"/>
  <c r="R421" i="6"/>
  <c r="S421" i="6"/>
  <c r="T421" i="6"/>
  <c r="C422" i="6"/>
  <c r="D422" i="6"/>
  <c r="E422" i="6"/>
  <c r="F422" i="6"/>
  <c r="H422" i="6"/>
  <c r="I422" i="6"/>
  <c r="L422" i="6"/>
  <c r="N422" i="6"/>
  <c r="Q422" i="6"/>
  <c r="R422" i="6"/>
  <c r="S422" i="6"/>
  <c r="T422" i="6"/>
  <c r="C423" i="6"/>
  <c r="D423" i="6"/>
  <c r="E423" i="6"/>
  <c r="F423" i="6"/>
  <c r="H423" i="6"/>
  <c r="I423" i="6"/>
  <c r="L423" i="6"/>
  <c r="N423" i="6"/>
  <c r="Q423" i="6"/>
  <c r="R423" i="6"/>
  <c r="S423" i="6"/>
  <c r="T423" i="6"/>
  <c r="C424" i="6"/>
  <c r="D424" i="6"/>
  <c r="E424" i="6"/>
  <c r="F424" i="6"/>
  <c r="H424" i="6"/>
  <c r="I424" i="6"/>
  <c r="L424" i="6"/>
  <c r="N424" i="6"/>
  <c r="Q424" i="6"/>
  <c r="R424" i="6"/>
  <c r="S424" i="6"/>
  <c r="T424" i="6"/>
  <c r="C425" i="6"/>
  <c r="D425" i="6"/>
  <c r="E425" i="6"/>
  <c r="F425" i="6"/>
  <c r="H425" i="6"/>
  <c r="I425" i="6"/>
  <c r="L425" i="6"/>
  <c r="N425" i="6"/>
  <c r="Q425" i="6"/>
  <c r="R425" i="6"/>
  <c r="S425" i="6"/>
  <c r="T425" i="6"/>
  <c r="C426" i="6"/>
  <c r="D426" i="6"/>
  <c r="E426" i="6"/>
  <c r="F426" i="6"/>
  <c r="H426" i="6"/>
  <c r="I426" i="6"/>
  <c r="L426" i="6"/>
  <c r="N426" i="6"/>
  <c r="Q426" i="6"/>
  <c r="R426" i="6"/>
  <c r="S426" i="6"/>
  <c r="T426" i="6"/>
  <c r="C427" i="6"/>
  <c r="D427" i="6"/>
  <c r="E427" i="6"/>
  <c r="F427" i="6"/>
  <c r="H427" i="6"/>
  <c r="I427" i="6"/>
  <c r="L427" i="6"/>
  <c r="N427" i="6"/>
  <c r="Q427" i="6"/>
  <c r="R427" i="6"/>
  <c r="S427" i="6"/>
  <c r="T427" i="6"/>
  <c r="C428" i="6"/>
  <c r="D428" i="6"/>
  <c r="E428" i="6"/>
  <c r="F428" i="6"/>
  <c r="H428" i="6"/>
  <c r="I428" i="6"/>
  <c r="L428" i="6"/>
  <c r="N428" i="6"/>
  <c r="Q428" i="6"/>
  <c r="R428" i="6"/>
  <c r="S428" i="6"/>
  <c r="T428" i="6"/>
  <c r="C429" i="6"/>
  <c r="D429" i="6"/>
  <c r="E429" i="6"/>
  <c r="F429" i="6"/>
  <c r="H429" i="6"/>
  <c r="I429" i="6"/>
  <c r="L429" i="6"/>
  <c r="N429" i="6"/>
  <c r="Q429" i="6"/>
  <c r="R429" i="6"/>
  <c r="S429" i="6"/>
  <c r="T429" i="6"/>
  <c r="C430" i="6"/>
  <c r="D430" i="6"/>
  <c r="E430" i="6"/>
  <c r="F430" i="6"/>
  <c r="H430" i="6"/>
  <c r="I430" i="6"/>
  <c r="L430" i="6"/>
  <c r="N430" i="6"/>
  <c r="Q430" i="6"/>
  <c r="R430" i="6"/>
  <c r="S430" i="6"/>
  <c r="T430" i="6"/>
  <c r="C431" i="6"/>
  <c r="D431" i="6"/>
  <c r="E431" i="6"/>
  <c r="F431" i="6"/>
  <c r="H431" i="6"/>
  <c r="I431" i="6"/>
  <c r="L431" i="6"/>
  <c r="N431" i="6"/>
  <c r="Q431" i="6"/>
  <c r="R431" i="6"/>
  <c r="S431" i="6"/>
  <c r="T431" i="6"/>
  <c r="C432" i="6"/>
  <c r="D432" i="6"/>
  <c r="E432" i="6"/>
  <c r="F432" i="6"/>
  <c r="H432" i="6"/>
  <c r="I432" i="6"/>
  <c r="L432" i="6"/>
  <c r="N432" i="6"/>
  <c r="Q432" i="6"/>
  <c r="R432" i="6"/>
  <c r="S432" i="6"/>
  <c r="T432" i="6"/>
  <c r="C433" i="6"/>
  <c r="D433" i="6"/>
  <c r="E433" i="6"/>
  <c r="F433" i="6"/>
  <c r="H433" i="6"/>
  <c r="I433" i="6"/>
  <c r="L433" i="6"/>
  <c r="N433" i="6"/>
  <c r="Q433" i="6"/>
  <c r="R433" i="6"/>
  <c r="S433" i="6"/>
  <c r="T433" i="6"/>
  <c r="C434" i="6"/>
  <c r="D434" i="6"/>
  <c r="E434" i="6"/>
  <c r="F434" i="6"/>
  <c r="H434" i="6"/>
  <c r="I434" i="6"/>
  <c r="L434" i="6"/>
  <c r="N434" i="6"/>
  <c r="Q434" i="6"/>
  <c r="R434" i="6"/>
  <c r="S434" i="6"/>
  <c r="T434" i="6"/>
  <c r="C435" i="6"/>
  <c r="D435" i="6"/>
  <c r="E435" i="6"/>
  <c r="F435" i="6"/>
  <c r="H435" i="6"/>
  <c r="I435" i="6"/>
  <c r="L435" i="6"/>
  <c r="N435" i="6"/>
  <c r="Q435" i="6"/>
  <c r="R435" i="6"/>
  <c r="S435" i="6"/>
  <c r="T435" i="6"/>
  <c r="C436" i="6"/>
  <c r="D436" i="6"/>
  <c r="E436" i="6"/>
  <c r="F436" i="6"/>
  <c r="H436" i="6"/>
  <c r="I436" i="6"/>
  <c r="L436" i="6"/>
  <c r="N436" i="6"/>
  <c r="Q436" i="6"/>
  <c r="R436" i="6"/>
  <c r="S436" i="6"/>
  <c r="T436" i="6"/>
  <c r="C437" i="6"/>
  <c r="D437" i="6"/>
  <c r="E437" i="6"/>
  <c r="F437" i="6"/>
  <c r="H437" i="6"/>
  <c r="I437" i="6"/>
  <c r="L437" i="6"/>
  <c r="N437" i="6"/>
  <c r="Q437" i="6"/>
  <c r="R437" i="6"/>
  <c r="S437" i="6"/>
  <c r="T437" i="6"/>
  <c r="C438" i="6"/>
  <c r="D438" i="6"/>
  <c r="E438" i="6"/>
  <c r="F438" i="6"/>
  <c r="H438" i="6"/>
  <c r="I438" i="6"/>
  <c r="L438" i="6"/>
  <c r="N438" i="6"/>
  <c r="Q438" i="6"/>
  <c r="R438" i="6"/>
  <c r="S438" i="6"/>
  <c r="T438" i="6"/>
  <c r="C439" i="6"/>
  <c r="D439" i="6"/>
  <c r="E439" i="6"/>
  <c r="F439" i="6"/>
  <c r="H439" i="6"/>
  <c r="I439" i="6"/>
  <c r="L439" i="6"/>
  <c r="N439" i="6"/>
  <c r="Q439" i="6"/>
  <c r="R439" i="6"/>
  <c r="S439" i="6"/>
  <c r="T439" i="6"/>
  <c r="C440" i="6"/>
  <c r="D440" i="6"/>
  <c r="E440" i="6"/>
  <c r="F440" i="6"/>
  <c r="H440" i="6"/>
  <c r="I440" i="6"/>
  <c r="L440" i="6"/>
  <c r="N440" i="6"/>
  <c r="Q440" i="6"/>
  <c r="R440" i="6"/>
  <c r="S440" i="6"/>
  <c r="T440" i="6"/>
  <c r="C441" i="6"/>
  <c r="D441" i="6"/>
  <c r="E441" i="6"/>
  <c r="F441" i="6"/>
  <c r="H441" i="6"/>
  <c r="I441" i="6"/>
  <c r="L441" i="6"/>
  <c r="N441" i="6"/>
  <c r="Q441" i="6"/>
  <c r="R441" i="6"/>
  <c r="S441" i="6"/>
  <c r="T441" i="6"/>
  <c r="C442" i="6"/>
  <c r="D442" i="6"/>
  <c r="E442" i="6"/>
  <c r="F442" i="6"/>
  <c r="H442" i="6"/>
  <c r="I442" i="6"/>
  <c r="L442" i="6"/>
  <c r="N442" i="6"/>
  <c r="Q442" i="6"/>
  <c r="R442" i="6"/>
  <c r="S442" i="6"/>
  <c r="T442" i="6"/>
  <c r="C443" i="6"/>
  <c r="D443" i="6"/>
  <c r="E443" i="6"/>
  <c r="F443" i="6"/>
  <c r="H443" i="6"/>
  <c r="I443" i="6"/>
  <c r="L443" i="6"/>
  <c r="N443" i="6"/>
  <c r="Q443" i="6"/>
  <c r="R443" i="6"/>
  <c r="S443" i="6"/>
  <c r="T443" i="6"/>
  <c r="C444" i="6"/>
  <c r="D444" i="6"/>
  <c r="E444" i="6"/>
  <c r="F444" i="6"/>
  <c r="H444" i="6"/>
  <c r="I444" i="6"/>
  <c r="L444" i="6"/>
  <c r="N444" i="6"/>
  <c r="Q444" i="6"/>
  <c r="R444" i="6"/>
  <c r="S444" i="6"/>
  <c r="T444" i="6"/>
  <c r="C445" i="6"/>
  <c r="D445" i="6"/>
  <c r="E445" i="6"/>
  <c r="F445" i="6"/>
  <c r="H445" i="6"/>
  <c r="I445" i="6"/>
  <c r="L445" i="6"/>
  <c r="N445" i="6"/>
  <c r="Q445" i="6"/>
  <c r="R445" i="6"/>
  <c r="S445" i="6"/>
  <c r="T445" i="6"/>
  <c r="C446" i="6"/>
  <c r="D446" i="6"/>
  <c r="E446" i="6"/>
  <c r="F446" i="6"/>
  <c r="H446" i="6"/>
  <c r="I446" i="6"/>
  <c r="L446" i="6"/>
  <c r="N446" i="6"/>
  <c r="Q446" i="6"/>
  <c r="R446" i="6"/>
  <c r="S446" i="6"/>
  <c r="T446" i="6"/>
  <c r="C447" i="6"/>
  <c r="D447" i="6"/>
  <c r="E447" i="6"/>
  <c r="F447" i="6"/>
  <c r="H447" i="6"/>
  <c r="I447" i="6"/>
  <c r="L447" i="6"/>
  <c r="N447" i="6"/>
  <c r="Q447" i="6"/>
  <c r="R447" i="6"/>
  <c r="S447" i="6"/>
  <c r="T447" i="6"/>
  <c r="C448" i="6"/>
  <c r="D448" i="6"/>
  <c r="E448" i="6"/>
  <c r="F448" i="6"/>
  <c r="H448" i="6"/>
  <c r="I448" i="6"/>
  <c r="L448" i="6"/>
  <c r="N448" i="6"/>
  <c r="Q448" i="6"/>
  <c r="R448" i="6"/>
  <c r="S448" i="6"/>
  <c r="T448" i="6"/>
  <c r="C449" i="6"/>
  <c r="D449" i="6"/>
  <c r="E449" i="6"/>
  <c r="F449" i="6"/>
  <c r="H449" i="6"/>
  <c r="I449" i="6"/>
  <c r="L449" i="6"/>
  <c r="N449" i="6"/>
  <c r="Q449" i="6"/>
  <c r="R449" i="6"/>
  <c r="S449" i="6"/>
  <c r="T449" i="6"/>
  <c r="C450" i="6"/>
  <c r="D450" i="6"/>
  <c r="E450" i="6"/>
  <c r="F450" i="6"/>
  <c r="H450" i="6"/>
  <c r="I450" i="6"/>
  <c r="L450" i="6"/>
  <c r="N450" i="6"/>
  <c r="Q450" i="6"/>
  <c r="R450" i="6"/>
  <c r="S450" i="6"/>
  <c r="T450" i="6"/>
  <c r="C451" i="6"/>
  <c r="D451" i="6"/>
  <c r="E451" i="6"/>
  <c r="F451" i="6"/>
  <c r="H451" i="6"/>
  <c r="I451" i="6"/>
  <c r="L451" i="6"/>
  <c r="N451" i="6"/>
  <c r="Q451" i="6"/>
  <c r="R451" i="6"/>
  <c r="S451" i="6"/>
  <c r="T451" i="6"/>
  <c r="C452" i="6"/>
  <c r="D452" i="6"/>
  <c r="E452" i="6"/>
  <c r="F452" i="6"/>
  <c r="H452" i="6"/>
  <c r="I452" i="6"/>
  <c r="L452" i="6"/>
  <c r="N452" i="6"/>
  <c r="Q452" i="6"/>
  <c r="R452" i="6"/>
  <c r="S452" i="6"/>
  <c r="T452" i="6"/>
  <c r="C453" i="6"/>
  <c r="D453" i="6"/>
  <c r="E453" i="6"/>
  <c r="F453" i="6"/>
  <c r="H453" i="6"/>
  <c r="I453" i="6"/>
  <c r="L453" i="6"/>
  <c r="N453" i="6"/>
  <c r="Q453" i="6"/>
  <c r="R453" i="6"/>
  <c r="S453" i="6"/>
  <c r="T453" i="6"/>
  <c r="C454" i="6"/>
  <c r="D454" i="6"/>
  <c r="E454" i="6"/>
  <c r="F454" i="6"/>
  <c r="H454" i="6"/>
  <c r="I454" i="6"/>
  <c r="L454" i="6"/>
  <c r="N454" i="6"/>
  <c r="Q454" i="6"/>
  <c r="R454" i="6"/>
  <c r="S454" i="6"/>
  <c r="T454" i="6"/>
  <c r="C455" i="6"/>
  <c r="D455" i="6"/>
  <c r="E455" i="6"/>
  <c r="F455" i="6"/>
  <c r="H455" i="6"/>
  <c r="I455" i="6"/>
  <c r="L455" i="6"/>
  <c r="N455" i="6"/>
  <c r="Q455" i="6"/>
  <c r="R455" i="6"/>
  <c r="S455" i="6"/>
  <c r="T455" i="6"/>
  <c r="C456" i="6"/>
  <c r="D456" i="6"/>
  <c r="E456" i="6"/>
  <c r="F456" i="6"/>
  <c r="H456" i="6"/>
  <c r="I456" i="6"/>
  <c r="L456" i="6"/>
  <c r="N456" i="6"/>
  <c r="Q456" i="6"/>
  <c r="R456" i="6"/>
  <c r="S456" i="6"/>
  <c r="T456" i="6"/>
  <c r="C457" i="6"/>
  <c r="D457" i="6"/>
  <c r="E457" i="6"/>
  <c r="F457" i="6"/>
  <c r="H457" i="6"/>
  <c r="I457" i="6"/>
  <c r="L457" i="6"/>
  <c r="N457" i="6"/>
  <c r="Q457" i="6"/>
  <c r="R457" i="6"/>
  <c r="S457" i="6"/>
  <c r="T457" i="6"/>
  <c r="C458" i="6"/>
  <c r="D458" i="6"/>
  <c r="E458" i="6"/>
  <c r="F458" i="6"/>
  <c r="H458" i="6"/>
  <c r="I458" i="6"/>
  <c r="L458" i="6"/>
  <c r="N458" i="6"/>
  <c r="Q458" i="6"/>
  <c r="R458" i="6"/>
  <c r="S458" i="6"/>
  <c r="T458" i="6"/>
  <c r="C459" i="6"/>
  <c r="D459" i="6"/>
  <c r="E459" i="6"/>
  <c r="F459" i="6"/>
  <c r="H459" i="6"/>
  <c r="I459" i="6"/>
  <c r="L459" i="6"/>
  <c r="N459" i="6"/>
  <c r="Q459" i="6"/>
  <c r="R459" i="6"/>
  <c r="S459" i="6"/>
  <c r="T459" i="6"/>
  <c r="C460" i="6"/>
  <c r="D460" i="6"/>
  <c r="E460" i="6"/>
  <c r="F460" i="6"/>
  <c r="H460" i="6"/>
  <c r="I460" i="6"/>
  <c r="L460" i="6"/>
  <c r="N460" i="6"/>
  <c r="Q460" i="6"/>
  <c r="R460" i="6"/>
  <c r="S460" i="6"/>
  <c r="T460" i="6"/>
  <c r="C461" i="6"/>
  <c r="D461" i="6"/>
  <c r="E461" i="6"/>
  <c r="F461" i="6"/>
  <c r="H461" i="6"/>
  <c r="I461" i="6"/>
  <c r="L461" i="6"/>
  <c r="N461" i="6"/>
  <c r="Q461" i="6"/>
  <c r="R461" i="6"/>
  <c r="S461" i="6"/>
  <c r="T461" i="6"/>
  <c r="C462" i="6"/>
  <c r="D462" i="6"/>
  <c r="E462" i="6"/>
  <c r="F462" i="6"/>
  <c r="H462" i="6"/>
  <c r="I462" i="6"/>
  <c r="L462" i="6"/>
  <c r="N462" i="6"/>
  <c r="Q462" i="6"/>
  <c r="R462" i="6"/>
  <c r="S462" i="6"/>
  <c r="T462" i="6"/>
  <c r="C463" i="6"/>
  <c r="D463" i="6"/>
  <c r="E463" i="6"/>
  <c r="F463" i="6"/>
  <c r="H463" i="6"/>
  <c r="I463" i="6"/>
  <c r="L463" i="6"/>
  <c r="N463" i="6"/>
  <c r="Q463" i="6"/>
  <c r="R463" i="6"/>
  <c r="S463" i="6"/>
  <c r="T463" i="6"/>
  <c r="C464" i="6"/>
  <c r="D464" i="6"/>
  <c r="E464" i="6"/>
  <c r="F464" i="6"/>
  <c r="H464" i="6"/>
  <c r="I464" i="6"/>
  <c r="L464" i="6"/>
  <c r="N464" i="6"/>
  <c r="Q464" i="6"/>
  <c r="R464" i="6"/>
  <c r="S464" i="6"/>
  <c r="T464" i="6"/>
  <c r="C465" i="6"/>
  <c r="D465" i="6"/>
  <c r="E465" i="6"/>
  <c r="F465" i="6"/>
  <c r="H465" i="6"/>
  <c r="I465" i="6"/>
  <c r="L465" i="6"/>
  <c r="N465" i="6"/>
  <c r="Q465" i="6"/>
  <c r="R465" i="6"/>
  <c r="S465" i="6"/>
  <c r="T465" i="6"/>
  <c r="C466" i="6"/>
  <c r="D466" i="6"/>
  <c r="E466" i="6"/>
  <c r="F466" i="6"/>
  <c r="H466" i="6"/>
  <c r="I466" i="6"/>
  <c r="L466" i="6"/>
  <c r="N466" i="6"/>
  <c r="Q466" i="6"/>
  <c r="R466" i="6"/>
  <c r="S466" i="6"/>
  <c r="T466" i="6"/>
  <c r="C467" i="6"/>
  <c r="D467" i="6"/>
  <c r="E467" i="6"/>
  <c r="F467" i="6"/>
  <c r="H467" i="6"/>
  <c r="I467" i="6"/>
  <c r="L467" i="6"/>
  <c r="N467" i="6"/>
  <c r="Q467" i="6"/>
  <c r="R467" i="6"/>
  <c r="S467" i="6"/>
  <c r="T467" i="6"/>
  <c r="C468" i="6"/>
  <c r="D468" i="6"/>
  <c r="E468" i="6"/>
  <c r="F468" i="6"/>
  <c r="H468" i="6"/>
  <c r="I468" i="6"/>
  <c r="L468" i="6"/>
  <c r="N468" i="6"/>
  <c r="Q468" i="6"/>
  <c r="R468" i="6"/>
  <c r="S468" i="6"/>
  <c r="T468" i="6"/>
  <c r="C469" i="6"/>
  <c r="D469" i="6"/>
  <c r="E469" i="6"/>
  <c r="F469" i="6"/>
  <c r="H469" i="6"/>
  <c r="I469" i="6"/>
  <c r="L469" i="6"/>
  <c r="N469" i="6"/>
  <c r="Q469" i="6"/>
  <c r="R469" i="6"/>
  <c r="S469" i="6"/>
  <c r="T469" i="6"/>
  <c r="C470" i="6"/>
  <c r="D470" i="6"/>
  <c r="E470" i="6"/>
  <c r="F470" i="6"/>
  <c r="H470" i="6"/>
  <c r="I470" i="6"/>
  <c r="L470" i="6"/>
  <c r="N470" i="6"/>
  <c r="Q470" i="6"/>
  <c r="R470" i="6"/>
  <c r="S470" i="6"/>
  <c r="T470" i="6"/>
  <c r="C471" i="6"/>
  <c r="D471" i="6"/>
  <c r="E471" i="6"/>
  <c r="F471" i="6"/>
  <c r="H471" i="6"/>
  <c r="I471" i="6"/>
  <c r="L471" i="6"/>
  <c r="N471" i="6"/>
  <c r="Q471" i="6"/>
  <c r="R471" i="6"/>
  <c r="S471" i="6"/>
  <c r="T471" i="6"/>
  <c r="C472" i="6"/>
  <c r="D472" i="6"/>
  <c r="E472" i="6"/>
  <c r="F472" i="6"/>
  <c r="H472" i="6"/>
  <c r="I472" i="6"/>
  <c r="L472" i="6"/>
  <c r="N472" i="6"/>
  <c r="Q472" i="6"/>
  <c r="R472" i="6"/>
  <c r="S472" i="6"/>
  <c r="T472" i="6"/>
  <c r="C473" i="6"/>
  <c r="D473" i="6"/>
  <c r="E473" i="6"/>
  <c r="F473" i="6"/>
  <c r="H473" i="6"/>
  <c r="I473" i="6"/>
  <c r="L473" i="6"/>
  <c r="N473" i="6"/>
  <c r="Q473" i="6"/>
  <c r="R473" i="6"/>
  <c r="S473" i="6"/>
  <c r="T473" i="6"/>
  <c r="C474" i="6"/>
  <c r="D474" i="6"/>
  <c r="E474" i="6"/>
  <c r="F474" i="6"/>
  <c r="H474" i="6"/>
  <c r="I474" i="6"/>
  <c r="L474" i="6"/>
  <c r="N474" i="6"/>
  <c r="Q474" i="6"/>
  <c r="R474" i="6"/>
  <c r="S474" i="6"/>
  <c r="T474" i="6"/>
  <c r="C475" i="6"/>
  <c r="D475" i="6"/>
  <c r="E475" i="6"/>
  <c r="F475" i="6"/>
  <c r="H475" i="6"/>
  <c r="I475" i="6"/>
  <c r="L475" i="6"/>
  <c r="N475" i="6"/>
  <c r="Q475" i="6"/>
  <c r="R475" i="6"/>
  <c r="S475" i="6"/>
  <c r="T475" i="6"/>
  <c r="C476" i="6"/>
  <c r="D476" i="6"/>
  <c r="E476" i="6"/>
  <c r="F476" i="6"/>
  <c r="H476" i="6"/>
  <c r="I476" i="6"/>
  <c r="L476" i="6"/>
  <c r="N476" i="6"/>
  <c r="Q476" i="6"/>
  <c r="R476" i="6"/>
  <c r="S476" i="6"/>
  <c r="T476" i="6"/>
  <c r="C477" i="6"/>
  <c r="D477" i="6"/>
  <c r="E477" i="6"/>
  <c r="F477" i="6"/>
  <c r="H477" i="6"/>
  <c r="I477" i="6"/>
  <c r="L477" i="6"/>
  <c r="N477" i="6"/>
  <c r="Q477" i="6"/>
  <c r="R477" i="6"/>
  <c r="S477" i="6"/>
  <c r="T477" i="6"/>
  <c r="C478" i="6"/>
  <c r="D478" i="6"/>
  <c r="E478" i="6"/>
  <c r="F478" i="6"/>
  <c r="H478" i="6"/>
  <c r="I478" i="6"/>
  <c r="L478" i="6"/>
  <c r="N478" i="6"/>
  <c r="Q478" i="6"/>
  <c r="R478" i="6"/>
  <c r="S478" i="6"/>
  <c r="T478" i="6"/>
  <c r="C479" i="6"/>
  <c r="D479" i="6"/>
  <c r="E479" i="6"/>
  <c r="F479" i="6"/>
  <c r="H479" i="6"/>
  <c r="I479" i="6"/>
  <c r="L479" i="6"/>
  <c r="N479" i="6"/>
  <c r="Q479" i="6"/>
  <c r="R479" i="6"/>
  <c r="S479" i="6"/>
  <c r="T479" i="6"/>
  <c r="C480" i="6"/>
  <c r="D480" i="6"/>
  <c r="E480" i="6"/>
  <c r="F480" i="6"/>
  <c r="H480" i="6"/>
  <c r="I480" i="6"/>
  <c r="L480" i="6"/>
  <c r="N480" i="6"/>
  <c r="Q480" i="6"/>
  <c r="R480" i="6"/>
  <c r="S480" i="6"/>
  <c r="T480" i="6"/>
  <c r="C481" i="6"/>
  <c r="D481" i="6"/>
  <c r="E481" i="6"/>
  <c r="F481" i="6"/>
  <c r="H481" i="6"/>
  <c r="I481" i="6"/>
  <c r="L481" i="6"/>
  <c r="N481" i="6"/>
  <c r="Q481" i="6"/>
  <c r="R481" i="6"/>
  <c r="S481" i="6"/>
  <c r="T481" i="6"/>
  <c r="C482" i="6"/>
  <c r="D482" i="6"/>
  <c r="E482" i="6"/>
  <c r="F482" i="6"/>
  <c r="H482" i="6"/>
  <c r="I482" i="6"/>
  <c r="L482" i="6"/>
  <c r="N482" i="6"/>
  <c r="Q482" i="6"/>
  <c r="R482" i="6"/>
  <c r="S482" i="6"/>
  <c r="T482" i="6"/>
  <c r="C483" i="6"/>
  <c r="D483" i="6"/>
  <c r="E483" i="6"/>
  <c r="F483" i="6"/>
  <c r="H483" i="6"/>
  <c r="I483" i="6"/>
  <c r="L483" i="6"/>
  <c r="N483" i="6"/>
  <c r="Q483" i="6"/>
  <c r="R483" i="6"/>
  <c r="S483" i="6"/>
  <c r="T483" i="6"/>
  <c r="C484" i="6"/>
  <c r="D484" i="6"/>
  <c r="E484" i="6"/>
  <c r="F484" i="6"/>
  <c r="H484" i="6"/>
  <c r="I484" i="6"/>
  <c r="L484" i="6"/>
  <c r="N484" i="6"/>
  <c r="Q484" i="6"/>
  <c r="R484" i="6"/>
  <c r="S484" i="6"/>
  <c r="T484" i="6"/>
  <c r="C485" i="6"/>
  <c r="D485" i="6"/>
  <c r="E485" i="6"/>
  <c r="F485" i="6"/>
  <c r="H485" i="6"/>
  <c r="I485" i="6"/>
  <c r="L485" i="6"/>
  <c r="N485" i="6"/>
  <c r="Q485" i="6"/>
  <c r="R485" i="6"/>
  <c r="S485" i="6"/>
  <c r="T485" i="6"/>
  <c r="C486" i="6"/>
  <c r="D486" i="6"/>
  <c r="E486" i="6"/>
  <c r="F486" i="6"/>
  <c r="H486" i="6"/>
  <c r="I486" i="6"/>
  <c r="L486" i="6"/>
  <c r="N486" i="6"/>
  <c r="Q486" i="6"/>
  <c r="R486" i="6"/>
  <c r="S486" i="6"/>
  <c r="T486" i="6"/>
  <c r="C487" i="6"/>
  <c r="D487" i="6"/>
  <c r="E487" i="6"/>
  <c r="F487" i="6"/>
  <c r="H487" i="6"/>
  <c r="I487" i="6"/>
  <c r="L487" i="6"/>
  <c r="N487" i="6"/>
  <c r="Q487" i="6"/>
  <c r="R487" i="6"/>
  <c r="S487" i="6"/>
  <c r="T487" i="6"/>
  <c r="C488" i="6"/>
  <c r="D488" i="6"/>
  <c r="E488" i="6"/>
  <c r="F488" i="6"/>
  <c r="H488" i="6"/>
  <c r="I488" i="6"/>
  <c r="L488" i="6"/>
  <c r="N488" i="6"/>
  <c r="Q488" i="6"/>
  <c r="R488" i="6"/>
  <c r="S488" i="6"/>
  <c r="T488" i="6"/>
  <c r="C489" i="6"/>
  <c r="D489" i="6"/>
  <c r="E489" i="6"/>
  <c r="F489" i="6"/>
  <c r="H489" i="6"/>
  <c r="I489" i="6"/>
  <c r="L489" i="6"/>
  <c r="N489" i="6"/>
  <c r="Q489" i="6"/>
  <c r="R489" i="6"/>
  <c r="S489" i="6"/>
  <c r="T489" i="6"/>
  <c r="C490" i="6"/>
  <c r="D490" i="6"/>
  <c r="E490" i="6"/>
  <c r="F490" i="6"/>
  <c r="H490" i="6"/>
  <c r="I490" i="6"/>
  <c r="L490" i="6"/>
  <c r="N490" i="6"/>
  <c r="Q490" i="6"/>
  <c r="R490" i="6"/>
  <c r="S490" i="6"/>
  <c r="T490" i="6"/>
  <c r="C491" i="6"/>
  <c r="D491" i="6"/>
  <c r="E491" i="6"/>
  <c r="F491" i="6"/>
  <c r="H491" i="6"/>
  <c r="I491" i="6"/>
  <c r="L491" i="6"/>
  <c r="N491" i="6"/>
  <c r="Q491" i="6"/>
  <c r="R491" i="6"/>
  <c r="S491" i="6"/>
  <c r="T491" i="6"/>
  <c r="C492" i="6"/>
  <c r="D492" i="6"/>
  <c r="E492" i="6"/>
  <c r="F492" i="6"/>
  <c r="H492" i="6"/>
  <c r="I492" i="6"/>
  <c r="L492" i="6"/>
  <c r="N492" i="6"/>
  <c r="Q492" i="6"/>
  <c r="R492" i="6"/>
  <c r="S492" i="6"/>
  <c r="T492" i="6"/>
  <c r="C493" i="6"/>
  <c r="D493" i="6"/>
  <c r="E493" i="6"/>
  <c r="F493" i="6"/>
  <c r="H493" i="6"/>
  <c r="I493" i="6"/>
  <c r="L493" i="6"/>
  <c r="N493" i="6"/>
  <c r="Q493" i="6"/>
  <c r="R493" i="6"/>
  <c r="S493" i="6"/>
  <c r="T493" i="6"/>
  <c r="C494" i="6"/>
  <c r="D494" i="6"/>
  <c r="E494" i="6"/>
  <c r="F494" i="6"/>
  <c r="H494" i="6"/>
  <c r="I494" i="6"/>
  <c r="L494" i="6"/>
  <c r="N494" i="6"/>
  <c r="Q494" i="6"/>
  <c r="R494" i="6"/>
  <c r="S494" i="6"/>
  <c r="T494" i="6"/>
  <c r="C495" i="6"/>
  <c r="D495" i="6"/>
  <c r="E495" i="6"/>
  <c r="F495" i="6"/>
  <c r="H495" i="6"/>
  <c r="I495" i="6"/>
  <c r="L495" i="6"/>
  <c r="N495" i="6"/>
  <c r="Q495" i="6"/>
  <c r="R495" i="6"/>
  <c r="S495" i="6"/>
  <c r="T495" i="6"/>
  <c r="C496" i="6"/>
  <c r="D496" i="6"/>
  <c r="E496" i="6"/>
  <c r="F496" i="6"/>
  <c r="H496" i="6"/>
  <c r="I496" i="6"/>
  <c r="L496" i="6"/>
  <c r="N496" i="6"/>
  <c r="Q496" i="6"/>
  <c r="R496" i="6"/>
  <c r="S496" i="6"/>
  <c r="T496" i="6"/>
  <c r="C497" i="6"/>
  <c r="D497" i="6"/>
  <c r="E497" i="6"/>
  <c r="F497" i="6"/>
  <c r="H497" i="6"/>
  <c r="I497" i="6"/>
  <c r="L497" i="6"/>
  <c r="N497" i="6"/>
  <c r="Q497" i="6"/>
  <c r="R497" i="6"/>
  <c r="S497" i="6"/>
  <c r="T497" i="6"/>
  <c r="C498" i="6"/>
  <c r="D498" i="6"/>
  <c r="E498" i="6"/>
  <c r="F498" i="6"/>
  <c r="H498" i="6"/>
  <c r="I498" i="6"/>
  <c r="L498" i="6"/>
  <c r="N498" i="6"/>
  <c r="Q498" i="6"/>
  <c r="R498" i="6"/>
  <c r="S498" i="6"/>
  <c r="T498" i="6"/>
  <c r="C499" i="6"/>
  <c r="D499" i="6"/>
  <c r="E499" i="6"/>
  <c r="F499" i="6"/>
  <c r="H499" i="6"/>
  <c r="I499" i="6"/>
  <c r="L499" i="6"/>
  <c r="N499" i="6"/>
  <c r="Q499" i="6"/>
  <c r="R499" i="6"/>
  <c r="S499" i="6"/>
  <c r="T499" i="6"/>
  <c r="C500" i="6"/>
  <c r="D500" i="6"/>
  <c r="E500" i="6"/>
  <c r="F500" i="6"/>
  <c r="H500" i="6"/>
  <c r="I500" i="6"/>
  <c r="L500" i="6"/>
  <c r="N500" i="6"/>
  <c r="Q500" i="6"/>
  <c r="R500" i="6"/>
  <c r="S500" i="6"/>
  <c r="T500" i="6"/>
  <c r="C501" i="6"/>
  <c r="D501" i="6"/>
  <c r="E501" i="6"/>
  <c r="F501" i="6"/>
  <c r="H501" i="6"/>
  <c r="I501" i="6"/>
  <c r="L501" i="6"/>
  <c r="N501" i="6"/>
  <c r="Q501" i="6"/>
  <c r="R501" i="6"/>
  <c r="S501" i="6"/>
  <c r="T501" i="6"/>
  <c r="C502" i="6"/>
  <c r="D502" i="6"/>
  <c r="E502" i="6"/>
  <c r="F502" i="6"/>
  <c r="H502" i="6"/>
  <c r="I502" i="6"/>
  <c r="L502" i="6"/>
  <c r="N502" i="6"/>
  <c r="Q502" i="6"/>
  <c r="R502" i="6"/>
  <c r="S502" i="6"/>
  <c r="T502" i="6"/>
  <c r="C503" i="6"/>
  <c r="D503" i="6"/>
  <c r="E503" i="6"/>
  <c r="F503" i="6"/>
  <c r="H503" i="6"/>
  <c r="I503" i="6"/>
  <c r="L503" i="6"/>
  <c r="N503" i="6"/>
  <c r="Q503" i="6"/>
  <c r="R503" i="6"/>
  <c r="S503" i="6"/>
  <c r="T503" i="6"/>
  <c r="C504" i="6"/>
  <c r="D504" i="6"/>
  <c r="E504" i="6"/>
  <c r="F504" i="6"/>
  <c r="H504" i="6"/>
  <c r="I504" i="6"/>
  <c r="L504" i="6"/>
  <c r="N504" i="6"/>
  <c r="Q504" i="6"/>
  <c r="R504" i="6"/>
  <c r="S504" i="6"/>
  <c r="T504" i="6"/>
  <c r="C505" i="6"/>
  <c r="D505" i="6"/>
  <c r="E505" i="6"/>
  <c r="F505" i="6"/>
  <c r="H505" i="6"/>
  <c r="I505" i="6"/>
  <c r="L505" i="6"/>
  <c r="N505" i="6"/>
  <c r="Q505" i="6"/>
  <c r="R505" i="6"/>
  <c r="S505" i="6"/>
  <c r="T505" i="6"/>
  <c r="C506" i="6"/>
  <c r="D506" i="6"/>
  <c r="E506" i="6"/>
  <c r="F506" i="6"/>
  <c r="H506" i="6"/>
  <c r="I506" i="6"/>
  <c r="L506" i="6"/>
  <c r="N506" i="6"/>
  <c r="Q506" i="6"/>
  <c r="R506" i="6"/>
  <c r="S506" i="6"/>
  <c r="T506" i="6"/>
  <c r="C507" i="6"/>
  <c r="D507" i="6"/>
  <c r="E507" i="6"/>
  <c r="F507" i="6"/>
  <c r="H507" i="6"/>
  <c r="I507" i="6"/>
  <c r="L507" i="6"/>
  <c r="N507" i="6"/>
  <c r="Q507" i="6"/>
  <c r="R507" i="6"/>
  <c r="S507" i="6"/>
  <c r="T507" i="6"/>
  <c r="C508" i="6"/>
  <c r="D508" i="6"/>
  <c r="E508" i="6"/>
  <c r="F508" i="6"/>
  <c r="H508" i="6"/>
  <c r="I508" i="6"/>
  <c r="L508" i="6"/>
  <c r="N508" i="6"/>
  <c r="Q508" i="6"/>
  <c r="R508" i="6"/>
  <c r="S508" i="6"/>
  <c r="T508" i="6"/>
  <c r="C509" i="6"/>
  <c r="D509" i="6"/>
  <c r="E509" i="6"/>
  <c r="F509" i="6"/>
  <c r="H509" i="6"/>
  <c r="I509" i="6"/>
  <c r="L509" i="6"/>
  <c r="N509" i="6"/>
  <c r="Q509" i="6"/>
  <c r="R509" i="6"/>
  <c r="S509" i="6"/>
  <c r="T509" i="6"/>
  <c r="C510" i="6"/>
  <c r="D510" i="6"/>
  <c r="E510" i="6"/>
  <c r="F510" i="6"/>
  <c r="H510" i="6"/>
  <c r="I510" i="6"/>
  <c r="L510" i="6"/>
  <c r="N510" i="6"/>
  <c r="Q510" i="6"/>
  <c r="R510" i="6"/>
  <c r="S510" i="6"/>
  <c r="T510" i="6"/>
  <c r="C511" i="6"/>
  <c r="D511" i="6"/>
  <c r="E511" i="6"/>
  <c r="F511" i="6"/>
  <c r="H511" i="6"/>
  <c r="I511" i="6"/>
  <c r="L511" i="6"/>
  <c r="N511" i="6"/>
  <c r="Q511" i="6"/>
  <c r="R511" i="6"/>
  <c r="S511" i="6"/>
  <c r="T511" i="6"/>
  <c r="C512" i="6"/>
  <c r="D512" i="6"/>
  <c r="E512" i="6"/>
  <c r="F512" i="6"/>
  <c r="H512" i="6"/>
  <c r="I512" i="6"/>
  <c r="L512" i="6"/>
  <c r="N512" i="6"/>
  <c r="Q512" i="6"/>
  <c r="R512" i="6"/>
  <c r="S512" i="6"/>
  <c r="T512" i="6"/>
  <c r="C513" i="6"/>
  <c r="D513" i="6"/>
  <c r="E513" i="6"/>
  <c r="F513" i="6"/>
  <c r="H513" i="6"/>
  <c r="I513" i="6"/>
  <c r="L513" i="6"/>
  <c r="N513" i="6"/>
  <c r="Q513" i="6"/>
  <c r="R513" i="6"/>
  <c r="S513" i="6"/>
  <c r="T513" i="6"/>
  <c r="C514" i="6"/>
  <c r="D514" i="6"/>
  <c r="E514" i="6"/>
  <c r="F514" i="6"/>
  <c r="H514" i="6"/>
  <c r="I514" i="6"/>
  <c r="L514" i="6"/>
  <c r="N514" i="6"/>
  <c r="Q514" i="6"/>
  <c r="R514" i="6"/>
  <c r="S514" i="6"/>
  <c r="T514" i="6"/>
  <c r="C515" i="6"/>
  <c r="D515" i="6"/>
  <c r="E515" i="6"/>
  <c r="F515" i="6"/>
  <c r="H515" i="6"/>
  <c r="I515" i="6"/>
  <c r="L515" i="6"/>
  <c r="N515" i="6"/>
  <c r="Q515" i="6"/>
  <c r="R515" i="6"/>
  <c r="S515" i="6"/>
  <c r="T515" i="6"/>
  <c r="C516" i="6"/>
  <c r="D516" i="6"/>
  <c r="E516" i="6"/>
  <c r="F516" i="6"/>
  <c r="H516" i="6"/>
  <c r="I516" i="6"/>
  <c r="L516" i="6"/>
  <c r="N516" i="6"/>
  <c r="Q516" i="6"/>
  <c r="R516" i="6"/>
  <c r="S516" i="6"/>
  <c r="T516" i="6"/>
  <c r="C517" i="6"/>
  <c r="D517" i="6"/>
  <c r="E517" i="6"/>
  <c r="F517" i="6"/>
  <c r="H517" i="6"/>
  <c r="I517" i="6"/>
  <c r="L517" i="6"/>
  <c r="N517" i="6"/>
  <c r="Q517" i="6"/>
  <c r="R517" i="6"/>
  <c r="S517" i="6"/>
  <c r="T517" i="6"/>
  <c r="C518" i="6"/>
  <c r="D518" i="6"/>
  <c r="E518" i="6"/>
  <c r="F518" i="6"/>
  <c r="H518" i="6"/>
  <c r="I518" i="6"/>
  <c r="L518" i="6"/>
  <c r="N518" i="6"/>
  <c r="Q518" i="6"/>
  <c r="R518" i="6"/>
  <c r="S518" i="6"/>
  <c r="T518" i="6"/>
  <c r="C519" i="6"/>
  <c r="D519" i="6"/>
  <c r="E519" i="6"/>
  <c r="F519" i="6"/>
  <c r="H519" i="6"/>
  <c r="I519" i="6"/>
  <c r="L519" i="6"/>
  <c r="N519" i="6"/>
  <c r="Q519" i="6"/>
  <c r="R519" i="6"/>
  <c r="S519" i="6"/>
  <c r="T519" i="6"/>
  <c r="C520" i="6"/>
  <c r="D520" i="6"/>
  <c r="E520" i="6"/>
  <c r="F520" i="6"/>
  <c r="H520" i="6"/>
  <c r="I520" i="6"/>
  <c r="L520" i="6"/>
  <c r="N520" i="6"/>
  <c r="Q520" i="6"/>
  <c r="R520" i="6"/>
  <c r="S520" i="6"/>
  <c r="T520" i="6"/>
  <c r="C521" i="6"/>
  <c r="D521" i="6"/>
  <c r="E521" i="6"/>
  <c r="F521" i="6"/>
  <c r="H521" i="6"/>
  <c r="I521" i="6"/>
  <c r="L521" i="6"/>
  <c r="N521" i="6"/>
  <c r="Q521" i="6"/>
  <c r="R521" i="6"/>
  <c r="S521" i="6"/>
  <c r="T521" i="6"/>
  <c r="C522" i="6"/>
  <c r="D522" i="6"/>
  <c r="E522" i="6"/>
  <c r="F522" i="6"/>
  <c r="H522" i="6"/>
  <c r="I522" i="6"/>
  <c r="L522" i="6"/>
  <c r="N522" i="6"/>
  <c r="Q522" i="6"/>
  <c r="R522" i="6"/>
  <c r="S522" i="6"/>
  <c r="T522" i="6"/>
  <c r="C523" i="6"/>
  <c r="D523" i="6"/>
  <c r="E523" i="6"/>
  <c r="F523" i="6"/>
  <c r="H523" i="6"/>
  <c r="I523" i="6"/>
  <c r="L523" i="6"/>
  <c r="N523" i="6"/>
  <c r="Q523" i="6"/>
  <c r="R523" i="6"/>
  <c r="S523" i="6"/>
  <c r="T523" i="6"/>
  <c r="C524" i="6"/>
  <c r="D524" i="6"/>
  <c r="E524" i="6"/>
  <c r="F524" i="6"/>
  <c r="H524" i="6"/>
  <c r="I524" i="6"/>
  <c r="L524" i="6"/>
  <c r="N524" i="6"/>
  <c r="Q524" i="6"/>
  <c r="R524" i="6"/>
  <c r="S524" i="6"/>
  <c r="T524" i="6"/>
  <c r="C525" i="6"/>
  <c r="D525" i="6"/>
  <c r="E525" i="6"/>
  <c r="F525" i="6"/>
  <c r="H525" i="6"/>
  <c r="I525" i="6"/>
  <c r="L525" i="6"/>
  <c r="N525" i="6"/>
  <c r="Q525" i="6"/>
  <c r="R525" i="6"/>
  <c r="S525" i="6"/>
  <c r="T525" i="6"/>
  <c r="C526" i="6"/>
  <c r="D526" i="6"/>
  <c r="E526" i="6"/>
  <c r="F526" i="6"/>
  <c r="H526" i="6"/>
  <c r="I526" i="6"/>
  <c r="L526" i="6"/>
  <c r="N526" i="6"/>
  <c r="Q526" i="6"/>
  <c r="R526" i="6"/>
  <c r="S526" i="6"/>
  <c r="T526" i="6"/>
  <c r="C527" i="6"/>
  <c r="D527" i="6"/>
  <c r="E527" i="6"/>
  <c r="F527" i="6"/>
  <c r="H527" i="6"/>
  <c r="I527" i="6"/>
  <c r="L527" i="6"/>
  <c r="N527" i="6"/>
  <c r="Q527" i="6"/>
  <c r="R527" i="6"/>
  <c r="S527" i="6"/>
  <c r="T527" i="6"/>
  <c r="C528" i="6"/>
  <c r="D528" i="6"/>
  <c r="E528" i="6"/>
  <c r="F528" i="6"/>
  <c r="H528" i="6"/>
  <c r="I528" i="6"/>
  <c r="L528" i="6"/>
  <c r="N528" i="6"/>
  <c r="Q528" i="6"/>
  <c r="R528" i="6"/>
  <c r="S528" i="6"/>
  <c r="T528" i="6"/>
  <c r="C529" i="6"/>
  <c r="D529" i="6"/>
  <c r="E529" i="6"/>
  <c r="F529" i="6"/>
  <c r="H529" i="6"/>
  <c r="I529" i="6"/>
  <c r="L529" i="6"/>
  <c r="N529" i="6"/>
  <c r="Q529" i="6"/>
  <c r="R529" i="6"/>
  <c r="S529" i="6"/>
  <c r="T529" i="6"/>
  <c r="C530" i="6"/>
  <c r="D530" i="6"/>
  <c r="E530" i="6"/>
  <c r="F530" i="6"/>
  <c r="H530" i="6"/>
  <c r="I530" i="6"/>
  <c r="L530" i="6"/>
  <c r="N530" i="6"/>
  <c r="Q530" i="6"/>
  <c r="R530" i="6"/>
  <c r="S530" i="6"/>
  <c r="T530" i="6"/>
  <c r="C531" i="6"/>
  <c r="D531" i="6"/>
  <c r="E531" i="6"/>
  <c r="F531" i="6"/>
  <c r="H531" i="6"/>
  <c r="I531" i="6"/>
  <c r="L531" i="6"/>
  <c r="N531" i="6"/>
  <c r="Q531" i="6"/>
  <c r="R531" i="6"/>
  <c r="S531" i="6"/>
  <c r="T531" i="6"/>
  <c r="C532" i="6"/>
  <c r="D532" i="6"/>
  <c r="E532" i="6"/>
  <c r="F532" i="6"/>
  <c r="H532" i="6"/>
  <c r="I532" i="6"/>
  <c r="L532" i="6"/>
  <c r="N532" i="6"/>
  <c r="Q532" i="6"/>
  <c r="R532" i="6"/>
  <c r="S532" i="6"/>
  <c r="T532" i="6"/>
  <c r="C533" i="6"/>
  <c r="D533" i="6"/>
  <c r="E533" i="6"/>
  <c r="F533" i="6"/>
  <c r="H533" i="6"/>
  <c r="I533" i="6"/>
  <c r="L533" i="6"/>
  <c r="N533" i="6"/>
  <c r="Q533" i="6"/>
  <c r="R533" i="6"/>
  <c r="S533" i="6"/>
  <c r="T533" i="6"/>
  <c r="C534" i="6"/>
  <c r="D534" i="6"/>
  <c r="E534" i="6"/>
  <c r="F534" i="6"/>
  <c r="H534" i="6"/>
  <c r="I534" i="6"/>
  <c r="L534" i="6"/>
  <c r="N534" i="6"/>
  <c r="Q534" i="6"/>
  <c r="R534" i="6"/>
  <c r="S534" i="6"/>
  <c r="T534" i="6"/>
  <c r="C535" i="6"/>
  <c r="D535" i="6"/>
  <c r="E535" i="6"/>
  <c r="F535" i="6"/>
  <c r="H535" i="6"/>
  <c r="I535" i="6"/>
  <c r="L535" i="6"/>
  <c r="N535" i="6"/>
  <c r="Q535" i="6"/>
  <c r="R535" i="6"/>
  <c r="S535" i="6"/>
  <c r="T535" i="6"/>
  <c r="C536" i="6"/>
  <c r="D536" i="6"/>
  <c r="E536" i="6"/>
  <c r="F536" i="6"/>
  <c r="H536" i="6"/>
  <c r="I536" i="6"/>
  <c r="L536" i="6"/>
  <c r="N536" i="6"/>
  <c r="Q536" i="6"/>
  <c r="R536" i="6"/>
  <c r="S536" i="6"/>
  <c r="T536" i="6"/>
  <c r="C537" i="6"/>
  <c r="D537" i="6"/>
  <c r="E537" i="6"/>
  <c r="F537" i="6"/>
  <c r="H537" i="6"/>
  <c r="I537" i="6"/>
  <c r="L537" i="6"/>
  <c r="N537" i="6"/>
  <c r="Q537" i="6"/>
  <c r="R537" i="6"/>
  <c r="S537" i="6"/>
  <c r="T537" i="6"/>
  <c r="C538" i="6"/>
  <c r="D538" i="6"/>
  <c r="E538" i="6"/>
  <c r="F538" i="6"/>
  <c r="H538" i="6"/>
  <c r="I538" i="6"/>
  <c r="L538" i="6"/>
  <c r="N538" i="6"/>
  <c r="Q538" i="6"/>
  <c r="R538" i="6"/>
  <c r="S538" i="6"/>
  <c r="T538" i="6"/>
  <c r="C539" i="6"/>
  <c r="D539" i="6"/>
  <c r="E539" i="6"/>
  <c r="F539" i="6"/>
  <c r="H539" i="6"/>
  <c r="I539" i="6"/>
  <c r="L539" i="6"/>
  <c r="N539" i="6"/>
  <c r="Q539" i="6"/>
  <c r="R539" i="6"/>
  <c r="S539" i="6"/>
  <c r="T539" i="6"/>
  <c r="C540" i="6"/>
  <c r="D540" i="6"/>
  <c r="E540" i="6"/>
  <c r="F540" i="6"/>
  <c r="H540" i="6"/>
  <c r="I540" i="6"/>
  <c r="L540" i="6"/>
  <c r="N540" i="6"/>
  <c r="Q540" i="6"/>
  <c r="R540" i="6"/>
  <c r="S540" i="6"/>
  <c r="T540" i="6"/>
  <c r="C541" i="6"/>
  <c r="D541" i="6"/>
  <c r="E541" i="6"/>
  <c r="F541" i="6"/>
  <c r="H541" i="6"/>
  <c r="I541" i="6"/>
  <c r="L541" i="6"/>
  <c r="N541" i="6"/>
  <c r="Q541" i="6"/>
  <c r="R541" i="6"/>
  <c r="S541" i="6"/>
  <c r="T541" i="6"/>
  <c r="C542" i="6"/>
  <c r="D542" i="6"/>
  <c r="E542" i="6"/>
  <c r="F542" i="6"/>
  <c r="H542" i="6"/>
  <c r="I542" i="6"/>
  <c r="L542" i="6"/>
  <c r="N542" i="6"/>
  <c r="Q542" i="6"/>
  <c r="R542" i="6"/>
  <c r="S542" i="6"/>
  <c r="T542" i="6"/>
  <c r="C543" i="6"/>
  <c r="D543" i="6"/>
  <c r="E543" i="6"/>
  <c r="F543" i="6"/>
  <c r="H543" i="6"/>
  <c r="I543" i="6"/>
  <c r="L543" i="6"/>
  <c r="N543" i="6"/>
  <c r="Q543" i="6"/>
  <c r="R543" i="6"/>
  <c r="S543" i="6"/>
  <c r="T543" i="6"/>
  <c r="C544" i="6"/>
  <c r="D544" i="6"/>
  <c r="E544" i="6"/>
  <c r="F544" i="6"/>
  <c r="H544" i="6"/>
  <c r="I544" i="6"/>
  <c r="L544" i="6"/>
  <c r="N544" i="6"/>
  <c r="Q544" i="6"/>
  <c r="R544" i="6"/>
  <c r="S544" i="6"/>
  <c r="T544" i="6"/>
  <c r="C545" i="6"/>
  <c r="D545" i="6"/>
  <c r="E545" i="6"/>
  <c r="F545" i="6"/>
  <c r="H545" i="6"/>
  <c r="I545" i="6"/>
  <c r="L545" i="6"/>
  <c r="N545" i="6"/>
  <c r="Q545" i="6"/>
  <c r="R545" i="6"/>
  <c r="S545" i="6"/>
  <c r="T545" i="6"/>
  <c r="C546" i="6"/>
  <c r="D546" i="6"/>
  <c r="E546" i="6"/>
  <c r="F546" i="6"/>
  <c r="H546" i="6"/>
  <c r="I546" i="6"/>
  <c r="L546" i="6"/>
  <c r="N546" i="6"/>
  <c r="Q546" i="6"/>
  <c r="R546" i="6"/>
  <c r="S546" i="6"/>
  <c r="T546" i="6"/>
  <c r="C547" i="6"/>
  <c r="D547" i="6"/>
  <c r="E547" i="6"/>
  <c r="F547" i="6"/>
  <c r="H547" i="6"/>
  <c r="I547" i="6"/>
  <c r="L547" i="6"/>
  <c r="N547" i="6"/>
  <c r="Q547" i="6"/>
  <c r="R547" i="6"/>
  <c r="S547" i="6"/>
  <c r="T547" i="6"/>
  <c r="C548" i="6"/>
  <c r="D548" i="6"/>
  <c r="E548" i="6"/>
  <c r="F548" i="6"/>
  <c r="H548" i="6"/>
  <c r="I548" i="6"/>
  <c r="L548" i="6"/>
  <c r="N548" i="6"/>
  <c r="Q548" i="6"/>
  <c r="R548" i="6"/>
  <c r="S548" i="6"/>
  <c r="T548" i="6"/>
  <c r="C549" i="6"/>
  <c r="D549" i="6"/>
  <c r="E549" i="6"/>
  <c r="F549" i="6"/>
  <c r="H549" i="6"/>
  <c r="I549" i="6"/>
  <c r="L549" i="6"/>
  <c r="N549" i="6"/>
  <c r="Q549" i="6"/>
  <c r="R549" i="6"/>
  <c r="S549" i="6"/>
  <c r="T549" i="6"/>
  <c r="C550" i="6"/>
  <c r="D550" i="6"/>
  <c r="E550" i="6"/>
  <c r="F550" i="6"/>
  <c r="H550" i="6"/>
  <c r="I550" i="6"/>
  <c r="L550" i="6"/>
  <c r="N550" i="6"/>
  <c r="Q550" i="6"/>
  <c r="R550" i="6"/>
  <c r="S550" i="6"/>
  <c r="T550" i="6"/>
  <c r="C551" i="6"/>
  <c r="D551" i="6"/>
  <c r="E551" i="6"/>
  <c r="F551" i="6"/>
  <c r="H551" i="6"/>
  <c r="I551" i="6"/>
  <c r="L551" i="6"/>
  <c r="N551" i="6"/>
  <c r="Q551" i="6"/>
  <c r="R551" i="6"/>
  <c r="S551" i="6"/>
  <c r="T551" i="6"/>
  <c r="C552" i="6"/>
  <c r="D552" i="6"/>
  <c r="E552" i="6"/>
  <c r="F552" i="6"/>
  <c r="H552" i="6"/>
  <c r="I552" i="6"/>
  <c r="L552" i="6"/>
  <c r="N552" i="6"/>
  <c r="Q552" i="6"/>
  <c r="R552" i="6"/>
  <c r="S552" i="6"/>
  <c r="T552" i="6"/>
  <c r="C553" i="6"/>
  <c r="D553" i="6"/>
  <c r="E553" i="6"/>
  <c r="F553" i="6"/>
  <c r="H553" i="6"/>
  <c r="I553" i="6"/>
  <c r="L553" i="6"/>
  <c r="N553" i="6"/>
  <c r="Q553" i="6"/>
  <c r="R553" i="6"/>
  <c r="S553" i="6"/>
  <c r="T553" i="6"/>
  <c r="C554" i="6"/>
  <c r="D554" i="6"/>
  <c r="E554" i="6"/>
  <c r="F554" i="6"/>
  <c r="H554" i="6"/>
  <c r="I554" i="6"/>
  <c r="L554" i="6"/>
  <c r="N554" i="6"/>
  <c r="Q554" i="6"/>
  <c r="R554" i="6"/>
  <c r="S554" i="6"/>
  <c r="T554" i="6"/>
  <c r="C555" i="6"/>
  <c r="D555" i="6"/>
  <c r="E555" i="6"/>
  <c r="F555" i="6"/>
  <c r="H555" i="6"/>
  <c r="I555" i="6"/>
  <c r="L555" i="6"/>
  <c r="N555" i="6"/>
  <c r="Q555" i="6"/>
  <c r="R555" i="6"/>
  <c r="S555" i="6"/>
  <c r="T555" i="6"/>
  <c r="C556" i="6"/>
  <c r="D556" i="6"/>
  <c r="E556" i="6"/>
  <c r="F556" i="6"/>
  <c r="H556" i="6"/>
  <c r="I556" i="6"/>
  <c r="L556" i="6"/>
  <c r="N556" i="6"/>
  <c r="Q556" i="6"/>
  <c r="R556" i="6"/>
  <c r="S556" i="6"/>
  <c r="T556" i="6"/>
  <c r="C557" i="6"/>
  <c r="D557" i="6"/>
  <c r="E557" i="6"/>
  <c r="F557" i="6"/>
  <c r="H557" i="6"/>
  <c r="I557" i="6"/>
  <c r="L557" i="6"/>
  <c r="N557" i="6"/>
  <c r="Q557" i="6"/>
  <c r="R557" i="6"/>
  <c r="S557" i="6"/>
  <c r="T557" i="6"/>
  <c r="C558" i="6"/>
  <c r="D558" i="6"/>
  <c r="E558" i="6"/>
  <c r="F558" i="6"/>
  <c r="H558" i="6"/>
  <c r="I558" i="6"/>
  <c r="L558" i="6"/>
  <c r="N558" i="6"/>
  <c r="Q558" i="6"/>
  <c r="R558" i="6"/>
  <c r="S558" i="6"/>
  <c r="T558" i="6"/>
  <c r="C559" i="6"/>
  <c r="D559" i="6"/>
  <c r="E559" i="6"/>
  <c r="F559" i="6"/>
  <c r="H559" i="6"/>
  <c r="I559" i="6"/>
  <c r="L559" i="6"/>
  <c r="N559" i="6"/>
  <c r="Q559" i="6"/>
  <c r="R559" i="6"/>
  <c r="S559" i="6"/>
  <c r="T559" i="6"/>
  <c r="C560" i="6"/>
  <c r="D560" i="6"/>
  <c r="E560" i="6"/>
  <c r="F560" i="6"/>
  <c r="H560" i="6"/>
  <c r="I560" i="6"/>
  <c r="L560" i="6"/>
  <c r="N560" i="6"/>
  <c r="Q560" i="6"/>
  <c r="R560" i="6"/>
  <c r="S560" i="6"/>
  <c r="T560" i="6"/>
  <c r="C561" i="6"/>
  <c r="D561" i="6"/>
  <c r="E561" i="6"/>
  <c r="F561" i="6"/>
  <c r="H561" i="6"/>
  <c r="I561" i="6"/>
  <c r="L561" i="6"/>
  <c r="N561" i="6"/>
  <c r="Q561" i="6"/>
  <c r="R561" i="6"/>
  <c r="S561" i="6"/>
  <c r="T561" i="6"/>
  <c r="C562" i="6"/>
  <c r="D562" i="6"/>
  <c r="E562" i="6"/>
  <c r="F562" i="6"/>
  <c r="H562" i="6"/>
  <c r="I562" i="6"/>
  <c r="L562" i="6"/>
  <c r="N562" i="6"/>
  <c r="Q562" i="6"/>
  <c r="R562" i="6"/>
  <c r="S562" i="6"/>
  <c r="T562" i="6"/>
  <c r="C563" i="6"/>
  <c r="D563" i="6"/>
  <c r="E563" i="6"/>
  <c r="F563" i="6"/>
  <c r="H563" i="6"/>
  <c r="I563" i="6"/>
  <c r="L563" i="6"/>
  <c r="N563" i="6"/>
  <c r="Q563" i="6"/>
  <c r="R563" i="6"/>
  <c r="S563" i="6"/>
  <c r="T563" i="6"/>
  <c r="C564" i="6"/>
  <c r="D564" i="6"/>
  <c r="E564" i="6"/>
  <c r="F564" i="6"/>
  <c r="H564" i="6"/>
  <c r="I564" i="6"/>
  <c r="L564" i="6"/>
  <c r="N564" i="6"/>
  <c r="Q564" i="6"/>
  <c r="R564" i="6"/>
  <c r="S564" i="6"/>
  <c r="T564" i="6"/>
  <c r="C565" i="6"/>
  <c r="D565" i="6"/>
  <c r="E565" i="6"/>
  <c r="F565" i="6"/>
  <c r="H565" i="6"/>
  <c r="I565" i="6"/>
  <c r="L565" i="6"/>
  <c r="N565" i="6"/>
  <c r="Q565" i="6"/>
  <c r="R565" i="6"/>
  <c r="S565" i="6"/>
  <c r="T565" i="6"/>
  <c r="C566" i="6"/>
  <c r="D566" i="6"/>
  <c r="E566" i="6"/>
  <c r="F566" i="6"/>
  <c r="H566" i="6"/>
  <c r="I566" i="6"/>
  <c r="L566" i="6"/>
  <c r="N566" i="6"/>
  <c r="Q566" i="6"/>
  <c r="R566" i="6"/>
  <c r="S566" i="6"/>
  <c r="T566" i="6"/>
  <c r="C567" i="6"/>
  <c r="D567" i="6"/>
  <c r="E567" i="6"/>
  <c r="F567" i="6"/>
  <c r="H567" i="6"/>
  <c r="I567" i="6"/>
  <c r="L567" i="6"/>
  <c r="N567" i="6"/>
  <c r="Q567" i="6"/>
  <c r="R567" i="6"/>
  <c r="S567" i="6"/>
  <c r="T567" i="6"/>
  <c r="C568" i="6"/>
  <c r="D568" i="6"/>
  <c r="E568" i="6"/>
  <c r="F568" i="6"/>
  <c r="H568" i="6"/>
  <c r="I568" i="6"/>
  <c r="L568" i="6"/>
  <c r="N568" i="6"/>
  <c r="Q568" i="6"/>
  <c r="R568" i="6"/>
  <c r="S568" i="6"/>
  <c r="T568" i="6"/>
  <c r="C569" i="6"/>
  <c r="D569" i="6"/>
  <c r="E569" i="6"/>
  <c r="F569" i="6"/>
  <c r="H569" i="6"/>
  <c r="I569" i="6"/>
  <c r="L569" i="6"/>
  <c r="N569" i="6"/>
  <c r="Q569" i="6"/>
  <c r="R569" i="6"/>
  <c r="S569" i="6"/>
  <c r="T569" i="6"/>
  <c r="C570" i="6"/>
  <c r="D570" i="6"/>
  <c r="E570" i="6"/>
  <c r="F570" i="6"/>
  <c r="H570" i="6"/>
  <c r="I570" i="6"/>
  <c r="L570" i="6"/>
  <c r="N570" i="6"/>
  <c r="Q570" i="6"/>
  <c r="R570" i="6"/>
  <c r="S570" i="6"/>
  <c r="T570" i="6"/>
  <c r="C571" i="6"/>
  <c r="D571" i="6"/>
  <c r="E571" i="6"/>
  <c r="F571" i="6"/>
  <c r="H571" i="6"/>
  <c r="I571" i="6"/>
  <c r="L571" i="6"/>
  <c r="N571" i="6"/>
  <c r="Q571" i="6"/>
  <c r="R571" i="6"/>
  <c r="S571" i="6"/>
  <c r="T571" i="6"/>
  <c r="C572" i="6"/>
  <c r="D572" i="6"/>
  <c r="E572" i="6"/>
  <c r="F572" i="6"/>
  <c r="H572" i="6"/>
  <c r="I572" i="6"/>
  <c r="L572" i="6"/>
  <c r="N572" i="6"/>
  <c r="Q572" i="6"/>
  <c r="R572" i="6"/>
  <c r="S572" i="6"/>
  <c r="T572" i="6"/>
  <c r="C573" i="6"/>
  <c r="D573" i="6"/>
  <c r="E573" i="6"/>
  <c r="F573" i="6"/>
  <c r="H573" i="6"/>
  <c r="I573" i="6"/>
  <c r="L573" i="6"/>
  <c r="N573" i="6"/>
  <c r="Q573" i="6"/>
  <c r="R573" i="6"/>
  <c r="S573" i="6"/>
  <c r="T573" i="6"/>
  <c r="C574" i="6"/>
  <c r="D574" i="6"/>
  <c r="E574" i="6"/>
  <c r="F574" i="6"/>
  <c r="H574" i="6"/>
  <c r="I574" i="6"/>
  <c r="L574" i="6"/>
  <c r="N574" i="6"/>
  <c r="Q574" i="6"/>
  <c r="R574" i="6"/>
  <c r="S574" i="6"/>
  <c r="T574" i="6"/>
  <c r="C575" i="6"/>
  <c r="D575" i="6"/>
  <c r="E575" i="6"/>
  <c r="F575" i="6"/>
  <c r="H575" i="6"/>
  <c r="I575" i="6"/>
  <c r="L575" i="6"/>
  <c r="N575" i="6"/>
  <c r="Q575" i="6"/>
  <c r="R575" i="6"/>
  <c r="S575" i="6"/>
  <c r="T575" i="6"/>
  <c r="C576" i="6"/>
  <c r="D576" i="6"/>
  <c r="E576" i="6"/>
  <c r="F576" i="6"/>
  <c r="H576" i="6"/>
  <c r="I576" i="6"/>
  <c r="L576" i="6"/>
  <c r="N576" i="6"/>
  <c r="Q576" i="6"/>
  <c r="R576" i="6"/>
  <c r="S576" i="6"/>
  <c r="T576" i="6"/>
  <c r="C577" i="6"/>
  <c r="D577" i="6"/>
  <c r="E577" i="6"/>
  <c r="F577" i="6"/>
  <c r="H577" i="6"/>
  <c r="I577" i="6"/>
  <c r="L577" i="6"/>
  <c r="N577" i="6"/>
  <c r="Q577" i="6"/>
  <c r="R577" i="6"/>
  <c r="S577" i="6"/>
  <c r="T577" i="6"/>
  <c r="C578" i="6"/>
  <c r="D578" i="6"/>
  <c r="E578" i="6"/>
  <c r="F578" i="6"/>
  <c r="H578" i="6"/>
  <c r="I578" i="6"/>
  <c r="L578" i="6"/>
  <c r="N578" i="6"/>
  <c r="Q578" i="6"/>
  <c r="R578" i="6"/>
  <c r="S578" i="6"/>
  <c r="T578" i="6"/>
  <c r="C579" i="6"/>
  <c r="D579" i="6"/>
  <c r="E579" i="6"/>
  <c r="F579" i="6"/>
  <c r="H579" i="6"/>
  <c r="I579" i="6"/>
  <c r="L579" i="6"/>
  <c r="N579" i="6"/>
  <c r="Q579" i="6"/>
  <c r="R579" i="6"/>
  <c r="S579" i="6"/>
  <c r="T579" i="6"/>
  <c r="C580" i="6"/>
  <c r="D580" i="6"/>
  <c r="E580" i="6"/>
  <c r="F580" i="6"/>
  <c r="H580" i="6"/>
  <c r="I580" i="6"/>
  <c r="L580" i="6"/>
  <c r="N580" i="6"/>
  <c r="Q580" i="6"/>
  <c r="R580" i="6"/>
  <c r="S580" i="6"/>
  <c r="T580" i="6"/>
  <c r="C581" i="6"/>
  <c r="D581" i="6"/>
  <c r="E581" i="6"/>
  <c r="F581" i="6"/>
  <c r="H581" i="6"/>
  <c r="I581" i="6"/>
  <c r="L581" i="6"/>
  <c r="N581" i="6"/>
  <c r="Q581" i="6"/>
  <c r="R581" i="6"/>
  <c r="S581" i="6"/>
  <c r="T581" i="6"/>
  <c r="C582" i="6"/>
  <c r="D582" i="6"/>
  <c r="E582" i="6"/>
  <c r="F582" i="6"/>
  <c r="H582" i="6"/>
  <c r="I582" i="6"/>
  <c r="L582" i="6"/>
  <c r="N582" i="6"/>
  <c r="Q582" i="6"/>
  <c r="R582" i="6"/>
  <c r="S582" i="6"/>
  <c r="T582" i="6"/>
  <c r="C583" i="6"/>
  <c r="D583" i="6"/>
  <c r="E583" i="6"/>
  <c r="F583" i="6"/>
  <c r="H583" i="6"/>
  <c r="I583" i="6"/>
  <c r="L583" i="6"/>
  <c r="N583" i="6"/>
  <c r="Q583" i="6"/>
  <c r="R583" i="6"/>
  <c r="S583" i="6"/>
  <c r="T583" i="6"/>
  <c r="C584" i="6"/>
  <c r="D584" i="6"/>
  <c r="E584" i="6"/>
  <c r="F584" i="6"/>
  <c r="H584" i="6"/>
  <c r="I584" i="6"/>
  <c r="L584" i="6"/>
  <c r="N584" i="6"/>
  <c r="Q584" i="6"/>
  <c r="R584" i="6"/>
  <c r="S584" i="6"/>
  <c r="T584" i="6"/>
  <c r="C585" i="6"/>
  <c r="D585" i="6"/>
  <c r="E585" i="6"/>
  <c r="F585" i="6"/>
  <c r="H585" i="6"/>
  <c r="I585" i="6"/>
  <c r="L585" i="6"/>
  <c r="N585" i="6"/>
  <c r="Q585" i="6"/>
  <c r="R585" i="6"/>
  <c r="S585" i="6"/>
  <c r="T585" i="6"/>
  <c r="C586" i="6"/>
  <c r="D586" i="6"/>
  <c r="E586" i="6"/>
  <c r="F586" i="6"/>
  <c r="H586" i="6"/>
  <c r="I586" i="6"/>
  <c r="L586" i="6"/>
  <c r="N586" i="6"/>
  <c r="Q586" i="6"/>
  <c r="R586" i="6"/>
  <c r="S586" i="6"/>
  <c r="T586" i="6"/>
  <c r="C587" i="6"/>
  <c r="D587" i="6"/>
  <c r="E587" i="6"/>
  <c r="F587" i="6"/>
  <c r="H587" i="6"/>
  <c r="I587" i="6"/>
  <c r="L587" i="6"/>
  <c r="N587" i="6"/>
  <c r="Q587" i="6"/>
  <c r="R587" i="6"/>
  <c r="S587" i="6"/>
  <c r="T587" i="6"/>
  <c r="C588" i="6"/>
  <c r="D588" i="6"/>
  <c r="E588" i="6"/>
  <c r="F588" i="6"/>
  <c r="H588" i="6"/>
  <c r="I588" i="6"/>
  <c r="L588" i="6"/>
  <c r="N588" i="6"/>
  <c r="Q588" i="6"/>
  <c r="R588" i="6"/>
  <c r="S588" i="6"/>
  <c r="T588" i="6"/>
  <c r="C589" i="6"/>
  <c r="D589" i="6"/>
  <c r="E589" i="6"/>
  <c r="F589" i="6"/>
  <c r="H589" i="6"/>
  <c r="I589" i="6"/>
  <c r="L589" i="6"/>
  <c r="N589" i="6"/>
  <c r="Q589" i="6"/>
  <c r="R589" i="6"/>
  <c r="S589" i="6"/>
  <c r="T589" i="6"/>
  <c r="C590" i="6"/>
  <c r="D590" i="6"/>
  <c r="E590" i="6"/>
  <c r="F590" i="6"/>
  <c r="H590" i="6"/>
  <c r="I590" i="6"/>
  <c r="L590" i="6"/>
  <c r="N590" i="6"/>
  <c r="Q590" i="6"/>
  <c r="R590" i="6"/>
  <c r="S590" i="6"/>
  <c r="T590" i="6"/>
  <c r="C591" i="6"/>
  <c r="D591" i="6"/>
  <c r="E591" i="6"/>
  <c r="F591" i="6"/>
  <c r="H591" i="6"/>
  <c r="I591" i="6"/>
  <c r="L591" i="6"/>
  <c r="N591" i="6"/>
  <c r="Q591" i="6"/>
  <c r="R591" i="6"/>
  <c r="S591" i="6"/>
  <c r="T591" i="6"/>
  <c r="C592" i="6"/>
  <c r="D592" i="6"/>
  <c r="E592" i="6"/>
  <c r="F592" i="6"/>
  <c r="H592" i="6"/>
  <c r="I592" i="6"/>
  <c r="L592" i="6"/>
  <c r="N592" i="6"/>
  <c r="Q592" i="6"/>
  <c r="R592" i="6"/>
  <c r="S592" i="6"/>
  <c r="T592" i="6"/>
  <c r="C593" i="6"/>
  <c r="D593" i="6"/>
  <c r="E593" i="6"/>
  <c r="F593" i="6"/>
  <c r="H593" i="6"/>
  <c r="I593" i="6"/>
  <c r="L593" i="6"/>
  <c r="N593" i="6"/>
  <c r="Q593" i="6"/>
  <c r="R593" i="6"/>
  <c r="S593" i="6"/>
  <c r="T593" i="6"/>
  <c r="C594" i="6"/>
  <c r="D594" i="6"/>
  <c r="E594" i="6"/>
  <c r="F594" i="6"/>
  <c r="H594" i="6"/>
  <c r="I594" i="6"/>
  <c r="L594" i="6"/>
  <c r="N594" i="6"/>
  <c r="Q594" i="6"/>
  <c r="R594" i="6"/>
  <c r="S594" i="6"/>
  <c r="T594" i="6"/>
  <c r="C595" i="6"/>
  <c r="D595" i="6"/>
  <c r="E595" i="6"/>
  <c r="F595" i="6"/>
  <c r="H595" i="6"/>
  <c r="I595" i="6"/>
  <c r="L595" i="6"/>
  <c r="N595" i="6"/>
  <c r="Q595" i="6"/>
  <c r="R595" i="6"/>
  <c r="S595" i="6"/>
  <c r="T595" i="6"/>
  <c r="C596" i="6"/>
  <c r="D596" i="6"/>
  <c r="E596" i="6"/>
  <c r="F596" i="6"/>
  <c r="H596" i="6"/>
  <c r="I596" i="6"/>
  <c r="L596" i="6"/>
  <c r="N596" i="6"/>
  <c r="Q596" i="6"/>
  <c r="R596" i="6"/>
  <c r="S596" i="6"/>
  <c r="T596" i="6"/>
  <c r="C597" i="6"/>
  <c r="D597" i="6"/>
  <c r="E597" i="6"/>
  <c r="F597" i="6"/>
  <c r="H597" i="6"/>
  <c r="I597" i="6"/>
  <c r="L597" i="6"/>
  <c r="N597" i="6"/>
  <c r="Q597" i="6"/>
  <c r="R597" i="6"/>
  <c r="S597" i="6"/>
  <c r="T597" i="6"/>
  <c r="C598" i="6"/>
  <c r="D598" i="6"/>
  <c r="E598" i="6"/>
  <c r="F598" i="6"/>
  <c r="H598" i="6"/>
  <c r="I598" i="6"/>
  <c r="L598" i="6"/>
  <c r="N598" i="6"/>
  <c r="Q598" i="6"/>
  <c r="R598" i="6"/>
  <c r="S598" i="6"/>
  <c r="T598" i="6"/>
  <c r="C599" i="6"/>
  <c r="D599" i="6"/>
  <c r="E599" i="6"/>
  <c r="F599" i="6"/>
  <c r="H599" i="6"/>
  <c r="I599" i="6"/>
  <c r="L599" i="6"/>
  <c r="N599" i="6"/>
  <c r="Q599" i="6"/>
  <c r="R599" i="6"/>
  <c r="S599" i="6"/>
  <c r="T599" i="6"/>
  <c r="B600" i="6"/>
  <c r="C600" i="6"/>
  <c r="D600" i="6"/>
  <c r="E600" i="6"/>
  <c r="F600" i="6"/>
  <c r="H600" i="6"/>
  <c r="I600" i="6"/>
  <c r="N600" i="6"/>
  <c r="R600" i="6"/>
  <c r="Q600" i="6" s="1"/>
  <c r="S600" i="6" s="1"/>
  <c r="T600" i="6"/>
  <c r="B601" i="6"/>
  <c r="C601" i="6"/>
  <c r="D601" i="6"/>
  <c r="E601" i="6"/>
  <c r="F601" i="6"/>
  <c r="H601" i="6"/>
  <c r="I601" i="6"/>
  <c r="L601" i="6"/>
  <c r="N601" i="6"/>
  <c r="Q601" i="6"/>
  <c r="R601" i="6"/>
  <c r="S601" i="6"/>
  <c r="T601" i="6"/>
  <c r="B602" i="6"/>
  <c r="C602" i="6"/>
  <c r="D602" i="6"/>
  <c r="E602" i="6"/>
  <c r="F602" i="6"/>
  <c r="H602" i="6"/>
  <c r="I602" i="6"/>
  <c r="N602" i="6"/>
  <c r="R602" i="6"/>
  <c r="Q602" i="6" s="1"/>
  <c r="S602" i="6" s="1"/>
  <c r="T602" i="6"/>
  <c r="B603" i="6"/>
  <c r="C603" i="6"/>
  <c r="D603" i="6"/>
  <c r="E603" i="6"/>
  <c r="F603" i="6"/>
  <c r="H603" i="6"/>
  <c r="I603" i="6"/>
  <c r="L603" i="6"/>
  <c r="N603" i="6"/>
  <c r="Q603" i="6"/>
  <c r="R603" i="6"/>
  <c r="S603" i="6"/>
  <c r="T603" i="6"/>
  <c r="B604" i="6"/>
  <c r="C604" i="6"/>
  <c r="D604" i="6"/>
  <c r="E604" i="6"/>
  <c r="F604" i="6"/>
  <c r="H604" i="6"/>
  <c r="I604" i="6"/>
  <c r="N604" i="6"/>
  <c r="R604" i="6"/>
  <c r="Q604" i="6" s="1"/>
  <c r="S604" i="6" s="1"/>
  <c r="T604" i="6"/>
  <c r="B605" i="6"/>
  <c r="C605" i="6"/>
  <c r="D605" i="6"/>
  <c r="E605" i="6"/>
  <c r="F605" i="6"/>
  <c r="H605" i="6"/>
  <c r="I605" i="6"/>
  <c r="L605" i="6"/>
  <c r="N605" i="6"/>
  <c r="Q605" i="6"/>
  <c r="R605" i="6"/>
  <c r="S605" i="6"/>
  <c r="T605" i="6"/>
  <c r="B606" i="6"/>
  <c r="C606" i="6"/>
  <c r="D606" i="6"/>
  <c r="E606" i="6"/>
  <c r="F606" i="6"/>
  <c r="H606" i="6"/>
  <c r="I606" i="6"/>
  <c r="N606" i="6"/>
  <c r="R606" i="6"/>
  <c r="Q606" i="6" s="1"/>
  <c r="S606" i="6" s="1"/>
  <c r="T606" i="6"/>
  <c r="B607" i="6"/>
  <c r="C607" i="6"/>
  <c r="D607" i="6"/>
  <c r="E607" i="6"/>
  <c r="F607" i="6"/>
  <c r="H607" i="6"/>
  <c r="I607" i="6"/>
  <c r="L607" i="6"/>
  <c r="N607" i="6"/>
  <c r="Q607" i="6"/>
  <c r="R607" i="6"/>
  <c r="S607" i="6"/>
  <c r="T607" i="6"/>
  <c r="B608" i="6"/>
  <c r="C608" i="6"/>
  <c r="D608" i="6"/>
  <c r="E608" i="6"/>
  <c r="F608" i="6"/>
  <c r="H608" i="6"/>
  <c r="I608" i="6"/>
  <c r="N608" i="6"/>
  <c r="R608" i="6"/>
  <c r="Q608" i="6" s="1"/>
  <c r="S608" i="6" s="1"/>
  <c r="T608" i="6"/>
  <c r="B609" i="6"/>
  <c r="C609" i="6"/>
  <c r="D609" i="6"/>
  <c r="E609" i="6"/>
  <c r="F609" i="6"/>
  <c r="H609" i="6"/>
  <c r="I609" i="6"/>
  <c r="L609" i="6"/>
  <c r="N609" i="6"/>
  <c r="Q609" i="6"/>
  <c r="R609" i="6"/>
  <c r="S609" i="6"/>
  <c r="T609" i="6"/>
  <c r="B610" i="6"/>
  <c r="C610" i="6"/>
  <c r="D610" i="6"/>
  <c r="E610" i="6"/>
  <c r="F610" i="6"/>
  <c r="H610" i="6"/>
  <c r="I610" i="6"/>
  <c r="N610" i="6"/>
  <c r="R610" i="6"/>
  <c r="Q610" i="6" s="1"/>
  <c r="S610" i="6" s="1"/>
  <c r="T610" i="6"/>
  <c r="B611" i="6"/>
  <c r="C611" i="6"/>
  <c r="D611" i="6"/>
  <c r="E611" i="6"/>
  <c r="F611" i="6"/>
  <c r="H611" i="6"/>
  <c r="I611" i="6"/>
  <c r="L611" i="6"/>
  <c r="N611" i="6"/>
  <c r="Q611" i="6"/>
  <c r="R611" i="6"/>
  <c r="S611" i="6"/>
  <c r="T611" i="6"/>
  <c r="B612" i="6"/>
  <c r="C612" i="6"/>
  <c r="D612" i="6"/>
  <c r="E612" i="6"/>
  <c r="F612" i="6"/>
  <c r="H612" i="6"/>
  <c r="I612" i="6"/>
  <c r="N612" i="6"/>
  <c r="R612" i="6"/>
  <c r="Q612" i="6" s="1"/>
  <c r="S612" i="6" s="1"/>
  <c r="T612" i="6"/>
  <c r="B613" i="6"/>
  <c r="C613" i="6"/>
  <c r="D613" i="6"/>
  <c r="E613" i="6"/>
  <c r="F613" i="6"/>
  <c r="H613" i="6"/>
  <c r="I613" i="6"/>
  <c r="L613" i="6"/>
  <c r="N613" i="6"/>
  <c r="Q613" i="6"/>
  <c r="R613" i="6"/>
  <c r="S613" i="6"/>
  <c r="T613" i="6"/>
  <c r="B614" i="6"/>
  <c r="C614" i="6"/>
  <c r="D614" i="6"/>
  <c r="E614" i="6"/>
  <c r="F614" i="6"/>
  <c r="H614" i="6"/>
  <c r="I614" i="6"/>
  <c r="N614" i="6"/>
  <c r="R614" i="6"/>
  <c r="Q614" i="6" s="1"/>
  <c r="S614" i="6" s="1"/>
  <c r="T614" i="6"/>
  <c r="B615" i="6"/>
  <c r="C615" i="6"/>
  <c r="D615" i="6"/>
  <c r="E615" i="6"/>
  <c r="F615" i="6"/>
  <c r="H615" i="6"/>
  <c r="I615" i="6"/>
  <c r="L615" i="6"/>
  <c r="N615" i="6"/>
  <c r="Q615" i="6"/>
  <c r="R615" i="6"/>
  <c r="S615" i="6"/>
  <c r="T615" i="6"/>
  <c r="B616" i="6"/>
  <c r="C616" i="6"/>
  <c r="D616" i="6"/>
  <c r="E616" i="6"/>
  <c r="F616" i="6"/>
  <c r="H616" i="6"/>
  <c r="I616" i="6"/>
  <c r="N616" i="6"/>
  <c r="R616" i="6"/>
  <c r="Q616" i="6" s="1"/>
  <c r="S616" i="6" s="1"/>
  <c r="T616" i="6"/>
  <c r="B617" i="6"/>
  <c r="C617" i="6"/>
  <c r="D617" i="6"/>
  <c r="E617" i="6"/>
  <c r="F617" i="6"/>
  <c r="H617" i="6"/>
  <c r="I617" i="6"/>
  <c r="L617" i="6"/>
  <c r="N617" i="6"/>
  <c r="Q617" i="6"/>
  <c r="R617" i="6"/>
  <c r="S617" i="6"/>
  <c r="T617" i="6"/>
  <c r="B618" i="6"/>
  <c r="C618" i="6"/>
  <c r="D618" i="6"/>
  <c r="E618" i="6"/>
  <c r="F618" i="6"/>
  <c r="H618" i="6"/>
  <c r="I618" i="6"/>
  <c r="N618" i="6"/>
  <c r="R618" i="6"/>
  <c r="Q618" i="6" s="1"/>
  <c r="S618" i="6" s="1"/>
  <c r="T618" i="6"/>
  <c r="B619" i="6"/>
  <c r="C619" i="6"/>
  <c r="D619" i="6"/>
  <c r="E619" i="6"/>
  <c r="F619" i="6"/>
  <c r="H619" i="6"/>
  <c r="I619" i="6"/>
  <c r="L619" i="6"/>
  <c r="N619" i="6"/>
  <c r="Q619" i="6"/>
  <c r="R619" i="6"/>
  <c r="S619" i="6"/>
  <c r="T619" i="6"/>
  <c r="B620" i="6"/>
  <c r="C620" i="6"/>
  <c r="D620" i="6"/>
  <c r="E620" i="6"/>
  <c r="F620" i="6"/>
  <c r="H620" i="6"/>
  <c r="I620" i="6"/>
  <c r="N620" i="6"/>
  <c r="R620" i="6"/>
  <c r="Q620" i="6" s="1"/>
  <c r="S620" i="6" s="1"/>
  <c r="T620" i="6"/>
  <c r="B621" i="6"/>
  <c r="C621" i="6"/>
  <c r="D621" i="6"/>
  <c r="E621" i="6"/>
  <c r="F621" i="6"/>
  <c r="H621" i="6"/>
  <c r="I621" i="6"/>
  <c r="L621" i="6"/>
  <c r="N621" i="6"/>
  <c r="Q621" i="6"/>
  <c r="R621" i="6"/>
  <c r="S621" i="6"/>
  <c r="T621" i="6"/>
  <c r="B622" i="6"/>
  <c r="C622" i="6"/>
  <c r="D622" i="6"/>
  <c r="E622" i="6"/>
  <c r="F622" i="6"/>
  <c r="H622" i="6"/>
  <c r="I622" i="6"/>
  <c r="N622" i="6"/>
  <c r="R622" i="6"/>
  <c r="Q622" i="6" s="1"/>
  <c r="S622" i="6" s="1"/>
  <c r="T622" i="6"/>
  <c r="B623" i="6"/>
  <c r="C623" i="6"/>
  <c r="D623" i="6"/>
  <c r="E623" i="6"/>
  <c r="F623" i="6"/>
  <c r="H623" i="6"/>
  <c r="I623" i="6"/>
  <c r="L623" i="6"/>
  <c r="N623" i="6"/>
  <c r="Q623" i="6"/>
  <c r="R623" i="6"/>
  <c r="S623" i="6"/>
  <c r="T623" i="6"/>
  <c r="B624" i="6"/>
  <c r="C624" i="6"/>
  <c r="D624" i="6"/>
  <c r="E624" i="6"/>
  <c r="F624" i="6"/>
  <c r="H624" i="6"/>
  <c r="I624" i="6"/>
  <c r="N624" i="6"/>
  <c r="R624" i="6"/>
  <c r="Q624" i="6" s="1"/>
  <c r="S624" i="6" s="1"/>
  <c r="T624" i="6"/>
  <c r="B625" i="6"/>
  <c r="C625" i="6"/>
  <c r="D625" i="6"/>
  <c r="E625" i="6"/>
  <c r="F625" i="6"/>
  <c r="H625" i="6"/>
  <c r="I625" i="6"/>
  <c r="L625" i="6"/>
  <c r="N625" i="6"/>
  <c r="Q625" i="6"/>
  <c r="R625" i="6"/>
  <c r="S625" i="6"/>
  <c r="T625" i="6"/>
  <c r="B626" i="6"/>
  <c r="C626" i="6"/>
  <c r="D626" i="6"/>
  <c r="E626" i="6"/>
  <c r="F626" i="6"/>
  <c r="H626" i="6"/>
  <c r="I626" i="6"/>
  <c r="N626" i="6"/>
  <c r="R626" i="6"/>
  <c r="Q626" i="6" s="1"/>
  <c r="S626" i="6" s="1"/>
  <c r="T626" i="6"/>
  <c r="B627" i="6"/>
  <c r="C627" i="6"/>
  <c r="D627" i="6"/>
  <c r="E627" i="6"/>
  <c r="F627" i="6"/>
  <c r="H627" i="6"/>
  <c r="I627" i="6"/>
  <c r="L627" i="6"/>
  <c r="N627" i="6"/>
  <c r="Q627" i="6"/>
  <c r="R627" i="6"/>
  <c r="S627" i="6"/>
  <c r="T627" i="6"/>
  <c r="B628" i="6"/>
  <c r="C628" i="6"/>
  <c r="D628" i="6"/>
  <c r="E628" i="6"/>
  <c r="F628" i="6"/>
  <c r="H628" i="6"/>
  <c r="I628" i="6"/>
  <c r="N628" i="6"/>
  <c r="R628" i="6"/>
  <c r="Q628" i="6" s="1"/>
  <c r="S628" i="6" s="1"/>
  <c r="T628" i="6"/>
  <c r="B629" i="6"/>
  <c r="C629" i="6"/>
  <c r="D629" i="6"/>
  <c r="E629" i="6"/>
  <c r="F629" i="6"/>
  <c r="H629" i="6"/>
  <c r="I629" i="6"/>
  <c r="L629" i="6"/>
  <c r="N629" i="6"/>
  <c r="Q629" i="6"/>
  <c r="R629" i="6"/>
  <c r="S629" i="6"/>
  <c r="T629" i="6"/>
  <c r="B630" i="6"/>
  <c r="C630" i="6"/>
  <c r="D630" i="6"/>
  <c r="E630" i="6"/>
  <c r="F630" i="6"/>
  <c r="H630" i="6"/>
  <c r="I630" i="6"/>
  <c r="N630" i="6"/>
  <c r="R630" i="6"/>
  <c r="Q630" i="6" s="1"/>
  <c r="S630" i="6" s="1"/>
  <c r="T630" i="6"/>
  <c r="B631" i="6"/>
  <c r="C631" i="6"/>
  <c r="D631" i="6"/>
  <c r="E631" i="6"/>
  <c r="F631" i="6"/>
  <c r="H631" i="6"/>
  <c r="I631" i="6"/>
  <c r="L631" i="6"/>
  <c r="N631" i="6"/>
  <c r="Q631" i="6"/>
  <c r="R631" i="6"/>
  <c r="S631" i="6"/>
  <c r="T631" i="6"/>
  <c r="B632" i="6"/>
  <c r="C632" i="6"/>
  <c r="D632" i="6"/>
  <c r="E632" i="6"/>
  <c r="F632" i="6"/>
  <c r="H632" i="6"/>
  <c r="I632" i="6"/>
  <c r="N632" i="6"/>
  <c r="R632" i="6"/>
  <c r="Q632" i="6" s="1"/>
  <c r="S632" i="6" s="1"/>
  <c r="T632" i="6"/>
  <c r="B633" i="6"/>
  <c r="C633" i="6"/>
  <c r="D633" i="6"/>
  <c r="E633" i="6"/>
  <c r="F633" i="6"/>
  <c r="H633" i="6"/>
  <c r="I633" i="6"/>
  <c r="L633" i="6"/>
  <c r="N633" i="6"/>
  <c r="Q633" i="6"/>
  <c r="R633" i="6"/>
  <c r="S633" i="6"/>
  <c r="T633" i="6"/>
  <c r="B634" i="6"/>
  <c r="C634" i="6"/>
  <c r="D634" i="6"/>
  <c r="E634" i="6"/>
  <c r="F634" i="6"/>
  <c r="H634" i="6"/>
  <c r="I634" i="6"/>
  <c r="N634" i="6"/>
  <c r="R634" i="6"/>
  <c r="Q634" i="6" s="1"/>
  <c r="S634" i="6" s="1"/>
  <c r="T634" i="6"/>
  <c r="B635" i="6"/>
  <c r="C635" i="6"/>
  <c r="D635" i="6"/>
  <c r="E635" i="6"/>
  <c r="F635" i="6"/>
  <c r="H635" i="6"/>
  <c r="I635" i="6"/>
  <c r="L635" i="6"/>
  <c r="N635" i="6"/>
  <c r="Q635" i="6"/>
  <c r="R635" i="6"/>
  <c r="S635" i="6"/>
  <c r="T635" i="6"/>
  <c r="B636" i="6"/>
  <c r="C636" i="6"/>
  <c r="D636" i="6"/>
  <c r="E636" i="6"/>
  <c r="F636" i="6"/>
  <c r="H636" i="6"/>
  <c r="I636" i="6"/>
  <c r="N636" i="6"/>
  <c r="R636" i="6"/>
  <c r="Q636" i="6" s="1"/>
  <c r="S636" i="6" s="1"/>
  <c r="T636" i="6"/>
  <c r="B637" i="6"/>
  <c r="C637" i="6"/>
  <c r="D637" i="6"/>
  <c r="E637" i="6"/>
  <c r="F637" i="6"/>
  <c r="H637" i="6"/>
  <c r="I637" i="6"/>
  <c r="L637" i="6"/>
  <c r="N637" i="6"/>
  <c r="Q637" i="6"/>
  <c r="R637" i="6"/>
  <c r="S637" i="6"/>
  <c r="T637" i="6"/>
  <c r="B638" i="6"/>
  <c r="C638" i="6"/>
  <c r="D638" i="6"/>
  <c r="E638" i="6"/>
  <c r="F638" i="6"/>
  <c r="H638" i="6"/>
  <c r="I638" i="6"/>
  <c r="N638" i="6"/>
  <c r="R638" i="6"/>
  <c r="Q638" i="6" s="1"/>
  <c r="S638" i="6" s="1"/>
  <c r="T638" i="6"/>
  <c r="B639" i="6"/>
  <c r="C639" i="6"/>
  <c r="D639" i="6"/>
  <c r="E639" i="6"/>
  <c r="F639" i="6"/>
  <c r="H639" i="6"/>
  <c r="I639" i="6"/>
  <c r="L639" i="6"/>
  <c r="N639" i="6"/>
  <c r="Q639" i="6"/>
  <c r="R639" i="6"/>
  <c r="S639" i="6"/>
  <c r="T639" i="6"/>
  <c r="B640" i="6"/>
  <c r="C640" i="6"/>
  <c r="D640" i="6"/>
  <c r="E640" i="6"/>
  <c r="F640" i="6"/>
  <c r="H640" i="6"/>
  <c r="I640" i="6"/>
  <c r="N640" i="6"/>
  <c r="R640" i="6"/>
  <c r="Q640" i="6" s="1"/>
  <c r="S640" i="6" s="1"/>
  <c r="T640" i="6"/>
  <c r="B641" i="6"/>
  <c r="C641" i="6"/>
  <c r="D641" i="6"/>
  <c r="E641" i="6"/>
  <c r="F641" i="6"/>
  <c r="H641" i="6"/>
  <c r="I641" i="6"/>
  <c r="L641" i="6"/>
  <c r="N641" i="6"/>
  <c r="Q641" i="6"/>
  <c r="R641" i="6"/>
  <c r="S641" i="6"/>
  <c r="T641" i="6"/>
  <c r="B642" i="6"/>
  <c r="C642" i="6"/>
  <c r="D642" i="6"/>
  <c r="E642" i="6"/>
  <c r="F642" i="6"/>
  <c r="H642" i="6"/>
  <c r="I642" i="6"/>
  <c r="N642" i="6"/>
  <c r="R642" i="6"/>
  <c r="Q642" i="6" s="1"/>
  <c r="S642" i="6" s="1"/>
  <c r="T642" i="6"/>
  <c r="B643" i="6"/>
  <c r="C643" i="6"/>
  <c r="D643" i="6"/>
  <c r="E643" i="6"/>
  <c r="F643" i="6"/>
  <c r="H643" i="6"/>
  <c r="I643" i="6"/>
  <c r="L643" i="6"/>
  <c r="N643" i="6"/>
  <c r="Q643" i="6"/>
  <c r="R643" i="6"/>
  <c r="S643" i="6"/>
  <c r="T643" i="6"/>
  <c r="B644" i="6"/>
  <c r="C644" i="6"/>
  <c r="D644" i="6"/>
  <c r="E644" i="6"/>
  <c r="F644" i="6"/>
  <c r="H644" i="6"/>
  <c r="I644" i="6"/>
  <c r="N644" i="6"/>
  <c r="Q644" i="6"/>
  <c r="R644" i="6"/>
  <c r="S644" i="6"/>
  <c r="T644" i="6"/>
  <c r="B645" i="6"/>
  <c r="C645" i="6"/>
  <c r="D645" i="6"/>
  <c r="L645" i="6" s="1"/>
  <c r="E645" i="6"/>
  <c r="F645" i="6"/>
  <c r="H645" i="6"/>
  <c r="I645" i="6"/>
  <c r="N645" i="6"/>
  <c r="R645" i="6"/>
  <c r="Q645" i="6" s="1"/>
  <c r="S645" i="6" s="1"/>
  <c r="T645" i="6"/>
  <c r="B646" i="6"/>
  <c r="C646" i="6"/>
  <c r="D646" i="6"/>
  <c r="E646" i="6"/>
  <c r="F646" i="6"/>
  <c r="H646" i="6"/>
  <c r="I646" i="6"/>
  <c r="L646" i="6"/>
  <c r="N646" i="6"/>
  <c r="Q646" i="6"/>
  <c r="R646" i="6"/>
  <c r="S646" i="6"/>
  <c r="T646" i="6"/>
  <c r="B647" i="6"/>
  <c r="C647" i="6"/>
  <c r="D647" i="6"/>
  <c r="L647" i="6" s="1"/>
  <c r="E647" i="6"/>
  <c r="F647" i="6"/>
  <c r="H647" i="6"/>
  <c r="I647" i="6"/>
  <c r="N647" i="6"/>
  <c r="R647" i="6"/>
  <c r="Q647" i="6" s="1"/>
  <c r="S647" i="6" s="1"/>
  <c r="T647" i="6"/>
  <c r="B648" i="6"/>
  <c r="C648" i="6"/>
  <c r="D648" i="6"/>
  <c r="E648" i="6"/>
  <c r="F648" i="6"/>
  <c r="H648" i="6"/>
  <c r="I648" i="6"/>
  <c r="L648" i="6"/>
  <c r="N648" i="6"/>
  <c r="Q648" i="6"/>
  <c r="R648" i="6"/>
  <c r="S648" i="6"/>
  <c r="T648" i="6"/>
  <c r="B649" i="6"/>
  <c r="C649" i="6"/>
  <c r="D649" i="6"/>
  <c r="L649" i="6" s="1"/>
  <c r="E649" i="6"/>
  <c r="F649" i="6"/>
  <c r="H649" i="6"/>
  <c r="I649" i="6"/>
  <c r="N649" i="6"/>
  <c r="R649" i="6"/>
  <c r="Q649" i="6" s="1"/>
  <c r="S649" i="6" s="1"/>
  <c r="T649" i="6"/>
  <c r="B650" i="6"/>
  <c r="C650" i="6"/>
  <c r="D650" i="6"/>
  <c r="E650" i="6"/>
  <c r="F650" i="6"/>
  <c r="H650" i="6"/>
  <c r="I650" i="6"/>
  <c r="L650" i="6"/>
  <c r="N650" i="6"/>
  <c r="Q650" i="6"/>
  <c r="R650" i="6"/>
  <c r="S650" i="6"/>
  <c r="T650" i="6"/>
  <c r="B651" i="6"/>
  <c r="C651" i="6"/>
  <c r="D651" i="6"/>
  <c r="L651" i="6" s="1"/>
  <c r="E651" i="6"/>
  <c r="F651" i="6"/>
  <c r="H651" i="6"/>
  <c r="I651" i="6"/>
  <c r="N651" i="6"/>
  <c r="R651" i="6"/>
  <c r="Q651" i="6" s="1"/>
  <c r="S651" i="6" s="1"/>
  <c r="T651" i="6"/>
  <c r="B652" i="6"/>
  <c r="C652" i="6"/>
  <c r="D652" i="6"/>
  <c r="E652" i="6"/>
  <c r="F652" i="6"/>
  <c r="H652" i="6"/>
  <c r="I652" i="6"/>
  <c r="L652" i="6"/>
  <c r="N652" i="6"/>
  <c r="Q652" i="6"/>
  <c r="R652" i="6"/>
  <c r="S652" i="6"/>
  <c r="T652" i="6"/>
  <c r="B653" i="6"/>
  <c r="C653" i="6"/>
  <c r="D653" i="6"/>
  <c r="L653" i="6" s="1"/>
  <c r="E653" i="6"/>
  <c r="F653" i="6"/>
  <c r="H653" i="6"/>
  <c r="I653" i="6"/>
  <c r="N653" i="6"/>
  <c r="R653" i="6"/>
  <c r="Q653" i="6" s="1"/>
  <c r="S653" i="6" s="1"/>
  <c r="T653" i="6"/>
  <c r="B654" i="6"/>
  <c r="C654" i="6"/>
  <c r="D654" i="6"/>
  <c r="E654" i="6"/>
  <c r="F654" i="6"/>
  <c r="H654" i="6"/>
  <c r="I654" i="6"/>
  <c r="L654" i="6"/>
  <c r="N654" i="6"/>
  <c r="Q654" i="6"/>
  <c r="R654" i="6"/>
  <c r="S654" i="6"/>
  <c r="T654" i="6"/>
  <c r="B655" i="6"/>
  <c r="C655" i="6"/>
  <c r="D655" i="6"/>
  <c r="L655" i="6" s="1"/>
  <c r="E655" i="6"/>
  <c r="F655" i="6"/>
  <c r="H655" i="6"/>
  <c r="I655" i="6"/>
  <c r="N655" i="6"/>
  <c r="R655" i="6"/>
  <c r="Q655" i="6" s="1"/>
  <c r="S655" i="6" s="1"/>
  <c r="T655" i="6"/>
  <c r="B656" i="6"/>
  <c r="C656" i="6"/>
  <c r="D656" i="6"/>
  <c r="E656" i="6"/>
  <c r="F656" i="6"/>
  <c r="H656" i="6"/>
  <c r="I656" i="6"/>
  <c r="L656" i="6"/>
  <c r="N656" i="6"/>
  <c r="Q656" i="6"/>
  <c r="R656" i="6"/>
  <c r="S656" i="6"/>
  <c r="T656" i="6"/>
  <c r="B657" i="6"/>
  <c r="C657" i="6"/>
  <c r="D657" i="6"/>
  <c r="L657" i="6" s="1"/>
  <c r="E657" i="6"/>
  <c r="F657" i="6"/>
  <c r="H657" i="6"/>
  <c r="I657" i="6"/>
  <c r="N657" i="6"/>
  <c r="R657" i="6"/>
  <c r="Q657" i="6" s="1"/>
  <c r="S657" i="6" s="1"/>
  <c r="T657" i="6"/>
  <c r="B658" i="6"/>
  <c r="C658" i="6"/>
  <c r="D658" i="6"/>
  <c r="E658" i="6"/>
  <c r="F658" i="6"/>
  <c r="H658" i="6"/>
  <c r="I658" i="6"/>
  <c r="L658" i="6"/>
  <c r="N658" i="6"/>
  <c r="Q658" i="6"/>
  <c r="R658" i="6"/>
  <c r="S658" i="6"/>
  <c r="T658" i="6"/>
  <c r="B659" i="6"/>
  <c r="C659" i="6"/>
  <c r="D659" i="6"/>
  <c r="L659" i="6" s="1"/>
  <c r="E659" i="6"/>
  <c r="F659" i="6"/>
  <c r="H659" i="6"/>
  <c r="I659" i="6"/>
  <c r="N659" i="6"/>
  <c r="R659" i="6"/>
  <c r="Q659" i="6" s="1"/>
  <c r="S659" i="6" s="1"/>
  <c r="T659" i="6"/>
  <c r="B660" i="6"/>
  <c r="C660" i="6"/>
  <c r="D660" i="6"/>
  <c r="E660" i="6"/>
  <c r="F660" i="6"/>
  <c r="H660" i="6"/>
  <c r="I660" i="6"/>
  <c r="L660" i="6"/>
  <c r="N660" i="6"/>
  <c r="Q660" i="6"/>
  <c r="R660" i="6"/>
  <c r="S660" i="6"/>
  <c r="T660" i="6"/>
  <c r="B661" i="6"/>
  <c r="C661" i="6"/>
  <c r="D661" i="6"/>
  <c r="L661" i="6" s="1"/>
  <c r="E661" i="6"/>
  <c r="F661" i="6"/>
  <c r="H661" i="6"/>
  <c r="I661" i="6"/>
  <c r="N661" i="6"/>
  <c r="R661" i="6"/>
  <c r="Q661" i="6" s="1"/>
  <c r="S661" i="6" s="1"/>
  <c r="T661" i="6"/>
  <c r="B662" i="6"/>
  <c r="C662" i="6"/>
  <c r="D662" i="6"/>
  <c r="E662" i="6"/>
  <c r="F662" i="6"/>
  <c r="H662" i="6"/>
  <c r="I662" i="6"/>
  <c r="L662" i="6"/>
  <c r="N662" i="6"/>
  <c r="Q662" i="6"/>
  <c r="R662" i="6"/>
  <c r="S662" i="6"/>
  <c r="T662" i="6"/>
  <c r="B663" i="6"/>
  <c r="C663" i="6"/>
  <c r="D663" i="6"/>
  <c r="L663" i="6" s="1"/>
  <c r="E663" i="6"/>
  <c r="F663" i="6"/>
  <c r="H663" i="6"/>
  <c r="I663" i="6"/>
  <c r="N663" i="6"/>
  <c r="R663" i="6"/>
  <c r="Q663" i="6" s="1"/>
  <c r="S663" i="6" s="1"/>
  <c r="T663" i="6"/>
  <c r="B664" i="6"/>
  <c r="C664" i="6"/>
  <c r="D664" i="6"/>
  <c r="E664" i="6"/>
  <c r="F664" i="6"/>
  <c r="H664" i="6"/>
  <c r="I664" i="6"/>
  <c r="L664" i="6"/>
  <c r="N664" i="6"/>
  <c r="Q664" i="6"/>
  <c r="R664" i="6"/>
  <c r="S664" i="6"/>
  <c r="T664" i="6"/>
  <c r="B665" i="6"/>
  <c r="C665" i="6"/>
  <c r="D665" i="6"/>
  <c r="L665" i="6" s="1"/>
  <c r="E665" i="6"/>
  <c r="F665" i="6"/>
  <c r="H665" i="6"/>
  <c r="I665" i="6"/>
  <c r="N665" i="6"/>
  <c r="R665" i="6"/>
  <c r="Q665" i="6" s="1"/>
  <c r="S665" i="6" s="1"/>
  <c r="T665" i="6"/>
  <c r="B666" i="6"/>
  <c r="C666" i="6"/>
  <c r="D666" i="6"/>
  <c r="E666" i="6"/>
  <c r="F666" i="6"/>
  <c r="H666" i="6"/>
  <c r="I666" i="6"/>
  <c r="L666" i="6"/>
  <c r="N666" i="6"/>
  <c r="Q666" i="6"/>
  <c r="R666" i="6"/>
  <c r="S666" i="6"/>
  <c r="T666" i="6"/>
  <c r="B667" i="6"/>
  <c r="C667" i="6"/>
  <c r="D667" i="6"/>
  <c r="L667" i="6" s="1"/>
  <c r="E667" i="6"/>
  <c r="F667" i="6"/>
  <c r="H667" i="6"/>
  <c r="I667" i="6"/>
  <c r="N667" i="6"/>
  <c r="R667" i="6"/>
  <c r="Q667" i="6" s="1"/>
  <c r="S667" i="6" s="1"/>
  <c r="T667" i="6"/>
  <c r="B668" i="6"/>
  <c r="C668" i="6"/>
  <c r="D668" i="6"/>
  <c r="E668" i="6"/>
  <c r="F668" i="6"/>
  <c r="H668" i="6"/>
  <c r="I668" i="6"/>
  <c r="L668" i="6"/>
  <c r="N668" i="6"/>
  <c r="Q668" i="6"/>
  <c r="R668" i="6"/>
  <c r="S668" i="6"/>
  <c r="T668" i="6"/>
  <c r="B669" i="6"/>
  <c r="C669" i="6"/>
  <c r="D669" i="6"/>
  <c r="L669" i="6" s="1"/>
  <c r="E669" i="6"/>
  <c r="F669" i="6"/>
  <c r="H669" i="6"/>
  <c r="I669" i="6"/>
  <c r="N669" i="6"/>
  <c r="R669" i="6"/>
  <c r="Q669" i="6" s="1"/>
  <c r="S669" i="6" s="1"/>
  <c r="T669" i="6"/>
  <c r="B670" i="6"/>
  <c r="C670" i="6"/>
  <c r="D670" i="6"/>
  <c r="E670" i="6"/>
  <c r="F670" i="6"/>
  <c r="H670" i="6"/>
  <c r="I670" i="6"/>
  <c r="L670" i="6"/>
  <c r="N670" i="6"/>
  <c r="Q670" i="6"/>
  <c r="R670" i="6"/>
  <c r="S670" i="6"/>
  <c r="T670" i="6"/>
  <c r="B671" i="6"/>
  <c r="C671" i="6"/>
  <c r="D671" i="6"/>
  <c r="L671" i="6" s="1"/>
  <c r="E671" i="6"/>
  <c r="F671" i="6"/>
  <c r="H671" i="6"/>
  <c r="I671" i="6"/>
  <c r="N671" i="6"/>
  <c r="R671" i="6"/>
  <c r="Q671" i="6" s="1"/>
  <c r="S671" i="6" s="1"/>
  <c r="T671" i="6"/>
  <c r="B672" i="6"/>
  <c r="C672" i="6"/>
  <c r="D672" i="6"/>
  <c r="E672" i="6"/>
  <c r="F672" i="6"/>
  <c r="H672" i="6"/>
  <c r="I672" i="6"/>
  <c r="L672" i="6"/>
  <c r="N672" i="6"/>
  <c r="Q672" i="6"/>
  <c r="R672" i="6"/>
  <c r="S672" i="6"/>
  <c r="T672" i="6"/>
  <c r="B673" i="6"/>
  <c r="C673" i="6"/>
  <c r="D673" i="6"/>
  <c r="L673" i="6" s="1"/>
  <c r="E673" i="6"/>
  <c r="F673" i="6"/>
  <c r="H673" i="6"/>
  <c r="I673" i="6"/>
  <c r="N673" i="6"/>
  <c r="R673" i="6"/>
  <c r="Q673" i="6" s="1"/>
  <c r="S673" i="6" s="1"/>
  <c r="T673" i="6"/>
  <c r="B674" i="6"/>
  <c r="C674" i="6"/>
  <c r="D674" i="6"/>
  <c r="E674" i="6"/>
  <c r="F674" i="6"/>
  <c r="H674" i="6"/>
  <c r="I674" i="6"/>
  <c r="L674" i="6"/>
  <c r="N674" i="6"/>
  <c r="Q674" i="6"/>
  <c r="R674" i="6"/>
  <c r="S674" i="6"/>
  <c r="T674" i="6"/>
  <c r="B675" i="6"/>
  <c r="C675" i="6"/>
  <c r="D675" i="6"/>
  <c r="L675" i="6" s="1"/>
  <c r="E675" i="6"/>
  <c r="F675" i="6"/>
  <c r="H675" i="6"/>
  <c r="I675" i="6"/>
  <c r="N675" i="6"/>
  <c r="R675" i="6"/>
  <c r="Q675" i="6" s="1"/>
  <c r="S675" i="6" s="1"/>
  <c r="T675" i="6"/>
  <c r="B676" i="6"/>
  <c r="C676" i="6"/>
  <c r="D676" i="6"/>
  <c r="E676" i="6"/>
  <c r="F676" i="6"/>
  <c r="H676" i="6"/>
  <c r="I676" i="6"/>
  <c r="L676" i="6"/>
  <c r="N676" i="6"/>
  <c r="Q676" i="6"/>
  <c r="R676" i="6"/>
  <c r="S676" i="6"/>
  <c r="T676" i="6"/>
  <c r="B677" i="6"/>
  <c r="C677" i="6"/>
  <c r="D677" i="6"/>
  <c r="L677" i="6" s="1"/>
  <c r="E677" i="6"/>
  <c r="F677" i="6"/>
  <c r="H677" i="6"/>
  <c r="I677" i="6"/>
  <c r="N677" i="6"/>
  <c r="R677" i="6"/>
  <c r="Q677" i="6" s="1"/>
  <c r="S677" i="6" s="1"/>
  <c r="T677" i="6"/>
  <c r="B678" i="6"/>
  <c r="C678" i="6"/>
  <c r="D678" i="6"/>
  <c r="E678" i="6"/>
  <c r="F678" i="6"/>
  <c r="H678" i="6"/>
  <c r="I678" i="6"/>
  <c r="L678" i="6"/>
  <c r="N678" i="6"/>
  <c r="Q678" i="6"/>
  <c r="R678" i="6"/>
  <c r="S678" i="6"/>
  <c r="T678" i="6"/>
  <c r="B679" i="6"/>
  <c r="C679" i="6"/>
  <c r="D679" i="6"/>
  <c r="L679" i="6" s="1"/>
  <c r="E679" i="6"/>
  <c r="F679" i="6"/>
  <c r="H679" i="6"/>
  <c r="I679" i="6"/>
  <c r="N679" i="6"/>
  <c r="R679" i="6"/>
  <c r="Q679" i="6" s="1"/>
  <c r="S679" i="6" s="1"/>
  <c r="T679" i="6"/>
  <c r="B680" i="6"/>
  <c r="C680" i="6"/>
  <c r="D680" i="6"/>
  <c r="E680" i="6"/>
  <c r="F680" i="6"/>
  <c r="H680" i="6"/>
  <c r="I680" i="6"/>
  <c r="L680" i="6"/>
  <c r="N680" i="6"/>
  <c r="Q680" i="6"/>
  <c r="R680" i="6"/>
  <c r="S680" i="6"/>
  <c r="T680" i="6"/>
  <c r="B681" i="6"/>
  <c r="C681" i="6"/>
  <c r="D681" i="6"/>
  <c r="L681" i="6" s="1"/>
  <c r="E681" i="6"/>
  <c r="F681" i="6"/>
  <c r="H681" i="6"/>
  <c r="I681" i="6"/>
  <c r="N681" i="6"/>
  <c r="R681" i="6"/>
  <c r="Q681" i="6" s="1"/>
  <c r="S681" i="6" s="1"/>
  <c r="T681" i="6"/>
  <c r="B682" i="6"/>
  <c r="C682" i="6"/>
  <c r="D682" i="6"/>
  <c r="E682" i="6"/>
  <c r="F682" i="6"/>
  <c r="H682" i="6"/>
  <c r="I682" i="6"/>
  <c r="L682" i="6"/>
  <c r="N682" i="6"/>
  <c r="Q682" i="6"/>
  <c r="R682" i="6"/>
  <c r="S682" i="6"/>
  <c r="T682" i="6"/>
  <c r="B683" i="6"/>
  <c r="C683" i="6"/>
  <c r="D683" i="6"/>
  <c r="E683" i="6"/>
  <c r="F683" i="6"/>
  <c r="H683" i="6"/>
  <c r="I683" i="6"/>
  <c r="N683" i="6"/>
  <c r="R683" i="6"/>
  <c r="Q683" i="6" s="1"/>
  <c r="S683" i="6" s="1"/>
  <c r="T683" i="6"/>
  <c r="B684" i="6"/>
  <c r="C684" i="6"/>
  <c r="D684" i="6"/>
  <c r="E684" i="6"/>
  <c r="F684" i="6"/>
  <c r="H684" i="6"/>
  <c r="I684" i="6"/>
  <c r="L684" i="6"/>
  <c r="N684" i="6"/>
  <c r="Q684" i="6"/>
  <c r="R684" i="6"/>
  <c r="S684" i="6"/>
  <c r="T684" i="6"/>
  <c r="B685" i="6"/>
  <c r="C685" i="6"/>
  <c r="D685" i="6"/>
  <c r="E685" i="6"/>
  <c r="F685" i="6"/>
  <c r="H685" i="6"/>
  <c r="I685" i="6"/>
  <c r="N685" i="6"/>
  <c r="R685" i="6"/>
  <c r="Q685" i="6" s="1"/>
  <c r="S685" i="6" s="1"/>
  <c r="T685" i="6"/>
  <c r="B686" i="6"/>
  <c r="C686" i="6"/>
  <c r="D686" i="6"/>
  <c r="E686" i="6"/>
  <c r="F686" i="6"/>
  <c r="H686" i="6"/>
  <c r="I686" i="6"/>
  <c r="L686" i="6"/>
  <c r="N686" i="6"/>
  <c r="Q686" i="6"/>
  <c r="R686" i="6"/>
  <c r="S686" i="6"/>
  <c r="T686" i="6"/>
  <c r="B687" i="6"/>
  <c r="C687" i="6"/>
  <c r="D687" i="6"/>
  <c r="E687" i="6"/>
  <c r="F687" i="6"/>
  <c r="H687" i="6"/>
  <c r="I687" i="6"/>
  <c r="N687" i="6"/>
  <c r="R687" i="6"/>
  <c r="Q687" i="6" s="1"/>
  <c r="S687" i="6" s="1"/>
  <c r="T687" i="6"/>
  <c r="B688" i="6"/>
  <c r="C688" i="6"/>
  <c r="D688" i="6"/>
  <c r="E688" i="6"/>
  <c r="F688" i="6"/>
  <c r="H688" i="6"/>
  <c r="I688" i="6"/>
  <c r="L688" i="6"/>
  <c r="N688" i="6"/>
  <c r="Q688" i="6"/>
  <c r="R688" i="6"/>
  <c r="S688" i="6"/>
  <c r="T688" i="6"/>
  <c r="B689" i="6"/>
  <c r="C689" i="6"/>
  <c r="D689" i="6"/>
  <c r="E689" i="6"/>
  <c r="F689" i="6"/>
  <c r="H689" i="6"/>
  <c r="I689" i="6"/>
  <c r="N689" i="6"/>
  <c r="R689" i="6"/>
  <c r="Q689" i="6" s="1"/>
  <c r="S689" i="6" s="1"/>
  <c r="T689" i="6"/>
  <c r="B690" i="6"/>
  <c r="C690" i="6"/>
  <c r="D690" i="6"/>
  <c r="E690" i="6"/>
  <c r="F690" i="6"/>
  <c r="H690" i="6"/>
  <c r="I690" i="6"/>
  <c r="L690" i="6"/>
  <c r="N690" i="6"/>
  <c r="Q690" i="6"/>
  <c r="R690" i="6"/>
  <c r="S690" i="6"/>
  <c r="T690" i="6"/>
  <c r="B691" i="6"/>
  <c r="C691" i="6"/>
  <c r="D691" i="6"/>
  <c r="E691" i="6"/>
  <c r="F691" i="6"/>
  <c r="H691" i="6"/>
  <c r="I691" i="6"/>
  <c r="N691" i="6"/>
  <c r="R691" i="6"/>
  <c r="Q691" i="6" s="1"/>
  <c r="S691" i="6" s="1"/>
  <c r="T691" i="6"/>
  <c r="B692" i="6"/>
  <c r="C692" i="6"/>
  <c r="D692" i="6"/>
  <c r="E692" i="6"/>
  <c r="F692" i="6"/>
  <c r="H692" i="6"/>
  <c r="I692" i="6"/>
  <c r="L692" i="6"/>
  <c r="N692" i="6"/>
  <c r="Q692" i="6"/>
  <c r="R692" i="6"/>
  <c r="S692" i="6"/>
  <c r="T692" i="6"/>
  <c r="B693" i="6"/>
  <c r="C693" i="6"/>
  <c r="D693" i="6"/>
  <c r="E693" i="6"/>
  <c r="F693" i="6"/>
  <c r="H693" i="6"/>
  <c r="I693" i="6"/>
  <c r="N693" i="6"/>
  <c r="R693" i="6"/>
  <c r="Q693" i="6" s="1"/>
  <c r="S693" i="6"/>
  <c r="T693" i="6"/>
  <c r="B694" i="6"/>
  <c r="C694" i="6"/>
  <c r="D694" i="6"/>
  <c r="L694" i="6" s="1"/>
  <c r="E694" i="6"/>
  <c r="F694" i="6"/>
  <c r="H694" i="6"/>
  <c r="I694" i="6"/>
  <c r="N694" i="6"/>
  <c r="R694" i="6"/>
  <c r="Q694" i="6" s="1"/>
  <c r="S694" i="6" s="1"/>
  <c r="T694" i="6"/>
  <c r="B695" i="6"/>
  <c r="C695" i="6"/>
  <c r="D695" i="6"/>
  <c r="E695" i="6"/>
  <c r="F695" i="6"/>
  <c r="H695" i="6"/>
  <c r="I695" i="6"/>
  <c r="L695" i="6"/>
  <c r="N695" i="6"/>
  <c r="Q695" i="6"/>
  <c r="R695" i="6"/>
  <c r="S695" i="6"/>
  <c r="T695" i="6"/>
  <c r="B696" i="6"/>
  <c r="C696" i="6"/>
  <c r="D696" i="6"/>
  <c r="L696" i="6" s="1"/>
  <c r="E696" i="6"/>
  <c r="F696" i="6"/>
  <c r="H696" i="6"/>
  <c r="I696" i="6"/>
  <c r="N696" i="6"/>
  <c r="R696" i="6"/>
  <c r="Q696" i="6" s="1"/>
  <c r="S696" i="6" s="1"/>
  <c r="T696" i="6"/>
  <c r="B697" i="6"/>
  <c r="C697" i="6"/>
  <c r="D697" i="6"/>
  <c r="E697" i="6"/>
  <c r="F697" i="6"/>
  <c r="H697" i="6"/>
  <c r="I697" i="6"/>
  <c r="L697" i="6"/>
  <c r="N697" i="6"/>
  <c r="Q697" i="6"/>
  <c r="R697" i="6"/>
  <c r="S697" i="6"/>
  <c r="T697" i="6"/>
  <c r="B698" i="6"/>
  <c r="C698" i="6"/>
  <c r="D698" i="6"/>
  <c r="L698" i="6" s="1"/>
  <c r="E698" i="6"/>
  <c r="F698" i="6"/>
  <c r="H698" i="6"/>
  <c r="I698" i="6"/>
  <c r="N698" i="6"/>
  <c r="R698" i="6"/>
  <c r="Q698" i="6" s="1"/>
  <c r="S698" i="6" s="1"/>
  <c r="T698" i="6"/>
  <c r="B699" i="6"/>
  <c r="C699" i="6"/>
  <c r="D699" i="6"/>
  <c r="E699" i="6"/>
  <c r="F699" i="6"/>
  <c r="H699" i="6"/>
  <c r="I699" i="6"/>
  <c r="L699" i="6"/>
  <c r="N699" i="6"/>
  <c r="Q699" i="6"/>
  <c r="R699" i="6"/>
  <c r="S699" i="6"/>
  <c r="T699" i="6"/>
  <c r="B700" i="6"/>
  <c r="C700" i="6"/>
  <c r="D700" i="6"/>
  <c r="L700" i="6" s="1"/>
  <c r="E700" i="6"/>
  <c r="F700" i="6"/>
  <c r="H700" i="6"/>
  <c r="I700" i="6"/>
  <c r="N700" i="6"/>
  <c r="R700" i="6"/>
  <c r="Q700" i="6" s="1"/>
  <c r="S700" i="6" s="1"/>
  <c r="T700" i="6"/>
  <c r="B701" i="6"/>
  <c r="C701" i="6"/>
  <c r="D701" i="6"/>
  <c r="E701" i="6"/>
  <c r="F701" i="6"/>
  <c r="H701" i="6"/>
  <c r="I701" i="6"/>
  <c r="L701" i="6"/>
  <c r="N701" i="6"/>
  <c r="Q701" i="6"/>
  <c r="R701" i="6"/>
  <c r="S701" i="6"/>
  <c r="T701" i="6"/>
  <c r="B702" i="6"/>
  <c r="C702" i="6"/>
  <c r="D702" i="6"/>
  <c r="L702" i="6" s="1"/>
  <c r="E702" i="6"/>
  <c r="F702" i="6"/>
  <c r="H702" i="6"/>
  <c r="I702" i="6"/>
  <c r="N702" i="6"/>
  <c r="R702" i="6"/>
  <c r="Q702" i="6" s="1"/>
  <c r="S702" i="6" s="1"/>
  <c r="T702" i="6"/>
  <c r="B703" i="6"/>
  <c r="C703" i="6"/>
  <c r="D703" i="6"/>
  <c r="E703" i="6"/>
  <c r="F703" i="6"/>
  <c r="H703" i="6"/>
  <c r="I703" i="6"/>
  <c r="L703" i="6"/>
  <c r="N703" i="6"/>
  <c r="Q703" i="6"/>
  <c r="R703" i="6"/>
  <c r="S703" i="6"/>
  <c r="T703" i="6"/>
  <c r="B704" i="6"/>
  <c r="C704" i="6"/>
  <c r="D704" i="6"/>
  <c r="L704" i="6" s="1"/>
  <c r="E704" i="6"/>
  <c r="F704" i="6"/>
  <c r="H704" i="6"/>
  <c r="I704" i="6"/>
  <c r="N704" i="6"/>
  <c r="R704" i="6"/>
  <c r="Q704" i="6" s="1"/>
  <c r="S704" i="6" s="1"/>
  <c r="T704" i="6"/>
  <c r="B705" i="6"/>
  <c r="C705" i="6"/>
  <c r="D705" i="6"/>
  <c r="E705" i="6"/>
  <c r="F705" i="6"/>
  <c r="H705" i="6"/>
  <c r="I705" i="6"/>
  <c r="L705" i="6"/>
  <c r="N705" i="6"/>
  <c r="Q705" i="6"/>
  <c r="R705" i="6"/>
  <c r="S705" i="6"/>
  <c r="T705" i="6"/>
  <c r="B706" i="6"/>
  <c r="C706" i="6"/>
  <c r="D706" i="6"/>
  <c r="L706" i="6" s="1"/>
  <c r="E706" i="6"/>
  <c r="F706" i="6"/>
  <c r="H706" i="6"/>
  <c r="I706" i="6"/>
  <c r="N706" i="6"/>
  <c r="R706" i="6"/>
  <c r="Q706" i="6" s="1"/>
  <c r="S706" i="6" s="1"/>
  <c r="T706" i="6"/>
  <c r="B707" i="6"/>
  <c r="C707" i="6"/>
  <c r="D707" i="6"/>
  <c r="E707" i="6"/>
  <c r="F707" i="6"/>
  <c r="H707" i="6"/>
  <c r="I707" i="6"/>
  <c r="L707" i="6"/>
  <c r="N707" i="6"/>
  <c r="Q707" i="6"/>
  <c r="R707" i="6"/>
  <c r="S707" i="6"/>
  <c r="T707" i="6"/>
  <c r="B708" i="6"/>
  <c r="C708" i="6"/>
  <c r="D708" i="6"/>
  <c r="L708" i="6" s="1"/>
  <c r="E708" i="6"/>
  <c r="F708" i="6"/>
  <c r="H708" i="6"/>
  <c r="I708" i="6"/>
  <c r="N708" i="6"/>
  <c r="R708" i="6"/>
  <c r="Q708" i="6" s="1"/>
  <c r="S708" i="6" s="1"/>
  <c r="T708" i="6"/>
  <c r="B709" i="6"/>
  <c r="C709" i="6"/>
  <c r="D709" i="6"/>
  <c r="E709" i="6"/>
  <c r="F709" i="6"/>
  <c r="H709" i="6"/>
  <c r="I709" i="6"/>
  <c r="L709" i="6"/>
  <c r="N709" i="6"/>
  <c r="Q709" i="6"/>
  <c r="R709" i="6"/>
  <c r="S709" i="6"/>
  <c r="T709" i="6"/>
  <c r="B710" i="6"/>
  <c r="C710" i="6"/>
  <c r="D710" i="6"/>
  <c r="L710" i="6" s="1"/>
  <c r="E710" i="6"/>
  <c r="F710" i="6"/>
  <c r="H710" i="6"/>
  <c r="I710" i="6"/>
  <c r="N710" i="6"/>
  <c r="R710" i="6"/>
  <c r="Q710" i="6" s="1"/>
  <c r="S710" i="6" s="1"/>
  <c r="T710" i="6"/>
  <c r="B711" i="6"/>
  <c r="C711" i="6"/>
  <c r="D711" i="6"/>
  <c r="E711" i="6"/>
  <c r="F711" i="6"/>
  <c r="H711" i="6"/>
  <c r="I711" i="6"/>
  <c r="L711" i="6"/>
  <c r="N711" i="6"/>
  <c r="Q711" i="6"/>
  <c r="R711" i="6"/>
  <c r="S711" i="6"/>
  <c r="T711" i="6"/>
  <c r="B712" i="6"/>
  <c r="C712" i="6"/>
  <c r="D712" i="6"/>
  <c r="L712" i="6" s="1"/>
  <c r="E712" i="6"/>
  <c r="F712" i="6"/>
  <c r="H712" i="6"/>
  <c r="I712" i="6"/>
  <c r="N712" i="6"/>
  <c r="R712" i="6"/>
  <c r="Q712" i="6" s="1"/>
  <c r="S712" i="6" s="1"/>
  <c r="T712" i="6"/>
  <c r="B713" i="6"/>
  <c r="C713" i="6"/>
  <c r="D713" i="6"/>
  <c r="E713" i="6"/>
  <c r="F713" i="6"/>
  <c r="H713" i="6"/>
  <c r="I713" i="6"/>
  <c r="L713" i="6"/>
  <c r="N713" i="6"/>
  <c r="Q713" i="6"/>
  <c r="R713" i="6"/>
  <c r="S713" i="6"/>
  <c r="T713" i="6"/>
  <c r="B714" i="6"/>
  <c r="C714" i="6"/>
  <c r="D714" i="6"/>
  <c r="L714" i="6" s="1"/>
  <c r="E714" i="6"/>
  <c r="F714" i="6"/>
  <c r="H714" i="6"/>
  <c r="I714" i="6"/>
  <c r="N714" i="6"/>
  <c r="R714" i="6"/>
  <c r="Q714" i="6" s="1"/>
  <c r="S714" i="6" s="1"/>
  <c r="T714" i="6"/>
  <c r="B715" i="6"/>
  <c r="C715" i="6"/>
  <c r="D715" i="6"/>
  <c r="E715" i="6"/>
  <c r="F715" i="6"/>
  <c r="H715" i="6"/>
  <c r="I715" i="6"/>
  <c r="L715" i="6"/>
  <c r="N715" i="6"/>
  <c r="Q715" i="6"/>
  <c r="R715" i="6"/>
  <c r="S715" i="6"/>
  <c r="T715" i="6"/>
  <c r="B716" i="6"/>
  <c r="C716" i="6"/>
  <c r="D716" i="6"/>
  <c r="L716" i="6" s="1"/>
  <c r="E716" i="6"/>
  <c r="F716" i="6"/>
  <c r="H716" i="6"/>
  <c r="I716" i="6"/>
  <c r="N716" i="6"/>
  <c r="R716" i="6"/>
  <c r="Q716" i="6" s="1"/>
  <c r="S716" i="6" s="1"/>
  <c r="T716" i="6"/>
  <c r="B717" i="6"/>
  <c r="C717" i="6"/>
  <c r="D717" i="6"/>
  <c r="E717" i="6"/>
  <c r="F717" i="6"/>
  <c r="H717" i="6"/>
  <c r="I717" i="6"/>
  <c r="L717" i="6"/>
  <c r="N717" i="6"/>
  <c r="Q717" i="6"/>
  <c r="R717" i="6"/>
  <c r="S717" i="6"/>
  <c r="T717" i="6"/>
  <c r="B718" i="6"/>
  <c r="C718" i="6"/>
  <c r="D718" i="6"/>
  <c r="L718" i="6" s="1"/>
  <c r="E718" i="6"/>
  <c r="F718" i="6"/>
  <c r="H718" i="6"/>
  <c r="I718" i="6"/>
  <c r="N718" i="6"/>
  <c r="R718" i="6"/>
  <c r="Q718" i="6" s="1"/>
  <c r="S718" i="6" s="1"/>
  <c r="T718" i="6"/>
  <c r="B719" i="6"/>
  <c r="C719" i="6"/>
  <c r="D719" i="6"/>
  <c r="E719" i="6"/>
  <c r="F719" i="6"/>
  <c r="H719" i="6"/>
  <c r="I719" i="6"/>
  <c r="L719" i="6"/>
  <c r="N719" i="6"/>
  <c r="Q719" i="6"/>
  <c r="R719" i="6"/>
  <c r="S719" i="6"/>
  <c r="T719" i="6"/>
  <c r="B720" i="6"/>
  <c r="C720" i="6"/>
  <c r="D720" i="6"/>
  <c r="L720" i="6" s="1"/>
  <c r="E720" i="6"/>
  <c r="F720" i="6"/>
  <c r="H720" i="6"/>
  <c r="I720" i="6"/>
  <c r="N720" i="6"/>
  <c r="R720" i="6"/>
  <c r="Q720" i="6" s="1"/>
  <c r="S720" i="6" s="1"/>
  <c r="T720" i="6"/>
  <c r="B721" i="6"/>
  <c r="C721" i="6"/>
  <c r="D721" i="6"/>
  <c r="E721" i="6"/>
  <c r="F721" i="6"/>
  <c r="H721" i="6"/>
  <c r="I721" i="6"/>
  <c r="L721" i="6"/>
  <c r="N721" i="6"/>
  <c r="Q721" i="6"/>
  <c r="R721" i="6"/>
  <c r="S721" i="6"/>
  <c r="T721" i="6"/>
  <c r="B722" i="6"/>
  <c r="C722" i="6"/>
  <c r="D722" i="6"/>
  <c r="L722" i="6" s="1"/>
  <c r="E722" i="6"/>
  <c r="F722" i="6"/>
  <c r="H722" i="6"/>
  <c r="I722" i="6"/>
  <c r="N722" i="6"/>
  <c r="R722" i="6"/>
  <c r="Q722" i="6" s="1"/>
  <c r="S722" i="6" s="1"/>
  <c r="T722" i="6"/>
  <c r="B723" i="6"/>
  <c r="C723" i="6"/>
  <c r="D723" i="6"/>
  <c r="E723" i="6"/>
  <c r="F723" i="6"/>
  <c r="H723" i="6"/>
  <c r="I723" i="6"/>
  <c r="L723" i="6"/>
  <c r="N723" i="6"/>
  <c r="Q723" i="6"/>
  <c r="R723" i="6"/>
  <c r="S723" i="6"/>
  <c r="T723" i="6"/>
  <c r="B724" i="6"/>
  <c r="C724" i="6"/>
  <c r="D724" i="6"/>
  <c r="L724" i="6" s="1"/>
  <c r="E724" i="6"/>
  <c r="F724" i="6"/>
  <c r="H724" i="6"/>
  <c r="I724" i="6"/>
  <c r="N724" i="6"/>
  <c r="R724" i="6"/>
  <c r="Q724" i="6" s="1"/>
  <c r="S724" i="6" s="1"/>
  <c r="T724" i="6"/>
  <c r="B725" i="6"/>
  <c r="C725" i="6"/>
  <c r="D725" i="6"/>
  <c r="E725" i="6"/>
  <c r="F725" i="6"/>
  <c r="H725" i="6"/>
  <c r="I725" i="6"/>
  <c r="L725" i="6"/>
  <c r="N725" i="6"/>
  <c r="Q725" i="6"/>
  <c r="R725" i="6"/>
  <c r="S725" i="6"/>
  <c r="T725" i="6"/>
  <c r="B726" i="6"/>
  <c r="C726" i="6"/>
  <c r="D726" i="6"/>
  <c r="L726" i="6" s="1"/>
  <c r="E726" i="6"/>
  <c r="F726" i="6"/>
  <c r="H726" i="6"/>
  <c r="I726" i="6"/>
  <c r="N726" i="6"/>
  <c r="R726" i="6"/>
  <c r="Q726" i="6" s="1"/>
  <c r="S726" i="6" s="1"/>
  <c r="T726" i="6"/>
  <c r="B727" i="6"/>
  <c r="C727" i="6"/>
  <c r="D727" i="6"/>
  <c r="E727" i="6"/>
  <c r="F727" i="6"/>
  <c r="H727" i="6"/>
  <c r="I727" i="6"/>
  <c r="L727" i="6"/>
  <c r="N727" i="6"/>
  <c r="Q727" i="6"/>
  <c r="R727" i="6"/>
  <c r="S727" i="6"/>
  <c r="T727" i="6"/>
  <c r="B728" i="6"/>
  <c r="C728" i="6"/>
  <c r="D728" i="6"/>
  <c r="L728" i="6" s="1"/>
  <c r="E728" i="6"/>
  <c r="F728" i="6"/>
  <c r="H728" i="6"/>
  <c r="I728" i="6"/>
  <c r="N728" i="6"/>
  <c r="R728" i="6"/>
  <c r="Q728" i="6" s="1"/>
  <c r="S728" i="6" s="1"/>
  <c r="T728" i="6"/>
  <c r="B729" i="6"/>
  <c r="C729" i="6"/>
  <c r="D729" i="6"/>
  <c r="E729" i="6"/>
  <c r="F729" i="6"/>
  <c r="H729" i="6"/>
  <c r="I729" i="6"/>
  <c r="L729" i="6"/>
  <c r="N729" i="6"/>
  <c r="Q729" i="6"/>
  <c r="R729" i="6"/>
  <c r="S729" i="6"/>
  <c r="T729" i="6"/>
  <c r="B730" i="6"/>
  <c r="C730" i="6"/>
  <c r="D730" i="6"/>
  <c r="L730" i="6" s="1"/>
  <c r="E730" i="6"/>
  <c r="F730" i="6"/>
  <c r="H730" i="6"/>
  <c r="I730" i="6"/>
  <c r="N730" i="6"/>
  <c r="R730" i="6"/>
  <c r="Q730" i="6" s="1"/>
  <c r="S730" i="6" s="1"/>
  <c r="T730" i="6"/>
  <c r="B731" i="6"/>
  <c r="C731" i="6"/>
  <c r="D731" i="6"/>
  <c r="E731" i="6"/>
  <c r="F731" i="6"/>
  <c r="H731" i="6"/>
  <c r="I731" i="6"/>
  <c r="L731" i="6"/>
  <c r="N731" i="6"/>
  <c r="Q731" i="6"/>
  <c r="R731" i="6"/>
  <c r="S731" i="6"/>
  <c r="T731" i="6"/>
  <c r="B732" i="6"/>
  <c r="C732" i="6"/>
  <c r="D732" i="6"/>
  <c r="L732" i="6" s="1"/>
  <c r="E732" i="6"/>
  <c r="F732" i="6"/>
  <c r="H732" i="6"/>
  <c r="I732" i="6"/>
  <c r="N732" i="6"/>
  <c r="R732" i="6"/>
  <c r="Q732" i="6" s="1"/>
  <c r="S732" i="6" s="1"/>
  <c r="T732" i="6"/>
  <c r="B733" i="6"/>
  <c r="C733" i="6"/>
  <c r="D733" i="6"/>
  <c r="E733" i="6"/>
  <c r="F733" i="6"/>
  <c r="H733" i="6"/>
  <c r="I733" i="6"/>
  <c r="L733" i="6"/>
  <c r="N733" i="6"/>
  <c r="Q733" i="6"/>
  <c r="R733" i="6"/>
  <c r="S733" i="6"/>
  <c r="T733" i="6"/>
  <c r="B734" i="6"/>
  <c r="C734" i="6"/>
  <c r="D734" i="6"/>
  <c r="L734" i="6" s="1"/>
  <c r="E734" i="6"/>
  <c r="F734" i="6"/>
  <c r="H734" i="6"/>
  <c r="I734" i="6"/>
  <c r="N734" i="6"/>
  <c r="R734" i="6"/>
  <c r="Q734" i="6" s="1"/>
  <c r="S734" i="6" s="1"/>
  <c r="T734" i="6"/>
  <c r="B735" i="6"/>
  <c r="C735" i="6"/>
  <c r="D735" i="6"/>
  <c r="E735" i="6"/>
  <c r="F735" i="6"/>
  <c r="H735" i="6"/>
  <c r="I735" i="6"/>
  <c r="L735" i="6"/>
  <c r="N735" i="6"/>
  <c r="Q735" i="6"/>
  <c r="R735" i="6"/>
  <c r="S735" i="6"/>
  <c r="T735" i="6"/>
  <c r="B736" i="6"/>
  <c r="C736" i="6"/>
  <c r="D736" i="6"/>
  <c r="L736" i="6" s="1"/>
  <c r="E736" i="6"/>
  <c r="F736" i="6"/>
  <c r="H736" i="6"/>
  <c r="I736" i="6"/>
  <c r="N736" i="6"/>
  <c r="R736" i="6"/>
  <c r="Q736" i="6" s="1"/>
  <c r="S736" i="6" s="1"/>
  <c r="T736" i="6"/>
  <c r="B737" i="6"/>
  <c r="C737" i="6"/>
  <c r="D737" i="6"/>
  <c r="E737" i="6"/>
  <c r="F737" i="6"/>
  <c r="H737" i="6"/>
  <c r="I737" i="6"/>
  <c r="L737" i="6"/>
  <c r="N737" i="6"/>
  <c r="Q737" i="6"/>
  <c r="R737" i="6"/>
  <c r="S737" i="6"/>
  <c r="T737" i="6"/>
  <c r="B738" i="6"/>
  <c r="C738" i="6"/>
  <c r="D738" i="6"/>
  <c r="L738" i="6" s="1"/>
  <c r="E738" i="6"/>
  <c r="F738" i="6"/>
  <c r="H738" i="6"/>
  <c r="I738" i="6"/>
  <c r="N738" i="6"/>
  <c r="R738" i="6"/>
  <c r="Q738" i="6" s="1"/>
  <c r="S738" i="6" s="1"/>
  <c r="T738" i="6"/>
  <c r="B739" i="6"/>
  <c r="C739" i="6"/>
  <c r="D739" i="6"/>
  <c r="E739" i="6"/>
  <c r="F739" i="6"/>
  <c r="H739" i="6"/>
  <c r="I739" i="6"/>
  <c r="L739" i="6"/>
  <c r="N739" i="6"/>
  <c r="Q739" i="6"/>
  <c r="R739" i="6"/>
  <c r="S739" i="6"/>
  <c r="T739" i="6"/>
  <c r="B740" i="6"/>
  <c r="C740" i="6"/>
  <c r="D740" i="6"/>
  <c r="L740" i="6" s="1"/>
  <c r="E740" i="6"/>
  <c r="F740" i="6"/>
  <c r="H740" i="6"/>
  <c r="I740" i="6"/>
  <c r="N740" i="6"/>
  <c r="R740" i="6"/>
  <c r="Q740" i="6" s="1"/>
  <c r="S740" i="6" s="1"/>
  <c r="T740" i="6"/>
  <c r="B741" i="6"/>
  <c r="C741" i="6"/>
  <c r="D741" i="6"/>
  <c r="E741" i="6"/>
  <c r="F741" i="6"/>
  <c r="H741" i="6"/>
  <c r="I741" i="6"/>
  <c r="L741" i="6"/>
  <c r="N741" i="6"/>
  <c r="Q741" i="6"/>
  <c r="R741" i="6"/>
  <c r="S741" i="6"/>
  <c r="T741" i="6"/>
  <c r="B742" i="6"/>
  <c r="C742" i="6"/>
  <c r="D742" i="6"/>
  <c r="L742" i="6" s="1"/>
  <c r="E742" i="6"/>
  <c r="F742" i="6"/>
  <c r="H742" i="6"/>
  <c r="I742" i="6"/>
  <c r="N742" i="6"/>
  <c r="R742" i="6"/>
  <c r="Q742" i="6" s="1"/>
  <c r="S742" i="6" s="1"/>
  <c r="T742" i="6"/>
  <c r="B743" i="6"/>
  <c r="C743" i="6"/>
  <c r="D743" i="6"/>
  <c r="E743" i="6"/>
  <c r="F743" i="6"/>
  <c r="H743" i="6"/>
  <c r="I743" i="6"/>
  <c r="L743" i="6"/>
  <c r="N743" i="6"/>
  <c r="Q743" i="6"/>
  <c r="R743" i="6"/>
  <c r="S743" i="6"/>
  <c r="T743" i="6"/>
  <c r="B744" i="6"/>
  <c r="C744" i="6"/>
  <c r="D744" i="6"/>
  <c r="L744" i="6" s="1"/>
  <c r="E744" i="6"/>
  <c r="F744" i="6"/>
  <c r="H744" i="6"/>
  <c r="I744" i="6"/>
  <c r="N744" i="6"/>
  <c r="R744" i="6"/>
  <c r="Q744" i="6" s="1"/>
  <c r="S744" i="6" s="1"/>
  <c r="T744" i="6"/>
  <c r="B745" i="6"/>
  <c r="C745" i="6"/>
  <c r="D745" i="6"/>
  <c r="E745" i="6"/>
  <c r="F745" i="6"/>
  <c r="H745" i="6"/>
  <c r="I745" i="6"/>
  <c r="L745" i="6"/>
  <c r="N745" i="6"/>
  <c r="Q745" i="6"/>
  <c r="R745" i="6"/>
  <c r="S745" i="6"/>
  <c r="T745" i="6"/>
  <c r="B746" i="6"/>
  <c r="C746" i="6"/>
  <c r="D746" i="6"/>
  <c r="L746" i="6" s="1"/>
  <c r="E746" i="6"/>
  <c r="F746" i="6"/>
  <c r="H746" i="6"/>
  <c r="I746" i="6"/>
  <c r="N746" i="6"/>
  <c r="R746" i="6"/>
  <c r="Q746" i="6" s="1"/>
  <c r="S746" i="6" s="1"/>
  <c r="T746" i="6"/>
  <c r="B747" i="6"/>
  <c r="C747" i="6"/>
  <c r="D747" i="6"/>
  <c r="E747" i="6"/>
  <c r="F747" i="6"/>
  <c r="H747" i="6"/>
  <c r="I747" i="6"/>
  <c r="L747" i="6"/>
  <c r="N747" i="6"/>
  <c r="Q747" i="6"/>
  <c r="R747" i="6"/>
  <c r="S747" i="6"/>
  <c r="T747" i="6"/>
  <c r="B748" i="6"/>
  <c r="C748" i="6"/>
  <c r="D748" i="6"/>
  <c r="L748" i="6" s="1"/>
  <c r="E748" i="6"/>
  <c r="F748" i="6"/>
  <c r="H748" i="6"/>
  <c r="I748" i="6"/>
  <c r="N748" i="6"/>
  <c r="R748" i="6"/>
  <c r="Q748" i="6" s="1"/>
  <c r="S748" i="6" s="1"/>
  <c r="T748" i="6"/>
  <c r="B749" i="6"/>
  <c r="C749" i="6"/>
  <c r="D749" i="6"/>
  <c r="E749" i="6"/>
  <c r="F749" i="6"/>
  <c r="H749" i="6"/>
  <c r="I749" i="6"/>
  <c r="L749" i="6"/>
  <c r="N749" i="6"/>
  <c r="Q749" i="6"/>
  <c r="R749" i="6"/>
  <c r="S749" i="6"/>
  <c r="T749" i="6"/>
  <c r="B750" i="6"/>
  <c r="C750" i="6"/>
  <c r="D750" i="6"/>
  <c r="L750" i="6" s="1"/>
  <c r="E750" i="6"/>
  <c r="F750" i="6"/>
  <c r="H750" i="6"/>
  <c r="I750" i="6"/>
  <c r="N750" i="6"/>
  <c r="R750" i="6"/>
  <c r="Q750" i="6" s="1"/>
  <c r="S750" i="6" s="1"/>
  <c r="T750" i="6"/>
  <c r="B751" i="6"/>
  <c r="C751" i="6"/>
  <c r="D751" i="6"/>
  <c r="E751" i="6"/>
  <c r="F751" i="6"/>
  <c r="H751" i="6"/>
  <c r="I751" i="6"/>
  <c r="L751" i="6"/>
  <c r="N751" i="6"/>
  <c r="Q751" i="6"/>
  <c r="R751" i="6"/>
  <c r="S751" i="6"/>
  <c r="T751" i="6"/>
  <c r="B752" i="6"/>
  <c r="C752" i="6"/>
  <c r="D752" i="6"/>
  <c r="L752" i="6" s="1"/>
  <c r="E752" i="6"/>
  <c r="F752" i="6"/>
  <c r="H752" i="6"/>
  <c r="I752" i="6"/>
  <c r="N752" i="6"/>
  <c r="R752" i="6"/>
  <c r="Q752" i="6" s="1"/>
  <c r="S752" i="6" s="1"/>
  <c r="T752" i="6"/>
  <c r="B753" i="6"/>
  <c r="C753" i="6"/>
  <c r="D753" i="6"/>
  <c r="E753" i="6"/>
  <c r="F753" i="6"/>
  <c r="H753" i="6"/>
  <c r="I753" i="6"/>
  <c r="L753" i="6"/>
  <c r="N753" i="6"/>
  <c r="Q753" i="6"/>
  <c r="R753" i="6"/>
  <c r="S753" i="6"/>
  <c r="T753" i="6"/>
  <c r="B754" i="6"/>
  <c r="C754" i="6"/>
  <c r="D754" i="6"/>
  <c r="L754" i="6" s="1"/>
  <c r="E754" i="6"/>
  <c r="F754" i="6"/>
  <c r="H754" i="6"/>
  <c r="I754" i="6"/>
  <c r="N754" i="6"/>
  <c r="R754" i="6"/>
  <c r="Q754" i="6" s="1"/>
  <c r="S754" i="6" s="1"/>
  <c r="T754" i="6"/>
  <c r="B755" i="6"/>
  <c r="C755" i="6"/>
  <c r="D755" i="6"/>
  <c r="E755" i="6"/>
  <c r="F755" i="6"/>
  <c r="H755" i="6"/>
  <c r="I755" i="6"/>
  <c r="L755" i="6"/>
  <c r="N755" i="6"/>
  <c r="Q755" i="6"/>
  <c r="R755" i="6"/>
  <c r="S755" i="6"/>
  <c r="T755" i="6"/>
  <c r="B756" i="6"/>
  <c r="C756" i="6"/>
  <c r="D756" i="6"/>
  <c r="L756" i="6" s="1"/>
  <c r="E756" i="6"/>
  <c r="F756" i="6"/>
  <c r="H756" i="6"/>
  <c r="I756" i="6"/>
  <c r="N756" i="6"/>
  <c r="R756" i="6"/>
  <c r="Q756" i="6" s="1"/>
  <c r="S756" i="6" s="1"/>
  <c r="T756" i="6"/>
  <c r="B757" i="6"/>
  <c r="C757" i="6"/>
  <c r="D757" i="6"/>
  <c r="E757" i="6"/>
  <c r="F757" i="6"/>
  <c r="H757" i="6"/>
  <c r="I757" i="6"/>
  <c r="L757" i="6"/>
  <c r="N757" i="6"/>
  <c r="Q757" i="6"/>
  <c r="R757" i="6"/>
  <c r="S757" i="6"/>
  <c r="T757" i="6"/>
  <c r="B758" i="6"/>
  <c r="C758" i="6"/>
  <c r="D758" i="6"/>
  <c r="L758" i="6" s="1"/>
  <c r="E758" i="6"/>
  <c r="F758" i="6"/>
  <c r="H758" i="6"/>
  <c r="I758" i="6"/>
  <c r="N758" i="6"/>
  <c r="R758" i="6"/>
  <c r="Q758" i="6" s="1"/>
  <c r="S758" i="6" s="1"/>
  <c r="T758" i="6"/>
  <c r="B759" i="6"/>
  <c r="C759" i="6"/>
  <c r="D759" i="6"/>
  <c r="E759" i="6"/>
  <c r="F759" i="6"/>
  <c r="H759" i="6"/>
  <c r="I759" i="6"/>
  <c r="L759" i="6"/>
  <c r="N759" i="6"/>
  <c r="Q759" i="6"/>
  <c r="R759" i="6"/>
  <c r="S759" i="6"/>
  <c r="T759" i="6"/>
  <c r="B760" i="6"/>
  <c r="C760" i="6"/>
  <c r="D760" i="6"/>
  <c r="L760" i="6" s="1"/>
  <c r="E760" i="6"/>
  <c r="F760" i="6"/>
  <c r="H760" i="6"/>
  <c r="I760" i="6"/>
  <c r="N760" i="6"/>
  <c r="R760" i="6"/>
  <c r="Q760" i="6" s="1"/>
  <c r="S760" i="6" s="1"/>
  <c r="T760" i="6"/>
  <c r="B761" i="6"/>
  <c r="C761" i="6"/>
  <c r="D761" i="6"/>
  <c r="E761" i="6"/>
  <c r="F761" i="6"/>
  <c r="H761" i="6"/>
  <c r="I761" i="6"/>
  <c r="L761" i="6"/>
  <c r="N761" i="6"/>
  <c r="Q761" i="6"/>
  <c r="R761" i="6"/>
  <c r="S761" i="6"/>
  <c r="T761" i="6"/>
  <c r="B762" i="6"/>
  <c r="C762" i="6"/>
  <c r="D762" i="6"/>
  <c r="L762" i="6" s="1"/>
  <c r="E762" i="6"/>
  <c r="F762" i="6"/>
  <c r="H762" i="6"/>
  <c r="I762" i="6"/>
  <c r="N762" i="6"/>
  <c r="R762" i="6"/>
  <c r="Q762" i="6" s="1"/>
  <c r="S762" i="6" s="1"/>
  <c r="T762" i="6"/>
  <c r="B763" i="6"/>
  <c r="C763" i="6"/>
  <c r="D763" i="6"/>
  <c r="E763" i="6"/>
  <c r="F763" i="6"/>
  <c r="H763" i="6"/>
  <c r="I763" i="6"/>
  <c r="L763" i="6"/>
  <c r="N763" i="6"/>
  <c r="Q763" i="6"/>
  <c r="R763" i="6"/>
  <c r="S763" i="6"/>
  <c r="T763" i="6"/>
  <c r="B764" i="6"/>
  <c r="C764" i="6"/>
  <c r="D764" i="6"/>
  <c r="L764" i="6" s="1"/>
  <c r="E764" i="6"/>
  <c r="F764" i="6"/>
  <c r="H764" i="6"/>
  <c r="I764" i="6"/>
  <c r="N764" i="6"/>
  <c r="R764" i="6"/>
  <c r="Q764" i="6" s="1"/>
  <c r="S764" i="6" s="1"/>
  <c r="T764" i="6"/>
  <c r="B765" i="6"/>
  <c r="C765" i="6"/>
  <c r="D765" i="6"/>
  <c r="E765" i="6"/>
  <c r="F765" i="6"/>
  <c r="H765" i="6"/>
  <c r="I765" i="6"/>
  <c r="L765" i="6"/>
  <c r="N765" i="6"/>
  <c r="Q765" i="6"/>
  <c r="R765" i="6"/>
  <c r="S765" i="6"/>
  <c r="T765" i="6"/>
  <c r="B766" i="6"/>
  <c r="C766" i="6"/>
  <c r="D766" i="6"/>
  <c r="L766" i="6" s="1"/>
  <c r="E766" i="6"/>
  <c r="F766" i="6"/>
  <c r="H766" i="6"/>
  <c r="I766" i="6"/>
  <c r="N766" i="6"/>
  <c r="R766" i="6"/>
  <c r="Q766" i="6" s="1"/>
  <c r="S766" i="6" s="1"/>
  <c r="T766" i="6"/>
  <c r="B767" i="6"/>
  <c r="C767" i="6"/>
  <c r="D767" i="6"/>
  <c r="E767" i="6"/>
  <c r="F767" i="6"/>
  <c r="H767" i="6"/>
  <c r="I767" i="6"/>
  <c r="L767" i="6"/>
  <c r="N767" i="6"/>
  <c r="Q767" i="6"/>
  <c r="R767" i="6"/>
  <c r="S767" i="6"/>
  <c r="T767" i="6"/>
  <c r="B768" i="6"/>
  <c r="C768" i="6"/>
  <c r="D768" i="6"/>
  <c r="L768" i="6" s="1"/>
  <c r="E768" i="6"/>
  <c r="F768" i="6"/>
  <c r="H768" i="6"/>
  <c r="I768" i="6"/>
  <c r="N768" i="6"/>
  <c r="R768" i="6"/>
  <c r="Q768" i="6" s="1"/>
  <c r="S768" i="6" s="1"/>
  <c r="T768" i="6"/>
  <c r="B769" i="6"/>
  <c r="C769" i="6"/>
  <c r="D769" i="6"/>
  <c r="E769" i="6"/>
  <c r="F769" i="6"/>
  <c r="H769" i="6"/>
  <c r="I769" i="6"/>
  <c r="L769" i="6"/>
  <c r="N769" i="6"/>
  <c r="Q769" i="6"/>
  <c r="R769" i="6"/>
  <c r="S769" i="6"/>
  <c r="T769" i="6"/>
  <c r="B770" i="6"/>
  <c r="C770" i="6"/>
  <c r="D770" i="6"/>
  <c r="L770" i="6" s="1"/>
  <c r="E770" i="6"/>
  <c r="F770" i="6"/>
  <c r="H770" i="6"/>
  <c r="I770" i="6"/>
  <c r="N770" i="6"/>
  <c r="R770" i="6"/>
  <c r="Q770" i="6" s="1"/>
  <c r="S770" i="6" s="1"/>
  <c r="T770" i="6"/>
  <c r="B771" i="6"/>
  <c r="C771" i="6"/>
  <c r="D771" i="6"/>
  <c r="E771" i="6"/>
  <c r="F771" i="6"/>
  <c r="H771" i="6"/>
  <c r="I771" i="6"/>
  <c r="L771" i="6"/>
  <c r="N771" i="6"/>
  <c r="Q771" i="6"/>
  <c r="R771" i="6"/>
  <c r="S771" i="6"/>
  <c r="T771" i="6"/>
  <c r="B772" i="6"/>
  <c r="C772" i="6"/>
  <c r="D772" i="6"/>
  <c r="L772" i="6" s="1"/>
  <c r="E772" i="6"/>
  <c r="F772" i="6"/>
  <c r="H772" i="6"/>
  <c r="I772" i="6"/>
  <c r="N772" i="6"/>
  <c r="R772" i="6"/>
  <c r="Q772" i="6" s="1"/>
  <c r="S772" i="6" s="1"/>
  <c r="T772" i="6"/>
  <c r="B773" i="6"/>
  <c r="C773" i="6"/>
  <c r="D773" i="6"/>
  <c r="E773" i="6"/>
  <c r="F773" i="6"/>
  <c r="H773" i="6"/>
  <c r="I773" i="6"/>
  <c r="L773" i="6"/>
  <c r="N773" i="6"/>
  <c r="Q773" i="6"/>
  <c r="R773" i="6"/>
  <c r="S773" i="6"/>
  <c r="T773" i="6"/>
  <c r="B774" i="6"/>
  <c r="C774" i="6"/>
  <c r="D774" i="6"/>
  <c r="L774" i="6" s="1"/>
  <c r="E774" i="6"/>
  <c r="F774" i="6"/>
  <c r="H774" i="6"/>
  <c r="I774" i="6"/>
  <c r="N774" i="6"/>
  <c r="R774" i="6"/>
  <c r="Q774" i="6" s="1"/>
  <c r="S774" i="6" s="1"/>
  <c r="T774" i="6"/>
  <c r="B775" i="6"/>
  <c r="C775" i="6"/>
  <c r="D775" i="6"/>
  <c r="E775" i="6"/>
  <c r="F775" i="6"/>
  <c r="H775" i="6"/>
  <c r="I775" i="6"/>
  <c r="L775" i="6"/>
  <c r="N775" i="6"/>
  <c r="Q775" i="6"/>
  <c r="R775" i="6"/>
  <c r="S775" i="6"/>
  <c r="T775" i="6"/>
  <c r="B776" i="6"/>
  <c r="C776" i="6"/>
  <c r="D776" i="6"/>
  <c r="L776" i="6" s="1"/>
  <c r="E776" i="6"/>
  <c r="F776" i="6"/>
  <c r="H776" i="6"/>
  <c r="I776" i="6"/>
  <c r="N776" i="6"/>
  <c r="R776" i="6"/>
  <c r="Q776" i="6" s="1"/>
  <c r="S776" i="6" s="1"/>
  <c r="T776" i="6"/>
  <c r="B777" i="6"/>
  <c r="C777" i="6"/>
  <c r="D777" i="6"/>
  <c r="E777" i="6"/>
  <c r="F777" i="6"/>
  <c r="H777" i="6"/>
  <c r="I777" i="6"/>
  <c r="L777" i="6"/>
  <c r="N777" i="6"/>
  <c r="Q777" i="6"/>
  <c r="R777" i="6"/>
  <c r="S777" i="6"/>
  <c r="T777" i="6"/>
  <c r="B778" i="6"/>
  <c r="C778" i="6"/>
  <c r="D778" i="6"/>
  <c r="L778" i="6" s="1"/>
  <c r="E778" i="6"/>
  <c r="F778" i="6"/>
  <c r="H778" i="6"/>
  <c r="I778" i="6"/>
  <c r="N778" i="6"/>
  <c r="R778" i="6"/>
  <c r="Q778" i="6" s="1"/>
  <c r="S778" i="6" s="1"/>
  <c r="T778" i="6"/>
  <c r="B779" i="6"/>
  <c r="C779" i="6"/>
  <c r="D779" i="6"/>
  <c r="E779" i="6"/>
  <c r="F779" i="6"/>
  <c r="H779" i="6"/>
  <c r="I779" i="6"/>
  <c r="L779" i="6"/>
  <c r="N779" i="6"/>
  <c r="Q779" i="6"/>
  <c r="R779" i="6"/>
  <c r="S779" i="6"/>
  <c r="T779" i="6"/>
  <c r="B780" i="6"/>
  <c r="C780" i="6"/>
  <c r="D780" i="6"/>
  <c r="L780" i="6" s="1"/>
  <c r="E780" i="6"/>
  <c r="F780" i="6"/>
  <c r="H780" i="6"/>
  <c r="I780" i="6"/>
  <c r="N780" i="6"/>
  <c r="R780" i="6"/>
  <c r="Q780" i="6" s="1"/>
  <c r="S780" i="6" s="1"/>
  <c r="T780" i="6"/>
  <c r="B781" i="6"/>
  <c r="C781" i="6"/>
  <c r="D781" i="6"/>
  <c r="E781" i="6"/>
  <c r="F781" i="6"/>
  <c r="H781" i="6"/>
  <c r="I781" i="6"/>
  <c r="L781" i="6"/>
  <c r="N781" i="6"/>
  <c r="Q781" i="6"/>
  <c r="R781" i="6"/>
  <c r="S781" i="6"/>
  <c r="T781" i="6"/>
  <c r="B782" i="6"/>
  <c r="C782" i="6"/>
  <c r="D782" i="6"/>
  <c r="L782" i="6" s="1"/>
  <c r="E782" i="6"/>
  <c r="F782" i="6"/>
  <c r="H782" i="6"/>
  <c r="I782" i="6"/>
  <c r="N782" i="6"/>
  <c r="R782" i="6"/>
  <c r="Q782" i="6" s="1"/>
  <c r="S782" i="6" s="1"/>
  <c r="T782" i="6"/>
  <c r="B783" i="6"/>
  <c r="C783" i="6"/>
  <c r="D783" i="6"/>
  <c r="E783" i="6"/>
  <c r="F783" i="6"/>
  <c r="H783" i="6"/>
  <c r="I783" i="6"/>
  <c r="L783" i="6"/>
  <c r="N783" i="6"/>
  <c r="Q783" i="6"/>
  <c r="R783" i="6"/>
  <c r="S783" i="6"/>
  <c r="T783" i="6"/>
  <c r="B784" i="6"/>
  <c r="C784" i="6"/>
  <c r="D784" i="6"/>
  <c r="L784" i="6" s="1"/>
  <c r="E784" i="6"/>
  <c r="F784" i="6"/>
  <c r="H784" i="6"/>
  <c r="I784" i="6"/>
  <c r="N784" i="6"/>
  <c r="R784" i="6"/>
  <c r="Q784" i="6" s="1"/>
  <c r="S784" i="6" s="1"/>
  <c r="T784" i="6"/>
  <c r="B785" i="6"/>
  <c r="C785" i="6"/>
  <c r="D785" i="6"/>
  <c r="E785" i="6"/>
  <c r="F785" i="6"/>
  <c r="H785" i="6"/>
  <c r="I785" i="6"/>
  <c r="L785" i="6"/>
  <c r="N785" i="6"/>
  <c r="Q785" i="6"/>
  <c r="R785" i="6"/>
  <c r="S785" i="6"/>
  <c r="T785" i="6"/>
  <c r="B786" i="6"/>
  <c r="C786" i="6"/>
  <c r="D786" i="6"/>
  <c r="L786" i="6" s="1"/>
  <c r="E786" i="6"/>
  <c r="F786" i="6"/>
  <c r="H786" i="6"/>
  <c r="I786" i="6"/>
  <c r="N786" i="6"/>
  <c r="R786" i="6"/>
  <c r="Q786" i="6" s="1"/>
  <c r="S786" i="6" s="1"/>
  <c r="T786" i="6"/>
  <c r="B787" i="6"/>
  <c r="C787" i="6"/>
  <c r="D787" i="6"/>
  <c r="E787" i="6"/>
  <c r="F787" i="6"/>
  <c r="H787" i="6"/>
  <c r="I787" i="6"/>
  <c r="L787" i="6"/>
  <c r="N787" i="6"/>
  <c r="Q787" i="6"/>
  <c r="R787" i="6"/>
  <c r="S787" i="6"/>
  <c r="T787" i="6"/>
  <c r="B788" i="6"/>
  <c r="C788" i="6"/>
  <c r="D788" i="6"/>
  <c r="L788" i="6" s="1"/>
  <c r="E788" i="6"/>
  <c r="F788" i="6"/>
  <c r="H788" i="6"/>
  <c r="I788" i="6"/>
  <c r="N788" i="6"/>
  <c r="R788" i="6"/>
  <c r="Q788" i="6" s="1"/>
  <c r="S788" i="6" s="1"/>
  <c r="T788" i="6"/>
  <c r="B789" i="6"/>
  <c r="C789" i="6"/>
  <c r="D789" i="6"/>
  <c r="E789" i="6"/>
  <c r="F789" i="6"/>
  <c r="H789" i="6"/>
  <c r="I789" i="6"/>
  <c r="L789" i="6"/>
  <c r="N789" i="6"/>
  <c r="Q789" i="6"/>
  <c r="R789" i="6"/>
  <c r="S789" i="6"/>
  <c r="T789" i="6"/>
  <c r="B790" i="6"/>
  <c r="C790" i="6"/>
  <c r="D790" i="6"/>
  <c r="L790" i="6" s="1"/>
  <c r="E790" i="6"/>
  <c r="F790" i="6"/>
  <c r="H790" i="6"/>
  <c r="I790" i="6"/>
  <c r="N790" i="6"/>
  <c r="R790" i="6"/>
  <c r="Q790" i="6" s="1"/>
  <c r="S790" i="6" s="1"/>
  <c r="T790" i="6"/>
  <c r="B791" i="6"/>
  <c r="C791" i="6"/>
  <c r="D791" i="6"/>
  <c r="E791" i="6"/>
  <c r="F791" i="6"/>
  <c r="H791" i="6"/>
  <c r="I791" i="6"/>
  <c r="L791" i="6"/>
  <c r="N791" i="6"/>
  <c r="Q791" i="6"/>
  <c r="R791" i="6"/>
  <c r="S791" i="6"/>
  <c r="T791" i="6"/>
  <c r="B792" i="6"/>
  <c r="C792" i="6"/>
  <c r="D792" i="6"/>
  <c r="L792" i="6" s="1"/>
  <c r="E792" i="6"/>
  <c r="F792" i="6"/>
  <c r="H792" i="6"/>
  <c r="I792" i="6"/>
  <c r="N792" i="6"/>
  <c r="R792" i="6"/>
  <c r="Q792" i="6" s="1"/>
  <c r="S792" i="6" s="1"/>
  <c r="T792" i="6"/>
  <c r="B793" i="6"/>
  <c r="C793" i="6"/>
  <c r="D793" i="6"/>
  <c r="E793" i="6"/>
  <c r="F793" i="6"/>
  <c r="H793" i="6"/>
  <c r="I793" i="6"/>
  <c r="L793" i="6"/>
  <c r="N793" i="6"/>
  <c r="Q793" i="6"/>
  <c r="R793" i="6"/>
  <c r="S793" i="6"/>
  <c r="T793" i="6"/>
  <c r="B794" i="6"/>
  <c r="C794" i="6"/>
  <c r="D794" i="6"/>
  <c r="L794" i="6" s="1"/>
  <c r="E794" i="6"/>
  <c r="F794" i="6"/>
  <c r="H794" i="6"/>
  <c r="I794" i="6"/>
  <c r="N794" i="6"/>
  <c r="R794" i="6"/>
  <c r="Q794" i="6" s="1"/>
  <c r="S794" i="6" s="1"/>
  <c r="T794" i="6"/>
  <c r="B795" i="6"/>
  <c r="C795" i="6"/>
  <c r="D795" i="6"/>
  <c r="E795" i="6"/>
  <c r="F795" i="6"/>
  <c r="H795" i="6"/>
  <c r="I795" i="6"/>
  <c r="L795" i="6"/>
  <c r="N795" i="6"/>
  <c r="Q795" i="6"/>
  <c r="R795" i="6"/>
  <c r="S795" i="6"/>
  <c r="T795" i="6"/>
  <c r="B796" i="6"/>
  <c r="C796" i="6"/>
  <c r="D796" i="6"/>
  <c r="L796" i="6" s="1"/>
  <c r="E796" i="6"/>
  <c r="F796" i="6"/>
  <c r="H796" i="6"/>
  <c r="I796" i="6"/>
  <c r="N796" i="6"/>
  <c r="R796" i="6"/>
  <c r="Q796" i="6" s="1"/>
  <c r="S796" i="6" s="1"/>
  <c r="T796" i="6"/>
  <c r="B797" i="6"/>
  <c r="C797" i="6"/>
  <c r="D797" i="6"/>
  <c r="E797" i="6"/>
  <c r="F797" i="6"/>
  <c r="H797" i="6"/>
  <c r="I797" i="6"/>
  <c r="L797" i="6"/>
  <c r="N797" i="6"/>
  <c r="Q797" i="6"/>
  <c r="R797" i="6"/>
  <c r="S797" i="6"/>
  <c r="T797" i="6"/>
  <c r="B798" i="6"/>
  <c r="C798" i="6"/>
  <c r="D798" i="6"/>
  <c r="L798" i="6" s="1"/>
  <c r="E798" i="6"/>
  <c r="F798" i="6"/>
  <c r="H798" i="6"/>
  <c r="I798" i="6"/>
  <c r="N798" i="6"/>
  <c r="R798" i="6"/>
  <c r="Q798" i="6" s="1"/>
  <c r="S798" i="6" s="1"/>
  <c r="T798" i="6"/>
  <c r="B799" i="6"/>
  <c r="C799" i="6"/>
  <c r="D799" i="6"/>
  <c r="E799" i="6"/>
  <c r="F799" i="6"/>
  <c r="H799" i="6"/>
  <c r="I799" i="6"/>
  <c r="L799" i="6"/>
  <c r="N799" i="6"/>
  <c r="Q799" i="6"/>
  <c r="R799" i="6"/>
  <c r="S799" i="6"/>
  <c r="T799" i="6"/>
  <c r="B800" i="6"/>
  <c r="C800" i="6"/>
  <c r="D800" i="6"/>
  <c r="L800" i="6" s="1"/>
  <c r="E800" i="6"/>
  <c r="F800" i="6"/>
  <c r="H800" i="6"/>
  <c r="I800" i="6"/>
  <c r="N800" i="6"/>
  <c r="R800" i="6"/>
  <c r="Q800" i="6" s="1"/>
  <c r="S800" i="6" s="1"/>
  <c r="T800" i="6"/>
  <c r="B801" i="6"/>
  <c r="C801" i="6"/>
  <c r="D801" i="6"/>
  <c r="E801" i="6"/>
  <c r="F801" i="6"/>
  <c r="H801" i="6"/>
  <c r="I801" i="6"/>
  <c r="L801" i="6"/>
  <c r="N801" i="6"/>
  <c r="Q801" i="6"/>
  <c r="R801" i="6"/>
  <c r="S801" i="6"/>
  <c r="T801" i="6"/>
  <c r="B802" i="6"/>
  <c r="C802" i="6"/>
  <c r="D802" i="6"/>
  <c r="E802" i="6"/>
  <c r="F802" i="6"/>
  <c r="H802" i="6"/>
  <c r="I802" i="6"/>
  <c r="N802" i="6"/>
  <c r="R802" i="6"/>
  <c r="Q802" i="6" s="1"/>
  <c r="S802" i="6" s="1"/>
  <c r="T802" i="6"/>
  <c r="B803" i="6"/>
  <c r="C803" i="6"/>
  <c r="D803" i="6"/>
  <c r="E803" i="6"/>
  <c r="F803" i="6"/>
  <c r="H803" i="6"/>
  <c r="I803" i="6"/>
  <c r="L803" i="6"/>
  <c r="N803" i="6"/>
  <c r="Q803" i="6"/>
  <c r="R803" i="6"/>
  <c r="S803" i="6"/>
  <c r="T803" i="6"/>
  <c r="B804" i="6"/>
  <c r="C804" i="6"/>
  <c r="D804" i="6"/>
  <c r="E804" i="6"/>
  <c r="F804" i="6"/>
  <c r="H804" i="6"/>
  <c r="I804" i="6"/>
  <c r="N804" i="6"/>
  <c r="R804" i="6"/>
  <c r="Q804" i="6" s="1"/>
  <c r="S804" i="6" s="1"/>
  <c r="T804" i="6"/>
  <c r="B805" i="6"/>
  <c r="C805" i="6"/>
  <c r="D805" i="6"/>
  <c r="L805" i="6" s="1"/>
  <c r="E805" i="6"/>
  <c r="F805" i="6"/>
  <c r="H805" i="6"/>
  <c r="I805" i="6"/>
  <c r="N805" i="6"/>
  <c r="R805" i="6"/>
  <c r="Q805" i="6" s="1"/>
  <c r="S805" i="6" s="1"/>
  <c r="T805" i="6"/>
  <c r="B806" i="6"/>
  <c r="C806" i="6"/>
  <c r="D806" i="6"/>
  <c r="E806" i="6"/>
  <c r="F806" i="6"/>
  <c r="H806" i="6"/>
  <c r="I806" i="6"/>
  <c r="L806" i="6"/>
  <c r="N806" i="6"/>
  <c r="Q806" i="6"/>
  <c r="R806" i="6"/>
  <c r="S806" i="6"/>
  <c r="T806" i="6"/>
  <c r="B807" i="6"/>
  <c r="C807" i="6"/>
  <c r="D807" i="6"/>
  <c r="L807" i="6" s="1"/>
  <c r="E807" i="6"/>
  <c r="F807" i="6"/>
  <c r="H807" i="6"/>
  <c r="I807" i="6"/>
  <c r="N807" i="6"/>
  <c r="R807" i="6"/>
  <c r="Q807" i="6" s="1"/>
  <c r="S807" i="6" s="1"/>
  <c r="T807" i="6"/>
  <c r="B808" i="6"/>
  <c r="C808" i="6"/>
  <c r="D808" i="6"/>
  <c r="E808" i="6"/>
  <c r="F808" i="6"/>
  <c r="H808" i="6"/>
  <c r="I808" i="6"/>
  <c r="L808" i="6"/>
  <c r="N808" i="6"/>
  <c r="Q808" i="6"/>
  <c r="R808" i="6"/>
  <c r="S808" i="6"/>
  <c r="T808" i="6"/>
  <c r="B809" i="6"/>
  <c r="C809" i="6"/>
  <c r="D809" i="6"/>
  <c r="L809" i="6" s="1"/>
  <c r="E809" i="6"/>
  <c r="F809" i="6"/>
  <c r="H809" i="6"/>
  <c r="I809" i="6"/>
  <c r="N809" i="6"/>
  <c r="R809" i="6"/>
  <c r="Q809" i="6" s="1"/>
  <c r="S809" i="6" s="1"/>
  <c r="T809" i="6"/>
  <c r="B810" i="6"/>
  <c r="C810" i="6"/>
  <c r="D810" i="6"/>
  <c r="E810" i="6"/>
  <c r="F810" i="6"/>
  <c r="H810" i="6"/>
  <c r="I810" i="6"/>
  <c r="L810" i="6"/>
  <c r="N810" i="6"/>
  <c r="Q810" i="6"/>
  <c r="R810" i="6"/>
  <c r="S810" i="6"/>
  <c r="T810" i="6"/>
  <c r="B811" i="6"/>
  <c r="C811" i="6"/>
  <c r="D811" i="6"/>
  <c r="L811" i="6" s="1"/>
  <c r="E811" i="6"/>
  <c r="F811" i="6"/>
  <c r="H811" i="6"/>
  <c r="I811" i="6"/>
  <c r="N811" i="6"/>
  <c r="R811" i="6"/>
  <c r="Q811" i="6" s="1"/>
  <c r="S811" i="6" s="1"/>
  <c r="T811" i="6"/>
  <c r="B812" i="6"/>
  <c r="C812" i="6"/>
  <c r="D812" i="6"/>
  <c r="E812" i="6"/>
  <c r="F812" i="6"/>
  <c r="H812" i="6"/>
  <c r="I812" i="6"/>
  <c r="L812" i="6"/>
  <c r="N812" i="6"/>
  <c r="Q812" i="6"/>
  <c r="R812" i="6"/>
  <c r="S812" i="6"/>
  <c r="T812" i="6"/>
  <c r="B813" i="6"/>
  <c r="C813" i="6"/>
  <c r="D813" i="6"/>
  <c r="L813" i="6" s="1"/>
  <c r="E813" i="6"/>
  <c r="F813" i="6"/>
  <c r="H813" i="6"/>
  <c r="I813" i="6"/>
  <c r="N813" i="6"/>
  <c r="R813" i="6"/>
  <c r="Q813" i="6" s="1"/>
  <c r="S813" i="6" s="1"/>
  <c r="T813" i="6"/>
  <c r="B814" i="6"/>
  <c r="C814" i="6"/>
  <c r="D814" i="6"/>
  <c r="E814" i="6"/>
  <c r="F814" i="6"/>
  <c r="H814" i="6"/>
  <c r="I814" i="6"/>
  <c r="L814" i="6"/>
  <c r="N814" i="6"/>
  <c r="Q814" i="6"/>
  <c r="R814" i="6"/>
  <c r="S814" i="6"/>
  <c r="T814" i="6"/>
  <c r="B815" i="6"/>
  <c r="C815" i="6"/>
  <c r="D815" i="6"/>
  <c r="L815" i="6" s="1"/>
  <c r="E815" i="6"/>
  <c r="F815" i="6"/>
  <c r="H815" i="6"/>
  <c r="I815" i="6"/>
  <c r="N815" i="6"/>
  <c r="R815" i="6"/>
  <c r="Q815" i="6" s="1"/>
  <c r="S815" i="6" s="1"/>
  <c r="T815" i="6"/>
  <c r="B816" i="6"/>
  <c r="C816" i="6"/>
  <c r="D816" i="6"/>
  <c r="E816" i="6"/>
  <c r="F816" i="6"/>
  <c r="H816" i="6"/>
  <c r="I816" i="6"/>
  <c r="L816" i="6"/>
  <c r="N816" i="6"/>
  <c r="Q816" i="6"/>
  <c r="R816" i="6"/>
  <c r="S816" i="6"/>
  <c r="T816" i="6"/>
  <c r="B817" i="6"/>
  <c r="C817" i="6"/>
  <c r="D817" i="6"/>
  <c r="L817" i="6" s="1"/>
  <c r="E817" i="6"/>
  <c r="F817" i="6"/>
  <c r="H817" i="6"/>
  <c r="I817" i="6"/>
  <c r="N817" i="6"/>
  <c r="R817" i="6"/>
  <c r="Q817" i="6" s="1"/>
  <c r="S817" i="6" s="1"/>
  <c r="T817" i="6"/>
  <c r="B818" i="6"/>
  <c r="C818" i="6"/>
  <c r="D818" i="6"/>
  <c r="E818" i="6"/>
  <c r="F818" i="6"/>
  <c r="H818" i="6"/>
  <c r="I818" i="6"/>
  <c r="L818" i="6"/>
  <c r="N818" i="6"/>
  <c r="Q818" i="6"/>
  <c r="R818" i="6"/>
  <c r="S818" i="6"/>
  <c r="T818" i="6"/>
  <c r="B819" i="6"/>
  <c r="C819" i="6"/>
  <c r="D819" i="6"/>
  <c r="L819" i="6" s="1"/>
  <c r="E819" i="6"/>
  <c r="F819" i="6"/>
  <c r="H819" i="6"/>
  <c r="I819" i="6"/>
  <c r="N819" i="6"/>
  <c r="R819" i="6"/>
  <c r="Q819" i="6" s="1"/>
  <c r="S819" i="6" s="1"/>
  <c r="T819" i="6"/>
  <c r="B820" i="6"/>
  <c r="C820" i="6"/>
  <c r="D820" i="6"/>
  <c r="E820" i="6"/>
  <c r="F820" i="6"/>
  <c r="H820" i="6"/>
  <c r="I820" i="6"/>
  <c r="L820" i="6"/>
  <c r="N820" i="6"/>
  <c r="Q820" i="6"/>
  <c r="R820" i="6"/>
  <c r="S820" i="6"/>
  <c r="T820" i="6"/>
  <c r="B821" i="6"/>
  <c r="C821" i="6"/>
  <c r="D821" i="6"/>
  <c r="L821" i="6" s="1"/>
  <c r="E821" i="6"/>
  <c r="F821" i="6"/>
  <c r="H821" i="6"/>
  <c r="I821" i="6"/>
  <c r="N821" i="6"/>
  <c r="R821" i="6"/>
  <c r="Q821" i="6" s="1"/>
  <c r="S821" i="6" s="1"/>
  <c r="T821" i="6"/>
  <c r="B822" i="6"/>
  <c r="C822" i="6"/>
  <c r="D822" i="6"/>
  <c r="E822" i="6"/>
  <c r="F822" i="6"/>
  <c r="H822" i="6"/>
  <c r="I822" i="6"/>
  <c r="L822" i="6"/>
  <c r="N822" i="6"/>
  <c r="Q822" i="6"/>
  <c r="R822" i="6"/>
  <c r="S822" i="6"/>
  <c r="T822" i="6"/>
  <c r="B823" i="6"/>
  <c r="C823" i="6"/>
  <c r="D823" i="6"/>
  <c r="L823" i="6" s="1"/>
  <c r="E823" i="6"/>
  <c r="F823" i="6"/>
  <c r="H823" i="6"/>
  <c r="I823" i="6"/>
  <c r="N823" i="6"/>
  <c r="R823" i="6"/>
  <c r="Q823" i="6" s="1"/>
  <c r="S823" i="6" s="1"/>
  <c r="T823" i="6"/>
  <c r="B824" i="6"/>
  <c r="C824" i="6"/>
  <c r="D824" i="6"/>
  <c r="E824" i="6"/>
  <c r="F824" i="6"/>
  <c r="H824" i="6"/>
  <c r="I824" i="6"/>
  <c r="L824" i="6"/>
  <c r="N824" i="6"/>
  <c r="Q824" i="6"/>
  <c r="R824" i="6"/>
  <c r="S824" i="6"/>
  <c r="T824" i="6"/>
  <c r="B825" i="6"/>
  <c r="C825" i="6"/>
  <c r="D825" i="6"/>
  <c r="L825" i="6" s="1"/>
  <c r="E825" i="6"/>
  <c r="F825" i="6"/>
  <c r="H825" i="6"/>
  <c r="I825" i="6"/>
  <c r="N825" i="6"/>
  <c r="R825" i="6"/>
  <c r="Q825" i="6" s="1"/>
  <c r="S825" i="6" s="1"/>
  <c r="T825" i="6"/>
  <c r="B826" i="6"/>
  <c r="C826" i="6"/>
  <c r="D826" i="6"/>
  <c r="E826" i="6"/>
  <c r="F826" i="6"/>
  <c r="H826" i="6"/>
  <c r="I826" i="6"/>
  <c r="L826" i="6"/>
  <c r="N826" i="6"/>
  <c r="Q826" i="6"/>
  <c r="R826" i="6"/>
  <c r="S826" i="6"/>
  <c r="T826" i="6"/>
  <c r="B827" i="6"/>
  <c r="C827" i="6"/>
  <c r="D827" i="6"/>
  <c r="L827" i="6" s="1"/>
  <c r="E827" i="6"/>
  <c r="F827" i="6"/>
  <c r="H827" i="6"/>
  <c r="I827" i="6"/>
  <c r="N827" i="6"/>
  <c r="R827" i="6"/>
  <c r="Q827" i="6" s="1"/>
  <c r="S827" i="6" s="1"/>
  <c r="T827" i="6"/>
  <c r="B828" i="6"/>
  <c r="C828" i="6"/>
  <c r="D828" i="6"/>
  <c r="E828" i="6"/>
  <c r="F828" i="6"/>
  <c r="H828" i="6"/>
  <c r="I828" i="6"/>
  <c r="L828" i="6"/>
  <c r="N828" i="6"/>
  <c r="Q828" i="6"/>
  <c r="R828" i="6"/>
  <c r="S828" i="6"/>
  <c r="T828" i="6"/>
  <c r="B829" i="6"/>
  <c r="C829" i="6"/>
  <c r="D829" i="6"/>
  <c r="L829" i="6" s="1"/>
  <c r="E829" i="6"/>
  <c r="F829" i="6"/>
  <c r="H829" i="6"/>
  <c r="I829" i="6"/>
  <c r="N829" i="6"/>
  <c r="R829" i="6"/>
  <c r="Q829" i="6" s="1"/>
  <c r="S829" i="6" s="1"/>
  <c r="T829" i="6"/>
  <c r="B830" i="6"/>
  <c r="C830" i="6"/>
  <c r="D830" i="6"/>
  <c r="E830" i="6"/>
  <c r="F830" i="6"/>
  <c r="H830" i="6"/>
  <c r="I830" i="6"/>
  <c r="L830" i="6"/>
  <c r="N830" i="6"/>
  <c r="Q830" i="6"/>
  <c r="R830" i="6"/>
  <c r="S830" i="6"/>
  <c r="T830" i="6"/>
  <c r="B831" i="6"/>
  <c r="C831" i="6"/>
  <c r="D831" i="6"/>
  <c r="L831" i="6" s="1"/>
  <c r="E831" i="6"/>
  <c r="F831" i="6"/>
  <c r="H831" i="6"/>
  <c r="I831" i="6"/>
  <c r="N831" i="6"/>
  <c r="R831" i="6"/>
  <c r="Q831" i="6" s="1"/>
  <c r="S831" i="6" s="1"/>
  <c r="T831" i="6"/>
  <c r="B832" i="6"/>
  <c r="C832" i="6"/>
  <c r="D832" i="6"/>
  <c r="E832" i="6"/>
  <c r="F832" i="6"/>
  <c r="H832" i="6"/>
  <c r="I832" i="6"/>
  <c r="L832" i="6"/>
  <c r="N832" i="6"/>
  <c r="Q832" i="6"/>
  <c r="R832" i="6"/>
  <c r="S832" i="6"/>
  <c r="T832" i="6"/>
  <c r="B833" i="6"/>
  <c r="C833" i="6"/>
  <c r="D833" i="6"/>
  <c r="L833" i="6" s="1"/>
  <c r="E833" i="6"/>
  <c r="F833" i="6"/>
  <c r="H833" i="6"/>
  <c r="I833" i="6"/>
  <c r="N833" i="6"/>
  <c r="R833" i="6"/>
  <c r="Q833" i="6" s="1"/>
  <c r="S833" i="6" s="1"/>
  <c r="T833" i="6"/>
  <c r="B834" i="6"/>
  <c r="C834" i="6"/>
  <c r="D834" i="6"/>
  <c r="E834" i="6"/>
  <c r="F834" i="6"/>
  <c r="H834" i="6"/>
  <c r="I834" i="6"/>
  <c r="L834" i="6"/>
  <c r="N834" i="6"/>
  <c r="Q834" i="6"/>
  <c r="R834" i="6"/>
  <c r="S834" i="6"/>
  <c r="T834" i="6"/>
  <c r="B835" i="6"/>
  <c r="C835" i="6"/>
  <c r="D835" i="6"/>
  <c r="L835" i="6" s="1"/>
  <c r="E835" i="6"/>
  <c r="F835" i="6"/>
  <c r="H835" i="6"/>
  <c r="I835" i="6"/>
  <c r="N835" i="6"/>
  <c r="R835" i="6"/>
  <c r="Q835" i="6" s="1"/>
  <c r="S835" i="6" s="1"/>
  <c r="T835" i="6"/>
  <c r="B836" i="6"/>
  <c r="C836" i="6"/>
  <c r="D836" i="6"/>
  <c r="E836" i="6"/>
  <c r="F836" i="6"/>
  <c r="H836" i="6"/>
  <c r="I836" i="6"/>
  <c r="L836" i="6"/>
  <c r="N836" i="6"/>
  <c r="Q836" i="6"/>
  <c r="R836" i="6"/>
  <c r="S836" i="6"/>
  <c r="T836" i="6"/>
  <c r="B837" i="6"/>
  <c r="C837" i="6"/>
  <c r="D837" i="6"/>
  <c r="L837" i="6" s="1"/>
  <c r="E837" i="6"/>
  <c r="F837" i="6"/>
  <c r="H837" i="6"/>
  <c r="I837" i="6"/>
  <c r="N837" i="6"/>
  <c r="R837" i="6"/>
  <c r="Q837" i="6" s="1"/>
  <c r="S837" i="6" s="1"/>
  <c r="T837" i="6"/>
  <c r="B838" i="6"/>
  <c r="C838" i="6"/>
  <c r="D838" i="6"/>
  <c r="E838" i="6"/>
  <c r="F838" i="6"/>
  <c r="H838" i="6"/>
  <c r="I838" i="6"/>
  <c r="L838" i="6"/>
  <c r="N838" i="6"/>
  <c r="Q838" i="6"/>
  <c r="R838" i="6"/>
  <c r="S838" i="6"/>
  <c r="T838" i="6"/>
  <c r="B839" i="6"/>
  <c r="C839" i="6"/>
  <c r="D839" i="6"/>
  <c r="L839" i="6" s="1"/>
  <c r="E839" i="6"/>
  <c r="F839" i="6"/>
  <c r="H839" i="6"/>
  <c r="I839" i="6"/>
  <c r="N839" i="6"/>
  <c r="R839" i="6"/>
  <c r="Q839" i="6" s="1"/>
  <c r="S839" i="6" s="1"/>
  <c r="T839" i="6"/>
  <c r="B840" i="6"/>
  <c r="C840" i="6"/>
  <c r="D840" i="6"/>
  <c r="E840" i="6"/>
  <c r="F840" i="6"/>
  <c r="H840" i="6"/>
  <c r="I840" i="6"/>
  <c r="L840" i="6"/>
  <c r="N840" i="6"/>
  <c r="Q840" i="6"/>
  <c r="R840" i="6"/>
  <c r="S840" i="6"/>
  <c r="T840" i="6"/>
  <c r="B841" i="6"/>
  <c r="C841" i="6"/>
  <c r="D841" i="6"/>
  <c r="L841" i="6" s="1"/>
  <c r="E841" i="6"/>
  <c r="F841" i="6"/>
  <c r="H841" i="6"/>
  <c r="I841" i="6"/>
  <c r="N841" i="6"/>
  <c r="R841" i="6"/>
  <c r="Q841" i="6" s="1"/>
  <c r="S841" i="6" s="1"/>
  <c r="T841" i="6"/>
  <c r="B842" i="6"/>
  <c r="C842" i="6"/>
  <c r="D842" i="6"/>
  <c r="E842" i="6"/>
  <c r="F842" i="6"/>
  <c r="H842" i="6"/>
  <c r="I842" i="6"/>
  <c r="L842" i="6"/>
  <c r="N842" i="6"/>
  <c r="Q842" i="6"/>
  <c r="R842" i="6"/>
  <c r="S842" i="6"/>
  <c r="T842" i="6"/>
  <c r="B843" i="6"/>
  <c r="C843" i="6"/>
  <c r="D843" i="6"/>
  <c r="L843" i="6" s="1"/>
  <c r="E843" i="6"/>
  <c r="F843" i="6"/>
  <c r="H843" i="6"/>
  <c r="I843" i="6"/>
  <c r="N843" i="6"/>
  <c r="R843" i="6"/>
  <c r="Q843" i="6" s="1"/>
  <c r="S843" i="6" s="1"/>
  <c r="T843" i="6"/>
  <c r="B844" i="6"/>
  <c r="C844" i="6"/>
  <c r="D844" i="6"/>
  <c r="E844" i="6"/>
  <c r="F844" i="6"/>
  <c r="H844" i="6"/>
  <c r="I844" i="6"/>
  <c r="L844" i="6"/>
  <c r="N844" i="6"/>
  <c r="Q844" i="6"/>
  <c r="R844" i="6"/>
  <c r="S844" i="6"/>
  <c r="T844" i="6"/>
  <c r="B845" i="6"/>
  <c r="C845" i="6"/>
  <c r="D845" i="6"/>
  <c r="L845" i="6" s="1"/>
  <c r="E845" i="6"/>
  <c r="F845" i="6"/>
  <c r="H845" i="6"/>
  <c r="I845" i="6"/>
  <c r="N845" i="6"/>
  <c r="R845" i="6"/>
  <c r="Q845" i="6" s="1"/>
  <c r="S845" i="6" s="1"/>
  <c r="T845" i="6"/>
  <c r="B846" i="6"/>
  <c r="C846" i="6"/>
  <c r="D846" i="6"/>
  <c r="E846" i="6"/>
  <c r="F846" i="6"/>
  <c r="H846" i="6"/>
  <c r="I846" i="6"/>
  <c r="L846" i="6"/>
  <c r="N846" i="6"/>
  <c r="Q846" i="6"/>
  <c r="R846" i="6"/>
  <c r="S846" i="6"/>
  <c r="T846" i="6"/>
  <c r="B847" i="6"/>
  <c r="C847" i="6"/>
  <c r="D847" i="6"/>
  <c r="L847" i="6" s="1"/>
  <c r="E847" i="6"/>
  <c r="F847" i="6"/>
  <c r="H847" i="6"/>
  <c r="I847" i="6"/>
  <c r="N847" i="6"/>
  <c r="R847" i="6"/>
  <c r="Q847" i="6" s="1"/>
  <c r="S847" i="6" s="1"/>
  <c r="T847" i="6"/>
  <c r="B848" i="6"/>
  <c r="C848" i="6"/>
  <c r="D848" i="6"/>
  <c r="E848" i="6"/>
  <c r="F848" i="6"/>
  <c r="H848" i="6"/>
  <c r="I848" i="6"/>
  <c r="L848" i="6"/>
  <c r="N848" i="6"/>
  <c r="Q848" i="6"/>
  <c r="R848" i="6"/>
  <c r="S848" i="6"/>
  <c r="T848" i="6"/>
  <c r="B849" i="6"/>
  <c r="C849" i="6"/>
  <c r="D849" i="6"/>
  <c r="L849" i="6" s="1"/>
  <c r="E849" i="6"/>
  <c r="F849" i="6"/>
  <c r="H849" i="6"/>
  <c r="I849" i="6"/>
  <c r="N849" i="6"/>
  <c r="R849" i="6"/>
  <c r="Q849" i="6" s="1"/>
  <c r="S849" i="6" s="1"/>
  <c r="T849" i="6"/>
  <c r="B850" i="6"/>
  <c r="C850" i="6"/>
  <c r="D850" i="6"/>
  <c r="E850" i="6"/>
  <c r="F850" i="6"/>
  <c r="H850" i="6"/>
  <c r="I850" i="6"/>
  <c r="L850" i="6"/>
  <c r="N850" i="6"/>
  <c r="Q850" i="6"/>
  <c r="R850" i="6"/>
  <c r="S850" i="6"/>
  <c r="T850" i="6"/>
  <c r="B851" i="6"/>
  <c r="C851" i="6"/>
  <c r="D851" i="6"/>
  <c r="L851" i="6" s="1"/>
  <c r="E851" i="6"/>
  <c r="F851" i="6"/>
  <c r="H851" i="6"/>
  <c r="I851" i="6"/>
  <c r="N851" i="6"/>
  <c r="R851" i="6"/>
  <c r="Q851" i="6" s="1"/>
  <c r="S851" i="6" s="1"/>
  <c r="T851" i="6"/>
  <c r="B852" i="6"/>
  <c r="C852" i="6"/>
  <c r="D852" i="6"/>
  <c r="E852" i="6"/>
  <c r="F852" i="6"/>
  <c r="H852" i="6"/>
  <c r="I852" i="6"/>
  <c r="L852" i="6"/>
  <c r="N852" i="6"/>
  <c r="Q852" i="6"/>
  <c r="R852" i="6"/>
  <c r="S852" i="6"/>
  <c r="T852" i="6"/>
  <c r="B853" i="6"/>
  <c r="C853" i="6"/>
  <c r="D853" i="6"/>
  <c r="L853" i="6" s="1"/>
  <c r="E853" i="6"/>
  <c r="F853" i="6"/>
  <c r="H853" i="6"/>
  <c r="I853" i="6"/>
  <c r="N853" i="6"/>
  <c r="R853" i="6"/>
  <c r="Q853" i="6" s="1"/>
  <c r="S853" i="6" s="1"/>
  <c r="T853" i="6"/>
  <c r="B854" i="6"/>
  <c r="C854" i="6"/>
  <c r="D854" i="6"/>
  <c r="E854" i="6"/>
  <c r="F854" i="6"/>
  <c r="H854" i="6"/>
  <c r="I854" i="6"/>
  <c r="L854" i="6"/>
  <c r="N854" i="6"/>
  <c r="Q854" i="6"/>
  <c r="R854" i="6"/>
  <c r="S854" i="6"/>
  <c r="T854" i="6"/>
  <c r="B855" i="6"/>
  <c r="C855" i="6"/>
  <c r="D855" i="6"/>
  <c r="L855" i="6" s="1"/>
  <c r="E855" i="6"/>
  <c r="F855" i="6"/>
  <c r="H855" i="6"/>
  <c r="I855" i="6"/>
  <c r="N855" i="6"/>
  <c r="R855" i="6"/>
  <c r="Q855" i="6" s="1"/>
  <c r="S855" i="6" s="1"/>
  <c r="T855" i="6"/>
  <c r="B856" i="6"/>
  <c r="C856" i="6"/>
  <c r="D856" i="6"/>
  <c r="E856" i="6"/>
  <c r="F856" i="6"/>
  <c r="H856" i="6"/>
  <c r="I856" i="6"/>
  <c r="L856" i="6"/>
  <c r="N856" i="6"/>
  <c r="Q856" i="6"/>
  <c r="R856" i="6"/>
  <c r="S856" i="6"/>
  <c r="T856" i="6"/>
  <c r="B857" i="6"/>
  <c r="C857" i="6"/>
  <c r="D857" i="6"/>
  <c r="L857" i="6" s="1"/>
  <c r="E857" i="6"/>
  <c r="F857" i="6"/>
  <c r="H857" i="6"/>
  <c r="I857" i="6"/>
  <c r="N857" i="6"/>
  <c r="R857" i="6"/>
  <c r="Q857" i="6" s="1"/>
  <c r="S857" i="6" s="1"/>
  <c r="T857" i="6"/>
  <c r="B858" i="6"/>
  <c r="C858" i="6"/>
  <c r="D858" i="6"/>
  <c r="E858" i="6"/>
  <c r="F858" i="6"/>
  <c r="H858" i="6"/>
  <c r="I858" i="6"/>
  <c r="L858" i="6"/>
  <c r="N858" i="6"/>
  <c r="Q858" i="6"/>
  <c r="R858" i="6"/>
  <c r="S858" i="6"/>
  <c r="T858" i="6"/>
  <c r="B859" i="6"/>
  <c r="C859" i="6"/>
  <c r="D859" i="6"/>
  <c r="L859" i="6" s="1"/>
  <c r="E859" i="6"/>
  <c r="F859" i="6"/>
  <c r="H859" i="6"/>
  <c r="I859" i="6"/>
  <c r="N859" i="6"/>
  <c r="R859" i="6"/>
  <c r="Q859" i="6" s="1"/>
  <c r="S859" i="6" s="1"/>
  <c r="T859" i="6"/>
  <c r="B860" i="6"/>
  <c r="C860" i="6"/>
  <c r="D860" i="6"/>
  <c r="E860" i="6"/>
  <c r="F860" i="6"/>
  <c r="H860" i="6"/>
  <c r="I860" i="6"/>
  <c r="L860" i="6"/>
  <c r="N860" i="6"/>
  <c r="Q860" i="6"/>
  <c r="R860" i="6"/>
  <c r="S860" i="6"/>
  <c r="T860" i="6"/>
  <c r="B861" i="6"/>
  <c r="C861" i="6"/>
  <c r="D861" i="6"/>
  <c r="L861" i="6" s="1"/>
  <c r="E861" i="6"/>
  <c r="F861" i="6"/>
  <c r="H861" i="6"/>
  <c r="I861" i="6"/>
  <c r="N861" i="6"/>
  <c r="R861" i="6"/>
  <c r="Q861" i="6" s="1"/>
  <c r="S861" i="6" s="1"/>
  <c r="T861" i="6"/>
  <c r="B862" i="6"/>
  <c r="C862" i="6"/>
  <c r="D862" i="6"/>
  <c r="E862" i="6"/>
  <c r="F862" i="6"/>
  <c r="H862" i="6"/>
  <c r="I862" i="6"/>
  <c r="L862" i="6"/>
  <c r="N862" i="6"/>
  <c r="Q862" i="6"/>
  <c r="R862" i="6"/>
  <c r="S862" i="6"/>
  <c r="T862" i="6"/>
  <c r="B863" i="6"/>
  <c r="C863" i="6"/>
  <c r="D863" i="6"/>
  <c r="L863" i="6" s="1"/>
  <c r="E863" i="6"/>
  <c r="F863" i="6"/>
  <c r="H863" i="6"/>
  <c r="I863" i="6"/>
  <c r="N863" i="6"/>
  <c r="R863" i="6"/>
  <c r="Q863" i="6" s="1"/>
  <c r="S863" i="6" s="1"/>
  <c r="T863" i="6"/>
  <c r="B864" i="6"/>
  <c r="C864" i="6"/>
  <c r="D864" i="6"/>
  <c r="E864" i="6"/>
  <c r="F864" i="6"/>
  <c r="H864" i="6"/>
  <c r="I864" i="6"/>
  <c r="L864" i="6"/>
  <c r="N864" i="6"/>
  <c r="Q864" i="6"/>
  <c r="R864" i="6"/>
  <c r="S864" i="6"/>
  <c r="T864" i="6"/>
  <c r="B865" i="6"/>
  <c r="C865" i="6"/>
  <c r="D865" i="6"/>
  <c r="L865" i="6" s="1"/>
  <c r="E865" i="6"/>
  <c r="F865" i="6"/>
  <c r="H865" i="6"/>
  <c r="I865" i="6"/>
  <c r="N865" i="6"/>
  <c r="R865" i="6"/>
  <c r="Q865" i="6" s="1"/>
  <c r="S865" i="6" s="1"/>
  <c r="T865" i="6"/>
  <c r="B866" i="6"/>
  <c r="C866" i="6"/>
  <c r="D866" i="6"/>
  <c r="E866" i="6"/>
  <c r="F866" i="6"/>
  <c r="H866" i="6"/>
  <c r="I866" i="6"/>
  <c r="L866" i="6"/>
  <c r="N866" i="6"/>
  <c r="Q866" i="6"/>
  <c r="R866" i="6"/>
  <c r="S866" i="6"/>
  <c r="T866" i="6"/>
  <c r="B867" i="6"/>
  <c r="C867" i="6"/>
  <c r="D867" i="6"/>
  <c r="L867" i="6" s="1"/>
  <c r="E867" i="6"/>
  <c r="F867" i="6"/>
  <c r="H867" i="6"/>
  <c r="I867" i="6"/>
  <c r="N867" i="6"/>
  <c r="R867" i="6"/>
  <c r="Q867" i="6" s="1"/>
  <c r="S867" i="6" s="1"/>
  <c r="T867" i="6"/>
  <c r="B868" i="6"/>
  <c r="C868" i="6"/>
  <c r="D868" i="6"/>
  <c r="E868" i="6"/>
  <c r="F868" i="6"/>
  <c r="H868" i="6"/>
  <c r="I868" i="6"/>
  <c r="L868" i="6"/>
  <c r="N868" i="6"/>
  <c r="Q868" i="6"/>
  <c r="R868" i="6"/>
  <c r="S868" i="6"/>
  <c r="T868" i="6"/>
  <c r="B869" i="6"/>
  <c r="C869" i="6"/>
  <c r="D869" i="6"/>
  <c r="L869" i="6" s="1"/>
  <c r="E869" i="6"/>
  <c r="F869" i="6"/>
  <c r="H869" i="6"/>
  <c r="I869" i="6"/>
  <c r="N869" i="6"/>
  <c r="R869" i="6"/>
  <c r="Q869" i="6" s="1"/>
  <c r="S869" i="6" s="1"/>
  <c r="T869" i="6"/>
  <c r="B870" i="6"/>
  <c r="C870" i="6"/>
  <c r="D870" i="6"/>
  <c r="E870" i="6"/>
  <c r="F870" i="6"/>
  <c r="H870" i="6"/>
  <c r="I870" i="6"/>
  <c r="L870" i="6"/>
  <c r="N870" i="6"/>
  <c r="Q870" i="6"/>
  <c r="R870" i="6"/>
  <c r="S870" i="6"/>
  <c r="T870" i="6"/>
  <c r="B871" i="6"/>
  <c r="C871" i="6"/>
  <c r="D871" i="6"/>
  <c r="L871" i="6" s="1"/>
  <c r="E871" i="6"/>
  <c r="F871" i="6"/>
  <c r="H871" i="6"/>
  <c r="I871" i="6"/>
  <c r="N871" i="6"/>
  <c r="R871" i="6"/>
  <c r="Q871" i="6" s="1"/>
  <c r="S871" i="6" s="1"/>
  <c r="T871" i="6"/>
  <c r="B872" i="6"/>
  <c r="C872" i="6"/>
  <c r="D872" i="6"/>
  <c r="E872" i="6"/>
  <c r="F872" i="6"/>
  <c r="H872" i="6"/>
  <c r="I872" i="6"/>
  <c r="L872" i="6"/>
  <c r="N872" i="6"/>
  <c r="Q872" i="6"/>
  <c r="R872" i="6"/>
  <c r="S872" i="6"/>
  <c r="T872" i="6"/>
  <c r="B873" i="6"/>
  <c r="C873" i="6"/>
  <c r="D873" i="6"/>
  <c r="L873" i="6" s="1"/>
  <c r="E873" i="6"/>
  <c r="F873" i="6"/>
  <c r="H873" i="6"/>
  <c r="I873" i="6"/>
  <c r="N873" i="6"/>
  <c r="R873" i="6"/>
  <c r="Q873" i="6" s="1"/>
  <c r="S873" i="6" s="1"/>
  <c r="T873" i="6"/>
  <c r="B874" i="6"/>
  <c r="C874" i="6"/>
  <c r="D874" i="6"/>
  <c r="E874" i="6"/>
  <c r="F874" i="6"/>
  <c r="H874" i="6"/>
  <c r="I874" i="6"/>
  <c r="L874" i="6"/>
  <c r="N874" i="6"/>
  <c r="Q874" i="6"/>
  <c r="R874" i="6"/>
  <c r="S874" i="6"/>
  <c r="T874" i="6"/>
  <c r="B875" i="6"/>
  <c r="C875" i="6"/>
  <c r="D875" i="6"/>
  <c r="L875" i="6" s="1"/>
  <c r="E875" i="6"/>
  <c r="F875" i="6"/>
  <c r="H875" i="6"/>
  <c r="I875" i="6"/>
  <c r="N875" i="6"/>
  <c r="R875" i="6"/>
  <c r="Q875" i="6" s="1"/>
  <c r="S875" i="6" s="1"/>
  <c r="T875" i="6"/>
  <c r="B876" i="6"/>
  <c r="C876" i="6"/>
  <c r="D876" i="6"/>
  <c r="E876" i="6"/>
  <c r="F876" i="6"/>
  <c r="H876" i="6"/>
  <c r="I876" i="6"/>
  <c r="L876" i="6"/>
  <c r="N876" i="6"/>
  <c r="Q876" i="6"/>
  <c r="R876" i="6"/>
  <c r="S876" i="6"/>
  <c r="T876" i="6"/>
  <c r="B877" i="6"/>
  <c r="C877" i="6"/>
  <c r="D877" i="6"/>
  <c r="L877" i="6" s="1"/>
  <c r="E877" i="6"/>
  <c r="F877" i="6"/>
  <c r="H877" i="6"/>
  <c r="I877" i="6"/>
  <c r="N877" i="6"/>
  <c r="R877" i="6"/>
  <c r="Q877" i="6" s="1"/>
  <c r="S877" i="6" s="1"/>
  <c r="T877" i="6"/>
  <c r="B878" i="6"/>
  <c r="C878" i="6"/>
  <c r="D878" i="6"/>
  <c r="E878" i="6"/>
  <c r="F878" i="6"/>
  <c r="H878" i="6"/>
  <c r="I878" i="6"/>
  <c r="L878" i="6"/>
  <c r="N878" i="6"/>
  <c r="Q878" i="6"/>
  <c r="R878" i="6"/>
  <c r="S878" i="6"/>
  <c r="T878" i="6"/>
  <c r="B879" i="6"/>
  <c r="C879" i="6"/>
  <c r="D879" i="6"/>
  <c r="L879" i="6" s="1"/>
  <c r="E879" i="6"/>
  <c r="F879" i="6"/>
  <c r="H879" i="6"/>
  <c r="I879" i="6"/>
  <c r="N879" i="6"/>
  <c r="R879" i="6"/>
  <c r="Q879" i="6" s="1"/>
  <c r="S879" i="6" s="1"/>
  <c r="T879" i="6"/>
  <c r="B880" i="6"/>
  <c r="C880" i="6"/>
  <c r="D880" i="6"/>
  <c r="E880" i="6"/>
  <c r="F880" i="6"/>
  <c r="H880" i="6"/>
  <c r="I880" i="6"/>
  <c r="L880" i="6"/>
  <c r="N880" i="6"/>
  <c r="Q880" i="6"/>
  <c r="R880" i="6"/>
  <c r="S880" i="6"/>
  <c r="T880" i="6"/>
  <c r="B881" i="6"/>
  <c r="C881" i="6"/>
  <c r="D881" i="6"/>
  <c r="L881" i="6" s="1"/>
  <c r="E881" i="6"/>
  <c r="F881" i="6"/>
  <c r="H881" i="6"/>
  <c r="I881" i="6"/>
  <c r="N881" i="6"/>
  <c r="R881" i="6"/>
  <c r="Q881" i="6" s="1"/>
  <c r="S881" i="6" s="1"/>
  <c r="T881" i="6"/>
  <c r="B882" i="6"/>
  <c r="C882" i="6"/>
  <c r="D882" i="6"/>
  <c r="E882" i="6"/>
  <c r="F882" i="6"/>
  <c r="H882" i="6"/>
  <c r="I882" i="6"/>
  <c r="L882" i="6"/>
  <c r="N882" i="6"/>
  <c r="Q882" i="6"/>
  <c r="R882" i="6"/>
  <c r="S882" i="6"/>
  <c r="T882" i="6"/>
  <c r="B883" i="6"/>
  <c r="C883" i="6"/>
  <c r="D883" i="6"/>
  <c r="L883" i="6" s="1"/>
  <c r="E883" i="6"/>
  <c r="F883" i="6"/>
  <c r="H883" i="6"/>
  <c r="I883" i="6"/>
  <c r="N883" i="6"/>
  <c r="R883" i="6"/>
  <c r="Q883" i="6" s="1"/>
  <c r="S883" i="6" s="1"/>
  <c r="T883" i="6"/>
  <c r="B884" i="6"/>
  <c r="C884" i="6"/>
  <c r="D884" i="6"/>
  <c r="E884" i="6"/>
  <c r="F884" i="6"/>
  <c r="H884" i="6"/>
  <c r="I884" i="6"/>
  <c r="L884" i="6"/>
  <c r="N884" i="6"/>
  <c r="Q884" i="6"/>
  <c r="R884" i="6"/>
  <c r="S884" i="6"/>
  <c r="T884" i="6"/>
  <c r="B885" i="6"/>
  <c r="C885" i="6"/>
  <c r="D885" i="6"/>
  <c r="L885" i="6" s="1"/>
  <c r="E885" i="6"/>
  <c r="F885" i="6"/>
  <c r="H885" i="6"/>
  <c r="I885" i="6"/>
  <c r="N885" i="6"/>
  <c r="R885" i="6"/>
  <c r="Q885" i="6" s="1"/>
  <c r="S885" i="6" s="1"/>
  <c r="T885" i="6"/>
  <c r="B886" i="6"/>
  <c r="C886" i="6"/>
  <c r="D886" i="6"/>
  <c r="E886" i="6"/>
  <c r="F886" i="6"/>
  <c r="H886" i="6"/>
  <c r="I886" i="6"/>
  <c r="L886" i="6"/>
  <c r="N886" i="6"/>
  <c r="Q886" i="6"/>
  <c r="R886" i="6"/>
  <c r="S886" i="6"/>
  <c r="T886" i="6"/>
  <c r="B887" i="6"/>
  <c r="C887" i="6"/>
  <c r="D887" i="6"/>
  <c r="L887" i="6" s="1"/>
  <c r="E887" i="6"/>
  <c r="F887" i="6"/>
  <c r="H887" i="6"/>
  <c r="I887" i="6"/>
  <c r="N887" i="6"/>
  <c r="R887" i="6"/>
  <c r="Q887" i="6" s="1"/>
  <c r="S887" i="6" s="1"/>
  <c r="T887" i="6"/>
  <c r="B888" i="6"/>
  <c r="C888" i="6"/>
  <c r="D888" i="6"/>
  <c r="E888" i="6"/>
  <c r="F888" i="6"/>
  <c r="H888" i="6"/>
  <c r="I888" i="6"/>
  <c r="L888" i="6"/>
  <c r="N888" i="6"/>
  <c r="Q888" i="6"/>
  <c r="R888" i="6"/>
  <c r="S888" i="6"/>
  <c r="T888" i="6"/>
  <c r="B889" i="6"/>
  <c r="C889" i="6"/>
  <c r="D889" i="6"/>
  <c r="L889" i="6" s="1"/>
  <c r="E889" i="6"/>
  <c r="F889" i="6"/>
  <c r="H889" i="6"/>
  <c r="I889" i="6"/>
  <c r="N889" i="6"/>
  <c r="R889" i="6"/>
  <c r="Q889" i="6" s="1"/>
  <c r="S889" i="6" s="1"/>
  <c r="T889" i="6"/>
  <c r="B890" i="6"/>
  <c r="C890" i="6"/>
  <c r="D890" i="6"/>
  <c r="E890" i="6"/>
  <c r="F890" i="6"/>
  <c r="H890" i="6"/>
  <c r="I890" i="6"/>
  <c r="L890" i="6"/>
  <c r="N890" i="6"/>
  <c r="Q890" i="6"/>
  <c r="R890" i="6"/>
  <c r="S890" i="6"/>
  <c r="T890" i="6"/>
  <c r="B891" i="6"/>
  <c r="C891" i="6"/>
  <c r="D891" i="6"/>
  <c r="L891" i="6" s="1"/>
  <c r="E891" i="6"/>
  <c r="F891" i="6"/>
  <c r="H891" i="6"/>
  <c r="I891" i="6"/>
  <c r="N891" i="6"/>
  <c r="R891" i="6"/>
  <c r="Q891" i="6" s="1"/>
  <c r="S891" i="6" s="1"/>
  <c r="T891" i="6"/>
  <c r="B892" i="6"/>
  <c r="C892" i="6"/>
  <c r="D892" i="6"/>
  <c r="E892" i="6"/>
  <c r="F892" i="6"/>
  <c r="H892" i="6"/>
  <c r="I892" i="6"/>
  <c r="L892" i="6"/>
  <c r="N892" i="6"/>
  <c r="Q892" i="6"/>
  <c r="R892" i="6"/>
  <c r="S892" i="6"/>
  <c r="T892" i="6"/>
  <c r="B893" i="6"/>
  <c r="C893" i="6"/>
  <c r="D893" i="6"/>
  <c r="L893" i="6" s="1"/>
  <c r="E893" i="6"/>
  <c r="F893" i="6"/>
  <c r="H893" i="6"/>
  <c r="I893" i="6"/>
  <c r="N893" i="6"/>
  <c r="R893" i="6"/>
  <c r="Q893" i="6" s="1"/>
  <c r="S893" i="6" s="1"/>
  <c r="T893" i="6"/>
  <c r="B894" i="6"/>
  <c r="C894" i="6"/>
  <c r="D894" i="6"/>
  <c r="E894" i="6"/>
  <c r="F894" i="6"/>
  <c r="H894" i="6"/>
  <c r="I894" i="6"/>
  <c r="L894" i="6"/>
  <c r="N894" i="6"/>
  <c r="Q894" i="6"/>
  <c r="R894" i="6"/>
  <c r="S894" i="6"/>
  <c r="T894" i="6"/>
  <c r="B895" i="6"/>
  <c r="C895" i="6"/>
  <c r="D895" i="6"/>
  <c r="L895" i="6" s="1"/>
  <c r="E895" i="6"/>
  <c r="F895" i="6"/>
  <c r="H895" i="6"/>
  <c r="I895" i="6"/>
  <c r="N895" i="6"/>
  <c r="R895" i="6"/>
  <c r="Q895" i="6" s="1"/>
  <c r="S895" i="6" s="1"/>
  <c r="T895" i="6"/>
  <c r="B896" i="6"/>
  <c r="C896" i="6"/>
  <c r="D896" i="6"/>
  <c r="E896" i="6"/>
  <c r="F896" i="6"/>
  <c r="H896" i="6"/>
  <c r="I896" i="6"/>
  <c r="L896" i="6"/>
  <c r="N896" i="6"/>
  <c r="Q896" i="6"/>
  <c r="R896" i="6"/>
  <c r="S896" i="6"/>
  <c r="T896" i="6"/>
  <c r="B897" i="6"/>
  <c r="C897" i="6"/>
  <c r="D897" i="6"/>
  <c r="L897" i="6" s="1"/>
  <c r="E897" i="6"/>
  <c r="F897" i="6"/>
  <c r="H897" i="6"/>
  <c r="I897" i="6"/>
  <c r="N897" i="6"/>
  <c r="R897" i="6"/>
  <c r="Q897" i="6" s="1"/>
  <c r="S897" i="6" s="1"/>
  <c r="T897" i="6"/>
  <c r="B898" i="6"/>
  <c r="C898" i="6"/>
  <c r="D898" i="6"/>
  <c r="E898" i="6"/>
  <c r="F898" i="6"/>
  <c r="H898" i="6"/>
  <c r="I898" i="6"/>
  <c r="L898" i="6"/>
  <c r="N898" i="6"/>
  <c r="Q898" i="6"/>
  <c r="R898" i="6"/>
  <c r="S898" i="6"/>
  <c r="T898" i="6"/>
  <c r="B899" i="6"/>
  <c r="C899" i="6"/>
  <c r="D899" i="6"/>
  <c r="L899" i="6" s="1"/>
  <c r="E899" i="6"/>
  <c r="F899" i="6"/>
  <c r="H899" i="6"/>
  <c r="I899" i="6"/>
  <c r="N899" i="6"/>
  <c r="R899" i="6"/>
  <c r="Q899" i="6" s="1"/>
  <c r="S899" i="6" s="1"/>
  <c r="T899" i="6"/>
  <c r="B900" i="6"/>
  <c r="C900" i="6"/>
  <c r="D900" i="6"/>
  <c r="E900" i="6"/>
  <c r="F900" i="6"/>
  <c r="H900" i="6"/>
  <c r="I900" i="6"/>
  <c r="L900" i="6"/>
  <c r="N900" i="6"/>
  <c r="Q900" i="6"/>
  <c r="R900" i="6"/>
  <c r="S900" i="6"/>
  <c r="T900" i="6"/>
  <c r="B901" i="6"/>
  <c r="C901" i="6"/>
  <c r="D901" i="6"/>
  <c r="L901" i="6" s="1"/>
  <c r="E901" i="6"/>
  <c r="F901" i="6"/>
  <c r="H901" i="6"/>
  <c r="I901" i="6"/>
  <c r="N901" i="6"/>
  <c r="R901" i="6"/>
  <c r="Q901" i="6" s="1"/>
  <c r="S901" i="6" s="1"/>
  <c r="T901" i="6"/>
  <c r="B902" i="6"/>
  <c r="C902" i="6"/>
  <c r="D902" i="6"/>
  <c r="E902" i="6"/>
  <c r="F902" i="6"/>
  <c r="H902" i="6"/>
  <c r="I902" i="6"/>
  <c r="L902" i="6"/>
  <c r="N902" i="6"/>
  <c r="Q902" i="6"/>
  <c r="R902" i="6"/>
  <c r="S902" i="6"/>
  <c r="T902" i="6"/>
  <c r="B903" i="6"/>
  <c r="C903" i="6"/>
  <c r="D903" i="6"/>
  <c r="L903" i="6" s="1"/>
  <c r="E903" i="6"/>
  <c r="F903" i="6"/>
  <c r="H903" i="6"/>
  <c r="I903" i="6"/>
  <c r="N903" i="6"/>
  <c r="R903" i="6"/>
  <c r="Q903" i="6" s="1"/>
  <c r="S903" i="6" s="1"/>
  <c r="T903" i="6"/>
  <c r="B904" i="6"/>
  <c r="C904" i="6"/>
  <c r="D904" i="6"/>
  <c r="E904" i="6"/>
  <c r="F904" i="6"/>
  <c r="H904" i="6"/>
  <c r="I904" i="6"/>
  <c r="L904" i="6"/>
  <c r="N904" i="6"/>
  <c r="Q904" i="6"/>
  <c r="R904" i="6"/>
  <c r="S904" i="6"/>
  <c r="T904" i="6"/>
  <c r="B905" i="6"/>
  <c r="C905" i="6"/>
  <c r="D905" i="6"/>
  <c r="L905" i="6" s="1"/>
  <c r="E905" i="6"/>
  <c r="F905" i="6"/>
  <c r="H905" i="6"/>
  <c r="I905" i="6"/>
  <c r="N905" i="6"/>
  <c r="R905" i="6"/>
  <c r="Q905" i="6" s="1"/>
  <c r="S905" i="6" s="1"/>
  <c r="T905" i="6"/>
  <c r="B906" i="6"/>
  <c r="C906" i="6"/>
  <c r="D906" i="6"/>
  <c r="E906" i="6"/>
  <c r="F906" i="6"/>
  <c r="H906" i="6"/>
  <c r="I906" i="6"/>
  <c r="L906" i="6"/>
  <c r="N906" i="6"/>
  <c r="Q906" i="6"/>
  <c r="R906" i="6"/>
  <c r="S906" i="6"/>
  <c r="T906" i="6"/>
  <c r="B907" i="6"/>
  <c r="C907" i="6"/>
  <c r="D907" i="6"/>
  <c r="L907" i="6" s="1"/>
  <c r="E907" i="6"/>
  <c r="F907" i="6"/>
  <c r="H907" i="6"/>
  <c r="I907" i="6"/>
  <c r="N907" i="6"/>
  <c r="R907" i="6"/>
  <c r="Q907" i="6" s="1"/>
  <c r="S907" i="6" s="1"/>
  <c r="T907" i="6"/>
  <c r="B908" i="6"/>
  <c r="C908" i="6"/>
  <c r="D908" i="6"/>
  <c r="E908" i="6"/>
  <c r="F908" i="6"/>
  <c r="H908" i="6"/>
  <c r="I908" i="6"/>
  <c r="L908" i="6"/>
  <c r="N908" i="6"/>
  <c r="Q908" i="6"/>
  <c r="R908" i="6"/>
  <c r="S908" i="6"/>
  <c r="T908" i="6"/>
  <c r="B909" i="6"/>
  <c r="C909" i="6"/>
  <c r="D909" i="6"/>
  <c r="L909" i="6" s="1"/>
  <c r="E909" i="6"/>
  <c r="F909" i="6"/>
  <c r="H909" i="6"/>
  <c r="I909" i="6"/>
  <c r="N909" i="6"/>
  <c r="R909" i="6"/>
  <c r="Q909" i="6" s="1"/>
  <c r="S909" i="6" s="1"/>
  <c r="T909" i="6"/>
  <c r="B910" i="6"/>
  <c r="C910" i="6"/>
  <c r="D910" i="6"/>
  <c r="E910" i="6"/>
  <c r="F910" i="6"/>
  <c r="H910" i="6"/>
  <c r="I910" i="6"/>
  <c r="L910" i="6"/>
  <c r="N910" i="6"/>
  <c r="Q910" i="6"/>
  <c r="R910" i="6"/>
  <c r="S910" i="6"/>
  <c r="T910" i="6"/>
  <c r="B911" i="6"/>
  <c r="C911" i="6"/>
  <c r="D911" i="6"/>
  <c r="L911" i="6" s="1"/>
  <c r="E911" i="6"/>
  <c r="F911" i="6"/>
  <c r="H911" i="6"/>
  <c r="I911" i="6"/>
  <c r="N911" i="6"/>
  <c r="R911" i="6"/>
  <c r="Q911" i="6" s="1"/>
  <c r="S911" i="6" s="1"/>
  <c r="T911" i="6"/>
  <c r="B912" i="6"/>
  <c r="C912" i="6"/>
  <c r="D912" i="6"/>
  <c r="E912" i="6"/>
  <c r="F912" i="6"/>
  <c r="H912" i="6"/>
  <c r="I912" i="6"/>
  <c r="L912" i="6"/>
  <c r="N912" i="6"/>
  <c r="Q912" i="6"/>
  <c r="R912" i="6"/>
  <c r="S912" i="6"/>
  <c r="T912" i="6"/>
  <c r="B913" i="6"/>
  <c r="C913" i="6"/>
  <c r="D913" i="6"/>
  <c r="L913" i="6" s="1"/>
  <c r="E913" i="6"/>
  <c r="F913" i="6"/>
  <c r="H913" i="6"/>
  <c r="I913" i="6"/>
  <c r="N913" i="6"/>
  <c r="R913" i="6"/>
  <c r="Q913" i="6" s="1"/>
  <c r="S913" i="6" s="1"/>
  <c r="T913" i="6"/>
  <c r="B914" i="6"/>
  <c r="C914" i="6"/>
  <c r="D914" i="6"/>
  <c r="E914" i="6"/>
  <c r="F914" i="6"/>
  <c r="H914" i="6"/>
  <c r="I914" i="6"/>
  <c r="L914" i="6"/>
  <c r="N914" i="6"/>
  <c r="Q914" i="6"/>
  <c r="R914" i="6"/>
  <c r="S914" i="6"/>
  <c r="T914" i="6"/>
  <c r="B915" i="6"/>
  <c r="C915" i="6"/>
  <c r="D915" i="6"/>
  <c r="L915" i="6" s="1"/>
  <c r="E915" i="6"/>
  <c r="F915" i="6"/>
  <c r="H915" i="6"/>
  <c r="I915" i="6"/>
  <c r="N915" i="6"/>
  <c r="R915" i="6"/>
  <c r="Q915" i="6" s="1"/>
  <c r="S915" i="6" s="1"/>
  <c r="T915" i="6"/>
  <c r="B916" i="6"/>
  <c r="C916" i="6"/>
  <c r="D916" i="6"/>
  <c r="E916" i="6"/>
  <c r="F916" i="6"/>
  <c r="H916" i="6"/>
  <c r="I916" i="6"/>
  <c r="L916" i="6"/>
  <c r="N916" i="6"/>
  <c r="Q916" i="6"/>
  <c r="R916" i="6"/>
  <c r="S916" i="6"/>
  <c r="T916" i="6"/>
  <c r="B917" i="6"/>
  <c r="C917" i="6"/>
  <c r="D917" i="6"/>
  <c r="L917" i="6" s="1"/>
  <c r="E917" i="6"/>
  <c r="F917" i="6"/>
  <c r="H917" i="6"/>
  <c r="I917" i="6"/>
  <c r="N917" i="6"/>
  <c r="R917" i="6"/>
  <c r="Q917" i="6" s="1"/>
  <c r="S917" i="6" s="1"/>
  <c r="T917" i="6"/>
  <c r="B918" i="6"/>
  <c r="C918" i="6"/>
  <c r="D918" i="6"/>
  <c r="E918" i="6"/>
  <c r="F918" i="6"/>
  <c r="H918" i="6"/>
  <c r="I918" i="6"/>
  <c r="L918" i="6"/>
  <c r="N918" i="6"/>
  <c r="Q918" i="6"/>
  <c r="R918" i="6"/>
  <c r="S918" i="6"/>
  <c r="T918" i="6"/>
  <c r="B919" i="6"/>
  <c r="C919" i="6"/>
  <c r="D919" i="6"/>
  <c r="L919" i="6" s="1"/>
  <c r="E919" i="6"/>
  <c r="F919" i="6"/>
  <c r="H919" i="6"/>
  <c r="I919" i="6"/>
  <c r="N919" i="6"/>
  <c r="R919" i="6"/>
  <c r="Q919" i="6" s="1"/>
  <c r="S919" i="6" s="1"/>
  <c r="T919" i="6"/>
  <c r="B920" i="6"/>
  <c r="C920" i="6"/>
  <c r="D920" i="6"/>
  <c r="E920" i="6"/>
  <c r="F920" i="6"/>
  <c r="H920" i="6"/>
  <c r="I920" i="6"/>
  <c r="L920" i="6"/>
  <c r="N920" i="6"/>
  <c r="Q920" i="6"/>
  <c r="R920" i="6"/>
  <c r="S920" i="6"/>
  <c r="T920" i="6"/>
  <c r="B921" i="6"/>
  <c r="C921" i="6"/>
  <c r="D921" i="6"/>
  <c r="L921" i="6" s="1"/>
  <c r="E921" i="6"/>
  <c r="F921" i="6"/>
  <c r="H921" i="6"/>
  <c r="I921" i="6"/>
  <c r="N921" i="6"/>
  <c r="R921" i="6"/>
  <c r="Q921" i="6" s="1"/>
  <c r="S921" i="6" s="1"/>
  <c r="T921" i="6"/>
  <c r="B922" i="6"/>
  <c r="C922" i="6"/>
  <c r="D922" i="6"/>
  <c r="E922" i="6"/>
  <c r="F922" i="6"/>
  <c r="H922" i="6"/>
  <c r="I922" i="6"/>
  <c r="L922" i="6"/>
  <c r="N922" i="6"/>
  <c r="Q922" i="6"/>
  <c r="R922" i="6"/>
  <c r="S922" i="6"/>
  <c r="T922" i="6"/>
  <c r="B923" i="6"/>
  <c r="C923" i="6"/>
  <c r="D923" i="6"/>
  <c r="L923" i="6" s="1"/>
  <c r="E923" i="6"/>
  <c r="F923" i="6"/>
  <c r="H923" i="6"/>
  <c r="I923" i="6"/>
  <c r="N923" i="6"/>
  <c r="R923" i="6"/>
  <c r="Q923" i="6" s="1"/>
  <c r="S923" i="6" s="1"/>
  <c r="T923" i="6"/>
  <c r="B924" i="6"/>
  <c r="C924" i="6"/>
  <c r="D924" i="6"/>
  <c r="E924" i="6"/>
  <c r="F924" i="6"/>
  <c r="H924" i="6"/>
  <c r="I924" i="6"/>
  <c r="L924" i="6"/>
  <c r="N924" i="6"/>
  <c r="Q924" i="6"/>
  <c r="R924" i="6"/>
  <c r="S924" i="6"/>
  <c r="T924" i="6"/>
  <c r="B925" i="6"/>
  <c r="C925" i="6"/>
  <c r="D925" i="6"/>
  <c r="L925" i="6" s="1"/>
  <c r="E925" i="6"/>
  <c r="F925" i="6"/>
  <c r="H925" i="6"/>
  <c r="I925" i="6"/>
  <c r="N925" i="6"/>
  <c r="R925" i="6"/>
  <c r="Q925" i="6" s="1"/>
  <c r="S925" i="6" s="1"/>
  <c r="T925" i="6"/>
  <c r="B926" i="6"/>
  <c r="C926" i="6"/>
  <c r="D926" i="6"/>
  <c r="E926" i="6"/>
  <c r="F926" i="6"/>
  <c r="H926" i="6"/>
  <c r="I926" i="6"/>
  <c r="L926" i="6"/>
  <c r="N926" i="6"/>
  <c r="Q926" i="6"/>
  <c r="R926" i="6"/>
  <c r="S926" i="6"/>
  <c r="T926" i="6"/>
  <c r="B927" i="6"/>
  <c r="C927" i="6"/>
  <c r="D927" i="6"/>
  <c r="L927" i="6" s="1"/>
  <c r="E927" i="6"/>
  <c r="F927" i="6"/>
  <c r="H927" i="6"/>
  <c r="I927" i="6"/>
  <c r="N927" i="6"/>
  <c r="R927" i="6"/>
  <c r="Q927" i="6" s="1"/>
  <c r="S927" i="6" s="1"/>
  <c r="T927" i="6"/>
  <c r="B928" i="6"/>
  <c r="C928" i="6"/>
  <c r="D928" i="6"/>
  <c r="E928" i="6"/>
  <c r="F928" i="6"/>
  <c r="H928" i="6"/>
  <c r="I928" i="6"/>
  <c r="L928" i="6"/>
  <c r="N928" i="6"/>
  <c r="Q928" i="6"/>
  <c r="R928" i="6"/>
  <c r="S928" i="6"/>
  <c r="T928" i="6"/>
  <c r="B929" i="6"/>
  <c r="C929" i="6"/>
  <c r="D929" i="6"/>
  <c r="L929" i="6" s="1"/>
  <c r="E929" i="6"/>
  <c r="F929" i="6"/>
  <c r="H929" i="6"/>
  <c r="I929" i="6"/>
  <c r="N929" i="6"/>
  <c r="R929" i="6"/>
  <c r="Q929" i="6" s="1"/>
  <c r="S929" i="6" s="1"/>
  <c r="T929" i="6"/>
  <c r="B930" i="6"/>
  <c r="C930" i="6"/>
  <c r="D930" i="6"/>
  <c r="E930" i="6"/>
  <c r="F930" i="6"/>
  <c r="H930" i="6"/>
  <c r="I930" i="6"/>
  <c r="L930" i="6"/>
  <c r="N930" i="6"/>
  <c r="Q930" i="6"/>
  <c r="R930" i="6"/>
  <c r="S930" i="6"/>
  <c r="T930" i="6"/>
  <c r="B931" i="6"/>
  <c r="C931" i="6"/>
  <c r="D931" i="6"/>
  <c r="L931" i="6" s="1"/>
  <c r="E931" i="6"/>
  <c r="F931" i="6"/>
  <c r="H931" i="6"/>
  <c r="I931" i="6"/>
  <c r="N931" i="6"/>
  <c r="R931" i="6"/>
  <c r="Q931" i="6" s="1"/>
  <c r="S931" i="6" s="1"/>
  <c r="T931" i="6"/>
  <c r="B932" i="6"/>
  <c r="C932" i="6"/>
  <c r="D932" i="6"/>
  <c r="E932" i="6"/>
  <c r="F932" i="6"/>
  <c r="H932" i="6"/>
  <c r="I932" i="6"/>
  <c r="L932" i="6"/>
  <c r="N932" i="6"/>
  <c r="Q932" i="6"/>
  <c r="R932" i="6"/>
  <c r="S932" i="6"/>
  <c r="T932" i="6"/>
  <c r="B933" i="6"/>
  <c r="C933" i="6"/>
  <c r="D933" i="6"/>
  <c r="L933" i="6" s="1"/>
  <c r="E933" i="6"/>
  <c r="F933" i="6"/>
  <c r="H933" i="6"/>
  <c r="I933" i="6"/>
  <c r="N933" i="6"/>
  <c r="R933" i="6"/>
  <c r="Q933" i="6" s="1"/>
  <c r="S933" i="6" s="1"/>
  <c r="T933" i="6"/>
  <c r="B934" i="6"/>
  <c r="C934" i="6"/>
  <c r="D934" i="6"/>
  <c r="E934" i="6"/>
  <c r="F934" i="6"/>
  <c r="H934" i="6"/>
  <c r="I934" i="6"/>
  <c r="L934" i="6"/>
  <c r="N934" i="6"/>
  <c r="Q934" i="6"/>
  <c r="R934" i="6"/>
  <c r="S934" i="6"/>
  <c r="T934" i="6"/>
  <c r="B935" i="6"/>
  <c r="C935" i="6"/>
  <c r="D935" i="6"/>
  <c r="L935" i="6" s="1"/>
  <c r="E935" i="6"/>
  <c r="F935" i="6"/>
  <c r="H935" i="6"/>
  <c r="I935" i="6"/>
  <c r="N935" i="6"/>
  <c r="R935" i="6"/>
  <c r="Q935" i="6" s="1"/>
  <c r="S935" i="6" s="1"/>
  <c r="T935" i="6"/>
  <c r="B936" i="6"/>
  <c r="C936" i="6"/>
  <c r="D936" i="6"/>
  <c r="E936" i="6"/>
  <c r="F936" i="6"/>
  <c r="H936" i="6"/>
  <c r="I936" i="6"/>
  <c r="L936" i="6"/>
  <c r="N936" i="6"/>
  <c r="Q936" i="6"/>
  <c r="R936" i="6"/>
  <c r="S936" i="6"/>
  <c r="T936" i="6"/>
  <c r="B937" i="6"/>
  <c r="C937" i="6"/>
  <c r="D937" i="6"/>
  <c r="L937" i="6" s="1"/>
  <c r="E937" i="6"/>
  <c r="F937" i="6"/>
  <c r="H937" i="6"/>
  <c r="I937" i="6"/>
  <c r="N937" i="6"/>
  <c r="R937" i="6"/>
  <c r="Q937" i="6" s="1"/>
  <c r="S937" i="6" s="1"/>
  <c r="T937" i="6"/>
  <c r="B938" i="6"/>
  <c r="C938" i="6"/>
  <c r="D938" i="6"/>
  <c r="E938" i="6"/>
  <c r="F938" i="6"/>
  <c r="H938" i="6"/>
  <c r="I938" i="6"/>
  <c r="L938" i="6"/>
  <c r="N938" i="6"/>
  <c r="Q938" i="6"/>
  <c r="R938" i="6"/>
  <c r="S938" i="6"/>
  <c r="T938" i="6"/>
  <c r="B939" i="6"/>
  <c r="C939" i="6"/>
  <c r="D939" i="6"/>
  <c r="L939" i="6" s="1"/>
  <c r="E939" i="6"/>
  <c r="F939" i="6"/>
  <c r="H939" i="6"/>
  <c r="I939" i="6"/>
  <c r="N939" i="6"/>
  <c r="R939" i="6"/>
  <c r="Q939" i="6" s="1"/>
  <c r="S939" i="6" s="1"/>
  <c r="T939" i="6"/>
  <c r="B940" i="6"/>
  <c r="C940" i="6"/>
  <c r="D940" i="6"/>
  <c r="E940" i="6"/>
  <c r="F940" i="6"/>
  <c r="H940" i="6"/>
  <c r="I940" i="6"/>
  <c r="L940" i="6"/>
  <c r="N940" i="6"/>
  <c r="Q940" i="6"/>
  <c r="R940" i="6"/>
  <c r="S940" i="6"/>
  <c r="T940" i="6"/>
  <c r="B941" i="6"/>
  <c r="C941" i="6"/>
  <c r="D941" i="6"/>
  <c r="L941" i="6" s="1"/>
  <c r="E941" i="6"/>
  <c r="F941" i="6"/>
  <c r="H941" i="6"/>
  <c r="I941" i="6"/>
  <c r="N941" i="6"/>
  <c r="R941" i="6"/>
  <c r="Q941" i="6" s="1"/>
  <c r="S941" i="6" s="1"/>
  <c r="T941" i="6"/>
  <c r="B942" i="6"/>
  <c r="C942" i="6"/>
  <c r="D942" i="6"/>
  <c r="E942" i="6"/>
  <c r="F942" i="6"/>
  <c r="H942" i="6"/>
  <c r="I942" i="6"/>
  <c r="L942" i="6"/>
  <c r="N942" i="6"/>
  <c r="Q942" i="6"/>
  <c r="R942" i="6"/>
  <c r="S942" i="6"/>
  <c r="T942" i="6"/>
  <c r="B943" i="6"/>
  <c r="C943" i="6"/>
  <c r="D943" i="6"/>
  <c r="L943" i="6" s="1"/>
  <c r="E943" i="6"/>
  <c r="F943" i="6"/>
  <c r="H943" i="6"/>
  <c r="I943" i="6"/>
  <c r="N943" i="6"/>
  <c r="R943" i="6"/>
  <c r="Q943" i="6" s="1"/>
  <c r="S943" i="6" s="1"/>
  <c r="T943" i="6"/>
  <c r="B944" i="6"/>
  <c r="C944" i="6"/>
  <c r="D944" i="6"/>
  <c r="E944" i="6"/>
  <c r="F944" i="6"/>
  <c r="H944" i="6"/>
  <c r="I944" i="6"/>
  <c r="L944" i="6"/>
  <c r="N944" i="6"/>
  <c r="Q944" i="6"/>
  <c r="R944" i="6"/>
  <c r="S944" i="6"/>
  <c r="T944" i="6"/>
  <c r="B945" i="6"/>
  <c r="C945" i="6"/>
  <c r="D945" i="6"/>
  <c r="L945" i="6" s="1"/>
  <c r="E945" i="6"/>
  <c r="F945" i="6"/>
  <c r="H945" i="6"/>
  <c r="I945" i="6"/>
  <c r="N945" i="6"/>
  <c r="R945" i="6"/>
  <c r="Q945" i="6" s="1"/>
  <c r="S945" i="6" s="1"/>
  <c r="T945" i="6"/>
  <c r="B946" i="6"/>
  <c r="C946" i="6"/>
  <c r="D946" i="6"/>
  <c r="E946" i="6"/>
  <c r="F946" i="6"/>
  <c r="H946" i="6"/>
  <c r="I946" i="6"/>
  <c r="L946" i="6"/>
  <c r="N946" i="6"/>
  <c r="Q946" i="6"/>
  <c r="R946" i="6"/>
  <c r="S946" i="6"/>
  <c r="T946" i="6"/>
  <c r="B947" i="6"/>
  <c r="C947" i="6"/>
  <c r="D947" i="6"/>
  <c r="L947" i="6" s="1"/>
  <c r="E947" i="6"/>
  <c r="F947" i="6"/>
  <c r="H947" i="6"/>
  <c r="I947" i="6"/>
  <c r="N947" i="6"/>
  <c r="R947" i="6"/>
  <c r="Q947" i="6" s="1"/>
  <c r="S947" i="6" s="1"/>
  <c r="T947" i="6"/>
  <c r="B948" i="6"/>
  <c r="C948" i="6"/>
  <c r="D948" i="6"/>
  <c r="E948" i="6"/>
  <c r="F948" i="6"/>
  <c r="H948" i="6"/>
  <c r="I948" i="6"/>
  <c r="L948" i="6"/>
  <c r="N948" i="6"/>
  <c r="Q948" i="6"/>
  <c r="R948" i="6"/>
  <c r="S948" i="6"/>
  <c r="T948" i="6"/>
  <c r="B949" i="6"/>
  <c r="C949" i="6"/>
  <c r="D949" i="6"/>
  <c r="L949" i="6" s="1"/>
  <c r="E949" i="6"/>
  <c r="F949" i="6"/>
  <c r="H949" i="6"/>
  <c r="I949" i="6"/>
  <c r="N949" i="6"/>
  <c r="R949" i="6"/>
  <c r="Q949" i="6" s="1"/>
  <c r="S949" i="6" s="1"/>
  <c r="T949" i="6"/>
  <c r="B950" i="6"/>
  <c r="C950" i="6"/>
  <c r="D950" i="6"/>
  <c r="E950" i="6"/>
  <c r="F950" i="6"/>
  <c r="H950" i="6"/>
  <c r="I950" i="6"/>
  <c r="L950" i="6"/>
  <c r="N950" i="6"/>
  <c r="Q950" i="6"/>
  <c r="R950" i="6"/>
  <c r="S950" i="6"/>
  <c r="T950" i="6"/>
  <c r="B951" i="6"/>
  <c r="C951" i="6"/>
  <c r="D951" i="6"/>
  <c r="L951" i="6" s="1"/>
  <c r="E951" i="6"/>
  <c r="F951" i="6"/>
  <c r="H951" i="6"/>
  <c r="I951" i="6"/>
  <c r="N951" i="6"/>
  <c r="R951" i="6"/>
  <c r="Q951" i="6" s="1"/>
  <c r="S951" i="6" s="1"/>
  <c r="T951" i="6"/>
  <c r="B952" i="6"/>
  <c r="C952" i="6"/>
  <c r="D952" i="6"/>
  <c r="E952" i="6"/>
  <c r="F952" i="6"/>
  <c r="H952" i="6"/>
  <c r="I952" i="6"/>
  <c r="L952" i="6"/>
  <c r="N952" i="6"/>
  <c r="Q952" i="6"/>
  <c r="R952" i="6"/>
  <c r="S952" i="6"/>
  <c r="T952" i="6"/>
  <c r="B953" i="6"/>
  <c r="C953" i="6"/>
  <c r="D953" i="6"/>
  <c r="L953" i="6" s="1"/>
  <c r="E953" i="6"/>
  <c r="F953" i="6"/>
  <c r="H953" i="6"/>
  <c r="I953" i="6"/>
  <c r="N953" i="6"/>
  <c r="R953" i="6"/>
  <c r="Q953" i="6" s="1"/>
  <c r="S953" i="6" s="1"/>
  <c r="T953" i="6"/>
  <c r="B954" i="6"/>
  <c r="C954" i="6"/>
  <c r="D954" i="6"/>
  <c r="E954" i="6"/>
  <c r="F954" i="6"/>
  <c r="H954" i="6"/>
  <c r="I954" i="6"/>
  <c r="L954" i="6"/>
  <c r="N954" i="6"/>
  <c r="Q954" i="6"/>
  <c r="R954" i="6"/>
  <c r="S954" i="6"/>
  <c r="T954" i="6"/>
  <c r="B955" i="6"/>
  <c r="C955" i="6"/>
  <c r="D955" i="6"/>
  <c r="L955" i="6" s="1"/>
  <c r="E955" i="6"/>
  <c r="F955" i="6"/>
  <c r="H955" i="6"/>
  <c r="I955" i="6"/>
  <c r="N955" i="6"/>
  <c r="R955" i="6"/>
  <c r="Q955" i="6" s="1"/>
  <c r="S955" i="6" s="1"/>
  <c r="T955" i="6"/>
  <c r="B956" i="6"/>
  <c r="C956" i="6"/>
  <c r="D956" i="6"/>
  <c r="E956" i="6"/>
  <c r="F956" i="6"/>
  <c r="H956" i="6"/>
  <c r="I956" i="6"/>
  <c r="L956" i="6"/>
  <c r="N956" i="6"/>
  <c r="Q956" i="6"/>
  <c r="R956" i="6"/>
  <c r="S956" i="6"/>
  <c r="T956" i="6"/>
  <c r="B957" i="6"/>
  <c r="C957" i="6"/>
  <c r="D957" i="6"/>
  <c r="L957" i="6" s="1"/>
  <c r="E957" i="6"/>
  <c r="F957" i="6"/>
  <c r="H957" i="6"/>
  <c r="I957" i="6"/>
  <c r="N957" i="6"/>
  <c r="R957" i="6"/>
  <c r="Q957" i="6" s="1"/>
  <c r="S957" i="6" s="1"/>
  <c r="T957" i="6"/>
  <c r="B958" i="6"/>
  <c r="C958" i="6"/>
  <c r="D958" i="6"/>
  <c r="E958" i="6"/>
  <c r="F958" i="6"/>
  <c r="H958" i="6"/>
  <c r="I958" i="6"/>
  <c r="L958" i="6"/>
  <c r="N958" i="6"/>
  <c r="Q958" i="6"/>
  <c r="R958" i="6"/>
  <c r="S958" i="6"/>
  <c r="T958" i="6"/>
  <c r="B959" i="6"/>
  <c r="C959" i="6"/>
  <c r="D959" i="6"/>
  <c r="L959" i="6" s="1"/>
  <c r="E959" i="6"/>
  <c r="F959" i="6"/>
  <c r="H959" i="6"/>
  <c r="I959" i="6"/>
  <c r="N959" i="6"/>
  <c r="R959" i="6"/>
  <c r="Q959" i="6" s="1"/>
  <c r="S959" i="6" s="1"/>
  <c r="T959" i="6"/>
  <c r="B960" i="6"/>
  <c r="C960" i="6"/>
  <c r="D960" i="6"/>
  <c r="E960" i="6"/>
  <c r="F960" i="6"/>
  <c r="H960" i="6"/>
  <c r="I960" i="6"/>
  <c r="L960" i="6"/>
  <c r="N960" i="6"/>
  <c r="Q960" i="6"/>
  <c r="R960" i="6"/>
  <c r="S960" i="6"/>
  <c r="T960" i="6"/>
  <c r="B961" i="6"/>
  <c r="C961" i="6"/>
  <c r="D961" i="6"/>
  <c r="L961" i="6" s="1"/>
  <c r="E961" i="6"/>
  <c r="F961" i="6"/>
  <c r="H961" i="6"/>
  <c r="I961" i="6"/>
  <c r="N961" i="6"/>
  <c r="R961" i="6"/>
  <c r="Q961" i="6" s="1"/>
  <c r="S961" i="6" s="1"/>
  <c r="T961" i="6"/>
  <c r="B962" i="6"/>
  <c r="C962" i="6"/>
  <c r="D962" i="6"/>
  <c r="E962" i="6"/>
  <c r="F962" i="6"/>
  <c r="H962" i="6"/>
  <c r="I962" i="6"/>
  <c r="L962" i="6"/>
  <c r="N962" i="6"/>
  <c r="Q962" i="6"/>
  <c r="R962" i="6"/>
  <c r="S962" i="6"/>
  <c r="T962" i="6"/>
  <c r="B963" i="6"/>
  <c r="C963" i="6"/>
  <c r="D963" i="6"/>
  <c r="L963" i="6" s="1"/>
  <c r="E963" i="6"/>
  <c r="F963" i="6"/>
  <c r="H963" i="6"/>
  <c r="I963" i="6"/>
  <c r="N963" i="6"/>
  <c r="R963" i="6"/>
  <c r="Q963" i="6" s="1"/>
  <c r="S963" i="6" s="1"/>
  <c r="T963" i="6"/>
  <c r="B964" i="6"/>
  <c r="C964" i="6"/>
  <c r="D964" i="6"/>
  <c r="E964" i="6"/>
  <c r="F964" i="6"/>
  <c r="H964" i="6"/>
  <c r="I964" i="6"/>
  <c r="L964" i="6"/>
  <c r="N964" i="6"/>
  <c r="Q964" i="6"/>
  <c r="R964" i="6"/>
  <c r="S964" i="6"/>
  <c r="T964" i="6"/>
  <c r="B965" i="6"/>
  <c r="C965" i="6"/>
  <c r="D965" i="6"/>
  <c r="L965" i="6" s="1"/>
  <c r="E965" i="6"/>
  <c r="F965" i="6"/>
  <c r="H965" i="6"/>
  <c r="I965" i="6"/>
  <c r="N965" i="6"/>
  <c r="R965" i="6"/>
  <c r="Q965" i="6" s="1"/>
  <c r="S965" i="6" s="1"/>
  <c r="T965" i="6"/>
  <c r="B966" i="6"/>
  <c r="C966" i="6"/>
  <c r="D966" i="6"/>
  <c r="E966" i="6"/>
  <c r="F966" i="6"/>
  <c r="H966" i="6"/>
  <c r="I966" i="6"/>
  <c r="L966" i="6"/>
  <c r="N966" i="6"/>
  <c r="Q966" i="6"/>
  <c r="R966" i="6"/>
  <c r="S966" i="6"/>
  <c r="T966" i="6"/>
  <c r="B967" i="6"/>
  <c r="C967" i="6"/>
  <c r="D967" i="6"/>
  <c r="L967" i="6" s="1"/>
  <c r="E967" i="6"/>
  <c r="F967" i="6"/>
  <c r="H967" i="6"/>
  <c r="I967" i="6"/>
  <c r="N967" i="6"/>
  <c r="R967" i="6"/>
  <c r="Q967" i="6" s="1"/>
  <c r="S967" i="6" s="1"/>
  <c r="T967" i="6"/>
  <c r="B968" i="6"/>
  <c r="C968" i="6"/>
  <c r="D968" i="6"/>
  <c r="E968" i="6"/>
  <c r="F968" i="6"/>
  <c r="H968" i="6"/>
  <c r="I968" i="6"/>
  <c r="L968" i="6"/>
  <c r="N968" i="6"/>
  <c r="Q968" i="6"/>
  <c r="R968" i="6"/>
  <c r="S968" i="6"/>
  <c r="T968" i="6"/>
  <c r="B969" i="6"/>
  <c r="C969" i="6"/>
  <c r="D969" i="6"/>
  <c r="L969" i="6" s="1"/>
  <c r="E969" i="6"/>
  <c r="F969" i="6"/>
  <c r="H969" i="6"/>
  <c r="I969" i="6"/>
  <c r="N969" i="6"/>
  <c r="R969" i="6"/>
  <c r="Q969" i="6" s="1"/>
  <c r="S969" i="6" s="1"/>
  <c r="T969" i="6"/>
  <c r="B970" i="6"/>
  <c r="C970" i="6"/>
  <c r="D970" i="6"/>
  <c r="E970" i="6"/>
  <c r="F970" i="6"/>
  <c r="H970" i="6"/>
  <c r="I970" i="6"/>
  <c r="L970" i="6"/>
  <c r="N970" i="6"/>
  <c r="Q970" i="6"/>
  <c r="R970" i="6"/>
  <c r="S970" i="6"/>
  <c r="T970" i="6"/>
  <c r="B971" i="6"/>
  <c r="C971" i="6"/>
  <c r="D971" i="6"/>
  <c r="L971" i="6" s="1"/>
  <c r="E971" i="6"/>
  <c r="F971" i="6"/>
  <c r="H971" i="6"/>
  <c r="I971" i="6"/>
  <c r="N971" i="6"/>
  <c r="R971" i="6"/>
  <c r="Q971" i="6" s="1"/>
  <c r="S971" i="6" s="1"/>
  <c r="T971" i="6"/>
  <c r="B972" i="6"/>
  <c r="C972" i="6"/>
  <c r="D972" i="6"/>
  <c r="E972" i="6"/>
  <c r="F972" i="6"/>
  <c r="H972" i="6"/>
  <c r="I972" i="6"/>
  <c r="L972" i="6"/>
  <c r="N972" i="6"/>
  <c r="Q972" i="6"/>
  <c r="R972" i="6"/>
  <c r="S972" i="6"/>
  <c r="T972" i="6"/>
  <c r="B973" i="6"/>
  <c r="C973" i="6"/>
  <c r="D973" i="6"/>
  <c r="L973" i="6" s="1"/>
  <c r="E973" i="6"/>
  <c r="F973" i="6"/>
  <c r="H973" i="6"/>
  <c r="I973" i="6"/>
  <c r="N973" i="6"/>
  <c r="R973" i="6"/>
  <c r="Q973" i="6" s="1"/>
  <c r="S973" i="6" s="1"/>
  <c r="T973" i="6"/>
  <c r="B974" i="6"/>
  <c r="C974" i="6"/>
  <c r="D974" i="6"/>
  <c r="E974" i="6"/>
  <c r="F974" i="6"/>
  <c r="H974" i="6"/>
  <c r="I974" i="6"/>
  <c r="L974" i="6"/>
  <c r="N974" i="6"/>
  <c r="Q974" i="6"/>
  <c r="R974" i="6"/>
  <c r="S974" i="6"/>
  <c r="T974" i="6"/>
  <c r="B975" i="6"/>
  <c r="C975" i="6"/>
  <c r="D975" i="6"/>
  <c r="L975" i="6" s="1"/>
  <c r="E975" i="6"/>
  <c r="F975" i="6"/>
  <c r="H975" i="6"/>
  <c r="I975" i="6"/>
  <c r="N975" i="6"/>
  <c r="R975" i="6"/>
  <c r="Q975" i="6" s="1"/>
  <c r="S975" i="6" s="1"/>
  <c r="T975" i="6"/>
  <c r="B976" i="6"/>
  <c r="C976" i="6"/>
  <c r="D976" i="6"/>
  <c r="E976" i="6"/>
  <c r="F976" i="6"/>
  <c r="H976" i="6"/>
  <c r="I976" i="6"/>
  <c r="L976" i="6"/>
  <c r="N976" i="6"/>
  <c r="Q976" i="6"/>
  <c r="R976" i="6"/>
  <c r="S976" i="6"/>
  <c r="T976" i="6"/>
  <c r="B977" i="6"/>
  <c r="C977" i="6"/>
  <c r="D977" i="6"/>
  <c r="L977" i="6" s="1"/>
  <c r="E977" i="6"/>
  <c r="F977" i="6"/>
  <c r="H977" i="6"/>
  <c r="I977" i="6"/>
  <c r="N977" i="6"/>
  <c r="R977" i="6"/>
  <c r="Q977" i="6" s="1"/>
  <c r="S977" i="6" s="1"/>
  <c r="T977" i="6"/>
  <c r="B978" i="6"/>
  <c r="C978" i="6"/>
  <c r="D978" i="6"/>
  <c r="E978" i="6"/>
  <c r="F978" i="6"/>
  <c r="H978" i="6"/>
  <c r="I978" i="6"/>
  <c r="L978" i="6"/>
  <c r="N978" i="6"/>
  <c r="Q978" i="6"/>
  <c r="R978" i="6"/>
  <c r="S978" i="6"/>
  <c r="T978" i="6"/>
  <c r="B979" i="6"/>
  <c r="C979" i="6"/>
  <c r="D979" i="6"/>
  <c r="L979" i="6" s="1"/>
  <c r="E979" i="6"/>
  <c r="F979" i="6"/>
  <c r="H979" i="6"/>
  <c r="I979" i="6"/>
  <c r="N979" i="6"/>
  <c r="R979" i="6"/>
  <c r="Q979" i="6" s="1"/>
  <c r="S979" i="6" s="1"/>
  <c r="T979" i="6"/>
  <c r="B980" i="6"/>
  <c r="C980" i="6"/>
  <c r="D980" i="6"/>
  <c r="E980" i="6"/>
  <c r="F980" i="6"/>
  <c r="H980" i="6"/>
  <c r="I980" i="6"/>
  <c r="L980" i="6"/>
  <c r="N980" i="6"/>
  <c r="Q980" i="6"/>
  <c r="R980" i="6"/>
  <c r="S980" i="6"/>
  <c r="T980" i="6"/>
  <c r="B981" i="6"/>
  <c r="C981" i="6"/>
  <c r="D981" i="6"/>
  <c r="L981" i="6" s="1"/>
  <c r="E981" i="6"/>
  <c r="F981" i="6"/>
  <c r="H981" i="6"/>
  <c r="I981" i="6"/>
  <c r="N981" i="6"/>
  <c r="R981" i="6"/>
  <c r="Q981" i="6" s="1"/>
  <c r="S981" i="6" s="1"/>
  <c r="T981" i="6"/>
  <c r="B982" i="6"/>
  <c r="C982" i="6"/>
  <c r="D982" i="6"/>
  <c r="E982" i="6"/>
  <c r="F982" i="6"/>
  <c r="H982" i="6"/>
  <c r="I982" i="6"/>
  <c r="L982" i="6"/>
  <c r="N982" i="6"/>
  <c r="Q982" i="6"/>
  <c r="R982" i="6"/>
  <c r="S982" i="6"/>
  <c r="T982" i="6"/>
  <c r="B983" i="6"/>
  <c r="C983" i="6"/>
  <c r="D983" i="6"/>
  <c r="L983" i="6" s="1"/>
  <c r="E983" i="6"/>
  <c r="F983" i="6"/>
  <c r="H983" i="6"/>
  <c r="I983" i="6"/>
  <c r="N983" i="6"/>
  <c r="R983" i="6"/>
  <c r="Q983" i="6" s="1"/>
  <c r="S983" i="6" s="1"/>
  <c r="T983" i="6"/>
  <c r="B984" i="6"/>
  <c r="C984" i="6"/>
  <c r="D984" i="6"/>
  <c r="E984" i="6"/>
  <c r="F984" i="6"/>
  <c r="H984" i="6"/>
  <c r="I984" i="6"/>
  <c r="L984" i="6"/>
  <c r="N984" i="6"/>
  <c r="Q984" i="6"/>
  <c r="R984" i="6"/>
  <c r="S984" i="6"/>
  <c r="T984" i="6"/>
  <c r="B985" i="6"/>
  <c r="C985" i="6"/>
  <c r="D985" i="6"/>
  <c r="L985" i="6" s="1"/>
  <c r="E985" i="6"/>
  <c r="F985" i="6"/>
  <c r="H985" i="6"/>
  <c r="I985" i="6"/>
  <c r="N985" i="6"/>
  <c r="R985" i="6"/>
  <c r="Q985" i="6" s="1"/>
  <c r="S985" i="6" s="1"/>
  <c r="T985" i="6"/>
  <c r="B986" i="6"/>
  <c r="C986" i="6"/>
  <c r="D986" i="6"/>
  <c r="E986" i="6"/>
  <c r="F986" i="6"/>
  <c r="H986" i="6"/>
  <c r="I986" i="6"/>
  <c r="L986" i="6"/>
  <c r="N986" i="6"/>
  <c r="Q986" i="6"/>
  <c r="R986" i="6"/>
  <c r="S986" i="6"/>
  <c r="T986" i="6"/>
  <c r="B987" i="6"/>
  <c r="C987" i="6"/>
  <c r="D987" i="6"/>
  <c r="L987" i="6" s="1"/>
  <c r="E987" i="6"/>
  <c r="F987" i="6"/>
  <c r="H987" i="6"/>
  <c r="I987" i="6"/>
  <c r="N987" i="6"/>
  <c r="R987" i="6"/>
  <c r="Q987" i="6" s="1"/>
  <c r="S987" i="6" s="1"/>
  <c r="T987" i="6"/>
  <c r="B988" i="6"/>
  <c r="C988" i="6"/>
  <c r="D988" i="6"/>
  <c r="E988" i="6"/>
  <c r="F988" i="6"/>
  <c r="H988" i="6"/>
  <c r="I988" i="6"/>
  <c r="L988" i="6"/>
  <c r="N988" i="6"/>
  <c r="Q988" i="6"/>
  <c r="R988" i="6"/>
  <c r="S988" i="6"/>
  <c r="T988" i="6"/>
  <c r="B989" i="6"/>
  <c r="C989" i="6"/>
  <c r="D989" i="6"/>
  <c r="L989" i="6" s="1"/>
  <c r="E989" i="6"/>
  <c r="F989" i="6"/>
  <c r="H989" i="6"/>
  <c r="I989" i="6"/>
  <c r="N989" i="6"/>
  <c r="R989" i="6"/>
  <c r="Q989" i="6" s="1"/>
  <c r="S989" i="6" s="1"/>
  <c r="T989" i="6"/>
  <c r="B990" i="6"/>
  <c r="C990" i="6"/>
  <c r="D990" i="6"/>
  <c r="E990" i="6"/>
  <c r="F990" i="6"/>
  <c r="H990" i="6"/>
  <c r="I990" i="6"/>
  <c r="L990" i="6"/>
  <c r="N990" i="6"/>
  <c r="Q990" i="6"/>
  <c r="R990" i="6"/>
  <c r="S990" i="6"/>
  <c r="T990" i="6"/>
  <c r="B991" i="6"/>
  <c r="C991" i="6"/>
  <c r="D991" i="6"/>
  <c r="L991" i="6" s="1"/>
  <c r="E991" i="6"/>
  <c r="F991" i="6"/>
  <c r="H991" i="6"/>
  <c r="I991" i="6"/>
  <c r="N991" i="6"/>
  <c r="R991" i="6"/>
  <c r="Q991" i="6" s="1"/>
  <c r="S991" i="6" s="1"/>
  <c r="T991" i="6"/>
  <c r="B992" i="6"/>
  <c r="C992" i="6"/>
  <c r="D992" i="6"/>
  <c r="E992" i="6"/>
  <c r="F992" i="6"/>
  <c r="H992" i="6"/>
  <c r="I992" i="6"/>
  <c r="L992" i="6"/>
  <c r="N992" i="6"/>
  <c r="Q992" i="6"/>
  <c r="R992" i="6"/>
  <c r="S992" i="6"/>
  <c r="T992" i="6"/>
  <c r="B993" i="6"/>
  <c r="C993" i="6"/>
  <c r="D993" i="6"/>
  <c r="L993" i="6" s="1"/>
  <c r="E993" i="6"/>
  <c r="F993" i="6"/>
  <c r="H993" i="6"/>
  <c r="I993" i="6"/>
  <c r="N993" i="6"/>
  <c r="R993" i="6"/>
  <c r="Q993" i="6" s="1"/>
  <c r="S993" i="6" s="1"/>
  <c r="T993" i="6"/>
  <c r="B994" i="6"/>
  <c r="C994" i="6"/>
  <c r="D994" i="6"/>
  <c r="E994" i="6"/>
  <c r="F994" i="6"/>
  <c r="H994" i="6"/>
  <c r="I994" i="6"/>
  <c r="L994" i="6"/>
  <c r="N994" i="6"/>
  <c r="Q994" i="6"/>
  <c r="R994" i="6"/>
  <c r="S994" i="6"/>
  <c r="T994" i="6"/>
  <c r="B995" i="6"/>
  <c r="C995" i="6"/>
  <c r="D995" i="6"/>
  <c r="L995" i="6" s="1"/>
  <c r="E995" i="6"/>
  <c r="F995" i="6"/>
  <c r="H995" i="6"/>
  <c r="I995" i="6"/>
  <c r="N995" i="6"/>
  <c r="R995" i="6"/>
  <c r="Q995" i="6" s="1"/>
  <c r="S995" i="6" s="1"/>
  <c r="T995" i="6"/>
  <c r="B996" i="6"/>
  <c r="C996" i="6"/>
  <c r="D996" i="6"/>
  <c r="E996" i="6"/>
  <c r="F996" i="6"/>
  <c r="H996" i="6"/>
  <c r="I996" i="6"/>
  <c r="L996" i="6"/>
  <c r="N996" i="6"/>
  <c r="Q996" i="6"/>
  <c r="R996" i="6"/>
  <c r="S996" i="6"/>
  <c r="T996" i="6"/>
  <c r="B997" i="6"/>
  <c r="C997" i="6"/>
  <c r="D997" i="6"/>
  <c r="L997" i="6" s="1"/>
  <c r="E997" i="6"/>
  <c r="F997" i="6"/>
  <c r="H997" i="6"/>
  <c r="I997" i="6"/>
  <c r="N997" i="6"/>
  <c r="R997" i="6"/>
  <c r="Q997" i="6" s="1"/>
  <c r="S997" i="6" s="1"/>
  <c r="T997" i="6"/>
  <c r="B998" i="6"/>
  <c r="C998" i="6"/>
  <c r="D998" i="6"/>
  <c r="E998" i="6"/>
  <c r="F998" i="6"/>
  <c r="H998" i="6"/>
  <c r="I998" i="6"/>
  <c r="L998" i="6"/>
  <c r="N998" i="6"/>
  <c r="Q998" i="6"/>
  <c r="R998" i="6"/>
  <c r="S998" i="6"/>
  <c r="T998" i="6"/>
  <c r="B999" i="6"/>
  <c r="C999" i="6"/>
  <c r="D999" i="6"/>
  <c r="L999" i="6" s="1"/>
  <c r="E999" i="6"/>
  <c r="F999" i="6"/>
  <c r="H999" i="6"/>
  <c r="I999" i="6"/>
  <c r="N999" i="6"/>
  <c r="R999" i="6"/>
  <c r="Q999" i="6" s="1"/>
  <c r="S999" i="6" s="1"/>
  <c r="T999" i="6"/>
  <c r="B1000" i="6"/>
  <c r="C1000" i="6"/>
  <c r="D1000" i="6"/>
  <c r="E1000" i="6"/>
  <c r="F1000" i="6"/>
  <c r="H1000" i="6"/>
  <c r="I1000" i="6"/>
  <c r="L1000" i="6"/>
  <c r="N1000" i="6"/>
  <c r="Q1000" i="6"/>
  <c r="R1000" i="6"/>
  <c r="S1000" i="6"/>
  <c r="T1000" i="6"/>
  <c r="B1001" i="6"/>
  <c r="C1001" i="6"/>
  <c r="D1001" i="6"/>
  <c r="L1001" i="6" s="1"/>
  <c r="E1001" i="6"/>
  <c r="F1001" i="6"/>
  <c r="H1001" i="6"/>
  <c r="I1001" i="6"/>
  <c r="N1001" i="6"/>
  <c r="R1001" i="6"/>
  <c r="Q1001" i="6" s="1"/>
  <c r="S1001" i="6" s="1"/>
  <c r="T1001" i="6"/>
  <c r="B1002" i="6"/>
  <c r="C1002" i="6"/>
  <c r="D1002" i="6"/>
  <c r="E1002" i="6"/>
  <c r="F1002" i="6"/>
  <c r="H1002" i="6"/>
  <c r="I1002" i="6"/>
  <c r="L1002" i="6"/>
  <c r="N1002" i="6"/>
  <c r="Q1002" i="6"/>
  <c r="R1002" i="6"/>
  <c r="S1002" i="6"/>
  <c r="T1002" i="6"/>
  <c r="B1003" i="6"/>
  <c r="C1003" i="6"/>
  <c r="D1003" i="6"/>
  <c r="L1003" i="6" s="1"/>
  <c r="E1003" i="6"/>
  <c r="F1003" i="6"/>
  <c r="H1003" i="6"/>
  <c r="I1003" i="6"/>
  <c r="N1003" i="6"/>
  <c r="R1003" i="6"/>
  <c r="Q1003" i="6" s="1"/>
  <c r="S1003" i="6" s="1"/>
  <c r="T1003" i="6"/>
  <c r="B1004" i="6"/>
  <c r="C1004" i="6"/>
  <c r="D1004" i="6"/>
  <c r="E1004" i="6"/>
  <c r="F1004" i="6"/>
  <c r="H1004" i="6"/>
  <c r="I1004" i="6"/>
  <c r="L1004" i="6"/>
  <c r="N1004" i="6"/>
  <c r="Q1004" i="6"/>
  <c r="R1004" i="6"/>
  <c r="S1004" i="6"/>
  <c r="T1004" i="6"/>
  <c r="B1005" i="6"/>
  <c r="C1005" i="6"/>
  <c r="D1005" i="6"/>
  <c r="L1005" i="6" s="1"/>
  <c r="E1005" i="6"/>
  <c r="F1005" i="6"/>
  <c r="H1005" i="6"/>
  <c r="I1005" i="6"/>
  <c r="N1005" i="6"/>
  <c r="R1005" i="6"/>
  <c r="Q1005" i="6" s="1"/>
  <c r="S1005" i="6" s="1"/>
  <c r="T1005" i="6"/>
  <c r="B1006" i="6"/>
  <c r="C1006" i="6"/>
  <c r="D1006" i="6"/>
  <c r="E1006" i="6"/>
  <c r="F1006" i="6"/>
  <c r="H1006" i="6"/>
  <c r="I1006" i="6"/>
  <c r="L1006" i="6"/>
  <c r="N1006" i="6"/>
  <c r="Q1006" i="6"/>
  <c r="R1006" i="6"/>
  <c r="S1006" i="6"/>
  <c r="T1006" i="6"/>
  <c r="B1007" i="6"/>
  <c r="C1007" i="6"/>
  <c r="D1007" i="6"/>
  <c r="L1007" i="6" s="1"/>
  <c r="E1007" i="6"/>
  <c r="F1007" i="6"/>
  <c r="H1007" i="6"/>
  <c r="I1007" i="6"/>
  <c r="N1007" i="6"/>
  <c r="R1007" i="6"/>
  <c r="Q1007" i="6" s="1"/>
  <c r="S1007" i="6" s="1"/>
  <c r="T1007" i="6"/>
  <c r="B1008" i="6"/>
  <c r="C1008" i="6"/>
  <c r="D1008" i="6"/>
  <c r="E1008" i="6"/>
  <c r="F1008" i="6"/>
  <c r="H1008" i="6"/>
  <c r="I1008" i="6"/>
  <c r="L1008" i="6"/>
  <c r="N1008" i="6"/>
  <c r="Q1008" i="6"/>
  <c r="R1008" i="6"/>
  <c r="S1008" i="6"/>
  <c r="T1008" i="6"/>
  <c r="B1009" i="6"/>
  <c r="C1009" i="6"/>
  <c r="D1009" i="6"/>
  <c r="L1009" i="6" s="1"/>
  <c r="E1009" i="6"/>
  <c r="F1009" i="6"/>
  <c r="H1009" i="6"/>
  <c r="I1009" i="6"/>
  <c r="N1009" i="6"/>
  <c r="R1009" i="6"/>
  <c r="Q1009" i="6" s="1"/>
  <c r="S1009" i="6" s="1"/>
  <c r="T1009" i="6"/>
  <c r="B1010" i="6"/>
  <c r="C1010" i="6"/>
  <c r="D1010" i="6"/>
  <c r="E1010" i="6"/>
  <c r="F1010" i="6"/>
  <c r="H1010" i="6"/>
  <c r="I1010" i="6"/>
  <c r="L1010" i="6"/>
  <c r="N1010" i="6"/>
  <c r="Q1010" i="6"/>
  <c r="R1010" i="6"/>
  <c r="S1010" i="6"/>
  <c r="T1010" i="6"/>
  <c r="B1011" i="6"/>
  <c r="C1011" i="6"/>
  <c r="D1011" i="6"/>
  <c r="L1011" i="6" s="1"/>
  <c r="E1011" i="6"/>
  <c r="F1011" i="6"/>
  <c r="H1011" i="6"/>
  <c r="I1011" i="6"/>
  <c r="N1011" i="6"/>
  <c r="R1011" i="6"/>
  <c r="Q1011" i="6" s="1"/>
  <c r="S1011" i="6" s="1"/>
  <c r="T1011" i="6"/>
  <c r="B1012" i="6"/>
  <c r="C1012" i="6"/>
  <c r="D1012" i="6"/>
  <c r="E1012" i="6"/>
  <c r="F1012" i="6"/>
  <c r="H1012" i="6"/>
  <c r="I1012" i="6"/>
  <c r="L1012" i="6"/>
  <c r="N1012" i="6"/>
  <c r="Q1012" i="6"/>
  <c r="R1012" i="6"/>
  <c r="S1012" i="6"/>
  <c r="T1012" i="6"/>
  <c r="B1013" i="6"/>
  <c r="C1013" i="6"/>
  <c r="D1013" i="6"/>
  <c r="L1013" i="6" s="1"/>
  <c r="E1013" i="6"/>
  <c r="F1013" i="6"/>
  <c r="H1013" i="6"/>
  <c r="I1013" i="6"/>
  <c r="N1013" i="6"/>
  <c r="R1013" i="6"/>
  <c r="Q1013" i="6" s="1"/>
  <c r="S1013" i="6" s="1"/>
  <c r="T1013" i="6"/>
  <c r="B1014" i="6"/>
  <c r="C1014" i="6"/>
  <c r="D1014" i="6"/>
  <c r="E1014" i="6"/>
  <c r="F1014" i="6"/>
  <c r="H1014" i="6"/>
  <c r="I1014" i="6"/>
  <c r="L1014" i="6"/>
  <c r="N1014" i="6"/>
  <c r="Q1014" i="6"/>
  <c r="R1014" i="6"/>
  <c r="S1014" i="6"/>
  <c r="T1014" i="6"/>
  <c r="B1015" i="6"/>
  <c r="C1015" i="6"/>
  <c r="D1015" i="6"/>
  <c r="L1015" i="6" s="1"/>
  <c r="E1015" i="6"/>
  <c r="F1015" i="6"/>
  <c r="H1015" i="6"/>
  <c r="I1015" i="6"/>
  <c r="N1015" i="6"/>
  <c r="R1015" i="6"/>
  <c r="Q1015" i="6" s="1"/>
  <c r="S1015" i="6" s="1"/>
  <c r="T1015" i="6"/>
  <c r="B1016" i="6"/>
  <c r="C1016" i="6"/>
  <c r="D1016" i="6"/>
  <c r="E1016" i="6"/>
  <c r="F1016" i="6"/>
  <c r="H1016" i="6"/>
  <c r="I1016" i="6"/>
  <c r="L1016" i="6"/>
  <c r="N1016" i="6"/>
  <c r="Q1016" i="6"/>
  <c r="R1016" i="6"/>
  <c r="S1016" i="6"/>
  <c r="T1016" i="6"/>
  <c r="B1017" i="6"/>
  <c r="C1017" i="6"/>
  <c r="D1017" i="6"/>
  <c r="L1017" i="6" s="1"/>
  <c r="E1017" i="6"/>
  <c r="F1017" i="6"/>
  <c r="H1017" i="6"/>
  <c r="I1017" i="6"/>
  <c r="N1017" i="6"/>
  <c r="R1017" i="6"/>
  <c r="Q1017" i="6" s="1"/>
  <c r="S1017" i="6" s="1"/>
  <c r="T1017" i="6"/>
  <c r="B1018" i="6"/>
  <c r="C1018" i="6"/>
  <c r="D1018" i="6"/>
  <c r="E1018" i="6"/>
  <c r="F1018" i="6"/>
  <c r="H1018" i="6"/>
  <c r="I1018" i="6"/>
  <c r="L1018" i="6"/>
  <c r="N1018" i="6"/>
  <c r="Q1018" i="6"/>
  <c r="R1018" i="6"/>
  <c r="S1018" i="6"/>
  <c r="T1018" i="6"/>
  <c r="B1019" i="6"/>
  <c r="C1019" i="6"/>
  <c r="D1019" i="6"/>
  <c r="L1019" i="6" s="1"/>
  <c r="E1019" i="6"/>
  <c r="F1019" i="6"/>
  <c r="H1019" i="6"/>
  <c r="I1019" i="6"/>
  <c r="N1019" i="6"/>
  <c r="R1019" i="6"/>
  <c r="Q1019" i="6" s="1"/>
  <c r="S1019" i="6" s="1"/>
  <c r="T1019" i="6"/>
  <c r="B1020" i="6"/>
  <c r="C1020" i="6"/>
  <c r="D1020" i="6"/>
  <c r="E1020" i="6"/>
  <c r="F1020" i="6"/>
  <c r="H1020" i="6"/>
  <c r="I1020" i="6"/>
  <c r="L1020" i="6"/>
  <c r="N1020" i="6"/>
  <c r="Q1020" i="6"/>
  <c r="R1020" i="6"/>
  <c r="S1020" i="6"/>
  <c r="T1020" i="6"/>
  <c r="B1021" i="6"/>
  <c r="C1021" i="6"/>
  <c r="D1021" i="6"/>
  <c r="L1021" i="6" s="1"/>
  <c r="E1021" i="6"/>
  <c r="F1021" i="6"/>
  <c r="H1021" i="6"/>
  <c r="I1021" i="6"/>
  <c r="N1021" i="6"/>
  <c r="R1021" i="6"/>
  <c r="Q1021" i="6" s="1"/>
  <c r="S1021" i="6" s="1"/>
  <c r="T1021" i="6"/>
  <c r="B1022" i="6"/>
  <c r="C1022" i="6"/>
  <c r="D1022" i="6"/>
  <c r="E1022" i="6"/>
  <c r="F1022" i="6"/>
  <c r="H1022" i="6"/>
  <c r="I1022" i="6"/>
  <c r="L1022" i="6"/>
  <c r="N1022" i="6"/>
  <c r="Q1022" i="6"/>
  <c r="R1022" i="6"/>
  <c r="S1022" i="6"/>
  <c r="T1022" i="6"/>
  <c r="B1023" i="6"/>
  <c r="C1023" i="6"/>
  <c r="D1023" i="6"/>
  <c r="L1023" i="6" s="1"/>
  <c r="E1023" i="6"/>
  <c r="F1023" i="6"/>
  <c r="H1023" i="6"/>
  <c r="I1023" i="6"/>
  <c r="N1023" i="6"/>
  <c r="R1023" i="6"/>
  <c r="Q1023" i="6" s="1"/>
  <c r="S1023" i="6" s="1"/>
  <c r="T1023" i="6"/>
  <c r="B1024" i="6"/>
  <c r="C1024" i="6"/>
  <c r="D1024" i="6"/>
  <c r="E1024" i="6"/>
  <c r="F1024" i="6"/>
  <c r="H1024" i="6"/>
  <c r="I1024" i="6"/>
  <c r="L1024" i="6"/>
  <c r="N1024" i="6"/>
  <c r="Q1024" i="6"/>
  <c r="R1024" i="6"/>
  <c r="S1024" i="6"/>
  <c r="T1024" i="6"/>
  <c r="B1025" i="6"/>
  <c r="C1025" i="6"/>
  <c r="D1025" i="6"/>
  <c r="L1025" i="6" s="1"/>
  <c r="E1025" i="6"/>
  <c r="F1025" i="6"/>
  <c r="H1025" i="6"/>
  <c r="I1025" i="6"/>
  <c r="N1025" i="6"/>
  <c r="R1025" i="6"/>
  <c r="Q1025" i="6" s="1"/>
  <c r="S1025" i="6" s="1"/>
  <c r="T1025" i="6"/>
  <c r="B1026" i="6"/>
  <c r="C1026" i="6"/>
  <c r="D1026" i="6"/>
  <c r="E1026" i="6"/>
  <c r="F1026" i="6"/>
  <c r="H1026" i="6"/>
  <c r="I1026" i="6"/>
  <c r="L1026" i="6"/>
  <c r="N1026" i="6"/>
  <c r="Q1026" i="6"/>
  <c r="R1026" i="6"/>
  <c r="S1026" i="6"/>
  <c r="T1026" i="6"/>
  <c r="B1027" i="6"/>
  <c r="C1027" i="6"/>
  <c r="D1027" i="6"/>
  <c r="L1027" i="6" s="1"/>
  <c r="E1027" i="6"/>
  <c r="F1027" i="6"/>
  <c r="H1027" i="6"/>
  <c r="I1027" i="6"/>
  <c r="N1027" i="6"/>
  <c r="R1027" i="6"/>
  <c r="Q1027" i="6" s="1"/>
  <c r="S1027" i="6" s="1"/>
  <c r="T1027" i="6"/>
  <c r="B1028" i="6"/>
  <c r="C1028" i="6"/>
  <c r="D1028" i="6"/>
  <c r="E1028" i="6"/>
  <c r="F1028" i="6"/>
  <c r="H1028" i="6"/>
  <c r="I1028" i="6"/>
  <c r="L1028" i="6"/>
  <c r="N1028" i="6"/>
  <c r="Q1028" i="6"/>
  <c r="R1028" i="6"/>
  <c r="S1028" i="6"/>
  <c r="T1028" i="6"/>
  <c r="B1029" i="6"/>
  <c r="C1029" i="6"/>
  <c r="D1029" i="6"/>
  <c r="E1029" i="6"/>
  <c r="F1029" i="6"/>
  <c r="H1029" i="6"/>
  <c r="I1029" i="6"/>
  <c r="N1029" i="6"/>
  <c r="R1029" i="6"/>
  <c r="Q1029" i="6" s="1"/>
  <c r="S1029" i="6" s="1"/>
  <c r="T1029" i="6"/>
  <c r="B1030" i="6"/>
  <c r="C1030" i="6"/>
  <c r="D1030" i="6"/>
  <c r="E1030" i="6"/>
  <c r="F1030" i="6"/>
  <c r="H1030" i="6"/>
  <c r="I1030" i="6"/>
  <c r="L1030" i="6"/>
  <c r="N1030" i="6"/>
  <c r="Q1030" i="6"/>
  <c r="R1030" i="6"/>
  <c r="S1030" i="6"/>
  <c r="T1030" i="6"/>
  <c r="B1031" i="6"/>
  <c r="C1031" i="6"/>
  <c r="D1031" i="6"/>
  <c r="E1031" i="6"/>
  <c r="F1031" i="6"/>
  <c r="H1031" i="6"/>
  <c r="I1031" i="6"/>
  <c r="N1031" i="6"/>
  <c r="Q1031" i="6"/>
  <c r="R1031" i="6"/>
  <c r="S1031" i="6"/>
  <c r="T1031" i="6"/>
  <c r="B1032" i="6"/>
  <c r="C1032" i="6"/>
  <c r="D1032" i="6"/>
  <c r="L1032" i="6" s="1"/>
  <c r="E1032" i="6"/>
  <c r="F1032" i="6"/>
  <c r="H1032" i="6"/>
  <c r="I1032" i="6"/>
  <c r="N1032" i="6"/>
  <c r="R1032" i="6"/>
  <c r="Q1032" i="6" s="1"/>
  <c r="T1032" i="6"/>
  <c r="B1033" i="6"/>
  <c r="C1033" i="6"/>
  <c r="D1033" i="6"/>
  <c r="E1033" i="6"/>
  <c r="F1033" i="6"/>
  <c r="H1033" i="6"/>
  <c r="I1033" i="6"/>
  <c r="L1033" i="6"/>
  <c r="N1033" i="6"/>
  <c r="Q1033" i="6"/>
  <c r="R1033" i="6"/>
  <c r="S1033" i="6"/>
  <c r="T1033" i="6"/>
  <c r="B1034" i="6"/>
  <c r="C1034" i="6"/>
  <c r="D1034" i="6"/>
  <c r="L1034" i="6" s="1"/>
  <c r="E1034" i="6"/>
  <c r="F1034" i="6"/>
  <c r="H1034" i="6"/>
  <c r="I1034" i="6"/>
  <c r="N1034" i="6"/>
  <c r="R1034" i="6"/>
  <c r="Q1034" i="6" s="1"/>
  <c r="S1034" i="6" s="1"/>
  <c r="T1034" i="6"/>
  <c r="B1035" i="6"/>
  <c r="C1035" i="6"/>
  <c r="D1035" i="6"/>
  <c r="E1035" i="6"/>
  <c r="F1035" i="6"/>
  <c r="H1035" i="6"/>
  <c r="I1035" i="6"/>
  <c r="L1035" i="6"/>
  <c r="N1035" i="6"/>
  <c r="Q1035" i="6"/>
  <c r="R1035" i="6"/>
  <c r="S1035" i="6"/>
  <c r="T1035" i="6"/>
  <c r="B1036" i="6"/>
  <c r="C1036" i="6"/>
  <c r="D1036" i="6"/>
  <c r="L1036" i="6" s="1"/>
  <c r="E1036" i="6"/>
  <c r="F1036" i="6"/>
  <c r="H1036" i="6"/>
  <c r="I1036" i="6"/>
  <c r="N1036" i="6"/>
  <c r="R1036" i="6"/>
  <c r="Q1036" i="6" s="1"/>
  <c r="S1036" i="6" s="1"/>
  <c r="T1036" i="6"/>
  <c r="B1037" i="6"/>
  <c r="C1037" i="6"/>
  <c r="D1037" i="6"/>
  <c r="E1037" i="6"/>
  <c r="F1037" i="6"/>
  <c r="H1037" i="6"/>
  <c r="I1037" i="6"/>
  <c r="L1037" i="6"/>
  <c r="N1037" i="6"/>
  <c r="Q1037" i="6"/>
  <c r="R1037" i="6"/>
  <c r="S1037" i="6"/>
  <c r="T1037" i="6"/>
  <c r="B1038" i="6"/>
  <c r="C1038" i="6"/>
  <c r="D1038" i="6"/>
  <c r="L1038" i="6" s="1"/>
  <c r="E1038" i="6"/>
  <c r="F1038" i="6"/>
  <c r="H1038" i="6"/>
  <c r="I1038" i="6"/>
  <c r="N1038" i="6"/>
  <c r="R1038" i="6"/>
  <c r="Q1038" i="6" s="1"/>
  <c r="S1038" i="6" s="1"/>
  <c r="T1038" i="6"/>
  <c r="B1039" i="6"/>
  <c r="C1039" i="6"/>
  <c r="D1039" i="6"/>
  <c r="E1039" i="6"/>
  <c r="F1039" i="6"/>
  <c r="H1039" i="6"/>
  <c r="I1039" i="6"/>
  <c r="L1039" i="6"/>
  <c r="N1039" i="6"/>
  <c r="Q1039" i="6"/>
  <c r="R1039" i="6"/>
  <c r="S1039" i="6"/>
  <c r="T1039" i="6"/>
  <c r="B1040" i="6"/>
  <c r="C1040" i="6"/>
  <c r="D1040" i="6"/>
  <c r="L1040" i="6" s="1"/>
  <c r="E1040" i="6"/>
  <c r="F1040" i="6"/>
  <c r="H1040" i="6"/>
  <c r="I1040" i="6"/>
  <c r="N1040" i="6"/>
  <c r="R1040" i="6"/>
  <c r="Q1040" i="6" s="1"/>
  <c r="S1040" i="6" s="1"/>
  <c r="T1040" i="6"/>
  <c r="B1041" i="6"/>
  <c r="C1041" i="6"/>
  <c r="D1041" i="6"/>
  <c r="E1041" i="6"/>
  <c r="F1041" i="6"/>
  <c r="H1041" i="6"/>
  <c r="I1041" i="6"/>
  <c r="L1041" i="6"/>
  <c r="N1041" i="6"/>
  <c r="Q1041" i="6"/>
  <c r="R1041" i="6"/>
  <c r="S1041" i="6"/>
  <c r="T1041" i="6"/>
  <c r="B1042" i="6"/>
  <c r="C1042" i="6"/>
  <c r="D1042" i="6"/>
  <c r="L1042" i="6" s="1"/>
  <c r="E1042" i="6"/>
  <c r="F1042" i="6"/>
  <c r="H1042" i="6"/>
  <c r="I1042" i="6"/>
  <c r="N1042" i="6"/>
  <c r="R1042" i="6"/>
  <c r="Q1042" i="6" s="1"/>
  <c r="S1042" i="6" s="1"/>
  <c r="T1042" i="6"/>
  <c r="B1043" i="6"/>
  <c r="C1043" i="6"/>
  <c r="D1043" i="6"/>
  <c r="E1043" i="6"/>
  <c r="F1043" i="6"/>
  <c r="H1043" i="6"/>
  <c r="I1043" i="6"/>
  <c r="L1043" i="6"/>
  <c r="N1043" i="6"/>
  <c r="Q1043" i="6"/>
  <c r="R1043" i="6"/>
  <c r="S1043" i="6"/>
  <c r="T1043" i="6"/>
  <c r="B1044" i="6"/>
  <c r="C1044" i="6"/>
  <c r="D1044" i="6"/>
  <c r="L1044" i="6" s="1"/>
  <c r="E1044" i="6"/>
  <c r="F1044" i="6"/>
  <c r="H1044" i="6"/>
  <c r="I1044" i="6"/>
  <c r="N1044" i="6"/>
  <c r="R1044" i="6"/>
  <c r="Q1044" i="6" s="1"/>
  <c r="T1044" i="6"/>
  <c r="B1045" i="6"/>
  <c r="C1045" i="6"/>
  <c r="D1045" i="6"/>
  <c r="E1045" i="6"/>
  <c r="F1045" i="6"/>
  <c r="H1045" i="6"/>
  <c r="I1045" i="6"/>
  <c r="L1045" i="6"/>
  <c r="N1045" i="6"/>
  <c r="Q1045" i="6"/>
  <c r="R1045" i="6"/>
  <c r="S1045" i="6"/>
  <c r="T1045" i="6"/>
  <c r="B1046" i="6"/>
  <c r="C1046" i="6"/>
  <c r="D1046" i="6"/>
  <c r="L1046" i="6" s="1"/>
  <c r="E1046" i="6"/>
  <c r="F1046" i="6"/>
  <c r="H1046" i="6"/>
  <c r="I1046" i="6"/>
  <c r="N1046" i="6"/>
  <c r="R1046" i="6"/>
  <c r="Q1046" i="6" s="1"/>
  <c r="S1046" i="6" s="1"/>
  <c r="T1046" i="6"/>
  <c r="B1047" i="6"/>
  <c r="C1047" i="6"/>
  <c r="D1047" i="6"/>
  <c r="E1047" i="6"/>
  <c r="F1047" i="6"/>
  <c r="H1047" i="6"/>
  <c r="I1047" i="6"/>
  <c r="L1047" i="6"/>
  <c r="N1047" i="6"/>
  <c r="Q1047" i="6"/>
  <c r="R1047" i="6"/>
  <c r="S1047" i="6"/>
  <c r="T1047" i="6"/>
  <c r="B1048" i="6"/>
  <c r="C1048" i="6"/>
  <c r="D1048" i="6"/>
  <c r="L1048" i="6" s="1"/>
  <c r="E1048" i="6"/>
  <c r="F1048" i="6"/>
  <c r="H1048" i="6"/>
  <c r="I1048" i="6"/>
  <c r="N1048" i="6"/>
  <c r="R1048" i="6"/>
  <c r="Q1048" i="6" s="1"/>
  <c r="S1048" i="6" s="1"/>
  <c r="T1048" i="6"/>
  <c r="B1049" i="6"/>
  <c r="C1049" i="6"/>
  <c r="D1049" i="6"/>
  <c r="E1049" i="6"/>
  <c r="F1049" i="6"/>
  <c r="H1049" i="6"/>
  <c r="I1049" i="6"/>
  <c r="L1049" i="6"/>
  <c r="N1049" i="6"/>
  <c r="Q1049" i="6"/>
  <c r="R1049" i="6"/>
  <c r="S1049" i="6"/>
  <c r="T1049" i="6"/>
  <c r="B1050" i="6"/>
  <c r="C1050" i="6"/>
  <c r="D1050" i="6"/>
  <c r="L1050" i="6" s="1"/>
  <c r="E1050" i="6"/>
  <c r="F1050" i="6"/>
  <c r="H1050" i="6"/>
  <c r="I1050" i="6"/>
  <c r="N1050" i="6"/>
  <c r="R1050" i="6"/>
  <c r="Q1050" i="6" s="1"/>
  <c r="S1050" i="6" s="1"/>
  <c r="T1050" i="6"/>
  <c r="B1051" i="6"/>
  <c r="C1051" i="6"/>
  <c r="D1051" i="6"/>
  <c r="E1051" i="6"/>
  <c r="F1051" i="6"/>
  <c r="H1051" i="6"/>
  <c r="I1051" i="6"/>
  <c r="L1051" i="6"/>
  <c r="N1051" i="6"/>
  <c r="Q1051" i="6"/>
  <c r="R1051" i="6"/>
  <c r="S1051" i="6"/>
  <c r="T1051" i="6"/>
  <c r="B1052" i="6"/>
  <c r="C1052" i="6"/>
  <c r="D1052" i="6"/>
  <c r="L1052" i="6" s="1"/>
  <c r="E1052" i="6"/>
  <c r="F1052" i="6"/>
  <c r="H1052" i="6"/>
  <c r="I1052" i="6"/>
  <c r="N1052" i="6"/>
  <c r="R1052" i="6"/>
  <c r="Q1052" i="6" s="1"/>
  <c r="S1052" i="6" s="1"/>
  <c r="T1052" i="6"/>
  <c r="B1053" i="6"/>
  <c r="C1053" i="6"/>
  <c r="D1053" i="6"/>
  <c r="E1053" i="6"/>
  <c r="F1053" i="6"/>
  <c r="H1053" i="6"/>
  <c r="I1053" i="6"/>
  <c r="L1053" i="6"/>
  <c r="N1053" i="6"/>
  <c r="Q1053" i="6"/>
  <c r="R1053" i="6"/>
  <c r="S1053" i="6"/>
  <c r="T1053" i="6"/>
  <c r="B1054" i="6"/>
  <c r="C1054" i="6"/>
  <c r="D1054" i="6"/>
  <c r="L1054" i="6" s="1"/>
  <c r="E1054" i="6"/>
  <c r="F1054" i="6"/>
  <c r="H1054" i="6"/>
  <c r="I1054" i="6"/>
  <c r="N1054" i="6"/>
  <c r="R1054" i="6"/>
  <c r="Q1054" i="6" s="1"/>
  <c r="S1054" i="6" s="1"/>
  <c r="T1054" i="6"/>
  <c r="B1055" i="6"/>
  <c r="C1055" i="6"/>
  <c r="D1055" i="6"/>
  <c r="E1055" i="6"/>
  <c r="F1055" i="6"/>
  <c r="H1055" i="6"/>
  <c r="I1055" i="6"/>
  <c r="L1055" i="6"/>
  <c r="N1055" i="6"/>
  <c r="Q1055" i="6"/>
  <c r="R1055" i="6"/>
  <c r="S1055" i="6"/>
  <c r="T1055" i="6"/>
  <c r="B1056" i="6"/>
  <c r="C1056" i="6"/>
  <c r="D1056" i="6"/>
  <c r="L1056" i="6" s="1"/>
  <c r="E1056" i="6"/>
  <c r="F1056" i="6"/>
  <c r="H1056" i="6"/>
  <c r="I1056" i="6"/>
  <c r="N1056" i="6"/>
  <c r="R1056" i="6"/>
  <c r="Q1056" i="6" s="1"/>
  <c r="T1056" i="6"/>
  <c r="B1057" i="6"/>
  <c r="C1057" i="6"/>
  <c r="D1057" i="6"/>
  <c r="E1057" i="6"/>
  <c r="F1057" i="6"/>
  <c r="H1057" i="6"/>
  <c r="I1057" i="6"/>
  <c r="L1057" i="6"/>
  <c r="N1057" i="6"/>
  <c r="Q1057" i="6"/>
  <c r="R1057" i="6"/>
  <c r="S1057" i="6"/>
  <c r="T1057" i="6"/>
  <c r="B1058" i="6"/>
  <c r="C1058" i="6"/>
  <c r="D1058" i="6"/>
  <c r="L1058" i="6" s="1"/>
  <c r="E1058" i="6"/>
  <c r="F1058" i="6"/>
  <c r="H1058" i="6"/>
  <c r="I1058" i="6"/>
  <c r="N1058" i="6"/>
  <c r="R1058" i="6"/>
  <c r="Q1058" i="6" s="1"/>
  <c r="S1058" i="6" s="1"/>
  <c r="T1058" i="6"/>
  <c r="B1059" i="6"/>
  <c r="C1059" i="6"/>
  <c r="D1059" i="6"/>
  <c r="E1059" i="6"/>
  <c r="F1059" i="6"/>
  <c r="H1059" i="6"/>
  <c r="I1059" i="6"/>
  <c r="L1059" i="6"/>
  <c r="N1059" i="6"/>
  <c r="Q1059" i="6"/>
  <c r="R1059" i="6"/>
  <c r="S1059" i="6"/>
  <c r="T1059" i="6"/>
  <c r="B1060" i="6"/>
  <c r="C1060" i="6"/>
  <c r="D1060" i="6"/>
  <c r="L1060" i="6" s="1"/>
  <c r="E1060" i="6"/>
  <c r="F1060" i="6"/>
  <c r="H1060" i="6"/>
  <c r="I1060" i="6"/>
  <c r="N1060" i="6"/>
  <c r="R1060" i="6"/>
  <c r="Q1060" i="6" s="1"/>
  <c r="S1060" i="6" s="1"/>
  <c r="T1060" i="6"/>
  <c r="B1061" i="6"/>
  <c r="C1061" i="6"/>
  <c r="D1061" i="6"/>
  <c r="E1061" i="6"/>
  <c r="F1061" i="6"/>
  <c r="H1061" i="6"/>
  <c r="I1061" i="6"/>
  <c r="L1061" i="6"/>
  <c r="N1061" i="6"/>
  <c r="Q1061" i="6"/>
  <c r="R1061" i="6"/>
  <c r="S1061" i="6"/>
  <c r="T1061" i="6"/>
  <c r="B1062" i="6"/>
  <c r="C1062" i="6"/>
  <c r="D1062" i="6"/>
  <c r="L1062" i="6" s="1"/>
  <c r="E1062" i="6"/>
  <c r="F1062" i="6"/>
  <c r="H1062" i="6"/>
  <c r="I1062" i="6"/>
  <c r="N1062" i="6"/>
  <c r="R1062" i="6"/>
  <c r="Q1062" i="6" s="1"/>
  <c r="S1062" i="6" s="1"/>
  <c r="T1062" i="6"/>
  <c r="B1063" i="6"/>
  <c r="C1063" i="6"/>
  <c r="D1063" i="6"/>
  <c r="E1063" i="6"/>
  <c r="F1063" i="6"/>
  <c r="H1063" i="6"/>
  <c r="I1063" i="6"/>
  <c r="L1063" i="6"/>
  <c r="N1063" i="6"/>
  <c r="Q1063" i="6"/>
  <c r="R1063" i="6"/>
  <c r="S1063" i="6"/>
  <c r="T1063" i="6"/>
  <c r="B1064" i="6"/>
  <c r="C1064" i="6"/>
  <c r="D1064" i="6"/>
  <c r="L1064" i="6" s="1"/>
  <c r="E1064" i="6"/>
  <c r="F1064" i="6"/>
  <c r="H1064" i="6"/>
  <c r="I1064" i="6"/>
  <c r="N1064" i="6"/>
  <c r="R1064" i="6"/>
  <c r="Q1064" i="6" s="1"/>
  <c r="S1064" i="6" s="1"/>
  <c r="T1064" i="6"/>
  <c r="B1065" i="6"/>
  <c r="C1065" i="6"/>
  <c r="D1065" i="6"/>
  <c r="E1065" i="6"/>
  <c r="F1065" i="6"/>
  <c r="H1065" i="6"/>
  <c r="I1065" i="6"/>
  <c r="L1065" i="6"/>
  <c r="N1065" i="6"/>
  <c r="Q1065" i="6"/>
  <c r="R1065" i="6"/>
  <c r="S1065" i="6"/>
  <c r="T1065" i="6"/>
  <c r="B1066" i="6"/>
  <c r="C1066" i="6"/>
  <c r="D1066" i="6"/>
  <c r="L1066" i="6" s="1"/>
  <c r="E1066" i="6"/>
  <c r="F1066" i="6"/>
  <c r="H1066" i="6"/>
  <c r="I1066" i="6"/>
  <c r="N1066" i="6"/>
  <c r="R1066" i="6"/>
  <c r="Q1066" i="6" s="1"/>
  <c r="S1066" i="6" s="1"/>
  <c r="T1066" i="6"/>
  <c r="B1067" i="6"/>
  <c r="C1067" i="6"/>
  <c r="D1067" i="6"/>
  <c r="E1067" i="6"/>
  <c r="F1067" i="6"/>
  <c r="H1067" i="6"/>
  <c r="I1067" i="6"/>
  <c r="L1067" i="6"/>
  <c r="N1067" i="6"/>
  <c r="Q1067" i="6"/>
  <c r="R1067" i="6"/>
  <c r="S1067" i="6"/>
  <c r="T1067" i="6"/>
  <c r="B1069" i="6"/>
  <c r="C1069" i="6"/>
  <c r="D1069" i="6"/>
  <c r="E1069" i="6"/>
  <c r="F1069" i="6"/>
  <c r="G1069" i="6"/>
  <c r="H1069" i="6"/>
  <c r="I1069" i="6"/>
  <c r="J1069" i="6"/>
  <c r="K1069" i="6"/>
  <c r="L1069" i="6"/>
  <c r="N1069" i="6"/>
  <c r="O1069" i="6"/>
  <c r="P1069" i="6"/>
  <c r="Q1069" i="6"/>
  <c r="R1069" i="6"/>
  <c r="S1069" i="6"/>
  <c r="T1069" i="6"/>
  <c r="B1070" i="6"/>
  <c r="C1070" i="6"/>
  <c r="D1070" i="6"/>
  <c r="E1070" i="6"/>
  <c r="F1070" i="6"/>
  <c r="G1070" i="6"/>
  <c r="H1070" i="6"/>
  <c r="I1070" i="6"/>
  <c r="J1070" i="6"/>
  <c r="K1070" i="6"/>
  <c r="L1070" i="6"/>
  <c r="N1070" i="6"/>
  <c r="O1070" i="6"/>
  <c r="P1070" i="6"/>
  <c r="Q1070" i="6"/>
  <c r="R1070" i="6"/>
  <c r="T1070" i="6"/>
  <c r="B1071" i="6"/>
  <c r="C1071" i="6"/>
  <c r="D1071" i="6"/>
  <c r="E1071" i="6"/>
  <c r="F1071" i="6"/>
  <c r="G1071" i="6"/>
  <c r="H1071" i="6"/>
  <c r="I1071" i="6"/>
  <c r="J1071" i="6"/>
  <c r="K1071" i="6"/>
  <c r="L1071" i="6"/>
  <c r="N1071" i="6"/>
  <c r="O1071" i="6"/>
  <c r="P1071" i="6"/>
  <c r="Q1071" i="6"/>
  <c r="R1071" i="6"/>
  <c r="S1071" i="6"/>
  <c r="T1071" i="6"/>
  <c r="B1072" i="6"/>
  <c r="C1072" i="6"/>
  <c r="D1072" i="6"/>
  <c r="E1072" i="6"/>
  <c r="F1072" i="6"/>
  <c r="G1072" i="6"/>
  <c r="H1072" i="6"/>
  <c r="I1072" i="6"/>
  <c r="J1072" i="6"/>
  <c r="K1072" i="6"/>
  <c r="L1072" i="6"/>
  <c r="N1072" i="6"/>
  <c r="O1072" i="6"/>
  <c r="P1072" i="6"/>
  <c r="Q1072" i="6"/>
  <c r="R1072" i="6"/>
  <c r="S1072" i="6"/>
  <c r="T1072" i="6"/>
  <c r="B1073" i="6"/>
  <c r="C1073" i="6"/>
  <c r="D1073" i="6"/>
  <c r="E1073" i="6"/>
  <c r="F1073" i="6"/>
  <c r="G1073" i="6"/>
  <c r="H1073" i="6"/>
  <c r="I1073" i="6"/>
  <c r="J1073" i="6"/>
  <c r="K1073" i="6"/>
  <c r="L1073" i="6"/>
  <c r="M1073" i="6"/>
  <c r="N1073" i="6"/>
  <c r="O1073" i="6"/>
  <c r="P1073" i="6"/>
  <c r="Q1073" i="6"/>
  <c r="R1073" i="6"/>
  <c r="S1073" i="6"/>
  <c r="T1073" i="6"/>
  <c r="B1074" i="6"/>
  <c r="C1074" i="6"/>
  <c r="D1074" i="6"/>
  <c r="E1074" i="6"/>
  <c r="F1074" i="6"/>
  <c r="G1074" i="6"/>
  <c r="H1074" i="6"/>
  <c r="I1074" i="6"/>
  <c r="J1074" i="6"/>
  <c r="K1074" i="6"/>
  <c r="L1074" i="6"/>
  <c r="M1074" i="6"/>
  <c r="N1074" i="6"/>
  <c r="O1074" i="6"/>
  <c r="P1074" i="6"/>
  <c r="Q1074" i="6"/>
  <c r="R1074" i="6"/>
  <c r="S1074" i="6"/>
  <c r="T1074" i="6"/>
  <c r="B1075" i="6"/>
  <c r="C1075" i="6"/>
  <c r="D1075" i="6"/>
  <c r="E1075" i="6"/>
  <c r="F1075" i="6"/>
  <c r="G1075" i="6"/>
  <c r="H1075" i="6"/>
  <c r="I1075" i="6"/>
  <c r="J1075" i="6"/>
  <c r="K1075" i="6"/>
  <c r="L1075" i="6"/>
  <c r="M1075" i="6"/>
  <c r="N1075" i="6"/>
  <c r="O1075" i="6"/>
  <c r="P1075" i="6"/>
  <c r="Q1075" i="6"/>
  <c r="R1075" i="6"/>
  <c r="S1075" i="6"/>
  <c r="T1075" i="6"/>
  <c r="B1076" i="6"/>
  <c r="C1076" i="6"/>
  <c r="D1076" i="6"/>
  <c r="E1076" i="6"/>
  <c r="F1076" i="6"/>
  <c r="G1076" i="6"/>
  <c r="H1076" i="6"/>
  <c r="I1076" i="6"/>
  <c r="J1076" i="6"/>
  <c r="K1076" i="6"/>
  <c r="L1076" i="6"/>
  <c r="M1076" i="6"/>
  <c r="N1076" i="6"/>
  <c r="O1076" i="6"/>
  <c r="P1076" i="6"/>
  <c r="Q1076" i="6"/>
  <c r="R1076" i="6"/>
  <c r="S1076" i="6"/>
  <c r="T1076" i="6"/>
  <c r="B1077" i="6"/>
  <c r="C1077" i="6"/>
  <c r="D1077" i="6"/>
  <c r="E1077" i="6"/>
  <c r="F1077" i="6"/>
  <c r="G1077" i="6"/>
  <c r="H1077" i="6"/>
  <c r="I1077" i="6"/>
  <c r="J1077" i="6"/>
  <c r="K1077" i="6"/>
  <c r="L1077" i="6"/>
  <c r="M1077" i="6"/>
  <c r="N1077" i="6"/>
  <c r="O1077" i="6"/>
  <c r="P1077" i="6"/>
  <c r="Q1077" i="6"/>
  <c r="R1077" i="6"/>
  <c r="S1077" i="6"/>
  <c r="T1077" i="6"/>
  <c r="B1078" i="6"/>
  <c r="C1078" i="6"/>
  <c r="D1078" i="6"/>
  <c r="E1078" i="6"/>
  <c r="F1078" i="6"/>
  <c r="G1078" i="6"/>
  <c r="H1078" i="6"/>
  <c r="I1078" i="6"/>
  <c r="J1078" i="6"/>
  <c r="K1078" i="6"/>
  <c r="L1078" i="6"/>
  <c r="M1078" i="6"/>
  <c r="N1078" i="6"/>
  <c r="O1078" i="6"/>
  <c r="P1078" i="6"/>
  <c r="Q1078" i="6"/>
  <c r="R1078" i="6"/>
  <c r="S1078" i="6"/>
  <c r="T1078" i="6"/>
  <c r="B1079" i="6"/>
  <c r="C1079" i="6"/>
  <c r="D1079" i="6"/>
  <c r="E1079" i="6"/>
  <c r="F1079" i="6"/>
  <c r="G1079" i="6"/>
  <c r="H1079" i="6"/>
  <c r="I1079" i="6"/>
  <c r="J1079" i="6"/>
  <c r="K1079" i="6"/>
  <c r="L1079" i="6"/>
  <c r="M1079" i="6"/>
  <c r="N1079" i="6"/>
  <c r="O1079" i="6"/>
  <c r="P1079" i="6"/>
  <c r="Q1079" i="6"/>
  <c r="R1079" i="6"/>
  <c r="S1079" i="6"/>
  <c r="T1079" i="6"/>
  <c r="B1080" i="6"/>
  <c r="C1080" i="6"/>
  <c r="D1080" i="6"/>
  <c r="E1080" i="6"/>
  <c r="F1080" i="6"/>
  <c r="G1080" i="6"/>
  <c r="H1080" i="6"/>
  <c r="I1080" i="6"/>
  <c r="J1080" i="6"/>
  <c r="K1080" i="6"/>
  <c r="L1080" i="6"/>
  <c r="M1080" i="6"/>
  <c r="N1080" i="6"/>
  <c r="O1080" i="6"/>
  <c r="P1080" i="6"/>
  <c r="Q1080" i="6"/>
  <c r="R1080" i="6"/>
  <c r="S1080" i="6"/>
  <c r="T1080" i="6"/>
  <c r="B1081" i="6"/>
  <c r="C1081" i="6"/>
  <c r="D1081" i="6"/>
  <c r="E1081" i="6"/>
  <c r="F1081" i="6"/>
  <c r="G1081" i="6"/>
  <c r="H1081" i="6"/>
  <c r="I1081" i="6"/>
  <c r="J1081" i="6"/>
  <c r="K1081" i="6"/>
  <c r="L1081" i="6"/>
  <c r="M1081" i="6"/>
  <c r="N1081" i="6"/>
  <c r="O1081" i="6"/>
  <c r="P1081" i="6"/>
  <c r="Q1081" i="6"/>
  <c r="R1081" i="6"/>
  <c r="S1081" i="6"/>
  <c r="T1081" i="6"/>
  <c r="B1082" i="6"/>
  <c r="C1082" i="6"/>
  <c r="D1082" i="6"/>
  <c r="E1082" i="6"/>
  <c r="F1082" i="6"/>
  <c r="G1082" i="6"/>
  <c r="H1082" i="6"/>
  <c r="I1082" i="6"/>
  <c r="J1082" i="6"/>
  <c r="K1082" i="6"/>
  <c r="L1082" i="6"/>
  <c r="M1082" i="6"/>
  <c r="N1082" i="6"/>
  <c r="O1082" i="6"/>
  <c r="P1082" i="6"/>
  <c r="Q1082" i="6"/>
  <c r="R1082" i="6"/>
  <c r="S1082" i="6"/>
  <c r="T1082" i="6"/>
  <c r="B1083" i="6"/>
  <c r="C1083" i="6"/>
  <c r="D1083" i="6"/>
  <c r="E1083" i="6"/>
  <c r="F1083" i="6"/>
  <c r="G1083" i="6"/>
  <c r="H1083" i="6"/>
  <c r="I1083" i="6"/>
  <c r="J1083" i="6"/>
  <c r="K1083" i="6"/>
  <c r="L1083" i="6"/>
  <c r="M1083" i="6"/>
  <c r="N1083" i="6"/>
  <c r="O1083" i="6"/>
  <c r="P1083" i="6"/>
  <c r="Q1083" i="6"/>
  <c r="R1083" i="6"/>
  <c r="S1083" i="6"/>
  <c r="T1083" i="6"/>
  <c r="B1084" i="6"/>
  <c r="C1084" i="6"/>
  <c r="D1084" i="6"/>
  <c r="E1084" i="6"/>
  <c r="F1084" i="6"/>
  <c r="G1084" i="6"/>
  <c r="H1084" i="6"/>
  <c r="I1084" i="6"/>
  <c r="J1084" i="6"/>
  <c r="K1084" i="6"/>
  <c r="L1084" i="6"/>
  <c r="M1084" i="6"/>
  <c r="N1084" i="6"/>
  <c r="O1084" i="6"/>
  <c r="P1084" i="6"/>
  <c r="Q1084" i="6"/>
  <c r="R1084" i="6"/>
  <c r="S1084" i="6"/>
  <c r="T1084" i="6"/>
  <c r="B1085" i="6"/>
  <c r="C1085" i="6"/>
  <c r="D1085" i="6"/>
  <c r="E1085" i="6"/>
  <c r="F1085" i="6"/>
  <c r="G1085" i="6"/>
  <c r="H1085" i="6"/>
  <c r="I1085" i="6"/>
  <c r="J1085" i="6"/>
  <c r="K1085" i="6"/>
  <c r="L1085" i="6"/>
  <c r="M1085" i="6"/>
  <c r="N1085" i="6"/>
  <c r="O1085" i="6"/>
  <c r="P1085" i="6"/>
  <c r="Q1085" i="6"/>
  <c r="R1085" i="6"/>
  <c r="S1085" i="6"/>
  <c r="T1085" i="6"/>
  <c r="B1086" i="6"/>
  <c r="C1086" i="6"/>
  <c r="D1086" i="6"/>
  <c r="E1086" i="6"/>
  <c r="F1086" i="6"/>
  <c r="G1086" i="6"/>
  <c r="H1086" i="6"/>
  <c r="I1086" i="6"/>
  <c r="J1086" i="6"/>
  <c r="K1086" i="6"/>
  <c r="L1086" i="6"/>
  <c r="M1086" i="6"/>
  <c r="N1086" i="6"/>
  <c r="O1086" i="6"/>
  <c r="P1086" i="6"/>
  <c r="Q1086" i="6"/>
  <c r="R1086" i="6"/>
  <c r="S1086" i="6"/>
  <c r="T1086" i="6"/>
  <c r="B1087" i="6"/>
  <c r="C1087" i="6"/>
  <c r="D1087" i="6"/>
  <c r="E1087" i="6"/>
  <c r="F1087" i="6"/>
  <c r="G1087" i="6"/>
  <c r="H1087" i="6"/>
  <c r="I1087" i="6"/>
  <c r="J1087" i="6"/>
  <c r="K1087" i="6"/>
  <c r="L1087" i="6"/>
  <c r="M1087" i="6"/>
  <c r="N1087" i="6"/>
  <c r="O1087" i="6"/>
  <c r="P1087" i="6"/>
  <c r="Q1087" i="6"/>
  <c r="R1087" i="6"/>
  <c r="S1087" i="6"/>
  <c r="T1087" i="6"/>
  <c r="B1088" i="6"/>
  <c r="C1088" i="6"/>
  <c r="D1088" i="6"/>
  <c r="E1088" i="6"/>
  <c r="F1088" i="6"/>
  <c r="G1088" i="6"/>
  <c r="H1088" i="6"/>
  <c r="I1088" i="6"/>
  <c r="J1088" i="6"/>
  <c r="K1088" i="6"/>
  <c r="L1088" i="6"/>
  <c r="M1088" i="6"/>
  <c r="N1088" i="6"/>
  <c r="O1088" i="6"/>
  <c r="P1088" i="6"/>
  <c r="Q1088" i="6"/>
  <c r="R1088" i="6"/>
  <c r="S1088" i="6"/>
  <c r="T1088" i="6"/>
  <c r="B1089" i="6"/>
  <c r="C1089" i="6"/>
  <c r="D1089" i="6"/>
  <c r="E1089" i="6"/>
  <c r="F1089" i="6"/>
  <c r="G1089" i="6"/>
  <c r="H1089" i="6"/>
  <c r="I1089" i="6"/>
  <c r="J1089" i="6"/>
  <c r="K1089" i="6"/>
  <c r="L1089" i="6"/>
  <c r="M1089" i="6"/>
  <c r="N1089" i="6"/>
  <c r="O1089" i="6"/>
  <c r="P1089" i="6"/>
  <c r="Q1089" i="6"/>
  <c r="R1089" i="6"/>
  <c r="S1089" i="6"/>
  <c r="T1089" i="6"/>
  <c r="B1090" i="6"/>
  <c r="C1090" i="6"/>
  <c r="D1090" i="6"/>
  <c r="E1090" i="6"/>
  <c r="F1090" i="6"/>
  <c r="G1090" i="6"/>
  <c r="H1090" i="6"/>
  <c r="I1090" i="6"/>
  <c r="J1090" i="6"/>
  <c r="K1090" i="6"/>
  <c r="L1090" i="6"/>
  <c r="M1090" i="6"/>
  <c r="N1090" i="6"/>
  <c r="O1090" i="6"/>
  <c r="P1090" i="6"/>
  <c r="Q1090" i="6"/>
  <c r="R1090" i="6"/>
  <c r="S1090" i="6"/>
  <c r="T1090" i="6"/>
  <c r="B1091" i="6"/>
  <c r="C1091" i="6"/>
  <c r="D1091" i="6"/>
  <c r="E1091" i="6"/>
  <c r="F1091" i="6"/>
  <c r="G1091" i="6"/>
  <c r="H1091" i="6"/>
  <c r="I1091" i="6"/>
  <c r="J1091" i="6"/>
  <c r="K1091" i="6"/>
  <c r="L1091" i="6"/>
  <c r="M1091" i="6"/>
  <c r="N1091" i="6"/>
  <c r="O1091" i="6"/>
  <c r="P1091" i="6"/>
  <c r="Q1091" i="6"/>
  <c r="R1091" i="6"/>
  <c r="S1091" i="6"/>
  <c r="T1091" i="6"/>
  <c r="B1092" i="6"/>
  <c r="C1092" i="6"/>
  <c r="D1092" i="6"/>
  <c r="E1092" i="6"/>
  <c r="F1092" i="6"/>
  <c r="G1092" i="6"/>
  <c r="H1092" i="6"/>
  <c r="I1092" i="6"/>
  <c r="J1092" i="6"/>
  <c r="K1092" i="6"/>
  <c r="L1092" i="6"/>
  <c r="M1092" i="6"/>
  <c r="N1092" i="6"/>
  <c r="O1092" i="6"/>
  <c r="P1092" i="6"/>
  <c r="Q1092" i="6"/>
  <c r="R1092" i="6"/>
  <c r="S1092" i="6"/>
  <c r="T1092" i="6"/>
  <c r="B1093" i="6"/>
  <c r="C1093" i="6"/>
  <c r="D1093" i="6"/>
  <c r="E1093" i="6"/>
  <c r="F1093" i="6"/>
  <c r="G1093" i="6"/>
  <c r="H1093" i="6"/>
  <c r="I1093" i="6"/>
  <c r="J1093" i="6"/>
  <c r="K1093" i="6"/>
  <c r="L1093" i="6"/>
  <c r="M1093" i="6"/>
  <c r="N1093" i="6"/>
  <c r="O1093" i="6"/>
  <c r="P1093" i="6"/>
  <c r="Q1093" i="6"/>
  <c r="R1093" i="6"/>
  <c r="S1093" i="6"/>
  <c r="T1093" i="6"/>
  <c r="A1094" i="6"/>
  <c r="B1094" i="6"/>
  <c r="C1094" i="6"/>
  <c r="D1094" i="6"/>
  <c r="E1094" i="6"/>
  <c r="F1094" i="6"/>
  <c r="G1094" i="6"/>
  <c r="H1094" i="6"/>
  <c r="I1094" i="6"/>
  <c r="J1094" i="6"/>
  <c r="K1094" i="6"/>
  <c r="L1094" i="6"/>
  <c r="M1094" i="6"/>
  <c r="N1094" i="6"/>
  <c r="O1094" i="6"/>
  <c r="P1094" i="6"/>
  <c r="Q1094" i="6"/>
  <c r="R1094" i="6"/>
  <c r="S1094" i="6"/>
  <c r="T1094" i="6"/>
  <c r="A1095" i="6"/>
  <c r="B1095" i="6"/>
  <c r="C1095" i="6"/>
  <c r="D1095" i="6"/>
  <c r="E1095" i="6"/>
  <c r="F1095" i="6"/>
  <c r="G1095" i="6"/>
  <c r="H1095" i="6"/>
  <c r="I1095" i="6"/>
  <c r="J1095" i="6"/>
  <c r="K1095" i="6"/>
  <c r="L1095" i="6"/>
  <c r="M1095" i="6"/>
  <c r="N1095" i="6"/>
  <c r="O1095" i="6"/>
  <c r="P1095" i="6"/>
  <c r="Q1095" i="6"/>
  <c r="R1095" i="6"/>
  <c r="S1095" i="6"/>
  <c r="T1095" i="6"/>
  <c r="A1096" i="6"/>
  <c r="B1096" i="6"/>
  <c r="C1096" i="6"/>
  <c r="D1096" i="6"/>
  <c r="E1096" i="6"/>
  <c r="F1096" i="6"/>
  <c r="G1096" i="6"/>
  <c r="H1096" i="6"/>
  <c r="I1096" i="6"/>
  <c r="J1096" i="6"/>
  <c r="K1096" i="6"/>
  <c r="L1096" i="6"/>
  <c r="M1096" i="6"/>
  <c r="N1096" i="6"/>
  <c r="O1096" i="6"/>
  <c r="P1096" i="6"/>
  <c r="Q1096" i="6"/>
  <c r="R1096" i="6"/>
  <c r="S1096" i="6"/>
  <c r="T1096" i="6"/>
  <c r="A1097" i="6"/>
  <c r="B1097" i="6"/>
  <c r="C1097" i="6"/>
  <c r="D1097" i="6"/>
  <c r="E1097" i="6"/>
  <c r="F1097" i="6"/>
  <c r="G1097" i="6"/>
  <c r="H1097" i="6"/>
  <c r="I1097" i="6"/>
  <c r="J1097" i="6"/>
  <c r="K1097" i="6"/>
  <c r="L1097" i="6"/>
  <c r="M1097" i="6"/>
  <c r="N1097" i="6"/>
  <c r="O1097" i="6"/>
  <c r="P1097" i="6"/>
  <c r="Q1097" i="6"/>
  <c r="R1097" i="6"/>
  <c r="S1097" i="6"/>
  <c r="T1097" i="6"/>
  <c r="A1098" i="6"/>
  <c r="B1098" i="6"/>
  <c r="C1098" i="6"/>
  <c r="D1098" i="6"/>
  <c r="E1098" i="6"/>
  <c r="F1098" i="6"/>
  <c r="G1098" i="6"/>
  <c r="H1098" i="6"/>
  <c r="I1098" i="6"/>
  <c r="J1098" i="6"/>
  <c r="K1098" i="6"/>
  <c r="L1098" i="6"/>
  <c r="M1098" i="6"/>
  <c r="N1098" i="6"/>
  <c r="O1098" i="6"/>
  <c r="P1098" i="6"/>
  <c r="Q1098" i="6"/>
  <c r="R1098" i="6"/>
  <c r="S1098" i="6"/>
  <c r="T1098" i="6"/>
  <c r="A1099" i="6"/>
  <c r="B1099" i="6"/>
  <c r="C1099" i="6"/>
  <c r="D1099" i="6"/>
  <c r="E1099" i="6"/>
  <c r="F1099" i="6"/>
  <c r="G1099" i="6"/>
  <c r="H1099" i="6"/>
  <c r="I1099" i="6"/>
  <c r="J1099" i="6"/>
  <c r="K1099" i="6"/>
  <c r="L1099" i="6"/>
  <c r="M1099" i="6"/>
  <c r="N1099" i="6"/>
  <c r="O1099" i="6"/>
  <c r="P1099" i="6"/>
  <c r="Q1099" i="6"/>
  <c r="R1099" i="6"/>
  <c r="S1099" i="6"/>
  <c r="T1099" i="6"/>
  <c r="A1100" i="6"/>
  <c r="B1100" i="6"/>
  <c r="C1100" i="6"/>
  <c r="D1100" i="6"/>
  <c r="E1100" i="6"/>
  <c r="F1100" i="6"/>
  <c r="G1100" i="6"/>
  <c r="H1100" i="6"/>
  <c r="I1100" i="6"/>
  <c r="J1100" i="6"/>
  <c r="K1100" i="6"/>
  <c r="L1100" i="6"/>
  <c r="M1100" i="6"/>
  <c r="N1100" i="6"/>
  <c r="O1100" i="6"/>
  <c r="P1100" i="6"/>
  <c r="Q1100" i="6"/>
  <c r="R1100" i="6"/>
  <c r="S1100" i="6"/>
  <c r="T1100" i="6"/>
  <c r="A1101" i="6"/>
  <c r="B1101" i="6"/>
  <c r="C1101" i="6"/>
  <c r="D1101" i="6"/>
  <c r="E1101" i="6"/>
  <c r="F1101" i="6"/>
  <c r="G1101" i="6"/>
  <c r="H1101" i="6"/>
  <c r="I1101" i="6"/>
  <c r="J1101" i="6"/>
  <c r="K1101" i="6"/>
  <c r="L1101" i="6"/>
  <c r="M1101" i="6"/>
  <c r="N1101" i="6"/>
  <c r="O1101" i="6"/>
  <c r="P1101" i="6"/>
  <c r="Q1101" i="6"/>
  <c r="R1101" i="6"/>
  <c r="S1101" i="6"/>
  <c r="T1101" i="6"/>
  <c r="A1102" i="6"/>
  <c r="B1102" i="6"/>
  <c r="C1102" i="6"/>
  <c r="D1102" i="6"/>
  <c r="E1102" i="6"/>
  <c r="F1102" i="6"/>
  <c r="G1102" i="6"/>
  <c r="H1102" i="6"/>
  <c r="I1102" i="6"/>
  <c r="J1102" i="6"/>
  <c r="K1102" i="6"/>
  <c r="L1102" i="6"/>
  <c r="M1102" i="6"/>
  <c r="N1102" i="6"/>
  <c r="O1102" i="6"/>
  <c r="P1102" i="6"/>
  <c r="Q1102" i="6"/>
  <c r="R1102" i="6"/>
  <c r="S1102" i="6"/>
  <c r="T1102" i="6"/>
  <c r="A1103" i="6"/>
  <c r="B1103" i="6"/>
  <c r="C1103" i="6"/>
  <c r="D1103" i="6"/>
  <c r="E1103" i="6"/>
  <c r="F1103" i="6"/>
  <c r="G1103" i="6"/>
  <c r="H1103" i="6"/>
  <c r="I1103" i="6"/>
  <c r="J1103" i="6"/>
  <c r="K1103" i="6"/>
  <c r="L1103" i="6"/>
  <c r="M1103" i="6"/>
  <c r="N1103" i="6"/>
  <c r="O1103" i="6"/>
  <c r="P1103" i="6"/>
  <c r="Q1103" i="6"/>
  <c r="R1103" i="6"/>
  <c r="S1103" i="6"/>
  <c r="T1103" i="6"/>
  <c r="A1104" i="6"/>
  <c r="B1104" i="6"/>
  <c r="C1104" i="6"/>
  <c r="D1104" i="6"/>
  <c r="E1104" i="6"/>
  <c r="F1104" i="6"/>
  <c r="G1104" i="6"/>
  <c r="H1104" i="6"/>
  <c r="I1104" i="6"/>
  <c r="J1104" i="6"/>
  <c r="K1104" i="6"/>
  <c r="L1104" i="6"/>
  <c r="M1104" i="6"/>
  <c r="N1104" i="6"/>
  <c r="O1104" i="6"/>
  <c r="P1104" i="6"/>
  <c r="Q1104" i="6"/>
  <c r="R1104" i="6"/>
  <c r="S1104" i="6"/>
  <c r="T1104" i="6"/>
  <c r="A1105" i="6"/>
  <c r="B1105" i="6"/>
  <c r="C1105" i="6"/>
  <c r="D1105" i="6"/>
  <c r="E1105" i="6"/>
  <c r="F1105" i="6"/>
  <c r="G1105" i="6"/>
  <c r="H1105" i="6"/>
  <c r="I1105" i="6"/>
  <c r="J1105" i="6"/>
  <c r="K1105" i="6"/>
  <c r="L1105" i="6"/>
  <c r="M1105" i="6"/>
  <c r="N1105" i="6"/>
  <c r="O1105" i="6"/>
  <c r="P1105" i="6"/>
  <c r="Q1105" i="6"/>
  <c r="R1105" i="6"/>
  <c r="S1105" i="6"/>
  <c r="T1105" i="6"/>
  <c r="A1106" i="6"/>
  <c r="B1106" i="6"/>
  <c r="C1106" i="6"/>
  <c r="D1106" i="6"/>
  <c r="E1106" i="6"/>
  <c r="F1106" i="6"/>
  <c r="G1106" i="6"/>
  <c r="H1106" i="6"/>
  <c r="I1106" i="6"/>
  <c r="J1106" i="6"/>
  <c r="K1106" i="6"/>
  <c r="L1106" i="6"/>
  <c r="M1106" i="6"/>
  <c r="N1106" i="6"/>
  <c r="O1106" i="6"/>
  <c r="P1106" i="6"/>
  <c r="Q1106" i="6"/>
  <c r="R1106" i="6"/>
  <c r="S1106" i="6"/>
  <c r="T1106" i="6"/>
  <c r="A1107" i="6"/>
  <c r="B1107" i="6"/>
  <c r="C1107" i="6"/>
  <c r="D1107" i="6"/>
  <c r="E1107" i="6"/>
  <c r="F1107" i="6"/>
  <c r="G1107" i="6"/>
  <c r="H1107" i="6"/>
  <c r="I1107" i="6"/>
  <c r="J1107" i="6"/>
  <c r="K1107" i="6"/>
  <c r="L1107" i="6"/>
  <c r="M1107" i="6"/>
  <c r="N1107" i="6"/>
  <c r="O1107" i="6"/>
  <c r="P1107" i="6"/>
  <c r="Q1107" i="6"/>
  <c r="R1107" i="6"/>
  <c r="S1107" i="6"/>
  <c r="T1107" i="6"/>
  <c r="A1108" i="6"/>
  <c r="B1108" i="6"/>
  <c r="C1108" i="6"/>
  <c r="D1108" i="6"/>
  <c r="E1108" i="6"/>
  <c r="F1108" i="6"/>
  <c r="G1108" i="6"/>
  <c r="H1108" i="6"/>
  <c r="I1108" i="6"/>
  <c r="J1108" i="6"/>
  <c r="K1108" i="6"/>
  <c r="L1108" i="6"/>
  <c r="M1108" i="6"/>
  <c r="N1108" i="6"/>
  <c r="O1108" i="6"/>
  <c r="P1108" i="6"/>
  <c r="Q1108" i="6"/>
  <c r="R1108" i="6"/>
  <c r="S1108" i="6"/>
  <c r="T1108" i="6"/>
  <c r="A1109" i="6"/>
  <c r="B1109" i="6"/>
  <c r="C1109" i="6"/>
  <c r="D1109" i="6"/>
  <c r="E1109" i="6"/>
  <c r="F1109" i="6"/>
  <c r="G1109" i="6"/>
  <c r="H1109" i="6"/>
  <c r="I1109" i="6"/>
  <c r="J1109" i="6"/>
  <c r="K1109" i="6"/>
  <c r="L1109" i="6"/>
  <c r="M1109" i="6"/>
  <c r="N1109" i="6"/>
  <c r="O1109" i="6"/>
  <c r="P1109" i="6"/>
  <c r="Q1109" i="6"/>
  <c r="R1109" i="6"/>
  <c r="S1109" i="6"/>
  <c r="T1109" i="6"/>
  <c r="A1110" i="6"/>
  <c r="B1110" i="6"/>
  <c r="C1110" i="6"/>
  <c r="D1110" i="6"/>
  <c r="E1110" i="6"/>
  <c r="F1110" i="6"/>
  <c r="G1110" i="6"/>
  <c r="H1110" i="6"/>
  <c r="I1110" i="6"/>
  <c r="J1110" i="6"/>
  <c r="K1110" i="6"/>
  <c r="L1110" i="6"/>
  <c r="M1110" i="6"/>
  <c r="N1110" i="6"/>
  <c r="O1110" i="6"/>
  <c r="P1110" i="6"/>
  <c r="Q1110" i="6"/>
  <c r="R1110" i="6"/>
  <c r="S1110" i="6"/>
  <c r="T1110" i="6"/>
  <c r="A1111" i="6"/>
  <c r="B1111" i="6"/>
  <c r="C1111" i="6"/>
  <c r="D1111" i="6"/>
  <c r="E1111" i="6"/>
  <c r="F1111" i="6"/>
  <c r="G1111" i="6"/>
  <c r="H1111" i="6"/>
  <c r="I1111" i="6"/>
  <c r="J1111" i="6"/>
  <c r="K1111" i="6"/>
  <c r="L1111" i="6"/>
  <c r="M1111" i="6"/>
  <c r="N1111" i="6"/>
  <c r="O1111" i="6"/>
  <c r="P1111" i="6"/>
  <c r="Q1111" i="6"/>
  <c r="R1111" i="6"/>
  <c r="S1111" i="6"/>
  <c r="T1111" i="6"/>
  <c r="A1112" i="6"/>
  <c r="B1112" i="6"/>
  <c r="C1112" i="6"/>
  <c r="D1112" i="6"/>
  <c r="E1112" i="6"/>
  <c r="F1112" i="6"/>
  <c r="G1112" i="6"/>
  <c r="H1112" i="6"/>
  <c r="I1112" i="6"/>
  <c r="J1112" i="6"/>
  <c r="K1112" i="6"/>
  <c r="L1112" i="6"/>
  <c r="M1112" i="6"/>
  <c r="N1112" i="6"/>
  <c r="O1112" i="6"/>
  <c r="P1112" i="6"/>
  <c r="Q1112" i="6"/>
  <c r="R1112" i="6"/>
  <c r="S1112" i="6"/>
  <c r="T1112" i="6"/>
  <c r="A1113" i="6"/>
  <c r="B1113" i="6"/>
  <c r="C1113" i="6"/>
  <c r="D1113" i="6"/>
  <c r="E1113" i="6"/>
  <c r="F1113" i="6"/>
  <c r="G1113" i="6"/>
  <c r="H1113" i="6"/>
  <c r="I1113" i="6"/>
  <c r="J1113" i="6"/>
  <c r="K1113" i="6"/>
  <c r="L1113" i="6"/>
  <c r="M1113" i="6"/>
  <c r="N1113" i="6"/>
  <c r="O1113" i="6"/>
  <c r="P1113" i="6"/>
  <c r="Q1113" i="6"/>
  <c r="R1113" i="6"/>
  <c r="S1113" i="6"/>
  <c r="T1113" i="6"/>
  <c r="A1114" i="6"/>
  <c r="B1114" i="6"/>
  <c r="C1114" i="6"/>
  <c r="D1114" i="6"/>
  <c r="E1114" i="6"/>
  <c r="F1114" i="6"/>
  <c r="G1114" i="6"/>
  <c r="H1114" i="6"/>
  <c r="I1114" i="6"/>
  <c r="J1114" i="6"/>
  <c r="K1114" i="6"/>
  <c r="L1114" i="6"/>
  <c r="M1114" i="6"/>
  <c r="N1114" i="6"/>
  <c r="O1114" i="6"/>
  <c r="P1114" i="6"/>
  <c r="Q1114" i="6"/>
  <c r="R1114" i="6"/>
  <c r="S1114" i="6"/>
  <c r="T1114" i="6"/>
  <c r="A1115" i="6"/>
  <c r="B1115" i="6"/>
  <c r="C1115" i="6"/>
  <c r="D1115" i="6"/>
  <c r="E1115" i="6"/>
  <c r="F1115" i="6"/>
  <c r="G1115" i="6"/>
  <c r="H1115" i="6"/>
  <c r="I1115" i="6"/>
  <c r="J1115" i="6"/>
  <c r="K1115" i="6"/>
  <c r="L1115" i="6"/>
  <c r="M1115" i="6"/>
  <c r="N1115" i="6"/>
  <c r="O1115" i="6"/>
  <c r="P1115" i="6"/>
  <c r="Q1115" i="6"/>
  <c r="R1115" i="6"/>
  <c r="S1115" i="6"/>
  <c r="T1115" i="6"/>
  <c r="A1116" i="6"/>
  <c r="B1116" i="6"/>
  <c r="C1116" i="6"/>
  <c r="D1116" i="6"/>
  <c r="E1116" i="6"/>
  <c r="F1116" i="6"/>
  <c r="G1116" i="6"/>
  <c r="H1116" i="6"/>
  <c r="I1116" i="6"/>
  <c r="J1116" i="6"/>
  <c r="K1116" i="6"/>
  <c r="L1116" i="6"/>
  <c r="M1116" i="6"/>
  <c r="N1116" i="6"/>
  <c r="O1116" i="6"/>
  <c r="P1116" i="6"/>
  <c r="Q1116" i="6"/>
  <c r="R1116" i="6"/>
  <c r="S1116" i="6"/>
  <c r="T1116" i="6"/>
  <c r="A1117" i="6"/>
  <c r="B1117" i="6"/>
  <c r="C1117" i="6"/>
  <c r="D1117" i="6"/>
  <c r="E1117" i="6"/>
  <c r="F1117" i="6"/>
  <c r="G1117" i="6"/>
  <c r="H1117" i="6"/>
  <c r="I1117" i="6"/>
  <c r="J1117" i="6"/>
  <c r="K1117" i="6"/>
  <c r="L1117" i="6"/>
  <c r="M1117" i="6"/>
  <c r="N1117" i="6"/>
  <c r="O1117" i="6"/>
  <c r="P1117" i="6"/>
  <c r="Q1117" i="6"/>
  <c r="R1117" i="6"/>
  <c r="S1117" i="6"/>
  <c r="T1117" i="6"/>
  <c r="A1118" i="6"/>
  <c r="B1118" i="6"/>
  <c r="C1118" i="6"/>
  <c r="D1118" i="6"/>
  <c r="E1118" i="6"/>
  <c r="F1118" i="6"/>
  <c r="G1118" i="6"/>
  <c r="H1118" i="6"/>
  <c r="I1118" i="6"/>
  <c r="J1118" i="6"/>
  <c r="K1118" i="6"/>
  <c r="M1118" i="6"/>
  <c r="N1118" i="6"/>
  <c r="O1118" i="6"/>
  <c r="P1118" i="6"/>
  <c r="Q1118" i="6"/>
  <c r="R1118" i="6"/>
  <c r="S1118" i="6"/>
  <c r="T1118" i="6"/>
  <c r="A1119" i="6"/>
  <c r="B1119" i="6"/>
  <c r="C1119" i="6"/>
  <c r="D1119" i="6"/>
  <c r="E1119" i="6"/>
  <c r="F1119" i="6"/>
  <c r="G1119" i="6"/>
  <c r="H1119" i="6"/>
  <c r="I1119" i="6"/>
  <c r="J1119" i="6"/>
  <c r="K1119" i="6"/>
  <c r="M1119" i="6"/>
  <c r="N1119" i="6"/>
  <c r="O1119" i="6"/>
  <c r="P1119" i="6"/>
  <c r="Q1119" i="6"/>
  <c r="R1119" i="6"/>
  <c r="S1119" i="6"/>
  <c r="T1119" i="6"/>
  <c r="A1120" i="6"/>
  <c r="B1120" i="6"/>
  <c r="C1120" i="6"/>
  <c r="D1120" i="6"/>
  <c r="E1120" i="6"/>
  <c r="F1120" i="6"/>
  <c r="G1120" i="6"/>
  <c r="H1120" i="6"/>
  <c r="I1120" i="6"/>
  <c r="J1120" i="6"/>
  <c r="K1120" i="6"/>
  <c r="M1120" i="6"/>
  <c r="N1120" i="6"/>
  <c r="O1120" i="6"/>
  <c r="P1120" i="6"/>
  <c r="Q1120" i="6"/>
  <c r="R1120" i="6"/>
  <c r="S1120" i="6"/>
  <c r="T1120" i="6"/>
  <c r="A1121" i="6"/>
  <c r="B1121" i="6"/>
  <c r="C1121" i="6"/>
  <c r="D1121" i="6"/>
  <c r="E1121" i="6"/>
  <c r="F1121" i="6"/>
  <c r="G1121" i="6"/>
  <c r="H1121" i="6"/>
  <c r="I1121" i="6"/>
  <c r="J1121" i="6"/>
  <c r="K1121" i="6"/>
  <c r="M1121" i="6"/>
  <c r="N1121" i="6"/>
  <c r="O1121" i="6"/>
  <c r="P1121" i="6"/>
  <c r="Q1121" i="6"/>
  <c r="R1121" i="6"/>
  <c r="S1121" i="6"/>
  <c r="T1121" i="6"/>
  <c r="A1122" i="6"/>
  <c r="B1122" i="6"/>
  <c r="C1122" i="6"/>
  <c r="D1122" i="6"/>
  <c r="E1122" i="6"/>
  <c r="F1122" i="6"/>
  <c r="G1122" i="6"/>
  <c r="H1122" i="6"/>
  <c r="I1122" i="6"/>
  <c r="J1122" i="6"/>
  <c r="K1122" i="6"/>
  <c r="L1122" i="6"/>
  <c r="M1122" i="6"/>
  <c r="N1122" i="6"/>
  <c r="O1122" i="6"/>
  <c r="P1122" i="6"/>
  <c r="Q1122" i="6"/>
  <c r="R1122" i="6"/>
  <c r="S1122" i="6"/>
  <c r="T1122" i="6"/>
  <c r="A1123" i="6"/>
  <c r="B1123" i="6"/>
  <c r="C1123" i="6"/>
  <c r="D1123" i="6"/>
  <c r="E1123" i="6"/>
  <c r="F1123" i="6"/>
  <c r="G1123" i="6"/>
  <c r="H1123" i="6"/>
  <c r="I1123" i="6"/>
  <c r="J1123" i="6"/>
  <c r="K1123" i="6"/>
  <c r="L1123" i="6"/>
  <c r="M1123" i="6"/>
  <c r="N1123" i="6"/>
  <c r="O1123" i="6"/>
  <c r="P1123" i="6"/>
  <c r="Q1123" i="6"/>
  <c r="R1123" i="6"/>
  <c r="S1123" i="6"/>
  <c r="T1123" i="6"/>
  <c r="A1124" i="6"/>
  <c r="B1124" i="6"/>
  <c r="C1124" i="6"/>
  <c r="D1124" i="6"/>
  <c r="E1124" i="6"/>
  <c r="F1124" i="6"/>
  <c r="G1124" i="6"/>
  <c r="H1124" i="6"/>
  <c r="I1124" i="6"/>
  <c r="J1124" i="6"/>
  <c r="K1124" i="6"/>
  <c r="M1124" i="6"/>
  <c r="N1124" i="6"/>
  <c r="O1124" i="6"/>
  <c r="P1124" i="6"/>
  <c r="Q1124" i="6"/>
  <c r="R1124" i="6"/>
  <c r="S1124" i="6"/>
  <c r="T1124" i="6"/>
  <c r="A1125" i="6"/>
  <c r="B1125" i="6"/>
  <c r="C1125" i="6"/>
  <c r="D1125" i="6"/>
  <c r="E1125" i="6"/>
  <c r="F1125" i="6"/>
  <c r="G1125" i="6"/>
  <c r="H1125" i="6"/>
  <c r="I1125" i="6"/>
  <c r="J1125" i="6"/>
  <c r="K1125" i="6"/>
  <c r="M1125" i="6"/>
  <c r="N1125" i="6"/>
  <c r="O1125" i="6"/>
  <c r="P1125" i="6"/>
  <c r="Q1125" i="6"/>
  <c r="R1125" i="6"/>
  <c r="S1125" i="6"/>
  <c r="T1125" i="6"/>
  <c r="A1126" i="6"/>
  <c r="B1126" i="6"/>
  <c r="C1126" i="6"/>
  <c r="D1126" i="6"/>
  <c r="E1126" i="6"/>
  <c r="F1126" i="6"/>
  <c r="G1126" i="6"/>
  <c r="H1126" i="6"/>
  <c r="I1126" i="6"/>
  <c r="J1126" i="6"/>
  <c r="K1126" i="6"/>
  <c r="L1126" i="6"/>
  <c r="M1126" i="6"/>
  <c r="N1126" i="6"/>
  <c r="O1126" i="6"/>
  <c r="P1126" i="6"/>
  <c r="Q1126" i="6"/>
  <c r="R1126" i="6"/>
  <c r="S1126" i="6"/>
  <c r="T1126" i="6"/>
  <c r="A1127" i="6"/>
  <c r="B1127" i="6"/>
  <c r="C1127" i="6"/>
  <c r="D1127" i="6"/>
  <c r="E1127" i="6"/>
  <c r="F1127" i="6"/>
  <c r="G1127" i="6"/>
  <c r="H1127" i="6"/>
  <c r="I1127" i="6"/>
  <c r="J1127" i="6"/>
  <c r="K1127" i="6"/>
  <c r="L1127" i="6"/>
  <c r="M1127" i="6"/>
  <c r="N1127" i="6"/>
  <c r="O1127" i="6"/>
  <c r="P1127" i="6"/>
  <c r="Q1127" i="6"/>
  <c r="R1127" i="6"/>
  <c r="S1127" i="6"/>
  <c r="T1127" i="6"/>
  <c r="A1128" i="6"/>
  <c r="B1128" i="6"/>
  <c r="C1128" i="6"/>
  <c r="D1128" i="6"/>
  <c r="E1128" i="6"/>
  <c r="F1128" i="6"/>
  <c r="G1128" i="6"/>
  <c r="H1128" i="6"/>
  <c r="I1128" i="6"/>
  <c r="J1128" i="6"/>
  <c r="K1128" i="6"/>
  <c r="L1128" i="6"/>
  <c r="M1128" i="6"/>
  <c r="N1128" i="6"/>
  <c r="O1128" i="6"/>
  <c r="P1128" i="6"/>
  <c r="Q1128" i="6"/>
  <c r="R1128" i="6"/>
  <c r="S1128" i="6"/>
  <c r="T1128" i="6"/>
  <c r="A1129" i="6"/>
  <c r="B1129" i="6"/>
  <c r="C1129" i="6"/>
  <c r="D1129" i="6"/>
  <c r="E1129" i="6"/>
  <c r="F1129" i="6"/>
  <c r="G1129" i="6"/>
  <c r="H1129" i="6"/>
  <c r="I1129" i="6"/>
  <c r="J1129" i="6"/>
  <c r="K1129" i="6"/>
  <c r="L1129" i="6"/>
  <c r="M1129" i="6"/>
  <c r="N1129" i="6"/>
  <c r="O1129" i="6"/>
  <c r="P1129" i="6"/>
  <c r="Q1129" i="6"/>
  <c r="R1129" i="6"/>
  <c r="S1129" i="6"/>
  <c r="T1129" i="6"/>
  <c r="A1130" i="6"/>
  <c r="B1130" i="6"/>
  <c r="C1130" i="6"/>
  <c r="D1130" i="6"/>
  <c r="E1130" i="6"/>
  <c r="F1130" i="6"/>
  <c r="G1130" i="6"/>
  <c r="H1130" i="6"/>
  <c r="I1130" i="6"/>
  <c r="J1130" i="6"/>
  <c r="K1130" i="6"/>
  <c r="L1130" i="6"/>
  <c r="M1130" i="6"/>
  <c r="N1130" i="6"/>
  <c r="O1130" i="6"/>
  <c r="P1130" i="6"/>
  <c r="Q1130" i="6"/>
  <c r="R1130" i="6"/>
  <c r="S1130" i="6"/>
  <c r="T1130" i="6"/>
  <c r="A1131" i="6"/>
  <c r="B1131" i="6"/>
  <c r="C1131" i="6"/>
  <c r="D1131" i="6"/>
  <c r="E1131" i="6"/>
  <c r="F1131" i="6"/>
  <c r="G1131" i="6"/>
  <c r="H1131" i="6"/>
  <c r="I1131" i="6"/>
  <c r="J1131" i="6"/>
  <c r="K1131" i="6"/>
  <c r="L1131" i="6"/>
  <c r="M1131" i="6"/>
  <c r="N1131" i="6"/>
  <c r="O1131" i="6"/>
  <c r="P1131" i="6"/>
  <c r="Q1131" i="6"/>
  <c r="R1131" i="6"/>
  <c r="S1131" i="6"/>
  <c r="T1131" i="6"/>
  <c r="A1132" i="6"/>
  <c r="B1132" i="6"/>
  <c r="C1132" i="6"/>
  <c r="D1132" i="6"/>
  <c r="E1132" i="6"/>
  <c r="F1132" i="6"/>
  <c r="G1132" i="6"/>
  <c r="H1132" i="6"/>
  <c r="I1132" i="6"/>
  <c r="J1132" i="6"/>
  <c r="K1132" i="6"/>
  <c r="L1132" i="6"/>
  <c r="M1132" i="6"/>
  <c r="N1132" i="6"/>
  <c r="O1132" i="6"/>
  <c r="P1132" i="6"/>
  <c r="Q1132" i="6"/>
  <c r="R1132" i="6"/>
  <c r="S1132" i="6"/>
  <c r="T1132" i="6"/>
  <c r="A1133" i="6"/>
  <c r="B1133" i="6"/>
  <c r="C1133" i="6"/>
  <c r="D1133" i="6"/>
  <c r="E1133" i="6"/>
  <c r="F1133" i="6"/>
  <c r="G1133" i="6"/>
  <c r="H1133" i="6"/>
  <c r="I1133" i="6"/>
  <c r="J1133" i="6"/>
  <c r="K1133" i="6"/>
  <c r="L1133" i="6"/>
  <c r="M1133" i="6"/>
  <c r="N1133" i="6"/>
  <c r="O1133" i="6"/>
  <c r="P1133" i="6"/>
  <c r="Q1133" i="6"/>
  <c r="R1133" i="6"/>
  <c r="S1133" i="6"/>
  <c r="T1133" i="6"/>
  <c r="A1134" i="6"/>
  <c r="B1134" i="6"/>
  <c r="C1134" i="6"/>
  <c r="D1134" i="6"/>
  <c r="E1134" i="6"/>
  <c r="F1134" i="6"/>
  <c r="G1134" i="6"/>
  <c r="H1134" i="6"/>
  <c r="I1134" i="6"/>
  <c r="J1134" i="6"/>
  <c r="K1134" i="6"/>
  <c r="M1134" i="6"/>
  <c r="N1134" i="6"/>
  <c r="O1134" i="6"/>
  <c r="P1134" i="6"/>
  <c r="Q1134" i="6"/>
  <c r="R1134" i="6"/>
  <c r="S1134" i="6"/>
  <c r="T1134" i="6"/>
  <c r="A1135" i="6"/>
  <c r="B1135" i="6"/>
  <c r="C1135" i="6"/>
  <c r="D1135" i="6"/>
  <c r="E1135" i="6"/>
  <c r="F1135" i="6"/>
  <c r="G1135" i="6"/>
  <c r="H1135" i="6"/>
  <c r="I1135" i="6"/>
  <c r="J1135" i="6"/>
  <c r="K1135" i="6"/>
  <c r="M1135" i="6"/>
  <c r="N1135" i="6"/>
  <c r="O1135" i="6"/>
  <c r="P1135" i="6"/>
  <c r="Q1135" i="6"/>
  <c r="R1135" i="6"/>
  <c r="S1135" i="6"/>
  <c r="T1135" i="6"/>
  <c r="A1136" i="6"/>
  <c r="B1136" i="6"/>
  <c r="C1136" i="6"/>
  <c r="D1136" i="6"/>
  <c r="E1136" i="6"/>
  <c r="F1136" i="6"/>
  <c r="G1136" i="6"/>
  <c r="H1136" i="6"/>
  <c r="I1136" i="6"/>
  <c r="J1136" i="6"/>
  <c r="K1136" i="6"/>
  <c r="L1136" i="6"/>
  <c r="M1136" i="6"/>
  <c r="N1136" i="6"/>
  <c r="O1136" i="6"/>
  <c r="P1136" i="6"/>
  <c r="Q1136" i="6"/>
  <c r="R1136" i="6"/>
  <c r="S1136" i="6"/>
  <c r="T1136" i="6"/>
  <c r="A1137" i="6"/>
  <c r="B1137" i="6"/>
  <c r="C1137" i="6"/>
  <c r="D1137" i="6"/>
  <c r="E1137" i="6"/>
  <c r="F1137" i="6"/>
  <c r="G1137" i="6"/>
  <c r="H1137" i="6"/>
  <c r="I1137" i="6"/>
  <c r="J1137" i="6"/>
  <c r="K1137" i="6"/>
  <c r="L1137" i="6"/>
  <c r="M1137" i="6"/>
  <c r="N1137" i="6"/>
  <c r="O1137" i="6"/>
  <c r="P1137" i="6"/>
  <c r="Q1137" i="6"/>
  <c r="R1137" i="6"/>
  <c r="S1137" i="6"/>
  <c r="T1137" i="6"/>
  <c r="A1138" i="6"/>
  <c r="B1138" i="6"/>
  <c r="C1138" i="6"/>
  <c r="D1138" i="6"/>
  <c r="E1138" i="6"/>
  <c r="F1138" i="6"/>
  <c r="G1138" i="6"/>
  <c r="H1138" i="6"/>
  <c r="I1138" i="6"/>
  <c r="J1138" i="6"/>
  <c r="K1138" i="6"/>
  <c r="L1138" i="6"/>
  <c r="M1138" i="6"/>
  <c r="N1138" i="6"/>
  <c r="O1138" i="6"/>
  <c r="P1138" i="6"/>
  <c r="Q1138" i="6"/>
  <c r="R1138" i="6"/>
  <c r="S1138" i="6"/>
  <c r="T1138" i="6"/>
  <c r="A1139" i="6"/>
  <c r="B1139" i="6"/>
  <c r="C1139" i="6"/>
  <c r="D1139" i="6"/>
  <c r="E1139" i="6"/>
  <c r="F1139" i="6"/>
  <c r="G1139" i="6"/>
  <c r="H1139" i="6"/>
  <c r="I1139" i="6"/>
  <c r="J1139" i="6"/>
  <c r="K1139" i="6"/>
  <c r="L1139" i="6"/>
  <c r="M1139" i="6"/>
  <c r="N1139" i="6"/>
  <c r="O1139" i="6"/>
  <c r="P1139" i="6"/>
  <c r="Q1139" i="6"/>
  <c r="R1139" i="6"/>
  <c r="S1139" i="6"/>
  <c r="T1139" i="6"/>
  <c r="A1140" i="6"/>
  <c r="B1140" i="6"/>
  <c r="C1140" i="6"/>
  <c r="D1140" i="6"/>
  <c r="E1140" i="6"/>
  <c r="F1140" i="6"/>
  <c r="G1140" i="6"/>
  <c r="H1140" i="6"/>
  <c r="I1140" i="6"/>
  <c r="J1140" i="6"/>
  <c r="K1140" i="6"/>
  <c r="L1140" i="6"/>
  <c r="M1140" i="6"/>
  <c r="N1140" i="6"/>
  <c r="O1140" i="6"/>
  <c r="P1140" i="6"/>
  <c r="Q1140" i="6"/>
  <c r="R1140" i="6"/>
  <c r="S1140" i="6"/>
  <c r="T1140" i="6"/>
  <c r="A1141" i="6"/>
  <c r="B1141" i="6"/>
  <c r="C1141" i="6"/>
  <c r="D1141" i="6"/>
  <c r="E1141" i="6"/>
  <c r="F1141" i="6"/>
  <c r="G1141" i="6"/>
  <c r="H1141" i="6"/>
  <c r="I1141" i="6"/>
  <c r="J1141" i="6"/>
  <c r="K1141" i="6"/>
  <c r="L1141" i="6"/>
  <c r="M1141" i="6"/>
  <c r="N1141" i="6"/>
  <c r="O1141" i="6"/>
  <c r="P1141" i="6"/>
  <c r="Q1141" i="6"/>
  <c r="R1141" i="6"/>
  <c r="S1141" i="6"/>
  <c r="T1141" i="6"/>
  <c r="A1142" i="6"/>
  <c r="B1142" i="6"/>
  <c r="C1142" i="6"/>
  <c r="D1142" i="6"/>
  <c r="E1142" i="6"/>
  <c r="F1142" i="6"/>
  <c r="G1142" i="6"/>
  <c r="H1142" i="6"/>
  <c r="I1142" i="6"/>
  <c r="J1142" i="6"/>
  <c r="K1142" i="6"/>
  <c r="L1142" i="6"/>
  <c r="M1142" i="6"/>
  <c r="N1142" i="6"/>
  <c r="O1142" i="6"/>
  <c r="P1142" i="6"/>
  <c r="Q1142" i="6"/>
  <c r="R1142" i="6"/>
  <c r="S1142" i="6"/>
  <c r="T1142" i="6"/>
  <c r="A1143" i="6"/>
  <c r="B1143" i="6"/>
  <c r="C1143" i="6"/>
  <c r="D1143" i="6"/>
  <c r="E1143" i="6"/>
  <c r="F1143" i="6"/>
  <c r="G1143" i="6"/>
  <c r="H1143" i="6"/>
  <c r="I1143" i="6"/>
  <c r="J1143" i="6"/>
  <c r="K1143" i="6"/>
  <c r="L1143" i="6"/>
  <c r="M1143" i="6"/>
  <c r="N1143" i="6"/>
  <c r="O1143" i="6"/>
  <c r="P1143" i="6"/>
  <c r="Q1143" i="6"/>
  <c r="R1143" i="6"/>
  <c r="S1143" i="6"/>
  <c r="T1143" i="6"/>
  <c r="A1144" i="6"/>
  <c r="B1144" i="6"/>
  <c r="C1144" i="6"/>
  <c r="D1144" i="6"/>
  <c r="E1144" i="6"/>
  <c r="F1144" i="6"/>
  <c r="G1144" i="6"/>
  <c r="H1144" i="6"/>
  <c r="I1144" i="6"/>
  <c r="J1144" i="6"/>
  <c r="K1144" i="6"/>
  <c r="L1144" i="6"/>
  <c r="M1144" i="6"/>
  <c r="N1144" i="6"/>
  <c r="O1144" i="6"/>
  <c r="P1144" i="6"/>
  <c r="Q1144" i="6"/>
  <c r="R1144" i="6"/>
  <c r="S1144" i="6"/>
  <c r="T1144" i="6"/>
  <c r="A1145" i="6"/>
  <c r="B1145" i="6"/>
  <c r="C1145" i="6"/>
  <c r="D1145" i="6"/>
  <c r="E1145" i="6"/>
  <c r="F1145" i="6"/>
  <c r="G1145" i="6"/>
  <c r="H1145" i="6"/>
  <c r="I1145" i="6"/>
  <c r="J1145" i="6"/>
  <c r="K1145" i="6"/>
  <c r="L1145" i="6"/>
  <c r="M1145" i="6"/>
  <c r="N1145" i="6"/>
  <c r="O1145" i="6"/>
  <c r="P1145" i="6"/>
  <c r="Q1145" i="6"/>
  <c r="R1145" i="6"/>
  <c r="S1145" i="6"/>
  <c r="T1145" i="6"/>
  <c r="A1146" i="6"/>
  <c r="B1146" i="6"/>
  <c r="C1146" i="6"/>
  <c r="D1146" i="6"/>
  <c r="E1146" i="6"/>
  <c r="F1146" i="6"/>
  <c r="G1146" i="6"/>
  <c r="H1146" i="6"/>
  <c r="I1146" i="6"/>
  <c r="J1146" i="6"/>
  <c r="K1146" i="6"/>
  <c r="L1146" i="6"/>
  <c r="M1146" i="6"/>
  <c r="N1146" i="6"/>
  <c r="O1146" i="6"/>
  <c r="P1146" i="6"/>
  <c r="Q1146" i="6"/>
  <c r="R1146" i="6"/>
  <c r="S1146" i="6"/>
  <c r="T1146" i="6"/>
  <c r="A1147" i="6"/>
  <c r="B1147" i="6"/>
  <c r="C1147" i="6"/>
  <c r="D1147" i="6"/>
  <c r="E1147" i="6"/>
  <c r="F1147" i="6"/>
  <c r="G1147" i="6"/>
  <c r="H1147" i="6"/>
  <c r="I1147" i="6"/>
  <c r="J1147" i="6"/>
  <c r="K1147" i="6"/>
  <c r="L1147" i="6"/>
  <c r="M1147" i="6"/>
  <c r="N1147" i="6"/>
  <c r="O1147" i="6"/>
  <c r="P1147" i="6"/>
  <c r="Q1147" i="6"/>
  <c r="R1147" i="6"/>
  <c r="S1147" i="6"/>
  <c r="T1147" i="6"/>
  <c r="A1148" i="6"/>
  <c r="B1148" i="6"/>
  <c r="C1148" i="6"/>
  <c r="D1148" i="6"/>
  <c r="E1148" i="6"/>
  <c r="F1148" i="6"/>
  <c r="G1148" i="6"/>
  <c r="H1148" i="6"/>
  <c r="I1148" i="6"/>
  <c r="J1148" i="6"/>
  <c r="K1148" i="6"/>
  <c r="L1148" i="6"/>
  <c r="M1148" i="6"/>
  <c r="N1148" i="6"/>
  <c r="O1148" i="6"/>
  <c r="P1148" i="6"/>
  <c r="Q1148" i="6"/>
  <c r="R1148" i="6"/>
  <c r="S1148" i="6"/>
  <c r="T1148" i="6"/>
  <c r="A1149" i="6"/>
  <c r="B1149" i="6"/>
  <c r="C1149" i="6"/>
  <c r="D1149" i="6"/>
  <c r="E1149" i="6"/>
  <c r="F1149" i="6"/>
  <c r="G1149" i="6"/>
  <c r="H1149" i="6"/>
  <c r="I1149" i="6"/>
  <c r="J1149" i="6"/>
  <c r="K1149" i="6"/>
  <c r="L1149" i="6"/>
  <c r="M1149" i="6"/>
  <c r="N1149" i="6"/>
  <c r="O1149" i="6"/>
  <c r="P1149" i="6"/>
  <c r="Q1149" i="6"/>
  <c r="R1149" i="6"/>
  <c r="S1149" i="6"/>
  <c r="T1149" i="6"/>
  <c r="A1150" i="6"/>
  <c r="B1150" i="6"/>
  <c r="C1150" i="6"/>
  <c r="D1150" i="6"/>
  <c r="E1150" i="6"/>
  <c r="F1150" i="6"/>
  <c r="G1150" i="6"/>
  <c r="H1150" i="6"/>
  <c r="I1150" i="6"/>
  <c r="J1150" i="6"/>
  <c r="K1150" i="6"/>
  <c r="L1150" i="6"/>
  <c r="M1150" i="6"/>
  <c r="N1150" i="6"/>
  <c r="O1150" i="6"/>
  <c r="P1150" i="6"/>
  <c r="Q1150" i="6"/>
  <c r="R1150" i="6"/>
  <c r="S1150" i="6"/>
  <c r="T1150" i="6"/>
  <c r="A1151" i="6"/>
  <c r="B1151" i="6"/>
  <c r="C1151" i="6"/>
  <c r="D1151" i="6"/>
  <c r="E1151" i="6"/>
  <c r="F1151" i="6"/>
  <c r="G1151" i="6"/>
  <c r="H1151" i="6"/>
  <c r="I1151" i="6"/>
  <c r="J1151" i="6"/>
  <c r="K1151" i="6"/>
  <c r="L1151" i="6"/>
  <c r="M1151" i="6"/>
  <c r="N1151" i="6"/>
  <c r="O1151" i="6"/>
  <c r="P1151" i="6"/>
  <c r="Q1151" i="6"/>
  <c r="R1151" i="6"/>
  <c r="S1151" i="6"/>
  <c r="T1151" i="6"/>
  <c r="A1152" i="6"/>
  <c r="B1152" i="6"/>
  <c r="C1152" i="6"/>
  <c r="D1152" i="6"/>
  <c r="E1152" i="6"/>
  <c r="F1152" i="6"/>
  <c r="G1152" i="6"/>
  <c r="H1152" i="6"/>
  <c r="I1152" i="6"/>
  <c r="J1152" i="6"/>
  <c r="K1152" i="6"/>
  <c r="L1152" i="6"/>
  <c r="M1152" i="6"/>
  <c r="N1152" i="6"/>
  <c r="O1152" i="6"/>
  <c r="P1152" i="6"/>
  <c r="Q1152" i="6"/>
  <c r="R1152" i="6"/>
  <c r="S1152" i="6"/>
  <c r="T1152" i="6"/>
  <c r="A1153" i="6"/>
  <c r="B1153" i="6"/>
  <c r="C1153" i="6"/>
  <c r="D1153" i="6"/>
  <c r="E1153" i="6"/>
  <c r="F1153" i="6"/>
  <c r="G1153" i="6"/>
  <c r="H1153" i="6"/>
  <c r="I1153" i="6"/>
  <c r="J1153" i="6"/>
  <c r="K1153" i="6"/>
  <c r="M1153" i="6"/>
  <c r="N1153" i="6"/>
  <c r="O1153" i="6"/>
  <c r="P1153" i="6"/>
  <c r="Q1153" i="6"/>
  <c r="R1153" i="6"/>
  <c r="S1153" i="6"/>
  <c r="T1153" i="6"/>
  <c r="A1154" i="6"/>
  <c r="B1154" i="6"/>
  <c r="C1154" i="6"/>
  <c r="D1154" i="6"/>
  <c r="E1154" i="6"/>
  <c r="F1154" i="6"/>
  <c r="G1154" i="6"/>
  <c r="H1154" i="6"/>
  <c r="I1154" i="6"/>
  <c r="J1154" i="6"/>
  <c r="K1154" i="6"/>
  <c r="M1154" i="6"/>
  <c r="N1154" i="6"/>
  <c r="O1154" i="6"/>
  <c r="P1154" i="6"/>
  <c r="R1154" i="6"/>
  <c r="T1154" i="6"/>
  <c r="A1155" i="6"/>
  <c r="B1155" i="6"/>
  <c r="C1155" i="6"/>
  <c r="D1155" i="6"/>
  <c r="E1155" i="6"/>
  <c r="F1155" i="6"/>
  <c r="G1155" i="6"/>
  <c r="H1155" i="6"/>
  <c r="I1155" i="6"/>
  <c r="J1155" i="6"/>
  <c r="K1155" i="6"/>
  <c r="M1155" i="6"/>
  <c r="N1155" i="6"/>
  <c r="O1155" i="6"/>
  <c r="P1155" i="6"/>
  <c r="R1155" i="6"/>
  <c r="T1155" i="6"/>
  <c r="A1156" i="6"/>
  <c r="B1156" i="6"/>
  <c r="C1156" i="6"/>
  <c r="D1156" i="6"/>
  <c r="E1156" i="6"/>
  <c r="F1156" i="6"/>
  <c r="G1156" i="6"/>
  <c r="H1156" i="6"/>
  <c r="I1156" i="6"/>
  <c r="J1156" i="6"/>
  <c r="K1156" i="6"/>
  <c r="M1156" i="6"/>
  <c r="N1156" i="6"/>
  <c r="O1156" i="6"/>
  <c r="P1156" i="6"/>
  <c r="R1156" i="6"/>
  <c r="T1156" i="6"/>
  <c r="C9" i="5"/>
  <c r="E9" i="5"/>
  <c r="B23" i="5"/>
  <c r="C23" i="5"/>
  <c r="D23" i="5"/>
  <c r="E23" i="5"/>
  <c r="F23" i="5"/>
  <c r="G23" i="5"/>
  <c r="H23" i="5"/>
  <c r="I23" i="5"/>
  <c r="J23" i="5"/>
  <c r="L23" i="5"/>
  <c r="M23" i="5"/>
  <c r="AC23" i="5" s="1"/>
  <c r="N23" i="5"/>
  <c r="O23" i="5"/>
  <c r="P23" i="5"/>
  <c r="Q23" i="5"/>
  <c r="R23" i="5"/>
  <c r="S23" i="5"/>
  <c r="T23" i="5"/>
  <c r="U23" i="5"/>
  <c r="V23" i="5"/>
  <c r="W23" i="5"/>
  <c r="Y23" i="5"/>
  <c r="Z23" i="5"/>
  <c r="AA23" i="5"/>
  <c r="B24" i="5"/>
  <c r="C24" i="5"/>
  <c r="D24" i="5"/>
  <c r="E24" i="5"/>
  <c r="F24" i="5"/>
  <c r="G24" i="5"/>
  <c r="H24" i="5"/>
  <c r="I24" i="5"/>
  <c r="J24" i="5"/>
  <c r="L24" i="5"/>
  <c r="M24" i="5"/>
  <c r="AC24" i="5" s="1"/>
  <c r="N24" i="5"/>
  <c r="O24" i="5"/>
  <c r="P24" i="5"/>
  <c r="Q24" i="5"/>
  <c r="R24" i="5"/>
  <c r="S24" i="5"/>
  <c r="T24" i="5"/>
  <c r="U24" i="5"/>
  <c r="V24" i="5"/>
  <c r="W24" i="5"/>
  <c r="Y24" i="5"/>
  <c r="Z24" i="5"/>
  <c r="AA24" i="5"/>
  <c r="B25" i="5"/>
  <c r="C25" i="5"/>
  <c r="D25" i="5"/>
  <c r="E25" i="5"/>
  <c r="F25" i="5"/>
  <c r="G25" i="5"/>
  <c r="H25" i="5"/>
  <c r="I25" i="5"/>
  <c r="J25" i="5"/>
  <c r="L25" i="5"/>
  <c r="M25" i="5"/>
  <c r="N25" i="5"/>
  <c r="O25" i="5"/>
  <c r="P25" i="5"/>
  <c r="Q25" i="5"/>
  <c r="R25" i="5"/>
  <c r="S25" i="5"/>
  <c r="T25" i="5"/>
  <c r="U25" i="5"/>
  <c r="V25" i="5"/>
  <c r="W25" i="5"/>
  <c r="Y25" i="5"/>
  <c r="Z25" i="5"/>
  <c r="AA25" i="5"/>
  <c r="AC25" i="5"/>
  <c r="B26" i="5"/>
  <c r="C26" i="5"/>
  <c r="D26" i="5"/>
  <c r="E26" i="5"/>
  <c r="F26" i="5"/>
  <c r="G26" i="5"/>
  <c r="H26" i="5"/>
  <c r="I26" i="5"/>
  <c r="J26" i="5"/>
  <c r="L26" i="5"/>
  <c r="M26" i="5"/>
  <c r="N26" i="5"/>
  <c r="O26" i="5"/>
  <c r="P26" i="5"/>
  <c r="Q26" i="5"/>
  <c r="R26" i="5"/>
  <c r="S26" i="5"/>
  <c r="T26" i="5"/>
  <c r="U26" i="5"/>
  <c r="V26" i="5"/>
  <c r="W26" i="5"/>
  <c r="Y26" i="5"/>
  <c r="Z26" i="5"/>
  <c r="AA26" i="5"/>
  <c r="AC26" i="5"/>
  <c r="B27" i="5"/>
  <c r="C27" i="5"/>
  <c r="D27" i="5"/>
  <c r="E27" i="5"/>
  <c r="F27" i="5"/>
  <c r="G27" i="5"/>
  <c r="H27" i="5"/>
  <c r="I27" i="5"/>
  <c r="J27" i="5"/>
  <c r="L27" i="5"/>
  <c r="M27" i="5"/>
  <c r="AC27" i="5" s="1"/>
  <c r="N27" i="5"/>
  <c r="O27" i="5"/>
  <c r="P27" i="5"/>
  <c r="Q27" i="5"/>
  <c r="R27" i="5"/>
  <c r="S27" i="5"/>
  <c r="T27" i="5"/>
  <c r="U27" i="5"/>
  <c r="V27" i="5"/>
  <c r="W27" i="5"/>
  <c r="Y27" i="5"/>
  <c r="Z27" i="5"/>
  <c r="AA27" i="5"/>
  <c r="B28" i="5"/>
  <c r="C28" i="5"/>
  <c r="D28" i="5"/>
  <c r="E28" i="5"/>
  <c r="F28" i="5"/>
  <c r="G28" i="5"/>
  <c r="H28" i="5"/>
  <c r="I28" i="5"/>
  <c r="J28" i="5"/>
  <c r="L28" i="5"/>
  <c r="M28" i="5"/>
  <c r="AC28" i="5" s="1"/>
  <c r="N28" i="5"/>
  <c r="O28" i="5"/>
  <c r="P28" i="5"/>
  <c r="Q28" i="5"/>
  <c r="R28" i="5"/>
  <c r="S28" i="5"/>
  <c r="T28" i="5"/>
  <c r="U28" i="5"/>
  <c r="V28" i="5"/>
  <c r="W28" i="5"/>
  <c r="X28" i="5"/>
  <c r="Z28" i="5"/>
  <c r="AA28" i="5"/>
  <c r="B29" i="5"/>
  <c r="C29" i="5"/>
  <c r="D29" i="5"/>
  <c r="E29" i="5"/>
  <c r="F29" i="5"/>
  <c r="G29" i="5"/>
  <c r="H29" i="5"/>
  <c r="I29" i="5"/>
  <c r="J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Z29" i="5"/>
  <c r="AA29" i="5"/>
  <c r="AC29" i="5"/>
  <c r="B30" i="5"/>
  <c r="C30" i="5"/>
  <c r="D30" i="5"/>
  <c r="E30" i="5"/>
  <c r="F30" i="5"/>
  <c r="G30" i="5"/>
  <c r="H30" i="5"/>
  <c r="I30" i="5"/>
  <c r="J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Z30" i="5"/>
  <c r="AA30" i="5"/>
  <c r="AC30" i="5"/>
  <c r="B31" i="5"/>
  <c r="C31" i="5"/>
  <c r="D31" i="5"/>
  <c r="E31" i="5"/>
  <c r="F31" i="5"/>
  <c r="G31" i="5"/>
  <c r="H31" i="5"/>
  <c r="I31" i="5"/>
  <c r="J31" i="5"/>
  <c r="L31" i="5"/>
  <c r="M31" i="5"/>
  <c r="AC31" i="5" s="1"/>
  <c r="N31" i="5"/>
  <c r="O31" i="5"/>
  <c r="P31" i="5"/>
  <c r="Q31" i="5"/>
  <c r="R31" i="5"/>
  <c r="S31" i="5"/>
  <c r="T31" i="5"/>
  <c r="U31" i="5"/>
  <c r="V31" i="5"/>
  <c r="W31" i="5"/>
  <c r="X31" i="5"/>
  <c r="Z31" i="5"/>
  <c r="AA31" i="5"/>
  <c r="B32" i="5"/>
  <c r="C32" i="5"/>
  <c r="D32" i="5"/>
  <c r="E32" i="5"/>
  <c r="F32" i="5"/>
  <c r="G32" i="5"/>
  <c r="H32" i="5"/>
  <c r="I32" i="5"/>
  <c r="J32" i="5"/>
  <c r="L32" i="5"/>
  <c r="M32" i="5"/>
  <c r="AC32" i="5" s="1"/>
  <c r="N32" i="5"/>
  <c r="O32" i="5"/>
  <c r="P32" i="5"/>
  <c r="Q32" i="5"/>
  <c r="R32" i="5"/>
  <c r="S32" i="5"/>
  <c r="T32" i="5"/>
  <c r="U32" i="5"/>
  <c r="V32" i="5"/>
  <c r="W32" i="5"/>
  <c r="X32" i="5"/>
  <c r="Z32" i="5"/>
  <c r="AA32" i="5"/>
  <c r="B33" i="5"/>
  <c r="C33" i="5"/>
  <c r="D33" i="5"/>
  <c r="E33" i="5"/>
  <c r="F33" i="5"/>
  <c r="G33" i="5"/>
  <c r="H33" i="5"/>
  <c r="I33" i="5"/>
  <c r="J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Z33" i="5"/>
  <c r="AA33" i="5"/>
  <c r="AC33" i="5"/>
  <c r="B34" i="5"/>
  <c r="C34" i="5"/>
  <c r="D34" i="5"/>
  <c r="E34" i="5"/>
  <c r="F34" i="5"/>
  <c r="G34" i="5"/>
  <c r="H34" i="5"/>
  <c r="I34" i="5"/>
  <c r="J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Z34" i="5"/>
  <c r="AA34" i="5"/>
  <c r="AC34" i="5"/>
  <c r="B35" i="5"/>
  <c r="C35" i="5"/>
  <c r="D35" i="5"/>
  <c r="E35" i="5"/>
  <c r="F35" i="5"/>
  <c r="G35" i="5"/>
  <c r="H35" i="5"/>
  <c r="I35" i="5"/>
  <c r="J35" i="5"/>
  <c r="L35" i="5"/>
  <c r="M35" i="5"/>
  <c r="N35" i="5"/>
  <c r="O35" i="5"/>
  <c r="P35" i="5"/>
  <c r="Q35" i="5"/>
  <c r="R35" i="5"/>
  <c r="S35" i="5"/>
  <c r="T35" i="5"/>
  <c r="U35" i="5"/>
  <c r="V35" i="5"/>
  <c r="W35" i="5"/>
  <c r="Z35" i="5"/>
  <c r="AA35" i="5"/>
  <c r="AB35" i="5"/>
  <c r="B36" i="5"/>
  <c r="C36" i="5"/>
  <c r="D36" i="5"/>
  <c r="E36" i="5"/>
  <c r="F36" i="5"/>
  <c r="G36" i="5"/>
  <c r="H36" i="5"/>
  <c r="I36" i="5"/>
  <c r="J36" i="5"/>
  <c r="L36" i="5"/>
  <c r="M36" i="5"/>
  <c r="N36" i="5"/>
  <c r="O36" i="5"/>
  <c r="P36" i="5"/>
  <c r="Q36" i="5"/>
  <c r="R36" i="5"/>
  <c r="S36" i="5"/>
  <c r="T36" i="5"/>
  <c r="U36" i="5"/>
  <c r="V36" i="5"/>
  <c r="W36" i="5"/>
  <c r="Z36" i="5"/>
  <c r="AA36" i="5"/>
  <c r="AC36" i="5"/>
  <c r="B37" i="5"/>
  <c r="C37" i="5"/>
  <c r="D37" i="5"/>
  <c r="E37" i="5"/>
  <c r="F37" i="5"/>
  <c r="G37" i="5"/>
  <c r="H37" i="5"/>
  <c r="I37" i="5"/>
  <c r="J37" i="5"/>
  <c r="L37" i="5"/>
  <c r="M37" i="5"/>
  <c r="N37" i="5"/>
  <c r="AC37" i="5" s="1"/>
  <c r="O37" i="5"/>
  <c r="P37" i="5"/>
  <c r="Q37" i="5"/>
  <c r="R37" i="5"/>
  <c r="S37" i="5"/>
  <c r="T37" i="5"/>
  <c r="U37" i="5"/>
  <c r="V37" i="5"/>
  <c r="W37" i="5"/>
  <c r="Z37" i="5"/>
  <c r="AA37" i="5"/>
  <c r="AB37" i="5"/>
  <c r="B38" i="5"/>
  <c r="C38" i="5"/>
  <c r="D38" i="5"/>
  <c r="E38" i="5"/>
  <c r="F38" i="5"/>
  <c r="G38" i="5"/>
  <c r="H38" i="5"/>
  <c r="I38" i="5"/>
  <c r="J38" i="5"/>
  <c r="L38" i="5"/>
  <c r="M38" i="5"/>
  <c r="N38" i="5"/>
  <c r="O38" i="5"/>
  <c r="P38" i="5"/>
  <c r="Q38" i="5"/>
  <c r="R38" i="5"/>
  <c r="S38" i="5"/>
  <c r="T38" i="5"/>
  <c r="U38" i="5"/>
  <c r="V38" i="5"/>
  <c r="W38" i="5"/>
  <c r="Z38" i="5"/>
  <c r="AA38" i="5"/>
  <c r="AC38" i="5"/>
  <c r="B39" i="5"/>
  <c r="C39" i="5"/>
  <c r="D39" i="5"/>
  <c r="E39" i="5"/>
  <c r="F39" i="5"/>
  <c r="G39" i="5"/>
  <c r="H39" i="5"/>
  <c r="I39" i="5"/>
  <c r="J39" i="5"/>
  <c r="L39" i="5"/>
  <c r="M39" i="5"/>
  <c r="N39" i="5"/>
  <c r="AC39" i="5" s="1"/>
  <c r="O39" i="5"/>
  <c r="P39" i="5"/>
  <c r="Q39" i="5"/>
  <c r="R39" i="5"/>
  <c r="S39" i="5"/>
  <c r="T39" i="5"/>
  <c r="U39" i="5"/>
  <c r="V39" i="5"/>
  <c r="W39" i="5"/>
  <c r="Z39" i="5"/>
  <c r="AA39" i="5"/>
  <c r="AB39" i="5"/>
  <c r="B40" i="5"/>
  <c r="C40" i="5"/>
  <c r="D40" i="5"/>
  <c r="AB40" i="5" s="1"/>
  <c r="E40" i="5"/>
  <c r="F40" i="5"/>
  <c r="G40" i="5"/>
  <c r="H40" i="5"/>
  <c r="I40" i="5"/>
  <c r="J40" i="5"/>
  <c r="L40" i="5"/>
  <c r="M40" i="5"/>
  <c r="N40" i="5"/>
  <c r="O40" i="5"/>
  <c r="P40" i="5"/>
  <c r="Q40" i="5"/>
  <c r="R40" i="5"/>
  <c r="S40" i="5"/>
  <c r="T40" i="5"/>
  <c r="U40" i="5"/>
  <c r="V40" i="5"/>
  <c r="W40" i="5"/>
  <c r="X40" i="5"/>
  <c r="Z40" i="5"/>
  <c r="AA40" i="5"/>
  <c r="B41" i="5"/>
  <c r="C41" i="5"/>
  <c r="AB41" i="5" s="1"/>
  <c r="D41" i="5"/>
  <c r="E41" i="5"/>
  <c r="F41" i="5"/>
  <c r="G41" i="5"/>
  <c r="H41" i="5"/>
  <c r="I41" i="5"/>
  <c r="J41" i="5"/>
  <c r="L41" i="5"/>
  <c r="M41" i="5"/>
  <c r="AC41" i="5" s="1"/>
  <c r="N41" i="5"/>
  <c r="O41" i="5"/>
  <c r="P41" i="5"/>
  <c r="Q41" i="5"/>
  <c r="R41" i="5"/>
  <c r="S41" i="5"/>
  <c r="T41" i="5"/>
  <c r="U41" i="5"/>
  <c r="V41" i="5"/>
  <c r="W41" i="5"/>
  <c r="X41" i="5"/>
  <c r="Z41" i="5"/>
  <c r="AA41" i="5"/>
  <c r="B42" i="5"/>
  <c r="C42" i="5"/>
  <c r="AB42" i="5" s="1"/>
  <c r="D42" i="5"/>
  <c r="E42" i="5"/>
  <c r="F42" i="5"/>
  <c r="G42" i="5"/>
  <c r="H42" i="5"/>
  <c r="I42" i="5"/>
  <c r="J42" i="5"/>
  <c r="L42" i="5"/>
  <c r="M42" i="5"/>
  <c r="N42" i="5"/>
  <c r="O42" i="5"/>
  <c r="P42" i="5"/>
  <c r="Q42" i="5"/>
  <c r="R42" i="5"/>
  <c r="S42" i="5"/>
  <c r="T42" i="5"/>
  <c r="U42" i="5"/>
  <c r="V42" i="5"/>
  <c r="W42" i="5"/>
  <c r="X42" i="5"/>
  <c r="Z42" i="5"/>
  <c r="AA42" i="5"/>
  <c r="B43" i="5"/>
  <c r="C43" i="5"/>
  <c r="D43" i="5"/>
  <c r="E43" i="5"/>
  <c r="F43" i="5"/>
  <c r="G43" i="5"/>
  <c r="H43" i="5"/>
  <c r="I43" i="5"/>
  <c r="J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Z43" i="5"/>
  <c r="AA43" i="5"/>
  <c r="AB43" i="5"/>
  <c r="B44" i="5"/>
  <c r="C44" i="5"/>
  <c r="D44" i="5"/>
  <c r="AB44" i="5" s="1"/>
  <c r="E44" i="5"/>
  <c r="F44" i="5"/>
  <c r="G44" i="5"/>
  <c r="H44" i="5"/>
  <c r="I44" i="5"/>
  <c r="J44" i="5"/>
  <c r="L44" i="5"/>
  <c r="M44" i="5"/>
  <c r="N44" i="5"/>
  <c r="O44" i="5"/>
  <c r="P44" i="5"/>
  <c r="Q44" i="5"/>
  <c r="R44" i="5"/>
  <c r="S44" i="5"/>
  <c r="T44" i="5"/>
  <c r="U44" i="5"/>
  <c r="V44" i="5"/>
  <c r="W44" i="5"/>
  <c r="X44" i="5"/>
  <c r="Z44" i="5"/>
  <c r="AA44" i="5"/>
  <c r="B45" i="5"/>
  <c r="C45" i="5"/>
  <c r="AB45" i="5" s="1"/>
  <c r="D45" i="5"/>
  <c r="E45" i="5"/>
  <c r="F45" i="5"/>
  <c r="G45" i="5"/>
  <c r="H45" i="5"/>
  <c r="I45" i="5"/>
  <c r="J45" i="5"/>
  <c r="L45" i="5"/>
  <c r="M45" i="5"/>
  <c r="AC45" i="5" s="1"/>
  <c r="N45" i="5"/>
  <c r="O45" i="5"/>
  <c r="P45" i="5"/>
  <c r="Q45" i="5"/>
  <c r="R45" i="5"/>
  <c r="S45" i="5"/>
  <c r="T45" i="5"/>
  <c r="U45" i="5"/>
  <c r="V45" i="5"/>
  <c r="W45" i="5"/>
  <c r="X45" i="5"/>
  <c r="Z45" i="5"/>
  <c r="AA45" i="5"/>
  <c r="B46" i="5"/>
  <c r="C46" i="5"/>
  <c r="AB46" i="5" s="1"/>
  <c r="D46" i="5"/>
  <c r="E46" i="5"/>
  <c r="F46" i="5"/>
  <c r="G46" i="5"/>
  <c r="H46" i="5"/>
  <c r="I46" i="5"/>
  <c r="J46" i="5"/>
  <c r="L46" i="5"/>
  <c r="M46" i="5"/>
  <c r="N46" i="5"/>
  <c r="O46" i="5"/>
  <c r="P46" i="5"/>
  <c r="Q46" i="5"/>
  <c r="R46" i="5"/>
  <c r="S46" i="5"/>
  <c r="T46" i="5"/>
  <c r="U46" i="5"/>
  <c r="V46" i="5"/>
  <c r="W46" i="5"/>
  <c r="X46" i="5"/>
  <c r="Z46" i="5"/>
  <c r="AA46" i="5"/>
  <c r="B47" i="5"/>
  <c r="C47" i="5"/>
  <c r="D47" i="5"/>
  <c r="E47" i="5"/>
  <c r="F47" i="5"/>
  <c r="G47" i="5"/>
  <c r="H47" i="5"/>
  <c r="I47" i="5"/>
  <c r="J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Z47" i="5"/>
  <c r="AA47" i="5"/>
  <c r="AB47" i="5"/>
  <c r="B48" i="5"/>
  <c r="C48" i="5"/>
  <c r="D48" i="5"/>
  <c r="AB48" i="5" s="1"/>
  <c r="E48" i="5"/>
  <c r="F48" i="5"/>
  <c r="G48" i="5"/>
  <c r="H48" i="5"/>
  <c r="I48" i="5"/>
  <c r="J48" i="5"/>
  <c r="L48" i="5"/>
  <c r="M48" i="5"/>
  <c r="N48" i="5"/>
  <c r="O48" i="5"/>
  <c r="P48" i="5"/>
  <c r="Q48" i="5"/>
  <c r="R48" i="5"/>
  <c r="S48" i="5"/>
  <c r="T48" i="5"/>
  <c r="U48" i="5"/>
  <c r="V48" i="5"/>
  <c r="W48" i="5"/>
  <c r="X48" i="5"/>
  <c r="Z48" i="5"/>
  <c r="AA48" i="5"/>
  <c r="B49" i="5"/>
  <c r="C49" i="5"/>
  <c r="D49" i="5"/>
  <c r="E49" i="5"/>
  <c r="F49" i="5"/>
  <c r="G49" i="5"/>
  <c r="H49" i="5"/>
  <c r="I49" i="5"/>
  <c r="J49" i="5"/>
  <c r="L49" i="5"/>
  <c r="M49" i="5"/>
  <c r="AC49" i="5" s="1"/>
  <c r="N49" i="5"/>
  <c r="O49" i="5"/>
  <c r="P49" i="5"/>
  <c r="Q49" i="5"/>
  <c r="R49" i="5"/>
  <c r="S49" i="5"/>
  <c r="T49" i="5"/>
  <c r="U49" i="5"/>
  <c r="V49" i="5"/>
  <c r="W49" i="5"/>
  <c r="X49" i="5"/>
  <c r="AB49" i="5"/>
  <c r="B50" i="5"/>
  <c r="C50" i="5"/>
  <c r="D50" i="5"/>
  <c r="E50" i="5"/>
  <c r="AB50" i="5" s="1"/>
  <c r="F50" i="5"/>
  <c r="G50" i="5"/>
  <c r="H50" i="5"/>
  <c r="I50" i="5"/>
  <c r="J50" i="5"/>
  <c r="L50" i="5"/>
  <c r="M50" i="5"/>
  <c r="N50" i="5"/>
  <c r="O50" i="5"/>
  <c r="P50" i="5"/>
  <c r="Q50" i="5"/>
  <c r="R50" i="5"/>
  <c r="S50" i="5"/>
  <c r="T50" i="5"/>
  <c r="U50" i="5"/>
  <c r="V50" i="5"/>
  <c r="W50" i="5"/>
  <c r="X50" i="5"/>
  <c r="B51" i="5"/>
  <c r="AB51" i="5" s="1"/>
  <c r="C51" i="5"/>
  <c r="D51" i="5"/>
  <c r="E51" i="5"/>
  <c r="F51" i="5"/>
  <c r="G51" i="5"/>
  <c r="H51" i="5"/>
  <c r="I51" i="5"/>
  <c r="J51" i="5"/>
  <c r="L51" i="5"/>
  <c r="M51" i="5"/>
  <c r="N51" i="5"/>
  <c r="O51" i="5"/>
  <c r="P51" i="5"/>
  <c r="Q51" i="5"/>
  <c r="R51" i="5"/>
  <c r="S51" i="5"/>
  <c r="T51" i="5"/>
  <c r="U51" i="5"/>
  <c r="V51" i="5"/>
  <c r="W51" i="5"/>
  <c r="X51" i="5"/>
  <c r="B52" i="5"/>
  <c r="AB52" i="5" s="1"/>
  <c r="C52" i="5"/>
  <c r="D52" i="5"/>
  <c r="E52" i="5"/>
  <c r="F52" i="5"/>
  <c r="G52" i="5"/>
  <c r="H52" i="5"/>
  <c r="I52" i="5"/>
  <c r="J52" i="5"/>
  <c r="L52" i="5"/>
  <c r="M52" i="5"/>
  <c r="N52" i="5"/>
  <c r="O52" i="5"/>
  <c r="P52" i="5"/>
  <c r="Q52" i="5"/>
  <c r="R52" i="5"/>
  <c r="S52" i="5"/>
  <c r="T52" i="5"/>
  <c r="U52" i="5"/>
  <c r="V52" i="5"/>
  <c r="W52" i="5"/>
  <c r="X52" i="5"/>
  <c r="B53" i="5"/>
  <c r="C53" i="5"/>
  <c r="D53" i="5"/>
  <c r="E53" i="5"/>
  <c r="F53" i="5"/>
  <c r="G53" i="5"/>
  <c r="H53" i="5"/>
  <c r="I53" i="5"/>
  <c r="J53" i="5"/>
  <c r="L53" i="5"/>
  <c r="M53" i="5"/>
  <c r="AC53" i="5" s="1"/>
  <c r="N53" i="5"/>
  <c r="O53" i="5"/>
  <c r="P53" i="5"/>
  <c r="Q53" i="5"/>
  <c r="R53" i="5"/>
  <c r="S53" i="5"/>
  <c r="T53" i="5"/>
  <c r="U53" i="5"/>
  <c r="V53" i="5"/>
  <c r="W53" i="5"/>
  <c r="X53" i="5"/>
  <c r="AB53" i="5"/>
  <c r="B54" i="5"/>
  <c r="C54" i="5"/>
  <c r="D54" i="5"/>
  <c r="E54" i="5"/>
  <c r="AB54" i="5" s="1"/>
  <c r="F54" i="5"/>
  <c r="G54" i="5"/>
  <c r="H54" i="5"/>
  <c r="I54" i="5"/>
  <c r="J54" i="5"/>
  <c r="L54" i="5"/>
  <c r="M54" i="5"/>
  <c r="N54" i="5"/>
  <c r="O54" i="5"/>
  <c r="P54" i="5"/>
  <c r="Q54" i="5"/>
  <c r="R54" i="5"/>
  <c r="S54" i="5"/>
  <c r="T54" i="5"/>
  <c r="U54" i="5"/>
  <c r="V54" i="5"/>
  <c r="W54" i="5"/>
  <c r="X54" i="5"/>
  <c r="B55" i="5"/>
  <c r="AB55" i="5" s="1"/>
  <c r="C55" i="5"/>
  <c r="D55" i="5"/>
  <c r="E55" i="5"/>
  <c r="F55" i="5"/>
  <c r="G55" i="5"/>
  <c r="H55" i="5"/>
  <c r="I55" i="5"/>
  <c r="J55" i="5"/>
  <c r="L55" i="5"/>
  <c r="M55" i="5"/>
  <c r="N55" i="5"/>
  <c r="O55" i="5"/>
  <c r="P55" i="5"/>
  <c r="Q55" i="5"/>
  <c r="R55" i="5"/>
  <c r="S55" i="5"/>
  <c r="T55" i="5"/>
  <c r="U55" i="5"/>
  <c r="V55" i="5"/>
  <c r="W55" i="5"/>
  <c r="X55" i="5"/>
  <c r="B56" i="5"/>
  <c r="AB56" i="5" s="1"/>
  <c r="C56" i="5"/>
  <c r="D56" i="5"/>
  <c r="E56" i="5"/>
  <c r="F56" i="5"/>
  <c r="G56" i="5"/>
  <c r="H56" i="5"/>
  <c r="I56" i="5"/>
  <c r="J56" i="5"/>
  <c r="L56" i="5"/>
  <c r="M56" i="5"/>
  <c r="N56" i="5"/>
  <c r="O56" i="5"/>
  <c r="P56" i="5"/>
  <c r="Q56" i="5"/>
  <c r="R56" i="5"/>
  <c r="S56" i="5"/>
  <c r="T56" i="5"/>
  <c r="U56" i="5"/>
  <c r="V56" i="5"/>
  <c r="W56" i="5"/>
  <c r="X56" i="5"/>
  <c r="B57" i="5"/>
  <c r="C57" i="5"/>
  <c r="D57" i="5"/>
  <c r="E57" i="5"/>
  <c r="F57" i="5"/>
  <c r="G57" i="5"/>
  <c r="H57" i="5"/>
  <c r="I57" i="5"/>
  <c r="J57" i="5"/>
  <c r="L57" i="5"/>
  <c r="M57" i="5"/>
  <c r="AC57" i="5" s="1"/>
  <c r="N57" i="5"/>
  <c r="O57" i="5"/>
  <c r="P57" i="5"/>
  <c r="Q57" i="5"/>
  <c r="R57" i="5"/>
  <c r="S57" i="5"/>
  <c r="T57" i="5"/>
  <c r="U57" i="5"/>
  <c r="V57" i="5"/>
  <c r="W57" i="5"/>
  <c r="X57" i="5"/>
  <c r="AB57" i="5"/>
  <c r="B58" i="5"/>
  <c r="C58" i="5"/>
  <c r="D58" i="5"/>
  <c r="E58" i="5"/>
  <c r="AB58" i="5" s="1"/>
  <c r="F58" i="5"/>
  <c r="G58" i="5"/>
  <c r="H58" i="5"/>
  <c r="I58" i="5"/>
  <c r="J58" i="5"/>
  <c r="L58" i="5"/>
  <c r="M58" i="5"/>
  <c r="N58" i="5"/>
  <c r="O58" i="5"/>
  <c r="P58" i="5"/>
  <c r="Q58" i="5"/>
  <c r="R58" i="5"/>
  <c r="S58" i="5"/>
  <c r="T58" i="5"/>
  <c r="U58" i="5"/>
  <c r="V58" i="5"/>
  <c r="W58" i="5"/>
  <c r="X58" i="5"/>
  <c r="B59" i="5"/>
  <c r="AB59" i="5" s="1"/>
  <c r="C59" i="5"/>
  <c r="D59" i="5"/>
  <c r="E59" i="5"/>
  <c r="F59" i="5"/>
  <c r="G59" i="5"/>
  <c r="H59" i="5"/>
  <c r="I59" i="5"/>
  <c r="J59" i="5"/>
  <c r="L59" i="5"/>
  <c r="M59" i="5"/>
  <c r="N59" i="5"/>
  <c r="O59" i="5"/>
  <c r="P59" i="5"/>
  <c r="Q59" i="5"/>
  <c r="R59" i="5"/>
  <c r="S59" i="5"/>
  <c r="T59" i="5"/>
  <c r="U59" i="5"/>
  <c r="V59" i="5"/>
  <c r="W59" i="5"/>
  <c r="X59" i="5"/>
  <c r="B60" i="5"/>
  <c r="C60" i="5"/>
  <c r="AB60" i="5" s="1"/>
  <c r="D60" i="5"/>
  <c r="E60" i="5"/>
  <c r="F60" i="5"/>
  <c r="G60" i="5"/>
  <c r="H60" i="5"/>
  <c r="I60" i="5"/>
  <c r="J60" i="5"/>
  <c r="L60" i="5"/>
  <c r="M60" i="5"/>
  <c r="N60" i="5"/>
  <c r="O60" i="5"/>
  <c r="P60" i="5"/>
  <c r="Q60" i="5"/>
  <c r="R60" i="5"/>
  <c r="S60" i="5"/>
  <c r="T60" i="5"/>
  <c r="U60" i="5"/>
  <c r="V60" i="5"/>
  <c r="W60" i="5"/>
  <c r="X60" i="5"/>
  <c r="B61" i="5"/>
  <c r="C61" i="5"/>
  <c r="D61" i="5"/>
  <c r="E61" i="5"/>
  <c r="F61" i="5"/>
  <c r="G61" i="5"/>
  <c r="H61" i="5"/>
  <c r="I61" i="5"/>
  <c r="J61" i="5"/>
  <c r="K61" i="5"/>
  <c r="L61" i="5"/>
  <c r="M61" i="5"/>
  <c r="N61" i="5"/>
  <c r="O61" i="5"/>
  <c r="AC61" i="5" s="1"/>
  <c r="P61" i="5"/>
  <c r="Q61" i="5"/>
  <c r="R61" i="5"/>
  <c r="S61" i="5"/>
  <c r="T61" i="5"/>
  <c r="U61" i="5"/>
  <c r="V61" i="5"/>
  <c r="W61" i="5"/>
  <c r="X61" i="5"/>
  <c r="B62" i="5"/>
  <c r="C62" i="5"/>
  <c r="D62" i="5"/>
  <c r="AB62" i="5" s="1"/>
  <c r="E62" i="5"/>
  <c r="F62" i="5"/>
  <c r="G62" i="5"/>
  <c r="H62" i="5"/>
  <c r="I62" i="5"/>
  <c r="J62" i="5"/>
  <c r="K62" i="5"/>
  <c r="L62" i="5"/>
  <c r="M62" i="5"/>
  <c r="N62" i="5"/>
  <c r="O62" i="5"/>
  <c r="P62" i="5"/>
  <c r="Q62" i="5"/>
  <c r="R62" i="5"/>
  <c r="S62" i="5"/>
  <c r="T62" i="5"/>
  <c r="U62" i="5"/>
  <c r="V62" i="5"/>
  <c r="W62" i="5"/>
  <c r="X62" i="5"/>
  <c r="B63" i="5"/>
  <c r="C63" i="5"/>
  <c r="D63" i="5"/>
  <c r="E63" i="5"/>
  <c r="F63" i="5"/>
  <c r="G63" i="5"/>
  <c r="H63" i="5"/>
  <c r="I63" i="5"/>
  <c r="J63" i="5"/>
  <c r="K63" i="5"/>
  <c r="L63" i="5"/>
  <c r="M63" i="5"/>
  <c r="N63" i="5"/>
  <c r="O63" i="5"/>
  <c r="AC63" i="5" s="1"/>
  <c r="P63" i="5"/>
  <c r="Q63" i="5"/>
  <c r="R63" i="5"/>
  <c r="S63" i="5"/>
  <c r="T63" i="5"/>
  <c r="U63" i="5"/>
  <c r="V63" i="5"/>
  <c r="W63" i="5"/>
  <c r="X63" i="5"/>
  <c r="B64" i="5"/>
  <c r="C64" i="5"/>
  <c r="D64" i="5"/>
  <c r="AB64" i="5" s="1"/>
  <c r="E64" i="5"/>
  <c r="F64" i="5"/>
  <c r="G64" i="5"/>
  <c r="H64" i="5"/>
  <c r="I64" i="5"/>
  <c r="J64" i="5"/>
  <c r="K64" i="5"/>
  <c r="L64" i="5"/>
  <c r="M64" i="5"/>
  <c r="N64" i="5"/>
  <c r="O64" i="5"/>
  <c r="P64" i="5"/>
  <c r="Q64" i="5"/>
  <c r="R64" i="5"/>
  <c r="S64" i="5"/>
  <c r="T64" i="5"/>
  <c r="U64" i="5"/>
  <c r="V64" i="5"/>
  <c r="W64" i="5"/>
  <c r="X64" i="5"/>
  <c r="B65" i="5"/>
  <c r="C65" i="5"/>
  <c r="D65" i="5"/>
  <c r="E65" i="5"/>
  <c r="F65" i="5"/>
  <c r="G65" i="5"/>
  <c r="H65" i="5"/>
  <c r="I65" i="5"/>
  <c r="J65" i="5"/>
  <c r="K65" i="5"/>
  <c r="L65" i="5"/>
  <c r="M65" i="5"/>
  <c r="N65" i="5"/>
  <c r="O65" i="5"/>
  <c r="P65" i="5"/>
  <c r="AC65" i="5" s="1"/>
  <c r="Q65" i="5"/>
  <c r="R65" i="5"/>
  <c r="S65" i="5"/>
  <c r="T65" i="5"/>
  <c r="U65" i="5"/>
  <c r="V65" i="5"/>
  <c r="W65" i="5"/>
  <c r="X65" i="5"/>
  <c r="B66" i="5"/>
  <c r="C66" i="5"/>
  <c r="D66" i="5"/>
  <c r="AB66" i="5" s="1"/>
  <c r="E66" i="5"/>
  <c r="F66" i="5"/>
  <c r="G66" i="5"/>
  <c r="H66" i="5"/>
  <c r="I66" i="5"/>
  <c r="J66" i="5"/>
  <c r="K66" i="5"/>
  <c r="L66" i="5"/>
  <c r="M66" i="5"/>
  <c r="N66" i="5"/>
  <c r="O66" i="5"/>
  <c r="P66" i="5"/>
  <c r="Q66" i="5"/>
  <c r="R66" i="5"/>
  <c r="S66" i="5"/>
  <c r="T66" i="5"/>
  <c r="U66" i="5"/>
  <c r="V66" i="5"/>
  <c r="W66" i="5"/>
  <c r="X66" i="5"/>
  <c r="B67" i="5"/>
  <c r="C67" i="5"/>
  <c r="D67" i="5"/>
  <c r="E67" i="5"/>
  <c r="F67" i="5"/>
  <c r="G67" i="5"/>
  <c r="H67" i="5"/>
  <c r="I67" i="5"/>
  <c r="J67" i="5"/>
  <c r="K67" i="5"/>
  <c r="L67" i="5"/>
  <c r="M67" i="5"/>
  <c r="N67" i="5"/>
  <c r="O67" i="5"/>
  <c r="P67" i="5"/>
  <c r="AC67" i="5" s="1"/>
  <c r="Q67" i="5"/>
  <c r="R67" i="5"/>
  <c r="S67" i="5"/>
  <c r="T67" i="5"/>
  <c r="U67" i="5"/>
  <c r="V67" i="5"/>
  <c r="W67" i="5"/>
  <c r="X67" i="5"/>
  <c r="B68" i="5"/>
  <c r="C68" i="5"/>
  <c r="D68" i="5"/>
  <c r="AB68" i="5" s="1"/>
  <c r="E68" i="5"/>
  <c r="F68" i="5"/>
  <c r="G68" i="5"/>
  <c r="H68" i="5"/>
  <c r="I68" i="5"/>
  <c r="J68" i="5"/>
  <c r="K68" i="5"/>
  <c r="L68" i="5"/>
  <c r="M68" i="5"/>
  <c r="N68" i="5"/>
  <c r="O68" i="5"/>
  <c r="P68" i="5"/>
  <c r="Q68" i="5"/>
  <c r="R68" i="5"/>
  <c r="S68" i="5"/>
  <c r="T68" i="5"/>
  <c r="U68" i="5"/>
  <c r="V68" i="5"/>
  <c r="W68" i="5"/>
  <c r="X68" i="5"/>
  <c r="B69" i="5"/>
  <c r="C69" i="5"/>
  <c r="D69" i="5"/>
  <c r="E69" i="5"/>
  <c r="F69" i="5"/>
  <c r="G69" i="5"/>
  <c r="H69" i="5"/>
  <c r="I69" i="5"/>
  <c r="J69" i="5"/>
  <c r="K69" i="5"/>
  <c r="L69" i="5"/>
  <c r="M69" i="5"/>
  <c r="N69" i="5"/>
  <c r="O69" i="5"/>
  <c r="P69" i="5"/>
  <c r="AC69" i="5" s="1"/>
  <c r="Q69" i="5"/>
  <c r="R69" i="5"/>
  <c r="S69" i="5"/>
  <c r="T69" i="5"/>
  <c r="U69" i="5"/>
  <c r="V69" i="5"/>
  <c r="W69" i="5"/>
  <c r="X69" i="5"/>
  <c r="B70" i="5"/>
  <c r="C70" i="5"/>
  <c r="D70" i="5"/>
  <c r="AB70" i="5" s="1"/>
  <c r="E70" i="5"/>
  <c r="F70" i="5"/>
  <c r="G70" i="5"/>
  <c r="H70" i="5"/>
  <c r="I70" i="5"/>
  <c r="J70" i="5"/>
  <c r="K70" i="5"/>
  <c r="L70" i="5"/>
  <c r="M70" i="5"/>
  <c r="N70" i="5"/>
  <c r="O70" i="5"/>
  <c r="P70" i="5"/>
  <c r="Q70" i="5"/>
  <c r="R70" i="5"/>
  <c r="S70" i="5"/>
  <c r="T70" i="5"/>
  <c r="U70" i="5"/>
  <c r="V70" i="5"/>
  <c r="W70" i="5"/>
  <c r="X70" i="5"/>
  <c r="B71" i="5"/>
  <c r="C71" i="5"/>
  <c r="D71" i="5"/>
  <c r="E71" i="5"/>
  <c r="F71" i="5"/>
  <c r="G71" i="5"/>
  <c r="H71" i="5"/>
  <c r="I71" i="5"/>
  <c r="J71" i="5"/>
  <c r="K71" i="5"/>
  <c r="L71" i="5"/>
  <c r="M71" i="5"/>
  <c r="N71" i="5"/>
  <c r="O71" i="5"/>
  <c r="P71" i="5"/>
  <c r="AC71" i="5" s="1"/>
  <c r="Q71" i="5"/>
  <c r="R71" i="5"/>
  <c r="S71" i="5"/>
  <c r="T71" i="5"/>
  <c r="U71" i="5"/>
  <c r="V71" i="5"/>
  <c r="W71" i="5"/>
  <c r="X71" i="5"/>
  <c r="B72" i="5"/>
  <c r="C72" i="5"/>
  <c r="D72" i="5"/>
  <c r="AB72" i="5" s="1"/>
  <c r="E72" i="5"/>
  <c r="F72" i="5"/>
  <c r="G72" i="5"/>
  <c r="H72" i="5"/>
  <c r="I72" i="5"/>
  <c r="J72" i="5"/>
  <c r="K72" i="5"/>
  <c r="L72" i="5"/>
  <c r="M72" i="5"/>
  <c r="N72" i="5"/>
  <c r="O72" i="5"/>
  <c r="P72" i="5"/>
  <c r="Q72" i="5"/>
  <c r="R72" i="5"/>
  <c r="S72" i="5"/>
  <c r="T72" i="5"/>
  <c r="U72" i="5"/>
  <c r="V72" i="5"/>
  <c r="W72" i="5"/>
  <c r="X72" i="5"/>
  <c r="B73" i="5"/>
  <c r="C73" i="5"/>
  <c r="D73" i="5"/>
  <c r="E73" i="5"/>
  <c r="F73" i="5"/>
  <c r="G73" i="5"/>
  <c r="H73" i="5"/>
  <c r="I73" i="5"/>
  <c r="J73" i="5"/>
  <c r="K73" i="5"/>
  <c r="L73" i="5"/>
  <c r="M73" i="5"/>
  <c r="N73" i="5"/>
  <c r="O73" i="5"/>
  <c r="P73" i="5"/>
  <c r="AC73" i="5" s="1"/>
  <c r="Q73" i="5"/>
  <c r="R73" i="5"/>
  <c r="S73" i="5"/>
  <c r="T73" i="5"/>
  <c r="U73" i="5"/>
  <c r="V73" i="5"/>
  <c r="W73" i="5"/>
  <c r="X73" i="5"/>
  <c r="B74" i="5"/>
  <c r="C74" i="5"/>
  <c r="D74" i="5"/>
  <c r="AB74" i="5" s="1"/>
  <c r="E74" i="5"/>
  <c r="F74" i="5"/>
  <c r="G74" i="5"/>
  <c r="H74" i="5"/>
  <c r="I74" i="5"/>
  <c r="J74" i="5"/>
  <c r="K74" i="5"/>
  <c r="L74" i="5"/>
  <c r="M74" i="5"/>
  <c r="N74" i="5"/>
  <c r="O74" i="5"/>
  <c r="P74" i="5"/>
  <c r="Q74" i="5"/>
  <c r="R74" i="5"/>
  <c r="S74" i="5"/>
  <c r="T74" i="5"/>
  <c r="U74" i="5"/>
  <c r="V74" i="5"/>
  <c r="W74" i="5"/>
  <c r="X74" i="5"/>
  <c r="B75" i="5"/>
  <c r="C75" i="5"/>
  <c r="D75" i="5"/>
  <c r="E75" i="5"/>
  <c r="F75" i="5"/>
  <c r="G75" i="5"/>
  <c r="H75" i="5"/>
  <c r="I75" i="5"/>
  <c r="J75" i="5"/>
  <c r="K75" i="5"/>
  <c r="L75" i="5"/>
  <c r="M75" i="5"/>
  <c r="N75" i="5"/>
  <c r="O75" i="5"/>
  <c r="P75" i="5"/>
  <c r="AC75" i="5" s="1"/>
  <c r="Q75" i="5"/>
  <c r="R75" i="5"/>
  <c r="S75" i="5"/>
  <c r="T75" i="5"/>
  <c r="U75" i="5"/>
  <c r="V75" i="5"/>
  <c r="W75" i="5"/>
  <c r="X75" i="5"/>
  <c r="B76" i="5"/>
  <c r="C76" i="5"/>
  <c r="D76" i="5"/>
  <c r="AB76" i="5" s="1"/>
  <c r="E76" i="5"/>
  <c r="F76" i="5"/>
  <c r="G76" i="5"/>
  <c r="H76" i="5"/>
  <c r="I76" i="5"/>
  <c r="J76" i="5"/>
  <c r="K76" i="5"/>
  <c r="L76" i="5"/>
  <c r="M76" i="5"/>
  <c r="N76" i="5"/>
  <c r="O76" i="5"/>
  <c r="P76" i="5"/>
  <c r="Q76" i="5"/>
  <c r="R76" i="5"/>
  <c r="S76" i="5"/>
  <c r="T76" i="5"/>
  <c r="U76" i="5"/>
  <c r="V76" i="5"/>
  <c r="W76" i="5"/>
  <c r="X76" i="5"/>
  <c r="B77" i="5"/>
  <c r="C77" i="5"/>
  <c r="D77" i="5"/>
  <c r="E77" i="5"/>
  <c r="F77" i="5"/>
  <c r="G77" i="5"/>
  <c r="H77" i="5"/>
  <c r="I77" i="5"/>
  <c r="J77" i="5"/>
  <c r="K77" i="5"/>
  <c r="L77" i="5"/>
  <c r="M77" i="5"/>
  <c r="N77" i="5"/>
  <c r="O77" i="5"/>
  <c r="P77" i="5"/>
  <c r="AC77" i="5" s="1"/>
  <c r="Q77" i="5"/>
  <c r="R77" i="5"/>
  <c r="S77" i="5"/>
  <c r="T77" i="5"/>
  <c r="U77" i="5"/>
  <c r="V77" i="5"/>
  <c r="W77" i="5"/>
  <c r="X77" i="5"/>
  <c r="B78" i="5"/>
  <c r="C78" i="5"/>
  <c r="D78" i="5"/>
  <c r="AB78" i="5" s="1"/>
  <c r="E78" i="5"/>
  <c r="F78" i="5"/>
  <c r="G78" i="5"/>
  <c r="H78" i="5"/>
  <c r="I78" i="5"/>
  <c r="J78" i="5"/>
  <c r="K78" i="5"/>
  <c r="L78" i="5"/>
  <c r="M78" i="5"/>
  <c r="N78" i="5"/>
  <c r="O78" i="5"/>
  <c r="P78" i="5"/>
  <c r="Q78" i="5"/>
  <c r="R78" i="5"/>
  <c r="S78" i="5"/>
  <c r="T78" i="5"/>
  <c r="U78" i="5"/>
  <c r="V78" i="5"/>
  <c r="W78" i="5"/>
  <c r="X78" i="5"/>
  <c r="B79" i="5"/>
  <c r="C79" i="5"/>
  <c r="D79" i="5"/>
  <c r="E79" i="5"/>
  <c r="F79" i="5"/>
  <c r="G79" i="5"/>
  <c r="H79" i="5"/>
  <c r="I79" i="5"/>
  <c r="J79" i="5"/>
  <c r="K79" i="5"/>
  <c r="L79" i="5"/>
  <c r="M79" i="5"/>
  <c r="N79" i="5"/>
  <c r="O79" i="5"/>
  <c r="P79" i="5"/>
  <c r="AC79" i="5" s="1"/>
  <c r="Q79" i="5"/>
  <c r="R79" i="5"/>
  <c r="S79" i="5"/>
  <c r="T79" i="5"/>
  <c r="U79" i="5"/>
  <c r="V79" i="5"/>
  <c r="W79" i="5"/>
  <c r="X79" i="5"/>
  <c r="B80" i="5"/>
  <c r="C80" i="5"/>
  <c r="D80" i="5"/>
  <c r="AB80" i="5" s="1"/>
  <c r="E80" i="5"/>
  <c r="F80" i="5"/>
  <c r="G80" i="5"/>
  <c r="H80" i="5"/>
  <c r="I80" i="5"/>
  <c r="J80" i="5"/>
  <c r="K80" i="5"/>
  <c r="L80" i="5"/>
  <c r="M80" i="5"/>
  <c r="N80" i="5"/>
  <c r="O80" i="5"/>
  <c r="P80" i="5"/>
  <c r="Q80" i="5"/>
  <c r="R80" i="5"/>
  <c r="S80" i="5"/>
  <c r="T80" i="5"/>
  <c r="U80" i="5"/>
  <c r="V80" i="5"/>
  <c r="W80" i="5"/>
  <c r="X80" i="5"/>
  <c r="B81" i="5"/>
  <c r="C81" i="5"/>
  <c r="D81" i="5"/>
  <c r="E81" i="5"/>
  <c r="F81" i="5"/>
  <c r="G81" i="5"/>
  <c r="H81" i="5"/>
  <c r="I81" i="5"/>
  <c r="J81" i="5"/>
  <c r="K81" i="5"/>
  <c r="L81" i="5"/>
  <c r="M81" i="5"/>
  <c r="N81" i="5"/>
  <c r="O81" i="5"/>
  <c r="P81" i="5"/>
  <c r="AC81" i="5" s="1"/>
  <c r="Q81" i="5"/>
  <c r="R81" i="5"/>
  <c r="S81" i="5"/>
  <c r="T81" i="5"/>
  <c r="U81" i="5"/>
  <c r="V81" i="5"/>
  <c r="W81" i="5"/>
  <c r="X81" i="5"/>
  <c r="B82" i="5"/>
  <c r="C82" i="5"/>
  <c r="D82" i="5"/>
  <c r="AB82" i="5" s="1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B83" i="5"/>
  <c r="C83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AC83" i="5" s="1"/>
  <c r="Q83" i="5"/>
  <c r="R83" i="5"/>
  <c r="S83" i="5"/>
  <c r="T83" i="5"/>
  <c r="U83" i="5"/>
  <c r="V83" i="5"/>
  <c r="W83" i="5"/>
  <c r="X83" i="5"/>
  <c r="B84" i="5"/>
  <c r="C84" i="5"/>
  <c r="D84" i="5"/>
  <c r="AB84" i="5" s="1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B85" i="5"/>
  <c r="C85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AC85" i="5" s="1"/>
  <c r="Q85" i="5"/>
  <c r="R85" i="5"/>
  <c r="S85" i="5"/>
  <c r="T85" i="5"/>
  <c r="U85" i="5"/>
  <c r="V85" i="5"/>
  <c r="W85" i="5"/>
  <c r="X85" i="5"/>
  <c r="B86" i="5"/>
  <c r="C86" i="5"/>
  <c r="D86" i="5"/>
  <c r="AB86" i="5" s="1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B87" i="5"/>
  <c r="C87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AC87" i="5" s="1"/>
  <c r="Q87" i="5"/>
  <c r="R87" i="5"/>
  <c r="S87" i="5"/>
  <c r="T87" i="5"/>
  <c r="U87" i="5"/>
  <c r="V87" i="5"/>
  <c r="W87" i="5"/>
  <c r="X87" i="5"/>
  <c r="B88" i="5"/>
  <c r="C88" i="5"/>
  <c r="D88" i="5"/>
  <c r="AB88" i="5" s="1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B89" i="5"/>
  <c r="C89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AC89" i="5" s="1"/>
  <c r="Q89" i="5"/>
  <c r="R89" i="5"/>
  <c r="S89" i="5"/>
  <c r="T89" i="5"/>
  <c r="U89" i="5"/>
  <c r="V89" i="5"/>
  <c r="W89" i="5"/>
  <c r="X89" i="5"/>
  <c r="B90" i="5"/>
  <c r="C90" i="5"/>
  <c r="D90" i="5"/>
  <c r="AB90" i="5" s="1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B91" i="5"/>
  <c r="C91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AC91" i="5" s="1"/>
  <c r="Q91" i="5"/>
  <c r="R91" i="5"/>
  <c r="S91" i="5"/>
  <c r="T91" i="5"/>
  <c r="U91" i="5"/>
  <c r="V91" i="5"/>
  <c r="W91" i="5"/>
  <c r="X91" i="5"/>
  <c r="B92" i="5"/>
  <c r="C92" i="5"/>
  <c r="D92" i="5"/>
  <c r="AB92" i="5" s="1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B93" i="5"/>
  <c r="C93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AC93" i="5" s="1"/>
  <c r="Q93" i="5"/>
  <c r="R93" i="5"/>
  <c r="S93" i="5"/>
  <c r="T93" i="5"/>
  <c r="U93" i="5"/>
  <c r="V93" i="5"/>
  <c r="W93" i="5"/>
  <c r="X93" i="5"/>
  <c r="B94" i="5"/>
  <c r="C94" i="5"/>
  <c r="D94" i="5"/>
  <c r="AB94" i="5" s="1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B95" i="5"/>
  <c r="C95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AC95" i="5" s="1"/>
  <c r="Q95" i="5"/>
  <c r="R95" i="5"/>
  <c r="S95" i="5"/>
  <c r="T95" i="5"/>
  <c r="U95" i="5"/>
  <c r="V95" i="5"/>
  <c r="W95" i="5"/>
  <c r="X95" i="5"/>
  <c r="B96" i="5"/>
  <c r="C96" i="5"/>
  <c r="D96" i="5"/>
  <c r="AB96" i="5" s="1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AC97" i="5" s="1"/>
  <c r="Q97" i="5"/>
  <c r="R97" i="5"/>
  <c r="S97" i="5"/>
  <c r="T97" i="5"/>
  <c r="U97" i="5"/>
  <c r="V97" i="5"/>
  <c r="W97" i="5"/>
  <c r="X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B99" i="5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AC99" i="5" s="1"/>
  <c r="Q99" i="5"/>
  <c r="R99" i="5"/>
  <c r="S99" i="5"/>
  <c r="T99" i="5"/>
  <c r="U99" i="5"/>
  <c r="V99" i="5"/>
  <c r="W99" i="5"/>
  <c r="X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B101" i="5"/>
  <c r="C101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AC101" i="5" s="1"/>
  <c r="Q101" i="5"/>
  <c r="R101" i="5"/>
  <c r="S101" i="5"/>
  <c r="T101" i="5"/>
  <c r="U101" i="5"/>
  <c r="V101" i="5"/>
  <c r="W101" i="5"/>
  <c r="X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B103" i="5"/>
  <c r="C103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AC103" i="5" s="1"/>
  <c r="Q103" i="5"/>
  <c r="R103" i="5"/>
  <c r="S103" i="5"/>
  <c r="T103" i="5"/>
  <c r="U103" i="5"/>
  <c r="V103" i="5"/>
  <c r="W103" i="5"/>
  <c r="X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AC105" i="5" s="1"/>
  <c r="Q105" i="5"/>
  <c r="R105" i="5"/>
  <c r="S105" i="5"/>
  <c r="T105" i="5"/>
  <c r="U105" i="5"/>
  <c r="V105" i="5"/>
  <c r="W105" i="5"/>
  <c r="X105" i="5"/>
  <c r="B106" i="5"/>
  <c r="C106" i="5"/>
  <c r="D106" i="5"/>
  <c r="AB106" i="5" s="1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AC107" i="5" s="1"/>
  <c r="Q107" i="5"/>
  <c r="R107" i="5"/>
  <c r="S107" i="5"/>
  <c r="T107" i="5"/>
  <c r="U107" i="5"/>
  <c r="V107" i="5"/>
  <c r="W107" i="5"/>
  <c r="X107" i="5"/>
  <c r="B108" i="5"/>
  <c r="C108" i="5"/>
  <c r="D108" i="5"/>
  <c r="AB108" i="5" s="1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AC109" i="5" s="1"/>
  <c r="Q109" i="5"/>
  <c r="R109" i="5"/>
  <c r="S109" i="5"/>
  <c r="T109" i="5"/>
  <c r="U109" i="5"/>
  <c r="V109" i="5"/>
  <c r="W109" i="5"/>
  <c r="X109" i="5"/>
  <c r="B110" i="5"/>
  <c r="C110" i="5"/>
  <c r="D110" i="5"/>
  <c r="AB110" i="5" s="1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AC111" i="5" s="1"/>
  <c r="Q111" i="5"/>
  <c r="R111" i="5"/>
  <c r="S111" i="5"/>
  <c r="T111" i="5"/>
  <c r="U111" i="5"/>
  <c r="V111" i="5"/>
  <c r="W111" i="5"/>
  <c r="X111" i="5"/>
  <c r="B112" i="5"/>
  <c r="C112" i="5"/>
  <c r="D112" i="5"/>
  <c r="AB112" i="5" s="1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AC113" i="5" s="1"/>
  <c r="Q113" i="5"/>
  <c r="R113" i="5"/>
  <c r="S113" i="5"/>
  <c r="T113" i="5"/>
  <c r="U113" i="5"/>
  <c r="V113" i="5"/>
  <c r="W113" i="5"/>
  <c r="X113" i="5"/>
  <c r="B114" i="5"/>
  <c r="C114" i="5"/>
  <c r="D114" i="5"/>
  <c r="AB114" i="5" s="1"/>
  <c r="E114" i="5"/>
  <c r="F114" i="5"/>
  <c r="G114" i="5"/>
  <c r="H114" i="5"/>
  <c r="I114" i="5"/>
  <c r="J114" i="5"/>
  <c r="K114" i="5"/>
  <c r="L114" i="5"/>
  <c r="M114" i="5"/>
  <c r="N114" i="5"/>
  <c r="O114" i="5"/>
  <c r="P114" i="5"/>
  <c r="Q114" i="5"/>
  <c r="R114" i="5"/>
  <c r="S114" i="5"/>
  <c r="T114" i="5"/>
  <c r="U114" i="5"/>
  <c r="V114" i="5"/>
  <c r="W114" i="5"/>
  <c r="X114" i="5"/>
  <c r="B115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AC115" i="5" s="1"/>
  <c r="Q115" i="5"/>
  <c r="R115" i="5"/>
  <c r="S115" i="5"/>
  <c r="T115" i="5"/>
  <c r="U115" i="5"/>
  <c r="V115" i="5"/>
  <c r="W115" i="5"/>
  <c r="X115" i="5"/>
  <c r="B116" i="5"/>
  <c r="C116" i="5"/>
  <c r="D116" i="5"/>
  <c r="AB116" i="5" s="1"/>
  <c r="E116" i="5"/>
  <c r="F116" i="5"/>
  <c r="G116" i="5"/>
  <c r="H116" i="5"/>
  <c r="I116" i="5"/>
  <c r="J116" i="5"/>
  <c r="K116" i="5"/>
  <c r="L116" i="5"/>
  <c r="M116" i="5"/>
  <c r="N116" i="5"/>
  <c r="O116" i="5"/>
  <c r="P116" i="5"/>
  <c r="Q116" i="5"/>
  <c r="R116" i="5"/>
  <c r="S116" i="5"/>
  <c r="T116" i="5"/>
  <c r="U116" i="5"/>
  <c r="V116" i="5"/>
  <c r="W116" i="5"/>
  <c r="X116" i="5"/>
  <c r="B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AC117" i="5" s="1"/>
  <c r="Q117" i="5"/>
  <c r="R117" i="5"/>
  <c r="S117" i="5"/>
  <c r="T117" i="5"/>
  <c r="U117" i="5"/>
  <c r="V117" i="5"/>
  <c r="W117" i="5"/>
  <c r="X117" i="5"/>
  <c r="B118" i="5"/>
  <c r="C118" i="5"/>
  <c r="D118" i="5"/>
  <c r="AB118" i="5" s="1"/>
  <c r="E118" i="5"/>
  <c r="F118" i="5"/>
  <c r="G118" i="5"/>
  <c r="H118" i="5"/>
  <c r="I118" i="5"/>
  <c r="J118" i="5"/>
  <c r="K118" i="5"/>
  <c r="L118" i="5"/>
  <c r="M118" i="5"/>
  <c r="N118" i="5"/>
  <c r="O118" i="5"/>
  <c r="P118" i="5"/>
  <c r="Q118" i="5"/>
  <c r="R118" i="5"/>
  <c r="S118" i="5"/>
  <c r="T118" i="5"/>
  <c r="U118" i="5"/>
  <c r="V118" i="5"/>
  <c r="W118" i="5"/>
  <c r="X118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AC119" i="5" s="1"/>
  <c r="Q119" i="5"/>
  <c r="R119" i="5"/>
  <c r="S119" i="5"/>
  <c r="T119" i="5"/>
  <c r="U119" i="5"/>
  <c r="V119" i="5"/>
  <c r="W119" i="5"/>
  <c r="X119" i="5"/>
  <c r="B120" i="5"/>
  <c r="C120" i="5"/>
  <c r="D120" i="5"/>
  <c r="AB120" i="5" s="1"/>
  <c r="E120" i="5"/>
  <c r="F120" i="5"/>
  <c r="G120" i="5"/>
  <c r="H120" i="5"/>
  <c r="I120" i="5"/>
  <c r="J120" i="5"/>
  <c r="K120" i="5"/>
  <c r="L120" i="5"/>
  <c r="M120" i="5"/>
  <c r="N120" i="5"/>
  <c r="O120" i="5"/>
  <c r="P120" i="5"/>
  <c r="Q120" i="5"/>
  <c r="R120" i="5"/>
  <c r="S120" i="5"/>
  <c r="T120" i="5"/>
  <c r="U120" i="5"/>
  <c r="V120" i="5"/>
  <c r="W120" i="5"/>
  <c r="X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AC121" i="5" s="1"/>
  <c r="Q121" i="5"/>
  <c r="R121" i="5"/>
  <c r="S121" i="5"/>
  <c r="T121" i="5"/>
  <c r="U121" i="5"/>
  <c r="V121" i="5"/>
  <c r="W121" i="5"/>
  <c r="X121" i="5"/>
  <c r="B122" i="5"/>
  <c r="C122" i="5"/>
  <c r="D122" i="5"/>
  <c r="AB122" i="5" s="1"/>
  <c r="E122" i="5"/>
  <c r="F122" i="5"/>
  <c r="G122" i="5"/>
  <c r="H122" i="5"/>
  <c r="I122" i="5"/>
  <c r="J122" i="5"/>
  <c r="K122" i="5"/>
  <c r="L122" i="5"/>
  <c r="M122" i="5"/>
  <c r="N122" i="5"/>
  <c r="O122" i="5"/>
  <c r="P122" i="5"/>
  <c r="Q122" i="5"/>
  <c r="R122" i="5"/>
  <c r="S122" i="5"/>
  <c r="T122" i="5"/>
  <c r="U122" i="5"/>
  <c r="V122" i="5"/>
  <c r="W122" i="5"/>
  <c r="X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AC123" i="5" s="1"/>
  <c r="Q123" i="5"/>
  <c r="R123" i="5"/>
  <c r="S123" i="5"/>
  <c r="T123" i="5"/>
  <c r="U123" i="5"/>
  <c r="V123" i="5"/>
  <c r="W123" i="5"/>
  <c r="X123" i="5"/>
  <c r="B124" i="5"/>
  <c r="C124" i="5"/>
  <c r="D124" i="5"/>
  <c r="AB124" i="5" s="1"/>
  <c r="E124" i="5"/>
  <c r="F124" i="5"/>
  <c r="G124" i="5"/>
  <c r="H124" i="5"/>
  <c r="I124" i="5"/>
  <c r="J124" i="5"/>
  <c r="K124" i="5"/>
  <c r="L124" i="5"/>
  <c r="M124" i="5"/>
  <c r="N124" i="5"/>
  <c r="O124" i="5"/>
  <c r="P124" i="5"/>
  <c r="Q124" i="5"/>
  <c r="R124" i="5"/>
  <c r="S124" i="5"/>
  <c r="T124" i="5"/>
  <c r="U124" i="5"/>
  <c r="V124" i="5"/>
  <c r="W124" i="5"/>
  <c r="X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AC125" i="5" s="1"/>
  <c r="Q125" i="5"/>
  <c r="R125" i="5"/>
  <c r="S125" i="5"/>
  <c r="T125" i="5"/>
  <c r="U125" i="5"/>
  <c r="V125" i="5"/>
  <c r="W125" i="5"/>
  <c r="X125" i="5"/>
  <c r="B126" i="5"/>
  <c r="C126" i="5"/>
  <c r="D126" i="5"/>
  <c r="AB126" i="5" s="1"/>
  <c r="E126" i="5"/>
  <c r="F126" i="5"/>
  <c r="G126" i="5"/>
  <c r="H126" i="5"/>
  <c r="I126" i="5"/>
  <c r="J126" i="5"/>
  <c r="K126" i="5"/>
  <c r="L126" i="5"/>
  <c r="M126" i="5"/>
  <c r="N126" i="5"/>
  <c r="O126" i="5"/>
  <c r="P126" i="5"/>
  <c r="Q126" i="5"/>
  <c r="R126" i="5"/>
  <c r="S126" i="5"/>
  <c r="T126" i="5"/>
  <c r="U126" i="5"/>
  <c r="V126" i="5"/>
  <c r="W126" i="5"/>
  <c r="X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AC127" i="5" s="1"/>
  <c r="Q127" i="5"/>
  <c r="R127" i="5"/>
  <c r="S127" i="5"/>
  <c r="T127" i="5"/>
  <c r="U127" i="5"/>
  <c r="V127" i="5"/>
  <c r="W127" i="5"/>
  <c r="X127" i="5"/>
  <c r="B128" i="5"/>
  <c r="C128" i="5"/>
  <c r="D128" i="5"/>
  <c r="AB128" i="5" s="1"/>
  <c r="E128" i="5"/>
  <c r="F128" i="5"/>
  <c r="G128" i="5"/>
  <c r="H128" i="5"/>
  <c r="I128" i="5"/>
  <c r="J128" i="5"/>
  <c r="K128" i="5"/>
  <c r="L128" i="5"/>
  <c r="M128" i="5"/>
  <c r="N128" i="5"/>
  <c r="O128" i="5"/>
  <c r="P128" i="5"/>
  <c r="Q128" i="5"/>
  <c r="R128" i="5"/>
  <c r="S128" i="5"/>
  <c r="T128" i="5"/>
  <c r="U128" i="5"/>
  <c r="V128" i="5"/>
  <c r="W128" i="5"/>
  <c r="X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AC129" i="5" s="1"/>
  <c r="Q129" i="5"/>
  <c r="R129" i="5"/>
  <c r="S129" i="5"/>
  <c r="T129" i="5"/>
  <c r="U129" i="5"/>
  <c r="V129" i="5"/>
  <c r="W129" i="5"/>
  <c r="X129" i="5"/>
  <c r="B130" i="5"/>
  <c r="C130" i="5"/>
  <c r="D130" i="5"/>
  <c r="AB130" i="5" s="1"/>
  <c r="E130" i="5"/>
  <c r="F130" i="5"/>
  <c r="G130" i="5"/>
  <c r="H130" i="5"/>
  <c r="I130" i="5"/>
  <c r="J130" i="5"/>
  <c r="K130" i="5"/>
  <c r="L130" i="5"/>
  <c r="M130" i="5"/>
  <c r="N130" i="5"/>
  <c r="O130" i="5"/>
  <c r="P130" i="5"/>
  <c r="Q130" i="5"/>
  <c r="R130" i="5"/>
  <c r="S130" i="5"/>
  <c r="T130" i="5"/>
  <c r="U130" i="5"/>
  <c r="V130" i="5"/>
  <c r="W130" i="5"/>
  <c r="X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AC131" i="5" s="1"/>
  <c r="Q131" i="5"/>
  <c r="R131" i="5"/>
  <c r="S131" i="5"/>
  <c r="T131" i="5"/>
  <c r="U131" i="5"/>
  <c r="V131" i="5"/>
  <c r="W131" i="5"/>
  <c r="X131" i="5"/>
  <c r="B132" i="5"/>
  <c r="C132" i="5"/>
  <c r="D132" i="5"/>
  <c r="AB132" i="5" s="1"/>
  <c r="E132" i="5"/>
  <c r="F132" i="5"/>
  <c r="G132" i="5"/>
  <c r="H132" i="5"/>
  <c r="I132" i="5"/>
  <c r="J132" i="5"/>
  <c r="K132" i="5"/>
  <c r="L132" i="5"/>
  <c r="M132" i="5"/>
  <c r="N132" i="5"/>
  <c r="O132" i="5"/>
  <c r="P132" i="5"/>
  <c r="Q132" i="5"/>
  <c r="R132" i="5"/>
  <c r="S132" i="5"/>
  <c r="T132" i="5"/>
  <c r="U132" i="5"/>
  <c r="V132" i="5"/>
  <c r="W132" i="5"/>
  <c r="X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AC133" i="5" s="1"/>
  <c r="Q133" i="5"/>
  <c r="R133" i="5"/>
  <c r="S133" i="5"/>
  <c r="T133" i="5"/>
  <c r="U133" i="5"/>
  <c r="V133" i="5"/>
  <c r="W133" i="5"/>
  <c r="X133" i="5"/>
  <c r="B134" i="5"/>
  <c r="C134" i="5"/>
  <c r="D134" i="5"/>
  <c r="AB134" i="5" s="1"/>
  <c r="E134" i="5"/>
  <c r="F134" i="5"/>
  <c r="G134" i="5"/>
  <c r="H134" i="5"/>
  <c r="I134" i="5"/>
  <c r="J134" i="5"/>
  <c r="K134" i="5"/>
  <c r="L134" i="5"/>
  <c r="M134" i="5"/>
  <c r="N134" i="5"/>
  <c r="O134" i="5"/>
  <c r="P134" i="5"/>
  <c r="Q134" i="5"/>
  <c r="R134" i="5"/>
  <c r="S134" i="5"/>
  <c r="T134" i="5"/>
  <c r="U134" i="5"/>
  <c r="V134" i="5"/>
  <c r="W134" i="5"/>
  <c r="X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AC135" i="5" s="1"/>
  <c r="Q135" i="5"/>
  <c r="R135" i="5"/>
  <c r="S135" i="5"/>
  <c r="T135" i="5"/>
  <c r="U135" i="5"/>
  <c r="V135" i="5"/>
  <c r="W135" i="5"/>
  <c r="X135" i="5"/>
  <c r="B136" i="5"/>
  <c r="C136" i="5"/>
  <c r="D136" i="5"/>
  <c r="AB136" i="5" s="1"/>
  <c r="E136" i="5"/>
  <c r="F136" i="5"/>
  <c r="G136" i="5"/>
  <c r="H136" i="5"/>
  <c r="I136" i="5"/>
  <c r="J136" i="5"/>
  <c r="K136" i="5"/>
  <c r="L136" i="5"/>
  <c r="M136" i="5"/>
  <c r="N136" i="5"/>
  <c r="O136" i="5"/>
  <c r="P136" i="5"/>
  <c r="Q136" i="5"/>
  <c r="R136" i="5"/>
  <c r="S136" i="5"/>
  <c r="T136" i="5"/>
  <c r="U136" i="5"/>
  <c r="V136" i="5"/>
  <c r="W136" i="5"/>
  <c r="X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AC137" i="5" s="1"/>
  <c r="Q137" i="5"/>
  <c r="R137" i="5"/>
  <c r="S137" i="5"/>
  <c r="T137" i="5"/>
  <c r="U137" i="5"/>
  <c r="V137" i="5"/>
  <c r="W137" i="5"/>
  <c r="X137" i="5"/>
  <c r="B138" i="5"/>
  <c r="C138" i="5"/>
  <c r="D138" i="5"/>
  <c r="AB138" i="5" s="1"/>
  <c r="E138" i="5"/>
  <c r="F138" i="5"/>
  <c r="G138" i="5"/>
  <c r="H138" i="5"/>
  <c r="I138" i="5"/>
  <c r="J138" i="5"/>
  <c r="K138" i="5"/>
  <c r="L138" i="5"/>
  <c r="M138" i="5"/>
  <c r="N138" i="5"/>
  <c r="O138" i="5"/>
  <c r="P138" i="5"/>
  <c r="Q138" i="5"/>
  <c r="R138" i="5"/>
  <c r="S138" i="5"/>
  <c r="T138" i="5"/>
  <c r="U138" i="5"/>
  <c r="V138" i="5"/>
  <c r="W138" i="5"/>
  <c r="X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AC139" i="5" s="1"/>
  <c r="Q139" i="5"/>
  <c r="R139" i="5"/>
  <c r="S139" i="5"/>
  <c r="T139" i="5"/>
  <c r="U139" i="5"/>
  <c r="V139" i="5"/>
  <c r="W139" i="5"/>
  <c r="X139" i="5"/>
  <c r="B140" i="5"/>
  <c r="C140" i="5"/>
  <c r="D140" i="5"/>
  <c r="AB140" i="5" s="1"/>
  <c r="E140" i="5"/>
  <c r="F140" i="5"/>
  <c r="G140" i="5"/>
  <c r="H140" i="5"/>
  <c r="I140" i="5"/>
  <c r="J140" i="5"/>
  <c r="K140" i="5"/>
  <c r="L140" i="5"/>
  <c r="M140" i="5"/>
  <c r="N140" i="5"/>
  <c r="O140" i="5"/>
  <c r="P140" i="5"/>
  <c r="Q140" i="5"/>
  <c r="R140" i="5"/>
  <c r="S140" i="5"/>
  <c r="T140" i="5"/>
  <c r="U140" i="5"/>
  <c r="V140" i="5"/>
  <c r="W140" i="5"/>
  <c r="X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AC141" i="5" s="1"/>
  <c r="Q141" i="5"/>
  <c r="R141" i="5"/>
  <c r="S141" i="5"/>
  <c r="T141" i="5"/>
  <c r="U141" i="5"/>
  <c r="V141" i="5"/>
  <c r="W141" i="5"/>
  <c r="X141" i="5"/>
  <c r="B142" i="5"/>
  <c r="C142" i="5"/>
  <c r="D142" i="5"/>
  <c r="AB142" i="5" s="1"/>
  <c r="E142" i="5"/>
  <c r="F142" i="5"/>
  <c r="G142" i="5"/>
  <c r="H142" i="5"/>
  <c r="I142" i="5"/>
  <c r="J142" i="5"/>
  <c r="K142" i="5"/>
  <c r="L142" i="5"/>
  <c r="M142" i="5"/>
  <c r="N142" i="5"/>
  <c r="O142" i="5"/>
  <c r="P142" i="5"/>
  <c r="Q142" i="5"/>
  <c r="R142" i="5"/>
  <c r="S142" i="5"/>
  <c r="T142" i="5"/>
  <c r="U142" i="5"/>
  <c r="V142" i="5"/>
  <c r="W142" i="5"/>
  <c r="X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AC143" i="5" s="1"/>
  <c r="Q143" i="5"/>
  <c r="R143" i="5"/>
  <c r="S143" i="5"/>
  <c r="T143" i="5"/>
  <c r="U143" i="5"/>
  <c r="V143" i="5"/>
  <c r="W143" i="5"/>
  <c r="X143" i="5"/>
  <c r="B144" i="5"/>
  <c r="C144" i="5"/>
  <c r="D144" i="5"/>
  <c r="AB144" i="5" s="1"/>
  <c r="E144" i="5"/>
  <c r="F144" i="5"/>
  <c r="G144" i="5"/>
  <c r="H144" i="5"/>
  <c r="I144" i="5"/>
  <c r="J144" i="5"/>
  <c r="K144" i="5"/>
  <c r="L144" i="5"/>
  <c r="M144" i="5"/>
  <c r="N144" i="5"/>
  <c r="O144" i="5"/>
  <c r="P144" i="5"/>
  <c r="Q144" i="5"/>
  <c r="R144" i="5"/>
  <c r="S144" i="5"/>
  <c r="T144" i="5"/>
  <c r="U144" i="5"/>
  <c r="V144" i="5"/>
  <c r="W144" i="5"/>
  <c r="X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AC145" i="5" s="1"/>
  <c r="Q145" i="5"/>
  <c r="R145" i="5"/>
  <c r="S145" i="5"/>
  <c r="T145" i="5"/>
  <c r="U145" i="5"/>
  <c r="V145" i="5"/>
  <c r="W145" i="5"/>
  <c r="X145" i="5"/>
  <c r="B146" i="5"/>
  <c r="C146" i="5"/>
  <c r="D146" i="5"/>
  <c r="AB146" i="5" s="1"/>
  <c r="E146" i="5"/>
  <c r="F146" i="5"/>
  <c r="G146" i="5"/>
  <c r="H146" i="5"/>
  <c r="I146" i="5"/>
  <c r="J146" i="5"/>
  <c r="K146" i="5"/>
  <c r="L146" i="5"/>
  <c r="M146" i="5"/>
  <c r="N146" i="5"/>
  <c r="O146" i="5"/>
  <c r="P146" i="5"/>
  <c r="Q146" i="5"/>
  <c r="R146" i="5"/>
  <c r="S146" i="5"/>
  <c r="T146" i="5"/>
  <c r="U146" i="5"/>
  <c r="V146" i="5"/>
  <c r="W146" i="5"/>
  <c r="X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AC147" i="5" s="1"/>
  <c r="Q147" i="5"/>
  <c r="R147" i="5"/>
  <c r="S147" i="5"/>
  <c r="T147" i="5"/>
  <c r="U147" i="5"/>
  <c r="V147" i="5"/>
  <c r="W147" i="5"/>
  <c r="X147" i="5"/>
  <c r="B148" i="5"/>
  <c r="C148" i="5"/>
  <c r="D148" i="5"/>
  <c r="AB148" i="5" s="1"/>
  <c r="E148" i="5"/>
  <c r="F148" i="5"/>
  <c r="G148" i="5"/>
  <c r="H148" i="5"/>
  <c r="I148" i="5"/>
  <c r="J148" i="5"/>
  <c r="K148" i="5"/>
  <c r="L148" i="5"/>
  <c r="M148" i="5"/>
  <c r="N148" i="5"/>
  <c r="O148" i="5"/>
  <c r="P148" i="5"/>
  <c r="Q148" i="5"/>
  <c r="R148" i="5"/>
  <c r="S148" i="5"/>
  <c r="T148" i="5"/>
  <c r="U148" i="5"/>
  <c r="V148" i="5"/>
  <c r="W148" i="5"/>
  <c r="X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AC149" i="5" s="1"/>
  <c r="Q149" i="5"/>
  <c r="R149" i="5"/>
  <c r="S149" i="5"/>
  <c r="T149" i="5"/>
  <c r="U149" i="5"/>
  <c r="V149" i="5"/>
  <c r="W149" i="5"/>
  <c r="X149" i="5"/>
  <c r="B150" i="5"/>
  <c r="C150" i="5"/>
  <c r="D150" i="5"/>
  <c r="AB150" i="5" s="1"/>
  <c r="E150" i="5"/>
  <c r="F150" i="5"/>
  <c r="G150" i="5"/>
  <c r="H150" i="5"/>
  <c r="I150" i="5"/>
  <c r="J150" i="5"/>
  <c r="K150" i="5"/>
  <c r="L150" i="5"/>
  <c r="M150" i="5"/>
  <c r="N150" i="5"/>
  <c r="O150" i="5"/>
  <c r="P150" i="5"/>
  <c r="Q150" i="5"/>
  <c r="R150" i="5"/>
  <c r="S150" i="5"/>
  <c r="T150" i="5"/>
  <c r="U150" i="5"/>
  <c r="V150" i="5"/>
  <c r="W150" i="5"/>
  <c r="X150" i="5"/>
  <c r="B151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AC151" i="5" s="1"/>
  <c r="Q151" i="5"/>
  <c r="R151" i="5"/>
  <c r="S151" i="5"/>
  <c r="T151" i="5"/>
  <c r="U151" i="5"/>
  <c r="V151" i="5"/>
  <c r="W151" i="5"/>
  <c r="X151" i="5"/>
  <c r="B152" i="5"/>
  <c r="C152" i="5"/>
  <c r="D152" i="5"/>
  <c r="AB152" i="5" s="1"/>
  <c r="E152" i="5"/>
  <c r="F152" i="5"/>
  <c r="G152" i="5"/>
  <c r="H152" i="5"/>
  <c r="I152" i="5"/>
  <c r="J152" i="5"/>
  <c r="K152" i="5"/>
  <c r="L152" i="5"/>
  <c r="M152" i="5"/>
  <c r="N152" i="5"/>
  <c r="O152" i="5"/>
  <c r="P152" i="5"/>
  <c r="Q152" i="5"/>
  <c r="R152" i="5"/>
  <c r="S152" i="5"/>
  <c r="T152" i="5"/>
  <c r="U152" i="5"/>
  <c r="V152" i="5"/>
  <c r="W152" i="5"/>
  <c r="X152" i="5"/>
  <c r="B153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AC153" i="5" s="1"/>
  <c r="Q153" i="5"/>
  <c r="R153" i="5"/>
  <c r="S153" i="5"/>
  <c r="T153" i="5"/>
  <c r="U153" i="5"/>
  <c r="V153" i="5"/>
  <c r="W153" i="5"/>
  <c r="X153" i="5"/>
  <c r="B154" i="5"/>
  <c r="C154" i="5"/>
  <c r="D154" i="5"/>
  <c r="AB154" i="5" s="1"/>
  <c r="E154" i="5"/>
  <c r="F154" i="5"/>
  <c r="G154" i="5"/>
  <c r="H154" i="5"/>
  <c r="I154" i="5"/>
  <c r="J154" i="5"/>
  <c r="K154" i="5"/>
  <c r="L154" i="5"/>
  <c r="M154" i="5"/>
  <c r="N154" i="5"/>
  <c r="O154" i="5"/>
  <c r="P154" i="5"/>
  <c r="Q154" i="5"/>
  <c r="R154" i="5"/>
  <c r="S154" i="5"/>
  <c r="T154" i="5"/>
  <c r="U154" i="5"/>
  <c r="V154" i="5"/>
  <c r="W154" i="5"/>
  <c r="X154" i="5"/>
  <c r="B155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AC155" i="5" s="1"/>
  <c r="Q155" i="5"/>
  <c r="R155" i="5"/>
  <c r="S155" i="5"/>
  <c r="T155" i="5"/>
  <c r="U155" i="5"/>
  <c r="V155" i="5"/>
  <c r="W155" i="5"/>
  <c r="X155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N156" i="5"/>
  <c r="O156" i="5"/>
  <c r="P156" i="5"/>
  <c r="Q156" i="5"/>
  <c r="R156" i="5"/>
  <c r="S156" i="5"/>
  <c r="T156" i="5"/>
  <c r="U156" i="5"/>
  <c r="V156" i="5"/>
  <c r="W156" i="5"/>
  <c r="X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AC157" i="5" s="1"/>
  <c r="Q157" i="5"/>
  <c r="R157" i="5"/>
  <c r="S157" i="5"/>
  <c r="T157" i="5"/>
  <c r="U157" i="5"/>
  <c r="V157" i="5"/>
  <c r="W157" i="5"/>
  <c r="X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N158" i="5"/>
  <c r="O158" i="5"/>
  <c r="P158" i="5"/>
  <c r="Q158" i="5"/>
  <c r="R158" i="5"/>
  <c r="S158" i="5"/>
  <c r="T158" i="5"/>
  <c r="U158" i="5"/>
  <c r="V158" i="5"/>
  <c r="W158" i="5"/>
  <c r="X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AC159" i="5" s="1"/>
  <c r="Q159" i="5"/>
  <c r="R159" i="5"/>
  <c r="S159" i="5"/>
  <c r="T159" i="5"/>
  <c r="U159" i="5"/>
  <c r="V159" i="5"/>
  <c r="W159" i="5"/>
  <c r="X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N160" i="5"/>
  <c r="O160" i="5"/>
  <c r="P160" i="5"/>
  <c r="Q160" i="5"/>
  <c r="R160" i="5"/>
  <c r="S160" i="5"/>
  <c r="T160" i="5"/>
  <c r="U160" i="5"/>
  <c r="V160" i="5"/>
  <c r="W160" i="5"/>
  <c r="X160" i="5"/>
  <c r="AB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AC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AC162" i="5" s="1"/>
  <c r="N162" i="5"/>
  <c r="O162" i="5"/>
  <c r="P162" i="5"/>
  <c r="Q162" i="5"/>
  <c r="R162" i="5"/>
  <c r="S162" i="5"/>
  <c r="T162" i="5"/>
  <c r="U162" i="5"/>
  <c r="V162" i="5"/>
  <c r="W162" i="5"/>
  <c r="X162" i="5"/>
  <c r="AB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AC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AC164" i="5" s="1"/>
  <c r="N164" i="5"/>
  <c r="O164" i="5"/>
  <c r="P164" i="5"/>
  <c r="Q164" i="5"/>
  <c r="R164" i="5"/>
  <c r="S164" i="5"/>
  <c r="T164" i="5"/>
  <c r="U164" i="5"/>
  <c r="V164" i="5"/>
  <c r="W164" i="5"/>
  <c r="X164" i="5"/>
  <c r="AB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AC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AC166" i="5" s="1"/>
  <c r="N166" i="5"/>
  <c r="O166" i="5"/>
  <c r="P166" i="5"/>
  <c r="Q166" i="5"/>
  <c r="R166" i="5"/>
  <c r="S166" i="5"/>
  <c r="T166" i="5"/>
  <c r="U166" i="5"/>
  <c r="V166" i="5"/>
  <c r="W166" i="5"/>
  <c r="X166" i="5"/>
  <c r="AB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AC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AC168" i="5" s="1"/>
  <c r="N168" i="5"/>
  <c r="O168" i="5"/>
  <c r="P168" i="5"/>
  <c r="Q168" i="5"/>
  <c r="R168" i="5"/>
  <c r="S168" i="5"/>
  <c r="T168" i="5"/>
  <c r="U168" i="5"/>
  <c r="V168" i="5"/>
  <c r="W168" i="5"/>
  <c r="X168" i="5"/>
  <c r="AB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AC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AC170" i="5" s="1"/>
  <c r="N170" i="5"/>
  <c r="O170" i="5"/>
  <c r="P170" i="5"/>
  <c r="Q170" i="5"/>
  <c r="R170" i="5"/>
  <c r="S170" i="5"/>
  <c r="T170" i="5"/>
  <c r="U170" i="5"/>
  <c r="V170" i="5"/>
  <c r="W170" i="5"/>
  <c r="X170" i="5"/>
  <c r="AB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AC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AC172" i="5" s="1"/>
  <c r="N172" i="5"/>
  <c r="O172" i="5"/>
  <c r="P172" i="5"/>
  <c r="Q172" i="5"/>
  <c r="R172" i="5"/>
  <c r="S172" i="5"/>
  <c r="T172" i="5"/>
  <c r="U172" i="5"/>
  <c r="V172" i="5"/>
  <c r="W172" i="5"/>
  <c r="X172" i="5"/>
  <c r="AB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AC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AC174" i="5" s="1"/>
  <c r="N174" i="5"/>
  <c r="O174" i="5"/>
  <c r="P174" i="5"/>
  <c r="Q174" i="5"/>
  <c r="R174" i="5"/>
  <c r="S174" i="5"/>
  <c r="T174" i="5"/>
  <c r="U174" i="5"/>
  <c r="V174" i="5"/>
  <c r="W174" i="5"/>
  <c r="X174" i="5"/>
  <c r="AB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AC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AC176" i="5" s="1"/>
  <c r="N176" i="5"/>
  <c r="O176" i="5"/>
  <c r="P176" i="5"/>
  <c r="Q176" i="5"/>
  <c r="R176" i="5"/>
  <c r="S176" i="5"/>
  <c r="T176" i="5"/>
  <c r="U176" i="5"/>
  <c r="V176" i="5"/>
  <c r="W176" i="5"/>
  <c r="X176" i="5"/>
  <c r="AB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AC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AC178" i="5" s="1"/>
  <c r="N178" i="5"/>
  <c r="O178" i="5"/>
  <c r="P178" i="5"/>
  <c r="Q178" i="5"/>
  <c r="R178" i="5"/>
  <c r="S178" i="5"/>
  <c r="T178" i="5"/>
  <c r="U178" i="5"/>
  <c r="V178" i="5"/>
  <c r="W178" i="5"/>
  <c r="X178" i="5"/>
  <c r="AB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AC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AC180" i="5" s="1"/>
  <c r="N180" i="5"/>
  <c r="O180" i="5"/>
  <c r="P180" i="5"/>
  <c r="Q180" i="5"/>
  <c r="R180" i="5"/>
  <c r="S180" i="5"/>
  <c r="T180" i="5"/>
  <c r="U180" i="5"/>
  <c r="V180" i="5"/>
  <c r="W180" i="5"/>
  <c r="X180" i="5"/>
  <c r="AB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AC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AC182" i="5" s="1"/>
  <c r="N182" i="5"/>
  <c r="O182" i="5"/>
  <c r="P182" i="5"/>
  <c r="Q182" i="5"/>
  <c r="R182" i="5"/>
  <c r="S182" i="5"/>
  <c r="T182" i="5"/>
  <c r="U182" i="5"/>
  <c r="V182" i="5"/>
  <c r="W182" i="5"/>
  <c r="X182" i="5"/>
  <c r="AB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AC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AC184" i="5" s="1"/>
  <c r="N184" i="5"/>
  <c r="O184" i="5"/>
  <c r="P184" i="5"/>
  <c r="Q184" i="5"/>
  <c r="R184" i="5"/>
  <c r="S184" i="5"/>
  <c r="T184" i="5"/>
  <c r="U184" i="5"/>
  <c r="V184" i="5"/>
  <c r="W184" i="5"/>
  <c r="X184" i="5"/>
  <c r="AB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AC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AC186" i="5" s="1"/>
  <c r="N186" i="5"/>
  <c r="O186" i="5"/>
  <c r="P186" i="5"/>
  <c r="Q186" i="5"/>
  <c r="R186" i="5"/>
  <c r="S186" i="5"/>
  <c r="T186" i="5"/>
  <c r="U186" i="5"/>
  <c r="V186" i="5"/>
  <c r="W186" i="5"/>
  <c r="X186" i="5"/>
  <c r="AB186" i="5"/>
  <c r="B187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U187" i="5"/>
  <c r="V187" i="5"/>
  <c r="W187" i="5"/>
  <c r="X187" i="5"/>
  <c r="AC187" i="5"/>
  <c r="B188" i="5"/>
  <c r="C188" i="5"/>
  <c r="D188" i="5"/>
  <c r="E188" i="5"/>
  <c r="F188" i="5"/>
  <c r="G188" i="5"/>
  <c r="H188" i="5"/>
  <c r="I188" i="5"/>
  <c r="J188" i="5"/>
  <c r="K188" i="5"/>
  <c r="L188" i="5"/>
  <c r="M188" i="5"/>
  <c r="AC188" i="5" s="1"/>
  <c r="N188" i="5"/>
  <c r="O188" i="5"/>
  <c r="P188" i="5"/>
  <c r="Q188" i="5"/>
  <c r="R188" i="5"/>
  <c r="S188" i="5"/>
  <c r="T188" i="5"/>
  <c r="U188" i="5"/>
  <c r="V188" i="5"/>
  <c r="W188" i="5"/>
  <c r="X188" i="5"/>
  <c r="AB188" i="5"/>
  <c r="B189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U189" i="5"/>
  <c r="V189" i="5"/>
  <c r="W189" i="5"/>
  <c r="X189" i="5"/>
  <c r="AC189" i="5"/>
  <c r="B190" i="5"/>
  <c r="C190" i="5"/>
  <c r="D190" i="5"/>
  <c r="E190" i="5"/>
  <c r="F190" i="5"/>
  <c r="G190" i="5"/>
  <c r="H190" i="5"/>
  <c r="I190" i="5"/>
  <c r="J190" i="5"/>
  <c r="K190" i="5"/>
  <c r="L190" i="5"/>
  <c r="M190" i="5"/>
  <c r="AC190" i="5" s="1"/>
  <c r="N190" i="5"/>
  <c r="O190" i="5"/>
  <c r="P190" i="5"/>
  <c r="Q190" i="5"/>
  <c r="R190" i="5"/>
  <c r="S190" i="5"/>
  <c r="T190" i="5"/>
  <c r="U190" i="5"/>
  <c r="V190" i="5"/>
  <c r="W190" i="5"/>
  <c r="X190" i="5"/>
  <c r="AB190" i="5"/>
  <c r="B191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U191" i="5"/>
  <c r="V191" i="5"/>
  <c r="W191" i="5"/>
  <c r="X191" i="5"/>
  <c r="AC191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AC192" i="5" s="1"/>
  <c r="N192" i="5"/>
  <c r="O192" i="5"/>
  <c r="P192" i="5"/>
  <c r="Q192" i="5"/>
  <c r="R192" i="5"/>
  <c r="S192" i="5"/>
  <c r="T192" i="5"/>
  <c r="U192" i="5"/>
  <c r="V192" i="5"/>
  <c r="W192" i="5"/>
  <c r="X192" i="5"/>
  <c r="AB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AC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AC194" i="5" s="1"/>
  <c r="N194" i="5"/>
  <c r="O194" i="5"/>
  <c r="P194" i="5"/>
  <c r="Q194" i="5"/>
  <c r="R194" i="5"/>
  <c r="S194" i="5"/>
  <c r="T194" i="5"/>
  <c r="U194" i="5"/>
  <c r="V194" i="5"/>
  <c r="W194" i="5"/>
  <c r="X194" i="5"/>
  <c r="AB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AC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AC196" i="5" s="1"/>
  <c r="N196" i="5"/>
  <c r="O196" i="5"/>
  <c r="P196" i="5"/>
  <c r="Q196" i="5"/>
  <c r="R196" i="5"/>
  <c r="S196" i="5"/>
  <c r="T196" i="5"/>
  <c r="U196" i="5"/>
  <c r="V196" i="5"/>
  <c r="W196" i="5"/>
  <c r="X196" i="5"/>
  <c r="AB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AC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AC198" i="5" s="1"/>
  <c r="N198" i="5"/>
  <c r="O198" i="5"/>
  <c r="P198" i="5"/>
  <c r="Q198" i="5"/>
  <c r="R198" i="5"/>
  <c r="S198" i="5"/>
  <c r="T198" i="5"/>
  <c r="U198" i="5"/>
  <c r="V198" i="5"/>
  <c r="W198" i="5"/>
  <c r="X198" i="5"/>
  <c r="AB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AC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AC200" i="5" s="1"/>
  <c r="N200" i="5"/>
  <c r="O200" i="5"/>
  <c r="P200" i="5"/>
  <c r="Q200" i="5"/>
  <c r="R200" i="5"/>
  <c r="S200" i="5"/>
  <c r="T200" i="5"/>
  <c r="U200" i="5"/>
  <c r="V200" i="5"/>
  <c r="W200" i="5"/>
  <c r="X200" i="5"/>
  <c r="AB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AC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AC202" i="5" s="1"/>
  <c r="N202" i="5"/>
  <c r="O202" i="5"/>
  <c r="P202" i="5"/>
  <c r="Q202" i="5"/>
  <c r="R202" i="5"/>
  <c r="S202" i="5"/>
  <c r="T202" i="5"/>
  <c r="U202" i="5"/>
  <c r="V202" i="5"/>
  <c r="W202" i="5"/>
  <c r="X202" i="5"/>
  <c r="AB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AC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AC204" i="5" s="1"/>
  <c r="N204" i="5"/>
  <c r="O204" i="5"/>
  <c r="P204" i="5"/>
  <c r="Q204" i="5"/>
  <c r="R204" i="5"/>
  <c r="S204" i="5"/>
  <c r="T204" i="5"/>
  <c r="U204" i="5"/>
  <c r="V204" i="5"/>
  <c r="W204" i="5"/>
  <c r="X204" i="5"/>
  <c r="AB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AC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AC206" i="5" s="1"/>
  <c r="N206" i="5"/>
  <c r="O206" i="5"/>
  <c r="P206" i="5"/>
  <c r="Q206" i="5"/>
  <c r="R206" i="5"/>
  <c r="S206" i="5"/>
  <c r="T206" i="5"/>
  <c r="U206" i="5"/>
  <c r="V206" i="5"/>
  <c r="W206" i="5"/>
  <c r="X206" i="5"/>
  <c r="AB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AC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AC208" i="5" s="1"/>
  <c r="N208" i="5"/>
  <c r="O208" i="5"/>
  <c r="P208" i="5"/>
  <c r="Q208" i="5"/>
  <c r="R208" i="5"/>
  <c r="S208" i="5"/>
  <c r="T208" i="5"/>
  <c r="U208" i="5"/>
  <c r="V208" i="5"/>
  <c r="W208" i="5"/>
  <c r="X208" i="5"/>
  <c r="AB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AC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AC210" i="5" s="1"/>
  <c r="N210" i="5"/>
  <c r="O210" i="5"/>
  <c r="P210" i="5"/>
  <c r="Q210" i="5"/>
  <c r="R210" i="5"/>
  <c r="S210" i="5"/>
  <c r="T210" i="5"/>
  <c r="U210" i="5"/>
  <c r="V210" i="5"/>
  <c r="W210" i="5"/>
  <c r="X210" i="5"/>
  <c r="AB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AC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AC212" i="5" s="1"/>
  <c r="N212" i="5"/>
  <c r="O212" i="5"/>
  <c r="P212" i="5"/>
  <c r="Q212" i="5"/>
  <c r="R212" i="5"/>
  <c r="S212" i="5"/>
  <c r="T212" i="5"/>
  <c r="U212" i="5"/>
  <c r="V212" i="5"/>
  <c r="W212" i="5"/>
  <c r="X212" i="5"/>
  <c r="AB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AC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AC214" i="5" s="1"/>
  <c r="N214" i="5"/>
  <c r="O214" i="5"/>
  <c r="P214" i="5"/>
  <c r="Q214" i="5"/>
  <c r="R214" i="5"/>
  <c r="S214" i="5"/>
  <c r="T214" i="5"/>
  <c r="U214" i="5"/>
  <c r="V214" i="5"/>
  <c r="W214" i="5"/>
  <c r="X214" i="5"/>
  <c r="AB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AC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AC216" i="5" s="1"/>
  <c r="N216" i="5"/>
  <c r="O216" i="5"/>
  <c r="P216" i="5"/>
  <c r="Q216" i="5"/>
  <c r="R216" i="5"/>
  <c r="S216" i="5"/>
  <c r="T216" i="5"/>
  <c r="U216" i="5"/>
  <c r="V216" i="5"/>
  <c r="W216" i="5"/>
  <c r="X216" i="5"/>
  <c r="AB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AC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AC218" i="5" s="1"/>
  <c r="N218" i="5"/>
  <c r="O218" i="5"/>
  <c r="P218" i="5"/>
  <c r="Q218" i="5"/>
  <c r="R218" i="5"/>
  <c r="S218" i="5"/>
  <c r="T218" i="5"/>
  <c r="U218" i="5"/>
  <c r="V218" i="5"/>
  <c r="W218" i="5"/>
  <c r="X218" i="5"/>
  <c r="AB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AC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AC220" i="5" s="1"/>
  <c r="N220" i="5"/>
  <c r="O220" i="5"/>
  <c r="P220" i="5"/>
  <c r="Q220" i="5"/>
  <c r="R220" i="5"/>
  <c r="S220" i="5"/>
  <c r="T220" i="5"/>
  <c r="U220" i="5"/>
  <c r="V220" i="5"/>
  <c r="W220" i="5"/>
  <c r="X220" i="5"/>
  <c r="AB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AC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AC222" i="5" s="1"/>
  <c r="N222" i="5"/>
  <c r="O222" i="5"/>
  <c r="P222" i="5"/>
  <c r="Q222" i="5"/>
  <c r="R222" i="5"/>
  <c r="S222" i="5"/>
  <c r="T222" i="5"/>
  <c r="U222" i="5"/>
  <c r="V222" i="5"/>
  <c r="W222" i="5"/>
  <c r="X222" i="5"/>
  <c r="AB222" i="5"/>
  <c r="B223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W223" i="5"/>
  <c r="X223" i="5"/>
  <c r="AC223" i="5"/>
  <c r="B224" i="5"/>
  <c r="C224" i="5"/>
  <c r="D224" i="5"/>
  <c r="E224" i="5"/>
  <c r="F224" i="5"/>
  <c r="G224" i="5"/>
  <c r="H224" i="5"/>
  <c r="I224" i="5"/>
  <c r="J224" i="5"/>
  <c r="K224" i="5"/>
  <c r="L224" i="5"/>
  <c r="M224" i="5"/>
  <c r="AC224" i="5" s="1"/>
  <c r="N224" i="5"/>
  <c r="O224" i="5"/>
  <c r="P224" i="5"/>
  <c r="Q224" i="5"/>
  <c r="R224" i="5"/>
  <c r="S224" i="5"/>
  <c r="T224" i="5"/>
  <c r="U224" i="5"/>
  <c r="V224" i="5"/>
  <c r="W224" i="5"/>
  <c r="X224" i="5"/>
  <c r="AB224" i="5"/>
  <c r="B225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U225" i="5"/>
  <c r="V225" i="5"/>
  <c r="W225" i="5"/>
  <c r="X225" i="5"/>
  <c r="AC225" i="5"/>
  <c r="B226" i="5"/>
  <c r="C226" i="5"/>
  <c r="D226" i="5"/>
  <c r="E226" i="5"/>
  <c r="F226" i="5"/>
  <c r="G226" i="5"/>
  <c r="H226" i="5"/>
  <c r="I226" i="5"/>
  <c r="J226" i="5"/>
  <c r="K226" i="5"/>
  <c r="L226" i="5"/>
  <c r="M226" i="5"/>
  <c r="AC226" i="5" s="1"/>
  <c r="N226" i="5"/>
  <c r="O226" i="5"/>
  <c r="P226" i="5"/>
  <c r="Q226" i="5"/>
  <c r="R226" i="5"/>
  <c r="S226" i="5"/>
  <c r="T226" i="5"/>
  <c r="U226" i="5"/>
  <c r="V226" i="5"/>
  <c r="W226" i="5"/>
  <c r="X226" i="5"/>
  <c r="AB226" i="5"/>
  <c r="B227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X227" i="5"/>
  <c r="AC227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AC228" i="5" s="1"/>
  <c r="N228" i="5"/>
  <c r="O228" i="5"/>
  <c r="P228" i="5"/>
  <c r="Q228" i="5"/>
  <c r="R228" i="5"/>
  <c r="S228" i="5"/>
  <c r="T228" i="5"/>
  <c r="U228" i="5"/>
  <c r="V228" i="5"/>
  <c r="W228" i="5"/>
  <c r="X228" i="5"/>
  <c r="AB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AC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AC230" i="5" s="1"/>
  <c r="N230" i="5"/>
  <c r="O230" i="5"/>
  <c r="P230" i="5"/>
  <c r="Q230" i="5"/>
  <c r="R230" i="5"/>
  <c r="S230" i="5"/>
  <c r="T230" i="5"/>
  <c r="U230" i="5"/>
  <c r="V230" i="5"/>
  <c r="W230" i="5"/>
  <c r="X230" i="5"/>
  <c r="AB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AC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AC232" i="5" s="1"/>
  <c r="N232" i="5"/>
  <c r="O232" i="5"/>
  <c r="P232" i="5"/>
  <c r="Q232" i="5"/>
  <c r="R232" i="5"/>
  <c r="S232" i="5"/>
  <c r="T232" i="5"/>
  <c r="U232" i="5"/>
  <c r="V232" i="5"/>
  <c r="W232" i="5"/>
  <c r="X232" i="5"/>
  <c r="AB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AC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AC234" i="5" s="1"/>
  <c r="N234" i="5"/>
  <c r="O234" i="5"/>
  <c r="P234" i="5"/>
  <c r="Q234" i="5"/>
  <c r="R234" i="5"/>
  <c r="S234" i="5"/>
  <c r="T234" i="5"/>
  <c r="U234" i="5"/>
  <c r="V234" i="5"/>
  <c r="W234" i="5"/>
  <c r="X234" i="5"/>
  <c r="AB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AC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AC236" i="5" s="1"/>
  <c r="N236" i="5"/>
  <c r="O236" i="5"/>
  <c r="P236" i="5"/>
  <c r="Q236" i="5"/>
  <c r="R236" i="5"/>
  <c r="S236" i="5"/>
  <c r="T236" i="5"/>
  <c r="U236" i="5"/>
  <c r="V236" i="5"/>
  <c r="W236" i="5"/>
  <c r="X236" i="5"/>
  <c r="AB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AC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AC238" i="5" s="1"/>
  <c r="N238" i="5"/>
  <c r="O238" i="5"/>
  <c r="P238" i="5"/>
  <c r="Q238" i="5"/>
  <c r="R238" i="5"/>
  <c r="S238" i="5"/>
  <c r="T238" i="5"/>
  <c r="U238" i="5"/>
  <c r="V238" i="5"/>
  <c r="W238" i="5"/>
  <c r="X238" i="5"/>
  <c r="AB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AC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AC240" i="5" s="1"/>
  <c r="N240" i="5"/>
  <c r="O240" i="5"/>
  <c r="P240" i="5"/>
  <c r="Q240" i="5"/>
  <c r="R240" i="5"/>
  <c r="S240" i="5"/>
  <c r="T240" i="5"/>
  <c r="U240" i="5"/>
  <c r="V240" i="5"/>
  <c r="W240" i="5"/>
  <c r="X240" i="5"/>
  <c r="AB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AC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AC242" i="5" s="1"/>
  <c r="N242" i="5"/>
  <c r="O242" i="5"/>
  <c r="P242" i="5"/>
  <c r="Q242" i="5"/>
  <c r="R242" i="5"/>
  <c r="S242" i="5"/>
  <c r="T242" i="5"/>
  <c r="U242" i="5"/>
  <c r="V242" i="5"/>
  <c r="W242" i="5"/>
  <c r="X242" i="5"/>
  <c r="AB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AC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AC244" i="5" s="1"/>
  <c r="N244" i="5"/>
  <c r="O244" i="5"/>
  <c r="P244" i="5"/>
  <c r="Q244" i="5"/>
  <c r="R244" i="5"/>
  <c r="S244" i="5"/>
  <c r="T244" i="5"/>
  <c r="U244" i="5"/>
  <c r="V244" i="5"/>
  <c r="W244" i="5"/>
  <c r="X244" i="5"/>
  <c r="AB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AC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AC246" i="5" s="1"/>
  <c r="N246" i="5"/>
  <c r="O246" i="5"/>
  <c r="P246" i="5"/>
  <c r="Q246" i="5"/>
  <c r="R246" i="5"/>
  <c r="S246" i="5"/>
  <c r="T246" i="5"/>
  <c r="U246" i="5"/>
  <c r="V246" i="5"/>
  <c r="W246" i="5"/>
  <c r="X246" i="5"/>
  <c r="AB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AC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AC248" i="5" s="1"/>
  <c r="N248" i="5"/>
  <c r="O248" i="5"/>
  <c r="P248" i="5"/>
  <c r="Q248" i="5"/>
  <c r="R248" i="5"/>
  <c r="S248" i="5"/>
  <c r="T248" i="5"/>
  <c r="U248" i="5"/>
  <c r="V248" i="5"/>
  <c r="W248" i="5"/>
  <c r="X248" i="5"/>
  <c r="AB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AC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AC250" i="5" s="1"/>
  <c r="N250" i="5"/>
  <c r="O250" i="5"/>
  <c r="P250" i="5"/>
  <c r="Q250" i="5"/>
  <c r="R250" i="5"/>
  <c r="S250" i="5"/>
  <c r="T250" i="5"/>
  <c r="U250" i="5"/>
  <c r="V250" i="5"/>
  <c r="W250" i="5"/>
  <c r="X250" i="5"/>
  <c r="AB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AC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AC252" i="5" s="1"/>
  <c r="N252" i="5"/>
  <c r="O252" i="5"/>
  <c r="P252" i="5"/>
  <c r="Q252" i="5"/>
  <c r="R252" i="5"/>
  <c r="S252" i="5"/>
  <c r="T252" i="5"/>
  <c r="U252" i="5"/>
  <c r="V252" i="5"/>
  <c r="W252" i="5"/>
  <c r="X252" i="5"/>
  <c r="AB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AC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AC254" i="5" s="1"/>
  <c r="N254" i="5"/>
  <c r="O254" i="5"/>
  <c r="P254" i="5"/>
  <c r="Q254" i="5"/>
  <c r="R254" i="5"/>
  <c r="S254" i="5"/>
  <c r="T254" i="5"/>
  <c r="U254" i="5"/>
  <c r="V254" i="5"/>
  <c r="W254" i="5"/>
  <c r="X254" i="5"/>
  <c r="AB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AC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AC256" i="5" s="1"/>
  <c r="N256" i="5"/>
  <c r="O256" i="5"/>
  <c r="P256" i="5"/>
  <c r="Q256" i="5"/>
  <c r="R256" i="5"/>
  <c r="S256" i="5"/>
  <c r="T256" i="5"/>
  <c r="U256" i="5"/>
  <c r="V256" i="5"/>
  <c r="W256" i="5"/>
  <c r="X256" i="5"/>
  <c r="AB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AC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AC258" i="5" s="1"/>
  <c r="N258" i="5"/>
  <c r="O258" i="5"/>
  <c r="P258" i="5"/>
  <c r="Q258" i="5"/>
  <c r="R258" i="5"/>
  <c r="S258" i="5"/>
  <c r="T258" i="5"/>
  <c r="U258" i="5"/>
  <c r="V258" i="5"/>
  <c r="W258" i="5"/>
  <c r="X258" i="5"/>
  <c r="AB258" i="5"/>
  <c r="B259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U259" i="5"/>
  <c r="V259" i="5"/>
  <c r="W259" i="5"/>
  <c r="X259" i="5"/>
  <c r="AC259" i="5"/>
  <c r="B260" i="5"/>
  <c r="C260" i="5"/>
  <c r="D260" i="5"/>
  <c r="E260" i="5"/>
  <c r="F260" i="5"/>
  <c r="G260" i="5"/>
  <c r="H260" i="5"/>
  <c r="I260" i="5"/>
  <c r="J260" i="5"/>
  <c r="K260" i="5"/>
  <c r="L260" i="5"/>
  <c r="M260" i="5"/>
  <c r="AC260" i="5" s="1"/>
  <c r="N260" i="5"/>
  <c r="O260" i="5"/>
  <c r="P260" i="5"/>
  <c r="Q260" i="5"/>
  <c r="R260" i="5"/>
  <c r="S260" i="5"/>
  <c r="T260" i="5"/>
  <c r="U260" i="5"/>
  <c r="V260" i="5"/>
  <c r="W260" i="5"/>
  <c r="X260" i="5"/>
  <c r="AB260" i="5"/>
  <c r="B261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U261" i="5"/>
  <c r="V261" i="5"/>
  <c r="W261" i="5"/>
  <c r="X261" i="5"/>
  <c r="AC261" i="5"/>
  <c r="B262" i="5"/>
  <c r="C262" i="5"/>
  <c r="D262" i="5"/>
  <c r="E262" i="5"/>
  <c r="F262" i="5"/>
  <c r="G262" i="5"/>
  <c r="H262" i="5"/>
  <c r="I262" i="5"/>
  <c r="J262" i="5"/>
  <c r="K262" i="5"/>
  <c r="L262" i="5"/>
  <c r="M262" i="5"/>
  <c r="AC262" i="5" s="1"/>
  <c r="N262" i="5"/>
  <c r="O262" i="5"/>
  <c r="P262" i="5"/>
  <c r="Q262" i="5"/>
  <c r="R262" i="5"/>
  <c r="S262" i="5"/>
  <c r="T262" i="5"/>
  <c r="U262" i="5"/>
  <c r="V262" i="5"/>
  <c r="W262" i="5"/>
  <c r="X262" i="5"/>
  <c r="AB262" i="5"/>
  <c r="B263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AC263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AC264" i="5" s="1"/>
  <c r="N264" i="5"/>
  <c r="O264" i="5"/>
  <c r="P264" i="5"/>
  <c r="Q264" i="5"/>
  <c r="R264" i="5"/>
  <c r="S264" i="5"/>
  <c r="T264" i="5"/>
  <c r="U264" i="5"/>
  <c r="V264" i="5"/>
  <c r="W264" i="5"/>
  <c r="X264" i="5"/>
  <c r="AB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AC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AC266" i="5" s="1"/>
  <c r="N266" i="5"/>
  <c r="O266" i="5"/>
  <c r="P266" i="5"/>
  <c r="Q266" i="5"/>
  <c r="R266" i="5"/>
  <c r="S266" i="5"/>
  <c r="T266" i="5"/>
  <c r="U266" i="5"/>
  <c r="V266" i="5"/>
  <c r="W266" i="5"/>
  <c r="X266" i="5"/>
  <c r="AB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AC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AC268" i="5" s="1"/>
  <c r="N268" i="5"/>
  <c r="O268" i="5"/>
  <c r="P268" i="5"/>
  <c r="Q268" i="5"/>
  <c r="R268" i="5"/>
  <c r="S268" i="5"/>
  <c r="T268" i="5"/>
  <c r="U268" i="5"/>
  <c r="V268" i="5"/>
  <c r="W268" i="5"/>
  <c r="X268" i="5"/>
  <c r="AB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AC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AC270" i="5" s="1"/>
  <c r="N270" i="5"/>
  <c r="O270" i="5"/>
  <c r="P270" i="5"/>
  <c r="Q270" i="5"/>
  <c r="R270" i="5"/>
  <c r="S270" i="5"/>
  <c r="T270" i="5"/>
  <c r="U270" i="5"/>
  <c r="V270" i="5"/>
  <c r="W270" i="5"/>
  <c r="X270" i="5"/>
  <c r="AB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AC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AC272" i="5" s="1"/>
  <c r="N272" i="5"/>
  <c r="O272" i="5"/>
  <c r="P272" i="5"/>
  <c r="Q272" i="5"/>
  <c r="R272" i="5"/>
  <c r="S272" i="5"/>
  <c r="T272" i="5"/>
  <c r="U272" i="5"/>
  <c r="V272" i="5"/>
  <c r="W272" i="5"/>
  <c r="X272" i="5"/>
  <c r="AB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AC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AC274" i="5" s="1"/>
  <c r="N274" i="5"/>
  <c r="O274" i="5"/>
  <c r="P274" i="5"/>
  <c r="Q274" i="5"/>
  <c r="R274" i="5"/>
  <c r="S274" i="5"/>
  <c r="T274" i="5"/>
  <c r="U274" i="5"/>
  <c r="V274" i="5"/>
  <c r="W274" i="5"/>
  <c r="X274" i="5"/>
  <c r="AB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AC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AC276" i="5" s="1"/>
  <c r="N276" i="5"/>
  <c r="O276" i="5"/>
  <c r="P276" i="5"/>
  <c r="Q276" i="5"/>
  <c r="R276" i="5"/>
  <c r="S276" i="5"/>
  <c r="T276" i="5"/>
  <c r="U276" i="5"/>
  <c r="V276" i="5"/>
  <c r="W276" i="5"/>
  <c r="X276" i="5"/>
  <c r="AB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AC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AC278" i="5" s="1"/>
  <c r="N278" i="5"/>
  <c r="O278" i="5"/>
  <c r="P278" i="5"/>
  <c r="Q278" i="5"/>
  <c r="R278" i="5"/>
  <c r="S278" i="5"/>
  <c r="T278" i="5"/>
  <c r="U278" i="5"/>
  <c r="V278" i="5"/>
  <c r="W278" i="5"/>
  <c r="X278" i="5"/>
  <c r="AB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AC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AC280" i="5" s="1"/>
  <c r="N280" i="5"/>
  <c r="O280" i="5"/>
  <c r="P280" i="5"/>
  <c r="Q280" i="5"/>
  <c r="R280" i="5"/>
  <c r="S280" i="5"/>
  <c r="T280" i="5"/>
  <c r="U280" i="5"/>
  <c r="V280" i="5"/>
  <c r="W280" i="5"/>
  <c r="X280" i="5"/>
  <c r="AB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AC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AC282" i="5" s="1"/>
  <c r="N282" i="5"/>
  <c r="O282" i="5"/>
  <c r="P282" i="5"/>
  <c r="Q282" i="5"/>
  <c r="R282" i="5"/>
  <c r="S282" i="5"/>
  <c r="T282" i="5"/>
  <c r="U282" i="5"/>
  <c r="V282" i="5"/>
  <c r="W282" i="5"/>
  <c r="X282" i="5"/>
  <c r="AB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AC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AC284" i="5" s="1"/>
  <c r="N284" i="5"/>
  <c r="O284" i="5"/>
  <c r="P284" i="5"/>
  <c r="Q284" i="5"/>
  <c r="R284" i="5"/>
  <c r="S284" i="5"/>
  <c r="T284" i="5"/>
  <c r="U284" i="5"/>
  <c r="V284" i="5"/>
  <c r="W284" i="5"/>
  <c r="X284" i="5"/>
  <c r="AB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AC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AC286" i="5" s="1"/>
  <c r="N286" i="5"/>
  <c r="O286" i="5"/>
  <c r="P286" i="5"/>
  <c r="Q286" i="5"/>
  <c r="R286" i="5"/>
  <c r="S286" i="5"/>
  <c r="T286" i="5"/>
  <c r="U286" i="5"/>
  <c r="V286" i="5"/>
  <c r="W286" i="5"/>
  <c r="X286" i="5"/>
  <c r="AB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AC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AC288" i="5" s="1"/>
  <c r="N288" i="5"/>
  <c r="O288" i="5"/>
  <c r="P288" i="5"/>
  <c r="Q288" i="5"/>
  <c r="R288" i="5"/>
  <c r="S288" i="5"/>
  <c r="T288" i="5"/>
  <c r="U288" i="5"/>
  <c r="V288" i="5"/>
  <c r="W288" i="5"/>
  <c r="X288" i="5"/>
  <c r="AB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AC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AC290" i="5" s="1"/>
  <c r="N290" i="5"/>
  <c r="O290" i="5"/>
  <c r="P290" i="5"/>
  <c r="Q290" i="5"/>
  <c r="R290" i="5"/>
  <c r="S290" i="5"/>
  <c r="T290" i="5"/>
  <c r="U290" i="5"/>
  <c r="V290" i="5"/>
  <c r="W290" i="5"/>
  <c r="X290" i="5"/>
  <c r="AB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AC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AC292" i="5" s="1"/>
  <c r="N292" i="5"/>
  <c r="O292" i="5"/>
  <c r="P292" i="5"/>
  <c r="Q292" i="5"/>
  <c r="R292" i="5"/>
  <c r="S292" i="5"/>
  <c r="T292" i="5"/>
  <c r="U292" i="5"/>
  <c r="V292" i="5"/>
  <c r="W292" i="5"/>
  <c r="X292" i="5"/>
  <c r="AB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AC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AC294" i="5" s="1"/>
  <c r="N294" i="5"/>
  <c r="O294" i="5"/>
  <c r="P294" i="5"/>
  <c r="Q294" i="5"/>
  <c r="R294" i="5"/>
  <c r="S294" i="5"/>
  <c r="T294" i="5"/>
  <c r="U294" i="5"/>
  <c r="V294" i="5"/>
  <c r="W294" i="5"/>
  <c r="X294" i="5"/>
  <c r="AB294" i="5"/>
  <c r="B295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AC295" i="5"/>
  <c r="B296" i="5"/>
  <c r="C296" i="5"/>
  <c r="D296" i="5"/>
  <c r="E296" i="5"/>
  <c r="F296" i="5"/>
  <c r="G296" i="5"/>
  <c r="H296" i="5"/>
  <c r="I296" i="5"/>
  <c r="J296" i="5"/>
  <c r="K296" i="5"/>
  <c r="L296" i="5"/>
  <c r="M296" i="5"/>
  <c r="AC296" i="5" s="1"/>
  <c r="N296" i="5"/>
  <c r="O296" i="5"/>
  <c r="P296" i="5"/>
  <c r="Q296" i="5"/>
  <c r="R296" i="5"/>
  <c r="S296" i="5"/>
  <c r="T296" i="5"/>
  <c r="U296" i="5"/>
  <c r="V296" i="5"/>
  <c r="W296" i="5"/>
  <c r="X296" i="5"/>
  <c r="AB296" i="5"/>
  <c r="B297" i="5"/>
  <c r="C297" i="5"/>
  <c r="D297" i="5"/>
  <c r="E297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U297" i="5"/>
  <c r="V297" i="5"/>
  <c r="W297" i="5"/>
  <c r="X297" i="5"/>
  <c r="AC297" i="5"/>
  <c r="B298" i="5"/>
  <c r="C298" i="5"/>
  <c r="D298" i="5"/>
  <c r="E298" i="5"/>
  <c r="F298" i="5"/>
  <c r="G298" i="5"/>
  <c r="H298" i="5"/>
  <c r="I298" i="5"/>
  <c r="J298" i="5"/>
  <c r="K298" i="5"/>
  <c r="L298" i="5"/>
  <c r="M298" i="5"/>
  <c r="AC298" i="5" s="1"/>
  <c r="N298" i="5"/>
  <c r="O298" i="5"/>
  <c r="P298" i="5"/>
  <c r="Q298" i="5"/>
  <c r="R298" i="5"/>
  <c r="S298" i="5"/>
  <c r="T298" i="5"/>
  <c r="U298" i="5"/>
  <c r="V298" i="5"/>
  <c r="W298" i="5"/>
  <c r="X298" i="5"/>
  <c r="AB298" i="5"/>
  <c r="B299" i="5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U299" i="5"/>
  <c r="V299" i="5"/>
  <c r="W299" i="5"/>
  <c r="X299" i="5"/>
  <c r="AC299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AC300" i="5" s="1"/>
  <c r="N300" i="5"/>
  <c r="O300" i="5"/>
  <c r="P300" i="5"/>
  <c r="Q300" i="5"/>
  <c r="R300" i="5"/>
  <c r="S300" i="5"/>
  <c r="T300" i="5"/>
  <c r="U300" i="5"/>
  <c r="V300" i="5"/>
  <c r="W300" i="5"/>
  <c r="X300" i="5"/>
  <c r="AB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AC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AC302" i="5" s="1"/>
  <c r="N302" i="5"/>
  <c r="O302" i="5"/>
  <c r="P302" i="5"/>
  <c r="Q302" i="5"/>
  <c r="R302" i="5"/>
  <c r="S302" i="5"/>
  <c r="T302" i="5"/>
  <c r="U302" i="5"/>
  <c r="V302" i="5"/>
  <c r="W302" i="5"/>
  <c r="X302" i="5"/>
  <c r="AB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AC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AC304" i="5" s="1"/>
  <c r="N304" i="5"/>
  <c r="O304" i="5"/>
  <c r="P304" i="5"/>
  <c r="Q304" i="5"/>
  <c r="R304" i="5"/>
  <c r="S304" i="5"/>
  <c r="T304" i="5"/>
  <c r="U304" i="5"/>
  <c r="V304" i="5"/>
  <c r="W304" i="5"/>
  <c r="X304" i="5"/>
  <c r="AB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AC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AC306" i="5" s="1"/>
  <c r="N306" i="5"/>
  <c r="O306" i="5"/>
  <c r="P306" i="5"/>
  <c r="Q306" i="5"/>
  <c r="R306" i="5"/>
  <c r="S306" i="5"/>
  <c r="T306" i="5"/>
  <c r="U306" i="5"/>
  <c r="V306" i="5"/>
  <c r="W306" i="5"/>
  <c r="X306" i="5"/>
  <c r="AB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AC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AC308" i="5" s="1"/>
  <c r="N308" i="5"/>
  <c r="O308" i="5"/>
  <c r="P308" i="5"/>
  <c r="Q308" i="5"/>
  <c r="R308" i="5"/>
  <c r="S308" i="5"/>
  <c r="T308" i="5"/>
  <c r="U308" i="5"/>
  <c r="V308" i="5"/>
  <c r="W308" i="5"/>
  <c r="X308" i="5"/>
  <c r="AB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AC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AC310" i="5" s="1"/>
  <c r="N310" i="5"/>
  <c r="O310" i="5"/>
  <c r="P310" i="5"/>
  <c r="Q310" i="5"/>
  <c r="R310" i="5"/>
  <c r="S310" i="5"/>
  <c r="T310" i="5"/>
  <c r="U310" i="5"/>
  <c r="V310" i="5"/>
  <c r="W310" i="5"/>
  <c r="X310" i="5"/>
  <c r="AB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AC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AC312" i="5" s="1"/>
  <c r="N312" i="5"/>
  <c r="O312" i="5"/>
  <c r="P312" i="5"/>
  <c r="Q312" i="5"/>
  <c r="R312" i="5"/>
  <c r="S312" i="5"/>
  <c r="T312" i="5"/>
  <c r="U312" i="5"/>
  <c r="V312" i="5"/>
  <c r="W312" i="5"/>
  <c r="X312" i="5"/>
  <c r="AB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AC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AC314" i="5" s="1"/>
  <c r="N314" i="5"/>
  <c r="O314" i="5"/>
  <c r="P314" i="5"/>
  <c r="Q314" i="5"/>
  <c r="R314" i="5"/>
  <c r="S314" i="5"/>
  <c r="T314" i="5"/>
  <c r="U314" i="5"/>
  <c r="V314" i="5"/>
  <c r="W314" i="5"/>
  <c r="X314" i="5"/>
  <c r="AB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AC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AC316" i="5" s="1"/>
  <c r="N316" i="5"/>
  <c r="O316" i="5"/>
  <c r="P316" i="5"/>
  <c r="Q316" i="5"/>
  <c r="R316" i="5"/>
  <c r="S316" i="5"/>
  <c r="T316" i="5"/>
  <c r="U316" i="5"/>
  <c r="V316" i="5"/>
  <c r="W316" i="5"/>
  <c r="X316" i="5"/>
  <c r="AB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AC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AC318" i="5" s="1"/>
  <c r="N318" i="5"/>
  <c r="O318" i="5"/>
  <c r="P318" i="5"/>
  <c r="Q318" i="5"/>
  <c r="R318" i="5"/>
  <c r="S318" i="5"/>
  <c r="T318" i="5"/>
  <c r="U318" i="5"/>
  <c r="V318" i="5"/>
  <c r="W318" i="5"/>
  <c r="X318" i="5"/>
  <c r="AB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AC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AC320" i="5" s="1"/>
  <c r="N320" i="5"/>
  <c r="O320" i="5"/>
  <c r="P320" i="5"/>
  <c r="Q320" i="5"/>
  <c r="R320" i="5"/>
  <c r="S320" i="5"/>
  <c r="T320" i="5"/>
  <c r="U320" i="5"/>
  <c r="V320" i="5"/>
  <c r="W320" i="5"/>
  <c r="X320" i="5"/>
  <c r="AB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AC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AC322" i="5" s="1"/>
  <c r="N322" i="5"/>
  <c r="O322" i="5"/>
  <c r="P322" i="5"/>
  <c r="Q322" i="5"/>
  <c r="R322" i="5"/>
  <c r="S322" i="5"/>
  <c r="T322" i="5"/>
  <c r="U322" i="5"/>
  <c r="V322" i="5"/>
  <c r="W322" i="5"/>
  <c r="X322" i="5"/>
  <c r="AB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AC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AC324" i="5" s="1"/>
  <c r="N324" i="5"/>
  <c r="O324" i="5"/>
  <c r="P324" i="5"/>
  <c r="Q324" i="5"/>
  <c r="R324" i="5"/>
  <c r="S324" i="5"/>
  <c r="T324" i="5"/>
  <c r="U324" i="5"/>
  <c r="V324" i="5"/>
  <c r="W324" i="5"/>
  <c r="X324" i="5"/>
  <c r="AB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X325" i="5"/>
  <c r="AC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AC326" i="5" s="1"/>
  <c r="N326" i="5"/>
  <c r="O326" i="5"/>
  <c r="P326" i="5"/>
  <c r="Q326" i="5"/>
  <c r="R326" i="5"/>
  <c r="S326" i="5"/>
  <c r="T326" i="5"/>
  <c r="U326" i="5"/>
  <c r="V326" i="5"/>
  <c r="W326" i="5"/>
  <c r="X326" i="5"/>
  <c r="AB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AC327" i="5"/>
  <c r="B328" i="5"/>
  <c r="C328" i="5"/>
  <c r="D328" i="5"/>
  <c r="E328" i="5"/>
  <c r="F328" i="5"/>
  <c r="G328" i="5"/>
  <c r="H328" i="5"/>
  <c r="I328" i="5"/>
  <c r="J328" i="5"/>
  <c r="K328" i="5"/>
  <c r="L328" i="5"/>
  <c r="M328" i="5"/>
  <c r="AC328" i="5" s="1"/>
  <c r="N328" i="5"/>
  <c r="O328" i="5"/>
  <c r="P328" i="5"/>
  <c r="Q328" i="5"/>
  <c r="R328" i="5"/>
  <c r="S328" i="5"/>
  <c r="T328" i="5"/>
  <c r="U328" i="5"/>
  <c r="V328" i="5"/>
  <c r="W328" i="5"/>
  <c r="X328" i="5"/>
  <c r="AB328" i="5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AC329" i="5"/>
  <c r="B330" i="5"/>
  <c r="C330" i="5"/>
  <c r="D330" i="5"/>
  <c r="E330" i="5"/>
  <c r="F330" i="5"/>
  <c r="G330" i="5"/>
  <c r="H330" i="5"/>
  <c r="I330" i="5"/>
  <c r="J330" i="5"/>
  <c r="K330" i="5"/>
  <c r="L330" i="5"/>
  <c r="M330" i="5"/>
  <c r="AC330" i="5" s="1"/>
  <c r="N330" i="5"/>
  <c r="O330" i="5"/>
  <c r="P330" i="5"/>
  <c r="Q330" i="5"/>
  <c r="R330" i="5"/>
  <c r="S330" i="5"/>
  <c r="T330" i="5"/>
  <c r="U330" i="5"/>
  <c r="V330" i="5"/>
  <c r="W330" i="5"/>
  <c r="X330" i="5"/>
  <c r="AB330" i="5"/>
  <c r="B331" i="5"/>
  <c r="C331" i="5"/>
  <c r="D331" i="5"/>
  <c r="E331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U331" i="5"/>
  <c r="V331" i="5"/>
  <c r="W331" i="5"/>
  <c r="X331" i="5"/>
  <c r="AC331" i="5"/>
  <c r="B332" i="5"/>
  <c r="C332" i="5"/>
  <c r="D332" i="5"/>
  <c r="E332" i="5"/>
  <c r="F332" i="5"/>
  <c r="G332" i="5"/>
  <c r="H332" i="5"/>
  <c r="I332" i="5"/>
  <c r="J332" i="5"/>
  <c r="K332" i="5"/>
  <c r="L332" i="5"/>
  <c r="M332" i="5"/>
  <c r="AC332" i="5" s="1"/>
  <c r="N332" i="5"/>
  <c r="O332" i="5"/>
  <c r="P332" i="5"/>
  <c r="Q332" i="5"/>
  <c r="R332" i="5"/>
  <c r="S332" i="5"/>
  <c r="T332" i="5"/>
  <c r="U332" i="5"/>
  <c r="V332" i="5"/>
  <c r="W332" i="5"/>
  <c r="X332" i="5"/>
  <c r="AB332" i="5"/>
  <c r="B333" i="5"/>
  <c r="C333" i="5"/>
  <c r="D333" i="5"/>
  <c r="E333" i="5"/>
  <c r="F333" i="5"/>
  <c r="G333" i="5"/>
  <c r="H333" i="5"/>
  <c r="I333" i="5"/>
  <c r="J333" i="5"/>
  <c r="K333" i="5"/>
  <c r="L333" i="5"/>
  <c r="M333" i="5"/>
  <c r="N333" i="5"/>
  <c r="O333" i="5"/>
  <c r="P333" i="5"/>
  <c r="Q333" i="5"/>
  <c r="R333" i="5"/>
  <c r="S333" i="5"/>
  <c r="T333" i="5"/>
  <c r="U333" i="5"/>
  <c r="V333" i="5"/>
  <c r="W333" i="5"/>
  <c r="X333" i="5"/>
  <c r="AC333" i="5"/>
  <c r="B334" i="5"/>
  <c r="C334" i="5"/>
  <c r="D334" i="5"/>
  <c r="E334" i="5"/>
  <c r="F334" i="5"/>
  <c r="G334" i="5"/>
  <c r="H334" i="5"/>
  <c r="I334" i="5"/>
  <c r="J334" i="5"/>
  <c r="K334" i="5"/>
  <c r="L334" i="5"/>
  <c r="M334" i="5"/>
  <c r="AC334" i="5" s="1"/>
  <c r="N334" i="5"/>
  <c r="O334" i="5"/>
  <c r="P334" i="5"/>
  <c r="Q334" i="5"/>
  <c r="R334" i="5"/>
  <c r="S334" i="5"/>
  <c r="T334" i="5"/>
  <c r="U334" i="5"/>
  <c r="V334" i="5"/>
  <c r="W334" i="5"/>
  <c r="X334" i="5"/>
  <c r="AB334" i="5"/>
  <c r="B335" i="5"/>
  <c r="C335" i="5"/>
  <c r="D335" i="5"/>
  <c r="E335" i="5"/>
  <c r="F335" i="5"/>
  <c r="G335" i="5"/>
  <c r="H335" i="5"/>
  <c r="I335" i="5"/>
  <c r="J335" i="5"/>
  <c r="K335" i="5"/>
  <c r="L335" i="5"/>
  <c r="M335" i="5"/>
  <c r="N335" i="5"/>
  <c r="O335" i="5"/>
  <c r="P335" i="5"/>
  <c r="Q335" i="5"/>
  <c r="R335" i="5"/>
  <c r="S335" i="5"/>
  <c r="T335" i="5"/>
  <c r="U335" i="5"/>
  <c r="V335" i="5"/>
  <c r="W335" i="5"/>
  <c r="X335" i="5"/>
  <c r="AC335" i="5"/>
  <c r="B336" i="5"/>
  <c r="C336" i="5"/>
  <c r="D336" i="5"/>
  <c r="E336" i="5"/>
  <c r="F336" i="5"/>
  <c r="G336" i="5"/>
  <c r="H336" i="5"/>
  <c r="I336" i="5"/>
  <c r="J336" i="5"/>
  <c r="K336" i="5"/>
  <c r="L336" i="5"/>
  <c r="M336" i="5"/>
  <c r="AC336" i="5" s="1"/>
  <c r="N336" i="5"/>
  <c r="O336" i="5"/>
  <c r="P336" i="5"/>
  <c r="Q336" i="5"/>
  <c r="R336" i="5"/>
  <c r="S336" i="5"/>
  <c r="T336" i="5"/>
  <c r="U336" i="5"/>
  <c r="V336" i="5"/>
  <c r="W336" i="5"/>
  <c r="X336" i="5"/>
  <c r="AB336" i="5"/>
  <c r="B337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AC337" i="5"/>
  <c r="B338" i="5"/>
  <c r="C338" i="5"/>
  <c r="D338" i="5"/>
  <c r="E338" i="5"/>
  <c r="F338" i="5"/>
  <c r="G338" i="5"/>
  <c r="H338" i="5"/>
  <c r="I338" i="5"/>
  <c r="J338" i="5"/>
  <c r="K338" i="5"/>
  <c r="L338" i="5"/>
  <c r="M338" i="5"/>
  <c r="AC338" i="5" s="1"/>
  <c r="N338" i="5"/>
  <c r="O338" i="5"/>
  <c r="P338" i="5"/>
  <c r="Q338" i="5"/>
  <c r="R338" i="5"/>
  <c r="S338" i="5"/>
  <c r="T338" i="5"/>
  <c r="U338" i="5"/>
  <c r="V338" i="5"/>
  <c r="W338" i="5"/>
  <c r="X338" i="5"/>
  <c r="AB338" i="5"/>
  <c r="B339" i="5"/>
  <c r="C339" i="5"/>
  <c r="D339" i="5"/>
  <c r="E339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X339" i="5"/>
  <c r="AC339" i="5"/>
  <c r="B340" i="5"/>
  <c r="C340" i="5"/>
  <c r="D340" i="5"/>
  <c r="E340" i="5"/>
  <c r="F340" i="5"/>
  <c r="G340" i="5"/>
  <c r="H340" i="5"/>
  <c r="I340" i="5"/>
  <c r="J340" i="5"/>
  <c r="K340" i="5"/>
  <c r="L340" i="5"/>
  <c r="M340" i="5"/>
  <c r="AC340" i="5" s="1"/>
  <c r="N340" i="5"/>
  <c r="O340" i="5"/>
  <c r="P340" i="5"/>
  <c r="Q340" i="5"/>
  <c r="R340" i="5"/>
  <c r="S340" i="5"/>
  <c r="T340" i="5"/>
  <c r="U340" i="5"/>
  <c r="V340" i="5"/>
  <c r="W340" i="5"/>
  <c r="X340" i="5"/>
  <c r="AB340" i="5"/>
  <c r="B341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X341" i="5"/>
  <c r="AC341" i="5"/>
  <c r="B342" i="5"/>
  <c r="C342" i="5"/>
  <c r="D342" i="5"/>
  <c r="E342" i="5"/>
  <c r="F342" i="5"/>
  <c r="G342" i="5"/>
  <c r="H342" i="5"/>
  <c r="I342" i="5"/>
  <c r="J342" i="5"/>
  <c r="K342" i="5"/>
  <c r="L342" i="5"/>
  <c r="M342" i="5"/>
  <c r="AC342" i="5" s="1"/>
  <c r="N342" i="5"/>
  <c r="O342" i="5"/>
  <c r="P342" i="5"/>
  <c r="Q342" i="5"/>
  <c r="R342" i="5"/>
  <c r="S342" i="5"/>
  <c r="T342" i="5"/>
  <c r="U342" i="5"/>
  <c r="V342" i="5"/>
  <c r="W342" i="5"/>
  <c r="X342" i="5"/>
  <c r="AB342" i="5"/>
  <c r="B343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X343" i="5"/>
  <c r="AC343" i="5"/>
  <c r="B344" i="5"/>
  <c r="C344" i="5"/>
  <c r="D344" i="5"/>
  <c r="E344" i="5"/>
  <c r="F344" i="5"/>
  <c r="G344" i="5"/>
  <c r="H344" i="5"/>
  <c r="I344" i="5"/>
  <c r="J344" i="5"/>
  <c r="K344" i="5"/>
  <c r="L344" i="5"/>
  <c r="M344" i="5"/>
  <c r="AC344" i="5" s="1"/>
  <c r="N344" i="5"/>
  <c r="O344" i="5"/>
  <c r="P344" i="5"/>
  <c r="Q344" i="5"/>
  <c r="R344" i="5"/>
  <c r="S344" i="5"/>
  <c r="T344" i="5"/>
  <c r="U344" i="5"/>
  <c r="V344" i="5"/>
  <c r="W344" i="5"/>
  <c r="X344" i="5"/>
  <c r="AB344" i="5"/>
  <c r="B345" i="5"/>
  <c r="C345" i="5"/>
  <c r="D345" i="5"/>
  <c r="E345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X345" i="5"/>
  <c r="AC345" i="5"/>
  <c r="B346" i="5"/>
  <c r="C346" i="5"/>
  <c r="D346" i="5"/>
  <c r="E346" i="5"/>
  <c r="F346" i="5"/>
  <c r="G346" i="5"/>
  <c r="H346" i="5"/>
  <c r="I346" i="5"/>
  <c r="J346" i="5"/>
  <c r="K346" i="5"/>
  <c r="L346" i="5"/>
  <c r="M346" i="5"/>
  <c r="AC346" i="5" s="1"/>
  <c r="N346" i="5"/>
  <c r="O346" i="5"/>
  <c r="P346" i="5"/>
  <c r="Q346" i="5"/>
  <c r="R346" i="5"/>
  <c r="S346" i="5"/>
  <c r="T346" i="5"/>
  <c r="U346" i="5"/>
  <c r="V346" i="5"/>
  <c r="W346" i="5"/>
  <c r="X346" i="5"/>
  <c r="AB346" i="5"/>
  <c r="B347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X347" i="5"/>
  <c r="AC347" i="5"/>
  <c r="B348" i="5"/>
  <c r="C348" i="5"/>
  <c r="D348" i="5"/>
  <c r="E348" i="5"/>
  <c r="F348" i="5"/>
  <c r="G348" i="5"/>
  <c r="H348" i="5"/>
  <c r="I348" i="5"/>
  <c r="J348" i="5"/>
  <c r="K348" i="5"/>
  <c r="L348" i="5"/>
  <c r="M348" i="5"/>
  <c r="AC348" i="5" s="1"/>
  <c r="N348" i="5"/>
  <c r="O348" i="5"/>
  <c r="P348" i="5"/>
  <c r="Q348" i="5"/>
  <c r="R348" i="5"/>
  <c r="S348" i="5"/>
  <c r="T348" i="5"/>
  <c r="U348" i="5"/>
  <c r="V348" i="5"/>
  <c r="W348" i="5"/>
  <c r="X348" i="5"/>
  <c r="AB348" i="5"/>
  <c r="B349" i="5"/>
  <c r="C349" i="5"/>
  <c r="D349" i="5"/>
  <c r="E349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X349" i="5"/>
  <c r="AC349" i="5"/>
  <c r="B350" i="5"/>
  <c r="C350" i="5"/>
  <c r="D350" i="5"/>
  <c r="E350" i="5"/>
  <c r="F350" i="5"/>
  <c r="G350" i="5"/>
  <c r="H350" i="5"/>
  <c r="I350" i="5"/>
  <c r="J350" i="5"/>
  <c r="K350" i="5"/>
  <c r="L350" i="5"/>
  <c r="M350" i="5"/>
  <c r="AC350" i="5" s="1"/>
  <c r="N350" i="5"/>
  <c r="O350" i="5"/>
  <c r="P350" i="5"/>
  <c r="Q350" i="5"/>
  <c r="R350" i="5"/>
  <c r="S350" i="5"/>
  <c r="T350" i="5"/>
  <c r="U350" i="5"/>
  <c r="V350" i="5"/>
  <c r="W350" i="5"/>
  <c r="X350" i="5"/>
  <c r="AB350" i="5"/>
  <c r="B351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X351" i="5"/>
  <c r="AC351" i="5"/>
  <c r="B352" i="5"/>
  <c r="C352" i="5"/>
  <c r="D352" i="5"/>
  <c r="E352" i="5"/>
  <c r="F352" i="5"/>
  <c r="G352" i="5"/>
  <c r="H352" i="5"/>
  <c r="I352" i="5"/>
  <c r="J352" i="5"/>
  <c r="K352" i="5"/>
  <c r="L352" i="5"/>
  <c r="M352" i="5"/>
  <c r="AC352" i="5" s="1"/>
  <c r="N352" i="5"/>
  <c r="O352" i="5"/>
  <c r="P352" i="5"/>
  <c r="Q352" i="5"/>
  <c r="R352" i="5"/>
  <c r="S352" i="5"/>
  <c r="T352" i="5"/>
  <c r="U352" i="5"/>
  <c r="V352" i="5"/>
  <c r="W352" i="5"/>
  <c r="X352" i="5"/>
  <c r="AB352" i="5"/>
  <c r="B353" i="5"/>
  <c r="C353" i="5"/>
  <c r="D353" i="5"/>
  <c r="E353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W353" i="5"/>
  <c r="X353" i="5"/>
  <c r="AC353" i="5"/>
  <c r="B354" i="5"/>
  <c r="C354" i="5"/>
  <c r="D354" i="5"/>
  <c r="E354" i="5"/>
  <c r="F354" i="5"/>
  <c r="G354" i="5"/>
  <c r="H354" i="5"/>
  <c r="I354" i="5"/>
  <c r="J354" i="5"/>
  <c r="K354" i="5"/>
  <c r="L354" i="5"/>
  <c r="M354" i="5"/>
  <c r="AC354" i="5" s="1"/>
  <c r="N354" i="5"/>
  <c r="O354" i="5"/>
  <c r="P354" i="5"/>
  <c r="Q354" i="5"/>
  <c r="R354" i="5"/>
  <c r="S354" i="5"/>
  <c r="T354" i="5"/>
  <c r="U354" i="5"/>
  <c r="V354" i="5"/>
  <c r="W354" i="5"/>
  <c r="X354" i="5"/>
  <c r="AB354" i="5"/>
  <c r="B355" i="5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AC355" i="5"/>
  <c r="B356" i="5"/>
  <c r="C356" i="5"/>
  <c r="D356" i="5"/>
  <c r="E356" i="5"/>
  <c r="F356" i="5"/>
  <c r="G356" i="5"/>
  <c r="H356" i="5"/>
  <c r="I356" i="5"/>
  <c r="J356" i="5"/>
  <c r="K356" i="5"/>
  <c r="L356" i="5"/>
  <c r="M356" i="5"/>
  <c r="AC356" i="5" s="1"/>
  <c r="N356" i="5"/>
  <c r="O356" i="5"/>
  <c r="P356" i="5"/>
  <c r="Q356" i="5"/>
  <c r="R356" i="5"/>
  <c r="S356" i="5"/>
  <c r="T356" i="5"/>
  <c r="U356" i="5"/>
  <c r="V356" i="5"/>
  <c r="W356" i="5"/>
  <c r="X356" i="5"/>
  <c r="AB356" i="5"/>
  <c r="B357" i="5"/>
  <c r="C357" i="5"/>
  <c r="D357" i="5"/>
  <c r="E357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X357" i="5"/>
  <c r="AC357" i="5"/>
  <c r="B358" i="5"/>
  <c r="C358" i="5"/>
  <c r="D358" i="5"/>
  <c r="E358" i="5"/>
  <c r="F358" i="5"/>
  <c r="G358" i="5"/>
  <c r="H358" i="5"/>
  <c r="I358" i="5"/>
  <c r="J358" i="5"/>
  <c r="K358" i="5"/>
  <c r="L358" i="5"/>
  <c r="M358" i="5"/>
  <c r="AC358" i="5" s="1"/>
  <c r="N358" i="5"/>
  <c r="O358" i="5"/>
  <c r="P358" i="5"/>
  <c r="Q358" i="5"/>
  <c r="R358" i="5"/>
  <c r="S358" i="5"/>
  <c r="T358" i="5"/>
  <c r="U358" i="5"/>
  <c r="V358" i="5"/>
  <c r="W358" i="5"/>
  <c r="X358" i="5"/>
  <c r="AB358" i="5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AC359" i="5"/>
  <c r="B360" i="5"/>
  <c r="C360" i="5"/>
  <c r="D360" i="5"/>
  <c r="E360" i="5"/>
  <c r="F360" i="5"/>
  <c r="G360" i="5"/>
  <c r="H360" i="5"/>
  <c r="I360" i="5"/>
  <c r="J360" i="5"/>
  <c r="K360" i="5"/>
  <c r="L360" i="5"/>
  <c r="M360" i="5"/>
  <c r="AC360" i="5" s="1"/>
  <c r="N360" i="5"/>
  <c r="O360" i="5"/>
  <c r="P360" i="5"/>
  <c r="Q360" i="5"/>
  <c r="R360" i="5"/>
  <c r="S360" i="5"/>
  <c r="T360" i="5"/>
  <c r="U360" i="5"/>
  <c r="V360" i="5"/>
  <c r="W360" i="5"/>
  <c r="X360" i="5"/>
  <c r="AB360" i="5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AC361" i="5"/>
  <c r="B362" i="5"/>
  <c r="C362" i="5"/>
  <c r="D362" i="5"/>
  <c r="E362" i="5"/>
  <c r="F362" i="5"/>
  <c r="G362" i="5"/>
  <c r="H362" i="5"/>
  <c r="I362" i="5"/>
  <c r="J362" i="5"/>
  <c r="K362" i="5"/>
  <c r="L362" i="5"/>
  <c r="M362" i="5"/>
  <c r="AC362" i="5" s="1"/>
  <c r="N362" i="5"/>
  <c r="O362" i="5"/>
  <c r="P362" i="5"/>
  <c r="Q362" i="5"/>
  <c r="R362" i="5"/>
  <c r="S362" i="5"/>
  <c r="T362" i="5"/>
  <c r="U362" i="5"/>
  <c r="V362" i="5"/>
  <c r="W362" i="5"/>
  <c r="X362" i="5"/>
  <c r="AB362" i="5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X363" i="5"/>
  <c r="AC363" i="5"/>
  <c r="B364" i="5"/>
  <c r="C364" i="5"/>
  <c r="D364" i="5"/>
  <c r="E364" i="5"/>
  <c r="F364" i="5"/>
  <c r="G364" i="5"/>
  <c r="H364" i="5"/>
  <c r="I364" i="5"/>
  <c r="J364" i="5"/>
  <c r="K364" i="5"/>
  <c r="L364" i="5"/>
  <c r="M364" i="5"/>
  <c r="AC364" i="5" s="1"/>
  <c r="N364" i="5"/>
  <c r="O364" i="5"/>
  <c r="P364" i="5"/>
  <c r="Q364" i="5"/>
  <c r="R364" i="5"/>
  <c r="S364" i="5"/>
  <c r="T364" i="5"/>
  <c r="U364" i="5"/>
  <c r="V364" i="5"/>
  <c r="W364" i="5"/>
  <c r="X364" i="5"/>
  <c r="AB364" i="5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AC365" i="5"/>
  <c r="B366" i="5"/>
  <c r="C366" i="5"/>
  <c r="D366" i="5"/>
  <c r="E366" i="5"/>
  <c r="F366" i="5"/>
  <c r="G366" i="5"/>
  <c r="H366" i="5"/>
  <c r="I366" i="5"/>
  <c r="J366" i="5"/>
  <c r="K366" i="5"/>
  <c r="L366" i="5"/>
  <c r="M366" i="5"/>
  <c r="AC366" i="5" s="1"/>
  <c r="N366" i="5"/>
  <c r="O366" i="5"/>
  <c r="P366" i="5"/>
  <c r="Q366" i="5"/>
  <c r="R366" i="5"/>
  <c r="S366" i="5"/>
  <c r="T366" i="5"/>
  <c r="U366" i="5"/>
  <c r="V366" i="5"/>
  <c r="W366" i="5"/>
  <c r="X366" i="5"/>
  <c r="AB366" i="5"/>
  <c r="B367" i="5"/>
  <c r="C367" i="5"/>
  <c r="D367" i="5"/>
  <c r="E367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U367" i="5"/>
  <c r="V367" i="5"/>
  <c r="W367" i="5"/>
  <c r="X367" i="5"/>
  <c r="AC367" i="5"/>
  <c r="B368" i="5"/>
  <c r="C368" i="5"/>
  <c r="D368" i="5"/>
  <c r="E368" i="5"/>
  <c r="F368" i="5"/>
  <c r="G368" i="5"/>
  <c r="H368" i="5"/>
  <c r="I368" i="5"/>
  <c r="J368" i="5"/>
  <c r="K368" i="5"/>
  <c r="L368" i="5"/>
  <c r="M368" i="5"/>
  <c r="AC368" i="5" s="1"/>
  <c r="N368" i="5"/>
  <c r="O368" i="5"/>
  <c r="P368" i="5"/>
  <c r="Q368" i="5"/>
  <c r="R368" i="5"/>
  <c r="S368" i="5"/>
  <c r="T368" i="5"/>
  <c r="U368" i="5"/>
  <c r="V368" i="5"/>
  <c r="W368" i="5"/>
  <c r="X368" i="5"/>
  <c r="AB368" i="5"/>
  <c r="B369" i="5"/>
  <c r="C369" i="5"/>
  <c r="D369" i="5"/>
  <c r="E369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U369" i="5"/>
  <c r="V369" i="5"/>
  <c r="W369" i="5"/>
  <c r="X369" i="5"/>
  <c r="AC369" i="5"/>
  <c r="B370" i="5"/>
  <c r="C370" i="5"/>
  <c r="D370" i="5"/>
  <c r="E370" i="5"/>
  <c r="F370" i="5"/>
  <c r="G370" i="5"/>
  <c r="H370" i="5"/>
  <c r="I370" i="5"/>
  <c r="J370" i="5"/>
  <c r="K370" i="5"/>
  <c r="L370" i="5"/>
  <c r="M370" i="5"/>
  <c r="AC370" i="5" s="1"/>
  <c r="N370" i="5"/>
  <c r="O370" i="5"/>
  <c r="P370" i="5"/>
  <c r="Q370" i="5"/>
  <c r="R370" i="5"/>
  <c r="S370" i="5"/>
  <c r="T370" i="5"/>
  <c r="U370" i="5"/>
  <c r="V370" i="5"/>
  <c r="W370" i="5"/>
  <c r="X370" i="5"/>
  <c r="AB370" i="5"/>
  <c r="B371" i="5"/>
  <c r="C371" i="5"/>
  <c r="D371" i="5"/>
  <c r="E371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U371" i="5"/>
  <c r="V371" i="5"/>
  <c r="W371" i="5"/>
  <c r="X371" i="5"/>
  <c r="AC371" i="5"/>
  <c r="B372" i="5"/>
  <c r="C372" i="5"/>
  <c r="D372" i="5"/>
  <c r="E372" i="5"/>
  <c r="F372" i="5"/>
  <c r="G372" i="5"/>
  <c r="H372" i="5"/>
  <c r="I372" i="5"/>
  <c r="J372" i="5"/>
  <c r="K372" i="5"/>
  <c r="L372" i="5"/>
  <c r="M372" i="5"/>
  <c r="AC372" i="5" s="1"/>
  <c r="N372" i="5"/>
  <c r="O372" i="5"/>
  <c r="P372" i="5"/>
  <c r="Q372" i="5"/>
  <c r="R372" i="5"/>
  <c r="S372" i="5"/>
  <c r="T372" i="5"/>
  <c r="U372" i="5"/>
  <c r="V372" i="5"/>
  <c r="W372" i="5"/>
  <c r="X372" i="5"/>
  <c r="AB372" i="5"/>
  <c r="B373" i="5"/>
  <c r="C373" i="5"/>
  <c r="D373" i="5"/>
  <c r="E373" i="5"/>
  <c r="F373" i="5"/>
  <c r="G373" i="5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U373" i="5"/>
  <c r="V373" i="5"/>
  <c r="W373" i="5"/>
  <c r="X373" i="5"/>
  <c r="AC373" i="5"/>
  <c r="B374" i="5"/>
  <c r="C374" i="5"/>
  <c r="D374" i="5"/>
  <c r="E374" i="5"/>
  <c r="F374" i="5"/>
  <c r="G374" i="5"/>
  <c r="H374" i="5"/>
  <c r="I374" i="5"/>
  <c r="J374" i="5"/>
  <c r="K374" i="5"/>
  <c r="L374" i="5"/>
  <c r="M374" i="5"/>
  <c r="AC374" i="5" s="1"/>
  <c r="N374" i="5"/>
  <c r="O374" i="5"/>
  <c r="P374" i="5"/>
  <c r="Q374" i="5"/>
  <c r="R374" i="5"/>
  <c r="S374" i="5"/>
  <c r="T374" i="5"/>
  <c r="U374" i="5"/>
  <c r="V374" i="5"/>
  <c r="W374" i="5"/>
  <c r="X374" i="5"/>
  <c r="AB374" i="5"/>
  <c r="B375" i="5"/>
  <c r="C375" i="5"/>
  <c r="D375" i="5"/>
  <c r="E375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U375" i="5"/>
  <c r="V375" i="5"/>
  <c r="W375" i="5"/>
  <c r="X375" i="5"/>
  <c r="AC375" i="5"/>
  <c r="B376" i="5"/>
  <c r="C376" i="5"/>
  <c r="D376" i="5"/>
  <c r="E376" i="5"/>
  <c r="F376" i="5"/>
  <c r="G376" i="5"/>
  <c r="H376" i="5"/>
  <c r="I376" i="5"/>
  <c r="J376" i="5"/>
  <c r="K376" i="5"/>
  <c r="L376" i="5"/>
  <c r="M376" i="5"/>
  <c r="AC376" i="5" s="1"/>
  <c r="N376" i="5"/>
  <c r="O376" i="5"/>
  <c r="P376" i="5"/>
  <c r="Q376" i="5"/>
  <c r="R376" i="5"/>
  <c r="S376" i="5"/>
  <c r="T376" i="5"/>
  <c r="U376" i="5"/>
  <c r="V376" i="5"/>
  <c r="W376" i="5"/>
  <c r="X376" i="5"/>
  <c r="AB376" i="5"/>
  <c r="B377" i="5"/>
  <c r="C377" i="5"/>
  <c r="D377" i="5"/>
  <c r="E377" i="5"/>
  <c r="F377" i="5"/>
  <c r="G377" i="5"/>
  <c r="H377" i="5"/>
  <c r="I377" i="5"/>
  <c r="J377" i="5"/>
  <c r="K377" i="5"/>
  <c r="L377" i="5"/>
  <c r="M377" i="5"/>
  <c r="N377" i="5"/>
  <c r="O377" i="5"/>
  <c r="P377" i="5"/>
  <c r="Q377" i="5"/>
  <c r="R377" i="5"/>
  <c r="S377" i="5"/>
  <c r="T377" i="5"/>
  <c r="U377" i="5"/>
  <c r="V377" i="5"/>
  <c r="W377" i="5"/>
  <c r="X377" i="5"/>
  <c r="AC377" i="5"/>
  <c r="B378" i="5"/>
  <c r="C378" i="5"/>
  <c r="D378" i="5"/>
  <c r="E378" i="5"/>
  <c r="F378" i="5"/>
  <c r="G378" i="5"/>
  <c r="H378" i="5"/>
  <c r="I378" i="5"/>
  <c r="J378" i="5"/>
  <c r="K378" i="5"/>
  <c r="L378" i="5"/>
  <c r="M378" i="5"/>
  <c r="AC378" i="5" s="1"/>
  <c r="N378" i="5"/>
  <c r="O378" i="5"/>
  <c r="P378" i="5"/>
  <c r="Q378" i="5"/>
  <c r="R378" i="5"/>
  <c r="S378" i="5"/>
  <c r="T378" i="5"/>
  <c r="U378" i="5"/>
  <c r="V378" i="5"/>
  <c r="W378" i="5"/>
  <c r="X378" i="5"/>
  <c r="AB378" i="5"/>
  <c r="B379" i="5"/>
  <c r="C379" i="5"/>
  <c r="D379" i="5"/>
  <c r="E379" i="5"/>
  <c r="F379" i="5"/>
  <c r="G379" i="5"/>
  <c r="H379" i="5"/>
  <c r="I379" i="5"/>
  <c r="J379" i="5"/>
  <c r="K379" i="5"/>
  <c r="L379" i="5"/>
  <c r="M379" i="5"/>
  <c r="N379" i="5"/>
  <c r="O379" i="5"/>
  <c r="P379" i="5"/>
  <c r="Q379" i="5"/>
  <c r="R379" i="5"/>
  <c r="S379" i="5"/>
  <c r="T379" i="5"/>
  <c r="U379" i="5"/>
  <c r="V379" i="5"/>
  <c r="W379" i="5"/>
  <c r="X379" i="5"/>
  <c r="AC379" i="5"/>
  <c r="B380" i="5"/>
  <c r="C380" i="5"/>
  <c r="D380" i="5"/>
  <c r="E380" i="5"/>
  <c r="F380" i="5"/>
  <c r="G380" i="5"/>
  <c r="H380" i="5"/>
  <c r="I380" i="5"/>
  <c r="J380" i="5"/>
  <c r="K380" i="5"/>
  <c r="L380" i="5"/>
  <c r="M380" i="5"/>
  <c r="AC380" i="5" s="1"/>
  <c r="N380" i="5"/>
  <c r="O380" i="5"/>
  <c r="P380" i="5"/>
  <c r="Q380" i="5"/>
  <c r="R380" i="5"/>
  <c r="S380" i="5"/>
  <c r="T380" i="5"/>
  <c r="U380" i="5"/>
  <c r="V380" i="5"/>
  <c r="W380" i="5"/>
  <c r="X380" i="5"/>
  <c r="AB380" i="5"/>
  <c r="B381" i="5"/>
  <c r="C381" i="5"/>
  <c r="D381" i="5"/>
  <c r="E381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U381" i="5"/>
  <c r="V381" i="5"/>
  <c r="W381" i="5"/>
  <c r="X381" i="5"/>
  <c r="AC381" i="5"/>
  <c r="B382" i="5"/>
  <c r="C382" i="5"/>
  <c r="D382" i="5"/>
  <c r="E382" i="5"/>
  <c r="F382" i="5"/>
  <c r="G382" i="5"/>
  <c r="H382" i="5"/>
  <c r="I382" i="5"/>
  <c r="J382" i="5"/>
  <c r="K382" i="5"/>
  <c r="L382" i="5"/>
  <c r="M382" i="5"/>
  <c r="AC382" i="5" s="1"/>
  <c r="N382" i="5"/>
  <c r="O382" i="5"/>
  <c r="P382" i="5"/>
  <c r="Q382" i="5"/>
  <c r="R382" i="5"/>
  <c r="S382" i="5"/>
  <c r="T382" i="5"/>
  <c r="U382" i="5"/>
  <c r="V382" i="5"/>
  <c r="W382" i="5"/>
  <c r="X382" i="5"/>
  <c r="AB382" i="5"/>
  <c r="B383" i="5"/>
  <c r="C383" i="5"/>
  <c r="D383" i="5"/>
  <c r="E383" i="5"/>
  <c r="F383" i="5"/>
  <c r="G383" i="5"/>
  <c r="H383" i="5"/>
  <c r="I383" i="5"/>
  <c r="J383" i="5"/>
  <c r="K383" i="5"/>
  <c r="L383" i="5"/>
  <c r="M383" i="5"/>
  <c r="N383" i="5"/>
  <c r="O383" i="5"/>
  <c r="P383" i="5"/>
  <c r="Q383" i="5"/>
  <c r="R383" i="5"/>
  <c r="S383" i="5"/>
  <c r="T383" i="5"/>
  <c r="U383" i="5"/>
  <c r="V383" i="5"/>
  <c r="W383" i="5"/>
  <c r="X383" i="5"/>
  <c r="AC383" i="5"/>
  <c r="B384" i="5"/>
  <c r="C384" i="5"/>
  <c r="D384" i="5"/>
  <c r="E384" i="5"/>
  <c r="F384" i="5"/>
  <c r="G384" i="5"/>
  <c r="H384" i="5"/>
  <c r="I384" i="5"/>
  <c r="J384" i="5"/>
  <c r="K384" i="5"/>
  <c r="L384" i="5"/>
  <c r="M384" i="5"/>
  <c r="AC384" i="5" s="1"/>
  <c r="N384" i="5"/>
  <c r="O384" i="5"/>
  <c r="P384" i="5"/>
  <c r="Q384" i="5"/>
  <c r="R384" i="5"/>
  <c r="S384" i="5"/>
  <c r="T384" i="5"/>
  <c r="U384" i="5"/>
  <c r="V384" i="5"/>
  <c r="W384" i="5"/>
  <c r="X384" i="5"/>
  <c r="AB384" i="5"/>
  <c r="B385" i="5"/>
  <c r="C385" i="5"/>
  <c r="D385" i="5"/>
  <c r="E385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U385" i="5"/>
  <c r="V385" i="5"/>
  <c r="W385" i="5"/>
  <c r="X385" i="5"/>
  <c r="AC385" i="5"/>
  <c r="B386" i="5"/>
  <c r="C386" i="5"/>
  <c r="D386" i="5"/>
  <c r="E386" i="5"/>
  <c r="F386" i="5"/>
  <c r="G386" i="5"/>
  <c r="H386" i="5"/>
  <c r="I386" i="5"/>
  <c r="J386" i="5"/>
  <c r="K386" i="5"/>
  <c r="L386" i="5"/>
  <c r="M386" i="5"/>
  <c r="AC386" i="5" s="1"/>
  <c r="N386" i="5"/>
  <c r="O386" i="5"/>
  <c r="P386" i="5"/>
  <c r="Q386" i="5"/>
  <c r="R386" i="5"/>
  <c r="S386" i="5"/>
  <c r="T386" i="5"/>
  <c r="U386" i="5"/>
  <c r="V386" i="5"/>
  <c r="W386" i="5"/>
  <c r="X386" i="5"/>
  <c r="AB386" i="5"/>
  <c r="B387" i="5"/>
  <c r="C387" i="5"/>
  <c r="D387" i="5"/>
  <c r="E387" i="5"/>
  <c r="F387" i="5"/>
  <c r="G387" i="5"/>
  <c r="H387" i="5"/>
  <c r="I387" i="5"/>
  <c r="J387" i="5"/>
  <c r="K387" i="5"/>
  <c r="L387" i="5"/>
  <c r="M387" i="5"/>
  <c r="N387" i="5"/>
  <c r="O387" i="5"/>
  <c r="P387" i="5"/>
  <c r="Q387" i="5"/>
  <c r="R387" i="5"/>
  <c r="S387" i="5"/>
  <c r="T387" i="5"/>
  <c r="U387" i="5"/>
  <c r="V387" i="5"/>
  <c r="W387" i="5"/>
  <c r="X387" i="5"/>
  <c r="AC387" i="5"/>
  <c r="B388" i="5"/>
  <c r="C388" i="5"/>
  <c r="D388" i="5"/>
  <c r="E388" i="5"/>
  <c r="F388" i="5"/>
  <c r="G388" i="5"/>
  <c r="H388" i="5"/>
  <c r="I388" i="5"/>
  <c r="J388" i="5"/>
  <c r="K388" i="5"/>
  <c r="L388" i="5"/>
  <c r="M388" i="5"/>
  <c r="AC388" i="5" s="1"/>
  <c r="N388" i="5"/>
  <c r="O388" i="5"/>
  <c r="P388" i="5"/>
  <c r="Q388" i="5"/>
  <c r="R388" i="5"/>
  <c r="S388" i="5"/>
  <c r="T388" i="5"/>
  <c r="U388" i="5"/>
  <c r="V388" i="5"/>
  <c r="W388" i="5"/>
  <c r="X388" i="5"/>
  <c r="AB388" i="5"/>
  <c r="B389" i="5"/>
  <c r="C389" i="5"/>
  <c r="D389" i="5"/>
  <c r="E389" i="5"/>
  <c r="F389" i="5"/>
  <c r="G389" i="5"/>
  <c r="H389" i="5"/>
  <c r="I389" i="5"/>
  <c r="J389" i="5"/>
  <c r="K389" i="5"/>
  <c r="L389" i="5"/>
  <c r="M389" i="5"/>
  <c r="N389" i="5"/>
  <c r="O389" i="5"/>
  <c r="P389" i="5"/>
  <c r="Q389" i="5"/>
  <c r="R389" i="5"/>
  <c r="S389" i="5"/>
  <c r="T389" i="5"/>
  <c r="U389" i="5"/>
  <c r="V389" i="5"/>
  <c r="W389" i="5"/>
  <c r="X389" i="5"/>
  <c r="AC389" i="5"/>
  <c r="B390" i="5"/>
  <c r="C390" i="5"/>
  <c r="D390" i="5"/>
  <c r="E390" i="5"/>
  <c r="F390" i="5"/>
  <c r="G390" i="5"/>
  <c r="H390" i="5"/>
  <c r="I390" i="5"/>
  <c r="J390" i="5"/>
  <c r="K390" i="5"/>
  <c r="L390" i="5"/>
  <c r="M390" i="5"/>
  <c r="AC390" i="5" s="1"/>
  <c r="N390" i="5"/>
  <c r="O390" i="5"/>
  <c r="P390" i="5"/>
  <c r="Q390" i="5"/>
  <c r="R390" i="5"/>
  <c r="S390" i="5"/>
  <c r="T390" i="5"/>
  <c r="U390" i="5"/>
  <c r="V390" i="5"/>
  <c r="W390" i="5"/>
  <c r="X390" i="5"/>
  <c r="AB390" i="5"/>
  <c r="B391" i="5"/>
  <c r="C391" i="5"/>
  <c r="D391" i="5"/>
  <c r="E391" i="5"/>
  <c r="F391" i="5"/>
  <c r="G391" i="5"/>
  <c r="H391" i="5"/>
  <c r="I391" i="5"/>
  <c r="J391" i="5"/>
  <c r="K391" i="5"/>
  <c r="L391" i="5"/>
  <c r="M391" i="5"/>
  <c r="N391" i="5"/>
  <c r="O391" i="5"/>
  <c r="P391" i="5"/>
  <c r="Q391" i="5"/>
  <c r="R391" i="5"/>
  <c r="S391" i="5"/>
  <c r="T391" i="5"/>
  <c r="U391" i="5"/>
  <c r="V391" i="5"/>
  <c r="W391" i="5"/>
  <c r="X391" i="5"/>
  <c r="AC391" i="5"/>
  <c r="B392" i="5"/>
  <c r="C392" i="5"/>
  <c r="D392" i="5"/>
  <c r="E392" i="5"/>
  <c r="F392" i="5"/>
  <c r="G392" i="5"/>
  <c r="H392" i="5"/>
  <c r="I392" i="5"/>
  <c r="J392" i="5"/>
  <c r="K392" i="5"/>
  <c r="L392" i="5"/>
  <c r="M392" i="5"/>
  <c r="AC392" i="5" s="1"/>
  <c r="N392" i="5"/>
  <c r="O392" i="5"/>
  <c r="P392" i="5"/>
  <c r="Q392" i="5"/>
  <c r="R392" i="5"/>
  <c r="S392" i="5"/>
  <c r="T392" i="5"/>
  <c r="U392" i="5"/>
  <c r="V392" i="5"/>
  <c r="W392" i="5"/>
  <c r="X392" i="5"/>
  <c r="AB392" i="5"/>
  <c r="B393" i="5"/>
  <c r="C393" i="5"/>
  <c r="D393" i="5"/>
  <c r="E393" i="5"/>
  <c r="F393" i="5"/>
  <c r="G393" i="5"/>
  <c r="H393" i="5"/>
  <c r="I393" i="5"/>
  <c r="J393" i="5"/>
  <c r="K393" i="5"/>
  <c r="L393" i="5"/>
  <c r="M393" i="5"/>
  <c r="N393" i="5"/>
  <c r="O393" i="5"/>
  <c r="P393" i="5"/>
  <c r="Q393" i="5"/>
  <c r="R393" i="5"/>
  <c r="S393" i="5"/>
  <c r="T393" i="5"/>
  <c r="U393" i="5"/>
  <c r="V393" i="5"/>
  <c r="W393" i="5"/>
  <c r="X393" i="5"/>
  <c r="AC393" i="5"/>
  <c r="B394" i="5"/>
  <c r="C394" i="5"/>
  <c r="D394" i="5"/>
  <c r="E394" i="5"/>
  <c r="F394" i="5"/>
  <c r="G394" i="5"/>
  <c r="H394" i="5"/>
  <c r="I394" i="5"/>
  <c r="J394" i="5"/>
  <c r="K394" i="5"/>
  <c r="L394" i="5"/>
  <c r="M394" i="5"/>
  <c r="AC394" i="5" s="1"/>
  <c r="N394" i="5"/>
  <c r="O394" i="5"/>
  <c r="P394" i="5"/>
  <c r="Q394" i="5"/>
  <c r="R394" i="5"/>
  <c r="S394" i="5"/>
  <c r="T394" i="5"/>
  <c r="U394" i="5"/>
  <c r="V394" i="5"/>
  <c r="W394" i="5"/>
  <c r="X394" i="5"/>
  <c r="AB394" i="5"/>
  <c r="B395" i="5"/>
  <c r="C395" i="5"/>
  <c r="D395" i="5"/>
  <c r="E395" i="5"/>
  <c r="F395" i="5"/>
  <c r="G395" i="5"/>
  <c r="H395" i="5"/>
  <c r="I395" i="5"/>
  <c r="J395" i="5"/>
  <c r="K395" i="5"/>
  <c r="L395" i="5"/>
  <c r="M395" i="5"/>
  <c r="N395" i="5"/>
  <c r="O395" i="5"/>
  <c r="P395" i="5"/>
  <c r="Q395" i="5"/>
  <c r="R395" i="5"/>
  <c r="S395" i="5"/>
  <c r="T395" i="5"/>
  <c r="U395" i="5"/>
  <c r="V395" i="5"/>
  <c r="W395" i="5"/>
  <c r="X395" i="5"/>
  <c r="AC395" i="5"/>
  <c r="B396" i="5"/>
  <c r="C396" i="5"/>
  <c r="D396" i="5"/>
  <c r="E396" i="5"/>
  <c r="F396" i="5"/>
  <c r="G396" i="5"/>
  <c r="H396" i="5"/>
  <c r="I396" i="5"/>
  <c r="J396" i="5"/>
  <c r="K396" i="5"/>
  <c r="L396" i="5"/>
  <c r="M396" i="5"/>
  <c r="AC396" i="5" s="1"/>
  <c r="N396" i="5"/>
  <c r="O396" i="5"/>
  <c r="P396" i="5"/>
  <c r="Q396" i="5"/>
  <c r="R396" i="5"/>
  <c r="S396" i="5"/>
  <c r="T396" i="5"/>
  <c r="U396" i="5"/>
  <c r="V396" i="5"/>
  <c r="W396" i="5"/>
  <c r="X396" i="5"/>
  <c r="AB396" i="5"/>
  <c r="B397" i="5"/>
  <c r="C397" i="5"/>
  <c r="D397" i="5"/>
  <c r="E397" i="5"/>
  <c r="F397" i="5"/>
  <c r="G397" i="5"/>
  <c r="H397" i="5"/>
  <c r="I397" i="5"/>
  <c r="J397" i="5"/>
  <c r="K397" i="5"/>
  <c r="L397" i="5"/>
  <c r="M397" i="5"/>
  <c r="N397" i="5"/>
  <c r="O397" i="5"/>
  <c r="P397" i="5"/>
  <c r="Q397" i="5"/>
  <c r="R397" i="5"/>
  <c r="S397" i="5"/>
  <c r="T397" i="5"/>
  <c r="U397" i="5"/>
  <c r="V397" i="5"/>
  <c r="W397" i="5"/>
  <c r="X397" i="5"/>
  <c r="AC397" i="5"/>
  <c r="B398" i="5"/>
  <c r="C398" i="5"/>
  <c r="D398" i="5"/>
  <c r="E398" i="5"/>
  <c r="F398" i="5"/>
  <c r="G398" i="5"/>
  <c r="H398" i="5"/>
  <c r="I398" i="5"/>
  <c r="J398" i="5"/>
  <c r="K398" i="5"/>
  <c r="L398" i="5"/>
  <c r="M398" i="5"/>
  <c r="AC398" i="5" s="1"/>
  <c r="N398" i="5"/>
  <c r="O398" i="5"/>
  <c r="P398" i="5"/>
  <c r="Q398" i="5"/>
  <c r="R398" i="5"/>
  <c r="S398" i="5"/>
  <c r="T398" i="5"/>
  <c r="U398" i="5"/>
  <c r="V398" i="5"/>
  <c r="W398" i="5"/>
  <c r="X398" i="5"/>
  <c r="AB398" i="5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X399" i="5"/>
  <c r="AC399" i="5"/>
  <c r="B400" i="5"/>
  <c r="C400" i="5"/>
  <c r="D400" i="5"/>
  <c r="E400" i="5"/>
  <c r="F400" i="5"/>
  <c r="G400" i="5"/>
  <c r="H400" i="5"/>
  <c r="I400" i="5"/>
  <c r="J400" i="5"/>
  <c r="K400" i="5"/>
  <c r="L400" i="5"/>
  <c r="M400" i="5"/>
  <c r="AC400" i="5" s="1"/>
  <c r="N400" i="5"/>
  <c r="O400" i="5"/>
  <c r="P400" i="5"/>
  <c r="Q400" i="5"/>
  <c r="R400" i="5"/>
  <c r="S400" i="5"/>
  <c r="T400" i="5"/>
  <c r="U400" i="5"/>
  <c r="V400" i="5"/>
  <c r="W400" i="5"/>
  <c r="X400" i="5"/>
  <c r="AB400" i="5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AC401" i="5"/>
  <c r="B402" i="5"/>
  <c r="C402" i="5"/>
  <c r="D402" i="5"/>
  <c r="E402" i="5"/>
  <c r="F402" i="5"/>
  <c r="G402" i="5"/>
  <c r="H402" i="5"/>
  <c r="I402" i="5"/>
  <c r="J402" i="5"/>
  <c r="K402" i="5"/>
  <c r="L402" i="5"/>
  <c r="M402" i="5"/>
  <c r="AC402" i="5" s="1"/>
  <c r="N402" i="5"/>
  <c r="O402" i="5"/>
  <c r="P402" i="5"/>
  <c r="Q402" i="5"/>
  <c r="R402" i="5"/>
  <c r="S402" i="5"/>
  <c r="T402" i="5"/>
  <c r="U402" i="5"/>
  <c r="V402" i="5"/>
  <c r="W402" i="5"/>
  <c r="X402" i="5"/>
  <c r="AB402" i="5"/>
  <c r="B403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X403" i="5"/>
  <c r="AC403" i="5"/>
  <c r="B404" i="5"/>
  <c r="C404" i="5"/>
  <c r="D404" i="5"/>
  <c r="E404" i="5"/>
  <c r="F404" i="5"/>
  <c r="G404" i="5"/>
  <c r="H404" i="5"/>
  <c r="I404" i="5"/>
  <c r="J404" i="5"/>
  <c r="K404" i="5"/>
  <c r="L404" i="5"/>
  <c r="M404" i="5"/>
  <c r="AC404" i="5" s="1"/>
  <c r="N404" i="5"/>
  <c r="O404" i="5"/>
  <c r="P404" i="5"/>
  <c r="Q404" i="5"/>
  <c r="R404" i="5"/>
  <c r="S404" i="5"/>
  <c r="T404" i="5"/>
  <c r="U404" i="5"/>
  <c r="V404" i="5"/>
  <c r="W404" i="5"/>
  <c r="X404" i="5"/>
  <c r="AB404" i="5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U405" i="5"/>
  <c r="V405" i="5"/>
  <c r="W405" i="5"/>
  <c r="X405" i="5"/>
  <c r="AC405" i="5"/>
  <c r="B406" i="5"/>
  <c r="C406" i="5"/>
  <c r="D406" i="5"/>
  <c r="E406" i="5"/>
  <c r="F406" i="5"/>
  <c r="G406" i="5"/>
  <c r="H406" i="5"/>
  <c r="I406" i="5"/>
  <c r="J406" i="5"/>
  <c r="K406" i="5"/>
  <c r="L406" i="5"/>
  <c r="M406" i="5"/>
  <c r="AC406" i="5" s="1"/>
  <c r="N406" i="5"/>
  <c r="O406" i="5"/>
  <c r="P406" i="5"/>
  <c r="Q406" i="5"/>
  <c r="R406" i="5"/>
  <c r="S406" i="5"/>
  <c r="T406" i="5"/>
  <c r="U406" i="5"/>
  <c r="V406" i="5"/>
  <c r="W406" i="5"/>
  <c r="X406" i="5"/>
  <c r="AB406" i="5"/>
  <c r="B407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X407" i="5"/>
  <c r="AC407" i="5"/>
  <c r="B408" i="5"/>
  <c r="C408" i="5"/>
  <c r="D408" i="5"/>
  <c r="E408" i="5"/>
  <c r="F408" i="5"/>
  <c r="G408" i="5"/>
  <c r="H408" i="5"/>
  <c r="I408" i="5"/>
  <c r="J408" i="5"/>
  <c r="K408" i="5"/>
  <c r="L408" i="5"/>
  <c r="M408" i="5"/>
  <c r="AC408" i="5" s="1"/>
  <c r="N408" i="5"/>
  <c r="O408" i="5"/>
  <c r="P408" i="5"/>
  <c r="Q408" i="5"/>
  <c r="R408" i="5"/>
  <c r="S408" i="5"/>
  <c r="T408" i="5"/>
  <c r="U408" i="5"/>
  <c r="V408" i="5"/>
  <c r="W408" i="5"/>
  <c r="X408" i="5"/>
  <c r="AB408" i="5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X409" i="5"/>
  <c r="AC409" i="5"/>
  <c r="B410" i="5"/>
  <c r="C410" i="5"/>
  <c r="D410" i="5"/>
  <c r="E410" i="5"/>
  <c r="F410" i="5"/>
  <c r="G410" i="5"/>
  <c r="H410" i="5"/>
  <c r="I410" i="5"/>
  <c r="J410" i="5"/>
  <c r="K410" i="5"/>
  <c r="L410" i="5"/>
  <c r="M410" i="5"/>
  <c r="AC410" i="5" s="1"/>
  <c r="N410" i="5"/>
  <c r="O410" i="5"/>
  <c r="P410" i="5"/>
  <c r="Q410" i="5"/>
  <c r="R410" i="5"/>
  <c r="S410" i="5"/>
  <c r="T410" i="5"/>
  <c r="U410" i="5"/>
  <c r="V410" i="5"/>
  <c r="W410" i="5"/>
  <c r="X410" i="5"/>
  <c r="AB410" i="5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X411" i="5"/>
  <c r="AC411" i="5"/>
  <c r="B412" i="5"/>
  <c r="C412" i="5"/>
  <c r="D412" i="5"/>
  <c r="E412" i="5"/>
  <c r="F412" i="5"/>
  <c r="G412" i="5"/>
  <c r="H412" i="5"/>
  <c r="I412" i="5"/>
  <c r="J412" i="5"/>
  <c r="K412" i="5"/>
  <c r="L412" i="5"/>
  <c r="M412" i="5"/>
  <c r="AC412" i="5" s="1"/>
  <c r="N412" i="5"/>
  <c r="O412" i="5"/>
  <c r="P412" i="5"/>
  <c r="Q412" i="5"/>
  <c r="R412" i="5"/>
  <c r="S412" i="5"/>
  <c r="T412" i="5"/>
  <c r="U412" i="5"/>
  <c r="V412" i="5"/>
  <c r="W412" i="5"/>
  <c r="X412" i="5"/>
  <c r="AB412" i="5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X413" i="5"/>
  <c r="AC413" i="5"/>
  <c r="B414" i="5"/>
  <c r="C414" i="5"/>
  <c r="D414" i="5"/>
  <c r="E414" i="5"/>
  <c r="F414" i="5"/>
  <c r="G414" i="5"/>
  <c r="H414" i="5"/>
  <c r="I414" i="5"/>
  <c r="J414" i="5"/>
  <c r="K414" i="5"/>
  <c r="L414" i="5"/>
  <c r="M414" i="5"/>
  <c r="AC414" i="5" s="1"/>
  <c r="N414" i="5"/>
  <c r="O414" i="5"/>
  <c r="P414" i="5"/>
  <c r="Q414" i="5"/>
  <c r="R414" i="5"/>
  <c r="S414" i="5"/>
  <c r="T414" i="5"/>
  <c r="U414" i="5"/>
  <c r="V414" i="5"/>
  <c r="W414" i="5"/>
  <c r="X414" i="5"/>
  <c r="AB414" i="5"/>
  <c r="B415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X415" i="5"/>
  <c r="AC415" i="5"/>
  <c r="B416" i="5"/>
  <c r="C416" i="5"/>
  <c r="D416" i="5"/>
  <c r="E416" i="5"/>
  <c r="F416" i="5"/>
  <c r="G416" i="5"/>
  <c r="H416" i="5"/>
  <c r="I416" i="5"/>
  <c r="J416" i="5"/>
  <c r="K416" i="5"/>
  <c r="L416" i="5"/>
  <c r="M416" i="5"/>
  <c r="AC416" i="5" s="1"/>
  <c r="N416" i="5"/>
  <c r="O416" i="5"/>
  <c r="P416" i="5"/>
  <c r="Q416" i="5"/>
  <c r="R416" i="5"/>
  <c r="S416" i="5"/>
  <c r="T416" i="5"/>
  <c r="U416" i="5"/>
  <c r="V416" i="5"/>
  <c r="W416" i="5"/>
  <c r="X416" i="5"/>
  <c r="AB416" i="5"/>
  <c r="B417" i="5"/>
  <c r="C417" i="5"/>
  <c r="D417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X417" i="5"/>
  <c r="AC417" i="5"/>
  <c r="B418" i="5"/>
  <c r="C418" i="5"/>
  <c r="D418" i="5"/>
  <c r="E418" i="5"/>
  <c r="F418" i="5"/>
  <c r="G418" i="5"/>
  <c r="H418" i="5"/>
  <c r="I418" i="5"/>
  <c r="J418" i="5"/>
  <c r="K418" i="5"/>
  <c r="L418" i="5"/>
  <c r="M418" i="5"/>
  <c r="AC418" i="5" s="1"/>
  <c r="N418" i="5"/>
  <c r="O418" i="5"/>
  <c r="P418" i="5"/>
  <c r="Q418" i="5"/>
  <c r="R418" i="5"/>
  <c r="S418" i="5"/>
  <c r="T418" i="5"/>
  <c r="U418" i="5"/>
  <c r="V418" i="5"/>
  <c r="W418" i="5"/>
  <c r="X418" i="5"/>
  <c r="AB418" i="5"/>
  <c r="B419" i="5"/>
  <c r="C419" i="5"/>
  <c r="D419" i="5"/>
  <c r="E419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X419" i="5"/>
  <c r="AC419" i="5"/>
  <c r="B420" i="5"/>
  <c r="C420" i="5"/>
  <c r="D420" i="5"/>
  <c r="E420" i="5"/>
  <c r="F420" i="5"/>
  <c r="G420" i="5"/>
  <c r="H420" i="5"/>
  <c r="I420" i="5"/>
  <c r="J420" i="5"/>
  <c r="K420" i="5"/>
  <c r="L420" i="5"/>
  <c r="M420" i="5"/>
  <c r="AC420" i="5" s="1"/>
  <c r="N420" i="5"/>
  <c r="O420" i="5"/>
  <c r="P420" i="5"/>
  <c r="Q420" i="5"/>
  <c r="R420" i="5"/>
  <c r="S420" i="5"/>
  <c r="T420" i="5"/>
  <c r="U420" i="5"/>
  <c r="V420" i="5"/>
  <c r="W420" i="5"/>
  <c r="X420" i="5"/>
  <c r="AB420" i="5"/>
  <c r="B421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X421" i="5"/>
  <c r="AC421" i="5"/>
  <c r="B422" i="5"/>
  <c r="C422" i="5"/>
  <c r="D422" i="5"/>
  <c r="E422" i="5"/>
  <c r="F422" i="5"/>
  <c r="G422" i="5"/>
  <c r="H422" i="5"/>
  <c r="I422" i="5"/>
  <c r="J422" i="5"/>
  <c r="K422" i="5"/>
  <c r="L422" i="5"/>
  <c r="M422" i="5"/>
  <c r="AC422" i="5" s="1"/>
  <c r="N422" i="5"/>
  <c r="O422" i="5"/>
  <c r="P422" i="5"/>
  <c r="Q422" i="5"/>
  <c r="R422" i="5"/>
  <c r="S422" i="5"/>
  <c r="T422" i="5"/>
  <c r="U422" i="5"/>
  <c r="V422" i="5"/>
  <c r="W422" i="5"/>
  <c r="X422" i="5"/>
  <c r="AB422" i="5"/>
  <c r="B423" i="5"/>
  <c r="C423" i="5"/>
  <c r="D423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X423" i="5"/>
  <c r="AC423" i="5"/>
  <c r="B424" i="5"/>
  <c r="C424" i="5"/>
  <c r="D424" i="5"/>
  <c r="E424" i="5"/>
  <c r="F424" i="5"/>
  <c r="G424" i="5"/>
  <c r="H424" i="5"/>
  <c r="I424" i="5"/>
  <c r="J424" i="5"/>
  <c r="K424" i="5"/>
  <c r="L424" i="5"/>
  <c r="M424" i="5"/>
  <c r="AC424" i="5" s="1"/>
  <c r="N424" i="5"/>
  <c r="O424" i="5"/>
  <c r="P424" i="5"/>
  <c r="Q424" i="5"/>
  <c r="R424" i="5"/>
  <c r="S424" i="5"/>
  <c r="T424" i="5"/>
  <c r="U424" i="5"/>
  <c r="V424" i="5"/>
  <c r="W424" i="5"/>
  <c r="X424" i="5"/>
  <c r="AB424" i="5"/>
  <c r="B425" i="5"/>
  <c r="C425" i="5"/>
  <c r="D425" i="5"/>
  <c r="E425" i="5"/>
  <c r="F425" i="5"/>
  <c r="G425" i="5"/>
  <c r="H425" i="5"/>
  <c r="I425" i="5"/>
  <c r="J425" i="5"/>
  <c r="K425" i="5"/>
  <c r="L425" i="5"/>
  <c r="M425" i="5"/>
  <c r="N425" i="5"/>
  <c r="O425" i="5"/>
  <c r="P425" i="5"/>
  <c r="Q425" i="5"/>
  <c r="R425" i="5"/>
  <c r="S425" i="5"/>
  <c r="T425" i="5"/>
  <c r="U425" i="5"/>
  <c r="V425" i="5"/>
  <c r="W425" i="5"/>
  <c r="X425" i="5"/>
  <c r="AC425" i="5"/>
  <c r="B426" i="5"/>
  <c r="C426" i="5"/>
  <c r="D426" i="5"/>
  <c r="E426" i="5"/>
  <c r="F426" i="5"/>
  <c r="G426" i="5"/>
  <c r="H426" i="5"/>
  <c r="I426" i="5"/>
  <c r="J426" i="5"/>
  <c r="K426" i="5"/>
  <c r="L426" i="5"/>
  <c r="M426" i="5"/>
  <c r="AC426" i="5" s="1"/>
  <c r="N426" i="5"/>
  <c r="O426" i="5"/>
  <c r="P426" i="5"/>
  <c r="Q426" i="5"/>
  <c r="R426" i="5"/>
  <c r="S426" i="5"/>
  <c r="T426" i="5"/>
  <c r="U426" i="5"/>
  <c r="V426" i="5"/>
  <c r="W426" i="5"/>
  <c r="X426" i="5"/>
  <c r="AB426" i="5"/>
  <c r="B427" i="5"/>
  <c r="C427" i="5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X427" i="5"/>
  <c r="AC427" i="5"/>
  <c r="B428" i="5"/>
  <c r="C428" i="5"/>
  <c r="D428" i="5"/>
  <c r="E428" i="5"/>
  <c r="F428" i="5"/>
  <c r="G428" i="5"/>
  <c r="H428" i="5"/>
  <c r="I428" i="5"/>
  <c r="J428" i="5"/>
  <c r="K428" i="5"/>
  <c r="L428" i="5"/>
  <c r="M428" i="5"/>
  <c r="AC428" i="5" s="1"/>
  <c r="N428" i="5"/>
  <c r="O428" i="5"/>
  <c r="P428" i="5"/>
  <c r="Q428" i="5"/>
  <c r="R428" i="5"/>
  <c r="S428" i="5"/>
  <c r="T428" i="5"/>
  <c r="U428" i="5"/>
  <c r="V428" i="5"/>
  <c r="W428" i="5"/>
  <c r="X428" i="5"/>
  <c r="AB428" i="5"/>
  <c r="B429" i="5"/>
  <c r="C429" i="5"/>
  <c r="D429" i="5"/>
  <c r="E429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X429" i="5"/>
  <c r="AC429" i="5"/>
  <c r="B430" i="5"/>
  <c r="C430" i="5"/>
  <c r="D430" i="5"/>
  <c r="E430" i="5"/>
  <c r="F430" i="5"/>
  <c r="G430" i="5"/>
  <c r="H430" i="5"/>
  <c r="I430" i="5"/>
  <c r="J430" i="5"/>
  <c r="K430" i="5"/>
  <c r="L430" i="5"/>
  <c r="M430" i="5"/>
  <c r="AC430" i="5" s="1"/>
  <c r="N430" i="5"/>
  <c r="O430" i="5"/>
  <c r="P430" i="5"/>
  <c r="Q430" i="5"/>
  <c r="R430" i="5"/>
  <c r="S430" i="5"/>
  <c r="T430" i="5"/>
  <c r="U430" i="5"/>
  <c r="V430" i="5"/>
  <c r="W430" i="5"/>
  <c r="X430" i="5"/>
  <c r="AB430" i="5"/>
  <c r="B431" i="5"/>
  <c r="C431" i="5"/>
  <c r="D431" i="5"/>
  <c r="E431" i="5"/>
  <c r="F431" i="5"/>
  <c r="G431" i="5"/>
  <c r="H431" i="5"/>
  <c r="I431" i="5"/>
  <c r="J431" i="5"/>
  <c r="K431" i="5"/>
  <c r="L431" i="5"/>
  <c r="M431" i="5"/>
  <c r="N431" i="5"/>
  <c r="O431" i="5"/>
  <c r="P431" i="5"/>
  <c r="Q431" i="5"/>
  <c r="R431" i="5"/>
  <c r="S431" i="5"/>
  <c r="T431" i="5"/>
  <c r="U431" i="5"/>
  <c r="V431" i="5"/>
  <c r="W431" i="5"/>
  <c r="X431" i="5"/>
  <c r="AC431" i="5"/>
  <c r="B432" i="5"/>
  <c r="C432" i="5"/>
  <c r="D432" i="5"/>
  <c r="E432" i="5"/>
  <c r="F432" i="5"/>
  <c r="G432" i="5"/>
  <c r="H432" i="5"/>
  <c r="I432" i="5"/>
  <c r="J432" i="5"/>
  <c r="K432" i="5"/>
  <c r="L432" i="5"/>
  <c r="M432" i="5"/>
  <c r="AC432" i="5" s="1"/>
  <c r="N432" i="5"/>
  <c r="O432" i="5"/>
  <c r="P432" i="5"/>
  <c r="Q432" i="5"/>
  <c r="R432" i="5"/>
  <c r="S432" i="5"/>
  <c r="T432" i="5"/>
  <c r="U432" i="5"/>
  <c r="V432" i="5"/>
  <c r="W432" i="5"/>
  <c r="X432" i="5"/>
  <c r="AB432" i="5"/>
  <c r="B433" i="5"/>
  <c r="C433" i="5"/>
  <c r="D433" i="5"/>
  <c r="E433" i="5"/>
  <c r="F433" i="5"/>
  <c r="G433" i="5"/>
  <c r="H433" i="5"/>
  <c r="I433" i="5"/>
  <c r="J433" i="5"/>
  <c r="K433" i="5"/>
  <c r="L433" i="5"/>
  <c r="M433" i="5"/>
  <c r="N433" i="5"/>
  <c r="O433" i="5"/>
  <c r="P433" i="5"/>
  <c r="Q433" i="5"/>
  <c r="R433" i="5"/>
  <c r="S433" i="5"/>
  <c r="T433" i="5"/>
  <c r="U433" i="5"/>
  <c r="V433" i="5"/>
  <c r="W433" i="5"/>
  <c r="X433" i="5"/>
  <c r="AC433" i="5"/>
  <c r="B434" i="5"/>
  <c r="C434" i="5"/>
  <c r="D434" i="5"/>
  <c r="E434" i="5"/>
  <c r="F434" i="5"/>
  <c r="G434" i="5"/>
  <c r="H434" i="5"/>
  <c r="I434" i="5"/>
  <c r="J434" i="5"/>
  <c r="K434" i="5"/>
  <c r="L434" i="5"/>
  <c r="M434" i="5"/>
  <c r="AC434" i="5" s="1"/>
  <c r="N434" i="5"/>
  <c r="O434" i="5"/>
  <c r="P434" i="5"/>
  <c r="Q434" i="5"/>
  <c r="R434" i="5"/>
  <c r="S434" i="5"/>
  <c r="T434" i="5"/>
  <c r="U434" i="5"/>
  <c r="V434" i="5"/>
  <c r="W434" i="5"/>
  <c r="X434" i="5"/>
  <c r="AB434" i="5"/>
  <c r="B435" i="5"/>
  <c r="C435" i="5"/>
  <c r="D435" i="5"/>
  <c r="E435" i="5"/>
  <c r="F435" i="5"/>
  <c r="G435" i="5"/>
  <c r="H435" i="5"/>
  <c r="I435" i="5"/>
  <c r="J435" i="5"/>
  <c r="K435" i="5"/>
  <c r="L435" i="5"/>
  <c r="M435" i="5"/>
  <c r="N435" i="5"/>
  <c r="O435" i="5"/>
  <c r="P435" i="5"/>
  <c r="Q435" i="5"/>
  <c r="R435" i="5"/>
  <c r="S435" i="5"/>
  <c r="T435" i="5"/>
  <c r="U435" i="5"/>
  <c r="V435" i="5"/>
  <c r="W435" i="5"/>
  <c r="X435" i="5"/>
  <c r="AC435" i="5"/>
  <c r="B436" i="5"/>
  <c r="C436" i="5"/>
  <c r="D436" i="5"/>
  <c r="E436" i="5"/>
  <c r="F436" i="5"/>
  <c r="G436" i="5"/>
  <c r="H436" i="5"/>
  <c r="I436" i="5"/>
  <c r="J436" i="5"/>
  <c r="K436" i="5"/>
  <c r="L436" i="5"/>
  <c r="M436" i="5"/>
  <c r="AC436" i="5" s="1"/>
  <c r="N436" i="5"/>
  <c r="O436" i="5"/>
  <c r="P436" i="5"/>
  <c r="Q436" i="5"/>
  <c r="R436" i="5"/>
  <c r="S436" i="5"/>
  <c r="T436" i="5"/>
  <c r="U436" i="5"/>
  <c r="V436" i="5"/>
  <c r="W436" i="5"/>
  <c r="X436" i="5"/>
  <c r="AB436" i="5"/>
  <c r="B437" i="5"/>
  <c r="C437" i="5"/>
  <c r="D437" i="5"/>
  <c r="E437" i="5"/>
  <c r="F437" i="5"/>
  <c r="G437" i="5"/>
  <c r="H437" i="5"/>
  <c r="I437" i="5"/>
  <c r="J437" i="5"/>
  <c r="K437" i="5"/>
  <c r="L437" i="5"/>
  <c r="M437" i="5"/>
  <c r="N437" i="5"/>
  <c r="O437" i="5"/>
  <c r="P437" i="5"/>
  <c r="Q437" i="5"/>
  <c r="R437" i="5"/>
  <c r="S437" i="5"/>
  <c r="T437" i="5"/>
  <c r="U437" i="5"/>
  <c r="V437" i="5"/>
  <c r="W437" i="5"/>
  <c r="X437" i="5"/>
  <c r="AC437" i="5"/>
  <c r="B438" i="5"/>
  <c r="C438" i="5"/>
  <c r="D438" i="5"/>
  <c r="E438" i="5"/>
  <c r="F438" i="5"/>
  <c r="G438" i="5"/>
  <c r="H438" i="5"/>
  <c r="I438" i="5"/>
  <c r="J438" i="5"/>
  <c r="K438" i="5"/>
  <c r="L438" i="5"/>
  <c r="M438" i="5"/>
  <c r="AC438" i="5" s="1"/>
  <c r="N438" i="5"/>
  <c r="O438" i="5"/>
  <c r="P438" i="5"/>
  <c r="Q438" i="5"/>
  <c r="R438" i="5"/>
  <c r="S438" i="5"/>
  <c r="T438" i="5"/>
  <c r="U438" i="5"/>
  <c r="V438" i="5"/>
  <c r="W438" i="5"/>
  <c r="X438" i="5"/>
  <c r="AB438" i="5"/>
  <c r="B439" i="5"/>
  <c r="C439" i="5"/>
  <c r="D439" i="5"/>
  <c r="E439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X439" i="5"/>
  <c r="AC439" i="5"/>
  <c r="B440" i="5"/>
  <c r="C440" i="5"/>
  <c r="D440" i="5"/>
  <c r="E440" i="5"/>
  <c r="F440" i="5"/>
  <c r="G440" i="5"/>
  <c r="H440" i="5"/>
  <c r="I440" i="5"/>
  <c r="J440" i="5"/>
  <c r="K440" i="5"/>
  <c r="L440" i="5"/>
  <c r="M440" i="5"/>
  <c r="AC440" i="5" s="1"/>
  <c r="N440" i="5"/>
  <c r="O440" i="5"/>
  <c r="P440" i="5"/>
  <c r="Q440" i="5"/>
  <c r="R440" i="5"/>
  <c r="S440" i="5"/>
  <c r="T440" i="5"/>
  <c r="U440" i="5"/>
  <c r="V440" i="5"/>
  <c r="W440" i="5"/>
  <c r="X440" i="5"/>
  <c r="AB440" i="5"/>
  <c r="B441" i="5"/>
  <c r="C441" i="5"/>
  <c r="D441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X441" i="5"/>
  <c r="AC441" i="5"/>
  <c r="B442" i="5"/>
  <c r="C442" i="5"/>
  <c r="D442" i="5"/>
  <c r="E442" i="5"/>
  <c r="F442" i="5"/>
  <c r="G442" i="5"/>
  <c r="H442" i="5"/>
  <c r="I442" i="5"/>
  <c r="J442" i="5"/>
  <c r="K442" i="5"/>
  <c r="L442" i="5"/>
  <c r="M442" i="5"/>
  <c r="AC442" i="5" s="1"/>
  <c r="N442" i="5"/>
  <c r="O442" i="5"/>
  <c r="P442" i="5"/>
  <c r="Q442" i="5"/>
  <c r="R442" i="5"/>
  <c r="S442" i="5"/>
  <c r="T442" i="5"/>
  <c r="U442" i="5"/>
  <c r="V442" i="5"/>
  <c r="W442" i="5"/>
  <c r="X442" i="5"/>
  <c r="AB442" i="5"/>
  <c r="B443" i="5"/>
  <c r="C443" i="5"/>
  <c r="D443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X443" i="5"/>
  <c r="AC443" i="5"/>
  <c r="B444" i="5"/>
  <c r="C444" i="5"/>
  <c r="D444" i="5"/>
  <c r="E444" i="5"/>
  <c r="F444" i="5"/>
  <c r="G444" i="5"/>
  <c r="H444" i="5"/>
  <c r="I444" i="5"/>
  <c r="J444" i="5"/>
  <c r="K444" i="5"/>
  <c r="L444" i="5"/>
  <c r="M444" i="5"/>
  <c r="AC444" i="5" s="1"/>
  <c r="N444" i="5"/>
  <c r="O444" i="5"/>
  <c r="P444" i="5"/>
  <c r="Q444" i="5"/>
  <c r="R444" i="5"/>
  <c r="S444" i="5"/>
  <c r="T444" i="5"/>
  <c r="U444" i="5"/>
  <c r="V444" i="5"/>
  <c r="W444" i="5"/>
  <c r="X444" i="5"/>
  <c r="AB444" i="5"/>
  <c r="B445" i="5"/>
  <c r="C445" i="5"/>
  <c r="D445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X445" i="5"/>
  <c r="AC445" i="5"/>
  <c r="B446" i="5"/>
  <c r="C446" i="5"/>
  <c r="D446" i="5"/>
  <c r="E446" i="5"/>
  <c r="F446" i="5"/>
  <c r="G446" i="5"/>
  <c r="H446" i="5"/>
  <c r="I446" i="5"/>
  <c r="J446" i="5"/>
  <c r="K446" i="5"/>
  <c r="L446" i="5"/>
  <c r="M446" i="5"/>
  <c r="AC446" i="5" s="1"/>
  <c r="N446" i="5"/>
  <c r="O446" i="5"/>
  <c r="P446" i="5"/>
  <c r="Q446" i="5"/>
  <c r="R446" i="5"/>
  <c r="S446" i="5"/>
  <c r="T446" i="5"/>
  <c r="U446" i="5"/>
  <c r="V446" i="5"/>
  <c r="W446" i="5"/>
  <c r="X446" i="5"/>
  <c r="AB446" i="5"/>
  <c r="B447" i="5"/>
  <c r="C447" i="5"/>
  <c r="D447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X447" i="5"/>
  <c r="AC447" i="5"/>
  <c r="B448" i="5"/>
  <c r="C448" i="5"/>
  <c r="D448" i="5"/>
  <c r="E448" i="5"/>
  <c r="F448" i="5"/>
  <c r="G448" i="5"/>
  <c r="H448" i="5"/>
  <c r="I448" i="5"/>
  <c r="J448" i="5"/>
  <c r="K448" i="5"/>
  <c r="L448" i="5"/>
  <c r="M448" i="5"/>
  <c r="AC448" i="5" s="1"/>
  <c r="N448" i="5"/>
  <c r="O448" i="5"/>
  <c r="P448" i="5"/>
  <c r="Q448" i="5"/>
  <c r="R448" i="5"/>
  <c r="S448" i="5"/>
  <c r="T448" i="5"/>
  <c r="U448" i="5"/>
  <c r="V448" i="5"/>
  <c r="W448" i="5"/>
  <c r="X448" i="5"/>
  <c r="AB448" i="5"/>
  <c r="B449" i="5"/>
  <c r="C449" i="5"/>
  <c r="D449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X449" i="5"/>
  <c r="AC449" i="5"/>
  <c r="B450" i="5"/>
  <c r="C450" i="5"/>
  <c r="D450" i="5"/>
  <c r="E450" i="5"/>
  <c r="F450" i="5"/>
  <c r="G450" i="5"/>
  <c r="H450" i="5"/>
  <c r="I450" i="5"/>
  <c r="J450" i="5"/>
  <c r="K450" i="5"/>
  <c r="L450" i="5"/>
  <c r="M450" i="5"/>
  <c r="AC450" i="5" s="1"/>
  <c r="N450" i="5"/>
  <c r="O450" i="5"/>
  <c r="P450" i="5"/>
  <c r="Q450" i="5"/>
  <c r="R450" i="5"/>
  <c r="S450" i="5"/>
  <c r="T450" i="5"/>
  <c r="U450" i="5"/>
  <c r="V450" i="5"/>
  <c r="W450" i="5"/>
  <c r="X450" i="5"/>
  <c r="AB450" i="5"/>
  <c r="B451" i="5"/>
  <c r="C451" i="5"/>
  <c r="D451" i="5"/>
  <c r="E451" i="5"/>
  <c r="F451" i="5"/>
  <c r="G451" i="5"/>
  <c r="H451" i="5"/>
  <c r="I451" i="5"/>
  <c r="J451" i="5"/>
  <c r="K451" i="5"/>
  <c r="L451" i="5"/>
  <c r="M451" i="5"/>
  <c r="N451" i="5"/>
  <c r="O451" i="5"/>
  <c r="P451" i="5"/>
  <c r="Q451" i="5"/>
  <c r="R451" i="5"/>
  <c r="S451" i="5"/>
  <c r="T451" i="5"/>
  <c r="U451" i="5"/>
  <c r="V451" i="5"/>
  <c r="W451" i="5"/>
  <c r="X451" i="5"/>
  <c r="AC451" i="5"/>
  <c r="B452" i="5"/>
  <c r="C452" i="5"/>
  <c r="D452" i="5"/>
  <c r="E452" i="5"/>
  <c r="F452" i="5"/>
  <c r="G452" i="5"/>
  <c r="H452" i="5"/>
  <c r="I452" i="5"/>
  <c r="J452" i="5"/>
  <c r="K452" i="5"/>
  <c r="L452" i="5"/>
  <c r="M452" i="5"/>
  <c r="AC452" i="5" s="1"/>
  <c r="N452" i="5"/>
  <c r="O452" i="5"/>
  <c r="P452" i="5"/>
  <c r="Q452" i="5"/>
  <c r="R452" i="5"/>
  <c r="S452" i="5"/>
  <c r="T452" i="5"/>
  <c r="U452" i="5"/>
  <c r="V452" i="5"/>
  <c r="W452" i="5"/>
  <c r="X452" i="5"/>
  <c r="AB452" i="5"/>
  <c r="B453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U453" i="5"/>
  <c r="V453" i="5"/>
  <c r="W453" i="5"/>
  <c r="X453" i="5"/>
  <c r="AC453" i="5"/>
  <c r="B454" i="5"/>
  <c r="C454" i="5"/>
  <c r="D454" i="5"/>
  <c r="E454" i="5"/>
  <c r="F454" i="5"/>
  <c r="G454" i="5"/>
  <c r="H454" i="5"/>
  <c r="I454" i="5"/>
  <c r="J454" i="5"/>
  <c r="K454" i="5"/>
  <c r="L454" i="5"/>
  <c r="M454" i="5"/>
  <c r="AC454" i="5" s="1"/>
  <c r="N454" i="5"/>
  <c r="O454" i="5"/>
  <c r="P454" i="5"/>
  <c r="Q454" i="5"/>
  <c r="R454" i="5"/>
  <c r="S454" i="5"/>
  <c r="T454" i="5"/>
  <c r="U454" i="5"/>
  <c r="V454" i="5"/>
  <c r="W454" i="5"/>
  <c r="X454" i="5"/>
  <c r="AB454" i="5"/>
  <c r="B455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X455" i="5"/>
  <c r="AC455" i="5"/>
  <c r="B456" i="5"/>
  <c r="C456" i="5"/>
  <c r="D456" i="5"/>
  <c r="E456" i="5"/>
  <c r="F456" i="5"/>
  <c r="G456" i="5"/>
  <c r="H456" i="5"/>
  <c r="I456" i="5"/>
  <c r="J456" i="5"/>
  <c r="K456" i="5"/>
  <c r="L456" i="5"/>
  <c r="M456" i="5"/>
  <c r="AC456" i="5" s="1"/>
  <c r="N456" i="5"/>
  <c r="O456" i="5"/>
  <c r="P456" i="5"/>
  <c r="Q456" i="5"/>
  <c r="R456" i="5"/>
  <c r="S456" i="5"/>
  <c r="T456" i="5"/>
  <c r="U456" i="5"/>
  <c r="V456" i="5"/>
  <c r="W456" i="5"/>
  <c r="X456" i="5"/>
  <c r="AB456" i="5"/>
  <c r="B457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X457" i="5"/>
  <c r="AC457" i="5"/>
  <c r="B458" i="5"/>
  <c r="C458" i="5"/>
  <c r="D458" i="5"/>
  <c r="E458" i="5"/>
  <c r="F458" i="5"/>
  <c r="G458" i="5"/>
  <c r="H458" i="5"/>
  <c r="I458" i="5"/>
  <c r="J458" i="5"/>
  <c r="K458" i="5"/>
  <c r="L458" i="5"/>
  <c r="M458" i="5"/>
  <c r="AC458" i="5" s="1"/>
  <c r="N458" i="5"/>
  <c r="O458" i="5"/>
  <c r="P458" i="5"/>
  <c r="Q458" i="5"/>
  <c r="R458" i="5"/>
  <c r="S458" i="5"/>
  <c r="T458" i="5"/>
  <c r="U458" i="5"/>
  <c r="V458" i="5"/>
  <c r="W458" i="5"/>
  <c r="X458" i="5"/>
  <c r="AB458" i="5"/>
  <c r="B459" i="5"/>
  <c r="C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X459" i="5"/>
  <c r="AC459" i="5"/>
  <c r="B460" i="5"/>
  <c r="C460" i="5"/>
  <c r="D460" i="5"/>
  <c r="E460" i="5"/>
  <c r="F460" i="5"/>
  <c r="G460" i="5"/>
  <c r="H460" i="5"/>
  <c r="I460" i="5"/>
  <c r="J460" i="5"/>
  <c r="K460" i="5"/>
  <c r="L460" i="5"/>
  <c r="M460" i="5"/>
  <c r="AC460" i="5" s="1"/>
  <c r="N460" i="5"/>
  <c r="O460" i="5"/>
  <c r="P460" i="5"/>
  <c r="Q460" i="5"/>
  <c r="R460" i="5"/>
  <c r="S460" i="5"/>
  <c r="T460" i="5"/>
  <c r="U460" i="5"/>
  <c r="V460" i="5"/>
  <c r="W460" i="5"/>
  <c r="X460" i="5"/>
  <c r="AB460" i="5"/>
  <c r="B461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X461" i="5"/>
  <c r="AC461" i="5"/>
  <c r="B462" i="5"/>
  <c r="C462" i="5"/>
  <c r="D462" i="5"/>
  <c r="E462" i="5"/>
  <c r="F462" i="5"/>
  <c r="G462" i="5"/>
  <c r="H462" i="5"/>
  <c r="I462" i="5"/>
  <c r="J462" i="5"/>
  <c r="K462" i="5"/>
  <c r="L462" i="5"/>
  <c r="M462" i="5"/>
  <c r="AC462" i="5" s="1"/>
  <c r="N462" i="5"/>
  <c r="O462" i="5"/>
  <c r="P462" i="5"/>
  <c r="Q462" i="5"/>
  <c r="R462" i="5"/>
  <c r="S462" i="5"/>
  <c r="T462" i="5"/>
  <c r="U462" i="5"/>
  <c r="V462" i="5"/>
  <c r="W462" i="5"/>
  <c r="X462" i="5"/>
  <c r="AB462" i="5"/>
  <c r="B463" i="5"/>
  <c r="C463" i="5"/>
  <c r="D463" i="5"/>
  <c r="E463" i="5"/>
  <c r="F463" i="5"/>
  <c r="G463" i="5"/>
  <c r="H463" i="5"/>
  <c r="I463" i="5"/>
  <c r="J463" i="5"/>
  <c r="K463" i="5"/>
  <c r="L463" i="5"/>
  <c r="M463" i="5"/>
  <c r="N463" i="5"/>
  <c r="O463" i="5"/>
  <c r="P463" i="5"/>
  <c r="Q463" i="5"/>
  <c r="R463" i="5"/>
  <c r="S463" i="5"/>
  <c r="T463" i="5"/>
  <c r="U463" i="5"/>
  <c r="V463" i="5"/>
  <c r="W463" i="5"/>
  <c r="X463" i="5"/>
  <c r="AC463" i="5"/>
  <c r="B464" i="5"/>
  <c r="C464" i="5"/>
  <c r="D464" i="5"/>
  <c r="E464" i="5"/>
  <c r="F464" i="5"/>
  <c r="G464" i="5"/>
  <c r="H464" i="5"/>
  <c r="I464" i="5"/>
  <c r="J464" i="5"/>
  <c r="K464" i="5"/>
  <c r="L464" i="5"/>
  <c r="M464" i="5"/>
  <c r="AC464" i="5" s="1"/>
  <c r="N464" i="5"/>
  <c r="O464" i="5"/>
  <c r="P464" i="5"/>
  <c r="Q464" i="5"/>
  <c r="R464" i="5"/>
  <c r="S464" i="5"/>
  <c r="T464" i="5"/>
  <c r="U464" i="5"/>
  <c r="V464" i="5"/>
  <c r="W464" i="5"/>
  <c r="X464" i="5"/>
  <c r="AB464" i="5"/>
  <c r="B465" i="5"/>
  <c r="C465" i="5"/>
  <c r="D465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X465" i="5"/>
  <c r="AC465" i="5"/>
  <c r="B466" i="5"/>
  <c r="C466" i="5"/>
  <c r="D466" i="5"/>
  <c r="E466" i="5"/>
  <c r="F466" i="5"/>
  <c r="G466" i="5"/>
  <c r="H466" i="5"/>
  <c r="I466" i="5"/>
  <c r="J466" i="5"/>
  <c r="K466" i="5"/>
  <c r="L466" i="5"/>
  <c r="M466" i="5"/>
  <c r="AC466" i="5" s="1"/>
  <c r="N466" i="5"/>
  <c r="O466" i="5"/>
  <c r="P466" i="5"/>
  <c r="Q466" i="5"/>
  <c r="R466" i="5"/>
  <c r="S466" i="5"/>
  <c r="T466" i="5"/>
  <c r="U466" i="5"/>
  <c r="V466" i="5"/>
  <c r="W466" i="5"/>
  <c r="X466" i="5"/>
  <c r="AB466" i="5"/>
  <c r="B467" i="5"/>
  <c r="C467" i="5"/>
  <c r="D467" i="5"/>
  <c r="E467" i="5"/>
  <c r="F467" i="5"/>
  <c r="G467" i="5"/>
  <c r="H467" i="5"/>
  <c r="I467" i="5"/>
  <c r="J467" i="5"/>
  <c r="K467" i="5"/>
  <c r="L467" i="5"/>
  <c r="M467" i="5"/>
  <c r="N467" i="5"/>
  <c r="O467" i="5"/>
  <c r="P467" i="5"/>
  <c r="Q467" i="5"/>
  <c r="R467" i="5"/>
  <c r="S467" i="5"/>
  <c r="T467" i="5"/>
  <c r="U467" i="5"/>
  <c r="V467" i="5"/>
  <c r="W467" i="5"/>
  <c r="X467" i="5"/>
  <c r="AC467" i="5"/>
  <c r="B468" i="5"/>
  <c r="C468" i="5"/>
  <c r="D468" i="5"/>
  <c r="E468" i="5"/>
  <c r="F468" i="5"/>
  <c r="G468" i="5"/>
  <c r="H468" i="5"/>
  <c r="I468" i="5"/>
  <c r="J468" i="5"/>
  <c r="K468" i="5"/>
  <c r="L468" i="5"/>
  <c r="M468" i="5"/>
  <c r="AC468" i="5" s="1"/>
  <c r="N468" i="5"/>
  <c r="O468" i="5"/>
  <c r="P468" i="5"/>
  <c r="Q468" i="5"/>
  <c r="R468" i="5"/>
  <c r="S468" i="5"/>
  <c r="T468" i="5"/>
  <c r="U468" i="5"/>
  <c r="V468" i="5"/>
  <c r="W468" i="5"/>
  <c r="X468" i="5"/>
  <c r="AB468" i="5"/>
  <c r="B469" i="5"/>
  <c r="C469" i="5"/>
  <c r="D469" i="5"/>
  <c r="E469" i="5"/>
  <c r="F469" i="5"/>
  <c r="G469" i="5"/>
  <c r="H469" i="5"/>
  <c r="I469" i="5"/>
  <c r="J469" i="5"/>
  <c r="K469" i="5"/>
  <c r="L469" i="5"/>
  <c r="M469" i="5"/>
  <c r="N469" i="5"/>
  <c r="O469" i="5"/>
  <c r="P469" i="5"/>
  <c r="Q469" i="5"/>
  <c r="R469" i="5"/>
  <c r="S469" i="5"/>
  <c r="T469" i="5"/>
  <c r="U469" i="5"/>
  <c r="V469" i="5"/>
  <c r="W469" i="5"/>
  <c r="X469" i="5"/>
  <c r="AC469" i="5"/>
  <c r="B470" i="5"/>
  <c r="C470" i="5"/>
  <c r="D470" i="5"/>
  <c r="E470" i="5"/>
  <c r="F470" i="5"/>
  <c r="G470" i="5"/>
  <c r="H470" i="5"/>
  <c r="I470" i="5"/>
  <c r="J470" i="5"/>
  <c r="K470" i="5"/>
  <c r="L470" i="5"/>
  <c r="M470" i="5"/>
  <c r="AC470" i="5" s="1"/>
  <c r="N470" i="5"/>
  <c r="O470" i="5"/>
  <c r="P470" i="5"/>
  <c r="Q470" i="5"/>
  <c r="R470" i="5"/>
  <c r="S470" i="5"/>
  <c r="T470" i="5"/>
  <c r="U470" i="5"/>
  <c r="V470" i="5"/>
  <c r="W470" i="5"/>
  <c r="X470" i="5"/>
  <c r="AB470" i="5"/>
  <c r="B471" i="5"/>
  <c r="C471" i="5"/>
  <c r="D471" i="5"/>
  <c r="E471" i="5"/>
  <c r="F471" i="5"/>
  <c r="G471" i="5"/>
  <c r="H471" i="5"/>
  <c r="I471" i="5"/>
  <c r="J471" i="5"/>
  <c r="K471" i="5"/>
  <c r="L471" i="5"/>
  <c r="M471" i="5"/>
  <c r="N471" i="5"/>
  <c r="O471" i="5"/>
  <c r="P471" i="5"/>
  <c r="Q471" i="5"/>
  <c r="R471" i="5"/>
  <c r="S471" i="5"/>
  <c r="T471" i="5"/>
  <c r="U471" i="5"/>
  <c r="V471" i="5"/>
  <c r="W471" i="5"/>
  <c r="X471" i="5"/>
  <c r="AC471" i="5"/>
  <c r="B472" i="5"/>
  <c r="C472" i="5"/>
  <c r="D472" i="5"/>
  <c r="E472" i="5"/>
  <c r="F472" i="5"/>
  <c r="G472" i="5"/>
  <c r="H472" i="5"/>
  <c r="I472" i="5"/>
  <c r="J472" i="5"/>
  <c r="K472" i="5"/>
  <c r="L472" i="5"/>
  <c r="M472" i="5"/>
  <c r="AC472" i="5" s="1"/>
  <c r="N472" i="5"/>
  <c r="O472" i="5"/>
  <c r="P472" i="5"/>
  <c r="Q472" i="5"/>
  <c r="R472" i="5"/>
  <c r="S472" i="5"/>
  <c r="T472" i="5"/>
  <c r="U472" i="5"/>
  <c r="V472" i="5"/>
  <c r="W472" i="5"/>
  <c r="X472" i="5"/>
  <c r="AB472" i="5"/>
  <c r="B473" i="5"/>
  <c r="C473" i="5"/>
  <c r="D473" i="5"/>
  <c r="E473" i="5"/>
  <c r="F473" i="5"/>
  <c r="G473" i="5"/>
  <c r="H473" i="5"/>
  <c r="I473" i="5"/>
  <c r="J473" i="5"/>
  <c r="K473" i="5"/>
  <c r="L473" i="5"/>
  <c r="M473" i="5"/>
  <c r="N473" i="5"/>
  <c r="O473" i="5"/>
  <c r="P473" i="5"/>
  <c r="Q473" i="5"/>
  <c r="R473" i="5"/>
  <c r="S473" i="5"/>
  <c r="T473" i="5"/>
  <c r="U473" i="5"/>
  <c r="V473" i="5"/>
  <c r="W473" i="5"/>
  <c r="X473" i="5"/>
  <c r="AC473" i="5"/>
  <c r="B474" i="5"/>
  <c r="C474" i="5"/>
  <c r="D474" i="5"/>
  <c r="E474" i="5"/>
  <c r="F474" i="5"/>
  <c r="G474" i="5"/>
  <c r="H474" i="5"/>
  <c r="I474" i="5"/>
  <c r="J474" i="5"/>
  <c r="K474" i="5"/>
  <c r="L474" i="5"/>
  <c r="M474" i="5"/>
  <c r="AC474" i="5" s="1"/>
  <c r="N474" i="5"/>
  <c r="O474" i="5"/>
  <c r="P474" i="5"/>
  <c r="Q474" i="5"/>
  <c r="R474" i="5"/>
  <c r="S474" i="5"/>
  <c r="T474" i="5"/>
  <c r="U474" i="5"/>
  <c r="V474" i="5"/>
  <c r="W474" i="5"/>
  <c r="X474" i="5"/>
  <c r="AB474" i="5"/>
  <c r="B475" i="5"/>
  <c r="C475" i="5"/>
  <c r="D475" i="5"/>
  <c r="E475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X475" i="5"/>
  <c r="AC475" i="5"/>
  <c r="B476" i="5"/>
  <c r="C476" i="5"/>
  <c r="D476" i="5"/>
  <c r="E476" i="5"/>
  <c r="F476" i="5"/>
  <c r="G476" i="5"/>
  <c r="H476" i="5"/>
  <c r="I476" i="5"/>
  <c r="J476" i="5"/>
  <c r="K476" i="5"/>
  <c r="L476" i="5"/>
  <c r="M476" i="5"/>
  <c r="AC476" i="5" s="1"/>
  <c r="N476" i="5"/>
  <c r="O476" i="5"/>
  <c r="P476" i="5"/>
  <c r="Q476" i="5"/>
  <c r="R476" i="5"/>
  <c r="S476" i="5"/>
  <c r="T476" i="5"/>
  <c r="U476" i="5"/>
  <c r="V476" i="5"/>
  <c r="W476" i="5"/>
  <c r="X476" i="5"/>
  <c r="AB476" i="5"/>
  <c r="B477" i="5"/>
  <c r="C477" i="5"/>
  <c r="D477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X477" i="5"/>
  <c r="AC477" i="5"/>
  <c r="B478" i="5"/>
  <c r="C478" i="5"/>
  <c r="D478" i="5"/>
  <c r="E478" i="5"/>
  <c r="F478" i="5"/>
  <c r="G478" i="5"/>
  <c r="H478" i="5"/>
  <c r="I478" i="5"/>
  <c r="J478" i="5"/>
  <c r="K478" i="5"/>
  <c r="L478" i="5"/>
  <c r="M478" i="5"/>
  <c r="AC478" i="5" s="1"/>
  <c r="N478" i="5"/>
  <c r="O478" i="5"/>
  <c r="P478" i="5"/>
  <c r="Q478" i="5"/>
  <c r="R478" i="5"/>
  <c r="S478" i="5"/>
  <c r="T478" i="5"/>
  <c r="U478" i="5"/>
  <c r="V478" i="5"/>
  <c r="W478" i="5"/>
  <c r="X478" i="5"/>
  <c r="AB478" i="5"/>
  <c r="B479" i="5"/>
  <c r="C479" i="5"/>
  <c r="D479" i="5"/>
  <c r="E479" i="5"/>
  <c r="F479" i="5"/>
  <c r="G479" i="5"/>
  <c r="H479" i="5"/>
  <c r="I479" i="5"/>
  <c r="J479" i="5"/>
  <c r="K479" i="5"/>
  <c r="L479" i="5"/>
  <c r="M479" i="5"/>
  <c r="N479" i="5"/>
  <c r="O479" i="5"/>
  <c r="P479" i="5"/>
  <c r="Q479" i="5"/>
  <c r="R479" i="5"/>
  <c r="S479" i="5"/>
  <c r="T479" i="5"/>
  <c r="U479" i="5"/>
  <c r="V479" i="5"/>
  <c r="W479" i="5"/>
  <c r="X479" i="5"/>
  <c r="AC479" i="5"/>
  <c r="B480" i="5"/>
  <c r="C480" i="5"/>
  <c r="D480" i="5"/>
  <c r="E480" i="5"/>
  <c r="F480" i="5"/>
  <c r="G480" i="5"/>
  <c r="H480" i="5"/>
  <c r="I480" i="5"/>
  <c r="J480" i="5"/>
  <c r="K480" i="5"/>
  <c r="L480" i="5"/>
  <c r="M480" i="5"/>
  <c r="AC480" i="5" s="1"/>
  <c r="N480" i="5"/>
  <c r="O480" i="5"/>
  <c r="P480" i="5"/>
  <c r="Q480" i="5"/>
  <c r="R480" i="5"/>
  <c r="S480" i="5"/>
  <c r="T480" i="5"/>
  <c r="U480" i="5"/>
  <c r="V480" i="5"/>
  <c r="W480" i="5"/>
  <c r="X480" i="5"/>
  <c r="AB480" i="5"/>
  <c r="B481" i="5"/>
  <c r="C481" i="5"/>
  <c r="D481" i="5"/>
  <c r="E481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T481" i="5"/>
  <c r="U481" i="5"/>
  <c r="V481" i="5"/>
  <c r="W481" i="5"/>
  <c r="X481" i="5"/>
  <c r="AC481" i="5"/>
  <c r="B482" i="5"/>
  <c r="C482" i="5"/>
  <c r="D482" i="5"/>
  <c r="E482" i="5"/>
  <c r="F482" i="5"/>
  <c r="G482" i="5"/>
  <c r="H482" i="5"/>
  <c r="I482" i="5"/>
  <c r="J482" i="5"/>
  <c r="K482" i="5"/>
  <c r="L482" i="5"/>
  <c r="M482" i="5"/>
  <c r="AC482" i="5" s="1"/>
  <c r="N482" i="5"/>
  <c r="O482" i="5"/>
  <c r="P482" i="5"/>
  <c r="Q482" i="5"/>
  <c r="R482" i="5"/>
  <c r="S482" i="5"/>
  <c r="T482" i="5"/>
  <c r="U482" i="5"/>
  <c r="V482" i="5"/>
  <c r="W482" i="5"/>
  <c r="X482" i="5"/>
  <c r="AB482" i="5"/>
  <c r="B483" i="5"/>
  <c r="C483" i="5"/>
  <c r="D483" i="5"/>
  <c r="E483" i="5"/>
  <c r="F483" i="5"/>
  <c r="G483" i="5"/>
  <c r="H483" i="5"/>
  <c r="I483" i="5"/>
  <c r="J483" i="5"/>
  <c r="K483" i="5"/>
  <c r="L483" i="5"/>
  <c r="M483" i="5"/>
  <c r="N483" i="5"/>
  <c r="O483" i="5"/>
  <c r="P483" i="5"/>
  <c r="Q483" i="5"/>
  <c r="R483" i="5"/>
  <c r="S483" i="5"/>
  <c r="T483" i="5"/>
  <c r="U483" i="5"/>
  <c r="V483" i="5"/>
  <c r="W483" i="5"/>
  <c r="X483" i="5"/>
  <c r="AC483" i="5"/>
  <c r="B484" i="5"/>
  <c r="C484" i="5"/>
  <c r="D484" i="5"/>
  <c r="E484" i="5"/>
  <c r="F484" i="5"/>
  <c r="G484" i="5"/>
  <c r="H484" i="5"/>
  <c r="I484" i="5"/>
  <c r="J484" i="5"/>
  <c r="K484" i="5"/>
  <c r="L484" i="5"/>
  <c r="M484" i="5"/>
  <c r="AC484" i="5" s="1"/>
  <c r="N484" i="5"/>
  <c r="O484" i="5"/>
  <c r="P484" i="5"/>
  <c r="Q484" i="5"/>
  <c r="R484" i="5"/>
  <c r="S484" i="5"/>
  <c r="T484" i="5"/>
  <c r="U484" i="5"/>
  <c r="V484" i="5"/>
  <c r="W484" i="5"/>
  <c r="X484" i="5"/>
  <c r="AB484" i="5"/>
  <c r="B485" i="5"/>
  <c r="C485" i="5"/>
  <c r="D485" i="5"/>
  <c r="E485" i="5"/>
  <c r="F485" i="5"/>
  <c r="G485" i="5"/>
  <c r="H485" i="5"/>
  <c r="I485" i="5"/>
  <c r="J485" i="5"/>
  <c r="K485" i="5"/>
  <c r="L485" i="5"/>
  <c r="M485" i="5"/>
  <c r="N485" i="5"/>
  <c r="O485" i="5"/>
  <c r="P485" i="5"/>
  <c r="Q485" i="5"/>
  <c r="R485" i="5"/>
  <c r="S485" i="5"/>
  <c r="T485" i="5"/>
  <c r="U485" i="5"/>
  <c r="V485" i="5"/>
  <c r="W485" i="5"/>
  <c r="X485" i="5"/>
  <c r="AC485" i="5"/>
  <c r="B486" i="5"/>
  <c r="C486" i="5"/>
  <c r="D486" i="5"/>
  <c r="E486" i="5"/>
  <c r="F486" i="5"/>
  <c r="G486" i="5"/>
  <c r="H486" i="5"/>
  <c r="I486" i="5"/>
  <c r="J486" i="5"/>
  <c r="K486" i="5"/>
  <c r="L486" i="5"/>
  <c r="M486" i="5"/>
  <c r="AC486" i="5" s="1"/>
  <c r="N486" i="5"/>
  <c r="O486" i="5"/>
  <c r="P486" i="5"/>
  <c r="Q486" i="5"/>
  <c r="R486" i="5"/>
  <c r="S486" i="5"/>
  <c r="T486" i="5"/>
  <c r="U486" i="5"/>
  <c r="V486" i="5"/>
  <c r="W486" i="5"/>
  <c r="X486" i="5"/>
  <c r="AB486" i="5"/>
  <c r="B487" i="5"/>
  <c r="C487" i="5"/>
  <c r="D487" i="5"/>
  <c r="E487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X487" i="5"/>
  <c r="AC487" i="5"/>
  <c r="B488" i="5"/>
  <c r="C488" i="5"/>
  <c r="D488" i="5"/>
  <c r="E488" i="5"/>
  <c r="F488" i="5"/>
  <c r="G488" i="5"/>
  <c r="H488" i="5"/>
  <c r="I488" i="5"/>
  <c r="J488" i="5"/>
  <c r="K488" i="5"/>
  <c r="L488" i="5"/>
  <c r="M488" i="5"/>
  <c r="AC488" i="5" s="1"/>
  <c r="N488" i="5"/>
  <c r="O488" i="5"/>
  <c r="P488" i="5"/>
  <c r="Q488" i="5"/>
  <c r="R488" i="5"/>
  <c r="S488" i="5"/>
  <c r="T488" i="5"/>
  <c r="U488" i="5"/>
  <c r="V488" i="5"/>
  <c r="W488" i="5"/>
  <c r="X488" i="5"/>
  <c r="AB488" i="5"/>
  <c r="B489" i="5"/>
  <c r="C489" i="5"/>
  <c r="D489" i="5"/>
  <c r="E489" i="5"/>
  <c r="F489" i="5"/>
  <c r="G489" i="5"/>
  <c r="H489" i="5"/>
  <c r="I489" i="5"/>
  <c r="J489" i="5"/>
  <c r="K489" i="5"/>
  <c r="L489" i="5"/>
  <c r="M489" i="5"/>
  <c r="N489" i="5"/>
  <c r="O489" i="5"/>
  <c r="P489" i="5"/>
  <c r="Q489" i="5"/>
  <c r="R489" i="5"/>
  <c r="S489" i="5"/>
  <c r="T489" i="5"/>
  <c r="U489" i="5"/>
  <c r="V489" i="5"/>
  <c r="W489" i="5"/>
  <c r="X489" i="5"/>
  <c r="AC489" i="5"/>
  <c r="B490" i="5"/>
  <c r="C490" i="5"/>
  <c r="D490" i="5"/>
  <c r="E490" i="5"/>
  <c r="F490" i="5"/>
  <c r="G490" i="5"/>
  <c r="H490" i="5"/>
  <c r="I490" i="5"/>
  <c r="J490" i="5"/>
  <c r="K490" i="5"/>
  <c r="L490" i="5"/>
  <c r="M490" i="5"/>
  <c r="AC490" i="5" s="1"/>
  <c r="N490" i="5"/>
  <c r="O490" i="5"/>
  <c r="P490" i="5"/>
  <c r="Q490" i="5"/>
  <c r="R490" i="5"/>
  <c r="S490" i="5"/>
  <c r="T490" i="5"/>
  <c r="U490" i="5"/>
  <c r="V490" i="5"/>
  <c r="W490" i="5"/>
  <c r="X490" i="5"/>
  <c r="AB490" i="5"/>
  <c r="B491" i="5"/>
  <c r="C491" i="5"/>
  <c r="D491" i="5"/>
  <c r="E491" i="5"/>
  <c r="F491" i="5"/>
  <c r="G491" i="5"/>
  <c r="H491" i="5"/>
  <c r="I491" i="5"/>
  <c r="J491" i="5"/>
  <c r="K491" i="5"/>
  <c r="L491" i="5"/>
  <c r="M491" i="5"/>
  <c r="N491" i="5"/>
  <c r="O491" i="5"/>
  <c r="P491" i="5"/>
  <c r="Q491" i="5"/>
  <c r="R491" i="5"/>
  <c r="S491" i="5"/>
  <c r="T491" i="5"/>
  <c r="U491" i="5"/>
  <c r="V491" i="5"/>
  <c r="W491" i="5"/>
  <c r="X491" i="5"/>
  <c r="AC491" i="5"/>
  <c r="B492" i="5"/>
  <c r="C492" i="5"/>
  <c r="D492" i="5"/>
  <c r="E492" i="5"/>
  <c r="F492" i="5"/>
  <c r="G492" i="5"/>
  <c r="H492" i="5"/>
  <c r="I492" i="5"/>
  <c r="J492" i="5"/>
  <c r="K492" i="5"/>
  <c r="L492" i="5"/>
  <c r="M492" i="5"/>
  <c r="AC492" i="5" s="1"/>
  <c r="N492" i="5"/>
  <c r="O492" i="5"/>
  <c r="P492" i="5"/>
  <c r="Q492" i="5"/>
  <c r="R492" i="5"/>
  <c r="S492" i="5"/>
  <c r="T492" i="5"/>
  <c r="U492" i="5"/>
  <c r="V492" i="5"/>
  <c r="W492" i="5"/>
  <c r="X492" i="5"/>
  <c r="AB492" i="5"/>
  <c r="B493" i="5"/>
  <c r="C493" i="5"/>
  <c r="D493" i="5"/>
  <c r="E493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X493" i="5"/>
  <c r="AC493" i="5"/>
  <c r="B494" i="5"/>
  <c r="C494" i="5"/>
  <c r="D494" i="5"/>
  <c r="E494" i="5"/>
  <c r="F494" i="5"/>
  <c r="G494" i="5"/>
  <c r="H494" i="5"/>
  <c r="I494" i="5"/>
  <c r="J494" i="5"/>
  <c r="K494" i="5"/>
  <c r="L494" i="5"/>
  <c r="M494" i="5"/>
  <c r="AC494" i="5" s="1"/>
  <c r="N494" i="5"/>
  <c r="O494" i="5"/>
  <c r="P494" i="5"/>
  <c r="Q494" i="5"/>
  <c r="R494" i="5"/>
  <c r="S494" i="5"/>
  <c r="T494" i="5"/>
  <c r="U494" i="5"/>
  <c r="V494" i="5"/>
  <c r="W494" i="5"/>
  <c r="X494" i="5"/>
  <c r="AB494" i="5"/>
  <c r="B495" i="5"/>
  <c r="C495" i="5"/>
  <c r="D495" i="5"/>
  <c r="E495" i="5"/>
  <c r="F495" i="5"/>
  <c r="G495" i="5"/>
  <c r="H495" i="5"/>
  <c r="I495" i="5"/>
  <c r="J495" i="5"/>
  <c r="K495" i="5"/>
  <c r="L495" i="5"/>
  <c r="M495" i="5"/>
  <c r="N495" i="5"/>
  <c r="O495" i="5"/>
  <c r="P495" i="5"/>
  <c r="Q495" i="5"/>
  <c r="R495" i="5"/>
  <c r="S495" i="5"/>
  <c r="T495" i="5"/>
  <c r="U495" i="5"/>
  <c r="V495" i="5"/>
  <c r="W495" i="5"/>
  <c r="X495" i="5"/>
  <c r="AC495" i="5"/>
  <c r="B496" i="5"/>
  <c r="C496" i="5"/>
  <c r="D496" i="5"/>
  <c r="E496" i="5"/>
  <c r="F496" i="5"/>
  <c r="G496" i="5"/>
  <c r="H496" i="5"/>
  <c r="I496" i="5"/>
  <c r="J496" i="5"/>
  <c r="K496" i="5"/>
  <c r="L496" i="5"/>
  <c r="M496" i="5"/>
  <c r="AC496" i="5" s="1"/>
  <c r="N496" i="5"/>
  <c r="O496" i="5"/>
  <c r="P496" i="5"/>
  <c r="Q496" i="5"/>
  <c r="R496" i="5"/>
  <c r="S496" i="5"/>
  <c r="T496" i="5"/>
  <c r="U496" i="5"/>
  <c r="V496" i="5"/>
  <c r="W496" i="5"/>
  <c r="X496" i="5"/>
  <c r="AB496" i="5"/>
  <c r="B497" i="5"/>
  <c r="C497" i="5"/>
  <c r="D497" i="5"/>
  <c r="E497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X497" i="5"/>
  <c r="AC497" i="5"/>
  <c r="B498" i="5"/>
  <c r="C498" i="5"/>
  <c r="D498" i="5"/>
  <c r="E498" i="5"/>
  <c r="F498" i="5"/>
  <c r="G498" i="5"/>
  <c r="H498" i="5"/>
  <c r="I498" i="5"/>
  <c r="J498" i="5"/>
  <c r="K498" i="5"/>
  <c r="L498" i="5"/>
  <c r="M498" i="5"/>
  <c r="AC498" i="5" s="1"/>
  <c r="N498" i="5"/>
  <c r="O498" i="5"/>
  <c r="P498" i="5"/>
  <c r="Q498" i="5"/>
  <c r="R498" i="5"/>
  <c r="S498" i="5"/>
  <c r="T498" i="5"/>
  <c r="U498" i="5"/>
  <c r="V498" i="5"/>
  <c r="W498" i="5"/>
  <c r="X498" i="5"/>
  <c r="AB498" i="5"/>
  <c r="B499" i="5"/>
  <c r="C499" i="5"/>
  <c r="D499" i="5"/>
  <c r="E499" i="5"/>
  <c r="F499" i="5"/>
  <c r="G499" i="5"/>
  <c r="H499" i="5"/>
  <c r="I499" i="5"/>
  <c r="J499" i="5"/>
  <c r="K499" i="5"/>
  <c r="L499" i="5"/>
  <c r="M499" i="5"/>
  <c r="N499" i="5"/>
  <c r="O499" i="5"/>
  <c r="P499" i="5"/>
  <c r="Q499" i="5"/>
  <c r="R499" i="5"/>
  <c r="S499" i="5"/>
  <c r="T499" i="5"/>
  <c r="U499" i="5"/>
  <c r="V499" i="5"/>
  <c r="W499" i="5"/>
  <c r="X499" i="5"/>
  <c r="AC499" i="5"/>
  <c r="B500" i="5"/>
  <c r="C500" i="5"/>
  <c r="D500" i="5"/>
  <c r="E500" i="5"/>
  <c r="F500" i="5"/>
  <c r="G500" i="5"/>
  <c r="H500" i="5"/>
  <c r="I500" i="5"/>
  <c r="J500" i="5"/>
  <c r="K500" i="5"/>
  <c r="L500" i="5"/>
  <c r="M500" i="5"/>
  <c r="AC500" i="5" s="1"/>
  <c r="N500" i="5"/>
  <c r="O500" i="5"/>
  <c r="P500" i="5"/>
  <c r="Q500" i="5"/>
  <c r="R500" i="5"/>
  <c r="S500" i="5"/>
  <c r="T500" i="5"/>
  <c r="U500" i="5"/>
  <c r="V500" i="5"/>
  <c r="W500" i="5"/>
  <c r="X500" i="5"/>
  <c r="AB500" i="5"/>
  <c r="B501" i="5"/>
  <c r="C501" i="5"/>
  <c r="D501" i="5"/>
  <c r="E501" i="5"/>
  <c r="F501" i="5"/>
  <c r="G501" i="5"/>
  <c r="H501" i="5"/>
  <c r="I501" i="5"/>
  <c r="J501" i="5"/>
  <c r="K501" i="5"/>
  <c r="L501" i="5"/>
  <c r="M501" i="5"/>
  <c r="N501" i="5"/>
  <c r="O501" i="5"/>
  <c r="P501" i="5"/>
  <c r="Q501" i="5"/>
  <c r="R501" i="5"/>
  <c r="S501" i="5"/>
  <c r="T501" i="5"/>
  <c r="U501" i="5"/>
  <c r="V501" i="5"/>
  <c r="W501" i="5"/>
  <c r="X501" i="5"/>
  <c r="AC501" i="5"/>
  <c r="B502" i="5"/>
  <c r="C502" i="5"/>
  <c r="D502" i="5"/>
  <c r="E502" i="5"/>
  <c r="F502" i="5"/>
  <c r="G502" i="5"/>
  <c r="H502" i="5"/>
  <c r="I502" i="5"/>
  <c r="J502" i="5"/>
  <c r="K502" i="5"/>
  <c r="L502" i="5"/>
  <c r="M502" i="5"/>
  <c r="AC502" i="5" s="1"/>
  <c r="N502" i="5"/>
  <c r="O502" i="5"/>
  <c r="P502" i="5"/>
  <c r="Q502" i="5"/>
  <c r="R502" i="5"/>
  <c r="S502" i="5"/>
  <c r="T502" i="5"/>
  <c r="U502" i="5"/>
  <c r="V502" i="5"/>
  <c r="W502" i="5"/>
  <c r="X502" i="5"/>
  <c r="AB502" i="5"/>
  <c r="B503" i="5"/>
  <c r="C503" i="5"/>
  <c r="D503" i="5"/>
  <c r="E503" i="5"/>
  <c r="F503" i="5"/>
  <c r="G503" i="5"/>
  <c r="H503" i="5"/>
  <c r="I503" i="5"/>
  <c r="J503" i="5"/>
  <c r="K503" i="5"/>
  <c r="L503" i="5"/>
  <c r="M503" i="5"/>
  <c r="N503" i="5"/>
  <c r="O503" i="5"/>
  <c r="P503" i="5"/>
  <c r="Q503" i="5"/>
  <c r="R503" i="5"/>
  <c r="S503" i="5"/>
  <c r="T503" i="5"/>
  <c r="U503" i="5"/>
  <c r="V503" i="5"/>
  <c r="W503" i="5"/>
  <c r="X503" i="5"/>
  <c r="AC503" i="5"/>
  <c r="B504" i="5"/>
  <c r="C504" i="5"/>
  <c r="D504" i="5"/>
  <c r="E504" i="5"/>
  <c r="F504" i="5"/>
  <c r="G504" i="5"/>
  <c r="H504" i="5"/>
  <c r="I504" i="5"/>
  <c r="J504" i="5"/>
  <c r="K504" i="5"/>
  <c r="L504" i="5"/>
  <c r="M504" i="5"/>
  <c r="AC504" i="5" s="1"/>
  <c r="N504" i="5"/>
  <c r="O504" i="5"/>
  <c r="P504" i="5"/>
  <c r="Q504" i="5"/>
  <c r="R504" i="5"/>
  <c r="S504" i="5"/>
  <c r="T504" i="5"/>
  <c r="U504" i="5"/>
  <c r="V504" i="5"/>
  <c r="W504" i="5"/>
  <c r="X504" i="5"/>
  <c r="AB504" i="5"/>
  <c r="B505" i="5"/>
  <c r="C505" i="5"/>
  <c r="D505" i="5"/>
  <c r="E505" i="5"/>
  <c r="F505" i="5"/>
  <c r="G505" i="5"/>
  <c r="H505" i="5"/>
  <c r="I505" i="5"/>
  <c r="J505" i="5"/>
  <c r="K505" i="5"/>
  <c r="L505" i="5"/>
  <c r="M505" i="5"/>
  <c r="N505" i="5"/>
  <c r="O505" i="5"/>
  <c r="P505" i="5"/>
  <c r="Q505" i="5"/>
  <c r="R505" i="5"/>
  <c r="S505" i="5"/>
  <c r="T505" i="5"/>
  <c r="U505" i="5"/>
  <c r="V505" i="5"/>
  <c r="W505" i="5"/>
  <c r="X505" i="5"/>
  <c r="AC505" i="5"/>
  <c r="B506" i="5"/>
  <c r="C506" i="5"/>
  <c r="D506" i="5"/>
  <c r="E506" i="5"/>
  <c r="F506" i="5"/>
  <c r="G506" i="5"/>
  <c r="H506" i="5"/>
  <c r="I506" i="5"/>
  <c r="J506" i="5"/>
  <c r="K506" i="5"/>
  <c r="L506" i="5"/>
  <c r="M506" i="5"/>
  <c r="AC506" i="5" s="1"/>
  <c r="N506" i="5"/>
  <c r="O506" i="5"/>
  <c r="P506" i="5"/>
  <c r="Q506" i="5"/>
  <c r="R506" i="5"/>
  <c r="S506" i="5"/>
  <c r="T506" i="5"/>
  <c r="U506" i="5"/>
  <c r="V506" i="5"/>
  <c r="W506" i="5"/>
  <c r="X506" i="5"/>
  <c r="AB506" i="5"/>
  <c r="B507" i="5"/>
  <c r="C507" i="5"/>
  <c r="D507" i="5"/>
  <c r="E507" i="5"/>
  <c r="F507" i="5"/>
  <c r="G507" i="5"/>
  <c r="H507" i="5"/>
  <c r="I507" i="5"/>
  <c r="J507" i="5"/>
  <c r="K507" i="5"/>
  <c r="L507" i="5"/>
  <c r="M507" i="5"/>
  <c r="N507" i="5"/>
  <c r="O507" i="5"/>
  <c r="P507" i="5"/>
  <c r="Q507" i="5"/>
  <c r="R507" i="5"/>
  <c r="S507" i="5"/>
  <c r="T507" i="5"/>
  <c r="U507" i="5"/>
  <c r="V507" i="5"/>
  <c r="W507" i="5"/>
  <c r="X507" i="5"/>
  <c r="AC507" i="5"/>
  <c r="B508" i="5"/>
  <c r="C508" i="5"/>
  <c r="D508" i="5"/>
  <c r="E508" i="5"/>
  <c r="F508" i="5"/>
  <c r="G508" i="5"/>
  <c r="H508" i="5"/>
  <c r="I508" i="5"/>
  <c r="J508" i="5"/>
  <c r="K508" i="5"/>
  <c r="L508" i="5"/>
  <c r="M508" i="5"/>
  <c r="AC508" i="5" s="1"/>
  <c r="N508" i="5"/>
  <c r="O508" i="5"/>
  <c r="P508" i="5"/>
  <c r="Q508" i="5"/>
  <c r="R508" i="5"/>
  <c r="S508" i="5"/>
  <c r="T508" i="5"/>
  <c r="U508" i="5"/>
  <c r="V508" i="5"/>
  <c r="W508" i="5"/>
  <c r="X508" i="5"/>
  <c r="AB508" i="5"/>
  <c r="B509" i="5"/>
  <c r="C509" i="5"/>
  <c r="D509" i="5"/>
  <c r="E509" i="5"/>
  <c r="F509" i="5"/>
  <c r="G509" i="5"/>
  <c r="H509" i="5"/>
  <c r="I509" i="5"/>
  <c r="J509" i="5"/>
  <c r="K509" i="5"/>
  <c r="L509" i="5"/>
  <c r="M509" i="5"/>
  <c r="N509" i="5"/>
  <c r="O509" i="5"/>
  <c r="P509" i="5"/>
  <c r="Q509" i="5"/>
  <c r="R509" i="5"/>
  <c r="S509" i="5"/>
  <c r="T509" i="5"/>
  <c r="U509" i="5"/>
  <c r="V509" i="5"/>
  <c r="W509" i="5"/>
  <c r="X509" i="5"/>
  <c r="AC509" i="5"/>
  <c r="B510" i="5"/>
  <c r="C510" i="5"/>
  <c r="D510" i="5"/>
  <c r="E510" i="5"/>
  <c r="F510" i="5"/>
  <c r="G510" i="5"/>
  <c r="H510" i="5"/>
  <c r="I510" i="5"/>
  <c r="J510" i="5"/>
  <c r="K510" i="5"/>
  <c r="L510" i="5"/>
  <c r="M510" i="5"/>
  <c r="AC510" i="5" s="1"/>
  <c r="N510" i="5"/>
  <c r="O510" i="5"/>
  <c r="P510" i="5"/>
  <c r="Q510" i="5"/>
  <c r="R510" i="5"/>
  <c r="S510" i="5"/>
  <c r="T510" i="5"/>
  <c r="U510" i="5"/>
  <c r="V510" i="5"/>
  <c r="W510" i="5"/>
  <c r="X510" i="5"/>
  <c r="AB510" i="5"/>
  <c r="B511" i="5"/>
  <c r="C511" i="5"/>
  <c r="D511" i="5"/>
  <c r="E511" i="5"/>
  <c r="F511" i="5"/>
  <c r="G511" i="5"/>
  <c r="H511" i="5"/>
  <c r="I511" i="5"/>
  <c r="J511" i="5"/>
  <c r="K511" i="5"/>
  <c r="L511" i="5"/>
  <c r="M511" i="5"/>
  <c r="N511" i="5"/>
  <c r="O511" i="5"/>
  <c r="P511" i="5"/>
  <c r="Q511" i="5"/>
  <c r="R511" i="5"/>
  <c r="S511" i="5"/>
  <c r="T511" i="5"/>
  <c r="U511" i="5"/>
  <c r="V511" i="5"/>
  <c r="W511" i="5"/>
  <c r="X511" i="5"/>
  <c r="AC511" i="5"/>
  <c r="B512" i="5"/>
  <c r="C512" i="5"/>
  <c r="D512" i="5"/>
  <c r="E512" i="5"/>
  <c r="F512" i="5"/>
  <c r="G512" i="5"/>
  <c r="H512" i="5"/>
  <c r="I512" i="5"/>
  <c r="J512" i="5"/>
  <c r="K512" i="5"/>
  <c r="L512" i="5"/>
  <c r="M512" i="5"/>
  <c r="AC512" i="5" s="1"/>
  <c r="N512" i="5"/>
  <c r="O512" i="5"/>
  <c r="P512" i="5"/>
  <c r="Q512" i="5"/>
  <c r="R512" i="5"/>
  <c r="S512" i="5"/>
  <c r="T512" i="5"/>
  <c r="U512" i="5"/>
  <c r="V512" i="5"/>
  <c r="W512" i="5"/>
  <c r="X512" i="5"/>
  <c r="AB512" i="5"/>
  <c r="B513" i="5"/>
  <c r="C513" i="5"/>
  <c r="D513" i="5"/>
  <c r="E513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X513" i="5"/>
  <c r="AC513" i="5"/>
  <c r="B514" i="5"/>
  <c r="C514" i="5"/>
  <c r="D514" i="5"/>
  <c r="E514" i="5"/>
  <c r="F514" i="5"/>
  <c r="G514" i="5"/>
  <c r="H514" i="5"/>
  <c r="I514" i="5"/>
  <c r="J514" i="5"/>
  <c r="K514" i="5"/>
  <c r="L514" i="5"/>
  <c r="M514" i="5"/>
  <c r="AC514" i="5" s="1"/>
  <c r="N514" i="5"/>
  <c r="O514" i="5"/>
  <c r="P514" i="5"/>
  <c r="Q514" i="5"/>
  <c r="R514" i="5"/>
  <c r="S514" i="5"/>
  <c r="T514" i="5"/>
  <c r="U514" i="5"/>
  <c r="V514" i="5"/>
  <c r="W514" i="5"/>
  <c r="X514" i="5"/>
  <c r="AB514" i="5"/>
  <c r="B515" i="5"/>
  <c r="C515" i="5"/>
  <c r="D515" i="5"/>
  <c r="E515" i="5"/>
  <c r="F515" i="5"/>
  <c r="G515" i="5"/>
  <c r="H515" i="5"/>
  <c r="I515" i="5"/>
  <c r="J515" i="5"/>
  <c r="K515" i="5"/>
  <c r="L515" i="5"/>
  <c r="M515" i="5"/>
  <c r="N515" i="5"/>
  <c r="O515" i="5"/>
  <c r="P515" i="5"/>
  <c r="Q515" i="5"/>
  <c r="R515" i="5"/>
  <c r="S515" i="5"/>
  <c r="T515" i="5"/>
  <c r="U515" i="5"/>
  <c r="V515" i="5"/>
  <c r="W515" i="5"/>
  <c r="X515" i="5"/>
  <c r="AC515" i="5"/>
  <c r="B516" i="5"/>
  <c r="C516" i="5"/>
  <c r="D516" i="5"/>
  <c r="E516" i="5"/>
  <c r="F516" i="5"/>
  <c r="G516" i="5"/>
  <c r="H516" i="5"/>
  <c r="I516" i="5"/>
  <c r="J516" i="5"/>
  <c r="K516" i="5"/>
  <c r="L516" i="5"/>
  <c r="M516" i="5"/>
  <c r="AC516" i="5" s="1"/>
  <c r="N516" i="5"/>
  <c r="O516" i="5"/>
  <c r="P516" i="5"/>
  <c r="Q516" i="5"/>
  <c r="R516" i="5"/>
  <c r="S516" i="5"/>
  <c r="T516" i="5"/>
  <c r="U516" i="5"/>
  <c r="V516" i="5"/>
  <c r="W516" i="5"/>
  <c r="X516" i="5"/>
  <c r="AB516" i="5"/>
  <c r="B517" i="5"/>
  <c r="C517" i="5"/>
  <c r="D517" i="5"/>
  <c r="E517" i="5"/>
  <c r="F517" i="5"/>
  <c r="G517" i="5"/>
  <c r="H517" i="5"/>
  <c r="I517" i="5"/>
  <c r="J517" i="5"/>
  <c r="K517" i="5"/>
  <c r="L517" i="5"/>
  <c r="M517" i="5"/>
  <c r="N517" i="5"/>
  <c r="O517" i="5"/>
  <c r="P517" i="5"/>
  <c r="Q517" i="5"/>
  <c r="R517" i="5"/>
  <c r="S517" i="5"/>
  <c r="T517" i="5"/>
  <c r="U517" i="5"/>
  <c r="V517" i="5"/>
  <c r="W517" i="5"/>
  <c r="X517" i="5"/>
  <c r="AC517" i="5"/>
  <c r="B518" i="5"/>
  <c r="C518" i="5"/>
  <c r="D518" i="5"/>
  <c r="E518" i="5"/>
  <c r="F518" i="5"/>
  <c r="G518" i="5"/>
  <c r="H518" i="5"/>
  <c r="I518" i="5"/>
  <c r="J518" i="5"/>
  <c r="K518" i="5"/>
  <c r="L518" i="5"/>
  <c r="M518" i="5"/>
  <c r="AC518" i="5" s="1"/>
  <c r="N518" i="5"/>
  <c r="O518" i="5"/>
  <c r="P518" i="5"/>
  <c r="Q518" i="5"/>
  <c r="R518" i="5"/>
  <c r="S518" i="5"/>
  <c r="T518" i="5"/>
  <c r="U518" i="5"/>
  <c r="V518" i="5"/>
  <c r="W518" i="5"/>
  <c r="X518" i="5"/>
  <c r="AB518" i="5"/>
  <c r="B519" i="5"/>
  <c r="C519" i="5"/>
  <c r="D519" i="5"/>
  <c r="E519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X519" i="5"/>
  <c r="AC519" i="5"/>
  <c r="B520" i="5"/>
  <c r="C520" i="5"/>
  <c r="D520" i="5"/>
  <c r="E520" i="5"/>
  <c r="F520" i="5"/>
  <c r="G520" i="5"/>
  <c r="H520" i="5"/>
  <c r="I520" i="5"/>
  <c r="J520" i="5"/>
  <c r="K520" i="5"/>
  <c r="L520" i="5"/>
  <c r="M520" i="5"/>
  <c r="AC520" i="5" s="1"/>
  <c r="N520" i="5"/>
  <c r="O520" i="5"/>
  <c r="P520" i="5"/>
  <c r="Q520" i="5"/>
  <c r="R520" i="5"/>
  <c r="S520" i="5"/>
  <c r="T520" i="5"/>
  <c r="U520" i="5"/>
  <c r="V520" i="5"/>
  <c r="W520" i="5"/>
  <c r="X520" i="5"/>
  <c r="AB520" i="5"/>
  <c r="B521" i="5"/>
  <c r="C521" i="5"/>
  <c r="D521" i="5"/>
  <c r="E521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X521" i="5"/>
  <c r="AC521" i="5"/>
  <c r="B522" i="5"/>
  <c r="C522" i="5"/>
  <c r="D522" i="5"/>
  <c r="E522" i="5"/>
  <c r="F522" i="5"/>
  <c r="G522" i="5"/>
  <c r="H522" i="5"/>
  <c r="I522" i="5"/>
  <c r="J522" i="5"/>
  <c r="K522" i="5"/>
  <c r="L522" i="5"/>
  <c r="M522" i="5"/>
  <c r="AC522" i="5" s="1"/>
  <c r="N522" i="5"/>
  <c r="O522" i="5"/>
  <c r="P522" i="5"/>
  <c r="Q522" i="5"/>
  <c r="R522" i="5"/>
  <c r="S522" i="5"/>
  <c r="T522" i="5"/>
  <c r="U522" i="5"/>
  <c r="V522" i="5"/>
  <c r="W522" i="5"/>
  <c r="X522" i="5"/>
  <c r="AB522" i="5"/>
  <c r="B523" i="5"/>
  <c r="C523" i="5"/>
  <c r="D523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X523" i="5"/>
  <c r="AC523" i="5"/>
  <c r="B524" i="5"/>
  <c r="C524" i="5"/>
  <c r="D524" i="5"/>
  <c r="E524" i="5"/>
  <c r="F524" i="5"/>
  <c r="G524" i="5"/>
  <c r="H524" i="5"/>
  <c r="I524" i="5"/>
  <c r="J524" i="5"/>
  <c r="K524" i="5"/>
  <c r="L524" i="5"/>
  <c r="M524" i="5"/>
  <c r="AC524" i="5" s="1"/>
  <c r="N524" i="5"/>
  <c r="O524" i="5"/>
  <c r="P524" i="5"/>
  <c r="Q524" i="5"/>
  <c r="R524" i="5"/>
  <c r="S524" i="5"/>
  <c r="T524" i="5"/>
  <c r="U524" i="5"/>
  <c r="V524" i="5"/>
  <c r="W524" i="5"/>
  <c r="X524" i="5"/>
  <c r="AB524" i="5"/>
  <c r="B525" i="5"/>
  <c r="C525" i="5"/>
  <c r="D52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R525" i="5"/>
  <c r="S525" i="5"/>
  <c r="T525" i="5"/>
  <c r="U525" i="5"/>
  <c r="V525" i="5"/>
  <c r="W525" i="5"/>
  <c r="X525" i="5"/>
  <c r="AC525" i="5"/>
  <c r="B526" i="5"/>
  <c r="C526" i="5"/>
  <c r="D526" i="5"/>
  <c r="E526" i="5"/>
  <c r="F526" i="5"/>
  <c r="G526" i="5"/>
  <c r="H526" i="5"/>
  <c r="I526" i="5"/>
  <c r="J526" i="5"/>
  <c r="K526" i="5"/>
  <c r="L526" i="5"/>
  <c r="M526" i="5"/>
  <c r="AC526" i="5" s="1"/>
  <c r="N526" i="5"/>
  <c r="O526" i="5"/>
  <c r="P526" i="5"/>
  <c r="Q526" i="5"/>
  <c r="R526" i="5"/>
  <c r="S526" i="5"/>
  <c r="T526" i="5"/>
  <c r="U526" i="5"/>
  <c r="V526" i="5"/>
  <c r="W526" i="5"/>
  <c r="X526" i="5"/>
  <c r="AB526" i="5"/>
  <c r="B527" i="5"/>
  <c r="C527" i="5"/>
  <c r="D527" i="5"/>
  <c r="E527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R527" i="5"/>
  <c r="S527" i="5"/>
  <c r="T527" i="5"/>
  <c r="U527" i="5"/>
  <c r="V527" i="5"/>
  <c r="W527" i="5"/>
  <c r="X527" i="5"/>
  <c r="AC527" i="5"/>
  <c r="B528" i="5"/>
  <c r="C528" i="5"/>
  <c r="D528" i="5"/>
  <c r="E528" i="5"/>
  <c r="F528" i="5"/>
  <c r="G528" i="5"/>
  <c r="H528" i="5"/>
  <c r="I528" i="5"/>
  <c r="J528" i="5"/>
  <c r="K528" i="5"/>
  <c r="L528" i="5"/>
  <c r="M528" i="5"/>
  <c r="AC528" i="5" s="1"/>
  <c r="N528" i="5"/>
  <c r="O528" i="5"/>
  <c r="P528" i="5"/>
  <c r="Q528" i="5"/>
  <c r="R528" i="5"/>
  <c r="S528" i="5"/>
  <c r="T528" i="5"/>
  <c r="U528" i="5"/>
  <c r="V528" i="5"/>
  <c r="W528" i="5"/>
  <c r="X528" i="5"/>
  <c r="AB528" i="5"/>
  <c r="B529" i="5"/>
  <c r="C529" i="5"/>
  <c r="D529" i="5"/>
  <c r="E529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R529" i="5"/>
  <c r="S529" i="5"/>
  <c r="T529" i="5"/>
  <c r="U529" i="5"/>
  <c r="V529" i="5"/>
  <c r="W529" i="5"/>
  <c r="X529" i="5"/>
  <c r="AC529" i="5"/>
  <c r="B530" i="5"/>
  <c r="C530" i="5"/>
  <c r="D530" i="5"/>
  <c r="E530" i="5"/>
  <c r="F530" i="5"/>
  <c r="G530" i="5"/>
  <c r="H530" i="5"/>
  <c r="I530" i="5"/>
  <c r="J530" i="5"/>
  <c r="K530" i="5"/>
  <c r="L530" i="5"/>
  <c r="M530" i="5"/>
  <c r="AC530" i="5" s="1"/>
  <c r="N530" i="5"/>
  <c r="O530" i="5"/>
  <c r="P530" i="5"/>
  <c r="Q530" i="5"/>
  <c r="R530" i="5"/>
  <c r="S530" i="5"/>
  <c r="T530" i="5"/>
  <c r="U530" i="5"/>
  <c r="V530" i="5"/>
  <c r="W530" i="5"/>
  <c r="X530" i="5"/>
  <c r="AB530" i="5"/>
  <c r="B531" i="5"/>
  <c r="C531" i="5"/>
  <c r="D531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X531" i="5"/>
  <c r="AC531" i="5"/>
  <c r="B532" i="5"/>
  <c r="C532" i="5"/>
  <c r="D532" i="5"/>
  <c r="E532" i="5"/>
  <c r="F532" i="5"/>
  <c r="G532" i="5"/>
  <c r="H532" i="5"/>
  <c r="I532" i="5"/>
  <c r="J532" i="5"/>
  <c r="K532" i="5"/>
  <c r="L532" i="5"/>
  <c r="M532" i="5"/>
  <c r="AC532" i="5" s="1"/>
  <c r="N532" i="5"/>
  <c r="O532" i="5"/>
  <c r="P532" i="5"/>
  <c r="Q532" i="5"/>
  <c r="R532" i="5"/>
  <c r="S532" i="5"/>
  <c r="T532" i="5"/>
  <c r="U532" i="5"/>
  <c r="V532" i="5"/>
  <c r="W532" i="5"/>
  <c r="X532" i="5"/>
  <c r="AB532" i="5"/>
  <c r="B533" i="5"/>
  <c r="C533" i="5"/>
  <c r="D53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X533" i="5"/>
  <c r="AC533" i="5"/>
  <c r="B534" i="5"/>
  <c r="C534" i="5"/>
  <c r="D534" i="5"/>
  <c r="E534" i="5"/>
  <c r="F534" i="5"/>
  <c r="G534" i="5"/>
  <c r="H534" i="5"/>
  <c r="I534" i="5"/>
  <c r="J534" i="5"/>
  <c r="K534" i="5"/>
  <c r="L534" i="5"/>
  <c r="M534" i="5"/>
  <c r="AC534" i="5" s="1"/>
  <c r="N534" i="5"/>
  <c r="O534" i="5"/>
  <c r="P534" i="5"/>
  <c r="Q534" i="5"/>
  <c r="R534" i="5"/>
  <c r="S534" i="5"/>
  <c r="T534" i="5"/>
  <c r="U534" i="5"/>
  <c r="V534" i="5"/>
  <c r="W534" i="5"/>
  <c r="X534" i="5"/>
  <c r="AB534" i="5"/>
  <c r="B535" i="5"/>
  <c r="C535" i="5"/>
  <c r="D535" i="5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T535" i="5"/>
  <c r="U535" i="5"/>
  <c r="V535" i="5"/>
  <c r="W535" i="5"/>
  <c r="X535" i="5"/>
  <c r="AC535" i="5"/>
  <c r="B536" i="5"/>
  <c r="C536" i="5"/>
  <c r="D536" i="5"/>
  <c r="E536" i="5"/>
  <c r="F536" i="5"/>
  <c r="G536" i="5"/>
  <c r="H536" i="5"/>
  <c r="I536" i="5"/>
  <c r="J536" i="5"/>
  <c r="K536" i="5"/>
  <c r="L536" i="5"/>
  <c r="M536" i="5"/>
  <c r="AC536" i="5" s="1"/>
  <c r="N536" i="5"/>
  <c r="O536" i="5"/>
  <c r="P536" i="5"/>
  <c r="Q536" i="5"/>
  <c r="R536" i="5"/>
  <c r="S536" i="5"/>
  <c r="T536" i="5"/>
  <c r="U536" i="5"/>
  <c r="V536" i="5"/>
  <c r="W536" i="5"/>
  <c r="X536" i="5"/>
  <c r="AB536" i="5"/>
  <c r="B537" i="5"/>
  <c r="C537" i="5"/>
  <c r="D53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X537" i="5"/>
  <c r="AC537" i="5"/>
  <c r="B538" i="5"/>
  <c r="C538" i="5"/>
  <c r="D538" i="5"/>
  <c r="E538" i="5"/>
  <c r="F538" i="5"/>
  <c r="G538" i="5"/>
  <c r="H538" i="5"/>
  <c r="I538" i="5"/>
  <c r="J538" i="5"/>
  <c r="K538" i="5"/>
  <c r="L538" i="5"/>
  <c r="M538" i="5"/>
  <c r="AC538" i="5" s="1"/>
  <c r="N538" i="5"/>
  <c r="O538" i="5"/>
  <c r="P538" i="5"/>
  <c r="Q538" i="5"/>
  <c r="R538" i="5"/>
  <c r="S538" i="5"/>
  <c r="T538" i="5"/>
  <c r="U538" i="5"/>
  <c r="V538" i="5"/>
  <c r="W538" i="5"/>
  <c r="X538" i="5"/>
  <c r="AB538" i="5"/>
  <c r="B539" i="5"/>
  <c r="C539" i="5"/>
  <c r="D539" i="5"/>
  <c r="E539" i="5"/>
  <c r="F539" i="5"/>
  <c r="G539" i="5"/>
  <c r="H539" i="5"/>
  <c r="I539" i="5"/>
  <c r="J539" i="5"/>
  <c r="K539" i="5"/>
  <c r="L539" i="5"/>
  <c r="M539" i="5"/>
  <c r="N539" i="5"/>
  <c r="O539" i="5"/>
  <c r="P539" i="5"/>
  <c r="Q539" i="5"/>
  <c r="R539" i="5"/>
  <c r="S539" i="5"/>
  <c r="T539" i="5"/>
  <c r="U539" i="5"/>
  <c r="V539" i="5"/>
  <c r="W539" i="5"/>
  <c r="X539" i="5"/>
  <c r="AC539" i="5"/>
  <c r="B540" i="5"/>
  <c r="C540" i="5"/>
  <c r="D540" i="5"/>
  <c r="E540" i="5"/>
  <c r="F540" i="5"/>
  <c r="G540" i="5"/>
  <c r="H540" i="5"/>
  <c r="I540" i="5"/>
  <c r="J540" i="5"/>
  <c r="K540" i="5"/>
  <c r="L540" i="5"/>
  <c r="M540" i="5"/>
  <c r="AC540" i="5" s="1"/>
  <c r="N540" i="5"/>
  <c r="O540" i="5"/>
  <c r="P540" i="5"/>
  <c r="Q540" i="5"/>
  <c r="R540" i="5"/>
  <c r="S540" i="5"/>
  <c r="T540" i="5"/>
  <c r="U540" i="5"/>
  <c r="V540" i="5"/>
  <c r="W540" i="5"/>
  <c r="X540" i="5"/>
  <c r="AB540" i="5"/>
  <c r="B541" i="5"/>
  <c r="C541" i="5"/>
  <c r="D541" i="5"/>
  <c r="E541" i="5"/>
  <c r="F541" i="5"/>
  <c r="G541" i="5"/>
  <c r="H541" i="5"/>
  <c r="I541" i="5"/>
  <c r="J541" i="5"/>
  <c r="K541" i="5"/>
  <c r="L541" i="5"/>
  <c r="M541" i="5"/>
  <c r="N541" i="5"/>
  <c r="O541" i="5"/>
  <c r="P541" i="5"/>
  <c r="Q541" i="5"/>
  <c r="R541" i="5"/>
  <c r="S541" i="5"/>
  <c r="T541" i="5"/>
  <c r="U541" i="5"/>
  <c r="V541" i="5"/>
  <c r="W541" i="5"/>
  <c r="X541" i="5"/>
  <c r="AC541" i="5"/>
  <c r="B542" i="5"/>
  <c r="C542" i="5"/>
  <c r="D542" i="5"/>
  <c r="E542" i="5"/>
  <c r="F542" i="5"/>
  <c r="G542" i="5"/>
  <c r="H542" i="5"/>
  <c r="I542" i="5"/>
  <c r="J542" i="5"/>
  <c r="K542" i="5"/>
  <c r="L542" i="5"/>
  <c r="M542" i="5"/>
  <c r="AC542" i="5" s="1"/>
  <c r="N542" i="5"/>
  <c r="O542" i="5"/>
  <c r="P542" i="5"/>
  <c r="Q542" i="5"/>
  <c r="R542" i="5"/>
  <c r="S542" i="5"/>
  <c r="T542" i="5"/>
  <c r="U542" i="5"/>
  <c r="V542" i="5"/>
  <c r="W542" i="5"/>
  <c r="X542" i="5"/>
  <c r="AB542" i="5"/>
  <c r="B543" i="5"/>
  <c r="C543" i="5"/>
  <c r="D543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X543" i="5"/>
  <c r="AC543" i="5"/>
  <c r="B544" i="5"/>
  <c r="C544" i="5"/>
  <c r="D544" i="5"/>
  <c r="E544" i="5"/>
  <c r="F544" i="5"/>
  <c r="G544" i="5"/>
  <c r="H544" i="5"/>
  <c r="I544" i="5"/>
  <c r="J544" i="5"/>
  <c r="K544" i="5"/>
  <c r="L544" i="5"/>
  <c r="M544" i="5"/>
  <c r="AC544" i="5" s="1"/>
  <c r="N544" i="5"/>
  <c r="O544" i="5"/>
  <c r="P544" i="5"/>
  <c r="Q544" i="5"/>
  <c r="R544" i="5"/>
  <c r="S544" i="5"/>
  <c r="T544" i="5"/>
  <c r="U544" i="5"/>
  <c r="V544" i="5"/>
  <c r="W544" i="5"/>
  <c r="X544" i="5"/>
  <c r="AB544" i="5"/>
  <c r="B545" i="5"/>
  <c r="C545" i="5"/>
  <c r="D545" i="5"/>
  <c r="E545" i="5"/>
  <c r="F545" i="5"/>
  <c r="G545" i="5"/>
  <c r="H545" i="5"/>
  <c r="I545" i="5"/>
  <c r="J545" i="5"/>
  <c r="K545" i="5"/>
  <c r="L545" i="5"/>
  <c r="M545" i="5"/>
  <c r="N545" i="5"/>
  <c r="O545" i="5"/>
  <c r="P545" i="5"/>
  <c r="Q545" i="5"/>
  <c r="R545" i="5"/>
  <c r="S545" i="5"/>
  <c r="T545" i="5"/>
  <c r="U545" i="5"/>
  <c r="V545" i="5"/>
  <c r="W545" i="5"/>
  <c r="X545" i="5"/>
  <c r="AC545" i="5"/>
  <c r="B546" i="5"/>
  <c r="C546" i="5"/>
  <c r="D546" i="5"/>
  <c r="E546" i="5"/>
  <c r="F546" i="5"/>
  <c r="G546" i="5"/>
  <c r="H546" i="5"/>
  <c r="I546" i="5"/>
  <c r="J546" i="5"/>
  <c r="K546" i="5"/>
  <c r="L546" i="5"/>
  <c r="M546" i="5"/>
  <c r="AC546" i="5" s="1"/>
  <c r="N546" i="5"/>
  <c r="O546" i="5"/>
  <c r="P546" i="5"/>
  <c r="Q546" i="5"/>
  <c r="R546" i="5"/>
  <c r="S546" i="5"/>
  <c r="T546" i="5"/>
  <c r="U546" i="5"/>
  <c r="V546" i="5"/>
  <c r="W546" i="5"/>
  <c r="X546" i="5"/>
  <c r="AB546" i="5"/>
  <c r="B547" i="5"/>
  <c r="C547" i="5"/>
  <c r="D547" i="5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V547" i="5"/>
  <c r="W547" i="5"/>
  <c r="X547" i="5"/>
  <c r="AC547" i="5"/>
  <c r="B548" i="5"/>
  <c r="C548" i="5"/>
  <c r="D548" i="5"/>
  <c r="E548" i="5"/>
  <c r="F548" i="5"/>
  <c r="G548" i="5"/>
  <c r="H548" i="5"/>
  <c r="I548" i="5"/>
  <c r="J548" i="5"/>
  <c r="K548" i="5"/>
  <c r="L548" i="5"/>
  <c r="M548" i="5"/>
  <c r="AC548" i="5" s="1"/>
  <c r="N548" i="5"/>
  <c r="O548" i="5"/>
  <c r="P548" i="5"/>
  <c r="Q548" i="5"/>
  <c r="R548" i="5"/>
  <c r="S548" i="5"/>
  <c r="T548" i="5"/>
  <c r="U548" i="5"/>
  <c r="V548" i="5"/>
  <c r="W548" i="5"/>
  <c r="X548" i="5"/>
  <c r="AB548" i="5"/>
  <c r="B549" i="5"/>
  <c r="C549" i="5"/>
  <c r="D549" i="5"/>
  <c r="E549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R549" i="5"/>
  <c r="S549" i="5"/>
  <c r="T549" i="5"/>
  <c r="U549" i="5"/>
  <c r="V549" i="5"/>
  <c r="W549" i="5"/>
  <c r="X549" i="5"/>
  <c r="AC549" i="5"/>
  <c r="B550" i="5"/>
  <c r="C550" i="5"/>
  <c r="D550" i="5"/>
  <c r="E550" i="5"/>
  <c r="F550" i="5"/>
  <c r="G550" i="5"/>
  <c r="H550" i="5"/>
  <c r="I550" i="5"/>
  <c r="J550" i="5"/>
  <c r="K550" i="5"/>
  <c r="L550" i="5"/>
  <c r="M550" i="5"/>
  <c r="AC550" i="5" s="1"/>
  <c r="N550" i="5"/>
  <c r="O550" i="5"/>
  <c r="P550" i="5"/>
  <c r="Q550" i="5"/>
  <c r="R550" i="5"/>
  <c r="S550" i="5"/>
  <c r="T550" i="5"/>
  <c r="U550" i="5"/>
  <c r="V550" i="5"/>
  <c r="W550" i="5"/>
  <c r="X550" i="5"/>
  <c r="AB550" i="5"/>
  <c r="B551" i="5"/>
  <c r="C551" i="5"/>
  <c r="D551" i="5"/>
  <c r="E551" i="5"/>
  <c r="F551" i="5"/>
  <c r="G551" i="5"/>
  <c r="H551" i="5"/>
  <c r="I551" i="5"/>
  <c r="J551" i="5"/>
  <c r="K551" i="5"/>
  <c r="L551" i="5"/>
  <c r="M551" i="5"/>
  <c r="N551" i="5"/>
  <c r="O551" i="5"/>
  <c r="P551" i="5"/>
  <c r="Q551" i="5"/>
  <c r="R551" i="5"/>
  <c r="S551" i="5"/>
  <c r="T551" i="5"/>
  <c r="U551" i="5"/>
  <c r="V551" i="5"/>
  <c r="W551" i="5"/>
  <c r="X551" i="5"/>
  <c r="AC551" i="5"/>
  <c r="B552" i="5"/>
  <c r="C552" i="5"/>
  <c r="D552" i="5"/>
  <c r="E552" i="5"/>
  <c r="F552" i="5"/>
  <c r="G552" i="5"/>
  <c r="H552" i="5"/>
  <c r="I552" i="5"/>
  <c r="J552" i="5"/>
  <c r="K552" i="5"/>
  <c r="L552" i="5"/>
  <c r="M552" i="5"/>
  <c r="AC552" i="5" s="1"/>
  <c r="N552" i="5"/>
  <c r="O552" i="5"/>
  <c r="P552" i="5"/>
  <c r="Q552" i="5"/>
  <c r="R552" i="5"/>
  <c r="S552" i="5"/>
  <c r="T552" i="5"/>
  <c r="U552" i="5"/>
  <c r="V552" i="5"/>
  <c r="W552" i="5"/>
  <c r="X552" i="5"/>
  <c r="AB552" i="5"/>
  <c r="B553" i="5"/>
  <c r="C553" i="5"/>
  <c r="D553" i="5"/>
  <c r="E553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R553" i="5"/>
  <c r="S553" i="5"/>
  <c r="T553" i="5"/>
  <c r="U553" i="5"/>
  <c r="V553" i="5"/>
  <c r="W553" i="5"/>
  <c r="X553" i="5"/>
  <c r="AC553" i="5"/>
  <c r="B554" i="5"/>
  <c r="C554" i="5"/>
  <c r="D554" i="5"/>
  <c r="E554" i="5"/>
  <c r="F554" i="5"/>
  <c r="G554" i="5"/>
  <c r="H554" i="5"/>
  <c r="I554" i="5"/>
  <c r="J554" i="5"/>
  <c r="K554" i="5"/>
  <c r="L554" i="5"/>
  <c r="M554" i="5"/>
  <c r="AC554" i="5" s="1"/>
  <c r="N554" i="5"/>
  <c r="O554" i="5"/>
  <c r="P554" i="5"/>
  <c r="Q554" i="5"/>
  <c r="R554" i="5"/>
  <c r="S554" i="5"/>
  <c r="T554" i="5"/>
  <c r="U554" i="5"/>
  <c r="V554" i="5"/>
  <c r="W554" i="5"/>
  <c r="X554" i="5"/>
  <c r="AB554" i="5"/>
  <c r="B555" i="5"/>
  <c r="C555" i="5"/>
  <c r="D555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R555" i="5"/>
  <c r="S555" i="5"/>
  <c r="T555" i="5"/>
  <c r="U555" i="5"/>
  <c r="V555" i="5"/>
  <c r="W555" i="5"/>
  <c r="X555" i="5"/>
  <c r="AC555" i="5"/>
  <c r="B556" i="5"/>
  <c r="C556" i="5"/>
  <c r="D556" i="5"/>
  <c r="E556" i="5"/>
  <c r="F556" i="5"/>
  <c r="G556" i="5"/>
  <c r="H556" i="5"/>
  <c r="I556" i="5"/>
  <c r="J556" i="5"/>
  <c r="K556" i="5"/>
  <c r="L556" i="5"/>
  <c r="M556" i="5"/>
  <c r="AC556" i="5" s="1"/>
  <c r="N556" i="5"/>
  <c r="O556" i="5"/>
  <c r="P556" i="5"/>
  <c r="Q556" i="5"/>
  <c r="R556" i="5"/>
  <c r="S556" i="5"/>
  <c r="T556" i="5"/>
  <c r="U556" i="5"/>
  <c r="V556" i="5"/>
  <c r="W556" i="5"/>
  <c r="X556" i="5"/>
  <c r="AB556" i="5"/>
  <c r="B557" i="5"/>
  <c r="C557" i="5"/>
  <c r="D557" i="5"/>
  <c r="E557" i="5"/>
  <c r="F557" i="5"/>
  <c r="G557" i="5"/>
  <c r="H557" i="5"/>
  <c r="I557" i="5"/>
  <c r="J557" i="5"/>
  <c r="K557" i="5"/>
  <c r="L557" i="5"/>
  <c r="M557" i="5"/>
  <c r="N557" i="5"/>
  <c r="O557" i="5"/>
  <c r="P557" i="5"/>
  <c r="Q557" i="5"/>
  <c r="R557" i="5"/>
  <c r="S557" i="5"/>
  <c r="T557" i="5"/>
  <c r="U557" i="5"/>
  <c r="V557" i="5"/>
  <c r="W557" i="5"/>
  <c r="X557" i="5"/>
  <c r="AC557" i="5"/>
  <c r="B558" i="5"/>
  <c r="C558" i="5"/>
  <c r="D558" i="5"/>
  <c r="E558" i="5"/>
  <c r="F558" i="5"/>
  <c r="G558" i="5"/>
  <c r="H558" i="5"/>
  <c r="I558" i="5"/>
  <c r="J558" i="5"/>
  <c r="K558" i="5"/>
  <c r="L558" i="5"/>
  <c r="M558" i="5"/>
  <c r="AC558" i="5" s="1"/>
  <c r="N558" i="5"/>
  <c r="O558" i="5"/>
  <c r="P558" i="5"/>
  <c r="Q558" i="5"/>
  <c r="R558" i="5"/>
  <c r="S558" i="5"/>
  <c r="T558" i="5"/>
  <c r="U558" i="5"/>
  <c r="V558" i="5"/>
  <c r="W558" i="5"/>
  <c r="X558" i="5"/>
  <c r="AB558" i="5"/>
  <c r="B559" i="5"/>
  <c r="C559" i="5"/>
  <c r="D559" i="5"/>
  <c r="E559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R559" i="5"/>
  <c r="S559" i="5"/>
  <c r="T559" i="5"/>
  <c r="U559" i="5"/>
  <c r="V559" i="5"/>
  <c r="W559" i="5"/>
  <c r="X559" i="5"/>
  <c r="AC559" i="5"/>
  <c r="B560" i="5"/>
  <c r="C560" i="5"/>
  <c r="D560" i="5"/>
  <c r="E560" i="5"/>
  <c r="F560" i="5"/>
  <c r="G560" i="5"/>
  <c r="H560" i="5"/>
  <c r="I560" i="5"/>
  <c r="J560" i="5"/>
  <c r="K560" i="5"/>
  <c r="L560" i="5"/>
  <c r="M560" i="5"/>
  <c r="AC560" i="5" s="1"/>
  <c r="N560" i="5"/>
  <c r="O560" i="5"/>
  <c r="P560" i="5"/>
  <c r="Q560" i="5"/>
  <c r="R560" i="5"/>
  <c r="S560" i="5"/>
  <c r="T560" i="5"/>
  <c r="U560" i="5"/>
  <c r="V560" i="5"/>
  <c r="W560" i="5"/>
  <c r="X560" i="5"/>
  <c r="AB560" i="5"/>
  <c r="B561" i="5"/>
  <c r="C561" i="5"/>
  <c r="D561" i="5"/>
  <c r="E561" i="5"/>
  <c r="F561" i="5"/>
  <c r="G561" i="5"/>
  <c r="H561" i="5"/>
  <c r="I561" i="5"/>
  <c r="J561" i="5"/>
  <c r="K561" i="5"/>
  <c r="L561" i="5"/>
  <c r="M561" i="5"/>
  <c r="N561" i="5"/>
  <c r="O561" i="5"/>
  <c r="P561" i="5"/>
  <c r="Q561" i="5"/>
  <c r="R561" i="5"/>
  <c r="S561" i="5"/>
  <c r="T561" i="5"/>
  <c r="U561" i="5"/>
  <c r="V561" i="5"/>
  <c r="W561" i="5"/>
  <c r="X561" i="5"/>
  <c r="AC561" i="5"/>
  <c r="B562" i="5"/>
  <c r="C562" i="5"/>
  <c r="D562" i="5"/>
  <c r="E562" i="5"/>
  <c r="F562" i="5"/>
  <c r="G562" i="5"/>
  <c r="H562" i="5"/>
  <c r="I562" i="5"/>
  <c r="J562" i="5"/>
  <c r="K562" i="5"/>
  <c r="L562" i="5"/>
  <c r="M562" i="5"/>
  <c r="AC562" i="5" s="1"/>
  <c r="N562" i="5"/>
  <c r="O562" i="5"/>
  <c r="P562" i="5"/>
  <c r="Q562" i="5"/>
  <c r="R562" i="5"/>
  <c r="S562" i="5"/>
  <c r="T562" i="5"/>
  <c r="U562" i="5"/>
  <c r="V562" i="5"/>
  <c r="W562" i="5"/>
  <c r="X562" i="5"/>
  <c r="AB562" i="5"/>
  <c r="B563" i="5"/>
  <c r="C563" i="5"/>
  <c r="D563" i="5"/>
  <c r="E563" i="5"/>
  <c r="F563" i="5"/>
  <c r="G563" i="5"/>
  <c r="H563" i="5"/>
  <c r="I563" i="5"/>
  <c r="J563" i="5"/>
  <c r="K563" i="5"/>
  <c r="L563" i="5"/>
  <c r="M563" i="5"/>
  <c r="N563" i="5"/>
  <c r="O563" i="5"/>
  <c r="P563" i="5"/>
  <c r="Q563" i="5"/>
  <c r="R563" i="5"/>
  <c r="S563" i="5"/>
  <c r="T563" i="5"/>
  <c r="U563" i="5"/>
  <c r="V563" i="5"/>
  <c r="W563" i="5"/>
  <c r="X563" i="5"/>
  <c r="AC563" i="5"/>
  <c r="B564" i="5"/>
  <c r="C564" i="5"/>
  <c r="D564" i="5"/>
  <c r="E564" i="5"/>
  <c r="F564" i="5"/>
  <c r="G564" i="5"/>
  <c r="H564" i="5"/>
  <c r="I564" i="5"/>
  <c r="J564" i="5"/>
  <c r="K564" i="5"/>
  <c r="L564" i="5"/>
  <c r="M564" i="5"/>
  <c r="AC564" i="5" s="1"/>
  <c r="N564" i="5"/>
  <c r="O564" i="5"/>
  <c r="P564" i="5"/>
  <c r="Q564" i="5"/>
  <c r="R564" i="5"/>
  <c r="S564" i="5"/>
  <c r="T564" i="5"/>
  <c r="U564" i="5"/>
  <c r="V564" i="5"/>
  <c r="W564" i="5"/>
  <c r="X564" i="5"/>
  <c r="AB564" i="5"/>
  <c r="B565" i="5"/>
  <c r="C565" i="5"/>
  <c r="D565" i="5"/>
  <c r="E565" i="5"/>
  <c r="F565" i="5"/>
  <c r="G565" i="5"/>
  <c r="H565" i="5"/>
  <c r="I565" i="5"/>
  <c r="J565" i="5"/>
  <c r="K565" i="5"/>
  <c r="L565" i="5"/>
  <c r="M565" i="5"/>
  <c r="N565" i="5"/>
  <c r="O565" i="5"/>
  <c r="P565" i="5"/>
  <c r="Q565" i="5"/>
  <c r="R565" i="5"/>
  <c r="S565" i="5"/>
  <c r="T565" i="5"/>
  <c r="U565" i="5"/>
  <c r="V565" i="5"/>
  <c r="W565" i="5"/>
  <c r="X565" i="5"/>
  <c r="AC565" i="5"/>
  <c r="B566" i="5"/>
  <c r="C566" i="5"/>
  <c r="D566" i="5"/>
  <c r="E566" i="5"/>
  <c r="F566" i="5"/>
  <c r="G566" i="5"/>
  <c r="H566" i="5"/>
  <c r="I566" i="5"/>
  <c r="J566" i="5"/>
  <c r="K566" i="5"/>
  <c r="L566" i="5"/>
  <c r="M566" i="5"/>
  <c r="AC566" i="5" s="1"/>
  <c r="N566" i="5"/>
  <c r="O566" i="5"/>
  <c r="P566" i="5"/>
  <c r="Q566" i="5"/>
  <c r="R566" i="5"/>
  <c r="S566" i="5"/>
  <c r="T566" i="5"/>
  <c r="U566" i="5"/>
  <c r="V566" i="5"/>
  <c r="W566" i="5"/>
  <c r="X566" i="5"/>
  <c r="AB566" i="5"/>
  <c r="B567" i="5"/>
  <c r="C567" i="5"/>
  <c r="D567" i="5"/>
  <c r="E567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R567" i="5"/>
  <c r="S567" i="5"/>
  <c r="T567" i="5"/>
  <c r="U567" i="5"/>
  <c r="V567" i="5"/>
  <c r="W567" i="5"/>
  <c r="X567" i="5"/>
  <c r="AC567" i="5"/>
  <c r="B568" i="5"/>
  <c r="C568" i="5"/>
  <c r="D568" i="5"/>
  <c r="E568" i="5"/>
  <c r="F568" i="5"/>
  <c r="G568" i="5"/>
  <c r="H568" i="5"/>
  <c r="I568" i="5"/>
  <c r="J568" i="5"/>
  <c r="K568" i="5"/>
  <c r="L568" i="5"/>
  <c r="M568" i="5"/>
  <c r="AC568" i="5" s="1"/>
  <c r="N568" i="5"/>
  <c r="O568" i="5"/>
  <c r="P568" i="5"/>
  <c r="Q568" i="5"/>
  <c r="R568" i="5"/>
  <c r="S568" i="5"/>
  <c r="T568" i="5"/>
  <c r="U568" i="5"/>
  <c r="V568" i="5"/>
  <c r="W568" i="5"/>
  <c r="X568" i="5"/>
  <c r="AB568" i="5"/>
  <c r="B569" i="5"/>
  <c r="C569" i="5"/>
  <c r="D569" i="5"/>
  <c r="E569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R569" i="5"/>
  <c r="S569" i="5"/>
  <c r="T569" i="5"/>
  <c r="U569" i="5"/>
  <c r="V569" i="5"/>
  <c r="W569" i="5"/>
  <c r="X569" i="5"/>
  <c r="AC569" i="5"/>
  <c r="B570" i="5"/>
  <c r="C570" i="5"/>
  <c r="D570" i="5"/>
  <c r="E570" i="5"/>
  <c r="F570" i="5"/>
  <c r="G570" i="5"/>
  <c r="H570" i="5"/>
  <c r="I570" i="5"/>
  <c r="J570" i="5"/>
  <c r="K570" i="5"/>
  <c r="L570" i="5"/>
  <c r="M570" i="5"/>
  <c r="AC570" i="5" s="1"/>
  <c r="N570" i="5"/>
  <c r="O570" i="5"/>
  <c r="P570" i="5"/>
  <c r="Q570" i="5"/>
  <c r="R570" i="5"/>
  <c r="S570" i="5"/>
  <c r="T570" i="5"/>
  <c r="U570" i="5"/>
  <c r="V570" i="5"/>
  <c r="W570" i="5"/>
  <c r="X570" i="5"/>
  <c r="AB570" i="5"/>
  <c r="B571" i="5"/>
  <c r="C571" i="5"/>
  <c r="D571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W571" i="5"/>
  <c r="X571" i="5"/>
  <c r="AC571" i="5"/>
  <c r="B572" i="5"/>
  <c r="C572" i="5"/>
  <c r="D572" i="5"/>
  <c r="E572" i="5"/>
  <c r="F572" i="5"/>
  <c r="G572" i="5"/>
  <c r="H572" i="5"/>
  <c r="I572" i="5"/>
  <c r="J572" i="5"/>
  <c r="K572" i="5"/>
  <c r="L572" i="5"/>
  <c r="M572" i="5"/>
  <c r="AC572" i="5" s="1"/>
  <c r="N572" i="5"/>
  <c r="O572" i="5"/>
  <c r="P572" i="5"/>
  <c r="Q572" i="5"/>
  <c r="R572" i="5"/>
  <c r="S572" i="5"/>
  <c r="T572" i="5"/>
  <c r="U572" i="5"/>
  <c r="V572" i="5"/>
  <c r="W572" i="5"/>
  <c r="X572" i="5"/>
  <c r="AB572" i="5"/>
  <c r="B573" i="5"/>
  <c r="C573" i="5"/>
  <c r="D573" i="5"/>
  <c r="E573" i="5"/>
  <c r="F573" i="5"/>
  <c r="G573" i="5"/>
  <c r="H573" i="5"/>
  <c r="I573" i="5"/>
  <c r="J573" i="5"/>
  <c r="K573" i="5"/>
  <c r="L573" i="5"/>
  <c r="M573" i="5"/>
  <c r="N573" i="5"/>
  <c r="O573" i="5"/>
  <c r="P573" i="5"/>
  <c r="Q573" i="5"/>
  <c r="R573" i="5"/>
  <c r="S573" i="5"/>
  <c r="T573" i="5"/>
  <c r="U573" i="5"/>
  <c r="V573" i="5"/>
  <c r="W573" i="5"/>
  <c r="X573" i="5"/>
  <c r="AC573" i="5"/>
  <c r="B574" i="5"/>
  <c r="C574" i="5"/>
  <c r="D574" i="5"/>
  <c r="E574" i="5"/>
  <c r="F574" i="5"/>
  <c r="G574" i="5"/>
  <c r="H574" i="5"/>
  <c r="I574" i="5"/>
  <c r="J574" i="5"/>
  <c r="K574" i="5"/>
  <c r="L574" i="5"/>
  <c r="M574" i="5"/>
  <c r="AC574" i="5" s="1"/>
  <c r="N574" i="5"/>
  <c r="O574" i="5"/>
  <c r="P574" i="5"/>
  <c r="Q574" i="5"/>
  <c r="R574" i="5"/>
  <c r="S574" i="5"/>
  <c r="T574" i="5"/>
  <c r="U574" i="5"/>
  <c r="V574" i="5"/>
  <c r="W574" i="5"/>
  <c r="X574" i="5"/>
  <c r="AB574" i="5"/>
  <c r="B575" i="5"/>
  <c r="C575" i="5"/>
  <c r="D575" i="5"/>
  <c r="E575" i="5"/>
  <c r="F575" i="5"/>
  <c r="G575" i="5"/>
  <c r="H575" i="5"/>
  <c r="I575" i="5"/>
  <c r="J575" i="5"/>
  <c r="K575" i="5"/>
  <c r="L575" i="5"/>
  <c r="M575" i="5"/>
  <c r="N575" i="5"/>
  <c r="O575" i="5"/>
  <c r="P575" i="5"/>
  <c r="Q575" i="5"/>
  <c r="R575" i="5"/>
  <c r="S575" i="5"/>
  <c r="T575" i="5"/>
  <c r="U575" i="5"/>
  <c r="V575" i="5"/>
  <c r="W575" i="5"/>
  <c r="X575" i="5"/>
  <c r="AC575" i="5"/>
  <c r="B576" i="5"/>
  <c r="C576" i="5"/>
  <c r="D576" i="5"/>
  <c r="E576" i="5"/>
  <c r="F576" i="5"/>
  <c r="G576" i="5"/>
  <c r="H576" i="5"/>
  <c r="I576" i="5"/>
  <c r="J576" i="5"/>
  <c r="K576" i="5"/>
  <c r="L576" i="5"/>
  <c r="M576" i="5"/>
  <c r="AC576" i="5" s="1"/>
  <c r="N576" i="5"/>
  <c r="O576" i="5"/>
  <c r="P576" i="5"/>
  <c r="Q576" i="5"/>
  <c r="R576" i="5"/>
  <c r="S576" i="5"/>
  <c r="T576" i="5"/>
  <c r="U576" i="5"/>
  <c r="V576" i="5"/>
  <c r="W576" i="5"/>
  <c r="X576" i="5"/>
  <c r="AB576" i="5"/>
  <c r="B577" i="5"/>
  <c r="C577" i="5"/>
  <c r="D577" i="5"/>
  <c r="E577" i="5"/>
  <c r="F577" i="5"/>
  <c r="G577" i="5"/>
  <c r="H577" i="5"/>
  <c r="I577" i="5"/>
  <c r="J577" i="5"/>
  <c r="K577" i="5"/>
  <c r="L577" i="5"/>
  <c r="M577" i="5"/>
  <c r="N577" i="5"/>
  <c r="O577" i="5"/>
  <c r="P577" i="5"/>
  <c r="Q577" i="5"/>
  <c r="R577" i="5"/>
  <c r="S577" i="5"/>
  <c r="T577" i="5"/>
  <c r="U577" i="5"/>
  <c r="V577" i="5"/>
  <c r="W577" i="5"/>
  <c r="X577" i="5"/>
  <c r="AC577" i="5"/>
  <c r="B578" i="5"/>
  <c r="C578" i="5"/>
  <c r="D578" i="5"/>
  <c r="E578" i="5"/>
  <c r="F578" i="5"/>
  <c r="G578" i="5"/>
  <c r="H578" i="5"/>
  <c r="I578" i="5"/>
  <c r="J578" i="5"/>
  <c r="K578" i="5"/>
  <c r="L578" i="5"/>
  <c r="M578" i="5"/>
  <c r="AC578" i="5" s="1"/>
  <c r="N578" i="5"/>
  <c r="O578" i="5"/>
  <c r="P578" i="5"/>
  <c r="Q578" i="5"/>
  <c r="R578" i="5"/>
  <c r="S578" i="5"/>
  <c r="T578" i="5"/>
  <c r="U578" i="5"/>
  <c r="V578" i="5"/>
  <c r="W578" i="5"/>
  <c r="X578" i="5"/>
  <c r="AB578" i="5"/>
  <c r="B579" i="5"/>
  <c r="C579" i="5"/>
  <c r="D579" i="5"/>
  <c r="E579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R579" i="5"/>
  <c r="S579" i="5"/>
  <c r="T579" i="5"/>
  <c r="U579" i="5"/>
  <c r="V579" i="5"/>
  <c r="W579" i="5"/>
  <c r="X579" i="5"/>
  <c r="AC579" i="5"/>
  <c r="B580" i="5"/>
  <c r="C580" i="5"/>
  <c r="D580" i="5"/>
  <c r="E580" i="5"/>
  <c r="F580" i="5"/>
  <c r="G580" i="5"/>
  <c r="H580" i="5"/>
  <c r="I580" i="5"/>
  <c r="J580" i="5"/>
  <c r="K580" i="5"/>
  <c r="L580" i="5"/>
  <c r="M580" i="5"/>
  <c r="AC580" i="5" s="1"/>
  <c r="N580" i="5"/>
  <c r="O580" i="5"/>
  <c r="P580" i="5"/>
  <c r="Q580" i="5"/>
  <c r="R580" i="5"/>
  <c r="S580" i="5"/>
  <c r="T580" i="5"/>
  <c r="U580" i="5"/>
  <c r="V580" i="5"/>
  <c r="W580" i="5"/>
  <c r="X580" i="5"/>
  <c r="AB580" i="5"/>
  <c r="B581" i="5"/>
  <c r="C581" i="5"/>
  <c r="D581" i="5"/>
  <c r="E581" i="5"/>
  <c r="F581" i="5"/>
  <c r="G581" i="5"/>
  <c r="H581" i="5"/>
  <c r="I581" i="5"/>
  <c r="J581" i="5"/>
  <c r="K581" i="5"/>
  <c r="L581" i="5"/>
  <c r="M581" i="5"/>
  <c r="N581" i="5"/>
  <c r="O581" i="5"/>
  <c r="P581" i="5"/>
  <c r="Q581" i="5"/>
  <c r="R581" i="5"/>
  <c r="S581" i="5"/>
  <c r="T581" i="5"/>
  <c r="U581" i="5"/>
  <c r="V581" i="5"/>
  <c r="W581" i="5"/>
  <c r="X581" i="5"/>
  <c r="AC581" i="5"/>
  <c r="B582" i="5"/>
  <c r="C582" i="5"/>
  <c r="D582" i="5"/>
  <c r="E582" i="5"/>
  <c r="F582" i="5"/>
  <c r="G582" i="5"/>
  <c r="H582" i="5"/>
  <c r="I582" i="5"/>
  <c r="J582" i="5"/>
  <c r="K582" i="5"/>
  <c r="L582" i="5"/>
  <c r="M582" i="5"/>
  <c r="AC582" i="5" s="1"/>
  <c r="N582" i="5"/>
  <c r="O582" i="5"/>
  <c r="P582" i="5"/>
  <c r="Q582" i="5"/>
  <c r="R582" i="5"/>
  <c r="S582" i="5"/>
  <c r="T582" i="5"/>
  <c r="U582" i="5"/>
  <c r="V582" i="5"/>
  <c r="W582" i="5"/>
  <c r="X582" i="5"/>
  <c r="AB582" i="5"/>
  <c r="B583" i="5"/>
  <c r="C583" i="5"/>
  <c r="D583" i="5"/>
  <c r="E583" i="5"/>
  <c r="F583" i="5"/>
  <c r="G583" i="5"/>
  <c r="H583" i="5"/>
  <c r="I583" i="5"/>
  <c r="J583" i="5"/>
  <c r="K583" i="5"/>
  <c r="L583" i="5"/>
  <c r="M583" i="5"/>
  <c r="N583" i="5"/>
  <c r="O583" i="5"/>
  <c r="P583" i="5"/>
  <c r="Q583" i="5"/>
  <c r="R583" i="5"/>
  <c r="S583" i="5"/>
  <c r="T583" i="5"/>
  <c r="U583" i="5"/>
  <c r="V583" i="5"/>
  <c r="W583" i="5"/>
  <c r="X583" i="5"/>
  <c r="AC583" i="5"/>
  <c r="B584" i="5"/>
  <c r="C584" i="5"/>
  <c r="D584" i="5"/>
  <c r="E584" i="5"/>
  <c r="F584" i="5"/>
  <c r="G584" i="5"/>
  <c r="H584" i="5"/>
  <c r="I584" i="5"/>
  <c r="J584" i="5"/>
  <c r="K584" i="5"/>
  <c r="L584" i="5"/>
  <c r="M584" i="5"/>
  <c r="AC584" i="5" s="1"/>
  <c r="N584" i="5"/>
  <c r="O584" i="5"/>
  <c r="P584" i="5"/>
  <c r="Q584" i="5"/>
  <c r="R584" i="5"/>
  <c r="S584" i="5"/>
  <c r="T584" i="5"/>
  <c r="U584" i="5"/>
  <c r="V584" i="5"/>
  <c r="W584" i="5"/>
  <c r="X584" i="5"/>
  <c r="AB584" i="5"/>
  <c r="B585" i="5"/>
  <c r="C585" i="5"/>
  <c r="D585" i="5"/>
  <c r="E585" i="5"/>
  <c r="F585" i="5"/>
  <c r="G585" i="5"/>
  <c r="H585" i="5"/>
  <c r="I585" i="5"/>
  <c r="J585" i="5"/>
  <c r="K585" i="5"/>
  <c r="L585" i="5"/>
  <c r="M585" i="5"/>
  <c r="N585" i="5"/>
  <c r="O585" i="5"/>
  <c r="P585" i="5"/>
  <c r="Q585" i="5"/>
  <c r="R585" i="5"/>
  <c r="S585" i="5"/>
  <c r="T585" i="5"/>
  <c r="U585" i="5"/>
  <c r="V585" i="5"/>
  <c r="W585" i="5"/>
  <c r="X585" i="5"/>
  <c r="AC585" i="5"/>
  <c r="B586" i="5"/>
  <c r="C586" i="5"/>
  <c r="D586" i="5"/>
  <c r="E586" i="5"/>
  <c r="F586" i="5"/>
  <c r="G586" i="5"/>
  <c r="H586" i="5"/>
  <c r="I586" i="5"/>
  <c r="J586" i="5"/>
  <c r="K586" i="5"/>
  <c r="L586" i="5"/>
  <c r="M586" i="5"/>
  <c r="AC586" i="5" s="1"/>
  <c r="N586" i="5"/>
  <c r="O586" i="5"/>
  <c r="P586" i="5"/>
  <c r="Q586" i="5"/>
  <c r="R586" i="5"/>
  <c r="S586" i="5"/>
  <c r="T586" i="5"/>
  <c r="U586" i="5"/>
  <c r="V586" i="5"/>
  <c r="W586" i="5"/>
  <c r="X586" i="5"/>
  <c r="AB586" i="5"/>
  <c r="B587" i="5"/>
  <c r="C587" i="5"/>
  <c r="D587" i="5"/>
  <c r="E587" i="5"/>
  <c r="F587" i="5"/>
  <c r="G587" i="5"/>
  <c r="H587" i="5"/>
  <c r="I587" i="5"/>
  <c r="J587" i="5"/>
  <c r="K587" i="5"/>
  <c r="L587" i="5"/>
  <c r="M587" i="5"/>
  <c r="N587" i="5"/>
  <c r="O587" i="5"/>
  <c r="P587" i="5"/>
  <c r="Q587" i="5"/>
  <c r="R587" i="5"/>
  <c r="S587" i="5"/>
  <c r="T587" i="5"/>
  <c r="U587" i="5"/>
  <c r="V587" i="5"/>
  <c r="W587" i="5"/>
  <c r="X587" i="5"/>
  <c r="AC587" i="5"/>
  <c r="B588" i="5"/>
  <c r="C588" i="5"/>
  <c r="D588" i="5"/>
  <c r="E588" i="5"/>
  <c r="F588" i="5"/>
  <c r="G588" i="5"/>
  <c r="H588" i="5"/>
  <c r="I588" i="5"/>
  <c r="J588" i="5"/>
  <c r="K588" i="5"/>
  <c r="L588" i="5"/>
  <c r="M588" i="5"/>
  <c r="AC588" i="5" s="1"/>
  <c r="N588" i="5"/>
  <c r="O588" i="5"/>
  <c r="P588" i="5"/>
  <c r="Q588" i="5"/>
  <c r="R588" i="5"/>
  <c r="S588" i="5"/>
  <c r="T588" i="5"/>
  <c r="U588" i="5"/>
  <c r="V588" i="5"/>
  <c r="W588" i="5"/>
  <c r="X588" i="5"/>
  <c r="AB588" i="5"/>
  <c r="B589" i="5"/>
  <c r="C589" i="5"/>
  <c r="D589" i="5"/>
  <c r="E589" i="5"/>
  <c r="F589" i="5"/>
  <c r="G589" i="5"/>
  <c r="H589" i="5"/>
  <c r="I589" i="5"/>
  <c r="J589" i="5"/>
  <c r="K589" i="5"/>
  <c r="L589" i="5"/>
  <c r="M589" i="5"/>
  <c r="N589" i="5"/>
  <c r="O589" i="5"/>
  <c r="P589" i="5"/>
  <c r="Q589" i="5"/>
  <c r="R589" i="5"/>
  <c r="S589" i="5"/>
  <c r="T589" i="5"/>
  <c r="U589" i="5"/>
  <c r="V589" i="5"/>
  <c r="W589" i="5"/>
  <c r="X589" i="5"/>
  <c r="AC589" i="5"/>
  <c r="B590" i="5"/>
  <c r="C590" i="5"/>
  <c r="D590" i="5"/>
  <c r="E590" i="5"/>
  <c r="F590" i="5"/>
  <c r="G590" i="5"/>
  <c r="H590" i="5"/>
  <c r="I590" i="5"/>
  <c r="J590" i="5"/>
  <c r="K590" i="5"/>
  <c r="L590" i="5"/>
  <c r="M590" i="5"/>
  <c r="AC590" i="5" s="1"/>
  <c r="N590" i="5"/>
  <c r="O590" i="5"/>
  <c r="P590" i="5"/>
  <c r="Q590" i="5"/>
  <c r="R590" i="5"/>
  <c r="S590" i="5"/>
  <c r="T590" i="5"/>
  <c r="U590" i="5"/>
  <c r="V590" i="5"/>
  <c r="W590" i="5"/>
  <c r="X590" i="5"/>
  <c r="AB590" i="5"/>
  <c r="B591" i="5"/>
  <c r="C591" i="5"/>
  <c r="D591" i="5"/>
  <c r="E591" i="5"/>
  <c r="F591" i="5"/>
  <c r="G591" i="5"/>
  <c r="H591" i="5"/>
  <c r="I591" i="5"/>
  <c r="J591" i="5"/>
  <c r="K591" i="5"/>
  <c r="L591" i="5"/>
  <c r="M591" i="5"/>
  <c r="N591" i="5"/>
  <c r="O591" i="5"/>
  <c r="P591" i="5"/>
  <c r="Q591" i="5"/>
  <c r="R591" i="5"/>
  <c r="S591" i="5"/>
  <c r="T591" i="5"/>
  <c r="U591" i="5"/>
  <c r="V591" i="5"/>
  <c r="W591" i="5"/>
  <c r="X591" i="5"/>
  <c r="AC591" i="5"/>
  <c r="B592" i="5"/>
  <c r="C592" i="5"/>
  <c r="D592" i="5"/>
  <c r="E592" i="5"/>
  <c r="F592" i="5"/>
  <c r="G592" i="5"/>
  <c r="H592" i="5"/>
  <c r="I592" i="5"/>
  <c r="J592" i="5"/>
  <c r="K592" i="5"/>
  <c r="L592" i="5"/>
  <c r="M592" i="5"/>
  <c r="AC592" i="5" s="1"/>
  <c r="N592" i="5"/>
  <c r="O592" i="5"/>
  <c r="P592" i="5"/>
  <c r="Q592" i="5"/>
  <c r="R592" i="5"/>
  <c r="S592" i="5"/>
  <c r="T592" i="5"/>
  <c r="U592" i="5"/>
  <c r="V592" i="5"/>
  <c r="W592" i="5"/>
  <c r="X592" i="5"/>
  <c r="AB592" i="5"/>
  <c r="B593" i="5"/>
  <c r="C593" i="5"/>
  <c r="D593" i="5"/>
  <c r="E593" i="5"/>
  <c r="F593" i="5"/>
  <c r="G593" i="5"/>
  <c r="H593" i="5"/>
  <c r="I593" i="5"/>
  <c r="J593" i="5"/>
  <c r="K593" i="5"/>
  <c r="L593" i="5"/>
  <c r="M593" i="5"/>
  <c r="N593" i="5"/>
  <c r="O593" i="5"/>
  <c r="P593" i="5"/>
  <c r="Q593" i="5"/>
  <c r="R593" i="5"/>
  <c r="S593" i="5"/>
  <c r="T593" i="5"/>
  <c r="U593" i="5"/>
  <c r="V593" i="5"/>
  <c r="W593" i="5"/>
  <c r="X593" i="5"/>
  <c r="AC593" i="5"/>
  <c r="B594" i="5"/>
  <c r="C594" i="5"/>
  <c r="D594" i="5"/>
  <c r="E594" i="5"/>
  <c r="F594" i="5"/>
  <c r="G594" i="5"/>
  <c r="H594" i="5"/>
  <c r="I594" i="5"/>
  <c r="J594" i="5"/>
  <c r="K594" i="5"/>
  <c r="L594" i="5"/>
  <c r="M594" i="5"/>
  <c r="AC594" i="5" s="1"/>
  <c r="N594" i="5"/>
  <c r="O594" i="5"/>
  <c r="P594" i="5"/>
  <c r="Q594" i="5"/>
  <c r="R594" i="5"/>
  <c r="S594" i="5"/>
  <c r="T594" i="5"/>
  <c r="U594" i="5"/>
  <c r="V594" i="5"/>
  <c r="W594" i="5"/>
  <c r="X594" i="5"/>
  <c r="AB594" i="5"/>
  <c r="B595" i="5"/>
  <c r="C595" i="5"/>
  <c r="D595" i="5"/>
  <c r="E595" i="5"/>
  <c r="F595" i="5"/>
  <c r="G595" i="5"/>
  <c r="H595" i="5"/>
  <c r="I595" i="5"/>
  <c r="J595" i="5"/>
  <c r="K595" i="5"/>
  <c r="L595" i="5"/>
  <c r="M595" i="5"/>
  <c r="N595" i="5"/>
  <c r="O595" i="5"/>
  <c r="P595" i="5"/>
  <c r="Q595" i="5"/>
  <c r="R595" i="5"/>
  <c r="S595" i="5"/>
  <c r="T595" i="5"/>
  <c r="U595" i="5"/>
  <c r="V595" i="5"/>
  <c r="W595" i="5"/>
  <c r="X595" i="5"/>
  <c r="AC595" i="5"/>
  <c r="B596" i="5"/>
  <c r="C596" i="5"/>
  <c r="D596" i="5"/>
  <c r="E596" i="5"/>
  <c r="F596" i="5"/>
  <c r="G596" i="5"/>
  <c r="H596" i="5"/>
  <c r="I596" i="5"/>
  <c r="J596" i="5"/>
  <c r="K596" i="5"/>
  <c r="L596" i="5"/>
  <c r="M596" i="5"/>
  <c r="AC596" i="5" s="1"/>
  <c r="N596" i="5"/>
  <c r="O596" i="5"/>
  <c r="P596" i="5"/>
  <c r="Q596" i="5"/>
  <c r="R596" i="5"/>
  <c r="S596" i="5"/>
  <c r="T596" i="5"/>
  <c r="U596" i="5"/>
  <c r="V596" i="5"/>
  <c r="W596" i="5"/>
  <c r="X596" i="5"/>
  <c r="AB596" i="5"/>
  <c r="B597" i="5"/>
  <c r="C597" i="5"/>
  <c r="D597" i="5"/>
  <c r="E597" i="5"/>
  <c r="F597" i="5"/>
  <c r="G597" i="5"/>
  <c r="H597" i="5"/>
  <c r="I597" i="5"/>
  <c r="J597" i="5"/>
  <c r="K597" i="5"/>
  <c r="L597" i="5"/>
  <c r="M597" i="5"/>
  <c r="N597" i="5"/>
  <c r="O597" i="5"/>
  <c r="P597" i="5"/>
  <c r="Q597" i="5"/>
  <c r="R597" i="5"/>
  <c r="S597" i="5"/>
  <c r="T597" i="5"/>
  <c r="U597" i="5"/>
  <c r="V597" i="5"/>
  <c r="W597" i="5"/>
  <c r="X597" i="5"/>
  <c r="AC597" i="5"/>
  <c r="B598" i="5"/>
  <c r="C598" i="5"/>
  <c r="D598" i="5"/>
  <c r="E598" i="5"/>
  <c r="F598" i="5"/>
  <c r="G598" i="5"/>
  <c r="H598" i="5"/>
  <c r="I598" i="5"/>
  <c r="J598" i="5"/>
  <c r="K598" i="5"/>
  <c r="L598" i="5"/>
  <c r="M598" i="5"/>
  <c r="AC598" i="5" s="1"/>
  <c r="N598" i="5"/>
  <c r="O598" i="5"/>
  <c r="P598" i="5"/>
  <c r="Q598" i="5"/>
  <c r="R598" i="5"/>
  <c r="S598" i="5"/>
  <c r="T598" i="5"/>
  <c r="U598" i="5"/>
  <c r="V598" i="5"/>
  <c r="W598" i="5"/>
  <c r="X598" i="5"/>
  <c r="AB598" i="5"/>
  <c r="B599" i="5"/>
  <c r="C599" i="5"/>
  <c r="D599" i="5"/>
  <c r="E599" i="5"/>
  <c r="F599" i="5"/>
  <c r="G599" i="5"/>
  <c r="H599" i="5"/>
  <c r="I599" i="5"/>
  <c r="J599" i="5"/>
  <c r="K599" i="5"/>
  <c r="L599" i="5"/>
  <c r="M599" i="5"/>
  <c r="N599" i="5"/>
  <c r="O599" i="5"/>
  <c r="P599" i="5"/>
  <c r="Q599" i="5"/>
  <c r="R599" i="5"/>
  <c r="S599" i="5"/>
  <c r="T599" i="5"/>
  <c r="U599" i="5"/>
  <c r="V599" i="5"/>
  <c r="W599" i="5"/>
  <c r="X599" i="5"/>
  <c r="AC599" i="5"/>
  <c r="B600" i="5"/>
  <c r="C600" i="5"/>
  <c r="D600" i="5"/>
  <c r="E600" i="5"/>
  <c r="F600" i="5"/>
  <c r="G600" i="5"/>
  <c r="H600" i="5"/>
  <c r="I600" i="5"/>
  <c r="J600" i="5"/>
  <c r="K600" i="5"/>
  <c r="L600" i="5"/>
  <c r="M600" i="5"/>
  <c r="AC600" i="5" s="1"/>
  <c r="N600" i="5"/>
  <c r="O600" i="5"/>
  <c r="P600" i="5"/>
  <c r="Q600" i="5"/>
  <c r="R600" i="5"/>
  <c r="S600" i="5"/>
  <c r="T600" i="5"/>
  <c r="U600" i="5"/>
  <c r="V600" i="5"/>
  <c r="W600" i="5"/>
  <c r="X600" i="5"/>
  <c r="AB600" i="5"/>
  <c r="B601" i="5"/>
  <c r="C601" i="5"/>
  <c r="D601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R601" i="5"/>
  <c r="S601" i="5"/>
  <c r="T601" i="5"/>
  <c r="U601" i="5"/>
  <c r="V601" i="5"/>
  <c r="W601" i="5"/>
  <c r="X601" i="5"/>
  <c r="AC601" i="5"/>
  <c r="B602" i="5"/>
  <c r="C602" i="5"/>
  <c r="D602" i="5"/>
  <c r="E602" i="5"/>
  <c r="F602" i="5"/>
  <c r="G602" i="5"/>
  <c r="H602" i="5"/>
  <c r="I602" i="5"/>
  <c r="J602" i="5"/>
  <c r="K602" i="5"/>
  <c r="L602" i="5"/>
  <c r="M602" i="5"/>
  <c r="AC602" i="5" s="1"/>
  <c r="N602" i="5"/>
  <c r="O602" i="5"/>
  <c r="P602" i="5"/>
  <c r="Q602" i="5"/>
  <c r="R602" i="5"/>
  <c r="S602" i="5"/>
  <c r="T602" i="5"/>
  <c r="U602" i="5"/>
  <c r="V602" i="5"/>
  <c r="W602" i="5"/>
  <c r="X602" i="5"/>
  <c r="AB602" i="5"/>
  <c r="B603" i="5"/>
  <c r="C603" i="5"/>
  <c r="D603" i="5"/>
  <c r="E603" i="5"/>
  <c r="F603" i="5"/>
  <c r="G603" i="5"/>
  <c r="H603" i="5"/>
  <c r="I603" i="5"/>
  <c r="J603" i="5"/>
  <c r="K603" i="5"/>
  <c r="L603" i="5"/>
  <c r="M603" i="5"/>
  <c r="N603" i="5"/>
  <c r="O603" i="5"/>
  <c r="P603" i="5"/>
  <c r="Q603" i="5"/>
  <c r="R603" i="5"/>
  <c r="S603" i="5"/>
  <c r="T603" i="5"/>
  <c r="U603" i="5"/>
  <c r="V603" i="5"/>
  <c r="W603" i="5"/>
  <c r="X603" i="5"/>
  <c r="AC603" i="5"/>
  <c r="B604" i="5"/>
  <c r="C604" i="5"/>
  <c r="D604" i="5"/>
  <c r="E604" i="5"/>
  <c r="F604" i="5"/>
  <c r="G604" i="5"/>
  <c r="H604" i="5"/>
  <c r="I604" i="5"/>
  <c r="J604" i="5"/>
  <c r="K604" i="5"/>
  <c r="L604" i="5"/>
  <c r="M604" i="5"/>
  <c r="AC604" i="5" s="1"/>
  <c r="N604" i="5"/>
  <c r="O604" i="5"/>
  <c r="P604" i="5"/>
  <c r="Q604" i="5"/>
  <c r="R604" i="5"/>
  <c r="S604" i="5"/>
  <c r="T604" i="5"/>
  <c r="U604" i="5"/>
  <c r="V604" i="5"/>
  <c r="W604" i="5"/>
  <c r="X604" i="5"/>
  <c r="AB604" i="5"/>
  <c r="B605" i="5"/>
  <c r="C605" i="5"/>
  <c r="D605" i="5"/>
  <c r="E605" i="5"/>
  <c r="F605" i="5"/>
  <c r="G605" i="5"/>
  <c r="H605" i="5"/>
  <c r="I605" i="5"/>
  <c r="J605" i="5"/>
  <c r="K605" i="5"/>
  <c r="L605" i="5"/>
  <c r="M605" i="5"/>
  <c r="N605" i="5"/>
  <c r="O605" i="5"/>
  <c r="P605" i="5"/>
  <c r="Q605" i="5"/>
  <c r="R605" i="5"/>
  <c r="S605" i="5"/>
  <c r="T605" i="5"/>
  <c r="U605" i="5"/>
  <c r="V605" i="5"/>
  <c r="W605" i="5"/>
  <c r="X605" i="5"/>
  <c r="AC605" i="5"/>
  <c r="B606" i="5"/>
  <c r="C606" i="5"/>
  <c r="D606" i="5"/>
  <c r="E606" i="5"/>
  <c r="F606" i="5"/>
  <c r="G606" i="5"/>
  <c r="H606" i="5"/>
  <c r="I606" i="5"/>
  <c r="J606" i="5"/>
  <c r="K606" i="5"/>
  <c r="L606" i="5"/>
  <c r="M606" i="5"/>
  <c r="AC606" i="5" s="1"/>
  <c r="N606" i="5"/>
  <c r="O606" i="5"/>
  <c r="P606" i="5"/>
  <c r="Q606" i="5"/>
  <c r="R606" i="5"/>
  <c r="S606" i="5"/>
  <c r="T606" i="5"/>
  <c r="U606" i="5"/>
  <c r="V606" i="5"/>
  <c r="W606" i="5"/>
  <c r="X606" i="5"/>
  <c r="AB606" i="5"/>
  <c r="B607" i="5"/>
  <c r="C607" i="5"/>
  <c r="D607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X607" i="5"/>
  <c r="AC607" i="5"/>
  <c r="B608" i="5"/>
  <c r="C608" i="5"/>
  <c r="D608" i="5"/>
  <c r="E608" i="5"/>
  <c r="F608" i="5"/>
  <c r="G608" i="5"/>
  <c r="H608" i="5"/>
  <c r="I608" i="5"/>
  <c r="J608" i="5"/>
  <c r="K608" i="5"/>
  <c r="L608" i="5"/>
  <c r="M608" i="5"/>
  <c r="AC608" i="5" s="1"/>
  <c r="N608" i="5"/>
  <c r="O608" i="5"/>
  <c r="P608" i="5"/>
  <c r="Q608" i="5"/>
  <c r="R608" i="5"/>
  <c r="S608" i="5"/>
  <c r="T608" i="5"/>
  <c r="U608" i="5"/>
  <c r="V608" i="5"/>
  <c r="W608" i="5"/>
  <c r="X608" i="5"/>
  <c r="AB608" i="5"/>
  <c r="B609" i="5"/>
  <c r="C609" i="5"/>
  <c r="D609" i="5"/>
  <c r="E609" i="5"/>
  <c r="F609" i="5"/>
  <c r="G609" i="5"/>
  <c r="H609" i="5"/>
  <c r="I609" i="5"/>
  <c r="J609" i="5"/>
  <c r="K609" i="5"/>
  <c r="L609" i="5"/>
  <c r="M609" i="5"/>
  <c r="N609" i="5"/>
  <c r="O609" i="5"/>
  <c r="P609" i="5"/>
  <c r="Q609" i="5"/>
  <c r="R609" i="5"/>
  <c r="S609" i="5"/>
  <c r="T609" i="5"/>
  <c r="U609" i="5"/>
  <c r="V609" i="5"/>
  <c r="W609" i="5"/>
  <c r="X609" i="5"/>
  <c r="AC609" i="5"/>
  <c r="B610" i="5"/>
  <c r="C610" i="5"/>
  <c r="D610" i="5"/>
  <c r="E610" i="5"/>
  <c r="F610" i="5"/>
  <c r="G610" i="5"/>
  <c r="H610" i="5"/>
  <c r="I610" i="5"/>
  <c r="J610" i="5"/>
  <c r="K610" i="5"/>
  <c r="L610" i="5"/>
  <c r="M610" i="5"/>
  <c r="AC610" i="5" s="1"/>
  <c r="N610" i="5"/>
  <c r="O610" i="5"/>
  <c r="P610" i="5"/>
  <c r="Q610" i="5"/>
  <c r="R610" i="5"/>
  <c r="S610" i="5"/>
  <c r="T610" i="5"/>
  <c r="U610" i="5"/>
  <c r="V610" i="5"/>
  <c r="W610" i="5"/>
  <c r="X610" i="5"/>
  <c r="AB610" i="5"/>
  <c r="B611" i="5"/>
  <c r="C611" i="5"/>
  <c r="D611" i="5"/>
  <c r="E611" i="5"/>
  <c r="F611" i="5"/>
  <c r="G611" i="5"/>
  <c r="H611" i="5"/>
  <c r="I611" i="5"/>
  <c r="J611" i="5"/>
  <c r="K611" i="5"/>
  <c r="L611" i="5"/>
  <c r="M611" i="5"/>
  <c r="N611" i="5"/>
  <c r="O611" i="5"/>
  <c r="P611" i="5"/>
  <c r="Q611" i="5"/>
  <c r="R611" i="5"/>
  <c r="S611" i="5"/>
  <c r="T611" i="5"/>
  <c r="U611" i="5"/>
  <c r="V611" i="5"/>
  <c r="W611" i="5"/>
  <c r="X611" i="5"/>
  <c r="AC611" i="5"/>
  <c r="B612" i="5"/>
  <c r="C612" i="5"/>
  <c r="D612" i="5"/>
  <c r="E612" i="5"/>
  <c r="F612" i="5"/>
  <c r="G612" i="5"/>
  <c r="H612" i="5"/>
  <c r="I612" i="5"/>
  <c r="J612" i="5"/>
  <c r="K612" i="5"/>
  <c r="L612" i="5"/>
  <c r="M612" i="5"/>
  <c r="AC612" i="5" s="1"/>
  <c r="N612" i="5"/>
  <c r="O612" i="5"/>
  <c r="P612" i="5"/>
  <c r="Q612" i="5"/>
  <c r="R612" i="5"/>
  <c r="S612" i="5"/>
  <c r="T612" i="5"/>
  <c r="U612" i="5"/>
  <c r="V612" i="5"/>
  <c r="W612" i="5"/>
  <c r="X612" i="5"/>
  <c r="AB612" i="5"/>
  <c r="B613" i="5"/>
  <c r="C613" i="5"/>
  <c r="D613" i="5"/>
  <c r="E613" i="5"/>
  <c r="F613" i="5"/>
  <c r="G613" i="5"/>
  <c r="H613" i="5"/>
  <c r="I613" i="5"/>
  <c r="J613" i="5"/>
  <c r="K613" i="5"/>
  <c r="L613" i="5"/>
  <c r="M613" i="5"/>
  <c r="N613" i="5"/>
  <c r="O613" i="5"/>
  <c r="P613" i="5"/>
  <c r="Q613" i="5"/>
  <c r="R613" i="5"/>
  <c r="S613" i="5"/>
  <c r="T613" i="5"/>
  <c r="U613" i="5"/>
  <c r="V613" i="5"/>
  <c r="W613" i="5"/>
  <c r="X613" i="5"/>
  <c r="AC613" i="5"/>
  <c r="B614" i="5"/>
  <c r="C614" i="5"/>
  <c r="D614" i="5"/>
  <c r="E614" i="5"/>
  <c r="F614" i="5"/>
  <c r="G614" i="5"/>
  <c r="H614" i="5"/>
  <c r="I614" i="5"/>
  <c r="J614" i="5"/>
  <c r="K614" i="5"/>
  <c r="L614" i="5"/>
  <c r="M614" i="5"/>
  <c r="AC614" i="5" s="1"/>
  <c r="N614" i="5"/>
  <c r="O614" i="5"/>
  <c r="P614" i="5"/>
  <c r="Q614" i="5"/>
  <c r="R614" i="5"/>
  <c r="S614" i="5"/>
  <c r="T614" i="5"/>
  <c r="U614" i="5"/>
  <c r="V614" i="5"/>
  <c r="W614" i="5"/>
  <c r="X614" i="5"/>
  <c r="AB614" i="5"/>
  <c r="B615" i="5"/>
  <c r="C615" i="5"/>
  <c r="D615" i="5"/>
  <c r="E615" i="5"/>
  <c r="F615" i="5"/>
  <c r="G615" i="5"/>
  <c r="H615" i="5"/>
  <c r="I615" i="5"/>
  <c r="J615" i="5"/>
  <c r="K615" i="5"/>
  <c r="L615" i="5"/>
  <c r="M615" i="5"/>
  <c r="N615" i="5"/>
  <c r="O615" i="5"/>
  <c r="P615" i="5"/>
  <c r="Q615" i="5"/>
  <c r="R615" i="5"/>
  <c r="S615" i="5"/>
  <c r="T615" i="5"/>
  <c r="U615" i="5"/>
  <c r="V615" i="5"/>
  <c r="W615" i="5"/>
  <c r="X615" i="5"/>
  <c r="AC615" i="5"/>
  <c r="B616" i="5"/>
  <c r="C616" i="5"/>
  <c r="D616" i="5"/>
  <c r="E616" i="5"/>
  <c r="F616" i="5"/>
  <c r="G616" i="5"/>
  <c r="H616" i="5"/>
  <c r="I616" i="5"/>
  <c r="J616" i="5"/>
  <c r="K616" i="5"/>
  <c r="L616" i="5"/>
  <c r="M616" i="5"/>
  <c r="AC616" i="5" s="1"/>
  <c r="N616" i="5"/>
  <c r="O616" i="5"/>
  <c r="P616" i="5"/>
  <c r="Q616" i="5"/>
  <c r="R616" i="5"/>
  <c r="S616" i="5"/>
  <c r="T616" i="5"/>
  <c r="U616" i="5"/>
  <c r="V616" i="5"/>
  <c r="W616" i="5"/>
  <c r="X616" i="5"/>
  <c r="AB616" i="5"/>
  <c r="B617" i="5"/>
  <c r="C617" i="5"/>
  <c r="D617" i="5"/>
  <c r="E617" i="5"/>
  <c r="F617" i="5"/>
  <c r="G617" i="5"/>
  <c r="H617" i="5"/>
  <c r="I617" i="5"/>
  <c r="J617" i="5"/>
  <c r="K617" i="5"/>
  <c r="L617" i="5"/>
  <c r="M617" i="5"/>
  <c r="N617" i="5"/>
  <c r="O617" i="5"/>
  <c r="P617" i="5"/>
  <c r="Q617" i="5"/>
  <c r="R617" i="5"/>
  <c r="S617" i="5"/>
  <c r="T617" i="5"/>
  <c r="U617" i="5"/>
  <c r="V617" i="5"/>
  <c r="W617" i="5"/>
  <c r="X617" i="5"/>
  <c r="AC617" i="5"/>
  <c r="B618" i="5"/>
  <c r="C618" i="5"/>
  <c r="D618" i="5"/>
  <c r="E618" i="5"/>
  <c r="F618" i="5"/>
  <c r="G618" i="5"/>
  <c r="H618" i="5"/>
  <c r="I618" i="5"/>
  <c r="J618" i="5"/>
  <c r="K618" i="5"/>
  <c r="L618" i="5"/>
  <c r="M618" i="5"/>
  <c r="AC618" i="5" s="1"/>
  <c r="N618" i="5"/>
  <c r="O618" i="5"/>
  <c r="P618" i="5"/>
  <c r="Q618" i="5"/>
  <c r="R618" i="5"/>
  <c r="S618" i="5"/>
  <c r="T618" i="5"/>
  <c r="U618" i="5"/>
  <c r="V618" i="5"/>
  <c r="W618" i="5"/>
  <c r="X618" i="5"/>
  <c r="AB618" i="5"/>
  <c r="B619" i="5"/>
  <c r="C619" i="5"/>
  <c r="D619" i="5"/>
  <c r="E619" i="5"/>
  <c r="F619" i="5"/>
  <c r="G619" i="5"/>
  <c r="H619" i="5"/>
  <c r="I619" i="5"/>
  <c r="J619" i="5"/>
  <c r="K619" i="5"/>
  <c r="L619" i="5"/>
  <c r="M619" i="5"/>
  <c r="N619" i="5"/>
  <c r="O619" i="5"/>
  <c r="P619" i="5"/>
  <c r="Q619" i="5"/>
  <c r="R619" i="5"/>
  <c r="S619" i="5"/>
  <c r="T619" i="5"/>
  <c r="U619" i="5"/>
  <c r="V619" i="5"/>
  <c r="W619" i="5"/>
  <c r="X619" i="5"/>
  <c r="AC619" i="5"/>
  <c r="B620" i="5"/>
  <c r="C620" i="5"/>
  <c r="D620" i="5"/>
  <c r="E620" i="5"/>
  <c r="F620" i="5"/>
  <c r="G620" i="5"/>
  <c r="H620" i="5"/>
  <c r="I620" i="5"/>
  <c r="J620" i="5"/>
  <c r="K620" i="5"/>
  <c r="L620" i="5"/>
  <c r="M620" i="5"/>
  <c r="AC620" i="5" s="1"/>
  <c r="N620" i="5"/>
  <c r="O620" i="5"/>
  <c r="P620" i="5"/>
  <c r="Q620" i="5"/>
  <c r="R620" i="5"/>
  <c r="S620" i="5"/>
  <c r="T620" i="5"/>
  <c r="U620" i="5"/>
  <c r="V620" i="5"/>
  <c r="W620" i="5"/>
  <c r="X620" i="5"/>
  <c r="AB620" i="5"/>
  <c r="B621" i="5"/>
  <c r="C621" i="5"/>
  <c r="D621" i="5"/>
  <c r="E621" i="5"/>
  <c r="F621" i="5"/>
  <c r="G621" i="5"/>
  <c r="H621" i="5"/>
  <c r="I621" i="5"/>
  <c r="J621" i="5"/>
  <c r="K621" i="5"/>
  <c r="L621" i="5"/>
  <c r="M621" i="5"/>
  <c r="N621" i="5"/>
  <c r="O621" i="5"/>
  <c r="P621" i="5"/>
  <c r="Q621" i="5"/>
  <c r="R621" i="5"/>
  <c r="S621" i="5"/>
  <c r="T621" i="5"/>
  <c r="U621" i="5"/>
  <c r="V621" i="5"/>
  <c r="W621" i="5"/>
  <c r="X621" i="5"/>
  <c r="AC621" i="5"/>
  <c r="B622" i="5"/>
  <c r="C622" i="5"/>
  <c r="D622" i="5"/>
  <c r="E622" i="5"/>
  <c r="F622" i="5"/>
  <c r="G622" i="5"/>
  <c r="H622" i="5"/>
  <c r="I622" i="5"/>
  <c r="J622" i="5"/>
  <c r="K622" i="5"/>
  <c r="L622" i="5"/>
  <c r="M622" i="5"/>
  <c r="AC622" i="5" s="1"/>
  <c r="N622" i="5"/>
  <c r="O622" i="5"/>
  <c r="P622" i="5"/>
  <c r="Q622" i="5"/>
  <c r="R622" i="5"/>
  <c r="S622" i="5"/>
  <c r="T622" i="5"/>
  <c r="U622" i="5"/>
  <c r="V622" i="5"/>
  <c r="W622" i="5"/>
  <c r="X622" i="5"/>
  <c r="AB622" i="5"/>
  <c r="B623" i="5"/>
  <c r="C623" i="5"/>
  <c r="D623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X623" i="5"/>
  <c r="AC623" i="5"/>
  <c r="B624" i="5"/>
  <c r="C624" i="5"/>
  <c r="D624" i="5"/>
  <c r="E624" i="5"/>
  <c r="F624" i="5"/>
  <c r="G624" i="5"/>
  <c r="H624" i="5"/>
  <c r="I624" i="5"/>
  <c r="J624" i="5"/>
  <c r="K624" i="5"/>
  <c r="L624" i="5"/>
  <c r="M624" i="5"/>
  <c r="AC624" i="5" s="1"/>
  <c r="N624" i="5"/>
  <c r="O624" i="5"/>
  <c r="P624" i="5"/>
  <c r="Q624" i="5"/>
  <c r="R624" i="5"/>
  <c r="S624" i="5"/>
  <c r="T624" i="5"/>
  <c r="U624" i="5"/>
  <c r="V624" i="5"/>
  <c r="W624" i="5"/>
  <c r="X624" i="5"/>
  <c r="AB624" i="5"/>
  <c r="B625" i="5"/>
  <c r="C625" i="5"/>
  <c r="D625" i="5"/>
  <c r="E625" i="5"/>
  <c r="F625" i="5"/>
  <c r="G625" i="5"/>
  <c r="H625" i="5"/>
  <c r="I625" i="5"/>
  <c r="J625" i="5"/>
  <c r="K625" i="5"/>
  <c r="L625" i="5"/>
  <c r="M625" i="5"/>
  <c r="N625" i="5"/>
  <c r="O625" i="5"/>
  <c r="P625" i="5"/>
  <c r="Q625" i="5"/>
  <c r="R625" i="5"/>
  <c r="S625" i="5"/>
  <c r="T625" i="5"/>
  <c r="U625" i="5"/>
  <c r="V625" i="5"/>
  <c r="W625" i="5"/>
  <c r="X625" i="5"/>
  <c r="AC625" i="5"/>
  <c r="B626" i="5"/>
  <c r="C626" i="5"/>
  <c r="D626" i="5"/>
  <c r="E626" i="5"/>
  <c r="F626" i="5"/>
  <c r="G626" i="5"/>
  <c r="H626" i="5"/>
  <c r="I626" i="5"/>
  <c r="J626" i="5"/>
  <c r="K626" i="5"/>
  <c r="L626" i="5"/>
  <c r="M626" i="5"/>
  <c r="AC626" i="5" s="1"/>
  <c r="N626" i="5"/>
  <c r="O626" i="5"/>
  <c r="P626" i="5"/>
  <c r="Q626" i="5"/>
  <c r="R626" i="5"/>
  <c r="S626" i="5"/>
  <c r="T626" i="5"/>
  <c r="U626" i="5"/>
  <c r="V626" i="5"/>
  <c r="W626" i="5"/>
  <c r="X626" i="5"/>
  <c r="AB626" i="5"/>
  <c r="B627" i="5"/>
  <c r="C627" i="5"/>
  <c r="D627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X627" i="5"/>
  <c r="AC627" i="5"/>
  <c r="B628" i="5"/>
  <c r="C628" i="5"/>
  <c r="D628" i="5"/>
  <c r="E628" i="5"/>
  <c r="F628" i="5"/>
  <c r="G628" i="5"/>
  <c r="H628" i="5"/>
  <c r="I628" i="5"/>
  <c r="J628" i="5"/>
  <c r="K628" i="5"/>
  <c r="L628" i="5"/>
  <c r="M628" i="5"/>
  <c r="AC628" i="5" s="1"/>
  <c r="N628" i="5"/>
  <c r="O628" i="5"/>
  <c r="P628" i="5"/>
  <c r="Q628" i="5"/>
  <c r="R628" i="5"/>
  <c r="S628" i="5"/>
  <c r="T628" i="5"/>
  <c r="U628" i="5"/>
  <c r="V628" i="5"/>
  <c r="W628" i="5"/>
  <c r="X628" i="5"/>
  <c r="AB628" i="5"/>
  <c r="B629" i="5"/>
  <c r="C629" i="5"/>
  <c r="D629" i="5"/>
  <c r="E629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R629" i="5"/>
  <c r="S629" i="5"/>
  <c r="T629" i="5"/>
  <c r="U629" i="5"/>
  <c r="V629" i="5"/>
  <c r="W629" i="5"/>
  <c r="X629" i="5"/>
  <c r="B630" i="5"/>
  <c r="C630" i="5"/>
  <c r="D630" i="5"/>
  <c r="E630" i="5"/>
  <c r="F630" i="5"/>
  <c r="G630" i="5"/>
  <c r="H630" i="5"/>
  <c r="I630" i="5"/>
  <c r="J630" i="5"/>
  <c r="K630" i="5"/>
  <c r="L630" i="5"/>
  <c r="M630" i="5"/>
  <c r="N630" i="5"/>
  <c r="O630" i="5"/>
  <c r="P630" i="5"/>
  <c r="Q630" i="5"/>
  <c r="R630" i="5"/>
  <c r="S630" i="5"/>
  <c r="T630" i="5"/>
  <c r="U630" i="5"/>
  <c r="V630" i="5"/>
  <c r="W630" i="5"/>
  <c r="X630" i="5"/>
  <c r="B631" i="5"/>
  <c r="C631" i="5"/>
  <c r="D631" i="5"/>
  <c r="E631" i="5"/>
  <c r="F631" i="5"/>
  <c r="G631" i="5"/>
  <c r="H631" i="5"/>
  <c r="I631" i="5"/>
  <c r="J631" i="5"/>
  <c r="K631" i="5"/>
  <c r="L631" i="5"/>
  <c r="M631" i="5"/>
  <c r="N631" i="5"/>
  <c r="AC631" i="5" s="1"/>
  <c r="O631" i="5"/>
  <c r="P631" i="5"/>
  <c r="Q631" i="5"/>
  <c r="R631" i="5"/>
  <c r="S631" i="5"/>
  <c r="T631" i="5"/>
  <c r="U631" i="5"/>
  <c r="V631" i="5"/>
  <c r="W631" i="5"/>
  <c r="X631" i="5"/>
  <c r="B632" i="5"/>
  <c r="C632" i="5"/>
  <c r="D632" i="5"/>
  <c r="E632" i="5"/>
  <c r="F632" i="5"/>
  <c r="G632" i="5"/>
  <c r="H632" i="5"/>
  <c r="I632" i="5"/>
  <c r="J632" i="5"/>
  <c r="K632" i="5"/>
  <c r="L632" i="5"/>
  <c r="M632" i="5"/>
  <c r="N632" i="5"/>
  <c r="O632" i="5"/>
  <c r="P632" i="5"/>
  <c r="Q632" i="5"/>
  <c r="R632" i="5"/>
  <c r="S632" i="5"/>
  <c r="T632" i="5"/>
  <c r="U632" i="5"/>
  <c r="V632" i="5"/>
  <c r="W632" i="5"/>
  <c r="X632" i="5"/>
  <c r="B633" i="5"/>
  <c r="C633" i="5"/>
  <c r="D633" i="5"/>
  <c r="E633" i="5"/>
  <c r="F633" i="5"/>
  <c r="G633" i="5"/>
  <c r="H633" i="5"/>
  <c r="I633" i="5"/>
  <c r="J633" i="5"/>
  <c r="K633" i="5"/>
  <c r="L633" i="5"/>
  <c r="M633" i="5"/>
  <c r="N633" i="5"/>
  <c r="O633" i="5"/>
  <c r="P633" i="5"/>
  <c r="Q633" i="5"/>
  <c r="R633" i="5"/>
  <c r="S633" i="5"/>
  <c r="T633" i="5"/>
  <c r="U633" i="5"/>
  <c r="V633" i="5"/>
  <c r="W633" i="5"/>
  <c r="X633" i="5"/>
  <c r="B634" i="5"/>
  <c r="C634" i="5"/>
  <c r="D634" i="5"/>
  <c r="E634" i="5"/>
  <c r="F634" i="5"/>
  <c r="G634" i="5"/>
  <c r="H634" i="5"/>
  <c r="I634" i="5"/>
  <c r="J634" i="5"/>
  <c r="K634" i="5"/>
  <c r="L634" i="5"/>
  <c r="M634" i="5"/>
  <c r="N634" i="5"/>
  <c r="O634" i="5"/>
  <c r="P634" i="5"/>
  <c r="Q634" i="5"/>
  <c r="R634" i="5"/>
  <c r="S634" i="5"/>
  <c r="T634" i="5"/>
  <c r="U634" i="5"/>
  <c r="V634" i="5"/>
  <c r="W634" i="5"/>
  <c r="X634" i="5"/>
  <c r="B635" i="5"/>
  <c r="C635" i="5"/>
  <c r="D635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AC635" i="5" s="1"/>
  <c r="Q635" i="5"/>
  <c r="R635" i="5"/>
  <c r="S635" i="5"/>
  <c r="T635" i="5"/>
  <c r="U635" i="5"/>
  <c r="V635" i="5"/>
  <c r="W635" i="5"/>
  <c r="X635" i="5"/>
  <c r="B636" i="5"/>
  <c r="C636" i="5"/>
  <c r="D636" i="5"/>
  <c r="E636" i="5"/>
  <c r="F636" i="5"/>
  <c r="G636" i="5"/>
  <c r="H636" i="5"/>
  <c r="I636" i="5"/>
  <c r="J636" i="5"/>
  <c r="K636" i="5"/>
  <c r="L636" i="5"/>
  <c r="M636" i="5"/>
  <c r="N636" i="5"/>
  <c r="O636" i="5"/>
  <c r="P636" i="5"/>
  <c r="Q636" i="5"/>
  <c r="R636" i="5"/>
  <c r="S636" i="5"/>
  <c r="T636" i="5"/>
  <c r="U636" i="5"/>
  <c r="V636" i="5"/>
  <c r="W636" i="5"/>
  <c r="X636" i="5"/>
  <c r="AB636" i="5"/>
  <c r="B637" i="5"/>
  <c r="C637" i="5"/>
  <c r="D637" i="5"/>
  <c r="E637" i="5"/>
  <c r="F637" i="5"/>
  <c r="G637" i="5"/>
  <c r="H637" i="5"/>
  <c r="I637" i="5"/>
  <c r="J637" i="5"/>
  <c r="K637" i="5"/>
  <c r="L637" i="5"/>
  <c r="M637" i="5"/>
  <c r="N637" i="5"/>
  <c r="O637" i="5"/>
  <c r="P637" i="5"/>
  <c r="Q637" i="5"/>
  <c r="R637" i="5"/>
  <c r="S637" i="5"/>
  <c r="T637" i="5"/>
  <c r="U637" i="5"/>
  <c r="V637" i="5"/>
  <c r="W637" i="5"/>
  <c r="X637" i="5"/>
  <c r="AC637" i="5"/>
  <c r="B638" i="5"/>
  <c r="C638" i="5"/>
  <c r="D638" i="5"/>
  <c r="E638" i="5"/>
  <c r="F638" i="5"/>
  <c r="G638" i="5"/>
  <c r="H638" i="5"/>
  <c r="I638" i="5"/>
  <c r="J638" i="5"/>
  <c r="K638" i="5"/>
  <c r="L638" i="5"/>
  <c r="M638" i="5"/>
  <c r="N638" i="5"/>
  <c r="O638" i="5"/>
  <c r="P638" i="5"/>
  <c r="Q638" i="5"/>
  <c r="R638" i="5"/>
  <c r="S638" i="5"/>
  <c r="T638" i="5"/>
  <c r="U638" i="5"/>
  <c r="V638" i="5"/>
  <c r="W638" i="5"/>
  <c r="X638" i="5"/>
  <c r="AB638" i="5"/>
  <c r="B639" i="5"/>
  <c r="C639" i="5"/>
  <c r="D639" i="5"/>
  <c r="E639" i="5"/>
  <c r="F639" i="5"/>
  <c r="G639" i="5"/>
  <c r="H639" i="5"/>
  <c r="I639" i="5"/>
  <c r="J639" i="5"/>
  <c r="K639" i="5"/>
  <c r="L639" i="5"/>
  <c r="M639" i="5"/>
  <c r="N639" i="5"/>
  <c r="O639" i="5"/>
  <c r="P639" i="5"/>
  <c r="Q639" i="5"/>
  <c r="R639" i="5"/>
  <c r="S639" i="5"/>
  <c r="T639" i="5"/>
  <c r="U639" i="5"/>
  <c r="V639" i="5"/>
  <c r="W639" i="5"/>
  <c r="X639" i="5"/>
  <c r="AC639" i="5"/>
  <c r="B640" i="5"/>
  <c r="C640" i="5"/>
  <c r="D640" i="5"/>
  <c r="E640" i="5"/>
  <c r="F640" i="5"/>
  <c r="G640" i="5"/>
  <c r="H640" i="5"/>
  <c r="I640" i="5"/>
  <c r="J640" i="5"/>
  <c r="K640" i="5"/>
  <c r="L640" i="5"/>
  <c r="M640" i="5"/>
  <c r="N640" i="5"/>
  <c r="O640" i="5"/>
  <c r="P640" i="5"/>
  <c r="Q640" i="5"/>
  <c r="R640" i="5"/>
  <c r="S640" i="5"/>
  <c r="T640" i="5"/>
  <c r="U640" i="5"/>
  <c r="V640" i="5"/>
  <c r="W640" i="5"/>
  <c r="X640" i="5"/>
  <c r="AB640" i="5"/>
  <c r="B641" i="5"/>
  <c r="C641" i="5"/>
  <c r="D641" i="5"/>
  <c r="E641" i="5"/>
  <c r="F641" i="5"/>
  <c r="G641" i="5"/>
  <c r="H641" i="5"/>
  <c r="I641" i="5"/>
  <c r="J641" i="5"/>
  <c r="K641" i="5"/>
  <c r="L641" i="5"/>
  <c r="M641" i="5"/>
  <c r="N641" i="5"/>
  <c r="O641" i="5"/>
  <c r="P641" i="5"/>
  <c r="Q641" i="5"/>
  <c r="R641" i="5"/>
  <c r="S641" i="5"/>
  <c r="T641" i="5"/>
  <c r="U641" i="5"/>
  <c r="V641" i="5"/>
  <c r="W641" i="5"/>
  <c r="X641" i="5"/>
  <c r="AC641" i="5"/>
  <c r="B642" i="5"/>
  <c r="C642" i="5"/>
  <c r="D642" i="5"/>
  <c r="E642" i="5"/>
  <c r="F642" i="5"/>
  <c r="G642" i="5"/>
  <c r="H642" i="5"/>
  <c r="I642" i="5"/>
  <c r="J642" i="5"/>
  <c r="K642" i="5"/>
  <c r="L642" i="5"/>
  <c r="M642" i="5"/>
  <c r="N642" i="5"/>
  <c r="O642" i="5"/>
  <c r="P642" i="5"/>
  <c r="Q642" i="5"/>
  <c r="R642" i="5"/>
  <c r="S642" i="5"/>
  <c r="T642" i="5"/>
  <c r="U642" i="5"/>
  <c r="V642" i="5"/>
  <c r="W642" i="5"/>
  <c r="X642" i="5"/>
  <c r="AB642" i="5"/>
  <c r="B643" i="5"/>
  <c r="C643" i="5"/>
  <c r="D643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X643" i="5"/>
  <c r="AC643" i="5"/>
  <c r="B644" i="5"/>
  <c r="C644" i="5"/>
  <c r="D644" i="5"/>
  <c r="E644" i="5"/>
  <c r="F644" i="5"/>
  <c r="G644" i="5"/>
  <c r="H644" i="5"/>
  <c r="I644" i="5"/>
  <c r="J644" i="5"/>
  <c r="K644" i="5"/>
  <c r="L644" i="5"/>
  <c r="M644" i="5"/>
  <c r="AC644" i="5" s="1"/>
  <c r="N644" i="5"/>
  <c r="O644" i="5"/>
  <c r="P644" i="5"/>
  <c r="Q644" i="5"/>
  <c r="R644" i="5"/>
  <c r="S644" i="5"/>
  <c r="T644" i="5"/>
  <c r="U644" i="5"/>
  <c r="V644" i="5"/>
  <c r="W644" i="5"/>
  <c r="X644" i="5"/>
  <c r="AB644" i="5"/>
  <c r="B645" i="5"/>
  <c r="C645" i="5"/>
  <c r="D645" i="5"/>
  <c r="E645" i="5"/>
  <c r="F645" i="5"/>
  <c r="G645" i="5"/>
  <c r="H645" i="5"/>
  <c r="I645" i="5"/>
  <c r="J645" i="5"/>
  <c r="K645" i="5"/>
  <c r="L645" i="5"/>
  <c r="M645" i="5"/>
  <c r="N645" i="5"/>
  <c r="O645" i="5"/>
  <c r="P645" i="5"/>
  <c r="Q645" i="5"/>
  <c r="R645" i="5"/>
  <c r="S645" i="5"/>
  <c r="T645" i="5"/>
  <c r="U645" i="5"/>
  <c r="V645" i="5"/>
  <c r="W645" i="5"/>
  <c r="X645" i="5"/>
  <c r="B646" i="5"/>
  <c r="AB646" i="5" s="1"/>
  <c r="C646" i="5"/>
  <c r="D646" i="5"/>
  <c r="E646" i="5"/>
  <c r="F646" i="5"/>
  <c r="G646" i="5"/>
  <c r="H646" i="5"/>
  <c r="I646" i="5"/>
  <c r="J646" i="5"/>
  <c r="K646" i="5"/>
  <c r="L646" i="5"/>
  <c r="M646" i="5"/>
  <c r="N646" i="5"/>
  <c r="O646" i="5"/>
  <c r="AC646" i="5" s="1"/>
  <c r="P646" i="5"/>
  <c r="Q646" i="5"/>
  <c r="R646" i="5"/>
  <c r="S646" i="5"/>
  <c r="T646" i="5"/>
  <c r="U646" i="5"/>
  <c r="V646" i="5"/>
  <c r="W646" i="5"/>
  <c r="X646" i="5"/>
  <c r="B647" i="5"/>
  <c r="C647" i="5"/>
  <c r="D647" i="5"/>
  <c r="E647" i="5"/>
  <c r="F647" i="5"/>
  <c r="G647" i="5"/>
  <c r="H647" i="5"/>
  <c r="I647" i="5"/>
  <c r="J647" i="5"/>
  <c r="K647" i="5"/>
  <c r="L647" i="5"/>
  <c r="M647" i="5"/>
  <c r="N647" i="5"/>
  <c r="AC647" i="5" s="1"/>
  <c r="O647" i="5"/>
  <c r="P647" i="5"/>
  <c r="Q647" i="5"/>
  <c r="R647" i="5"/>
  <c r="S647" i="5"/>
  <c r="T647" i="5"/>
  <c r="U647" i="5"/>
  <c r="V647" i="5"/>
  <c r="W647" i="5"/>
  <c r="X647" i="5"/>
  <c r="B648" i="5"/>
  <c r="C648" i="5"/>
  <c r="D648" i="5"/>
  <c r="E648" i="5"/>
  <c r="F648" i="5"/>
  <c r="G648" i="5"/>
  <c r="H648" i="5"/>
  <c r="I648" i="5"/>
  <c r="J648" i="5"/>
  <c r="K648" i="5"/>
  <c r="L648" i="5"/>
  <c r="M648" i="5"/>
  <c r="AC648" i="5" s="1"/>
  <c r="N648" i="5"/>
  <c r="O648" i="5"/>
  <c r="P648" i="5"/>
  <c r="Q648" i="5"/>
  <c r="R648" i="5"/>
  <c r="S648" i="5"/>
  <c r="T648" i="5"/>
  <c r="U648" i="5"/>
  <c r="V648" i="5"/>
  <c r="W648" i="5"/>
  <c r="X648" i="5"/>
  <c r="AB648" i="5"/>
  <c r="B649" i="5"/>
  <c r="C649" i="5"/>
  <c r="AB649" i="5" s="1"/>
  <c r="D649" i="5"/>
  <c r="E649" i="5"/>
  <c r="F649" i="5"/>
  <c r="G649" i="5"/>
  <c r="H649" i="5"/>
  <c r="I649" i="5"/>
  <c r="J649" i="5"/>
  <c r="K649" i="5"/>
  <c r="L649" i="5"/>
  <c r="M649" i="5"/>
  <c r="AC649" i="5" s="1"/>
  <c r="N649" i="5"/>
  <c r="O649" i="5"/>
  <c r="P649" i="5"/>
  <c r="Q649" i="5"/>
  <c r="R649" i="5"/>
  <c r="S649" i="5"/>
  <c r="T649" i="5"/>
  <c r="U649" i="5"/>
  <c r="V649" i="5"/>
  <c r="W649" i="5"/>
  <c r="X649" i="5"/>
  <c r="B650" i="5"/>
  <c r="C650" i="5"/>
  <c r="D650" i="5"/>
  <c r="E650" i="5"/>
  <c r="F650" i="5"/>
  <c r="G650" i="5"/>
  <c r="H650" i="5"/>
  <c r="I650" i="5"/>
  <c r="J650" i="5"/>
  <c r="K650" i="5"/>
  <c r="L650" i="5"/>
  <c r="M650" i="5"/>
  <c r="N650" i="5"/>
  <c r="O650" i="5"/>
  <c r="AC650" i="5" s="1"/>
  <c r="P650" i="5"/>
  <c r="Q650" i="5"/>
  <c r="R650" i="5"/>
  <c r="S650" i="5"/>
  <c r="T650" i="5"/>
  <c r="U650" i="5"/>
  <c r="V650" i="5"/>
  <c r="W650" i="5"/>
  <c r="X650" i="5"/>
  <c r="B651" i="5"/>
  <c r="C651" i="5"/>
  <c r="D651" i="5"/>
  <c r="E651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R651" i="5"/>
  <c r="S651" i="5"/>
  <c r="T651" i="5"/>
  <c r="U651" i="5"/>
  <c r="V651" i="5"/>
  <c r="W651" i="5"/>
  <c r="X651" i="5"/>
  <c r="AC651" i="5"/>
  <c r="B652" i="5"/>
  <c r="C652" i="5"/>
  <c r="D652" i="5"/>
  <c r="E652" i="5"/>
  <c r="F652" i="5"/>
  <c r="G652" i="5"/>
  <c r="H652" i="5"/>
  <c r="I652" i="5"/>
  <c r="J652" i="5"/>
  <c r="K652" i="5"/>
  <c r="L652" i="5"/>
  <c r="M652" i="5"/>
  <c r="AC652" i="5" s="1"/>
  <c r="N652" i="5"/>
  <c r="O652" i="5"/>
  <c r="P652" i="5"/>
  <c r="Q652" i="5"/>
  <c r="R652" i="5"/>
  <c r="S652" i="5"/>
  <c r="T652" i="5"/>
  <c r="U652" i="5"/>
  <c r="V652" i="5"/>
  <c r="W652" i="5"/>
  <c r="X652" i="5"/>
  <c r="AB652" i="5"/>
  <c r="B653" i="5"/>
  <c r="C653" i="5"/>
  <c r="D653" i="5"/>
  <c r="E653" i="5"/>
  <c r="F653" i="5"/>
  <c r="G653" i="5"/>
  <c r="H653" i="5"/>
  <c r="I653" i="5"/>
  <c r="J653" i="5"/>
  <c r="K653" i="5"/>
  <c r="L653" i="5"/>
  <c r="M653" i="5"/>
  <c r="N653" i="5"/>
  <c r="O653" i="5"/>
  <c r="P653" i="5"/>
  <c r="Q653" i="5"/>
  <c r="R653" i="5"/>
  <c r="S653" i="5"/>
  <c r="T653" i="5"/>
  <c r="U653" i="5"/>
  <c r="V653" i="5"/>
  <c r="W653" i="5"/>
  <c r="X653" i="5"/>
  <c r="B654" i="5"/>
  <c r="AB654" i="5" s="1"/>
  <c r="C654" i="5"/>
  <c r="D654" i="5"/>
  <c r="E654" i="5"/>
  <c r="F654" i="5"/>
  <c r="G654" i="5"/>
  <c r="H654" i="5"/>
  <c r="I654" i="5"/>
  <c r="J654" i="5"/>
  <c r="K654" i="5"/>
  <c r="L654" i="5"/>
  <c r="M654" i="5"/>
  <c r="N654" i="5"/>
  <c r="O654" i="5"/>
  <c r="AC654" i="5" s="1"/>
  <c r="P654" i="5"/>
  <c r="Q654" i="5"/>
  <c r="R654" i="5"/>
  <c r="S654" i="5"/>
  <c r="T654" i="5"/>
  <c r="U654" i="5"/>
  <c r="V654" i="5"/>
  <c r="W654" i="5"/>
  <c r="X654" i="5"/>
  <c r="B655" i="5"/>
  <c r="C655" i="5"/>
  <c r="D655" i="5"/>
  <c r="E655" i="5"/>
  <c r="F655" i="5"/>
  <c r="G655" i="5"/>
  <c r="H655" i="5"/>
  <c r="I655" i="5"/>
  <c r="J655" i="5"/>
  <c r="K655" i="5"/>
  <c r="L655" i="5"/>
  <c r="M655" i="5"/>
  <c r="N655" i="5"/>
  <c r="AC655" i="5" s="1"/>
  <c r="O655" i="5"/>
  <c r="P655" i="5"/>
  <c r="Q655" i="5"/>
  <c r="R655" i="5"/>
  <c r="S655" i="5"/>
  <c r="T655" i="5"/>
  <c r="U655" i="5"/>
  <c r="V655" i="5"/>
  <c r="W655" i="5"/>
  <c r="X655" i="5"/>
  <c r="B656" i="5"/>
  <c r="C656" i="5"/>
  <c r="D656" i="5"/>
  <c r="E656" i="5"/>
  <c r="F656" i="5"/>
  <c r="G656" i="5"/>
  <c r="H656" i="5"/>
  <c r="I656" i="5"/>
  <c r="J656" i="5"/>
  <c r="K656" i="5"/>
  <c r="L656" i="5"/>
  <c r="M656" i="5"/>
  <c r="AC656" i="5" s="1"/>
  <c r="N656" i="5"/>
  <c r="O656" i="5"/>
  <c r="P656" i="5"/>
  <c r="Q656" i="5"/>
  <c r="R656" i="5"/>
  <c r="S656" i="5"/>
  <c r="T656" i="5"/>
  <c r="U656" i="5"/>
  <c r="V656" i="5"/>
  <c r="W656" i="5"/>
  <c r="X656" i="5"/>
  <c r="AB656" i="5"/>
  <c r="B657" i="5"/>
  <c r="C657" i="5"/>
  <c r="AB657" i="5" s="1"/>
  <c r="D657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R657" i="5"/>
  <c r="S657" i="5"/>
  <c r="T657" i="5"/>
  <c r="U657" i="5"/>
  <c r="V657" i="5"/>
  <c r="W657" i="5"/>
  <c r="X657" i="5"/>
  <c r="B658" i="5"/>
  <c r="C658" i="5"/>
  <c r="D658" i="5"/>
  <c r="E658" i="5"/>
  <c r="F658" i="5"/>
  <c r="G658" i="5"/>
  <c r="H658" i="5"/>
  <c r="I658" i="5"/>
  <c r="J658" i="5"/>
  <c r="K658" i="5"/>
  <c r="L658" i="5"/>
  <c r="M658" i="5"/>
  <c r="N658" i="5"/>
  <c r="O658" i="5"/>
  <c r="AC658" i="5" s="1"/>
  <c r="P658" i="5"/>
  <c r="Q658" i="5"/>
  <c r="R658" i="5"/>
  <c r="S658" i="5"/>
  <c r="T658" i="5"/>
  <c r="U658" i="5"/>
  <c r="V658" i="5"/>
  <c r="W658" i="5"/>
  <c r="X658" i="5"/>
  <c r="B659" i="5"/>
  <c r="C659" i="5"/>
  <c r="D659" i="5"/>
  <c r="E659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R659" i="5"/>
  <c r="S659" i="5"/>
  <c r="T659" i="5"/>
  <c r="U659" i="5"/>
  <c r="V659" i="5"/>
  <c r="W659" i="5"/>
  <c r="X659" i="5"/>
  <c r="AC659" i="5"/>
  <c r="B660" i="5"/>
  <c r="C660" i="5"/>
  <c r="D660" i="5"/>
  <c r="E660" i="5"/>
  <c r="F660" i="5"/>
  <c r="G660" i="5"/>
  <c r="H660" i="5"/>
  <c r="I660" i="5"/>
  <c r="J660" i="5"/>
  <c r="K660" i="5"/>
  <c r="L660" i="5"/>
  <c r="M660" i="5"/>
  <c r="AC660" i="5" s="1"/>
  <c r="N660" i="5"/>
  <c r="O660" i="5"/>
  <c r="P660" i="5"/>
  <c r="Q660" i="5"/>
  <c r="R660" i="5"/>
  <c r="S660" i="5"/>
  <c r="T660" i="5"/>
  <c r="U660" i="5"/>
  <c r="V660" i="5"/>
  <c r="W660" i="5"/>
  <c r="X660" i="5"/>
  <c r="AB660" i="5"/>
  <c r="B661" i="5"/>
  <c r="C661" i="5"/>
  <c r="D661" i="5"/>
  <c r="E661" i="5"/>
  <c r="F661" i="5"/>
  <c r="G661" i="5"/>
  <c r="H661" i="5"/>
  <c r="I661" i="5"/>
  <c r="J661" i="5"/>
  <c r="K661" i="5"/>
  <c r="L661" i="5"/>
  <c r="M661" i="5"/>
  <c r="N661" i="5"/>
  <c r="O661" i="5"/>
  <c r="P661" i="5"/>
  <c r="Q661" i="5"/>
  <c r="R661" i="5"/>
  <c r="S661" i="5"/>
  <c r="T661" i="5"/>
  <c r="U661" i="5"/>
  <c r="V661" i="5"/>
  <c r="W661" i="5"/>
  <c r="X661" i="5"/>
  <c r="B662" i="5"/>
  <c r="AB662" i="5" s="1"/>
  <c r="C662" i="5"/>
  <c r="D662" i="5"/>
  <c r="E662" i="5"/>
  <c r="F662" i="5"/>
  <c r="G662" i="5"/>
  <c r="H662" i="5"/>
  <c r="I662" i="5"/>
  <c r="J662" i="5"/>
  <c r="K662" i="5"/>
  <c r="L662" i="5"/>
  <c r="M662" i="5"/>
  <c r="N662" i="5"/>
  <c r="O662" i="5"/>
  <c r="AC662" i="5" s="1"/>
  <c r="P662" i="5"/>
  <c r="Q662" i="5"/>
  <c r="R662" i="5"/>
  <c r="S662" i="5"/>
  <c r="T662" i="5"/>
  <c r="U662" i="5"/>
  <c r="V662" i="5"/>
  <c r="W662" i="5"/>
  <c r="X662" i="5"/>
  <c r="B663" i="5"/>
  <c r="C663" i="5"/>
  <c r="D663" i="5"/>
  <c r="E663" i="5"/>
  <c r="F663" i="5"/>
  <c r="G663" i="5"/>
  <c r="H663" i="5"/>
  <c r="I663" i="5"/>
  <c r="J663" i="5"/>
  <c r="K663" i="5"/>
  <c r="L663" i="5"/>
  <c r="M663" i="5"/>
  <c r="N663" i="5"/>
  <c r="AC663" i="5" s="1"/>
  <c r="O663" i="5"/>
  <c r="P663" i="5"/>
  <c r="Q663" i="5"/>
  <c r="R663" i="5"/>
  <c r="S663" i="5"/>
  <c r="T663" i="5"/>
  <c r="U663" i="5"/>
  <c r="V663" i="5"/>
  <c r="W663" i="5"/>
  <c r="X663" i="5"/>
  <c r="B664" i="5"/>
  <c r="C664" i="5"/>
  <c r="D664" i="5"/>
  <c r="E664" i="5"/>
  <c r="F664" i="5"/>
  <c r="G664" i="5"/>
  <c r="H664" i="5"/>
  <c r="I664" i="5"/>
  <c r="J664" i="5"/>
  <c r="K664" i="5"/>
  <c r="L664" i="5"/>
  <c r="M664" i="5"/>
  <c r="AC664" i="5" s="1"/>
  <c r="N664" i="5"/>
  <c r="O664" i="5"/>
  <c r="P664" i="5"/>
  <c r="Q664" i="5"/>
  <c r="R664" i="5"/>
  <c r="S664" i="5"/>
  <c r="T664" i="5"/>
  <c r="U664" i="5"/>
  <c r="V664" i="5"/>
  <c r="W664" i="5"/>
  <c r="X664" i="5"/>
  <c r="AB664" i="5"/>
  <c r="B665" i="5"/>
  <c r="C665" i="5"/>
  <c r="AB665" i="5" s="1"/>
  <c r="D665" i="5"/>
  <c r="E665" i="5"/>
  <c r="F665" i="5"/>
  <c r="G665" i="5"/>
  <c r="H665" i="5"/>
  <c r="I665" i="5"/>
  <c r="J665" i="5"/>
  <c r="K665" i="5"/>
  <c r="L665" i="5"/>
  <c r="M665" i="5"/>
  <c r="N665" i="5"/>
  <c r="O665" i="5"/>
  <c r="P665" i="5"/>
  <c r="Q665" i="5"/>
  <c r="R665" i="5"/>
  <c r="S665" i="5"/>
  <c r="T665" i="5"/>
  <c r="U665" i="5"/>
  <c r="V665" i="5"/>
  <c r="W665" i="5"/>
  <c r="X665" i="5"/>
  <c r="B666" i="5"/>
  <c r="C666" i="5"/>
  <c r="D666" i="5"/>
  <c r="E666" i="5"/>
  <c r="F666" i="5"/>
  <c r="G666" i="5"/>
  <c r="H666" i="5"/>
  <c r="I666" i="5"/>
  <c r="J666" i="5"/>
  <c r="K666" i="5"/>
  <c r="L666" i="5"/>
  <c r="M666" i="5"/>
  <c r="N666" i="5"/>
  <c r="O666" i="5"/>
  <c r="AC666" i="5" s="1"/>
  <c r="P666" i="5"/>
  <c r="Q666" i="5"/>
  <c r="R666" i="5"/>
  <c r="S666" i="5"/>
  <c r="T666" i="5"/>
  <c r="U666" i="5"/>
  <c r="V666" i="5"/>
  <c r="W666" i="5"/>
  <c r="X666" i="5"/>
  <c r="B667" i="5"/>
  <c r="C667" i="5"/>
  <c r="D667" i="5"/>
  <c r="E667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R667" i="5"/>
  <c r="S667" i="5"/>
  <c r="T667" i="5"/>
  <c r="U667" i="5"/>
  <c r="V667" i="5"/>
  <c r="W667" i="5"/>
  <c r="X667" i="5"/>
  <c r="AC667" i="5"/>
  <c r="B668" i="5"/>
  <c r="C668" i="5"/>
  <c r="D668" i="5"/>
  <c r="E668" i="5"/>
  <c r="F668" i="5"/>
  <c r="G668" i="5"/>
  <c r="H668" i="5"/>
  <c r="I668" i="5"/>
  <c r="J668" i="5"/>
  <c r="K668" i="5"/>
  <c r="L668" i="5"/>
  <c r="M668" i="5"/>
  <c r="AC668" i="5" s="1"/>
  <c r="N668" i="5"/>
  <c r="O668" i="5"/>
  <c r="P668" i="5"/>
  <c r="Q668" i="5"/>
  <c r="R668" i="5"/>
  <c r="S668" i="5"/>
  <c r="T668" i="5"/>
  <c r="U668" i="5"/>
  <c r="V668" i="5"/>
  <c r="W668" i="5"/>
  <c r="X668" i="5"/>
  <c r="AB668" i="5"/>
  <c r="B669" i="5"/>
  <c r="C669" i="5"/>
  <c r="D669" i="5"/>
  <c r="E669" i="5"/>
  <c r="F669" i="5"/>
  <c r="G669" i="5"/>
  <c r="H669" i="5"/>
  <c r="I669" i="5"/>
  <c r="J669" i="5"/>
  <c r="K669" i="5"/>
  <c r="L669" i="5"/>
  <c r="M669" i="5"/>
  <c r="N669" i="5"/>
  <c r="O669" i="5"/>
  <c r="P669" i="5"/>
  <c r="Q669" i="5"/>
  <c r="R669" i="5"/>
  <c r="S669" i="5"/>
  <c r="T669" i="5"/>
  <c r="U669" i="5"/>
  <c r="V669" i="5"/>
  <c r="W669" i="5"/>
  <c r="X669" i="5"/>
  <c r="B670" i="5"/>
  <c r="AB670" i="5" s="1"/>
  <c r="C670" i="5"/>
  <c r="D670" i="5"/>
  <c r="E670" i="5"/>
  <c r="F670" i="5"/>
  <c r="G670" i="5"/>
  <c r="H670" i="5"/>
  <c r="I670" i="5"/>
  <c r="J670" i="5"/>
  <c r="K670" i="5"/>
  <c r="L670" i="5"/>
  <c r="M670" i="5"/>
  <c r="N670" i="5"/>
  <c r="O670" i="5"/>
  <c r="AC670" i="5" s="1"/>
  <c r="P670" i="5"/>
  <c r="Q670" i="5"/>
  <c r="R670" i="5"/>
  <c r="S670" i="5"/>
  <c r="T670" i="5"/>
  <c r="U670" i="5"/>
  <c r="V670" i="5"/>
  <c r="W670" i="5"/>
  <c r="X670" i="5"/>
  <c r="B671" i="5"/>
  <c r="C671" i="5"/>
  <c r="D671" i="5"/>
  <c r="E671" i="5"/>
  <c r="F671" i="5"/>
  <c r="G671" i="5"/>
  <c r="H671" i="5"/>
  <c r="I671" i="5"/>
  <c r="J671" i="5"/>
  <c r="K671" i="5"/>
  <c r="L671" i="5"/>
  <c r="M671" i="5"/>
  <c r="N671" i="5"/>
  <c r="AC671" i="5" s="1"/>
  <c r="O671" i="5"/>
  <c r="P671" i="5"/>
  <c r="Q671" i="5"/>
  <c r="R671" i="5"/>
  <c r="S671" i="5"/>
  <c r="T671" i="5"/>
  <c r="U671" i="5"/>
  <c r="V671" i="5"/>
  <c r="W671" i="5"/>
  <c r="X671" i="5"/>
  <c r="B672" i="5"/>
  <c r="C672" i="5"/>
  <c r="D672" i="5"/>
  <c r="E672" i="5"/>
  <c r="F672" i="5"/>
  <c r="G672" i="5"/>
  <c r="H672" i="5"/>
  <c r="I672" i="5"/>
  <c r="J672" i="5"/>
  <c r="K672" i="5"/>
  <c r="L672" i="5"/>
  <c r="M672" i="5"/>
  <c r="AC672" i="5" s="1"/>
  <c r="N672" i="5"/>
  <c r="O672" i="5"/>
  <c r="P672" i="5"/>
  <c r="Q672" i="5"/>
  <c r="R672" i="5"/>
  <c r="S672" i="5"/>
  <c r="T672" i="5"/>
  <c r="U672" i="5"/>
  <c r="V672" i="5"/>
  <c r="W672" i="5"/>
  <c r="X672" i="5"/>
  <c r="AB672" i="5"/>
  <c r="B673" i="5"/>
  <c r="C673" i="5"/>
  <c r="AB673" i="5" s="1"/>
  <c r="D673" i="5"/>
  <c r="E673" i="5"/>
  <c r="F673" i="5"/>
  <c r="G673" i="5"/>
  <c r="H673" i="5"/>
  <c r="I673" i="5"/>
  <c r="J673" i="5"/>
  <c r="K673" i="5"/>
  <c r="L673" i="5"/>
  <c r="M673" i="5"/>
  <c r="N673" i="5"/>
  <c r="O673" i="5"/>
  <c r="P673" i="5"/>
  <c r="Q673" i="5"/>
  <c r="R673" i="5"/>
  <c r="S673" i="5"/>
  <c r="T673" i="5"/>
  <c r="U673" i="5"/>
  <c r="V673" i="5"/>
  <c r="W673" i="5"/>
  <c r="X673" i="5"/>
  <c r="B674" i="5"/>
  <c r="C674" i="5"/>
  <c r="D674" i="5"/>
  <c r="E674" i="5"/>
  <c r="F674" i="5"/>
  <c r="G674" i="5"/>
  <c r="H674" i="5"/>
  <c r="I674" i="5"/>
  <c r="J674" i="5"/>
  <c r="K674" i="5"/>
  <c r="L674" i="5"/>
  <c r="M674" i="5"/>
  <c r="N674" i="5"/>
  <c r="O674" i="5"/>
  <c r="AC674" i="5" s="1"/>
  <c r="P674" i="5"/>
  <c r="Q674" i="5"/>
  <c r="R674" i="5"/>
  <c r="S674" i="5"/>
  <c r="T674" i="5"/>
  <c r="U674" i="5"/>
  <c r="V674" i="5"/>
  <c r="W674" i="5"/>
  <c r="X674" i="5"/>
  <c r="B675" i="5"/>
  <c r="C675" i="5"/>
  <c r="D675" i="5"/>
  <c r="E675" i="5"/>
  <c r="F675" i="5"/>
  <c r="G675" i="5"/>
  <c r="H675" i="5"/>
  <c r="I675" i="5"/>
  <c r="J675" i="5"/>
  <c r="K675" i="5"/>
  <c r="L675" i="5"/>
  <c r="M675" i="5"/>
  <c r="N675" i="5"/>
  <c r="O675" i="5"/>
  <c r="P675" i="5"/>
  <c r="Q675" i="5"/>
  <c r="R675" i="5"/>
  <c r="S675" i="5"/>
  <c r="T675" i="5"/>
  <c r="U675" i="5"/>
  <c r="V675" i="5"/>
  <c r="W675" i="5"/>
  <c r="X675" i="5"/>
  <c r="AC675" i="5"/>
  <c r="B676" i="5"/>
  <c r="C676" i="5"/>
  <c r="D676" i="5"/>
  <c r="E676" i="5"/>
  <c r="F676" i="5"/>
  <c r="G676" i="5"/>
  <c r="H676" i="5"/>
  <c r="I676" i="5"/>
  <c r="J676" i="5"/>
  <c r="K676" i="5"/>
  <c r="L676" i="5"/>
  <c r="M676" i="5"/>
  <c r="AC676" i="5" s="1"/>
  <c r="N676" i="5"/>
  <c r="O676" i="5"/>
  <c r="P676" i="5"/>
  <c r="Q676" i="5"/>
  <c r="R676" i="5"/>
  <c r="S676" i="5"/>
  <c r="T676" i="5"/>
  <c r="U676" i="5"/>
  <c r="V676" i="5"/>
  <c r="W676" i="5"/>
  <c r="X676" i="5"/>
  <c r="AB676" i="5"/>
  <c r="B677" i="5"/>
  <c r="C677" i="5"/>
  <c r="D677" i="5"/>
  <c r="E677" i="5"/>
  <c r="F677" i="5"/>
  <c r="G677" i="5"/>
  <c r="H677" i="5"/>
  <c r="I677" i="5"/>
  <c r="J677" i="5"/>
  <c r="K677" i="5"/>
  <c r="L677" i="5"/>
  <c r="M677" i="5"/>
  <c r="N677" i="5"/>
  <c r="O677" i="5"/>
  <c r="P677" i="5"/>
  <c r="Q677" i="5"/>
  <c r="R677" i="5"/>
  <c r="S677" i="5"/>
  <c r="T677" i="5"/>
  <c r="U677" i="5"/>
  <c r="V677" i="5"/>
  <c r="W677" i="5"/>
  <c r="X677" i="5"/>
  <c r="B678" i="5"/>
  <c r="AB678" i="5" s="1"/>
  <c r="C678" i="5"/>
  <c r="D678" i="5"/>
  <c r="E678" i="5"/>
  <c r="F678" i="5"/>
  <c r="G678" i="5"/>
  <c r="H678" i="5"/>
  <c r="I678" i="5"/>
  <c r="J678" i="5"/>
  <c r="K678" i="5"/>
  <c r="L678" i="5"/>
  <c r="M678" i="5"/>
  <c r="N678" i="5"/>
  <c r="O678" i="5"/>
  <c r="AC678" i="5" s="1"/>
  <c r="P678" i="5"/>
  <c r="Q678" i="5"/>
  <c r="R678" i="5"/>
  <c r="S678" i="5"/>
  <c r="T678" i="5"/>
  <c r="U678" i="5"/>
  <c r="V678" i="5"/>
  <c r="W678" i="5"/>
  <c r="X678" i="5"/>
  <c r="B679" i="5"/>
  <c r="C679" i="5"/>
  <c r="D679" i="5"/>
  <c r="E679" i="5"/>
  <c r="F679" i="5"/>
  <c r="G679" i="5"/>
  <c r="H679" i="5"/>
  <c r="I679" i="5"/>
  <c r="J679" i="5"/>
  <c r="K679" i="5"/>
  <c r="L679" i="5"/>
  <c r="M679" i="5"/>
  <c r="N679" i="5"/>
  <c r="AC679" i="5" s="1"/>
  <c r="O679" i="5"/>
  <c r="P679" i="5"/>
  <c r="Q679" i="5"/>
  <c r="R679" i="5"/>
  <c r="S679" i="5"/>
  <c r="T679" i="5"/>
  <c r="U679" i="5"/>
  <c r="V679" i="5"/>
  <c r="W679" i="5"/>
  <c r="X679" i="5"/>
  <c r="B680" i="5"/>
  <c r="C680" i="5"/>
  <c r="D680" i="5"/>
  <c r="E680" i="5"/>
  <c r="F680" i="5"/>
  <c r="G680" i="5"/>
  <c r="H680" i="5"/>
  <c r="I680" i="5"/>
  <c r="J680" i="5"/>
  <c r="K680" i="5"/>
  <c r="L680" i="5"/>
  <c r="M680" i="5"/>
  <c r="AC680" i="5" s="1"/>
  <c r="N680" i="5"/>
  <c r="O680" i="5"/>
  <c r="P680" i="5"/>
  <c r="Q680" i="5"/>
  <c r="R680" i="5"/>
  <c r="S680" i="5"/>
  <c r="T680" i="5"/>
  <c r="U680" i="5"/>
  <c r="V680" i="5"/>
  <c r="W680" i="5"/>
  <c r="X680" i="5"/>
  <c r="AB680" i="5"/>
  <c r="B681" i="5"/>
  <c r="C681" i="5"/>
  <c r="AB681" i="5" s="1"/>
  <c r="D681" i="5"/>
  <c r="E681" i="5"/>
  <c r="F681" i="5"/>
  <c r="G681" i="5"/>
  <c r="H681" i="5"/>
  <c r="I681" i="5"/>
  <c r="J681" i="5"/>
  <c r="K681" i="5"/>
  <c r="L681" i="5"/>
  <c r="M681" i="5"/>
  <c r="N681" i="5"/>
  <c r="O681" i="5"/>
  <c r="P681" i="5"/>
  <c r="Q681" i="5"/>
  <c r="R681" i="5"/>
  <c r="S681" i="5"/>
  <c r="T681" i="5"/>
  <c r="U681" i="5"/>
  <c r="V681" i="5"/>
  <c r="W681" i="5"/>
  <c r="X681" i="5"/>
  <c r="B682" i="5"/>
  <c r="C682" i="5"/>
  <c r="D682" i="5"/>
  <c r="E682" i="5"/>
  <c r="F682" i="5"/>
  <c r="G682" i="5"/>
  <c r="H682" i="5"/>
  <c r="I682" i="5"/>
  <c r="J682" i="5"/>
  <c r="K682" i="5"/>
  <c r="L682" i="5"/>
  <c r="M682" i="5"/>
  <c r="N682" i="5"/>
  <c r="O682" i="5"/>
  <c r="AC682" i="5" s="1"/>
  <c r="P682" i="5"/>
  <c r="Q682" i="5"/>
  <c r="R682" i="5"/>
  <c r="S682" i="5"/>
  <c r="T682" i="5"/>
  <c r="U682" i="5"/>
  <c r="V682" i="5"/>
  <c r="W682" i="5"/>
  <c r="X682" i="5"/>
  <c r="B683" i="5"/>
  <c r="C683" i="5"/>
  <c r="D683" i="5"/>
  <c r="E683" i="5"/>
  <c r="F683" i="5"/>
  <c r="G683" i="5"/>
  <c r="H683" i="5"/>
  <c r="I683" i="5"/>
  <c r="J683" i="5"/>
  <c r="K683" i="5"/>
  <c r="L683" i="5"/>
  <c r="M683" i="5"/>
  <c r="N683" i="5"/>
  <c r="O683" i="5"/>
  <c r="P683" i="5"/>
  <c r="Q683" i="5"/>
  <c r="R683" i="5"/>
  <c r="S683" i="5"/>
  <c r="T683" i="5"/>
  <c r="U683" i="5"/>
  <c r="V683" i="5"/>
  <c r="W683" i="5"/>
  <c r="X683" i="5"/>
  <c r="AC683" i="5"/>
  <c r="B684" i="5"/>
  <c r="C684" i="5"/>
  <c r="D684" i="5"/>
  <c r="E684" i="5"/>
  <c r="F684" i="5"/>
  <c r="G684" i="5"/>
  <c r="H684" i="5"/>
  <c r="I684" i="5"/>
  <c r="J684" i="5"/>
  <c r="K684" i="5"/>
  <c r="L684" i="5"/>
  <c r="M684" i="5"/>
  <c r="AC684" i="5" s="1"/>
  <c r="N684" i="5"/>
  <c r="O684" i="5"/>
  <c r="P684" i="5"/>
  <c r="Q684" i="5"/>
  <c r="R684" i="5"/>
  <c r="S684" i="5"/>
  <c r="T684" i="5"/>
  <c r="U684" i="5"/>
  <c r="V684" i="5"/>
  <c r="W684" i="5"/>
  <c r="X684" i="5"/>
  <c r="AB684" i="5"/>
  <c r="B685" i="5"/>
  <c r="C685" i="5"/>
  <c r="D685" i="5"/>
  <c r="E685" i="5"/>
  <c r="F685" i="5"/>
  <c r="G685" i="5"/>
  <c r="H685" i="5"/>
  <c r="I685" i="5"/>
  <c r="J685" i="5"/>
  <c r="K685" i="5"/>
  <c r="L685" i="5"/>
  <c r="M685" i="5"/>
  <c r="N685" i="5"/>
  <c r="O685" i="5"/>
  <c r="P685" i="5"/>
  <c r="Q685" i="5"/>
  <c r="R685" i="5"/>
  <c r="S685" i="5"/>
  <c r="T685" i="5"/>
  <c r="U685" i="5"/>
  <c r="V685" i="5"/>
  <c r="W685" i="5"/>
  <c r="X685" i="5"/>
  <c r="B686" i="5"/>
  <c r="AB686" i="5" s="1"/>
  <c r="C686" i="5"/>
  <c r="D686" i="5"/>
  <c r="E686" i="5"/>
  <c r="F686" i="5"/>
  <c r="G686" i="5"/>
  <c r="H686" i="5"/>
  <c r="I686" i="5"/>
  <c r="J686" i="5"/>
  <c r="K686" i="5"/>
  <c r="L686" i="5"/>
  <c r="M686" i="5"/>
  <c r="N686" i="5"/>
  <c r="O686" i="5"/>
  <c r="AC686" i="5" s="1"/>
  <c r="P686" i="5"/>
  <c r="Q686" i="5"/>
  <c r="R686" i="5"/>
  <c r="S686" i="5"/>
  <c r="T686" i="5"/>
  <c r="U686" i="5"/>
  <c r="V686" i="5"/>
  <c r="W686" i="5"/>
  <c r="X686" i="5"/>
  <c r="B687" i="5"/>
  <c r="C687" i="5"/>
  <c r="D687" i="5"/>
  <c r="E687" i="5"/>
  <c r="F687" i="5"/>
  <c r="G687" i="5"/>
  <c r="H687" i="5"/>
  <c r="I687" i="5"/>
  <c r="J687" i="5"/>
  <c r="K687" i="5"/>
  <c r="L687" i="5"/>
  <c r="M687" i="5"/>
  <c r="N687" i="5"/>
  <c r="AC687" i="5" s="1"/>
  <c r="O687" i="5"/>
  <c r="P687" i="5"/>
  <c r="Q687" i="5"/>
  <c r="R687" i="5"/>
  <c r="S687" i="5"/>
  <c r="T687" i="5"/>
  <c r="U687" i="5"/>
  <c r="V687" i="5"/>
  <c r="W687" i="5"/>
  <c r="X687" i="5"/>
  <c r="B688" i="5"/>
  <c r="C688" i="5"/>
  <c r="D688" i="5"/>
  <c r="E688" i="5"/>
  <c r="F688" i="5"/>
  <c r="G688" i="5"/>
  <c r="H688" i="5"/>
  <c r="I688" i="5"/>
  <c r="J688" i="5"/>
  <c r="K688" i="5"/>
  <c r="L688" i="5"/>
  <c r="M688" i="5"/>
  <c r="AC688" i="5" s="1"/>
  <c r="N688" i="5"/>
  <c r="O688" i="5"/>
  <c r="P688" i="5"/>
  <c r="Q688" i="5"/>
  <c r="R688" i="5"/>
  <c r="S688" i="5"/>
  <c r="T688" i="5"/>
  <c r="U688" i="5"/>
  <c r="V688" i="5"/>
  <c r="W688" i="5"/>
  <c r="X688" i="5"/>
  <c r="AB688" i="5"/>
  <c r="B689" i="5"/>
  <c r="C689" i="5"/>
  <c r="AB689" i="5" s="1"/>
  <c r="D689" i="5"/>
  <c r="E689" i="5"/>
  <c r="F689" i="5"/>
  <c r="G689" i="5"/>
  <c r="H689" i="5"/>
  <c r="I689" i="5"/>
  <c r="J689" i="5"/>
  <c r="K689" i="5"/>
  <c r="L689" i="5"/>
  <c r="M689" i="5"/>
  <c r="N689" i="5"/>
  <c r="O689" i="5"/>
  <c r="P689" i="5"/>
  <c r="Q689" i="5"/>
  <c r="R689" i="5"/>
  <c r="S689" i="5"/>
  <c r="T689" i="5"/>
  <c r="U689" i="5"/>
  <c r="V689" i="5"/>
  <c r="W689" i="5"/>
  <c r="X689" i="5"/>
  <c r="B690" i="5"/>
  <c r="C690" i="5"/>
  <c r="D690" i="5"/>
  <c r="E690" i="5"/>
  <c r="F690" i="5"/>
  <c r="G690" i="5"/>
  <c r="H690" i="5"/>
  <c r="I690" i="5"/>
  <c r="J690" i="5"/>
  <c r="K690" i="5"/>
  <c r="L690" i="5"/>
  <c r="M690" i="5"/>
  <c r="N690" i="5"/>
  <c r="O690" i="5"/>
  <c r="AC690" i="5" s="1"/>
  <c r="P690" i="5"/>
  <c r="Q690" i="5"/>
  <c r="R690" i="5"/>
  <c r="S690" i="5"/>
  <c r="T690" i="5"/>
  <c r="U690" i="5"/>
  <c r="V690" i="5"/>
  <c r="W690" i="5"/>
  <c r="X690" i="5"/>
  <c r="B691" i="5"/>
  <c r="C691" i="5"/>
  <c r="D691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X691" i="5"/>
  <c r="AC691" i="5"/>
  <c r="B692" i="5"/>
  <c r="C692" i="5"/>
  <c r="D692" i="5"/>
  <c r="E692" i="5"/>
  <c r="F692" i="5"/>
  <c r="G692" i="5"/>
  <c r="H692" i="5"/>
  <c r="I692" i="5"/>
  <c r="J692" i="5"/>
  <c r="K692" i="5"/>
  <c r="L692" i="5"/>
  <c r="M692" i="5"/>
  <c r="AC692" i="5" s="1"/>
  <c r="N692" i="5"/>
  <c r="O692" i="5"/>
  <c r="P692" i="5"/>
  <c r="Q692" i="5"/>
  <c r="R692" i="5"/>
  <c r="S692" i="5"/>
  <c r="T692" i="5"/>
  <c r="U692" i="5"/>
  <c r="V692" i="5"/>
  <c r="W692" i="5"/>
  <c r="X692" i="5"/>
  <c r="AB692" i="5"/>
  <c r="B693" i="5"/>
  <c r="C693" i="5"/>
  <c r="D693" i="5"/>
  <c r="E693" i="5"/>
  <c r="F693" i="5"/>
  <c r="G693" i="5"/>
  <c r="H693" i="5"/>
  <c r="I693" i="5"/>
  <c r="J693" i="5"/>
  <c r="K693" i="5"/>
  <c r="L693" i="5"/>
  <c r="M693" i="5"/>
  <c r="N693" i="5"/>
  <c r="O693" i="5"/>
  <c r="P693" i="5"/>
  <c r="Q693" i="5"/>
  <c r="R693" i="5"/>
  <c r="S693" i="5"/>
  <c r="T693" i="5"/>
  <c r="U693" i="5"/>
  <c r="V693" i="5"/>
  <c r="W693" i="5"/>
  <c r="X693" i="5"/>
  <c r="B694" i="5"/>
  <c r="AB694" i="5" s="1"/>
  <c r="C694" i="5"/>
  <c r="D694" i="5"/>
  <c r="E694" i="5"/>
  <c r="F694" i="5"/>
  <c r="G694" i="5"/>
  <c r="H694" i="5"/>
  <c r="I694" i="5"/>
  <c r="J694" i="5"/>
  <c r="K694" i="5"/>
  <c r="L694" i="5"/>
  <c r="M694" i="5"/>
  <c r="N694" i="5"/>
  <c r="O694" i="5"/>
  <c r="AC694" i="5" s="1"/>
  <c r="P694" i="5"/>
  <c r="Q694" i="5"/>
  <c r="R694" i="5"/>
  <c r="S694" i="5"/>
  <c r="T694" i="5"/>
  <c r="U694" i="5"/>
  <c r="V694" i="5"/>
  <c r="W694" i="5"/>
  <c r="X694" i="5"/>
  <c r="B695" i="5"/>
  <c r="C695" i="5"/>
  <c r="D695" i="5"/>
  <c r="E695" i="5"/>
  <c r="F695" i="5"/>
  <c r="G695" i="5"/>
  <c r="H695" i="5"/>
  <c r="I695" i="5"/>
  <c r="J695" i="5"/>
  <c r="K695" i="5"/>
  <c r="L695" i="5"/>
  <c r="M695" i="5"/>
  <c r="N695" i="5"/>
  <c r="AC695" i="5" s="1"/>
  <c r="O695" i="5"/>
  <c r="P695" i="5"/>
  <c r="Q695" i="5"/>
  <c r="R695" i="5"/>
  <c r="S695" i="5"/>
  <c r="T695" i="5"/>
  <c r="U695" i="5"/>
  <c r="V695" i="5"/>
  <c r="W695" i="5"/>
  <c r="X695" i="5"/>
  <c r="B696" i="5"/>
  <c r="C696" i="5"/>
  <c r="D696" i="5"/>
  <c r="E696" i="5"/>
  <c r="F696" i="5"/>
  <c r="G696" i="5"/>
  <c r="H696" i="5"/>
  <c r="I696" i="5"/>
  <c r="J696" i="5"/>
  <c r="K696" i="5"/>
  <c r="L696" i="5"/>
  <c r="M696" i="5"/>
  <c r="AC696" i="5" s="1"/>
  <c r="N696" i="5"/>
  <c r="O696" i="5"/>
  <c r="P696" i="5"/>
  <c r="Q696" i="5"/>
  <c r="R696" i="5"/>
  <c r="S696" i="5"/>
  <c r="T696" i="5"/>
  <c r="U696" i="5"/>
  <c r="V696" i="5"/>
  <c r="W696" i="5"/>
  <c r="X696" i="5"/>
  <c r="AB696" i="5"/>
  <c r="B697" i="5"/>
  <c r="C697" i="5"/>
  <c r="AB697" i="5" s="1"/>
  <c r="D697" i="5"/>
  <c r="E697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R697" i="5"/>
  <c r="S697" i="5"/>
  <c r="T697" i="5"/>
  <c r="U697" i="5"/>
  <c r="V697" i="5"/>
  <c r="W697" i="5"/>
  <c r="X697" i="5"/>
  <c r="B698" i="5"/>
  <c r="C698" i="5"/>
  <c r="D698" i="5"/>
  <c r="E698" i="5"/>
  <c r="F698" i="5"/>
  <c r="G698" i="5"/>
  <c r="H698" i="5"/>
  <c r="I698" i="5"/>
  <c r="J698" i="5"/>
  <c r="K698" i="5"/>
  <c r="L698" i="5"/>
  <c r="M698" i="5"/>
  <c r="N698" i="5"/>
  <c r="O698" i="5"/>
  <c r="AC698" i="5" s="1"/>
  <c r="P698" i="5"/>
  <c r="Q698" i="5"/>
  <c r="R698" i="5"/>
  <c r="S698" i="5"/>
  <c r="T698" i="5"/>
  <c r="U698" i="5"/>
  <c r="V698" i="5"/>
  <c r="W698" i="5"/>
  <c r="X698" i="5"/>
  <c r="B699" i="5"/>
  <c r="C699" i="5"/>
  <c r="D699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R699" i="5"/>
  <c r="S699" i="5"/>
  <c r="T699" i="5"/>
  <c r="U699" i="5"/>
  <c r="V699" i="5"/>
  <c r="W699" i="5"/>
  <c r="X699" i="5"/>
  <c r="AC699" i="5"/>
  <c r="B700" i="5"/>
  <c r="C700" i="5"/>
  <c r="D700" i="5"/>
  <c r="E700" i="5"/>
  <c r="F700" i="5"/>
  <c r="G700" i="5"/>
  <c r="H700" i="5"/>
  <c r="I700" i="5"/>
  <c r="J700" i="5"/>
  <c r="K700" i="5"/>
  <c r="L700" i="5"/>
  <c r="M700" i="5"/>
  <c r="AC700" i="5" s="1"/>
  <c r="N700" i="5"/>
  <c r="O700" i="5"/>
  <c r="P700" i="5"/>
  <c r="Q700" i="5"/>
  <c r="R700" i="5"/>
  <c r="S700" i="5"/>
  <c r="T700" i="5"/>
  <c r="U700" i="5"/>
  <c r="V700" i="5"/>
  <c r="W700" i="5"/>
  <c r="X700" i="5"/>
  <c r="AB700" i="5"/>
  <c r="B701" i="5"/>
  <c r="C701" i="5"/>
  <c r="D701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Q701" i="5"/>
  <c r="R701" i="5"/>
  <c r="S701" i="5"/>
  <c r="T701" i="5"/>
  <c r="U701" i="5"/>
  <c r="V701" i="5"/>
  <c r="W701" i="5"/>
  <c r="X701" i="5"/>
  <c r="B702" i="5"/>
  <c r="AB702" i="5" s="1"/>
  <c r="C702" i="5"/>
  <c r="D702" i="5"/>
  <c r="E702" i="5"/>
  <c r="F702" i="5"/>
  <c r="G702" i="5"/>
  <c r="H702" i="5"/>
  <c r="I702" i="5"/>
  <c r="J702" i="5"/>
  <c r="K702" i="5"/>
  <c r="L702" i="5"/>
  <c r="M702" i="5"/>
  <c r="N702" i="5"/>
  <c r="O702" i="5"/>
  <c r="AC702" i="5" s="1"/>
  <c r="P702" i="5"/>
  <c r="Q702" i="5"/>
  <c r="R702" i="5"/>
  <c r="S702" i="5"/>
  <c r="T702" i="5"/>
  <c r="U702" i="5"/>
  <c r="V702" i="5"/>
  <c r="W702" i="5"/>
  <c r="X702" i="5"/>
  <c r="B703" i="5"/>
  <c r="C703" i="5"/>
  <c r="D703" i="5"/>
  <c r="E703" i="5"/>
  <c r="F703" i="5"/>
  <c r="G703" i="5"/>
  <c r="H703" i="5"/>
  <c r="I703" i="5"/>
  <c r="J703" i="5"/>
  <c r="K703" i="5"/>
  <c r="L703" i="5"/>
  <c r="M703" i="5"/>
  <c r="N703" i="5"/>
  <c r="AC703" i="5" s="1"/>
  <c r="O703" i="5"/>
  <c r="P703" i="5"/>
  <c r="Q703" i="5"/>
  <c r="R703" i="5"/>
  <c r="S703" i="5"/>
  <c r="T703" i="5"/>
  <c r="U703" i="5"/>
  <c r="V703" i="5"/>
  <c r="W703" i="5"/>
  <c r="X703" i="5"/>
  <c r="B704" i="5"/>
  <c r="C704" i="5"/>
  <c r="D704" i="5"/>
  <c r="E704" i="5"/>
  <c r="F704" i="5"/>
  <c r="G704" i="5"/>
  <c r="H704" i="5"/>
  <c r="I704" i="5"/>
  <c r="J704" i="5"/>
  <c r="K704" i="5"/>
  <c r="L704" i="5"/>
  <c r="M704" i="5"/>
  <c r="AC704" i="5" s="1"/>
  <c r="N704" i="5"/>
  <c r="O704" i="5"/>
  <c r="P704" i="5"/>
  <c r="Q704" i="5"/>
  <c r="R704" i="5"/>
  <c r="S704" i="5"/>
  <c r="T704" i="5"/>
  <c r="U704" i="5"/>
  <c r="V704" i="5"/>
  <c r="W704" i="5"/>
  <c r="X704" i="5"/>
  <c r="AB704" i="5"/>
  <c r="B705" i="5"/>
  <c r="C705" i="5"/>
  <c r="AB705" i="5" s="1"/>
  <c r="D705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Q705" i="5"/>
  <c r="R705" i="5"/>
  <c r="S705" i="5"/>
  <c r="T705" i="5"/>
  <c r="U705" i="5"/>
  <c r="V705" i="5"/>
  <c r="W705" i="5"/>
  <c r="X705" i="5"/>
  <c r="B706" i="5"/>
  <c r="C706" i="5"/>
  <c r="D706" i="5"/>
  <c r="E706" i="5"/>
  <c r="F706" i="5"/>
  <c r="G706" i="5"/>
  <c r="H706" i="5"/>
  <c r="I706" i="5"/>
  <c r="J706" i="5"/>
  <c r="K706" i="5"/>
  <c r="L706" i="5"/>
  <c r="M706" i="5"/>
  <c r="N706" i="5"/>
  <c r="O706" i="5"/>
  <c r="AC706" i="5" s="1"/>
  <c r="P706" i="5"/>
  <c r="Q706" i="5"/>
  <c r="R706" i="5"/>
  <c r="S706" i="5"/>
  <c r="T706" i="5"/>
  <c r="U706" i="5"/>
  <c r="V706" i="5"/>
  <c r="W706" i="5"/>
  <c r="X706" i="5"/>
  <c r="B707" i="5"/>
  <c r="C707" i="5"/>
  <c r="D707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Q707" i="5"/>
  <c r="R707" i="5"/>
  <c r="S707" i="5"/>
  <c r="T707" i="5"/>
  <c r="U707" i="5"/>
  <c r="V707" i="5"/>
  <c r="W707" i="5"/>
  <c r="X707" i="5"/>
  <c r="AC707" i="5"/>
  <c r="B708" i="5"/>
  <c r="C708" i="5"/>
  <c r="D708" i="5"/>
  <c r="E708" i="5"/>
  <c r="F708" i="5"/>
  <c r="G708" i="5"/>
  <c r="H708" i="5"/>
  <c r="I708" i="5"/>
  <c r="J708" i="5"/>
  <c r="K708" i="5"/>
  <c r="L708" i="5"/>
  <c r="M708" i="5"/>
  <c r="AC708" i="5" s="1"/>
  <c r="N708" i="5"/>
  <c r="O708" i="5"/>
  <c r="P708" i="5"/>
  <c r="Q708" i="5"/>
  <c r="R708" i="5"/>
  <c r="S708" i="5"/>
  <c r="T708" i="5"/>
  <c r="U708" i="5"/>
  <c r="V708" i="5"/>
  <c r="W708" i="5"/>
  <c r="X708" i="5"/>
  <c r="AB708" i="5"/>
  <c r="B709" i="5"/>
  <c r="C709" i="5"/>
  <c r="D709" i="5"/>
  <c r="E709" i="5"/>
  <c r="F709" i="5"/>
  <c r="G709" i="5"/>
  <c r="H709" i="5"/>
  <c r="I709" i="5"/>
  <c r="J709" i="5"/>
  <c r="K709" i="5"/>
  <c r="L709" i="5"/>
  <c r="M709" i="5"/>
  <c r="N709" i="5"/>
  <c r="O709" i="5"/>
  <c r="P709" i="5"/>
  <c r="Q709" i="5"/>
  <c r="R709" i="5"/>
  <c r="S709" i="5"/>
  <c r="T709" i="5"/>
  <c r="U709" i="5"/>
  <c r="V709" i="5"/>
  <c r="W709" i="5"/>
  <c r="X709" i="5"/>
  <c r="B710" i="5"/>
  <c r="AB710" i="5" s="1"/>
  <c r="C710" i="5"/>
  <c r="D710" i="5"/>
  <c r="E710" i="5"/>
  <c r="F710" i="5"/>
  <c r="G710" i="5"/>
  <c r="H710" i="5"/>
  <c r="I710" i="5"/>
  <c r="J710" i="5"/>
  <c r="K710" i="5"/>
  <c r="L710" i="5"/>
  <c r="M710" i="5"/>
  <c r="N710" i="5"/>
  <c r="O710" i="5"/>
  <c r="AC710" i="5" s="1"/>
  <c r="P710" i="5"/>
  <c r="Q710" i="5"/>
  <c r="R710" i="5"/>
  <c r="S710" i="5"/>
  <c r="T710" i="5"/>
  <c r="U710" i="5"/>
  <c r="V710" i="5"/>
  <c r="W710" i="5"/>
  <c r="X710" i="5"/>
  <c r="B711" i="5"/>
  <c r="C711" i="5"/>
  <c r="D711" i="5"/>
  <c r="E711" i="5"/>
  <c r="F711" i="5"/>
  <c r="G711" i="5"/>
  <c r="H711" i="5"/>
  <c r="I711" i="5"/>
  <c r="J711" i="5"/>
  <c r="K711" i="5"/>
  <c r="L711" i="5"/>
  <c r="M711" i="5"/>
  <c r="N711" i="5"/>
  <c r="AC711" i="5" s="1"/>
  <c r="O711" i="5"/>
  <c r="P711" i="5"/>
  <c r="Q711" i="5"/>
  <c r="R711" i="5"/>
  <c r="S711" i="5"/>
  <c r="T711" i="5"/>
  <c r="U711" i="5"/>
  <c r="V711" i="5"/>
  <c r="W711" i="5"/>
  <c r="X711" i="5"/>
  <c r="B712" i="5"/>
  <c r="C712" i="5"/>
  <c r="D712" i="5"/>
  <c r="E712" i="5"/>
  <c r="F712" i="5"/>
  <c r="G712" i="5"/>
  <c r="H712" i="5"/>
  <c r="I712" i="5"/>
  <c r="J712" i="5"/>
  <c r="K712" i="5"/>
  <c r="L712" i="5"/>
  <c r="M712" i="5"/>
  <c r="AC712" i="5" s="1"/>
  <c r="N712" i="5"/>
  <c r="O712" i="5"/>
  <c r="P712" i="5"/>
  <c r="Q712" i="5"/>
  <c r="R712" i="5"/>
  <c r="S712" i="5"/>
  <c r="T712" i="5"/>
  <c r="U712" i="5"/>
  <c r="V712" i="5"/>
  <c r="W712" i="5"/>
  <c r="X712" i="5"/>
  <c r="AB712" i="5"/>
  <c r="B713" i="5"/>
  <c r="C713" i="5"/>
  <c r="AB713" i="5" s="1"/>
  <c r="D713" i="5"/>
  <c r="E713" i="5"/>
  <c r="F713" i="5"/>
  <c r="G713" i="5"/>
  <c r="H713" i="5"/>
  <c r="I713" i="5"/>
  <c r="J713" i="5"/>
  <c r="K713" i="5"/>
  <c r="L713" i="5"/>
  <c r="M713" i="5"/>
  <c r="N713" i="5"/>
  <c r="O713" i="5"/>
  <c r="P713" i="5"/>
  <c r="Q713" i="5"/>
  <c r="R713" i="5"/>
  <c r="S713" i="5"/>
  <c r="T713" i="5"/>
  <c r="U713" i="5"/>
  <c r="V713" i="5"/>
  <c r="W713" i="5"/>
  <c r="X713" i="5"/>
  <c r="B714" i="5"/>
  <c r="C714" i="5"/>
  <c r="D714" i="5"/>
  <c r="E714" i="5"/>
  <c r="F714" i="5"/>
  <c r="G714" i="5"/>
  <c r="H714" i="5"/>
  <c r="I714" i="5"/>
  <c r="J714" i="5"/>
  <c r="K714" i="5"/>
  <c r="L714" i="5"/>
  <c r="M714" i="5"/>
  <c r="N714" i="5"/>
  <c r="O714" i="5"/>
  <c r="AC714" i="5" s="1"/>
  <c r="P714" i="5"/>
  <c r="Q714" i="5"/>
  <c r="R714" i="5"/>
  <c r="S714" i="5"/>
  <c r="T714" i="5"/>
  <c r="U714" i="5"/>
  <c r="V714" i="5"/>
  <c r="W714" i="5"/>
  <c r="X714" i="5"/>
  <c r="B715" i="5"/>
  <c r="C715" i="5"/>
  <c r="D715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Q715" i="5"/>
  <c r="R715" i="5"/>
  <c r="S715" i="5"/>
  <c r="T715" i="5"/>
  <c r="U715" i="5"/>
  <c r="V715" i="5"/>
  <c r="W715" i="5"/>
  <c r="X715" i="5"/>
  <c r="AC715" i="5"/>
  <c r="B716" i="5"/>
  <c r="C716" i="5"/>
  <c r="D716" i="5"/>
  <c r="E716" i="5"/>
  <c r="F716" i="5"/>
  <c r="G716" i="5"/>
  <c r="H716" i="5"/>
  <c r="I716" i="5"/>
  <c r="J716" i="5"/>
  <c r="K716" i="5"/>
  <c r="L716" i="5"/>
  <c r="M716" i="5"/>
  <c r="AC716" i="5" s="1"/>
  <c r="N716" i="5"/>
  <c r="O716" i="5"/>
  <c r="P716" i="5"/>
  <c r="Q716" i="5"/>
  <c r="R716" i="5"/>
  <c r="S716" i="5"/>
  <c r="T716" i="5"/>
  <c r="U716" i="5"/>
  <c r="V716" i="5"/>
  <c r="W716" i="5"/>
  <c r="X716" i="5"/>
  <c r="AB716" i="5"/>
  <c r="B717" i="5"/>
  <c r="C717" i="5"/>
  <c r="D717" i="5"/>
  <c r="E717" i="5"/>
  <c r="F717" i="5"/>
  <c r="G717" i="5"/>
  <c r="H717" i="5"/>
  <c r="I717" i="5"/>
  <c r="J717" i="5"/>
  <c r="K717" i="5"/>
  <c r="L717" i="5"/>
  <c r="M717" i="5"/>
  <c r="N717" i="5"/>
  <c r="O717" i="5"/>
  <c r="P717" i="5"/>
  <c r="Q717" i="5"/>
  <c r="R717" i="5"/>
  <c r="S717" i="5"/>
  <c r="T717" i="5"/>
  <c r="U717" i="5"/>
  <c r="V717" i="5"/>
  <c r="W717" i="5"/>
  <c r="X717" i="5"/>
  <c r="B718" i="5"/>
  <c r="AB718" i="5" s="1"/>
  <c r="C718" i="5"/>
  <c r="D718" i="5"/>
  <c r="E718" i="5"/>
  <c r="F718" i="5"/>
  <c r="G718" i="5"/>
  <c r="H718" i="5"/>
  <c r="I718" i="5"/>
  <c r="J718" i="5"/>
  <c r="K718" i="5"/>
  <c r="L718" i="5"/>
  <c r="M718" i="5"/>
  <c r="N718" i="5"/>
  <c r="O718" i="5"/>
  <c r="AC718" i="5" s="1"/>
  <c r="P718" i="5"/>
  <c r="Q718" i="5"/>
  <c r="R718" i="5"/>
  <c r="S718" i="5"/>
  <c r="T718" i="5"/>
  <c r="U718" i="5"/>
  <c r="V718" i="5"/>
  <c r="W718" i="5"/>
  <c r="X718" i="5"/>
  <c r="B719" i="5"/>
  <c r="C719" i="5"/>
  <c r="D719" i="5"/>
  <c r="E719" i="5"/>
  <c r="F719" i="5"/>
  <c r="G719" i="5"/>
  <c r="H719" i="5"/>
  <c r="I719" i="5"/>
  <c r="J719" i="5"/>
  <c r="K719" i="5"/>
  <c r="L719" i="5"/>
  <c r="M719" i="5"/>
  <c r="N719" i="5"/>
  <c r="AC719" i="5" s="1"/>
  <c r="O719" i="5"/>
  <c r="P719" i="5"/>
  <c r="Q719" i="5"/>
  <c r="R719" i="5"/>
  <c r="S719" i="5"/>
  <c r="T719" i="5"/>
  <c r="U719" i="5"/>
  <c r="V719" i="5"/>
  <c r="W719" i="5"/>
  <c r="X719" i="5"/>
  <c r="B720" i="5"/>
  <c r="C720" i="5"/>
  <c r="D720" i="5"/>
  <c r="E720" i="5"/>
  <c r="F720" i="5"/>
  <c r="G720" i="5"/>
  <c r="H720" i="5"/>
  <c r="I720" i="5"/>
  <c r="J720" i="5"/>
  <c r="K720" i="5"/>
  <c r="L720" i="5"/>
  <c r="M720" i="5"/>
  <c r="AC720" i="5" s="1"/>
  <c r="N720" i="5"/>
  <c r="O720" i="5"/>
  <c r="P720" i="5"/>
  <c r="Q720" i="5"/>
  <c r="R720" i="5"/>
  <c r="S720" i="5"/>
  <c r="T720" i="5"/>
  <c r="U720" i="5"/>
  <c r="V720" i="5"/>
  <c r="W720" i="5"/>
  <c r="X720" i="5"/>
  <c r="AB720" i="5"/>
  <c r="B721" i="5"/>
  <c r="C721" i="5"/>
  <c r="AB721" i="5" s="1"/>
  <c r="D721" i="5"/>
  <c r="E721" i="5"/>
  <c r="F721" i="5"/>
  <c r="G721" i="5"/>
  <c r="H721" i="5"/>
  <c r="I721" i="5"/>
  <c r="J721" i="5"/>
  <c r="K721" i="5"/>
  <c r="L721" i="5"/>
  <c r="M721" i="5"/>
  <c r="N721" i="5"/>
  <c r="O721" i="5"/>
  <c r="P721" i="5"/>
  <c r="Q721" i="5"/>
  <c r="R721" i="5"/>
  <c r="S721" i="5"/>
  <c r="T721" i="5"/>
  <c r="U721" i="5"/>
  <c r="V721" i="5"/>
  <c r="W721" i="5"/>
  <c r="X721" i="5"/>
  <c r="B722" i="5"/>
  <c r="C722" i="5"/>
  <c r="D722" i="5"/>
  <c r="E722" i="5"/>
  <c r="F722" i="5"/>
  <c r="G722" i="5"/>
  <c r="H722" i="5"/>
  <c r="I722" i="5"/>
  <c r="J722" i="5"/>
  <c r="K722" i="5"/>
  <c r="L722" i="5"/>
  <c r="M722" i="5"/>
  <c r="N722" i="5"/>
  <c r="O722" i="5"/>
  <c r="AC722" i="5" s="1"/>
  <c r="P722" i="5"/>
  <c r="Q722" i="5"/>
  <c r="R722" i="5"/>
  <c r="S722" i="5"/>
  <c r="T722" i="5"/>
  <c r="U722" i="5"/>
  <c r="V722" i="5"/>
  <c r="W722" i="5"/>
  <c r="X722" i="5"/>
  <c r="B723" i="5"/>
  <c r="C723" i="5"/>
  <c r="D723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Q723" i="5"/>
  <c r="R723" i="5"/>
  <c r="S723" i="5"/>
  <c r="T723" i="5"/>
  <c r="U723" i="5"/>
  <c r="V723" i="5"/>
  <c r="W723" i="5"/>
  <c r="X723" i="5"/>
  <c r="AC723" i="5"/>
  <c r="B724" i="5"/>
  <c r="C724" i="5"/>
  <c r="D724" i="5"/>
  <c r="E724" i="5"/>
  <c r="F724" i="5"/>
  <c r="G724" i="5"/>
  <c r="H724" i="5"/>
  <c r="I724" i="5"/>
  <c r="J724" i="5"/>
  <c r="K724" i="5"/>
  <c r="L724" i="5"/>
  <c r="M724" i="5"/>
  <c r="AC724" i="5" s="1"/>
  <c r="N724" i="5"/>
  <c r="O724" i="5"/>
  <c r="P724" i="5"/>
  <c r="Q724" i="5"/>
  <c r="R724" i="5"/>
  <c r="S724" i="5"/>
  <c r="T724" i="5"/>
  <c r="U724" i="5"/>
  <c r="V724" i="5"/>
  <c r="W724" i="5"/>
  <c r="X724" i="5"/>
  <c r="AB724" i="5"/>
  <c r="B725" i="5"/>
  <c r="C725" i="5"/>
  <c r="D725" i="5"/>
  <c r="E725" i="5"/>
  <c r="F725" i="5"/>
  <c r="G725" i="5"/>
  <c r="H725" i="5"/>
  <c r="I725" i="5"/>
  <c r="J725" i="5"/>
  <c r="K725" i="5"/>
  <c r="L725" i="5"/>
  <c r="M725" i="5"/>
  <c r="N725" i="5"/>
  <c r="O725" i="5"/>
  <c r="P725" i="5"/>
  <c r="Q725" i="5"/>
  <c r="R725" i="5"/>
  <c r="S725" i="5"/>
  <c r="T725" i="5"/>
  <c r="U725" i="5"/>
  <c r="V725" i="5"/>
  <c r="W725" i="5"/>
  <c r="X725" i="5"/>
  <c r="B726" i="5"/>
  <c r="AB726" i="5" s="1"/>
  <c r="C726" i="5"/>
  <c r="D726" i="5"/>
  <c r="E726" i="5"/>
  <c r="F726" i="5"/>
  <c r="G726" i="5"/>
  <c r="H726" i="5"/>
  <c r="I726" i="5"/>
  <c r="J726" i="5"/>
  <c r="K726" i="5"/>
  <c r="L726" i="5"/>
  <c r="M726" i="5"/>
  <c r="N726" i="5"/>
  <c r="O726" i="5"/>
  <c r="AC726" i="5" s="1"/>
  <c r="P726" i="5"/>
  <c r="Q726" i="5"/>
  <c r="R726" i="5"/>
  <c r="S726" i="5"/>
  <c r="T726" i="5"/>
  <c r="U726" i="5"/>
  <c r="V726" i="5"/>
  <c r="W726" i="5"/>
  <c r="X726" i="5"/>
  <c r="B727" i="5"/>
  <c r="C727" i="5"/>
  <c r="D727" i="5"/>
  <c r="E727" i="5"/>
  <c r="F727" i="5"/>
  <c r="G727" i="5"/>
  <c r="H727" i="5"/>
  <c r="I727" i="5"/>
  <c r="J727" i="5"/>
  <c r="K727" i="5"/>
  <c r="L727" i="5"/>
  <c r="M727" i="5"/>
  <c r="N727" i="5"/>
  <c r="AC727" i="5" s="1"/>
  <c r="O727" i="5"/>
  <c r="P727" i="5"/>
  <c r="Q727" i="5"/>
  <c r="R727" i="5"/>
  <c r="S727" i="5"/>
  <c r="T727" i="5"/>
  <c r="U727" i="5"/>
  <c r="V727" i="5"/>
  <c r="W727" i="5"/>
  <c r="X727" i="5"/>
  <c r="B728" i="5"/>
  <c r="C728" i="5"/>
  <c r="D728" i="5"/>
  <c r="E728" i="5"/>
  <c r="F728" i="5"/>
  <c r="G728" i="5"/>
  <c r="H728" i="5"/>
  <c r="I728" i="5"/>
  <c r="J728" i="5"/>
  <c r="K728" i="5"/>
  <c r="L728" i="5"/>
  <c r="M728" i="5"/>
  <c r="AC728" i="5" s="1"/>
  <c r="N728" i="5"/>
  <c r="O728" i="5"/>
  <c r="P728" i="5"/>
  <c r="Q728" i="5"/>
  <c r="R728" i="5"/>
  <c r="S728" i="5"/>
  <c r="T728" i="5"/>
  <c r="U728" i="5"/>
  <c r="V728" i="5"/>
  <c r="W728" i="5"/>
  <c r="X728" i="5"/>
  <c r="AB728" i="5"/>
  <c r="B729" i="5"/>
  <c r="C729" i="5"/>
  <c r="AB729" i="5" s="1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X729" i="5"/>
  <c r="B730" i="5"/>
  <c r="C730" i="5"/>
  <c r="D730" i="5"/>
  <c r="E730" i="5"/>
  <c r="F730" i="5"/>
  <c r="G730" i="5"/>
  <c r="H730" i="5"/>
  <c r="I730" i="5"/>
  <c r="J730" i="5"/>
  <c r="K730" i="5"/>
  <c r="L730" i="5"/>
  <c r="M730" i="5"/>
  <c r="N730" i="5"/>
  <c r="O730" i="5"/>
  <c r="AC730" i="5" s="1"/>
  <c r="P730" i="5"/>
  <c r="Q730" i="5"/>
  <c r="R730" i="5"/>
  <c r="S730" i="5"/>
  <c r="T730" i="5"/>
  <c r="U730" i="5"/>
  <c r="V730" i="5"/>
  <c r="W730" i="5"/>
  <c r="X730" i="5"/>
  <c r="B731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X731" i="5"/>
  <c r="AC731" i="5"/>
  <c r="B732" i="5"/>
  <c r="C732" i="5"/>
  <c r="D732" i="5"/>
  <c r="E732" i="5"/>
  <c r="F732" i="5"/>
  <c r="G732" i="5"/>
  <c r="H732" i="5"/>
  <c r="I732" i="5"/>
  <c r="J732" i="5"/>
  <c r="K732" i="5"/>
  <c r="L732" i="5"/>
  <c r="M732" i="5"/>
  <c r="AC732" i="5" s="1"/>
  <c r="N732" i="5"/>
  <c r="O732" i="5"/>
  <c r="P732" i="5"/>
  <c r="Q732" i="5"/>
  <c r="R732" i="5"/>
  <c r="S732" i="5"/>
  <c r="T732" i="5"/>
  <c r="U732" i="5"/>
  <c r="V732" i="5"/>
  <c r="W732" i="5"/>
  <c r="X732" i="5"/>
  <c r="AB732" i="5"/>
  <c r="B733" i="5"/>
  <c r="C733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X733" i="5"/>
  <c r="B734" i="5"/>
  <c r="AB734" i="5" s="1"/>
  <c r="C734" i="5"/>
  <c r="D734" i="5"/>
  <c r="E734" i="5"/>
  <c r="F734" i="5"/>
  <c r="G734" i="5"/>
  <c r="H734" i="5"/>
  <c r="I734" i="5"/>
  <c r="J734" i="5"/>
  <c r="K734" i="5"/>
  <c r="L734" i="5"/>
  <c r="M734" i="5"/>
  <c r="N734" i="5"/>
  <c r="O734" i="5"/>
  <c r="AC734" i="5" s="1"/>
  <c r="P734" i="5"/>
  <c r="Q734" i="5"/>
  <c r="R734" i="5"/>
  <c r="S734" i="5"/>
  <c r="T734" i="5"/>
  <c r="U734" i="5"/>
  <c r="V734" i="5"/>
  <c r="W734" i="5"/>
  <c r="X734" i="5"/>
  <c r="B735" i="5"/>
  <c r="C735" i="5"/>
  <c r="D735" i="5"/>
  <c r="E735" i="5"/>
  <c r="F735" i="5"/>
  <c r="G735" i="5"/>
  <c r="H735" i="5"/>
  <c r="I735" i="5"/>
  <c r="J735" i="5"/>
  <c r="K735" i="5"/>
  <c r="L735" i="5"/>
  <c r="M735" i="5"/>
  <c r="N735" i="5"/>
  <c r="AC735" i="5" s="1"/>
  <c r="O735" i="5"/>
  <c r="P735" i="5"/>
  <c r="Q735" i="5"/>
  <c r="R735" i="5"/>
  <c r="S735" i="5"/>
  <c r="T735" i="5"/>
  <c r="U735" i="5"/>
  <c r="V735" i="5"/>
  <c r="W735" i="5"/>
  <c r="X735" i="5"/>
  <c r="B736" i="5"/>
  <c r="C736" i="5"/>
  <c r="D736" i="5"/>
  <c r="E736" i="5"/>
  <c r="F736" i="5"/>
  <c r="G736" i="5"/>
  <c r="H736" i="5"/>
  <c r="I736" i="5"/>
  <c r="J736" i="5"/>
  <c r="K736" i="5"/>
  <c r="L736" i="5"/>
  <c r="M736" i="5"/>
  <c r="AC736" i="5" s="1"/>
  <c r="N736" i="5"/>
  <c r="O736" i="5"/>
  <c r="P736" i="5"/>
  <c r="Q736" i="5"/>
  <c r="R736" i="5"/>
  <c r="S736" i="5"/>
  <c r="T736" i="5"/>
  <c r="U736" i="5"/>
  <c r="V736" i="5"/>
  <c r="W736" i="5"/>
  <c r="X736" i="5"/>
  <c r="AB736" i="5"/>
  <c r="B737" i="5"/>
  <c r="C737" i="5"/>
  <c r="AB737" i="5" s="1"/>
  <c r="D737" i="5"/>
  <c r="E737" i="5"/>
  <c r="F737" i="5"/>
  <c r="G737" i="5"/>
  <c r="H737" i="5"/>
  <c r="I737" i="5"/>
  <c r="J737" i="5"/>
  <c r="K737" i="5"/>
  <c r="L737" i="5"/>
  <c r="M737" i="5"/>
  <c r="N737" i="5"/>
  <c r="O737" i="5"/>
  <c r="P737" i="5"/>
  <c r="Q737" i="5"/>
  <c r="R737" i="5"/>
  <c r="S737" i="5"/>
  <c r="T737" i="5"/>
  <c r="U737" i="5"/>
  <c r="V737" i="5"/>
  <c r="W737" i="5"/>
  <c r="X737" i="5"/>
  <c r="B738" i="5"/>
  <c r="C738" i="5"/>
  <c r="D738" i="5"/>
  <c r="E738" i="5"/>
  <c r="F738" i="5"/>
  <c r="G738" i="5"/>
  <c r="H738" i="5"/>
  <c r="I738" i="5"/>
  <c r="J738" i="5"/>
  <c r="K738" i="5"/>
  <c r="L738" i="5"/>
  <c r="M738" i="5"/>
  <c r="N738" i="5"/>
  <c r="O738" i="5"/>
  <c r="AC738" i="5" s="1"/>
  <c r="P738" i="5"/>
  <c r="Q738" i="5"/>
  <c r="R738" i="5"/>
  <c r="S738" i="5"/>
  <c r="T738" i="5"/>
  <c r="U738" i="5"/>
  <c r="V738" i="5"/>
  <c r="W738" i="5"/>
  <c r="X738" i="5"/>
  <c r="B739" i="5"/>
  <c r="C739" i="5"/>
  <c r="D739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X739" i="5"/>
  <c r="AC739" i="5"/>
  <c r="B740" i="5"/>
  <c r="C740" i="5"/>
  <c r="D740" i="5"/>
  <c r="E740" i="5"/>
  <c r="F740" i="5"/>
  <c r="G740" i="5"/>
  <c r="H740" i="5"/>
  <c r="I740" i="5"/>
  <c r="J740" i="5"/>
  <c r="K740" i="5"/>
  <c r="L740" i="5"/>
  <c r="M740" i="5"/>
  <c r="AC740" i="5" s="1"/>
  <c r="N740" i="5"/>
  <c r="O740" i="5"/>
  <c r="P740" i="5"/>
  <c r="Q740" i="5"/>
  <c r="R740" i="5"/>
  <c r="S740" i="5"/>
  <c r="T740" i="5"/>
  <c r="U740" i="5"/>
  <c r="V740" i="5"/>
  <c r="W740" i="5"/>
  <c r="X740" i="5"/>
  <c r="AB740" i="5"/>
  <c r="B741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X741" i="5"/>
  <c r="B742" i="5"/>
  <c r="AB742" i="5" s="1"/>
  <c r="C742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AC742" i="5" s="1"/>
  <c r="P742" i="5"/>
  <c r="Q742" i="5"/>
  <c r="R742" i="5"/>
  <c r="S742" i="5"/>
  <c r="T742" i="5"/>
  <c r="U742" i="5"/>
  <c r="V742" i="5"/>
  <c r="W742" i="5"/>
  <c r="X742" i="5"/>
  <c r="B743" i="5"/>
  <c r="C743" i="5"/>
  <c r="D743" i="5"/>
  <c r="E743" i="5"/>
  <c r="F743" i="5"/>
  <c r="G743" i="5"/>
  <c r="H743" i="5"/>
  <c r="I743" i="5"/>
  <c r="J743" i="5"/>
  <c r="K743" i="5"/>
  <c r="L743" i="5"/>
  <c r="M743" i="5"/>
  <c r="N743" i="5"/>
  <c r="AC743" i="5" s="1"/>
  <c r="O743" i="5"/>
  <c r="P743" i="5"/>
  <c r="Q743" i="5"/>
  <c r="R743" i="5"/>
  <c r="S743" i="5"/>
  <c r="T743" i="5"/>
  <c r="U743" i="5"/>
  <c r="V743" i="5"/>
  <c r="W743" i="5"/>
  <c r="X743" i="5"/>
  <c r="B744" i="5"/>
  <c r="C744" i="5"/>
  <c r="D744" i="5"/>
  <c r="E744" i="5"/>
  <c r="F744" i="5"/>
  <c r="G744" i="5"/>
  <c r="H744" i="5"/>
  <c r="I744" i="5"/>
  <c r="J744" i="5"/>
  <c r="K744" i="5"/>
  <c r="L744" i="5"/>
  <c r="M744" i="5"/>
  <c r="AC744" i="5" s="1"/>
  <c r="N744" i="5"/>
  <c r="O744" i="5"/>
  <c r="P744" i="5"/>
  <c r="Q744" i="5"/>
  <c r="R744" i="5"/>
  <c r="S744" i="5"/>
  <c r="T744" i="5"/>
  <c r="U744" i="5"/>
  <c r="V744" i="5"/>
  <c r="W744" i="5"/>
  <c r="X744" i="5"/>
  <c r="AB744" i="5"/>
  <c r="B745" i="5"/>
  <c r="C745" i="5"/>
  <c r="AB745" i="5" s="1"/>
  <c r="D745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X745" i="5"/>
  <c r="B746" i="5"/>
  <c r="C746" i="5"/>
  <c r="D746" i="5"/>
  <c r="E746" i="5"/>
  <c r="F746" i="5"/>
  <c r="G746" i="5"/>
  <c r="H746" i="5"/>
  <c r="I746" i="5"/>
  <c r="J746" i="5"/>
  <c r="K746" i="5"/>
  <c r="L746" i="5"/>
  <c r="M746" i="5"/>
  <c r="N746" i="5"/>
  <c r="O746" i="5"/>
  <c r="AC746" i="5" s="1"/>
  <c r="P746" i="5"/>
  <c r="Q746" i="5"/>
  <c r="R746" i="5"/>
  <c r="S746" i="5"/>
  <c r="T746" i="5"/>
  <c r="U746" i="5"/>
  <c r="V746" i="5"/>
  <c r="W746" i="5"/>
  <c r="X746" i="5"/>
  <c r="B747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X747" i="5"/>
  <c r="AC747" i="5"/>
  <c r="B748" i="5"/>
  <c r="C748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X748" i="5"/>
  <c r="AB748" i="5"/>
  <c r="B749" i="5"/>
  <c r="C749" i="5"/>
  <c r="D749" i="5"/>
  <c r="E749" i="5"/>
  <c r="F749" i="5"/>
  <c r="G749" i="5"/>
  <c r="H749" i="5"/>
  <c r="I749" i="5"/>
  <c r="J749" i="5"/>
  <c r="K749" i="5"/>
  <c r="L749" i="5"/>
  <c r="M749" i="5"/>
  <c r="N749" i="5"/>
  <c r="O749" i="5"/>
  <c r="P749" i="5"/>
  <c r="Q749" i="5"/>
  <c r="R749" i="5"/>
  <c r="S749" i="5"/>
  <c r="T749" i="5"/>
  <c r="U749" i="5"/>
  <c r="V749" i="5"/>
  <c r="W749" i="5"/>
  <c r="X749" i="5"/>
  <c r="B750" i="5"/>
  <c r="C750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X750" i="5"/>
  <c r="AC750" i="5"/>
  <c r="B751" i="5"/>
  <c r="C751" i="5"/>
  <c r="D751" i="5"/>
  <c r="E751" i="5"/>
  <c r="F751" i="5"/>
  <c r="G751" i="5"/>
  <c r="H751" i="5"/>
  <c r="I751" i="5"/>
  <c r="J751" i="5"/>
  <c r="K751" i="5"/>
  <c r="L751" i="5"/>
  <c r="M751" i="5"/>
  <c r="AC751" i="5" s="1"/>
  <c r="N751" i="5"/>
  <c r="O751" i="5"/>
  <c r="P751" i="5"/>
  <c r="Q751" i="5"/>
  <c r="R751" i="5"/>
  <c r="S751" i="5"/>
  <c r="T751" i="5"/>
  <c r="U751" i="5"/>
  <c r="V751" i="5"/>
  <c r="W751" i="5"/>
  <c r="X751" i="5"/>
  <c r="AB751" i="5"/>
  <c r="B752" i="5"/>
  <c r="C752" i="5"/>
  <c r="D752" i="5"/>
  <c r="AB752" i="5" s="1"/>
  <c r="E752" i="5"/>
  <c r="F752" i="5"/>
  <c r="G752" i="5"/>
  <c r="H752" i="5"/>
  <c r="I752" i="5"/>
  <c r="J752" i="5"/>
  <c r="K752" i="5"/>
  <c r="L752" i="5"/>
  <c r="M752" i="5"/>
  <c r="N752" i="5"/>
  <c r="O752" i="5"/>
  <c r="P752" i="5"/>
  <c r="Q752" i="5"/>
  <c r="R752" i="5"/>
  <c r="S752" i="5"/>
  <c r="T752" i="5"/>
  <c r="U752" i="5"/>
  <c r="V752" i="5"/>
  <c r="W752" i="5"/>
  <c r="X752" i="5"/>
  <c r="B753" i="5"/>
  <c r="C753" i="5"/>
  <c r="D753" i="5"/>
  <c r="E753" i="5"/>
  <c r="F753" i="5"/>
  <c r="G753" i="5"/>
  <c r="H753" i="5"/>
  <c r="I753" i="5"/>
  <c r="J753" i="5"/>
  <c r="K753" i="5"/>
  <c r="L753" i="5"/>
  <c r="M753" i="5"/>
  <c r="N753" i="5"/>
  <c r="O753" i="5"/>
  <c r="P753" i="5"/>
  <c r="Q753" i="5"/>
  <c r="R753" i="5"/>
  <c r="S753" i="5"/>
  <c r="T753" i="5"/>
  <c r="U753" i="5"/>
  <c r="V753" i="5"/>
  <c r="W753" i="5"/>
  <c r="X753" i="5"/>
  <c r="B754" i="5"/>
  <c r="C754" i="5"/>
  <c r="D754" i="5"/>
  <c r="E754" i="5"/>
  <c r="F754" i="5"/>
  <c r="G754" i="5"/>
  <c r="H754" i="5"/>
  <c r="I754" i="5"/>
  <c r="J754" i="5"/>
  <c r="K754" i="5"/>
  <c r="L754" i="5"/>
  <c r="M754" i="5"/>
  <c r="N754" i="5"/>
  <c r="O754" i="5"/>
  <c r="P754" i="5"/>
  <c r="Q754" i="5"/>
  <c r="R754" i="5"/>
  <c r="S754" i="5"/>
  <c r="T754" i="5"/>
  <c r="U754" i="5"/>
  <c r="V754" i="5"/>
  <c r="W754" i="5"/>
  <c r="X754" i="5"/>
  <c r="AC754" i="5"/>
  <c r="B755" i="5"/>
  <c r="C755" i="5"/>
  <c r="D755" i="5"/>
  <c r="E755" i="5"/>
  <c r="F755" i="5"/>
  <c r="G755" i="5"/>
  <c r="H755" i="5"/>
  <c r="I755" i="5"/>
  <c r="J755" i="5"/>
  <c r="K755" i="5"/>
  <c r="L755" i="5"/>
  <c r="M755" i="5"/>
  <c r="AC755" i="5" s="1"/>
  <c r="N755" i="5"/>
  <c r="O755" i="5"/>
  <c r="P755" i="5"/>
  <c r="Q755" i="5"/>
  <c r="R755" i="5"/>
  <c r="S755" i="5"/>
  <c r="T755" i="5"/>
  <c r="U755" i="5"/>
  <c r="V755" i="5"/>
  <c r="W755" i="5"/>
  <c r="X755" i="5"/>
  <c r="AB755" i="5"/>
  <c r="B756" i="5"/>
  <c r="C756" i="5"/>
  <c r="D756" i="5"/>
  <c r="AB756" i="5" s="1"/>
  <c r="E756" i="5"/>
  <c r="F756" i="5"/>
  <c r="G756" i="5"/>
  <c r="H756" i="5"/>
  <c r="I756" i="5"/>
  <c r="J756" i="5"/>
  <c r="K756" i="5"/>
  <c r="L756" i="5"/>
  <c r="M756" i="5"/>
  <c r="N756" i="5"/>
  <c r="O756" i="5"/>
  <c r="P756" i="5"/>
  <c r="Q756" i="5"/>
  <c r="R756" i="5"/>
  <c r="S756" i="5"/>
  <c r="T756" i="5"/>
  <c r="U756" i="5"/>
  <c r="V756" i="5"/>
  <c r="W756" i="5"/>
  <c r="X756" i="5"/>
  <c r="B757" i="5"/>
  <c r="C757" i="5"/>
  <c r="D757" i="5"/>
  <c r="E757" i="5"/>
  <c r="F757" i="5"/>
  <c r="G757" i="5"/>
  <c r="H757" i="5"/>
  <c r="I757" i="5"/>
  <c r="J757" i="5"/>
  <c r="K757" i="5"/>
  <c r="L757" i="5"/>
  <c r="M757" i="5"/>
  <c r="N757" i="5"/>
  <c r="O757" i="5"/>
  <c r="P757" i="5"/>
  <c r="Q757" i="5"/>
  <c r="R757" i="5"/>
  <c r="S757" i="5"/>
  <c r="T757" i="5"/>
  <c r="U757" i="5"/>
  <c r="V757" i="5"/>
  <c r="W757" i="5"/>
  <c r="X757" i="5"/>
  <c r="B758" i="5"/>
  <c r="C758" i="5"/>
  <c r="D758" i="5"/>
  <c r="E758" i="5"/>
  <c r="F758" i="5"/>
  <c r="G758" i="5"/>
  <c r="H758" i="5"/>
  <c r="I758" i="5"/>
  <c r="J758" i="5"/>
  <c r="K758" i="5"/>
  <c r="L758" i="5"/>
  <c r="M758" i="5"/>
  <c r="N758" i="5"/>
  <c r="O758" i="5"/>
  <c r="P758" i="5"/>
  <c r="Q758" i="5"/>
  <c r="R758" i="5"/>
  <c r="S758" i="5"/>
  <c r="T758" i="5"/>
  <c r="U758" i="5"/>
  <c r="V758" i="5"/>
  <c r="W758" i="5"/>
  <c r="X758" i="5"/>
  <c r="AC758" i="5"/>
  <c r="B759" i="5"/>
  <c r="C759" i="5"/>
  <c r="D759" i="5"/>
  <c r="E759" i="5"/>
  <c r="F759" i="5"/>
  <c r="G759" i="5"/>
  <c r="H759" i="5"/>
  <c r="I759" i="5"/>
  <c r="J759" i="5"/>
  <c r="K759" i="5"/>
  <c r="L759" i="5"/>
  <c r="M759" i="5"/>
  <c r="AC759" i="5" s="1"/>
  <c r="N759" i="5"/>
  <c r="O759" i="5"/>
  <c r="P759" i="5"/>
  <c r="Q759" i="5"/>
  <c r="R759" i="5"/>
  <c r="S759" i="5"/>
  <c r="T759" i="5"/>
  <c r="U759" i="5"/>
  <c r="V759" i="5"/>
  <c r="W759" i="5"/>
  <c r="X759" i="5"/>
  <c r="AB759" i="5"/>
  <c r="B760" i="5"/>
  <c r="C760" i="5"/>
  <c r="D760" i="5"/>
  <c r="AB760" i="5" s="1"/>
  <c r="E760" i="5"/>
  <c r="F760" i="5"/>
  <c r="G760" i="5"/>
  <c r="H760" i="5"/>
  <c r="I760" i="5"/>
  <c r="J760" i="5"/>
  <c r="K760" i="5"/>
  <c r="L760" i="5"/>
  <c r="M760" i="5"/>
  <c r="N760" i="5"/>
  <c r="O760" i="5"/>
  <c r="P760" i="5"/>
  <c r="Q760" i="5"/>
  <c r="R760" i="5"/>
  <c r="S760" i="5"/>
  <c r="T760" i="5"/>
  <c r="U760" i="5"/>
  <c r="V760" i="5"/>
  <c r="W760" i="5"/>
  <c r="X760" i="5"/>
  <c r="B761" i="5"/>
  <c r="C761" i="5"/>
  <c r="D761" i="5"/>
  <c r="E761" i="5"/>
  <c r="F761" i="5"/>
  <c r="G761" i="5"/>
  <c r="H761" i="5"/>
  <c r="I761" i="5"/>
  <c r="J761" i="5"/>
  <c r="K761" i="5"/>
  <c r="L761" i="5"/>
  <c r="M761" i="5"/>
  <c r="N761" i="5"/>
  <c r="O761" i="5"/>
  <c r="P761" i="5"/>
  <c r="Q761" i="5"/>
  <c r="R761" i="5"/>
  <c r="S761" i="5"/>
  <c r="T761" i="5"/>
  <c r="U761" i="5"/>
  <c r="V761" i="5"/>
  <c r="W761" i="5"/>
  <c r="X761" i="5"/>
  <c r="B762" i="5"/>
  <c r="C762" i="5"/>
  <c r="D762" i="5"/>
  <c r="E762" i="5"/>
  <c r="F762" i="5"/>
  <c r="G762" i="5"/>
  <c r="H762" i="5"/>
  <c r="I762" i="5"/>
  <c r="J762" i="5"/>
  <c r="K762" i="5"/>
  <c r="L762" i="5"/>
  <c r="M762" i="5"/>
  <c r="N762" i="5"/>
  <c r="O762" i="5"/>
  <c r="P762" i="5"/>
  <c r="Q762" i="5"/>
  <c r="R762" i="5"/>
  <c r="S762" i="5"/>
  <c r="T762" i="5"/>
  <c r="U762" i="5"/>
  <c r="V762" i="5"/>
  <c r="W762" i="5"/>
  <c r="X762" i="5"/>
  <c r="AC762" i="5"/>
  <c r="B763" i="5"/>
  <c r="C763" i="5"/>
  <c r="D763" i="5"/>
  <c r="E763" i="5"/>
  <c r="F763" i="5"/>
  <c r="G763" i="5"/>
  <c r="H763" i="5"/>
  <c r="I763" i="5"/>
  <c r="J763" i="5"/>
  <c r="K763" i="5"/>
  <c r="L763" i="5"/>
  <c r="M763" i="5"/>
  <c r="AC763" i="5" s="1"/>
  <c r="N763" i="5"/>
  <c r="O763" i="5"/>
  <c r="P763" i="5"/>
  <c r="Q763" i="5"/>
  <c r="R763" i="5"/>
  <c r="S763" i="5"/>
  <c r="T763" i="5"/>
  <c r="U763" i="5"/>
  <c r="V763" i="5"/>
  <c r="W763" i="5"/>
  <c r="X763" i="5"/>
  <c r="AB763" i="5"/>
  <c r="B764" i="5"/>
  <c r="C764" i="5"/>
  <c r="D764" i="5"/>
  <c r="AB764" i="5" s="1"/>
  <c r="E764" i="5"/>
  <c r="F764" i="5"/>
  <c r="G764" i="5"/>
  <c r="H764" i="5"/>
  <c r="I764" i="5"/>
  <c r="J764" i="5"/>
  <c r="K764" i="5"/>
  <c r="L764" i="5"/>
  <c r="M764" i="5"/>
  <c r="N764" i="5"/>
  <c r="O764" i="5"/>
  <c r="P764" i="5"/>
  <c r="Q764" i="5"/>
  <c r="R764" i="5"/>
  <c r="S764" i="5"/>
  <c r="T764" i="5"/>
  <c r="U764" i="5"/>
  <c r="V764" i="5"/>
  <c r="W764" i="5"/>
  <c r="X764" i="5"/>
  <c r="B765" i="5"/>
  <c r="C765" i="5"/>
  <c r="D765" i="5"/>
  <c r="E765" i="5"/>
  <c r="F765" i="5"/>
  <c r="G765" i="5"/>
  <c r="H765" i="5"/>
  <c r="I765" i="5"/>
  <c r="J765" i="5"/>
  <c r="K765" i="5"/>
  <c r="L765" i="5"/>
  <c r="M765" i="5"/>
  <c r="N765" i="5"/>
  <c r="O765" i="5"/>
  <c r="P765" i="5"/>
  <c r="Q765" i="5"/>
  <c r="R765" i="5"/>
  <c r="S765" i="5"/>
  <c r="T765" i="5"/>
  <c r="U765" i="5"/>
  <c r="V765" i="5"/>
  <c r="W765" i="5"/>
  <c r="X765" i="5"/>
  <c r="B766" i="5"/>
  <c r="C766" i="5"/>
  <c r="D766" i="5"/>
  <c r="E766" i="5"/>
  <c r="F766" i="5"/>
  <c r="G766" i="5"/>
  <c r="H766" i="5"/>
  <c r="I766" i="5"/>
  <c r="J766" i="5"/>
  <c r="K766" i="5"/>
  <c r="L766" i="5"/>
  <c r="M766" i="5"/>
  <c r="N766" i="5"/>
  <c r="O766" i="5"/>
  <c r="P766" i="5"/>
  <c r="Q766" i="5"/>
  <c r="R766" i="5"/>
  <c r="S766" i="5"/>
  <c r="T766" i="5"/>
  <c r="U766" i="5"/>
  <c r="V766" i="5"/>
  <c r="W766" i="5"/>
  <c r="X766" i="5"/>
  <c r="AC766" i="5"/>
  <c r="B767" i="5"/>
  <c r="C767" i="5"/>
  <c r="D767" i="5"/>
  <c r="E767" i="5"/>
  <c r="F767" i="5"/>
  <c r="G767" i="5"/>
  <c r="H767" i="5"/>
  <c r="I767" i="5"/>
  <c r="J767" i="5"/>
  <c r="K767" i="5"/>
  <c r="L767" i="5"/>
  <c r="M767" i="5"/>
  <c r="AC767" i="5" s="1"/>
  <c r="N767" i="5"/>
  <c r="O767" i="5"/>
  <c r="P767" i="5"/>
  <c r="Q767" i="5"/>
  <c r="R767" i="5"/>
  <c r="S767" i="5"/>
  <c r="T767" i="5"/>
  <c r="U767" i="5"/>
  <c r="V767" i="5"/>
  <c r="W767" i="5"/>
  <c r="X767" i="5"/>
  <c r="AB767" i="5"/>
  <c r="B768" i="5"/>
  <c r="C768" i="5"/>
  <c r="D768" i="5"/>
  <c r="AB768" i="5" s="1"/>
  <c r="E768" i="5"/>
  <c r="F768" i="5"/>
  <c r="G768" i="5"/>
  <c r="H768" i="5"/>
  <c r="I768" i="5"/>
  <c r="J768" i="5"/>
  <c r="K768" i="5"/>
  <c r="L768" i="5"/>
  <c r="M768" i="5"/>
  <c r="N768" i="5"/>
  <c r="O768" i="5"/>
  <c r="P768" i="5"/>
  <c r="Q768" i="5"/>
  <c r="R768" i="5"/>
  <c r="S768" i="5"/>
  <c r="T768" i="5"/>
  <c r="U768" i="5"/>
  <c r="V768" i="5"/>
  <c r="W768" i="5"/>
  <c r="X768" i="5"/>
  <c r="B769" i="5"/>
  <c r="C769" i="5"/>
  <c r="D769" i="5"/>
  <c r="E769" i="5"/>
  <c r="F769" i="5"/>
  <c r="G769" i="5"/>
  <c r="H769" i="5"/>
  <c r="I769" i="5"/>
  <c r="J769" i="5"/>
  <c r="K769" i="5"/>
  <c r="L769" i="5"/>
  <c r="M769" i="5"/>
  <c r="N769" i="5"/>
  <c r="O769" i="5"/>
  <c r="P769" i="5"/>
  <c r="Q769" i="5"/>
  <c r="R769" i="5"/>
  <c r="S769" i="5"/>
  <c r="T769" i="5"/>
  <c r="U769" i="5"/>
  <c r="V769" i="5"/>
  <c r="W769" i="5"/>
  <c r="X769" i="5"/>
  <c r="B770" i="5"/>
  <c r="C770" i="5"/>
  <c r="D770" i="5"/>
  <c r="E770" i="5"/>
  <c r="F770" i="5"/>
  <c r="G770" i="5"/>
  <c r="H770" i="5"/>
  <c r="I770" i="5"/>
  <c r="J770" i="5"/>
  <c r="K770" i="5"/>
  <c r="L770" i="5"/>
  <c r="M770" i="5"/>
  <c r="N770" i="5"/>
  <c r="O770" i="5"/>
  <c r="P770" i="5"/>
  <c r="Q770" i="5"/>
  <c r="R770" i="5"/>
  <c r="S770" i="5"/>
  <c r="T770" i="5"/>
  <c r="U770" i="5"/>
  <c r="V770" i="5"/>
  <c r="W770" i="5"/>
  <c r="X770" i="5"/>
  <c r="AC770" i="5"/>
  <c r="B771" i="5"/>
  <c r="C771" i="5"/>
  <c r="D771" i="5"/>
  <c r="E771" i="5"/>
  <c r="F771" i="5"/>
  <c r="G771" i="5"/>
  <c r="H771" i="5"/>
  <c r="I771" i="5"/>
  <c r="J771" i="5"/>
  <c r="K771" i="5"/>
  <c r="L771" i="5"/>
  <c r="M771" i="5"/>
  <c r="AC771" i="5" s="1"/>
  <c r="N771" i="5"/>
  <c r="O771" i="5"/>
  <c r="P771" i="5"/>
  <c r="Q771" i="5"/>
  <c r="R771" i="5"/>
  <c r="S771" i="5"/>
  <c r="T771" i="5"/>
  <c r="U771" i="5"/>
  <c r="V771" i="5"/>
  <c r="W771" i="5"/>
  <c r="X771" i="5"/>
  <c r="AB771" i="5"/>
  <c r="B772" i="5"/>
  <c r="C772" i="5"/>
  <c r="D772" i="5"/>
  <c r="AB772" i="5" s="1"/>
  <c r="E772" i="5"/>
  <c r="F772" i="5"/>
  <c r="G772" i="5"/>
  <c r="H772" i="5"/>
  <c r="I772" i="5"/>
  <c r="J772" i="5"/>
  <c r="K772" i="5"/>
  <c r="L772" i="5"/>
  <c r="M772" i="5"/>
  <c r="N772" i="5"/>
  <c r="O772" i="5"/>
  <c r="P772" i="5"/>
  <c r="Q772" i="5"/>
  <c r="R772" i="5"/>
  <c r="S772" i="5"/>
  <c r="T772" i="5"/>
  <c r="U772" i="5"/>
  <c r="V772" i="5"/>
  <c r="W772" i="5"/>
  <c r="X772" i="5"/>
  <c r="B773" i="5"/>
  <c r="C773" i="5"/>
  <c r="D773" i="5"/>
  <c r="E773" i="5"/>
  <c r="F773" i="5"/>
  <c r="G773" i="5"/>
  <c r="H773" i="5"/>
  <c r="I773" i="5"/>
  <c r="J773" i="5"/>
  <c r="K773" i="5"/>
  <c r="L773" i="5"/>
  <c r="M773" i="5"/>
  <c r="N773" i="5"/>
  <c r="O773" i="5"/>
  <c r="P773" i="5"/>
  <c r="Q773" i="5"/>
  <c r="R773" i="5"/>
  <c r="S773" i="5"/>
  <c r="T773" i="5"/>
  <c r="U773" i="5"/>
  <c r="V773" i="5"/>
  <c r="W773" i="5"/>
  <c r="X773" i="5"/>
  <c r="B774" i="5"/>
  <c r="C774" i="5"/>
  <c r="D774" i="5"/>
  <c r="E774" i="5"/>
  <c r="F774" i="5"/>
  <c r="G774" i="5"/>
  <c r="H774" i="5"/>
  <c r="I774" i="5"/>
  <c r="J774" i="5"/>
  <c r="K774" i="5"/>
  <c r="L774" i="5"/>
  <c r="M774" i="5"/>
  <c r="N774" i="5"/>
  <c r="O774" i="5"/>
  <c r="P774" i="5"/>
  <c r="Q774" i="5"/>
  <c r="R774" i="5"/>
  <c r="S774" i="5"/>
  <c r="T774" i="5"/>
  <c r="U774" i="5"/>
  <c r="V774" i="5"/>
  <c r="W774" i="5"/>
  <c r="X774" i="5"/>
  <c r="AC774" i="5"/>
  <c r="B775" i="5"/>
  <c r="C775" i="5"/>
  <c r="D775" i="5"/>
  <c r="E775" i="5"/>
  <c r="F775" i="5"/>
  <c r="G775" i="5"/>
  <c r="H775" i="5"/>
  <c r="I775" i="5"/>
  <c r="J775" i="5"/>
  <c r="K775" i="5"/>
  <c r="L775" i="5"/>
  <c r="M775" i="5"/>
  <c r="AC775" i="5" s="1"/>
  <c r="N775" i="5"/>
  <c r="O775" i="5"/>
  <c r="P775" i="5"/>
  <c r="Q775" i="5"/>
  <c r="R775" i="5"/>
  <c r="S775" i="5"/>
  <c r="T775" i="5"/>
  <c r="U775" i="5"/>
  <c r="V775" i="5"/>
  <c r="W775" i="5"/>
  <c r="X775" i="5"/>
  <c r="AB775" i="5"/>
  <c r="B776" i="5"/>
  <c r="C776" i="5"/>
  <c r="D776" i="5"/>
  <c r="AB776" i="5" s="1"/>
  <c r="E776" i="5"/>
  <c r="F776" i="5"/>
  <c r="G776" i="5"/>
  <c r="H776" i="5"/>
  <c r="I776" i="5"/>
  <c r="J776" i="5"/>
  <c r="K776" i="5"/>
  <c r="L776" i="5"/>
  <c r="M776" i="5"/>
  <c r="N776" i="5"/>
  <c r="O776" i="5"/>
  <c r="P776" i="5"/>
  <c r="Q776" i="5"/>
  <c r="R776" i="5"/>
  <c r="S776" i="5"/>
  <c r="T776" i="5"/>
  <c r="U776" i="5"/>
  <c r="V776" i="5"/>
  <c r="W776" i="5"/>
  <c r="X776" i="5"/>
  <c r="B777" i="5"/>
  <c r="C777" i="5"/>
  <c r="D777" i="5"/>
  <c r="E777" i="5"/>
  <c r="F777" i="5"/>
  <c r="G777" i="5"/>
  <c r="H777" i="5"/>
  <c r="I777" i="5"/>
  <c r="J777" i="5"/>
  <c r="K777" i="5"/>
  <c r="L777" i="5"/>
  <c r="M777" i="5"/>
  <c r="N777" i="5"/>
  <c r="O777" i="5"/>
  <c r="P777" i="5"/>
  <c r="Q777" i="5"/>
  <c r="R777" i="5"/>
  <c r="S777" i="5"/>
  <c r="T777" i="5"/>
  <c r="U777" i="5"/>
  <c r="V777" i="5"/>
  <c r="W777" i="5"/>
  <c r="X777" i="5"/>
  <c r="B778" i="5"/>
  <c r="C778" i="5"/>
  <c r="D778" i="5"/>
  <c r="E778" i="5"/>
  <c r="F778" i="5"/>
  <c r="G778" i="5"/>
  <c r="H778" i="5"/>
  <c r="I778" i="5"/>
  <c r="J778" i="5"/>
  <c r="K778" i="5"/>
  <c r="L778" i="5"/>
  <c r="M778" i="5"/>
  <c r="N778" i="5"/>
  <c r="O778" i="5"/>
  <c r="P778" i="5"/>
  <c r="Q778" i="5"/>
  <c r="R778" i="5"/>
  <c r="S778" i="5"/>
  <c r="T778" i="5"/>
  <c r="U778" i="5"/>
  <c r="V778" i="5"/>
  <c r="W778" i="5"/>
  <c r="X778" i="5"/>
  <c r="AC778" i="5"/>
  <c r="B779" i="5"/>
  <c r="C779" i="5"/>
  <c r="D779" i="5"/>
  <c r="E779" i="5"/>
  <c r="F779" i="5"/>
  <c r="G779" i="5"/>
  <c r="H779" i="5"/>
  <c r="I779" i="5"/>
  <c r="J779" i="5"/>
  <c r="K779" i="5"/>
  <c r="L779" i="5"/>
  <c r="M779" i="5"/>
  <c r="AC779" i="5" s="1"/>
  <c r="N779" i="5"/>
  <c r="O779" i="5"/>
  <c r="P779" i="5"/>
  <c r="Q779" i="5"/>
  <c r="R779" i="5"/>
  <c r="S779" i="5"/>
  <c r="T779" i="5"/>
  <c r="U779" i="5"/>
  <c r="V779" i="5"/>
  <c r="W779" i="5"/>
  <c r="X779" i="5"/>
  <c r="AB779" i="5"/>
  <c r="B780" i="5"/>
  <c r="C780" i="5"/>
  <c r="D780" i="5"/>
  <c r="AB780" i="5" s="1"/>
  <c r="E780" i="5"/>
  <c r="F780" i="5"/>
  <c r="G780" i="5"/>
  <c r="H780" i="5"/>
  <c r="I780" i="5"/>
  <c r="J780" i="5"/>
  <c r="K780" i="5"/>
  <c r="L780" i="5"/>
  <c r="M780" i="5"/>
  <c r="N780" i="5"/>
  <c r="O780" i="5"/>
  <c r="P780" i="5"/>
  <c r="Q780" i="5"/>
  <c r="R780" i="5"/>
  <c r="S780" i="5"/>
  <c r="T780" i="5"/>
  <c r="U780" i="5"/>
  <c r="V780" i="5"/>
  <c r="W780" i="5"/>
  <c r="X780" i="5"/>
  <c r="B781" i="5"/>
  <c r="C781" i="5"/>
  <c r="D781" i="5"/>
  <c r="E781" i="5"/>
  <c r="F781" i="5"/>
  <c r="G781" i="5"/>
  <c r="H781" i="5"/>
  <c r="I781" i="5"/>
  <c r="J781" i="5"/>
  <c r="K781" i="5"/>
  <c r="L781" i="5"/>
  <c r="M781" i="5"/>
  <c r="N781" i="5"/>
  <c r="O781" i="5"/>
  <c r="P781" i="5"/>
  <c r="Q781" i="5"/>
  <c r="R781" i="5"/>
  <c r="S781" i="5"/>
  <c r="T781" i="5"/>
  <c r="U781" i="5"/>
  <c r="V781" i="5"/>
  <c r="W781" i="5"/>
  <c r="X781" i="5"/>
  <c r="B782" i="5"/>
  <c r="C782" i="5"/>
  <c r="D782" i="5"/>
  <c r="E782" i="5"/>
  <c r="F782" i="5"/>
  <c r="G782" i="5"/>
  <c r="H782" i="5"/>
  <c r="I782" i="5"/>
  <c r="J782" i="5"/>
  <c r="K782" i="5"/>
  <c r="L782" i="5"/>
  <c r="M782" i="5"/>
  <c r="N782" i="5"/>
  <c r="O782" i="5"/>
  <c r="P782" i="5"/>
  <c r="Q782" i="5"/>
  <c r="R782" i="5"/>
  <c r="S782" i="5"/>
  <c r="T782" i="5"/>
  <c r="U782" i="5"/>
  <c r="V782" i="5"/>
  <c r="W782" i="5"/>
  <c r="X782" i="5"/>
  <c r="AC782" i="5"/>
  <c r="B783" i="5"/>
  <c r="C783" i="5"/>
  <c r="D783" i="5"/>
  <c r="E783" i="5"/>
  <c r="F783" i="5"/>
  <c r="G783" i="5"/>
  <c r="H783" i="5"/>
  <c r="I783" i="5"/>
  <c r="J783" i="5"/>
  <c r="K783" i="5"/>
  <c r="L783" i="5"/>
  <c r="M783" i="5"/>
  <c r="AC783" i="5" s="1"/>
  <c r="N783" i="5"/>
  <c r="O783" i="5"/>
  <c r="P783" i="5"/>
  <c r="Q783" i="5"/>
  <c r="R783" i="5"/>
  <c r="S783" i="5"/>
  <c r="T783" i="5"/>
  <c r="U783" i="5"/>
  <c r="V783" i="5"/>
  <c r="W783" i="5"/>
  <c r="X783" i="5"/>
  <c r="AB783" i="5"/>
  <c r="B784" i="5"/>
  <c r="C784" i="5"/>
  <c r="D784" i="5"/>
  <c r="AB784" i="5" s="1"/>
  <c r="E784" i="5"/>
  <c r="F784" i="5"/>
  <c r="G784" i="5"/>
  <c r="H784" i="5"/>
  <c r="I784" i="5"/>
  <c r="J784" i="5"/>
  <c r="K784" i="5"/>
  <c r="L784" i="5"/>
  <c r="M784" i="5"/>
  <c r="N784" i="5"/>
  <c r="O784" i="5"/>
  <c r="P784" i="5"/>
  <c r="Q784" i="5"/>
  <c r="R784" i="5"/>
  <c r="S784" i="5"/>
  <c r="T784" i="5"/>
  <c r="U784" i="5"/>
  <c r="V784" i="5"/>
  <c r="W784" i="5"/>
  <c r="X784" i="5"/>
  <c r="B785" i="5"/>
  <c r="C785" i="5"/>
  <c r="D785" i="5"/>
  <c r="E785" i="5"/>
  <c r="F785" i="5"/>
  <c r="G785" i="5"/>
  <c r="H785" i="5"/>
  <c r="I785" i="5"/>
  <c r="J785" i="5"/>
  <c r="K785" i="5"/>
  <c r="L785" i="5"/>
  <c r="M785" i="5"/>
  <c r="N785" i="5"/>
  <c r="O785" i="5"/>
  <c r="P785" i="5"/>
  <c r="Q785" i="5"/>
  <c r="R785" i="5"/>
  <c r="S785" i="5"/>
  <c r="T785" i="5"/>
  <c r="U785" i="5"/>
  <c r="V785" i="5"/>
  <c r="W785" i="5"/>
  <c r="X785" i="5"/>
  <c r="B786" i="5"/>
  <c r="C786" i="5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X786" i="5"/>
  <c r="AC786" i="5"/>
  <c r="B787" i="5"/>
  <c r="C787" i="5"/>
  <c r="D787" i="5"/>
  <c r="E787" i="5"/>
  <c r="F787" i="5"/>
  <c r="G787" i="5"/>
  <c r="H787" i="5"/>
  <c r="I787" i="5"/>
  <c r="J787" i="5"/>
  <c r="K787" i="5"/>
  <c r="L787" i="5"/>
  <c r="M787" i="5"/>
  <c r="AC787" i="5" s="1"/>
  <c r="N787" i="5"/>
  <c r="O787" i="5"/>
  <c r="P787" i="5"/>
  <c r="Q787" i="5"/>
  <c r="R787" i="5"/>
  <c r="S787" i="5"/>
  <c r="T787" i="5"/>
  <c r="U787" i="5"/>
  <c r="V787" i="5"/>
  <c r="W787" i="5"/>
  <c r="X787" i="5"/>
  <c r="AB787" i="5"/>
  <c r="B788" i="5"/>
  <c r="C788" i="5"/>
  <c r="D788" i="5"/>
  <c r="AB788" i="5" s="1"/>
  <c r="E788" i="5"/>
  <c r="F788" i="5"/>
  <c r="G788" i="5"/>
  <c r="H788" i="5"/>
  <c r="I788" i="5"/>
  <c r="J788" i="5"/>
  <c r="K788" i="5"/>
  <c r="L788" i="5"/>
  <c r="M788" i="5"/>
  <c r="N788" i="5"/>
  <c r="O788" i="5"/>
  <c r="P788" i="5"/>
  <c r="Q788" i="5"/>
  <c r="R788" i="5"/>
  <c r="S788" i="5"/>
  <c r="T788" i="5"/>
  <c r="U788" i="5"/>
  <c r="V788" i="5"/>
  <c r="W788" i="5"/>
  <c r="X788" i="5"/>
  <c r="B789" i="5"/>
  <c r="C789" i="5"/>
  <c r="D78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X789" i="5"/>
  <c r="B790" i="5"/>
  <c r="C790" i="5"/>
  <c r="D790" i="5"/>
  <c r="E790" i="5"/>
  <c r="F790" i="5"/>
  <c r="G790" i="5"/>
  <c r="H790" i="5"/>
  <c r="I790" i="5"/>
  <c r="J790" i="5"/>
  <c r="K790" i="5"/>
  <c r="L790" i="5"/>
  <c r="M790" i="5"/>
  <c r="N790" i="5"/>
  <c r="O790" i="5"/>
  <c r="P790" i="5"/>
  <c r="Q790" i="5"/>
  <c r="R790" i="5"/>
  <c r="S790" i="5"/>
  <c r="T790" i="5"/>
  <c r="U790" i="5"/>
  <c r="V790" i="5"/>
  <c r="W790" i="5"/>
  <c r="X790" i="5"/>
  <c r="AC790" i="5"/>
  <c r="B791" i="5"/>
  <c r="C791" i="5"/>
  <c r="D791" i="5"/>
  <c r="E791" i="5"/>
  <c r="F791" i="5"/>
  <c r="G791" i="5"/>
  <c r="H791" i="5"/>
  <c r="I791" i="5"/>
  <c r="J791" i="5"/>
  <c r="K791" i="5"/>
  <c r="L791" i="5"/>
  <c r="M791" i="5"/>
  <c r="AC791" i="5" s="1"/>
  <c r="N791" i="5"/>
  <c r="O791" i="5"/>
  <c r="P791" i="5"/>
  <c r="Q791" i="5"/>
  <c r="R791" i="5"/>
  <c r="S791" i="5"/>
  <c r="T791" i="5"/>
  <c r="U791" i="5"/>
  <c r="V791" i="5"/>
  <c r="W791" i="5"/>
  <c r="X791" i="5"/>
  <c r="AB791" i="5"/>
  <c r="B792" i="5"/>
  <c r="C792" i="5"/>
  <c r="D792" i="5"/>
  <c r="AB792" i="5" s="1"/>
  <c r="E792" i="5"/>
  <c r="F792" i="5"/>
  <c r="G792" i="5"/>
  <c r="H792" i="5"/>
  <c r="I792" i="5"/>
  <c r="J792" i="5"/>
  <c r="K792" i="5"/>
  <c r="L792" i="5"/>
  <c r="M792" i="5"/>
  <c r="N792" i="5"/>
  <c r="O792" i="5"/>
  <c r="P792" i="5"/>
  <c r="Q792" i="5"/>
  <c r="R792" i="5"/>
  <c r="S792" i="5"/>
  <c r="T792" i="5"/>
  <c r="U792" i="5"/>
  <c r="V792" i="5"/>
  <c r="W792" i="5"/>
  <c r="X792" i="5"/>
  <c r="B793" i="5"/>
  <c r="C793" i="5"/>
  <c r="D793" i="5"/>
  <c r="E793" i="5"/>
  <c r="F793" i="5"/>
  <c r="G793" i="5"/>
  <c r="H793" i="5"/>
  <c r="I793" i="5"/>
  <c r="J793" i="5"/>
  <c r="K793" i="5"/>
  <c r="L793" i="5"/>
  <c r="M793" i="5"/>
  <c r="N793" i="5"/>
  <c r="O793" i="5"/>
  <c r="P793" i="5"/>
  <c r="Q793" i="5"/>
  <c r="R793" i="5"/>
  <c r="S793" i="5"/>
  <c r="T793" i="5"/>
  <c r="U793" i="5"/>
  <c r="V793" i="5"/>
  <c r="W793" i="5"/>
  <c r="X793" i="5"/>
  <c r="B794" i="5"/>
  <c r="C794" i="5"/>
  <c r="D794" i="5"/>
  <c r="E794" i="5"/>
  <c r="F794" i="5"/>
  <c r="G794" i="5"/>
  <c r="H794" i="5"/>
  <c r="I794" i="5"/>
  <c r="J794" i="5"/>
  <c r="K794" i="5"/>
  <c r="L794" i="5"/>
  <c r="M794" i="5"/>
  <c r="N794" i="5"/>
  <c r="O794" i="5"/>
  <c r="P794" i="5"/>
  <c r="Q794" i="5"/>
  <c r="R794" i="5"/>
  <c r="S794" i="5"/>
  <c r="T794" i="5"/>
  <c r="U794" i="5"/>
  <c r="V794" i="5"/>
  <c r="W794" i="5"/>
  <c r="X794" i="5"/>
  <c r="AC794" i="5"/>
  <c r="B795" i="5"/>
  <c r="C795" i="5"/>
  <c r="D795" i="5"/>
  <c r="E795" i="5"/>
  <c r="F795" i="5"/>
  <c r="G795" i="5"/>
  <c r="H795" i="5"/>
  <c r="I795" i="5"/>
  <c r="J795" i="5"/>
  <c r="K795" i="5"/>
  <c r="L795" i="5"/>
  <c r="M795" i="5"/>
  <c r="AC795" i="5" s="1"/>
  <c r="N795" i="5"/>
  <c r="O795" i="5"/>
  <c r="P795" i="5"/>
  <c r="Q795" i="5"/>
  <c r="R795" i="5"/>
  <c r="S795" i="5"/>
  <c r="T795" i="5"/>
  <c r="U795" i="5"/>
  <c r="V795" i="5"/>
  <c r="W795" i="5"/>
  <c r="X795" i="5"/>
  <c r="AB795" i="5"/>
  <c r="B796" i="5"/>
  <c r="C796" i="5"/>
  <c r="D796" i="5"/>
  <c r="AB796" i="5" s="1"/>
  <c r="E796" i="5"/>
  <c r="F796" i="5"/>
  <c r="G796" i="5"/>
  <c r="H796" i="5"/>
  <c r="I796" i="5"/>
  <c r="J796" i="5"/>
  <c r="K796" i="5"/>
  <c r="L796" i="5"/>
  <c r="M796" i="5"/>
  <c r="N796" i="5"/>
  <c r="O796" i="5"/>
  <c r="P796" i="5"/>
  <c r="Q796" i="5"/>
  <c r="R796" i="5"/>
  <c r="S796" i="5"/>
  <c r="T796" i="5"/>
  <c r="U796" i="5"/>
  <c r="V796" i="5"/>
  <c r="W796" i="5"/>
  <c r="X796" i="5"/>
  <c r="B797" i="5"/>
  <c r="C797" i="5"/>
  <c r="D797" i="5"/>
  <c r="E797" i="5"/>
  <c r="F797" i="5"/>
  <c r="G797" i="5"/>
  <c r="H797" i="5"/>
  <c r="I797" i="5"/>
  <c r="J797" i="5"/>
  <c r="K797" i="5"/>
  <c r="L797" i="5"/>
  <c r="M797" i="5"/>
  <c r="N797" i="5"/>
  <c r="O797" i="5"/>
  <c r="P797" i="5"/>
  <c r="Q797" i="5"/>
  <c r="R797" i="5"/>
  <c r="S797" i="5"/>
  <c r="T797" i="5"/>
  <c r="U797" i="5"/>
  <c r="V797" i="5"/>
  <c r="W797" i="5"/>
  <c r="X797" i="5"/>
  <c r="B798" i="5"/>
  <c r="C798" i="5"/>
  <c r="D798" i="5"/>
  <c r="E798" i="5"/>
  <c r="F798" i="5"/>
  <c r="G798" i="5"/>
  <c r="H798" i="5"/>
  <c r="I798" i="5"/>
  <c r="J798" i="5"/>
  <c r="K798" i="5"/>
  <c r="L798" i="5"/>
  <c r="M798" i="5"/>
  <c r="N798" i="5"/>
  <c r="O798" i="5"/>
  <c r="P798" i="5"/>
  <c r="Q798" i="5"/>
  <c r="R798" i="5"/>
  <c r="S798" i="5"/>
  <c r="T798" i="5"/>
  <c r="U798" i="5"/>
  <c r="V798" i="5"/>
  <c r="W798" i="5"/>
  <c r="X798" i="5"/>
  <c r="AC798" i="5"/>
  <c r="B799" i="5"/>
  <c r="C799" i="5"/>
  <c r="D799" i="5"/>
  <c r="E799" i="5"/>
  <c r="F799" i="5"/>
  <c r="G799" i="5"/>
  <c r="H799" i="5"/>
  <c r="I799" i="5"/>
  <c r="J799" i="5"/>
  <c r="K799" i="5"/>
  <c r="L799" i="5"/>
  <c r="M799" i="5"/>
  <c r="AC799" i="5" s="1"/>
  <c r="N799" i="5"/>
  <c r="O799" i="5"/>
  <c r="P799" i="5"/>
  <c r="Q799" i="5"/>
  <c r="R799" i="5"/>
  <c r="S799" i="5"/>
  <c r="T799" i="5"/>
  <c r="U799" i="5"/>
  <c r="V799" i="5"/>
  <c r="W799" i="5"/>
  <c r="X799" i="5"/>
  <c r="AB799" i="5"/>
  <c r="B800" i="5"/>
  <c r="C800" i="5"/>
  <c r="D800" i="5"/>
  <c r="AB800" i="5" s="1"/>
  <c r="E800" i="5"/>
  <c r="F800" i="5"/>
  <c r="G800" i="5"/>
  <c r="H800" i="5"/>
  <c r="I800" i="5"/>
  <c r="J800" i="5"/>
  <c r="K800" i="5"/>
  <c r="L800" i="5"/>
  <c r="M800" i="5"/>
  <c r="N800" i="5"/>
  <c r="O800" i="5"/>
  <c r="P800" i="5"/>
  <c r="Q800" i="5"/>
  <c r="R800" i="5"/>
  <c r="S800" i="5"/>
  <c r="T800" i="5"/>
  <c r="U800" i="5"/>
  <c r="V800" i="5"/>
  <c r="W800" i="5"/>
  <c r="X800" i="5"/>
  <c r="B801" i="5"/>
  <c r="C801" i="5"/>
  <c r="D801" i="5"/>
  <c r="E801" i="5"/>
  <c r="F801" i="5"/>
  <c r="G801" i="5"/>
  <c r="H801" i="5"/>
  <c r="I801" i="5"/>
  <c r="J801" i="5"/>
  <c r="K801" i="5"/>
  <c r="L801" i="5"/>
  <c r="M801" i="5"/>
  <c r="N801" i="5"/>
  <c r="O801" i="5"/>
  <c r="P801" i="5"/>
  <c r="Q801" i="5"/>
  <c r="R801" i="5"/>
  <c r="S801" i="5"/>
  <c r="T801" i="5"/>
  <c r="U801" i="5"/>
  <c r="V801" i="5"/>
  <c r="W801" i="5"/>
  <c r="X801" i="5"/>
  <c r="B802" i="5"/>
  <c r="C802" i="5"/>
  <c r="D802" i="5"/>
  <c r="E802" i="5"/>
  <c r="F802" i="5"/>
  <c r="G802" i="5"/>
  <c r="H802" i="5"/>
  <c r="I802" i="5"/>
  <c r="J802" i="5"/>
  <c r="K802" i="5"/>
  <c r="L802" i="5"/>
  <c r="M802" i="5"/>
  <c r="N802" i="5"/>
  <c r="O802" i="5"/>
  <c r="P802" i="5"/>
  <c r="Q802" i="5"/>
  <c r="R802" i="5"/>
  <c r="S802" i="5"/>
  <c r="T802" i="5"/>
  <c r="U802" i="5"/>
  <c r="V802" i="5"/>
  <c r="W802" i="5"/>
  <c r="X802" i="5"/>
  <c r="AC802" i="5"/>
  <c r="B803" i="5"/>
  <c r="C803" i="5"/>
  <c r="D803" i="5"/>
  <c r="E803" i="5"/>
  <c r="F803" i="5"/>
  <c r="G803" i="5"/>
  <c r="H803" i="5"/>
  <c r="I803" i="5"/>
  <c r="J803" i="5"/>
  <c r="K803" i="5"/>
  <c r="L803" i="5"/>
  <c r="M803" i="5"/>
  <c r="AC803" i="5" s="1"/>
  <c r="N803" i="5"/>
  <c r="O803" i="5"/>
  <c r="P803" i="5"/>
  <c r="Q803" i="5"/>
  <c r="R803" i="5"/>
  <c r="S803" i="5"/>
  <c r="T803" i="5"/>
  <c r="U803" i="5"/>
  <c r="V803" i="5"/>
  <c r="W803" i="5"/>
  <c r="X803" i="5"/>
  <c r="AB803" i="5"/>
  <c r="B804" i="5"/>
  <c r="C804" i="5"/>
  <c r="D804" i="5"/>
  <c r="AB804" i="5" s="1"/>
  <c r="E804" i="5"/>
  <c r="F804" i="5"/>
  <c r="G804" i="5"/>
  <c r="H804" i="5"/>
  <c r="I804" i="5"/>
  <c r="J804" i="5"/>
  <c r="K804" i="5"/>
  <c r="L804" i="5"/>
  <c r="M804" i="5"/>
  <c r="N804" i="5"/>
  <c r="O804" i="5"/>
  <c r="P804" i="5"/>
  <c r="Q804" i="5"/>
  <c r="R804" i="5"/>
  <c r="S804" i="5"/>
  <c r="T804" i="5"/>
  <c r="U804" i="5"/>
  <c r="V804" i="5"/>
  <c r="W804" i="5"/>
  <c r="X804" i="5"/>
  <c r="B805" i="5"/>
  <c r="C805" i="5"/>
  <c r="D805" i="5"/>
  <c r="E805" i="5"/>
  <c r="F805" i="5"/>
  <c r="G805" i="5"/>
  <c r="H805" i="5"/>
  <c r="I805" i="5"/>
  <c r="J805" i="5"/>
  <c r="K805" i="5"/>
  <c r="L805" i="5"/>
  <c r="M805" i="5"/>
  <c r="N805" i="5"/>
  <c r="O805" i="5"/>
  <c r="P805" i="5"/>
  <c r="Q805" i="5"/>
  <c r="R805" i="5"/>
  <c r="S805" i="5"/>
  <c r="T805" i="5"/>
  <c r="U805" i="5"/>
  <c r="V805" i="5"/>
  <c r="W805" i="5"/>
  <c r="X805" i="5"/>
  <c r="B806" i="5"/>
  <c r="C806" i="5"/>
  <c r="D806" i="5"/>
  <c r="E806" i="5"/>
  <c r="F806" i="5"/>
  <c r="G806" i="5"/>
  <c r="H806" i="5"/>
  <c r="I806" i="5"/>
  <c r="J806" i="5"/>
  <c r="K806" i="5"/>
  <c r="L806" i="5"/>
  <c r="M806" i="5"/>
  <c r="N806" i="5"/>
  <c r="O806" i="5"/>
  <c r="P806" i="5"/>
  <c r="Q806" i="5"/>
  <c r="R806" i="5"/>
  <c r="S806" i="5"/>
  <c r="T806" i="5"/>
  <c r="U806" i="5"/>
  <c r="V806" i="5"/>
  <c r="W806" i="5"/>
  <c r="X806" i="5"/>
  <c r="AC806" i="5"/>
  <c r="B807" i="5"/>
  <c r="C807" i="5"/>
  <c r="D807" i="5"/>
  <c r="E807" i="5"/>
  <c r="F807" i="5"/>
  <c r="G807" i="5"/>
  <c r="H807" i="5"/>
  <c r="I807" i="5"/>
  <c r="J807" i="5"/>
  <c r="K807" i="5"/>
  <c r="L807" i="5"/>
  <c r="M807" i="5"/>
  <c r="AC807" i="5" s="1"/>
  <c r="N807" i="5"/>
  <c r="O807" i="5"/>
  <c r="P807" i="5"/>
  <c r="Q807" i="5"/>
  <c r="R807" i="5"/>
  <c r="S807" i="5"/>
  <c r="T807" i="5"/>
  <c r="U807" i="5"/>
  <c r="V807" i="5"/>
  <c r="W807" i="5"/>
  <c r="X807" i="5"/>
  <c r="AB807" i="5"/>
  <c r="B808" i="5"/>
  <c r="C808" i="5"/>
  <c r="D808" i="5"/>
  <c r="AB808" i="5" s="1"/>
  <c r="E808" i="5"/>
  <c r="F808" i="5"/>
  <c r="G808" i="5"/>
  <c r="H808" i="5"/>
  <c r="I808" i="5"/>
  <c r="J808" i="5"/>
  <c r="K808" i="5"/>
  <c r="L808" i="5"/>
  <c r="M808" i="5"/>
  <c r="N808" i="5"/>
  <c r="O808" i="5"/>
  <c r="P808" i="5"/>
  <c r="Q808" i="5"/>
  <c r="R808" i="5"/>
  <c r="S808" i="5"/>
  <c r="T808" i="5"/>
  <c r="U808" i="5"/>
  <c r="V808" i="5"/>
  <c r="W808" i="5"/>
  <c r="X808" i="5"/>
  <c r="B809" i="5"/>
  <c r="C809" i="5"/>
  <c r="D809" i="5"/>
  <c r="E809" i="5"/>
  <c r="F809" i="5"/>
  <c r="G809" i="5"/>
  <c r="H809" i="5"/>
  <c r="I809" i="5"/>
  <c r="J809" i="5"/>
  <c r="K809" i="5"/>
  <c r="L809" i="5"/>
  <c r="M809" i="5"/>
  <c r="N809" i="5"/>
  <c r="O809" i="5"/>
  <c r="P809" i="5"/>
  <c r="Q809" i="5"/>
  <c r="R809" i="5"/>
  <c r="S809" i="5"/>
  <c r="T809" i="5"/>
  <c r="U809" i="5"/>
  <c r="V809" i="5"/>
  <c r="W809" i="5"/>
  <c r="X809" i="5"/>
  <c r="B810" i="5"/>
  <c r="C810" i="5"/>
  <c r="D810" i="5"/>
  <c r="E810" i="5"/>
  <c r="F810" i="5"/>
  <c r="G810" i="5"/>
  <c r="H810" i="5"/>
  <c r="I810" i="5"/>
  <c r="J810" i="5"/>
  <c r="K810" i="5"/>
  <c r="L810" i="5"/>
  <c r="M810" i="5"/>
  <c r="N810" i="5"/>
  <c r="O810" i="5"/>
  <c r="P810" i="5"/>
  <c r="Q810" i="5"/>
  <c r="R810" i="5"/>
  <c r="S810" i="5"/>
  <c r="T810" i="5"/>
  <c r="U810" i="5"/>
  <c r="V810" i="5"/>
  <c r="W810" i="5"/>
  <c r="X810" i="5"/>
  <c r="AC810" i="5"/>
  <c r="B811" i="5"/>
  <c r="C811" i="5"/>
  <c r="D811" i="5"/>
  <c r="E811" i="5"/>
  <c r="F811" i="5"/>
  <c r="G811" i="5"/>
  <c r="H811" i="5"/>
  <c r="I811" i="5"/>
  <c r="J811" i="5"/>
  <c r="K811" i="5"/>
  <c r="L811" i="5"/>
  <c r="M811" i="5"/>
  <c r="AC811" i="5" s="1"/>
  <c r="N811" i="5"/>
  <c r="O811" i="5"/>
  <c r="P811" i="5"/>
  <c r="Q811" i="5"/>
  <c r="R811" i="5"/>
  <c r="S811" i="5"/>
  <c r="T811" i="5"/>
  <c r="U811" i="5"/>
  <c r="V811" i="5"/>
  <c r="W811" i="5"/>
  <c r="X811" i="5"/>
  <c r="AB811" i="5"/>
  <c r="B812" i="5"/>
  <c r="C812" i="5"/>
  <c r="D812" i="5"/>
  <c r="AB812" i="5" s="1"/>
  <c r="E812" i="5"/>
  <c r="F812" i="5"/>
  <c r="G812" i="5"/>
  <c r="H812" i="5"/>
  <c r="I812" i="5"/>
  <c r="J812" i="5"/>
  <c r="K812" i="5"/>
  <c r="L812" i="5"/>
  <c r="M812" i="5"/>
  <c r="AC812" i="5" s="1"/>
  <c r="N812" i="5"/>
  <c r="O812" i="5"/>
  <c r="P812" i="5"/>
  <c r="Q812" i="5"/>
  <c r="R812" i="5"/>
  <c r="S812" i="5"/>
  <c r="T812" i="5"/>
  <c r="U812" i="5"/>
  <c r="V812" i="5"/>
  <c r="W812" i="5"/>
  <c r="X812" i="5"/>
  <c r="B813" i="5"/>
  <c r="C813" i="5"/>
  <c r="AB813" i="5" s="1"/>
  <c r="D813" i="5"/>
  <c r="E813" i="5"/>
  <c r="F813" i="5"/>
  <c r="G813" i="5"/>
  <c r="H813" i="5"/>
  <c r="I813" i="5"/>
  <c r="J813" i="5"/>
  <c r="K813" i="5"/>
  <c r="L813" i="5"/>
  <c r="M813" i="5"/>
  <c r="AC813" i="5" s="1"/>
  <c r="N813" i="5"/>
  <c r="O813" i="5"/>
  <c r="P813" i="5"/>
  <c r="Q813" i="5"/>
  <c r="R813" i="5"/>
  <c r="S813" i="5"/>
  <c r="T813" i="5"/>
  <c r="U813" i="5"/>
  <c r="V813" i="5"/>
  <c r="W813" i="5"/>
  <c r="X813" i="5"/>
  <c r="B814" i="5"/>
  <c r="AB814" i="5" s="1"/>
  <c r="C814" i="5"/>
  <c r="D814" i="5"/>
  <c r="E814" i="5"/>
  <c r="F814" i="5"/>
  <c r="G814" i="5"/>
  <c r="H814" i="5"/>
  <c r="I814" i="5"/>
  <c r="J814" i="5"/>
  <c r="K814" i="5"/>
  <c r="L814" i="5"/>
  <c r="M814" i="5"/>
  <c r="N814" i="5"/>
  <c r="O814" i="5"/>
  <c r="P814" i="5"/>
  <c r="Q814" i="5"/>
  <c r="R814" i="5"/>
  <c r="S814" i="5"/>
  <c r="T814" i="5"/>
  <c r="U814" i="5"/>
  <c r="V814" i="5"/>
  <c r="W814" i="5"/>
  <c r="X814" i="5"/>
  <c r="AC814" i="5"/>
  <c r="B815" i="5"/>
  <c r="C815" i="5"/>
  <c r="D815" i="5"/>
  <c r="E815" i="5"/>
  <c r="F815" i="5"/>
  <c r="G815" i="5"/>
  <c r="H815" i="5"/>
  <c r="I815" i="5"/>
  <c r="J815" i="5"/>
  <c r="K815" i="5"/>
  <c r="L815" i="5"/>
  <c r="M815" i="5"/>
  <c r="AC815" i="5" s="1"/>
  <c r="N815" i="5"/>
  <c r="O815" i="5"/>
  <c r="P815" i="5"/>
  <c r="Q815" i="5"/>
  <c r="R815" i="5"/>
  <c r="S815" i="5"/>
  <c r="T815" i="5"/>
  <c r="U815" i="5"/>
  <c r="V815" i="5"/>
  <c r="W815" i="5"/>
  <c r="X815" i="5"/>
  <c r="AB815" i="5"/>
  <c r="B816" i="5"/>
  <c r="C816" i="5"/>
  <c r="D816" i="5"/>
  <c r="AB816" i="5" s="1"/>
  <c r="E816" i="5"/>
  <c r="F816" i="5"/>
  <c r="G816" i="5"/>
  <c r="H816" i="5"/>
  <c r="I816" i="5"/>
  <c r="J816" i="5"/>
  <c r="K816" i="5"/>
  <c r="L816" i="5"/>
  <c r="M816" i="5"/>
  <c r="AC816" i="5" s="1"/>
  <c r="N816" i="5"/>
  <c r="O816" i="5"/>
  <c r="P816" i="5"/>
  <c r="Q816" i="5"/>
  <c r="R816" i="5"/>
  <c r="S816" i="5"/>
  <c r="T816" i="5"/>
  <c r="U816" i="5"/>
  <c r="V816" i="5"/>
  <c r="W816" i="5"/>
  <c r="X816" i="5"/>
  <c r="B817" i="5"/>
  <c r="C817" i="5"/>
  <c r="AB817" i="5" s="1"/>
  <c r="D817" i="5"/>
  <c r="E817" i="5"/>
  <c r="F817" i="5"/>
  <c r="G817" i="5"/>
  <c r="H817" i="5"/>
  <c r="I817" i="5"/>
  <c r="J817" i="5"/>
  <c r="K817" i="5"/>
  <c r="L817" i="5"/>
  <c r="M817" i="5"/>
  <c r="AC817" i="5" s="1"/>
  <c r="N817" i="5"/>
  <c r="O817" i="5"/>
  <c r="P817" i="5"/>
  <c r="Q817" i="5"/>
  <c r="R817" i="5"/>
  <c r="S817" i="5"/>
  <c r="T817" i="5"/>
  <c r="U817" i="5"/>
  <c r="V817" i="5"/>
  <c r="W817" i="5"/>
  <c r="X817" i="5"/>
  <c r="B818" i="5"/>
  <c r="AB818" i="5" s="1"/>
  <c r="C818" i="5"/>
  <c r="D818" i="5"/>
  <c r="E818" i="5"/>
  <c r="F818" i="5"/>
  <c r="G818" i="5"/>
  <c r="H818" i="5"/>
  <c r="I818" i="5"/>
  <c r="J818" i="5"/>
  <c r="K818" i="5"/>
  <c r="L818" i="5"/>
  <c r="M818" i="5"/>
  <c r="N818" i="5"/>
  <c r="O818" i="5"/>
  <c r="P818" i="5"/>
  <c r="Q818" i="5"/>
  <c r="R818" i="5"/>
  <c r="S818" i="5"/>
  <c r="T818" i="5"/>
  <c r="U818" i="5"/>
  <c r="V818" i="5"/>
  <c r="W818" i="5"/>
  <c r="X818" i="5"/>
  <c r="AC818" i="5"/>
  <c r="B819" i="5"/>
  <c r="C819" i="5"/>
  <c r="D819" i="5"/>
  <c r="E819" i="5"/>
  <c r="F819" i="5"/>
  <c r="G819" i="5"/>
  <c r="H819" i="5"/>
  <c r="I819" i="5"/>
  <c r="J819" i="5"/>
  <c r="K819" i="5"/>
  <c r="L819" i="5"/>
  <c r="M819" i="5"/>
  <c r="AC819" i="5" s="1"/>
  <c r="N819" i="5"/>
  <c r="O819" i="5"/>
  <c r="P819" i="5"/>
  <c r="Q819" i="5"/>
  <c r="R819" i="5"/>
  <c r="S819" i="5"/>
  <c r="T819" i="5"/>
  <c r="U819" i="5"/>
  <c r="V819" i="5"/>
  <c r="W819" i="5"/>
  <c r="X819" i="5"/>
  <c r="AB819" i="5"/>
  <c r="B820" i="5"/>
  <c r="C820" i="5"/>
  <c r="D820" i="5"/>
  <c r="AB820" i="5" s="1"/>
  <c r="E820" i="5"/>
  <c r="F820" i="5"/>
  <c r="G820" i="5"/>
  <c r="H820" i="5"/>
  <c r="I820" i="5"/>
  <c r="J820" i="5"/>
  <c r="K820" i="5"/>
  <c r="L820" i="5"/>
  <c r="M820" i="5"/>
  <c r="AC820" i="5" s="1"/>
  <c r="N820" i="5"/>
  <c r="O820" i="5"/>
  <c r="P820" i="5"/>
  <c r="Q820" i="5"/>
  <c r="R820" i="5"/>
  <c r="S820" i="5"/>
  <c r="T820" i="5"/>
  <c r="U820" i="5"/>
  <c r="V820" i="5"/>
  <c r="W820" i="5"/>
  <c r="X820" i="5"/>
  <c r="B821" i="5"/>
  <c r="C821" i="5"/>
  <c r="AB821" i="5" s="1"/>
  <c r="D821" i="5"/>
  <c r="E821" i="5"/>
  <c r="F821" i="5"/>
  <c r="G821" i="5"/>
  <c r="H821" i="5"/>
  <c r="I821" i="5"/>
  <c r="J821" i="5"/>
  <c r="K821" i="5"/>
  <c r="L821" i="5"/>
  <c r="M821" i="5"/>
  <c r="AC821" i="5" s="1"/>
  <c r="N821" i="5"/>
  <c r="O821" i="5"/>
  <c r="P821" i="5"/>
  <c r="Q821" i="5"/>
  <c r="R821" i="5"/>
  <c r="S821" i="5"/>
  <c r="T821" i="5"/>
  <c r="U821" i="5"/>
  <c r="V821" i="5"/>
  <c r="W821" i="5"/>
  <c r="X821" i="5"/>
  <c r="B822" i="5"/>
  <c r="AB822" i="5" s="1"/>
  <c r="C822" i="5"/>
  <c r="D822" i="5"/>
  <c r="E822" i="5"/>
  <c r="F822" i="5"/>
  <c r="G822" i="5"/>
  <c r="H822" i="5"/>
  <c r="I822" i="5"/>
  <c r="J822" i="5"/>
  <c r="K822" i="5"/>
  <c r="L822" i="5"/>
  <c r="M822" i="5"/>
  <c r="N822" i="5"/>
  <c r="O822" i="5"/>
  <c r="P822" i="5"/>
  <c r="Q822" i="5"/>
  <c r="R822" i="5"/>
  <c r="S822" i="5"/>
  <c r="T822" i="5"/>
  <c r="U822" i="5"/>
  <c r="V822" i="5"/>
  <c r="W822" i="5"/>
  <c r="X822" i="5"/>
  <c r="AC822" i="5"/>
  <c r="B823" i="5"/>
  <c r="C823" i="5"/>
  <c r="D823" i="5"/>
  <c r="E823" i="5"/>
  <c r="F823" i="5"/>
  <c r="G823" i="5"/>
  <c r="H823" i="5"/>
  <c r="I823" i="5"/>
  <c r="J823" i="5"/>
  <c r="K823" i="5"/>
  <c r="L823" i="5"/>
  <c r="M823" i="5"/>
  <c r="AC823" i="5" s="1"/>
  <c r="N823" i="5"/>
  <c r="O823" i="5"/>
  <c r="P823" i="5"/>
  <c r="Q823" i="5"/>
  <c r="R823" i="5"/>
  <c r="S823" i="5"/>
  <c r="T823" i="5"/>
  <c r="U823" i="5"/>
  <c r="V823" i="5"/>
  <c r="W823" i="5"/>
  <c r="X823" i="5"/>
  <c r="AB823" i="5"/>
  <c r="B824" i="5"/>
  <c r="C824" i="5"/>
  <c r="D824" i="5"/>
  <c r="AB824" i="5" s="1"/>
  <c r="E824" i="5"/>
  <c r="F824" i="5"/>
  <c r="G824" i="5"/>
  <c r="H824" i="5"/>
  <c r="I824" i="5"/>
  <c r="J824" i="5"/>
  <c r="K824" i="5"/>
  <c r="L824" i="5"/>
  <c r="M824" i="5"/>
  <c r="AC824" i="5" s="1"/>
  <c r="N824" i="5"/>
  <c r="O824" i="5"/>
  <c r="P824" i="5"/>
  <c r="Q824" i="5"/>
  <c r="R824" i="5"/>
  <c r="S824" i="5"/>
  <c r="T824" i="5"/>
  <c r="U824" i="5"/>
  <c r="V824" i="5"/>
  <c r="W824" i="5"/>
  <c r="X824" i="5"/>
  <c r="B825" i="5"/>
  <c r="C825" i="5"/>
  <c r="AB825" i="5" s="1"/>
  <c r="D825" i="5"/>
  <c r="E825" i="5"/>
  <c r="F825" i="5"/>
  <c r="G825" i="5"/>
  <c r="H825" i="5"/>
  <c r="I825" i="5"/>
  <c r="J825" i="5"/>
  <c r="K825" i="5"/>
  <c r="L825" i="5"/>
  <c r="M825" i="5"/>
  <c r="AC825" i="5" s="1"/>
  <c r="N825" i="5"/>
  <c r="O825" i="5"/>
  <c r="P825" i="5"/>
  <c r="Q825" i="5"/>
  <c r="R825" i="5"/>
  <c r="S825" i="5"/>
  <c r="T825" i="5"/>
  <c r="U825" i="5"/>
  <c r="V825" i="5"/>
  <c r="W825" i="5"/>
  <c r="X825" i="5"/>
  <c r="B826" i="5"/>
  <c r="AB826" i="5" s="1"/>
  <c r="C826" i="5"/>
  <c r="D826" i="5"/>
  <c r="E826" i="5"/>
  <c r="F826" i="5"/>
  <c r="G826" i="5"/>
  <c r="H826" i="5"/>
  <c r="I826" i="5"/>
  <c r="J826" i="5"/>
  <c r="K826" i="5"/>
  <c r="L826" i="5"/>
  <c r="M826" i="5"/>
  <c r="N826" i="5"/>
  <c r="O826" i="5"/>
  <c r="P826" i="5"/>
  <c r="Q826" i="5"/>
  <c r="R826" i="5"/>
  <c r="S826" i="5"/>
  <c r="T826" i="5"/>
  <c r="U826" i="5"/>
  <c r="V826" i="5"/>
  <c r="W826" i="5"/>
  <c r="X826" i="5"/>
  <c r="AC826" i="5"/>
  <c r="B827" i="5"/>
  <c r="C827" i="5"/>
  <c r="D827" i="5"/>
  <c r="E827" i="5"/>
  <c r="F827" i="5"/>
  <c r="G827" i="5"/>
  <c r="H827" i="5"/>
  <c r="I827" i="5"/>
  <c r="J827" i="5"/>
  <c r="K827" i="5"/>
  <c r="L827" i="5"/>
  <c r="M827" i="5"/>
  <c r="AC827" i="5" s="1"/>
  <c r="N827" i="5"/>
  <c r="O827" i="5"/>
  <c r="P827" i="5"/>
  <c r="Q827" i="5"/>
  <c r="R827" i="5"/>
  <c r="S827" i="5"/>
  <c r="T827" i="5"/>
  <c r="U827" i="5"/>
  <c r="V827" i="5"/>
  <c r="W827" i="5"/>
  <c r="X827" i="5"/>
  <c r="AB827" i="5"/>
  <c r="B828" i="5"/>
  <c r="C828" i="5"/>
  <c r="D828" i="5"/>
  <c r="AB828" i="5" s="1"/>
  <c r="E828" i="5"/>
  <c r="F828" i="5"/>
  <c r="G828" i="5"/>
  <c r="H828" i="5"/>
  <c r="I828" i="5"/>
  <c r="J828" i="5"/>
  <c r="K828" i="5"/>
  <c r="L828" i="5"/>
  <c r="M828" i="5"/>
  <c r="AC828" i="5" s="1"/>
  <c r="N828" i="5"/>
  <c r="O828" i="5"/>
  <c r="P828" i="5"/>
  <c r="Q828" i="5"/>
  <c r="R828" i="5"/>
  <c r="S828" i="5"/>
  <c r="T828" i="5"/>
  <c r="U828" i="5"/>
  <c r="V828" i="5"/>
  <c r="W828" i="5"/>
  <c r="X828" i="5"/>
  <c r="B829" i="5"/>
  <c r="C829" i="5"/>
  <c r="AB829" i="5" s="1"/>
  <c r="D829" i="5"/>
  <c r="E829" i="5"/>
  <c r="F829" i="5"/>
  <c r="G829" i="5"/>
  <c r="H829" i="5"/>
  <c r="I829" i="5"/>
  <c r="J829" i="5"/>
  <c r="K829" i="5"/>
  <c r="L829" i="5"/>
  <c r="M829" i="5"/>
  <c r="AC829" i="5" s="1"/>
  <c r="N829" i="5"/>
  <c r="O829" i="5"/>
  <c r="P829" i="5"/>
  <c r="Q829" i="5"/>
  <c r="R829" i="5"/>
  <c r="S829" i="5"/>
  <c r="T829" i="5"/>
  <c r="U829" i="5"/>
  <c r="V829" i="5"/>
  <c r="W829" i="5"/>
  <c r="X829" i="5"/>
  <c r="B830" i="5"/>
  <c r="AB830" i="5" s="1"/>
  <c r="C830" i="5"/>
  <c r="D830" i="5"/>
  <c r="E830" i="5"/>
  <c r="F830" i="5"/>
  <c r="G830" i="5"/>
  <c r="H830" i="5"/>
  <c r="I830" i="5"/>
  <c r="J830" i="5"/>
  <c r="K830" i="5"/>
  <c r="L830" i="5"/>
  <c r="M830" i="5"/>
  <c r="N830" i="5"/>
  <c r="O830" i="5"/>
  <c r="P830" i="5"/>
  <c r="Q830" i="5"/>
  <c r="R830" i="5"/>
  <c r="S830" i="5"/>
  <c r="T830" i="5"/>
  <c r="U830" i="5"/>
  <c r="V830" i="5"/>
  <c r="W830" i="5"/>
  <c r="X830" i="5"/>
  <c r="AC830" i="5"/>
  <c r="B831" i="5"/>
  <c r="C831" i="5"/>
  <c r="D831" i="5"/>
  <c r="E831" i="5"/>
  <c r="F831" i="5"/>
  <c r="G831" i="5"/>
  <c r="H831" i="5"/>
  <c r="I831" i="5"/>
  <c r="J831" i="5"/>
  <c r="K831" i="5"/>
  <c r="L831" i="5"/>
  <c r="M831" i="5"/>
  <c r="AC831" i="5" s="1"/>
  <c r="N831" i="5"/>
  <c r="O831" i="5"/>
  <c r="P831" i="5"/>
  <c r="Q831" i="5"/>
  <c r="R831" i="5"/>
  <c r="S831" i="5"/>
  <c r="T831" i="5"/>
  <c r="U831" i="5"/>
  <c r="V831" i="5"/>
  <c r="W831" i="5"/>
  <c r="X831" i="5"/>
  <c r="AB831" i="5"/>
  <c r="B832" i="5"/>
  <c r="C832" i="5"/>
  <c r="D832" i="5"/>
  <c r="AB832" i="5" s="1"/>
  <c r="E832" i="5"/>
  <c r="F832" i="5"/>
  <c r="G832" i="5"/>
  <c r="H832" i="5"/>
  <c r="I832" i="5"/>
  <c r="J832" i="5"/>
  <c r="K832" i="5"/>
  <c r="L832" i="5"/>
  <c r="M832" i="5"/>
  <c r="AC832" i="5" s="1"/>
  <c r="N832" i="5"/>
  <c r="O832" i="5"/>
  <c r="P832" i="5"/>
  <c r="Q832" i="5"/>
  <c r="R832" i="5"/>
  <c r="S832" i="5"/>
  <c r="T832" i="5"/>
  <c r="U832" i="5"/>
  <c r="V832" i="5"/>
  <c r="W832" i="5"/>
  <c r="X832" i="5"/>
  <c r="B833" i="5"/>
  <c r="C833" i="5"/>
  <c r="AB833" i="5" s="1"/>
  <c r="D833" i="5"/>
  <c r="E833" i="5"/>
  <c r="F833" i="5"/>
  <c r="G833" i="5"/>
  <c r="H833" i="5"/>
  <c r="I833" i="5"/>
  <c r="J833" i="5"/>
  <c r="K833" i="5"/>
  <c r="L833" i="5"/>
  <c r="M833" i="5"/>
  <c r="AC833" i="5" s="1"/>
  <c r="N833" i="5"/>
  <c r="O833" i="5"/>
  <c r="P833" i="5"/>
  <c r="Q833" i="5"/>
  <c r="R833" i="5"/>
  <c r="S833" i="5"/>
  <c r="T833" i="5"/>
  <c r="U833" i="5"/>
  <c r="V833" i="5"/>
  <c r="W833" i="5"/>
  <c r="X833" i="5"/>
  <c r="B834" i="5"/>
  <c r="AB834" i="5" s="1"/>
  <c r="C834" i="5"/>
  <c r="D834" i="5"/>
  <c r="E834" i="5"/>
  <c r="F834" i="5"/>
  <c r="G834" i="5"/>
  <c r="H834" i="5"/>
  <c r="I834" i="5"/>
  <c r="J834" i="5"/>
  <c r="K834" i="5"/>
  <c r="L834" i="5"/>
  <c r="M834" i="5"/>
  <c r="N834" i="5"/>
  <c r="O834" i="5"/>
  <c r="P834" i="5"/>
  <c r="Q834" i="5"/>
  <c r="R834" i="5"/>
  <c r="S834" i="5"/>
  <c r="T834" i="5"/>
  <c r="U834" i="5"/>
  <c r="V834" i="5"/>
  <c r="W834" i="5"/>
  <c r="X834" i="5"/>
  <c r="AC834" i="5"/>
  <c r="B835" i="5"/>
  <c r="C835" i="5"/>
  <c r="D835" i="5"/>
  <c r="E835" i="5"/>
  <c r="F835" i="5"/>
  <c r="G835" i="5"/>
  <c r="H835" i="5"/>
  <c r="I835" i="5"/>
  <c r="J835" i="5"/>
  <c r="K835" i="5"/>
  <c r="L835" i="5"/>
  <c r="M835" i="5"/>
  <c r="AC835" i="5" s="1"/>
  <c r="N835" i="5"/>
  <c r="O835" i="5"/>
  <c r="P835" i="5"/>
  <c r="Q835" i="5"/>
  <c r="R835" i="5"/>
  <c r="S835" i="5"/>
  <c r="T835" i="5"/>
  <c r="U835" i="5"/>
  <c r="V835" i="5"/>
  <c r="W835" i="5"/>
  <c r="X835" i="5"/>
  <c r="AB835" i="5"/>
  <c r="B836" i="5"/>
  <c r="C836" i="5"/>
  <c r="D836" i="5"/>
  <c r="AB836" i="5" s="1"/>
  <c r="E836" i="5"/>
  <c r="F836" i="5"/>
  <c r="G836" i="5"/>
  <c r="H836" i="5"/>
  <c r="I836" i="5"/>
  <c r="J836" i="5"/>
  <c r="K836" i="5"/>
  <c r="L836" i="5"/>
  <c r="M836" i="5"/>
  <c r="AC836" i="5" s="1"/>
  <c r="N836" i="5"/>
  <c r="O836" i="5"/>
  <c r="P836" i="5"/>
  <c r="Q836" i="5"/>
  <c r="R836" i="5"/>
  <c r="S836" i="5"/>
  <c r="T836" i="5"/>
  <c r="U836" i="5"/>
  <c r="V836" i="5"/>
  <c r="W836" i="5"/>
  <c r="X836" i="5"/>
  <c r="B837" i="5"/>
  <c r="C837" i="5"/>
  <c r="AB837" i="5" s="1"/>
  <c r="D837" i="5"/>
  <c r="E837" i="5"/>
  <c r="F837" i="5"/>
  <c r="G837" i="5"/>
  <c r="H837" i="5"/>
  <c r="I837" i="5"/>
  <c r="J837" i="5"/>
  <c r="K837" i="5"/>
  <c r="L837" i="5"/>
  <c r="M837" i="5"/>
  <c r="AC837" i="5" s="1"/>
  <c r="N837" i="5"/>
  <c r="O837" i="5"/>
  <c r="P837" i="5"/>
  <c r="Q837" i="5"/>
  <c r="R837" i="5"/>
  <c r="S837" i="5"/>
  <c r="T837" i="5"/>
  <c r="U837" i="5"/>
  <c r="V837" i="5"/>
  <c r="W837" i="5"/>
  <c r="X837" i="5"/>
  <c r="B838" i="5"/>
  <c r="AB838" i="5" s="1"/>
  <c r="C838" i="5"/>
  <c r="D838" i="5"/>
  <c r="E838" i="5"/>
  <c r="F838" i="5"/>
  <c r="G838" i="5"/>
  <c r="H838" i="5"/>
  <c r="I838" i="5"/>
  <c r="J838" i="5"/>
  <c r="K838" i="5"/>
  <c r="L838" i="5"/>
  <c r="M838" i="5"/>
  <c r="N838" i="5"/>
  <c r="O838" i="5"/>
  <c r="P838" i="5"/>
  <c r="Q838" i="5"/>
  <c r="R838" i="5"/>
  <c r="S838" i="5"/>
  <c r="T838" i="5"/>
  <c r="U838" i="5"/>
  <c r="V838" i="5"/>
  <c r="W838" i="5"/>
  <c r="X838" i="5"/>
  <c r="AC838" i="5"/>
  <c r="B839" i="5"/>
  <c r="C839" i="5"/>
  <c r="D839" i="5"/>
  <c r="E839" i="5"/>
  <c r="F839" i="5"/>
  <c r="G839" i="5"/>
  <c r="H839" i="5"/>
  <c r="I839" i="5"/>
  <c r="J839" i="5"/>
  <c r="K839" i="5"/>
  <c r="L839" i="5"/>
  <c r="M839" i="5"/>
  <c r="AC839" i="5" s="1"/>
  <c r="N839" i="5"/>
  <c r="O839" i="5"/>
  <c r="P839" i="5"/>
  <c r="Q839" i="5"/>
  <c r="R839" i="5"/>
  <c r="S839" i="5"/>
  <c r="T839" i="5"/>
  <c r="U839" i="5"/>
  <c r="V839" i="5"/>
  <c r="W839" i="5"/>
  <c r="X839" i="5"/>
  <c r="AB839" i="5"/>
  <c r="B840" i="5"/>
  <c r="C840" i="5"/>
  <c r="D840" i="5"/>
  <c r="AB840" i="5" s="1"/>
  <c r="E840" i="5"/>
  <c r="F840" i="5"/>
  <c r="G840" i="5"/>
  <c r="H840" i="5"/>
  <c r="I840" i="5"/>
  <c r="J840" i="5"/>
  <c r="K840" i="5"/>
  <c r="L840" i="5"/>
  <c r="M840" i="5"/>
  <c r="AC840" i="5" s="1"/>
  <c r="N840" i="5"/>
  <c r="O840" i="5"/>
  <c r="P840" i="5"/>
  <c r="Q840" i="5"/>
  <c r="R840" i="5"/>
  <c r="S840" i="5"/>
  <c r="T840" i="5"/>
  <c r="U840" i="5"/>
  <c r="V840" i="5"/>
  <c r="W840" i="5"/>
  <c r="X840" i="5"/>
  <c r="B841" i="5"/>
  <c r="C841" i="5"/>
  <c r="AB841" i="5" s="1"/>
  <c r="D841" i="5"/>
  <c r="E841" i="5"/>
  <c r="F841" i="5"/>
  <c r="G841" i="5"/>
  <c r="H841" i="5"/>
  <c r="I841" i="5"/>
  <c r="J841" i="5"/>
  <c r="K841" i="5"/>
  <c r="L841" i="5"/>
  <c r="M841" i="5"/>
  <c r="AC841" i="5" s="1"/>
  <c r="N841" i="5"/>
  <c r="O841" i="5"/>
  <c r="P841" i="5"/>
  <c r="Q841" i="5"/>
  <c r="R841" i="5"/>
  <c r="S841" i="5"/>
  <c r="T841" i="5"/>
  <c r="U841" i="5"/>
  <c r="V841" i="5"/>
  <c r="W841" i="5"/>
  <c r="X841" i="5"/>
  <c r="B842" i="5"/>
  <c r="AB842" i="5" s="1"/>
  <c r="C842" i="5"/>
  <c r="D842" i="5"/>
  <c r="E842" i="5"/>
  <c r="F842" i="5"/>
  <c r="G842" i="5"/>
  <c r="H842" i="5"/>
  <c r="I842" i="5"/>
  <c r="J842" i="5"/>
  <c r="K842" i="5"/>
  <c r="L842" i="5"/>
  <c r="M842" i="5"/>
  <c r="N842" i="5"/>
  <c r="O842" i="5"/>
  <c r="P842" i="5"/>
  <c r="Q842" i="5"/>
  <c r="R842" i="5"/>
  <c r="S842" i="5"/>
  <c r="T842" i="5"/>
  <c r="U842" i="5"/>
  <c r="V842" i="5"/>
  <c r="W842" i="5"/>
  <c r="X842" i="5"/>
  <c r="AC842" i="5"/>
  <c r="B843" i="5"/>
  <c r="C843" i="5"/>
  <c r="D843" i="5"/>
  <c r="E843" i="5"/>
  <c r="F843" i="5"/>
  <c r="G843" i="5"/>
  <c r="H843" i="5"/>
  <c r="I843" i="5"/>
  <c r="J843" i="5"/>
  <c r="K843" i="5"/>
  <c r="L843" i="5"/>
  <c r="M843" i="5"/>
  <c r="AC843" i="5" s="1"/>
  <c r="N843" i="5"/>
  <c r="O843" i="5"/>
  <c r="P843" i="5"/>
  <c r="Q843" i="5"/>
  <c r="R843" i="5"/>
  <c r="S843" i="5"/>
  <c r="T843" i="5"/>
  <c r="U843" i="5"/>
  <c r="V843" i="5"/>
  <c r="W843" i="5"/>
  <c r="X843" i="5"/>
  <c r="AB843" i="5"/>
  <c r="B844" i="5"/>
  <c r="C844" i="5"/>
  <c r="D844" i="5"/>
  <c r="AB844" i="5" s="1"/>
  <c r="E844" i="5"/>
  <c r="F844" i="5"/>
  <c r="G844" i="5"/>
  <c r="H844" i="5"/>
  <c r="I844" i="5"/>
  <c r="J844" i="5"/>
  <c r="K844" i="5"/>
  <c r="L844" i="5"/>
  <c r="M844" i="5"/>
  <c r="AC844" i="5" s="1"/>
  <c r="N844" i="5"/>
  <c r="O844" i="5"/>
  <c r="P844" i="5"/>
  <c r="Q844" i="5"/>
  <c r="R844" i="5"/>
  <c r="S844" i="5"/>
  <c r="T844" i="5"/>
  <c r="U844" i="5"/>
  <c r="V844" i="5"/>
  <c r="W844" i="5"/>
  <c r="X844" i="5"/>
  <c r="B845" i="5"/>
  <c r="C845" i="5"/>
  <c r="AB845" i="5" s="1"/>
  <c r="D845" i="5"/>
  <c r="E845" i="5"/>
  <c r="F845" i="5"/>
  <c r="G845" i="5"/>
  <c r="H845" i="5"/>
  <c r="I845" i="5"/>
  <c r="J845" i="5"/>
  <c r="K845" i="5"/>
  <c r="L845" i="5"/>
  <c r="M845" i="5"/>
  <c r="AC845" i="5" s="1"/>
  <c r="N845" i="5"/>
  <c r="O845" i="5"/>
  <c r="P845" i="5"/>
  <c r="Q845" i="5"/>
  <c r="R845" i="5"/>
  <c r="S845" i="5"/>
  <c r="T845" i="5"/>
  <c r="U845" i="5"/>
  <c r="V845" i="5"/>
  <c r="W845" i="5"/>
  <c r="X845" i="5"/>
  <c r="B846" i="5"/>
  <c r="AB846" i="5" s="1"/>
  <c r="C846" i="5"/>
  <c r="D846" i="5"/>
  <c r="E846" i="5"/>
  <c r="F846" i="5"/>
  <c r="G846" i="5"/>
  <c r="H846" i="5"/>
  <c r="I846" i="5"/>
  <c r="J846" i="5"/>
  <c r="K846" i="5"/>
  <c r="L846" i="5"/>
  <c r="M846" i="5"/>
  <c r="N846" i="5"/>
  <c r="O846" i="5"/>
  <c r="P846" i="5"/>
  <c r="Q846" i="5"/>
  <c r="R846" i="5"/>
  <c r="S846" i="5"/>
  <c r="T846" i="5"/>
  <c r="U846" i="5"/>
  <c r="V846" i="5"/>
  <c r="W846" i="5"/>
  <c r="X846" i="5"/>
  <c r="AC846" i="5"/>
  <c r="B847" i="5"/>
  <c r="C847" i="5"/>
  <c r="D847" i="5"/>
  <c r="E847" i="5"/>
  <c r="F847" i="5"/>
  <c r="G847" i="5"/>
  <c r="H847" i="5"/>
  <c r="I847" i="5"/>
  <c r="J847" i="5"/>
  <c r="K847" i="5"/>
  <c r="L847" i="5"/>
  <c r="M847" i="5"/>
  <c r="AC847" i="5" s="1"/>
  <c r="N847" i="5"/>
  <c r="O847" i="5"/>
  <c r="P847" i="5"/>
  <c r="Q847" i="5"/>
  <c r="R847" i="5"/>
  <c r="S847" i="5"/>
  <c r="T847" i="5"/>
  <c r="U847" i="5"/>
  <c r="V847" i="5"/>
  <c r="W847" i="5"/>
  <c r="X847" i="5"/>
  <c r="AB847" i="5"/>
  <c r="B848" i="5"/>
  <c r="C848" i="5"/>
  <c r="D848" i="5"/>
  <c r="AB848" i="5" s="1"/>
  <c r="E848" i="5"/>
  <c r="F848" i="5"/>
  <c r="G848" i="5"/>
  <c r="H848" i="5"/>
  <c r="I848" i="5"/>
  <c r="J848" i="5"/>
  <c r="K848" i="5"/>
  <c r="L848" i="5"/>
  <c r="M848" i="5"/>
  <c r="AC848" i="5" s="1"/>
  <c r="N848" i="5"/>
  <c r="O848" i="5"/>
  <c r="P848" i="5"/>
  <c r="Q848" i="5"/>
  <c r="R848" i="5"/>
  <c r="S848" i="5"/>
  <c r="T848" i="5"/>
  <c r="U848" i="5"/>
  <c r="V848" i="5"/>
  <c r="W848" i="5"/>
  <c r="X848" i="5"/>
  <c r="B849" i="5"/>
  <c r="C849" i="5"/>
  <c r="AB849" i="5" s="1"/>
  <c r="D849" i="5"/>
  <c r="E849" i="5"/>
  <c r="F849" i="5"/>
  <c r="G849" i="5"/>
  <c r="H849" i="5"/>
  <c r="I849" i="5"/>
  <c r="J849" i="5"/>
  <c r="K849" i="5"/>
  <c r="L849" i="5"/>
  <c r="M849" i="5"/>
  <c r="AC849" i="5" s="1"/>
  <c r="N849" i="5"/>
  <c r="O849" i="5"/>
  <c r="P849" i="5"/>
  <c r="Q849" i="5"/>
  <c r="R849" i="5"/>
  <c r="S849" i="5"/>
  <c r="T849" i="5"/>
  <c r="U849" i="5"/>
  <c r="V849" i="5"/>
  <c r="W849" i="5"/>
  <c r="X849" i="5"/>
  <c r="B850" i="5"/>
  <c r="AB850" i="5" s="1"/>
  <c r="C850" i="5"/>
  <c r="D850" i="5"/>
  <c r="E850" i="5"/>
  <c r="F850" i="5"/>
  <c r="G850" i="5"/>
  <c r="H850" i="5"/>
  <c r="I850" i="5"/>
  <c r="J850" i="5"/>
  <c r="K850" i="5"/>
  <c r="L850" i="5"/>
  <c r="M850" i="5"/>
  <c r="N850" i="5"/>
  <c r="O850" i="5"/>
  <c r="P850" i="5"/>
  <c r="Q850" i="5"/>
  <c r="R850" i="5"/>
  <c r="S850" i="5"/>
  <c r="T850" i="5"/>
  <c r="U850" i="5"/>
  <c r="V850" i="5"/>
  <c r="W850" i="5"/>
  <c r="X850" i="5"/>
  <c r="AC850" i="5"/>
  <c r="B851" i="5"/>
  <c r="C851" i="5"/>
  <c r="D851" i="5"/>
  <c r="E851" i="5"/>
  <c r="F851" i="5"/>
  <c r="G851" i="5"/>
  <c r="H851" i="5"/>
  <c r="I851" i="5"/>
  <c r="J851" i="5"/>
  <c r="K851" i="5"/>
  <c r="L851" i="5"/>
  <c r="M851" i="5"/>
  <c r="AC851" i="5" s="1"/>
  <c r="N851" i="5"/>
  <c r="O851" i="5"/>
  <c r="P851" i="5"/>
  <c r="Q851" i="5"/>
  <c r="R851" i="5"/>
  <c r="S851" i="5"/>
  <c r="T851" i="5"/>
  <c r="U851" i="5"/>
  <c r="V851" i="5"/>
  <c r="W851" i="5"/>
  <c r="X851" i="5"/>
  <c r="AB851" i="5"/>
  <c r="B852" i="5"/>
  <c r="C852" i="5"/>
  <c r="D852" i="5"/>
  <c r="AB852" i="5" s="1"/>
  <c r="E852" i="5"/>
  <c r="F852" i="5"/>
  <c r="G852" i="5"/>
  <c r="H852" i="5"/>
  <c r="I852" i="5"/>
  <c r="J852" i="5"/>
  <c r="K852" i="5"/>
  <c r="L852" i="5"/>
  <c r="M852" i="5"/>
  <c r="AC852" i="5" s="1"/>
  <c r="N852" i="5"/>
  <c r="O852" i="5"/>
  <c r="P852" i="5"/>
  <c r="Q852" i="5"/>
  <c r="R852" i="5"/>
  <c r="S852" i="5"/>
  <c r="T852" i="5"/>
  <c r="U852" i="5"/>
  <c r="V852" i="5"/>
  <c r="W852" i="5"/>
  <c r="X852" i="5"/>
  <c r="B853" i="5"/>
  <c r="C853" i="5"/>
  <c r="AB853" i="5" s="1"/>
  <c r="D853" i="5"/>
  <c r="E853" i="5"/>
  <c r="F853" i="5"/>
  <c r="G853" i="5"/>
  <c r="H853" i="5"/>
  <c r="I853" i="5"/>
  <c r="J853" i="5"/>
  <c r="K853" i="5"/>
  <c r="L853" i="5"/>
  <c r="M853" i="5"/>
  <c r="AC853" i="5" s="1"/>
  <c r="N853" i="5"/>
  <c r="O853" i="5"/>
  <c r="P853" i="5"/>
  <c r="Q853" i="5"/>
  <c r="R853" i="5"/>
  <c r="S853" i="5"/>
  <c r="T853" i="5"/>
  <c r="U853" i="5"/>
  <c r="V853" i="5"/>
  <c r="W853" i="5"/>
  <c r="X853" i="5"/>
  <c r="B854" i="5"/>
  <c r="AB854" i="5" s="1"/>
  <c r="C854" i="5"/>
  <c r="D854" i="5"/>
  <c r="E854" i="5"/>
  <c r="F854" i="5"/>
  <c r="G854" i="5"/>
  <c r="H854" i="5"/>
  <c r="I854" i="5"/>
  <c r="J854" i="5"/>
  <c r="K854" i="5"/>
  <c r="L854" i="5"/>
  <c r="M854" i="5"/>
  <c r="N854" i="5"/>
  <c r="O854" i="5"/>
  <c r="P854" i="5"/>
  <c r="Q854" i="5"/>
  <c r="R854" i="5"/>
  <c r="S854" i="5"/>
  <c r="T854" i="5"/>
  <c r="U854" i="5"/>
  <c r="V854" i="5"/>
  <c r="W854" i="5"/>
  <c r="X854" i="5"/>
  <c r="AC854" i="5"/>
  <c r="B855" i="5"/>
  <c r="C855" i="5"/>
  <c r="D855" i="5"/>
  <c r="E855" i="5"/>
  <c r="F855" i="5"/>
  <c r="G855" i="5"/>
  <c r="H855" i="5"/>
  <c r="I855" i="5"/>
  <c r="J855" i="5"/>
  <c r="K855" i="5"/>
  <c r="L855" i="5"/>
  <c r="M855" i="5"/>
  <c r="AC855" i="5" s="1"/>
  <c r="N855" i="5"/>
  <c r="O855" i="5"/>
  <c r="P855" i="5"/>
  <c r="Q855" i="5"/>
  <c r="R855" i="5"/>
  <c r="S855" i="5"/>
  <c r="T855" i="5"/>
  <c r="U855" i="5"/>
  <c r="V855" i="5"/>
  <c r="W855" i="5"/>
  <c r="X855" i="5"/>
  <c r="AB855" i="5"/>
  <c r="B856" i="5"/>
  <c r="C856" i="5"/>
  <c r="D856" i="5"/>
  <c r="AB856" i="5" s="1"/>
  <c r="E856" i="5"/>
  <c r="F856" i="5"/>
  <c r="G856" i="5"/>
  <c r="H856" i="5"/>
  <c r="I856" i="5"/>
  <c r="J856" i="5"/>
  <c r="K856" i="5"/>
  <c r="L856" i="5"/>
  <c r="M856" i="5"/>
  <c r="AC856" i="5" s="1"/>
  <c r="N856" i="5"/>
  <c r="O856" i="5"/>
  <c r="P856" i="5"/>
  <c r="Q856" i="5"/>
  <c r="R856" i="5"/>
  <c r="S856" i="5"/>
  <c r="T856" i="5"/>
  <c r="U856" i="5"/>
  <c r="V856" i="5"/>
  <c r="W856" i="5"/>
  <c r="X856" i="5"/>
  <c r="B857" i="5"/>
  <c r="C857" i="5"/>
  <c r="AB857" i="5" s="1"/>
  <c r="D857" i="5"/>
  <c r="E857" i="5"/>
  <c r="F857" i="5"/>
  <c r="G857" i="5"/>
  <c r="H857" i="5"/>
  <c r="I857" i="5"/>
  <c r="J857" i="5"/>
  <c r="K857" i="5"/>
  <c r="L857" i="5"/>
  <c r="M857" i="5"/>
  <c r="AC857" i="5" s="1"/>
  <c r="N857" i="5"/>
  <c r="O857" i="5"/>
  <c r="P857" i="5"/>
  <c r="Q857" i="5"/>
  <c r="R857" i="5"/>
  <c r="S857" i="5"/>
  <c r="T857" i="5"/>
  <c r="U857" i="5"/>
  <c r="V857" i="5"/>
  <c r="W857" i="5"/>
  <c r="X857" i="5"/>
  <c r="B858" i="5"/>
  <c r="AB858" i="5" s="1"/>
  <c r="C858" i="5"/>
  <c r="D858" i="5"/>
  <c r="E858" i="5"/>
  <c r="F858" i="5"/>
  <c r="G858" i="5"/>
  <c r="H858" i="5"/>
  <c r="I858" i="5"/>
  <c r="J858" i="5"/>
  <c r="K858" i="5"/>
  <c r="L858" i="5"/>
  <c r="M858" i="5"/>
  <c r="N858" i="5"/>
  <c r="O858" i="5"/>
  <c r="P858" i="5"/>
  <c r="Q858" i="5"/>
  <c r="R858" i="5"/>
  <c r="S858" i="5"/>
  <c r="T858" i="5"/>
  <c r="U858" i="5"/>
  <c r="V858" i="5"/>
  <c r="W858" i="5"/>
  <c r="X858" i="5"/>
  <c r="AC858" i="5"/>
  <c r="B859" i="5"/>
  <c r="C859" i="5"/>
  <c r="D859" i="5"/>
  <c r="E859" i="5"/>
  <c r="F859" i="5"/>
  <c r="G859" i="5"/>
  <c r="H859" i="5"/>
  <c r="I859" i="5"/>
  <c r="J859" i="5"/>
  <c r="K859" i="5"/>
  <c r="L859" i="5"/>
  <c r="M859" i="5"/>
  <c r="AC859" i="5" s="1"/>
  <c r="N859" i="5"/>
  <c r="O859" i="5"/>
  <c r="P859" i="5"/>
  <c r="Q859" i="5"/>
  <c r="R859" i="5"/>
  <c r="S859" i="5"/>
  <c r="T859" i="5"/>
  <c r="U859" i="5"/>
  <c r="V859" i="5"/>
  <c r="W859" i="5"/>
  <c r="X859" i="5"/>
  <c r="AB859" i="5"/>
  <c r="B860" i="5"/>
  <c r="C860" i="5"/>
  <c r="D860" i="5"/>
  <c r="AB860" i="5" s="1"/>
  <c r="E860" i="5"/>
  <c r="F860" i="5"/>
  <c r="G860" i="5"/>
  <c r="H860" i="5"/>
  <c r="I860" i="5"/>
  <c r="J860" i="5"/>
  <c r="K860" i="5"/>
  <c r="L860" i="5"/>
  <c r="M860" i="5"/>
  <c r="AC860" i="5" s="1"/>
  <c r="N860" i="5"/>
  <c r="O860" i="5"/>
  <c r="P860" i="5"/>
  <c r="Q860" i="5"/>
  <c r="R860" i="5"/>
  <c r="S860" i="5"/>
  <c r="T860" i="5"/>
  <c r="U860" i="5"/>
  <c r="V860" i="5"/>
  <c r="W860" i="5"/>
  <c r="X860" i="5"/>
  <c r="B861" i="5"/>
  <c r="C861" i="5"/>
  <c r="AB861" i="5" s="1"/>
  <c r="D861" i="5"/>
  <c r="E861" i="5"/>
  <c r="F861" i="5"/>
  <c r="G861" i="5"/>
  <c r="H861" i="5"/>
  <c r="I861" i="5"/>
  <c r="J861" i="5"/>
  <c r="K861" i="5"/>
  <c r="L861" i="5"/>
  <c r="M861" i="5"/>
  <c r="AC861" i="5" s="1"/>
  <c r="N861" i="5"/>
  <c r="O861" i="5"/>
  <c r="P861" i="5"/>
  <c r="Q861" i="5"/>
  <c r="R861" i="5"/>
  <c r="S861" i="5"/>
  <c r="T861" i="5"/>
  <c r="U861" i="5"/>
  <c r="V861" i="5"/>
  <c r="W861" i="5"/>
  <c r="X861" i="5"/>
  <c r="B862" i="5"/>
  <c r="AB862" i="5" s="1"/>
  <c r="C862" i="5"/>
  <c r="D862" i="5"/>
  <c r="E862" i="5"/>
  <c r="F862" i="5"/>
  <c r="G862" i="5"/>
  <c r="H862" i="5"/>
  <c r="I862" i="5"/>
  <c r="J862" i="5"/>
  <c r="K862" i="5"/>
  <c r="L862" i="5"/>
  <c r="M862" i="5"/>
  <c r="N862" i="5"/>
  <c r="O862" i="5"/>
  <c r="P862" i="5"/>
  <c r="Q862" i="5"/>
  <c r="R862" i="5"/>
  <c r="S862" i="5"/>
  <c r="T862" i="5"/>
  <c r="U862" i="5"/>
  <c r="V862" i="5"/>
  <c r="W862" i="5"/>
  <c r="X862" i="5"/>
  <c r="AC862" i="5"/>
  <c r="B863" i="5"/>
  <c r="C863" i="5"/>
  <c r="D863" i="5"/>
  <c r="E863" i="5"/>
  <c r="F863" i="5"/>
  <c r="G863" i="5"/>
  <c r="H863" i="5"/>
  <c r="I863" i="5"/>
  <c r="J863" i="5"/>
  <c r="K863" i="5"/>
  <c r="L863" i="5"/>
  <c r="M863" i="5"/>
  <c r="AC863" i="5" s="1"/>
  <c r="N863" i="5"/>
  <c r="O863" i="5"/>
  <c r="P863" i="5"/>
  <c r="Q863" i="5"/>
  <c r="R863" i="5"/>
  <c r="S863" i="5"/>
  <c r="T863" i="5"/>
  <c r="U863" i="5"/>
  <c r="V863" i="5"/>
  <c r="W863" i="5"/>
  <c r="X863" i="5"/>
  <c r="AB863" i="5"/>
  <c r="B864" i="5"/>
  <c r="C864" i="5"/>
  <c r="D864" i="5"/>
  <c r="AB864" i="5" s="1"/>
  <c r="E864" i="5"/>
  <c r="F864" i="5"/>
  <c r="G864" i="5"/>
  <c r="H864" i="5"/>
  <c r="I864" i="5"/>
  <c r="J864" i="5"/>
  <c r="K864" i="5"/>
  <c r="L864" i="5"/>
  <c r="M864" i="5"/>
  <c r="AC864" i="5" s="1"/>
  <c r="N864" i="5"/>
  <c r="O864" i="5"/>
  <c r="P864" i="5"/>
  <c r="Q864" i="5"/>
  <c r="R864" i="5"/>
  <c r="S864" i="5"/>
  <c r="T864" i="5"/>
  <c r="U864" i="5"/>
  <c r="V864" i="5"/>
  <c r="W864" i="5"/>
  <c r="X864" i="5"/>
  <c r="B865" i="5"/>
  <c r="C865" i="5"/>
  <c r="AB865" i="5" s="1"/>
  <c r="D865" i="5"/>
  <c r="E865" i="5"/>
  <c r="F865" i="5"/>
  <c r="G865" i="5"/>
  <c r="H865" i="5"/>
  <c r="I865" i="5"/>
  <c r="J865" i="5"/>
  <c r="K865" i="5"/>
  <c r="L865" i="5"/>
  <c r="M865" i="5"/>
  <c r="AC865" i="5" s="1"/>
  <c r="N865" i="5"/>
  <c r="O865" i="5"/>
  <c r="P865" i="5"/>
  <c r="Q865" i="5"/>
  <c r="R865" i="5"/>
  <c r="S865" i="5"/>
  <c r="T865" i="5"/>
  <c r="U865" i="5"/>
  <c r="V865" i="5"/>
  <c r="W865" i="5"/>
  <c r="X865" i="5"/>
  <c r="B866" i="5"/>
  <c r="AB866" i="5" s="1"/>
  <c r="C866" i="5"/>
  <c r="D866" i="5"/>
  <c r="E866" i="5"/>
  <c r="F866" i="5"/>
  <c r="G866" i="5"/>
  <c r="H866" i="5"/>
  <c r="I866" i="5"/>
  <c r="J866" i="5"/>
  <c r="K866" i="5"/>
  <c r="L866" i="5"/>
  <c r="M866" i="5"/>
  <c r="N866" i="5"/>
  <c r="O866" i="5"/>
  <c r="P866" i="5"/>
  <c r="Q866" i="5"/>
  <c r="R866" i="5"/>
  <c r="S866" i="5"/>
  <c r="T866" i="5"/>
  <c r="U866" i="5"/>
  <c r="V866" i="5"/>
  <c r="W866" i="5"/>
  <c r="X866" i="5"/>
  <c r="AC866" i="5"/>
  <c r="B867" i="5"/>
  <c r="C867" i="5"/>
  <c r="D867" i="5"/>
  <c r="E867" i="5"/>
  <c r="F867" i="5"/>
  <c r="G867" i="5"/>
  <c r="H867" i="5"/>
  <c r="I867" i="5"/>
  <c r="J867" i="5"/>
  <c r="K867" i="5"/>
  <c r="L867" i="5"/>
  <c r="M867" i="5"/>
  <c r="AC867" i="5" s="1"/>
  <c r="N867" i="5"/>
  <c r="O867" i="5"/>
  <c r="P867" i="5"/>
  <c r="Q867" i="5"/>
  <c r="R867" i="5"/>
  <c r="S867" i="5"/>
  <c r="T867" i="5"/>
  <c r="U867" i="5"/>
  <c r="V867" i="5"/>
  <c r="W867" i="5"/>
  <c r="X867" i="5"/>
  <c r="AB867" i="5"/>
  <c r="B868" i="5"/>
  <c r="C868" i="5"/>
  <c r="D868" i="5"/>
  <c r="AB868" i="5" s="1"/>
  <c r="E868" i="5"/>
  <c r="F868" i="5"/>
  <c r="G868" i="5"/>
  <c r="H868" i="5"/>
  <c r="I868" i="5"/>
  <c r="J868" i="5"/>
  <c r="K868" i="5"/>
  <c r="L868" i="5"/>
  <c r="M868" i="5"/>
  <c r="AC868" i="5" s="1"/>
  <c r="N868" i="5"/>
  <c r="O868" i="5"/>
  <c r="P868" i="5"/>
  <c r="Q868" i="5"/>
  <c r="R868" i="5"/>
  <c r="S868" i="5"/>
  <c r="T868" i="5"/>
  <c r="U868" i="5"/>
  <c r="V868" i="5"/>
  <c r="W868" i="5"/>
  <c r="X868" i="5"/>
  <c r="B869" i="5"/>
  <c r="C869" i="5"/>
  <c r="AB869" i="5" s="1"/>
  <c r="D869" i="5"/>
  <c r="E869" i="5"/>
  <c r="F869" i="5"/>
  <c r="G869" i="5"/>
  <c r="H869" i="5"/>
  <c r="I869" i="5"/>
  <c r="J869" i="5"/>
  <c r="K869" i="5"/>
  <c r="L869" i="5"/>
  <c r="M869" i="5"/>
  <c r="AC869" i="5" s="1"/>
  <c r="N869" i="5"/>
  <c r="O869" i="5"/>
  <c r="P869" i="5"/>
  <c r="Q869" i="5"/>
  <c r="R869" i="5"/>
  <c r="S869" i="5"/>
  <c r="T869" i="5"/>
  <c r="U869" i="5"/>
  <c r="V869" i="5"/>
  <c r="W869" i="5"/>
  <c r="X869" i="5"/>
  <c r="B870" i="5"/>
  <c r="AB870" i="5" s="1"/>
  <c r="C870" i="5"/>
  <c r="D870" i="5"/>
  <c r="E870" i="5"/>
  <c r="F870" i="5"/>
  <c r="G870" i="5"/>
  <c r="H870" i="5"/>
  <c r="I870" i="5"/>
  <c r="J870" i="5"/>
  <c r="K870" i="5"/>
  <c r="L870" i="5"/>
  <c r="M870" i="5"/>
  <c r="N870" i="5"/>
  <c r="O870" i="5"/>
  <c r="P870" i="5"/>
  <c r="Q870" i="5"/>
  <c r="R870" i="5"/>
  <c r="S870" i="5"/>
  <c r="T870" i="5"/>
  <c r="U870" i="5"/>
  <c r="V870" i="5"/>
  <c r="W870" i="5"/>
  <c r="X870" i="5"/>
  <c r="AC870" i="5"/>
  <c r="B871" i="5"/>
  <c r="C871" i="5"/>
  <c r="D871" i="5"/>
  <c r="E871" i="5"/>
  <c r="F871" i="5"/>
  <c r="G871" i="5"/>
  <c r="H871" i="5"/>
  <c r="I871" i="5"/>
  <c r="J871" i="5"/>
  <c r="K871" i="5"/>
  <c r="L871" i="5"/>
  <c r="M871" i="5"/>
  <c r="AC871" i="5" s="1"/>
  <c r="N871" i="5"/>
  <c r="O871" i="5"/>
  <c r="P871" i="5"/>
  <c r="Q871" i="5"/>
  <c r="R871" i="5"/>
  <c r="S871" i="5"/>
  <c r="T871" i="5"/>
  <c r="U871" i="5"/>
  <c r="V871" i="5"/>
  <c r="W871" i="5"/>
  <c r="X871" i="5"/>
  <c r="AB871" i="5"/>
  <c r="B872" i="5"/>
  <c r="C872" i="5"/>
  <c r="D872" i="5"/>
  <c r="AB872" i="5" s="1"/>
  <c r="E872" i="5"/>
  <c r="F872" i="5"/>
  <c r="G872" i="5"/>
  <c r="H872" i="5"/>
  <c r="I872" i="5"/>
  <c r="J872" i="5"/>
  <c r="K872" i="5"/>
  <c r="L872" i="5"/>
  <c r="M872" i="5"/>
  <c r="AC872" i="5" s="1"/>
  <c r="N872" i="5"/>
  <c r="O872" i="5"/>
  <c r="P872" i="5"/>
  <c r="Q872" i="5"/>
  <c r="R872" i="5"/>
  <c r="S872" i="5"/>
  <c r="T872" i="5"/>
  <c r="U872" i="5"/>
  <c r="V872" i="5"/>
  <c r="W872" i="5"/>
  <c r="X872" i="5"/>
  <c r="B873" i="5"/>
  <c r="C873" i="5"/>
  <c r="AB873" i="5" s="1"/>
  <c r="D873" i="5"/>
  <c r="E873" i="5"/>
  <c r="F873" i="5"/>
  <c r="G873" i="5"/>
  <c r="H873" i="5"/>
  <c r="I873" i="5"/>
  <c r="J873" i="5"/>
  <c r="K873" i="5"/>
  <c r="L873" i="5"/>
  <c r="M873" i="5"/>
  <c r="AC873" i="5" s="1"/>
  <c r="N873" i="5"/>
  <c r="O873" i="5"/>
  <c r="P873" i="5"/>
  <c r="Q873" i="5"/>
  <c r="R873" i="5"/>
  <c r="S873" i="5"/>
  <c r="T873" i="5"/>
  <c r="U873" i="5"/>
  <c r="V873" i="5"/>
  <c r="W873" i="5"/>
  <c r="X873" i="5"/>
  <c r="B874" i="5"/>
  <c r="AB874" i="5" s="1"/>
  <c r="C874" i="5"/>
  <c r="D874" i="5"/>
  <c r="E874" i="5"/>
  <c r="F874" i="5"/>
  <c r="G874" i="5"/>
  <c r="H874" i="5"/>
  <c r="I874" i="5"/>
  <c r="J874" i="5"/>
  <c r="K874" i="5"/>
  <c r="L874" i="5"/>
  <c r="M874" i="5"/>
  <c r="N874" i="5"/>
  <c r="O874" i="5"/>
  <c r="P874" i="5"/>
  <c r="Q874" i="5"/>
  <c r="R874" i="5"/>
  <c r="S874" i="5"/>
  <c r="T874" i="5"/>
  <c r="U874" i="5"/>
  <c r="V874" i="5"/>
  <c r="W874" i="5"/>
  <c r="X874" i="5"/>
  <c r="AC874" i="5"/>
  <c r="B875" i="5"/>
  <c r="C875" i="5"/>
  <c r="D875" i="5"/>
  <c r="E875" i="5"/>
  <c r="F875" i="5"/>
  <c r="G875" i="5"/>
  <c r="H875" i="5"/>
  <c r="I875" i="5"/>
  <c r="J875" i="5"/>
  <c r="K875" i="5"/>
  <c r="L875" i="5"/>
  <c r="M875" i="5"/>
  <c r="AC875" i="5" s="1"/>
  <c r="N875" i="5"/>
  <c r="O875" i="5"/>
  <c r="P875" i="5"/>
  <c r="Q875" i="5"/>
  <c r="R875" i="5"/>
  <c r="S875" i="5"/>
  <c r="T875" i="5"/>
  <c r="U875" i="5"/>
  <c r="V875" i="5"/>
  <c r="W875" i="5"/>
  <c r="X875" i="5"/>
  <c r="AB875" i="5"/>
  <c r="B876" i="5"/>
  <c r="C876" i="5"/>
  <c r="D876" i="5"/>
  <c r="AB876" i="5" s="1"/>
  <c r="E876" i="5"/>
  <c r="F876" i="5"/>
  <c r="G876" i="5"/>
  <c r="H876" i="5"/>
  <c r="I876" i="5"/>
  <c r="J876" i="5"/>
  <c r="K876" i="5"/>
  <c r="L876" i="5"/>
  <c r="M876" i="5"/>
  <c r="AC876" i="5" s="1"/>
  <c r="N876" i="5"/>
  <c r="O876" i="5"/>
  <c r="P876" i="5"/>
  <c r="Q876" i="5"/>
  <c r="R876" i="5"/>
  <c r="S876" i="5"/>
  <c r="T876" i="5"/>
  <c r="U876" i="5"/>
  <c r="V876" i="5"/>
  <c r="W876" i="5"/>
  <c r="X876" i="5"/>
  <c r="B877" i="5"/>
  <c r="C877" i="5"/>
  <c r="AB877" i="5" s="1"/>
  <c r="D877" i="5"/>
  <c r="E877" i="5"/>
  <c r="F877" i="5"/>
  <c r="G877" i="5"/>
  <c r="H877" i="5"/>
  <c r="I877" i="5"/>
  <c r="J877" i="5"/>
  <c r="K877" i="5"/>
  <c r="L877" i="5"/>
  <c r="M877" i="5"/>
  <c r="AC877" i="5" s="1"/>
  <c r="N877" i="5"/>
  <c r="O877" i="5"/>
  <c r="P877" i="5"/>
  <c r="Q877" i="5"/>
  <c r="R877" i="5"/>
  <c r="S877" i="5"/>
  <c r="T877" i="5"/>
  <c r="U877" i="5"/>
  <c r="V877" i="5"/>
  <c r="W877" i="5"/>
  <c r="X877" i="5"/>
  <c r="B878" i="5"/>
  <c r="AB878" i="5" s="1"/>
  <c r="C878" i="5"/>
  <c r="D878" i="5"/>
  <c r="E878" i="5"/>
  <c r="F878" i="5"/>
  <c r="G878" i="5"/>
  <c r="H878" i="5"/>
  <c r="I878" i="5"/>
  <c r="J878" i="5"/>
  <c r="K878" i="5"/>
  <c r="L878" i="5"/>
  <c r="M878" i="5"/>
  <c r="N878" i="5"/>
  <c r="O878" i="5"/>
  <c r="P878" i="5"/>
  <c r="Q878" i="5"/>
  <c r="R878" i="5"/>
  <c r="S878" i="5"/>
  <c r="T878" i="5"/>
  <c r="U878" i="5"/>
  <c r="V878" i="5"/>
  <c r="W878" i="5"/>
  <c r="X878" i="5"/>
  <c r="AC878" i="5"/>
  <c r="B879" i="5"/>
  <c r="C879" i="5"/>
  <c r="D879" i="5"/>
  <c r="E879" i="5"/>
  <c r="F879" i="5"/>
  <c r="G879" i="5"/>
  <c r="H879" i="5"/>
  <c r="I879" i="5"/>
  <c r="J879" i="5"/>
  <c r="K879" i="5"/>
  <c r="L879" i="5"/>
  <c r="M879" i="5"/>
  <c r="AC879" i="5" s="1"/>
  <c r="N879" i="5"/>
  <c r="O879" i="5"/>
  <c r="P879" i="5"/>
  <c r="Q879" i="5"/>
  <c r="R879" i="5"/>
  <c r="S879" i="5"/>
  <c r="T879" i="5"/>
  <c r="U879" i="5"/>
  <c r="V879" i="5"/>
  <c r="W879" i="5"/>
  <c r="X879" i="5"/>
  <c r="AB879" i="5"/>
  <c r="B880" i="5"/>
  <c r="C880" i="5"/>
  <c r="D880" i="5"/>
  <c r="AB880" i="5" s="1"/>
  <c r="E880" i="5"/>
  <c r="F880" i="5"/>
  <c r="G880" i="5"/>
  <c r="H880" i="5"/>
  <c r="I880" i="5"/>
  <c r="J880" i="5"/>
  <c r="K880" i="5"/>
  <c r="L880" i="5"/>
  <c r="M880" i="5"/>
  <c r="AC880" i="5" s="1"/>
  <c r="N880" i="5"/>
  <c r="O880" i="5"/>
  <c r="P880" i="5"/>
  <c r="Q880" i="5"/>
  <c r="R880" i="5"/>
  <c r="S880" i="5"/>
  <c r="T880" i="5"/>
  <c r="U880" i="5"/>
  <c r="V880" i="5"/>
  <c r="W880" i="5"/>
  <c r="X880" i="5"/>
  <c r="B881" i="5"/>
  <c r="C881" i="5"/>
  <c r="AB881" i="5" s="1"/>
  <c r="D881" i="5"/>
  <c r="E881" i="5"/>
  <c r="F881" i="5"/>
  <c r="G881" i="5"/>
  <c r="H881" i="5"/>
  <c r="I881" i="5"/>
  <c r="J881" i="5"/>
  <c r="K881" i="5"/>
  <c r="L881" i="5"/>
  <c r="M881" i="5"/>
  <c r="AC881" i="5" s="1"/>
  <c r="N881" i="5"/>
  <c r="O881" i="5"/>
  <c r="P881" i="5"/>
  <c r="Q881" i="5"/>
  <c r="R881" i="5"/>
  <c r="S881" i="5"/>
  <c r="T881" i="5"/>
  <c r="U881" i="5"/>
  <c r="V881" i="5"/>
  <c r="W881" i="5"/>
  <c r="X881" i="5"/>
  <c r="B882" i="5"/>
  <c r="AB882" i="5" s="1"/>
  <c r="C882" i="5"/>
  <c r="D882" i="5"/>
  <c r="E882" i="5"/>
  <c r="F882" i="5"/>
  <c r="G882" i="5"/>
  <c r="H882" i="5"/>
  <c r="I882" i="5"/>
  <c r="J882" i="5"/>
  <c r="K882" i="5"/>
  <c r="L882" i="5"/>
  <c r="M882" i="5"/>
  <c r="N882" i="5"/>
  <c r="O882" i="5"/>
  <c r="P882" i="5"/>
  <c r="Q882" i="5"/>
  <c r="R882" i="5"/>
  <c r="S882" i="5"/>
  <c r="T882" i="5"/>
  <c r="U882" i="5"/>
  <c r="V882" i="5"/>
  <c r="W882" i="5"/>
  <c r="X882" i="5"/>
  <c r="AC882" i="5"/>
  <c r="B883" i="5"/>
  <c r="C883" i="5"/>
  <c r="D883" i="5"/>
  <c r="E883" i="5"/>
  <c r="F883" i="5"/>
  <c r="G883" i="5"/>
  <c r="H883" i="5"/>
  <c r="I883" i="5"/>
  <c r="J883" i="5"/>
  <c r="K883" i="5"/>
  <c r="L883" i="5"/>
  <c r="M883" i="5"/>
  <c r="AC883" i="5" s="1"/>
  <c r="N883" i="5"/>
  <c r="O883" i="5"/>
  <c r="P883" i="5"/>
  <c r="Q883" i="5"/>
  <c r="R883" i="5"/>
  <c r="S883" i="5"/>
  <c r="T883" i="5"/>
  <c r="U883" i="5"/>
  <c r="V883" i="5"/>
  <c r="W883" i="5"/>
  <c r="X883" i="5"/>
  <c r="AB883" i="5"/>
  <c r="B884" i="5"/>
  <c r="C884" i="5"/>
  <c r="D884" i="5"/>
  <c r="AB884" i="5" s="1"/>
  <c r="E884" i="5"/>
  <c r="F884" i="5"/>
  <c r="G884" i="5"/>
  <c r="H884" i="5"/>
  <c r="I884" i="5"/>
  <c r="J884" i="5"/>
  <c r="K884" i="5"/>
  <c r="L884" i="5"/>
  <c r="M884" i="5"/>
  <c r="AC884" i="5" s="1"/>
  <c r="N884" i="5"/>
  <c r="O884" i="5"/>
  <c r="P884" i="5"/>
  <c r="Q884" i="5"/>
  <c r="R884" i="5"/>
  <c r="S884" i="5"/>
  <c r="T884" i="5"/>
  <c r="U884" i="5"/>
  <c r="V884" i="5"/>
  <c r="W884" i="5"/>
  <c r="X884" i="5"/>
  <c r="B885" i="5"/>
  <c r="C885" i="5"/>
  <c r="AB885" i="5" s="1"/>
  <c r="D885" i="5"/>
  <c r="E885" i="5"/>
  <c r="F885" i="5"/>
  <c r="G885" i="5"/>
  <c r="H885" i="5"/>
  <c r="I885" i="5"/>
  <c r="J885" i="5"/>
  <c r="K885" i="5"/>
  <c r="L885" i="5"/>
  <c r="M885" i="5"/>
  <c r="AC885" i="5" s="1"/>
  <c r="N885" i="5"/>
  <c r="O885" i="5"/>
  <c r="P885" i="5"/>
  <c r="Q885" i="5"/>
  <c r="R885" i="5"/>
  <c r="S885" i="5"/>
  <c r="T885" i="5"/>
  <c r="U885" i="5"/>
  <c r="V885" i="5"/>
  <c r="W885" i="5"/>
  <c r="X885" i="5"/>
  <c r="B886" i="5"/>
  <c r="AB886" i="5" s="1"/>
  <c r="C886" i="5"/>
  <c r="D886" i="5"/>
  <c r="E886" i="5"/>
  <c r="F886" i="5"/>
  <c r="G886" i="5"/>
  <c r="H886" i="5"/>
  <c r="I886" i="5"/>
  <c r="J886" i="5"/>
  <c r="K886" i="5"/>
  <c r="L886" i="5"/>
  <c r="M886" i="5"/>
  <c r="N886" i="5"/>
  <c r="O886" i="5"/>
  <c r="P886" i="5"/>
  <c r="Q886" i="5"/>
  <c r="R886" i="5"/>
  <c r="S886" i="5"/>
  <c r="T886" i="5"/>
  <c r="U886" i="5"/>
  <c r="V886" i="5"/>
  <c r="W886" i="5"/>
  <c r="X886" i="5"/>
  <c r="AC886" i="5"/>
  <c r="B887" i="5"/>
  <c r="C887" i="5"/>
  <c r="D887" i="5"/>
  <c r="E887" i="5"/>
  <c r="F887" i="5"/>
  <c r="G887" i="5"/>
  <c r="H887" i="5"/>
  <c r="I887" i="5"/>
  <c r="J887" i="5"/>
  <c r="K887" i="5"/>
  <c r="L887" i="5"/>
  <c r="M887" i="5"/>
  <c r="AC887" i="5" s="1"/>
  <c r="N887" i="5"/>
  <c r="O887" i="5"/>
  <c r="P887" i="5"/>
  <c r="Q887" i="5"/>
  <c r="R887" i="5"/>
  <c r="S887" i="5"/>
  <c r="T887" i="5"/>
  <c r="U887" i="5"/>
  <c r="V887" i="5"/>
  <c r="W887" i="5"/>
  <c r="X887" i="5"/>
  <c r="AB887" i="5"/>
  <c r="B888" i="5"/>
  <c r="C888" i="5"/>
  <c r="D888" i="5"/>
  <c r="AB888" i="5" s="1"/>
  <c r="E888" i="5"/>
  <c r="F888" i="5"/>
  <c r="G888" i="5"/>
  <c r="H888" i="5"/>
  <c r="I888" i="5"/>
  <c r="J888" i="5"/>
  <c r="K888" i="5"/>
  <c r="L888" i="5"/>
  <c r="M888" i="5"/>
  <c r="AC888" i="5" s="1"/>
  <c r="N888" i="5"/>
  <c r="O888" i="5"/>
  <c r="P888" i="5"/>
  <c r="Q888" i="5"/>
  <c r="R888" i="5"/>
  <c r="S888" i="5"/>
  <c r="T888" i="5"/>
  <c r="U888" i="5"/>
  <c r="V888" i="5"/>
  <c r="W888" i="5"/>
  <c r="X888" i="5"/>
  <c r="B889" i="5"/>
  <c r="C889" i="5"/>
  <c r="AB889" i="5" s="1"/>
  <c r="D889" i="5"/>
  <c r="E889" i="5"/>
  <c r="F889" i="5"/>
  <c r="G889" i="5"/>
  <c r="H889" i="5"/>
  <c r="I889" i="5"/>
  <c r="J889" i="5"/>
  <c r="K889" i="5"/>
  <c r="L889" i="5"/>
  <c r="M889" i="5"/>
  <c r="AC889" i="5" s="1"/>
  <c r="N889" i="5"/>
  <c r="O889" i="5"/>
  <c r="P889" i="5"/>
  <c r="Q889" i="5"/>
  <c r="R889" i="5"/>
  <c r="S889" i="5"/>
  <c r="T889" i="5"/>
  <c r="U889" i="5"/>
  <c r="V889" i="5"/>
  <c r="W889" i="5"/>
  <c r="X889" i="5"/>
  <c r="B890" i="5"/>
  <c r="AB890" i="5" s="1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U890" i="5"/>
  <c r="V890" i="5"/>
  <c r="W890" i="5"/>
  <c r="X890" i="5"/>
  <c r="AC890" i="5"/>
  <c r="B891" i="5"/>
  <c r="C891" i="5"/>
  <c r="D891" i="5"/>
  <c r="E891" i="5"/>
  <c r="F891" i="5"/>
  <c r="G891" i="5"/>
  <c r="H891" i="5"/>
  <c r="I891" i="5"/>
  <c r="J891" i="5"/>
  <c r="K891" i="5"/>
  <c r="L891" i="5"/>
  <c r="M891" i="5"/>
  <c r="AC891" i="5" s="1"/>
  <c r="N891" i="5"/>
  <c r="O891" i="5"/>
  <c r="P891" i="5"/>
  <c r="Q891" i="5"/>
  <c r="R891" i="5"/>
  <c r="S891" i="5"/>
  <c r="T891" i="5"/>
  <c r="U891" i="5"/>
  <c r="V891" i="5"/>
  <c r="W891" i="5"/>
  <c r="X891" i="5"/>
  <c r="AB891" i="5"/>
  <c r="B892" i="5"/>
  <c r="C892" i="5"/>
  <c r="D892" i="5"/>
  <c r="AB892" i="5" s="1"/>
  <c r="E892" i="5"/>
  <c r="F892" i="5"/>
  <c r="G892" i="5"/>
  <c r="H892" i="5"/>
  <c r="I892" i="5"/>
  <c r="J892" i="5"/>
  <c r="K892" i="5"/>
  <c r="L892" i="5"/>
  <c r="M892" i="5"/>
  <c r="AC892" i="5" s="1"/>
  <c r="N892" i="5"/>
  <c r="O892" i="5"/>
  <c r="P892" i="5"/>
  <c r="Q892" i="5"/>
  <c r="R892" i="5"/>
  <c r="S892" i="5"/>
  <c r="T892" i="5"/>
  <c r="U892" i="5"/>
  <c r="V892" i="5"/>
  <c r="W892" i="5"/>
  <c r="X892" i="5"/>
  <c r="B893" i="5"/>
  <c r="C893" i="5"/>
  <c r="AB893" i="5" s="1"/>
  <c r="D893" i="5"/>
  <c r="E893" i="5"/>
  <c r="F893" i="5"/>
  <c r="G893" i="5"/>
  <c r="H893" i="5"/>
  <c r="I893" i="5"/>
  <c r="J893" i="5"/>
  <c r="K893" i="5"/>
  <c r="L893" i="5"/>
  <c r="M893" i="5"/>
  <c r="AC893" i="5" s="1"/>
  <c r="N893" i="5"/>
  <c r="O893" i="5"/>
  <c r="P893" i="5"/>
  <c r="Q893" i="5"/>
  <c r="R893" i="5"/>
  <c r="S893" i="5"/>
  <c r="T893" i="5"/>
  <c r="U893" i="5"/>
  <c r="V893" i="5"/>
  <c r="W893" i="5"/>
  <c r="X893" i="5"/>
  <c r="B894" i="5"/>
  <c r="AB894" i="5" s="1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U894" i="5"/>
  <c r="V894" i="5"/>
  <c r="W894" i="5"/>
  <c r="X894" i="5"/>
  <c r="AC894" i="5"/>
  <c r="B895" i="5"/>
  <c r="C895" i="5"/>
  <c r="D895" i="5"/>
  <c r="E895" i="5"/>
  <c r="F895" i="5"/>
  <c r="G895" i="5"/>
  <c r="H895" i="5"/>
  <c r="I895" i="5"/>
  <c r="J895" i="5"/>
  <c r="K895" i="5"/>
  <c r="L895" i="5"/>
  <c r="M895" i="5"/>
  <c r="AC895" i="5" s="1"/>
  <c r="N895" i="5"/>
  <c r="O895" i="5"/>
  <c r="P895" i="5"/>
  <c r="Q895" i="5"/>
  <c r="R895" i="5"/>
  <c r="S895" i="5"/>
  <c r="T895" i="5"/>
  <c r="U895" i="5"/>
  <c r="V895" i="5"/>
  <c r="W895" i="5"/>
  <c r="X895" i="5"/>
  <c r="AB895" i="5"/>
  <c r="B896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U896" i="5"/>
  <c r="V896" i="5"/>
  <c r="W896" i="5"/>
  <c r="X896" i="5"/>
  <c r="B897" i="5"/>
  <c r="C897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U897" i="5"/>
  <c r="V897" i="5"/>
  <c r="W897" i="5"/>
  <c r="X897" i="5"/>
  <c r="B898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AC898" i="5" s="1"/>
  <c r="O898" i="5"/>
  <c r="P898" i="5"/>
  <c r="Q898" i="5"/>
  <c r="R898" i="5"/>
  <c r="S898" i="5"/>
  <c r="T898" i="5"/>
  <c r="U898" i="5"/>
  <c r="V898" i="5"/>
  <c r="W898" i="5"/>
  <c r="X898" i="5"/>
  <c r="B899" i="5"/>
  <c r="C899" i="5"/>
  <c r="D899" i="5"/>
  <c r="E899" i="5"/>
  <c r="F899" i="5"/>
  <c r="G899" i="5"/>
  <c r="H899" i="5"/>
  <c r="I899" i="5"/>
  <c r="J899" i="5"/>
  <c r="K899" i="5"/>
  <c r="L899" i="5"/>
  <c r="M899" i="5"/>
  <c r="AC899" i="5" s="1"/>
  <c r="N899" i="5"/>
  <c r="O899" i="5"/>
  <c r="P899" i="5"/>
  <c r="Q899" i="5"/>
  <c r="R899" i="5"/>
  <c r="S899" i="5"/>
  <c r="T899" i="5"/>
  <c r="U899" i="5"/>
  <c r="V899" i="5"/>
  <c r="W899" i="5"/>
  <c r="X899" i="5"/>
  <c r="AB899" i="5"/>
  <c r="B900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U900" i="5"/>
  <c r="V900" i="5"/>
  <c r="W900" i="5"/>
  <c r="X900" i="5"/>
  <c r="B901" i="5"/>
  <c r="C901" i="5"/>
  <c r="D901" i="5"/>
  <c r="E901" i="5"/>
  <c r="F901" i="5"/>
  <c r="G901" i="5"/>
  <c r="H901" i="5"/>
  <c r="I901" i="5"/>
  <c r="J901" i="5"/>
  <c r="K901" i="5"/>
  <c r="L901" i="5"/>
  <c r="M901" i="5"/>
  <c r="AC901" i="5" s="1"/>
  <c r="N901" i="5"/>
  <c r="O901" i="5"/>
  <c r="P901" i="5"/>
  <c r="Q901" i="5"/>
  <c r="R901" i="5"/>
  <c r="S901" i="5"/>
  <c r="T901" i="5"/>
  <c r="U901" i="5"/>
  <c r="V901" i="5"/>
  <c r="W901" i="5"/>
  <c r="X901" i="5"/>
  <c r="B902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AC902" i="5" s="1"/>
  <c r="O902" i="5"/>
  <c r="P902" i="5"/>
  <c r="Q902" i="5"/>
  <c r="R902" i="5"/>
  <c r="S902" i="5"/>
  <c r="T902" i="5"/>
  <c r="U902" i="5"/>
  <c r="V902" i="5"/>
  <c r="W902" i="5"/>
  <c r="X902" i="5"/>
  <c r="B903" i="5"/>
  <c r="C903" i="5"/>
  <c r="D903" i="5"/>
  <c r="E903" i="5"/>
  <c r="F903" i="5"/>
  <c r="G903" i="5"/>
  <c r="H903" i="5"/>
  <c r="I903" i="5"/>
  <c r="J903" i="5"/>
  <c r="K903" i="5"/>
  <c r="L903" i="5"/>
  <c r="M903" i="5"/>
  <c r="AC903" i="5" s="1"/>
  <c r="N903" i="5"/>
  <c r="O903" i="5"/>
  <c r="P903" i="5"/>
  <c r="Q903" i="5"/>
  <c r="R903" i="5"/>
  <c r="S903" i="5"/>
  <c r="T903" i="5"/>
  <c r="U903" i="5"/>
  <c r="V903" i="5"/>
  <c r="W903" i="5"/>
  <c r="X903" i="5"/>
  <c r="AB903" i="5"/>
  <c r="B904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U904" i="5"/>
  <c r="V904" i="5"/>
  <c r="W904" i="5"/>
  <c r="X904" i="5"/>
  <c r="B905" i="5"/>
  <c r="C905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U905" i="5"/>
  <c r="V905" i="5"/>
  <c r="W905" i="5"/>
  <c r="X905" i="5"/>
  <c r="B906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AC906" i="5" s="1"/>
  <c r="O906" i="5"/>
  <c r="P906" i="5"/>
  <c r="Q906" i="5"/>
  <c r="R906" i="5"/>
  <c r="S906" i="5"/>
  <c r="T906" i="5"/>
  <c r="U906" i="5"/>
  <c r="V906" i="5"/>
  <c r="W906" i="5"/>
  <c r="X906" i="5"/>
  <c r="B907" i="5"/>
  <c r="C907" i="5"/>
  <c r="D907" i="5"/>
  <c r="E907" i="5"/>
  <c r="F907" i="5"/>
  <c r="G907" i="5"/>
  <c r="H907" i="5"/>
  <c r="I907" i="5"/>
  <c r="J907" i="5"/>
  <c r="K907" i="5"/>
  <c r="L907" i="5"/>
  <c r="M907" i="5"/>
  <c r="AC907" i="5" s="1"/>
  <c r="N907" i="5"/>
  <c r="O907" i="5"/>
  <c r="P907" i="5"/>
  <c r="Q907" i="5"/>
  <c r="R907" i="5"/>
  <c r="S907" i="5"/>
  <c r="T907" i="5"/>
  <c r="U907" i="5"/>
  <c r="V907" i="5"/>
  <c r="W907" i="5"/>
  <c r="X907" i="5"/>
  <c r="AB907" i="5"/>
  <c r="B908" i="5"/>
  <c r="C908" i="5"/>
  <c r="D908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U908" i="5"/>
  <c r="V908" i="5"/>
  <c r="W908" i="5"/>
  <c r="X908" i="5"/>
  <c r="B909" i="5"/>
  <c r="C909" i="5"/>
  <c r="D909" i="5"/>
  <c r="E909" i="5"/>
  <c r="F909" i="5"/>
  <c r="G909" i="5"/>
  <c r="H909" i="5"/>
  <c r="I909" i="5"/>
  <c r="J909" i="5"/>
  <c r="K909" i="5"/>
  <c r="L909" i="5"/>
  <c r="M909" i="5"/>
  <c r="AC909" i="5" s="1"/>
  <c r="N909" i="5"/>
  <c r="O909" i="5"/>
  <c r="P909" i="5"/>
  <c r="Q909" i="5"/>
  <c r="R909" i="5"/>
  <c r="S909" i="5"/>
  <c r="T909" i="5"/>
  <c r="U909" i="5"/>
  <c r="V909" i="5"/>
  <c r="W909" i="5"/>
  <c r="X909" i="5"/>
  <c r="B910" i="5"/>
  <c r="C910" i="5"/>
  <c r="D910" i="5"/>
  <c r="E910" i="5"/>
  <c r="F910" i="5"/>
  <c r="G910" i="5"/>
  <c r="H910" i="5"/>
  <c r="I910" i="5"/>
  <c r="J910" i="5"/>
  <c r="K910" i="5"/>
  <c r="L910" i="5"/>
  <c r="M910" i="5"/>
  <c r="N910" i="5"/>
  <c r="AC910" i="5" s="1"/>
  <c r="O910" i="5"/>
  <c r="P910" i="5"/>
  <c r="Q910" i="5"/>
  <c r="R910" i="5"/>
  <c r="S910" i="5"/>
  <c r="T910" i="5"/>
  <c r="U910" i="5"/>
  <c r="V910" i="5"/>
  <c r="W910" i="5"/>
  <c r="X910" i="5"/>
  <c r="B911" i="5"/>
  <c r="C911" i="5"/>
  <c r="D911" i="5"/>
  <c r="E911" i="5"/>
  <c r="F911" i="5"/>
  <c r="G911" i="5"/>
  <c r="H911" i="5"/>
  <c r="I911" i="5"/>
  <c r="J911" i="5"/>
  <c r="K911" i="5"/>
  <c r="L911" i="5"/>
  <c r="M911" i="5"/>
  <c r="AC911" i="5" s="1"/>
  <c r="N911" i="5"/>
  <c r="O911" i="5"/>
  <c r="P911" i="5"/>
  <c r="Q911" i="5"/>
  <c r="R911" i="5"/>
  <c r="S911" i="5"/>
  <c r="T911" i="5"/>
  <c r="U911" i="5"/>
  <c r="V911" i="5"/>
  <c r="W911" i="5"/>
  <c r="X911" i="5"/>
  <c r="AB911" i="5"/>
  <c r="B912" i="5"/>
  <c r="C912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U912" i="5"/>
  <c r="V912" i="5"/>
  <c r="W912" i="5"/>
  <c r="X912" i="5"/>
  <c r="B913" i="5"/>
  <c r="C913" i="5"/>
  <c r="D913" i="5"/>
  <c r="E913" i="5"/>
  <c r="F913" i="5"/>
  <c r="G913" i="5"/>
  <c r="H913" i="5"/>
  <c r="I913" i="5"/>
  <c r="J913" i="5"/>
  <c r="K913" i="5"/>
  <c r="L913" i="5"/>
  <c r="M913" i="5"/>
  <c r="N913" i="5"/>
  <c r="O913" i="5"/>
  <c r="P913" i="5"/>
  <c r="Q913" i="5"/>
  <c r="R913" i="5"/>
  <c r="S913" i="5"/>
  <c r="T913" i="5"/>
  <c r="U913" i="5"/>
  <c r="V913" i="5"/>
  <c r="W913" i="5"/>
  <c r="X913" i="5"/>
  <c r="B914" i="5"/>
  <c r="C914" i="5"/>
  <c r="D914" i="5"/>
  <c r="E914" i="5"/>
  <c r="F914" i="5"/>
  <c r="G914" i="5"/>
  <c r="H914" i="5"/>
  <c r="I914" i="5"/>
  <c r="J914" i="5"/>
  <c r="K914" i="5"/>
  <c r="L914" i="5"/>
  <c r="M914" i="5"/>
  <c r="N914" i="5"/>
  <c r="AC914" i="5" s="1"/>
  <c r="O914" i="5"/>
  <c r="P914" i="5"/>
  <c r="Q914" i="5"/>
  <c r="R914" i="5"/>
  <c r="S914" i="5"/>
  <c r="T914" i="5"/>
  <c r="U914" i="5"/>
  <c r="V914" i="5"/>
  <c r="W914" i="5"/>
  <c r="X914" i="5"/>
  <c r="B915" i="5"/>
  <c r="C915" i="5"/>
  <c r="D915" i="5"/>
  <c r="E915" i="5"/>
  <c r="F915" i="5"/>
  <c r="G915" i="5"/>
  <c r="H915" i="5"/>
  <c r="I915" i="5"/>
  <c r="J915" i="5"/>
  <c r="K915" i="5"/>
  <c r="L915" i="5"/>
  <c r="M915" i="5"/>
  <c r="AC915" i="5" s="1"/>
  <c r="N915" i="5"/>
  <c r="O915" i="5"/>
  <c r="P915" i="5"/>
  <c r="Q915" i="5"/>
  <c r="R915" i="5"/>
  <c r="S915" i="5"/>
  <c r="T915" i="5"/>
  <c r="U915" i="5"/>
  <c r="V915" i="5"/>
  <c r="W915" i="5"/>
  <c r="X915" i="5"/>
  <c r="AB915" i="5"/>
  <c r="B916" i="5"/>
  <c r="C916" i="5"/>
  <c r="D916" i="5"/>
  <c r="E916" i="5"/>
  <c r="F916" i="5"/>
  <c r="G916" i="5"/>
  <c r="H916" i="5"/>
  <c r="I916" i="5"/>
  <c r="J916" i="5"/>
  <c r="K916" i="5"/>
  <c r="L916" i="5"/>
  <c r="M916" i="5"/>
  <c r="N916" i="5"/>
  <c r="O916" i="5"/>
  <c r="P916" i="5"/>
  <c r="Q916" i="5"/>
  <c r="R916" i="5"/>
  <c r="S916" i="5"/>
  <c r="T916" i="5"/>
  <c r="U916" i="5"/>
  <c r="V916" i="5"/>
  <c r="W916" i="5"/>
  <c r="X916" i="5"/>
  <c r="B917" i="5"/>
  <c r="C917" i="5"/>
  <c r="D917" i="5"/>
  <c r="E917" i="5"/>
  <c r="F917" i="5"/>
  <c r="G917" i="5"/>
  <c r="H917" i="5"/>
  <c r="I917" i="5"/>
  <c r="J917" i="5"/>
  <c r="K917" i="5"/>
  <c r="L917" i="5"/>
  <c r="M917" i="5"/>
  <c r="AC917" i="5" s="1"/>
  <c r="N917" i="5"/>
  <c r="O917" i="5"/>
  <c r="P917" i="5"/>
  <c r="Q917" i="5"/>
  <c r="R917" i="5"/>
  <c r="S917" i="5"/>
  <c r="T917" i="5"/>
  <c r="U917" i="5"/>
  <c r="V917" i="5"/>
  <c r="W917" i="5"/>
  <c r="X917" i="5"/>
  <c r="B918" i="5"/>
  <c r="C918" i="5"/>
  <c r="D918" i="5"/>
  <c r="E918" i="5"/>
  <c r="F918" i="5"/>
  <c r="G918" i="5"/>
  <c r="H918" i="5"/>
  <c r="I918" i="5"/>
  <c r="J918" i="5"/>
  <c r="K918" i="5"/>
  <c r="L918" i="5"/>
  <c r="M918" i="5"/>
  <c r="N918" i="5"/>
  <c r="AC918" i="5" s="1"/>
  <c r="O918" i="5"/>
  <c r="P918" i="5"/>
  <c r="Q918" i="5"/>
  <c r="R918" i="5"/>
  <c r="S918" i="5"/>
  <c r="T918" i="5"/>
  <c r="U918" i="5"/>
  <c r="V918" i="5"/>
  <c r="W918" i="5"/>
  <c r="X918" i="5"/>
  <c r="B919" i="5"/>
  <c r="C919" i="5"/>
  <c r="D919" i="5"/>
  <c r="E919" i="5"/>
  <c r="F919" i="5"/>
  <c r="G919" i="5"/>
  <c r="H919" i="5"/>
  <c r="I919" i="5"/>
  <c r="J919" i="5"/>
  <c r="K919" i="5"/>
  <c r="L919" i="5"/>
  <c r="M919" i="5"/>
  <c r="AC919" i="5" s="1"/>
  <c r="N919" i="5"/>
  <c r="O919" i="5"/>
  <c r="P919" i="5"/>
  <c r="Q919" i="5"/>
  <c r="R919" i="5"/>
  <c r="S919" i="5"/>
  <c r="T919" i="5"/>
  <c r="U919" i="5"/>
  <c r="V919" i="5"/>
  <c r="W919" i="5"/>
  <c r="X919" i="5"/>
  <c r="AB919" i="5"/>
  <c r="B920" i="5"/>
  <c r="C920" i="5"/>
  <c r="D920" i="5"/>
  <c r="E920" i="5"/>
  <c r="F920" i="5"/>
  <c r="G920" i="5"/>
  <c r="H920" i="5"/>
  <c r="I920" i="5"/>
  <c r="J920" i="5"/>
  <c r="K920" i="5"/>
  <c r="L920" i="5"/>
  <c r="M920" i="5"/>
  <c r="N920" i="5"/>
  <c r="O920" i="5"/>
  <c r="P920" i="5"/>
  <c r="Q920" i="5"/>
  <c r="R920" i="5"/>
  <c r="S920" i="5"/>
  <c r="T920" i="5"/>
  <c r="U920" i="5"/>
  <c r="V920" i="5"/>
  <c r="W920" i="5"/>
  <c r="X920" i="5"/>
  <c r="B921" i="5"/>
  <c r="C921" i="5"/>
  <c r="D921" i="5"/>
  <c r="E921" i="5"/>
  <c r="F921" i="5"/>
  <c r="G921" i="5"/>
  <c r="H921" i="5"/>
  <c r="I921" i="5"/>
  <c r="J921" i="5"/>
  <c r="K921" i="5"/>
  <c r="L921" i="5"/>
  <c r="M921" i="5"/>
  <c r="N921" i="5"/>
  <c r="O921" i="5"/>
  <c r="P921" i="5"/>
  <c r="Q921" i="5"/>
  <c r="R921" i="5"/>
  <c r="S921" i="5"/>
  <c r="T921" i="5"/>
  <c r="U921" i="5"/>
  <c r="V921" i="5"/>
  <c r="W921" i="5"/>
  <c r="X921" i="5"/>
  <c r="B922" i="5"/>
  <c r="C922" i="5"/>
  <c r="D922" i="5"/>
  <c r="E922" i="5"/>
  <c r="F922" i="5"/>
  <c r="G922" i="5"/>
  <c r="H922" i="5"/>
  <c r="I922" i="5"/>
  <c r="J922" i="5"/>
  <c r="K922" i="5"/>
  <c r="L922" i="5"/>
  <c r="M922" i="5"/>
  <c r="N922" i="5"/>
  <c r="AC922" i="5" s="1"/>
  <c r="O922" i="5"/>
  <c r="P922" i="5"/>
  <c r="Q922" i="5"/>
  <c r="R922" i="5"/>
  <c r="S922" i="5"/>
  <c r="T922" i="5"/>
  <c r="U922" i="5"/>
  <c r="V922" i="5"/>
  <c r="W922" i="5"/>
  <c r="X922" i="5"/>
  <c r="B923" i="5"/>
  <c r="C923" i="5"/>
  <c r="D923" i="5"/>
  <c r="E923" i="5"/>
  <c r="F923" i="5"/>
  <c r="G923" i="5"/>
  <c r="H923" i="5"/>
  <c r="I923" i="5"/>
  <c r="J923" i="5"/>
  <c r="K923" i="5"/>
  <c r="L923" i="5"/>
  <c r="M923" i="5"/>
  <c r="AC923" i="5" s="1"/>
  <c r="N923" i="5"/>
  <c r="O923" i="5"/>
  <c r="P923" i="5"/>
  <c r="Q923" i="5"/>
  <c r="R923" i="5"/>
  <c r="S923" i="5"/>
  <c r="T923" i="5"/>
  <c r="U923" i="5"/>
  <c r="V923" i="5"/>
  <c r="W923" i="5"/>
  <c r="X923" i="5"/>
  <c r="AB923" i="5"/>
  <c r="B924" i="5"/>
  <c r="C924" i="5"/>
  <c r="D924" i="5"/>
  <c r="E924" i="5"/>
  <c r="F924" i="5"/>
  <c r="G924" i="5"/>
  <c r="H924" i="5"/>
  <c r="I924" i="5"/>
  <c r="J924" i="5"/>
  <c r="K924" i="5"/>
  <c r="L924" i="5"/>
  <c r="M924" i="5"/>
  <c r="N924" i="5"/>
  <c r="O924" i="5"/>
  <c r="P924" i="5"/>
  <c r="Q924" i="5"/>
  <c r="R924" i="5"/>
  <c r="S924" i="5"/>
  <c r="T924" i="5"/>
  <c r="U924" i="5"/>
  <c r="V924" i="5"/>
  <c r="W924" i="5"/>
  <c r="X924" i="5"/>
  <c r="B925" i="5"/>
  <c r="C925" i="5"/>
  <c r="D925" i="5"/>
  <c r="E925" i="5"/>
  <c r="F925" i="5"/>
  <c r="G925" i="5"/>
  <c r="H925" i="5"/>
  <c r="I925" i="5"/>
  <c r="J925" i="5"/>
  <c r="K925" i="5"/>
  <c r="L925" i="5"/>
  <c r="M925" i="5"/>
  <c r="AC925" i="5" s="1"/>
  <c r="N925" i="5"/>
  <c r="O925" i="5"/>
  <c r="P925" i="5"/>
  <c r="Q925" i="5"/>
  <c r="R925" i="5"/>
  <c r="S925" i="5"/>
  <c r="T925" i="5"/>
  <c r="U925" i="5"/>
  <c r="V925" i="5"/>
  <c r="W925" i="5"/>
  <c r="X925" i="5"/>
  <c r="B926" i="5"/>
  <c r="C926" i="5"/>
  <c r="D926" i="5"/>
  <c r="E926" i="5"/>
  <c r="F926" i="5"/>
  <c r="G926" i="5"/>
  <c r="H926" i="5"/>
  <c r="I926" i="5"/>
  <c r="J926" i="5"/>
  <c r="K926" i="5"/>
  <c r="L926" i="5"/>
  <c r="M926" i="5"/>
  <c r="N926" i="5"/>
  <c r="AC926" i="5" s="1"/>
  <c r="O926" i="5"/>
  <c r="P926" i="5"/>
  <c r="Q926" i="5"/>
  <c r="R926" i="5"/>
  <c r="S926" i="5"/>
  <c r="T926" i="5"/>
  <c r="U926" i="5"/>
  <c r="V926" i="5"/>
  <c r="W926" i="5"/>
  <c r="X926" i="5"/>
  <c r="B927" i="5"/>
  <c r="C927" i="5"/>
  <c r="D927" i="5"/>
  <c r="E927" i="5"/>
  <c r="F927" i="5"/>
  <c r="G927" i="5"/>
  <c r="H927" i="5"/>
  <c r="I927" i="5"/>
  <c r="J927" i="5"/>
  <c r="K927" i="5"/>
  <c r="L927" i="5"/>
  <c r="M927" i="5"/>
  <c r="AC927" i="5" s="1"/>
  <c r="N927" i="5"/>
  <c r="O927" i="5"/>
  <c r="P927" i="5"/>
  <c r="Q927" i="5"/>
  <c r="R927" i="5"/>
  <c r="S927" i="5"/>
  <c r="T927" i="5"/>
  <c r="U927" i="5"/>
  <c r="V927" i="5"/>
  <c r="W927" i="5"/>
  <c r="X927" i="5"/>
  <c r="AB927" i="5"/>
  <c r="B928" i="5"/>
  <c r="C928" i="5"/>
  <c r="D928" i="5"/>
  <c r="E928" i="5"/>
  <c r="F928" i="5"/>
  <c r="G928" i="5"/>
  <c r="H928" i="5"/>
  <c r="I928" i="5"/>
  <c r="J928" i="5"/>
  <c r="K928" i="5"/>
  <c r="L928" i="5"/>
  <c r="M928" i="5"/>
  <c r="N928" i="5"/>
  <c r="O928" i="5"/>
  <c r="P928" i="5"/>
  <c r="Q928" i="5"/>
  <c r="R928" i="5"/>
  <c r="S928" i="5"/>
  <c r="T928" i="5"/>
  <c r="U928" i="5"/>
  <c r="V928" i="5"/>
  <c r="W928" i="5"/>
  <c r="X928" i="5"/>
  <c r="B929" i="5"/>
  <c r="C929" i="5"/>
  <c r="D929" i="5"/>
  <c r="E929" i="5"/>
  <c r="F929" i="5"/>
  <c r="G929" i="5"/>
  <c r="H929" i="5"/>
  <c r="I929" i="5"/>
  <c r="J929" i="5"/>
  <c r="K929" i="5"/>
  <c r="L929" i="5"/>
  <c r="M929" i="5"/>
  <c r="N929" i="5"/>
  <c r="O929" i="5"/>
  <c r="P929" i="5"/>
  <c r="Q929" i="5"/>
  <c r="R929" i="5"/>
  <c r="S929" i="5"/>
  <c r="T929" i="5"/>
  <c r="U929" i="5"/>
  <c r="V929" i="5"/>
  <c r="W929" i="5"/>
  <c r="X929" i="5"/>
  <c r="B930" i="5"/>
  <c r="C930" i="5"/>
  <c r="D930" i="5"/>
  <c r="E930" i="5"/>
  <c r="F930" i="5"/>
  <c r="G930" i="5"/>
  <c r="H930" i="5"/>
  <c r="I930" i="5"/>
  <c r="J930" i="5"/>
  <c r="K930" i="5"/>
  <c r="L930" i="5"/>
  <c r="M930" i="5"/>
  <c r="N930" i="5"/>
  <c r="AC930" i="5" s="1"/>
  <c r="O930" i="5"/>
  <c r="P930" i="5"/>
  <c r="Q930" i="5"/>
  <c r="R930" i="5"/>
  <c r="S930" i="5"/>
  <c r="T930" i="5"/>
  <c r="U930" i="5"/>
  <c r="V930" i="5"/>
  <c r="W930" i="5"/>
  <c r="X930" i="5"/>
  <c r="B931" i="5"/>
  <c r="C931" i="5"/>
  <c r="D931" i="5"/>
  <c r="E931" i="5"/>
  <c r="F931" i="5"/>
  <c r="G931" i="5"/>
  <c r="H931" i="5"/>
  <c r="I931" i="5"/>
  <c r="J931" i="5"/>
  <c r="K931" i="5"/>
  <c r="L931" i="5"/>
  <c r="M931" i="5"/>
  <c r="AC931" i="5" s="1"/>
  <c r="N931" i="5"/>
  <c r="O931" i="5"/>
  <c r="P931" i="5"/>
  <c r="Q931" i="5"/>
  <c r="R931" i="5"/>
  <c r="S931" i="5"/>
  <c r="T931" i="5"/>
  <c r="U931" i="5"/>
  <c r="V931" i="5"/>
  <c r="W931" i="5"/>
  <c r="X931" i="5"/>
  <c r="AB931" i="5"/>
  <c r="B932" i="5"/>
  <c r="C932" i="5"/>
  <c r="D932" i="5"/>
  <c r="E932" i="5"/>
  <c r="F932" i="5"/>
  <c r="G932" i="5"/>
  <c r="H932" i="5"/>
  <c r="I932" i="5"/>
  <c r="J932" i="5"/>
  <c r="K932" i="5"/>
  <c r="L932" i="5"/>
  <c r="M932" i="5"/>
  <c r="N932" i="5"/>
  <c r="O932" i="5"/>
  <c r="P932" i="5"/>
  <c r="Q932" i="5"/>
  <c r="R932" i="5"/>
  <c r="S932" i="5"/>
  <c r="T932" i="5"/>
  <c r="U932" i="5"/>
  <c r="V932" i="5"/>
  <c r="W932" i="5"/>
  <c r="X932" i="5"/>
  <c r="B933" i="5"/>
  <c r="C933" i="5"/>
  <c r="D933" i="5"/>
  <c r="E933" i="5"/>
  <c r="F933" i="5"/>
  <c r="G933" i="5"/>
  <c r="H933" i="5"/>
  <c r="I933" i="5"/>
  <c r="J933" i="5"/>
  <c r="K933" i="5"/>
  <c r="L933" i="5"/>
  <c r="M933" i="5"/>
  <c r="AC933" i="5" s="1"/>
  <c r="N933" i="5"/>
  <c r="O933" i="5"/>
  <c r="P933" i="5"/>
  <c r="Q933" i="5"/>
  <c r="R933" i="5"/>
  <c r="S933" i="5"/>
  <c r="T933" i="5"/>
  <c r="U933" i="5"/>
  <c r="V933" i="5"/>
  <c r="W933" i="5"/>
  <c r="X933" i="5"/>
  <c r="B934" i="5"/>
  <c r="C934" i="5"/>
  <c r="D934" i="5"/>
  <c r="E934" i="5"/>
  <c r="F934" i="5"/>
  <c r="G934" i="5"/>
  <c r="H934" i="5"/>
  <c r="I934" i="5"/>
  <c r="J934" i="5"/>
  <c r="K934" i="5"/>
  <c r="L934" i="5"/>
  <c r="M934" i="5"/>
  <c r="N934" i="5"/>
  <c r="AC934" i="5" s="1"/>
  <c r="O934" i="5"/>
  <c r="P934" i="5"/>
  <c r="Q934" i="5"/>
  <c r="R934" i="5"/>
  <c r="S934" i="5"/>
  <c r="T934" i="5"/>
  <c r="U934" i="5"/>
  <c r="V934" i="5"/>
  <c r="W934" i="5"/>
  <c r="X934" i="5"/>
  <c r="B935" i="5"/>
  <c r="C935" i="5"/>
  <c r="D935" i="5"/>
  <c r="E935" i="5"/>
  <c r="F935" i="5"/>
  <c r="G935" i="5"/>
  <c r="H935" i="5"/>
  <c r="I935" i="5"/>
  <c r="J935" i="5"/>
  <c r="K935" i="5"/>
  <c r="L935" i="5"/>
  <c r="M935" i="5"/>
  <c r="AC935" i="5" s="1"/>
  <c r="N935" i="5"/>
  <c r="O935" i="5"/>
  <c r="P935" i="5"/>
  <c r="Q935" i="5"/>
  <c r="R935" i="5"/>
  <c r="S935" i="5"/>
  <c r="T935" i="5"/>
  <c r="U935" i="5"/>
  <c r="V935" i="5"/>
  <c r="W935" i="5"/>
  <c r="X935" i="5"/>
  <c r="AB935" i="5"/>
  <c r="B936" i="5"/>
  <c r="C936" i="5"/>
  <c r="D936" i="5"/>
  <c r="E936" i="5"/>
  <c r="F936" i="5"/>
  <c r="G936" i="5"/>
  <c r="H936" i="5"/>
  <c r="I936" i="5"/>
  <c r="J936" i="5"/>
  <c r="K936" i="5"/>
  <c r="L936" i="5"/>
  <c r="M936" i="5"/>
  <c r="N936" i="5"/>
  <c r="O936" i="5"/>
  <c r="P936" i="5"/>
  <c r="Q936" i="5"/>
  <c r="R936" i="5"/>
  <c r="S936" i="5"/>
  <c r="T936" i="5"/>
  <c r="U936" i="5"/>
  <c r="V936" i="5"/>
  <c r="W936" i="5"/>
  <c r="X936" i="5"/>
  <c r="B937" i="5"/>
  <c r="C937" i="5"/>
  <c r="D937" i="5"/>
  <c r="E937" i="5"/>
  <c r="F937" i="5"/>
  <c r="G937" i="5"/>
  <c r="H937" i="5"/>
  <c r="I937" i="5"/>
  <c r="J937" i="5"/>
  <c r="K937" i="5"/>
  <c r="L937" i="5"/>
  <c r="M937" i="5"/>
  <c r="N937" i="5"/>
  <c r="O937" i="5"/>
  <c r="P937" i="5"/>
  <c r="Q937" i="5"/>
  <c r="R937" i="5"/>
  <c r="S937" i="5"/>
  <c r="T937" i="5"/>
  <c r="U937" i="5"/>
  <c r="V937" i="5"/>
  <c r="W937" i="5"/>
  <c r="X937" i="5"/>
  <c r="B938" i="5"/>
  <c r="C938" i="5"/>
  <c r="D938" i="5"/>
  <c r="E938" i="5"/>
  <c r="F938" i="5"/>
  <c r="G938" i="5"/>
  <c r="H938" i="5"/>
  <c r="I938" i="5"/>
  <c r="J938" i="5"/>
  <c r="K938" i="5"/>
  <c r="L938" i="5"/>
  <c r="M938" i="5"/>
  <c r="N938" i="5"/>
  <c r="AC938" i="5" s="1"/>
  <c r="O938" i="5"/>
  <c r="P938" i="5"/>
  <c r="Q938" i="5"/>
  <c r="R938" i="5"/>
  <c r="S938" i="5"/>
  <c r="T938" i="5"/>
  <c r="U938" i="5"/>
  <c r="V938" i="5"/>
  <c r="W938" i="5"/>
  <c r="X938" i="5"/>
  <c r="B939" i="5"/>
  <c r="C939" i="5"/>
  <c r="D939" i="5"/>
  <c r="E939" i="5"/>
  <c r="F939" i="5"/>
  <c r="G939" i="5"/>
  <c r="H939" i="5"/>
  <c r="I939" i="5"/>
  <c r="J939" i="5"/>
  <c r="K939" i="5"/>
  <c r="L939" i="5"/>
  <c r="M939" i="5"/>
  <c r="AC939" i="5" s="1"/>
  <c r="N939" i="5"/>
  <c r="O939" i="5"/>
  <c r="P939" i="5"/>
  <c r="Q939" i="5"/>
  <c r="R939" i="5"/>
  <c r="S939" i="5"/>
  <c r="T939" i="5"/>
  <c r="U939" i="5"/>
  <c r="V939" i="5"/>
  <c r="W939" i="5"/>
  <c r="X939" i="5"/>
  <c r="AB939" i="5"/>
  <c r="B940" i="5"/>
  <c r="C940" i="5"/>
  <c r="D940" i="5"/>
  <c r="E940" i="5"/>
  <c r="F940" i="5"/>
  <c r="G940" i="5"/>
  <c r="H940" i="5"/>
  <c r="I940" i="5"/>
  <c r="J940" i="5"/>
  <c r="K940" i="5"/>
  <c r="L940" i="5"/>
  <c r="M940" i="5"/>
  <c r="N940" i="5"/>
  <c r="O940" i="5"/>
  <c r="P940" i="5"/>
  <c r="Q940" i="5"/>
  <c r="R940" i="5"/>
  <c r="S940" i="5"/>
  <c r="T940" i="5"/>
  <c r="U940" i="5"/>
  <c r="V940" i="5"/>
  <c r="W940" i="5"/>
  <c r="X940" i="5"/>
  <c r="B941" i="5"/>
  <c r="C941" i="5"/>
  <c r="D941" i="5"/>
  <c r="E941" i="5"/>
  <c r="F941" i="5"/>
  <c r="G941" i="5"/>
  <c r="H941" i="5"/>
  <c r="I941" i="5"/>
  <c r="J941" i="5"/>
  <c r="K941" i="5"/>
  <c r="L941" i="5"/>
  <c r="M941" i="5"/>
  <c r="AC941" i="5" s="1"/>
  <c r="N941" i="5"/>
  <c r="O941" i="5"/>
  <c r="P941" i="5"/>
  <c r="Q941" i="5"/>
  <c r="R941" i="5"/>
  <c r="S941" i="5"/>
  <c r="T941" i="5"/>
  <c r="U941" i="5"/>
  <c r="V941" i="5"/>
  <c r="W941" i="5"/>
  <c r="X941" i="5"/>
  <c r="B942" i="5"/>
  <c r="C942" i="5"/>
  <c r="D942" i="5"/>
  <c r="E942" i="5"/>
  <c r="F942" i="5"/>
  <c r="G942" i="5"/>
  <c r="H942" i="5"/>
  <c r="I942" i="5"/>
  <c r="J942" i="5"/>
  <c r="K942" i="5"/>
  <c r="L942" i="5"/>
  <c r="M942" i="5"/>
  <c r="N942" i="5"/>
  <c r="AC942" i="5" s="1"/>
  <c r="O942" i="5"/>
  <c r="P942" i="5"/>
  <c r="Q942" i="5"/>
  <c r="R942" i="5"/>
  <c r="S942" i="5"/>
  <c r="T942" i="5"/>
  <c r="U942" i="5"/>
  <c r="V942" i="5"/>
  <c r="W942" i="5"/>
  <c r="X942" i="5"/>
  <c r="B943" i="5"/>
  <c r="C943" i="5"/>
  <c r="D943" i="5"/>
  <c r="E943" i="5"/>
  <c r="F943" i="5"/>
  <c r="G943" i="5"/>
  <c r="H943" i="5"/>
  <c r="I943" i="5"/>
  <c r="J943" i="5"/>
  <c r="K943" i="5"/>
  <c r="L943" i="5"/>
  <c r="M943" i="5"/>
  <c r="AC943" i="5" s="1"/>
  <c r="N943" i="5"/>
  <c r="O943" i="5"/>
  <c r="P943" i="5"/>
  <c r="Q943" i="5"/>
  <c r="R943" i="5"/>
  <c r="S943" i="5"/>
  <c r="T943" i="5"/>
  <c r="U943" i="5"/>
  <c r="V943" i="5"/>
  <c r="W943" i="5"/>
  <c r="X943" i="5"/>
  <c r="AB943" i="5"/>
  <c r="B944" i="5"/>
  <c r="C944" i="5"/>
  <c r="D944" i="5"/>
  <c r="E944" i="5"/>
  <c r="F944" i="5"/>
  <c r="G944" i="5"/>
  <c r="H944" i="5"/>
  <c r="I944" i="5"/>
  <c r="J944" i="5"/>
  <c r="K944" i="5"/>
  <c r="L944" i="5"/>
  <c r="M944" i="5"/>
  <c r="N944" i="5"/>
  <c r="O944" i="5"/>
  <c r="P944" i="5"/>
  <c r="Q944" i="5"/>
  <c r="R944" i="5"/>
  <c r="S944" i="5"/>
  <c r="T944" i="5"/>
  <c r="U944" i="5"/>
  <c r="V944" i="5"/>
  <c r="W944" i="5"/>
  <c r="X944" i="5"/>
  <c r="B945" i="5"/>
  <c r="C945" i="5"/>
  <c r="D945" i="5"/>
  <c r="E945" i="5"/>
  <c r="F945" i="5"/>
  <c r="G945" i="5"/>
  <c r="H945" i="5"/>
  <c r="I945" i="5"/>
  <c r="J945" i="5"/>
  <c r="K945" i="5"/>
  <c r="L945" i="5"/>
  <c r="M945" i="5"/>
  <c r="N945" i="5"/>
  <c r="O945" i="5"/>
  <c r="AC945" i="5" s="1"/>
  <c r="P945" i="5"/>
  <c r="Q945" i="5"/>
  <c r="R945" i="5"/>
  <c r="S945" i="5"/>
  <c r="T945" i="5"/>
  <c r="U945" i="5"/>
  <c r="V945" i="5"/>
  <c r="W945" i="5"/>
  <c r="X945" i="5"/>
  <c r="B946" i="5"/>
  <c r="C946" i="5"/>
  <c r="D946" i="5"/>
  <c r="E946" i="5"/>
  <c r="F946" i="5"/>
  <c r="G946" i="5"/>
  <c r="H946" i="5"/>
  <c r="I946" i="5"/>
  <c r="J946" i="5"/>
  <c r="K946" i="5"/>
  <c r="L946" i="5"/>
  <c r="M946" i="5"/>
  <c r="N946" i="5"/>
  <c r="AC946" i="5" s="1"/>
  <c r="O946" i="5"/>
  <c r="P946" i="5"/>
  <c r="Q946" i="5"/>
  <c r="R946" i="5"/>
  <c r="S946" i="5"/>
  <c r="T946" i="5"/>
  <c r="U946" i="5"/>
  <c r="V946" i="5"/>
  <c r="W946" i="5"/>
  <c r="X946" i="5"/>
  <c r="B947" i="5"/>
  <c r="C947" i="5"/>
  <c r="D947" i="5"/>
  <c r="E947" i="5"/>
  <c r="F947" i="5"/>
  <c r="G947" i="5"/>
  <c r="H947" i="5"/>
  <c r="I947" i="5"/>
  <c r="J947" i="5"/>
  <c r="K947" i="5"/>
  <c r="L947" i="5"/>
  <c r="M947" i="5"/>
  <c r="AC947" i="5" s="1"/>
  <c r="N947" i="5"/>
  <c r="O947" i="5"/>
  <c r="P947" i="5"/>
  <c r="Q947" i="5"/>
  <c r="R947" i="5"/>
  <c r="S947" i="5"/>
  <c r="T947" i="5"/>
  <c r="U947" i="5"/>
  <c r="V947" i="5"/>
  <c r="W947" i="5"/>
  <c r="X947" i="5"/>
  <c r="AB947" i="5"/>
  <c r="B948" i="5"/>
  <c r="C948" i="5"/>
  <c r="D948" i="5"/>
  <c r="E948" i="5"/>
  <c r="F948" i="5"/>
  <c r="G948" i="5"/>
  <c r="H948" i="5"/>
  <c r="I948" i="5"/>
  <c r="J948" i="5"/>
  <c r="K948" i="5"/>
  <c r="L948" i="5"/>
  <c r="M948" i="5"/>
  <c r="N948" i="5"/>
  <c r="O948" i="5"/>
  <c r="P948" i="5"/>
  <c r="Q948" i="5"/>
  <c r="R948" i="5"/>
  <c r="S948" i="5"/>
  <c r="T948" i="5"/>
  <c r="U948" i="5"/>
  <c r="V948" i="5"/>
  <c r="W948" i="5"/>
  <c r="X948" i="5"/>
  <c r="B949" i="5"/>
  <c r="C949" i="5"/>
  <c r="D949" i="5"/>
  <c r="E949" i="5"/>
  <c r="F949" i="5"/>
  <c r="G949" i="5"/>
  <c r="H949" i="5"/>
  <c r="I949" i="5"/>
  <c r="J949" i="5"/>
  <c r="K949" i="5"/>
  <c r="L949" i="5"/>
  <c r="M949" i="5"/>
  <c r="N949" i="5"/>
  <c r="O949" i="5"/>
  <c r="AC949" i="5" s="1"/>
  <c r="P949" i="5"/>
  <c r="Q949" i="5"/>
  <c r="R949" i="5"/>
  <c r="S949" i="5"/>
  <c r="T949" i="5"/>
  <c r="U949" i="5"/>
  <c r="V949" i="5"/>
  <c r="W949" i="5"/>
  <c r="X949" i="5"/>
  <c r="B950" i="5"/>
  <c r="C950" i="5"/>
  <c r="D950" i="5"/>
  <c r="E950" i="5"/>
  <c r="F950" i="5"/>
  <c r="G950" i="5"/>
  <c r="H950" i="5"/>
  <c r="I950" i="5"/>
  <c r="J950" i="5"/>
  <c r="K950" i="5"/>
  <c r="L950" i="5"/>
  <c r="M950" i="5"/>
  <c r="N950" i="5"/>
  <c r="AC950" i="5" s="1"/>
  <c r="O950" i="5"/>
  <c r="P950" i="5"/>
  <c r="Q950" i="5"/>
  <c r="R950" i="5"/>
  <c r="S950" i="5"/>
  <c r="T950" i="5"/>
  <c r="U950" i="5"/>
  <c r="V950" i="5"/>
  <c r="W950" i="5"/>
  <c r="X950" i="5"/>
  <c r="B951" i="5"/>
  <c r="C951" i="5"/>
  <c r="D951" i="5"/>
  <c r="E951" i="5"/>
  <c r="F951" i="5"/>
  <c r="G951" i="5"/>
  <c r="H951" i="5"/>
  <c r="I951" i="5"/>
  <c r="J951" i="5"/>
  <c r="K951" i="5"/>
  <c r="L951" i="5"/>
  <c r="M951" i="5"/>
  <c r="AC951" i="5" s="1"/>
  <c r="N951" i="5"/>
  <c r="O951" i="5"/>
  <c r="P951" i="5"/>
  <c r="Q951" i="5"/>
  <c r="R951" i="5"/>
  <c r="S951" i="5"/>
  <c r="T951" i="5"/>
  <c r="U951" i="5"/>
  <c r="V951" i="5"/>
  <c r="W951" i="5"/>
  <c r="X951" i="5"/>
  <c r="AB951" i="5"/>
  <c r="B952" i="5"/>
  <c r="C952" i="5"/>
  <c r="D952" i="5"/>
  <c r="E952" i="5"/>
  <c r="F952" i="5"/>
  <c r="G952" i="5"/>
  <c r="H952" i="5"/>
  <c r="I952" i="5"/>
  <c r="J952" i="5"/>
  <c r="K952" i="5"/>
  <c r="L952" i="5"/>
  <c r="M952" i="5"/>
  <c r="N952" i="5"/>
  <c r="O952" i="5"/>
  <c r="P952" i="5"/>
  <c r="Q952" i="5"/>
  <c r="R952" i="5"/>
  <c r="S952" i="5"/>
  <c r="T952" i="5"/>
  <c r="U952" i="5"/>
  <c r="V952" i="5"/>
  <c r="W952" i="5"/>
  <c r="X952" i="5"/>
  <c r="B953" i="5"/>
  <c r="C953" i="5"/>
  <c r="D953" i="5"/>
  <c r="E953" i="5"/>
  <c r="F953" i="5"/>
  <c r="G953" i="5"/>
  <c r="H953" i="5"/>
  <c r="I953" i="5"/>
  <c r="J953" i="5"/>
  <c r="K953" i="5"/>
  <c r="L953" i="5"/>
  <c r="M953" i="5"/>
  <c r="N953" i="5"/>
  <c r="O953" i="5"/>
  <c r="AC953" i="5" s="1"/>
  <c r="P953" i="5"/>
  <c r="Q953" i="5"/>
  <c r="R953" i="5"/>
  <c r="S953" i="5"/>
  <c r="T953" i="5"/>
  <c r="U953" i="5"/>
  <c r="V953" i="5"/>
  <c r="W953" i="5"/>
  <c r="X953" i="5"/>
  <c r="B954" i="5"/>
  <c r="C954" i="5"/>
  <c r="D954" i="5"/>
  <c r="E954" i="5"/>
  <c r="F954" i="5"/>
  <c r="G954" i="5"/>
  <c r="H954" i="5"/>
  <c r="I954" i="5"/>
  <c r="J954" i="5"/>
  <c r="K954" i="5"/>
  <c r="L954" i="5"/>
  <c r="M954" i="5"/>
  <c r="N954" i="5"/>
  <c r="AC954" i="5" s="1"/>
  <c r="O954" i="5"/>
  <c r="P954" i="5"/>
  <c r="Q954" i="5"/>
  <c r="R954" i="5"/>
  <c r="S954" i="5"/>
  <c r="T954" i="5"/>
  <c r="U954" i="5"/>
  <c r="V954" i="5"/>
  <c r="W954" i="5"/>
  <c r="X954" i="5"/>
  <c r="B955" i="5"/>
  <c r="C955" i="5"/>
  <c r="D955" i="5"/>
  <c r="E955" i="5"/>
  <c r="F955" i="5"/>
  <c r="G955" i="5"/>
  <c r="H955" i="5"/>
  <c r="I955" i="5"/>
  <c r="J955" i="5"/>
  <c r="K955" i="5"/>
  <c r="L955" i="5"/>
  <c r="M955" i="5"/>
  <c r="AC955" i="5" s="1"/>
  <c r="N955" i="5"/>
  <c r="O955" i="5"/>
  <c r="P955" i="5"/>
  <c r="Q955" i="5"/>
  <c r="R955" i="5"/>
  <c r="S955" i="5"/>
  <c r="T955" i="5"/>
  <c r="U955" i="5"/>
  <c r="V955" i="5"/>
  <c r="W955" i="5"/>
  <c r="X955" i="5"/>
  <c r="AB955" i="5"/>
  <c r="B956" i="5"/>
  <c r="C956" i="5"/>
  <c r="D956" i="5"/>
  <c r="E956" i="5"/>
  <c r="F956" i="5"/>
  <c r="G956" i="5"/>
  <c r="H956" i="5"/>
  <c r="I956" i="5"/>
  <c r="J956" i="5"/>
  <c r="K956" i="5"/>
  <c r="L956" i="5"/>
  <c r="M956" i="5"/>
  <c r="N956" i="5"/>
  <c r="O956" i="5"/>
  <c r="P956" i="5"/>
  <c r="Q956" i="5"/>
  <c r="R956" i="5"/>
  <c r="S956" i="5"/>
  <c r="T956" i="5"/>
  <c r="U956" i="5"/>
  <c r="V956" i="5"/>
  <c r="W956" i="5"/>
  <c r="X956" i="5"/>
  <c r="B957" i="5"/>
  <c r="C957" i="5"/>
  <c r="D957" i="5"/>
  <c r="E957" i="5"/>
  <c r="F957" i="5"/>
  <c r="G957" i="5"/>
  <c r="H957" i="5"/>
  <c r="I957" i="5"/>
  <c r="J957" i="5"/>
  <c r="K957" i="5"/>
  <c r="L957" i="5"/>
  <c r="M957" i="5"/>
  <c r="N957" i="5"/>
  <c r="O957" i="5"/>
  <c r="AC957" i="5" s="1"/>
  <c r="P957" i="5"/>
  <c r="Q957" i="5"/>
  <c r="R957" i="5"/>
  <c r="S957" i="5"/>
  <c r="T957" i="5"/>
  <c r="U957" i="5"/>
  <c r="V957" i="5"/>
  <c r="W957" i="5"/>
  <c r="X957" i="5"/>
  <c r="B958" i="5"/>
  <c r="C958" i="5"/>
  <c r="D958" i="5"/>
  <c r="E958" i="5"/>
  <c r="F958" i="5"/>
  <c r="G958" i="5"/>
  <c r="H958" i="5"/>
  <c r="I958" i="5"/>
  <c r="J958" i="5"/>
  <c r="K958" i="5"/>
  <c r="L958" i="5"/>
  <c r="M958" i="5"/>
  <c r="N958" i="5"/>
  <c r="AC958" i="5" s="1"/>
  <c r="O958" i="5"/>
  <c r="P958" i="5"/>
  <c r="Q958" i="5"/>
  <c r="R958" i="5"/>
  <c r="S958" i="5"/>
  <c r="T958" i="5"/>
  <c r="U958" i="5"/>
  <c r="V958" i="5"/>
  <c r="W958" i="5"/>
  <c r="X958" i="5"/>
  <c r="B959" i="5"/>
  <c r="C959" i="5"/>
  <c r="D959" i="5"/>
  <c r="E959" i="5"/>
  <c r="F959" i="5"/>
  <c r="G959" i="5"/>
  <c r="H959" i="5"/>
  <c r="I959" i="5"/>
  <c r="J959" i="5"/>
  <c r="K959" i="5"/>
  <c r="L959" i="5"/>
  <c r="M959" i="5"/>
  <c r="AC959" i="5" s="1"/>
  <c r="N959" i="5"/>
  <c r="O959" i="5"/>
  <c r="P959" i="5"/>
  <c r="Q959" i="5"/>
  <c r="R959" i="5"/>
  <c r="S959" i="5"/>
  <c r="T959" i="5"/>
  <c r="U959" i="5"/>
  <c r="V959" i="5"/>
  <c r="W959" i="5"/>
  <c r="X959" i="5"/>
  <c r="AB959" i="5"/>
  <c r="B960" i="5"/>
  <c r="C960" i="5"/>
  <c r="D960" i="5"/>
  <c r="E960" i="5"/>
  <c r="F960" i="5"/>
  <c r="G960" i="5"/>
  <c r="H960" i="5"/>
  <c r="I960" i="5"/>
  <c r="J960" i="5"/>
  <c r="K960" i="5"/>
  <c r="L960" i="5"/>
  <c r="M960" i="5"/>
  <c r="N960" i="5"/>
  <c r="O960" i="5"/>
  <c r="P960" i="5"/>
  <c r="Q960" i="5"/>
  <c r="R960" i="5"/>
  <c r="S960" i="5"/>
  <c r="T960" i="5"/>
  <c r="U960" i="5"/>
  <c r="V960" i="5"/>
  <c r="W960" i="5"/>
  <c r="X960" i="5"/>
  <c r="B961" i="5"/>
  <c r="C961" i="5"/>
  <c r="D961" i="5"/>
  <c r="E961" i="5"/>
  <c r="F961" i="5"/>
  <c r="G961" i="5"/>
  <c r="H961" i="5"/>
  <c r="I961" i="5"/>
  <c r="J961" i="5"/>
  <c r="K961" i="5"/>
  <c r="L961" i="5"/>
  <c r="M961" i="5"/>
  <c r="N961" i="5"/>
  <c r="O961" i="5"/>
  <c r="AC961" i="5" s="1"/>
  <c r="P961" i="5"/>
  <c r="Q961" i="5"/>
  <c r="R961" i="5"/>
  <c r="S961" i="5"/>
  <c r="T961" i="5"/>
  <c r="U961" i="5"/>
  <c r="V961" i="5"/>
  <c r="W961" i="5"/>
  <c r="X961" i="5"/>
  <c r="B962" i="5"/>
  <c r="C962" i="5"/>
  <c r="D962" i="5"/>
  <c r="E962" i="5"/>
  <c r="F962" i="5"/>
  <c r="G962" i="5"/>
  <c r="H962" i="5"/>
  <c r="I962" i="5"/>
  <c r="J962" i="5"/>
  <c r="K962" i="5"/>
  <c r="L962" i="5"/>
  <c r="M962" i="5"/>
  <c r="N962" i="5"/>
  <c r="AC962" i="5" s="1"/>
  <c r="O962" i="5"/>
  <c r="P962" i="5"/>
  <c r="Q962" i="5"/>
  <c r="R962" i="5"/>
  <c r="S962" i="5"/>
  <c r="T962" i="5"/>
  <c r="U962" i="5"/>
  <c r="V962" i="5"/>
  <c r="W962" i="5"/>
  <c r="X962" i="5"/>
  <c r="B963" i="5"/>
  <c r="C963" i="5"/>
  <c r="D963" i="5"/>
  <c r="E963" i="5"/>
  <c r="F963" i="5"/>
  <c r="G963" i="5"/>
  <c r="H963" i="5"/>
  <c r="I963" i="5"/>
  <c r="J963" i="5"/>
  <c r="K963" i="5"/>
  <c r="L963" i="5"/>
  <c r="M963" i="5"/>
  <c r="AC963" i="5" s="1"/>
  <c r="N963" i="5"/>
  <c r="O963" i="5"/>
  <c r="P963" i="5"/>
  <c r="Q963" i="5"/>
  <c r="R963" i="5"/>
  <c r="S963" i="5"/>
  <c r="T963" i="5"/>
  <c r="U963" i="5"/>
  <c r="V963" i="5"/>
  <c r="W963" i="5"/>
  <c r="X963" i="5"/>
  <c r="AB963" i="5"/>
  <c r="B964" i="5"/>
  <c r="C964" i="5"/>
  <c r="D964" i="5"/>
  <c r="E964" i="5"/>
  <c r="F964" i="5"/>
  <c r="G964" i="5"/>
  <c r="H964" i="5"/>
  <c r="I964" i="5"/>
  <c r="J964" i="5"/>
  <c r="K964" i="5"/>
  <c r="L964" i="5"/>
  <c r="M964" i="5"/>
  <c r="N964" i="5"/>
  <c r="O964" i="5"/>
  <c r="P964" i="5"/>
  <c r="Q964" i="5"/>
  <c r="R964" i="5"/>
  <c r="S964" i="5"/>
  <c r="T964" i="5"/>
  <c r="U964" i="5"/>
  <c r="V964" i="5"/>
  <c r="W964" i="5"/>
  <c r="X964" i="5"/>
  <c r="B965" i="5"/>
  <c r="C965" i="5"/>
  <c r="D965" i="5"/>
  <c r="E965" i="5"/>
  <c r="F965" i="5"/>
  <c r="G965" i="5"/>
  <c r="H965" i="5"/>
  <c r="I965" i="5"/>
  <c r="J965" i="5"/>
  <c r="K965" i="5"/>
  <c r="L965" i="5"/>
  <c r="M965" i="5"/>
  <c r="N965" i="5"/>
  <c r="O965" i="5"/>
  <c r="AC965" i="5" s="1"/>
  <c r="P965" i="5"/>
  <c r="Q965" i="5"/>
  <c r="R965" i="5"/>
  <c r="S965" i="5"/>
  <c r="T965" i="5"/>
  <c r="U965" i="5"/>
  <c r="V965" i="5"/>
  <c r="W965" i="5"/>
  <c r="X965" i="5"/>
  <c r="B966" i="5"/>
  <c r="C966" i="5"/>
  <c r="D966" i="5"/>
  <c r="E966" i="5"/>
  <c r="F966" i="5"/>
  <c r="G966" i="5"/>
  <c r="H966" i="5"/>
  <c r="I966" i="5"/>
  <c r="J966" i="5"/>
  <c r="K966" i="5"/>
  <c r="L966" i="5"/>
  <c r="M966" i="5"/>
  <c r="N966" i="5"/>
  <c r="AC966" i="5" s="1"/>
  <c r="O966" i="5"/>
  <c r="P966" i="5"/>
  <c r="Q966" i="5"/>
  <c r="R966" i="5"/>
  <c r="S966" i="5"/>
  <c r="T966" i="5"/>
  <c r="U966" i="5"/>
  <c r="V966" i="5"/>
  <c r="W966" i="5"/>
  <c r="X966" i="5"/>
  <c r="B967" i="5"/>
  <c r="C967" i="5"/>
  <c r="D967" i="5"/>
  <c r="E967" i="5"/>
  <c r="F967" i="5"/>
  <c r="G967" i="5"/>
  <c r="H967" i="5"/>
  <c r="I967" i="5"/>
  <c r="J967" i="5"/>
  <c r="K967" i="5"/>
  <c r="L967" i="5"/>
  <c r="M967" i="5"/>
  <c r="AC967" i="5" s="1"/>
  <c r="N967" i="5"/>
  <c r="O967" i="5"/>
  <c r="P967" i="5"/>
  <c r="Q967" i="5"/>
  <c r="R967" i="5"/>
  <c r="S967" i="5"/>
  <c r="T967" i="5"/>
  <c r="U967" i="5"/>
  <c r="V967" i="5"/>
  <c r="W967" i="5"/>
  <c r="X967" i="5"/>
  <c r="AB967" i="5"/>
  <c r="B968" i="5"/>
  <c r="C968" i="5"/>
  <c r="D968" i="5"/>
  <c r="AB968" i="5" s="1"/>
  <c r="E968" i="5"/>
  <c r="F968" i="5"/>
  <c r="G968" i="5"/>
  <c r="H968" i="5"/>
  <c r="I968" i="5"/>
  <c r="J968" i="5"/>
  <c r="K968" i="5"/>
  <c r="L968" i="5"/>
  <c r="M968" i="5"/>
  <c r="N968" i="5"/>
  <c r="O968" i="5"/>
  <c r="P968" i="5"/>
  <c r="Q968" i="5"/>
  <c r="R968" i="5"/>
  <c r="S968" i="5"/>
  <c r="T968" i="5"/>
  <c r="U968" i="5"/>
  <c r="V968" i="5"/>
  <c r="W968" i="5"/>
  <c r="X968" i="5"/>
  <c r="B969" i="5"/>
  <c r="C969" i="5"/>
  <c r="D969" i="5"/>
  <c r="E969" i="5"/>
  <c r="F969" i="5"/>
  <c r="G969" i="5"/>
  <c r="H969" i="5"/>
  <c r="I969" i="5"/>
  <c r="J969" i="5"/>
  <c r="K969" i="5"/>
  <c r="L969" i="5"/>
  <c r="M969" i="5"/>
  <c r="N969" i="5"/>
  <c r="O969" i="5"/>
  <c r="P969" i="5"/>
  <c r="Q969" i="5"/>
  <c r="R969" i="5"/>
  <c r="S969" i="5"/>
  <c r="T969" i="5"/>
  <c r="U969" i="5"/>
  <c r="V969" i="5"/>
  <c r="W969" i="5"/>
  <c r="X969" i="5"/>
  <c r="B970" i="5"/>
  <c r="C970" i="5"/>
  <c r="D970" i="5"/>
  <c r="E970" i="5"/>
  <c r="F970" i="5"/>
  <c r="G970" i="5"/>
  <c r="H970" i="5"/>
  <c r="I970" i="5"/>
  <c r="J970" i="5"/>
  <c r="K970" i="5"/>
  <c r="L970" i="5"/>
  <c r="M970" i="5"/>
  <c r="N970" i="5"/>
  <c r="O970" i="5"/>
  <c r="AC970" i="5" s="1"/>
  <c r="P970" i="5"/>
  <c r="Q970" i="5"/>
  <c r="R970" i="5"/>
  <c r="S970" i="5"/>
  <c r="T970" i="5"/>
  <c r="U970" i="5"/>
  <c r="V970" i="5"/>
  <c r="W970" i="5"/>
  <c r="X970" i="5"/>
  <c r="B971" i="5"/>
  <c r="C971" i="5"/>
  <c r="D971" i="5"/>
  <c r="E971" i="5"/>
  <c r="F971" i="5"/>
  <c r="G971" i="5"/>
  <c r="H971" i="5"/>
  <c r="I971" i="5"/>
  <c r="J971" i="5"/>
  <c r="K971" i="5"/>
  <c r="L971" i="5"/>
  <c r="M971" i="5"/>
  <c r="AC971" i="5" s="1"/>
  <c r="N971" i="5"/>
  <c r="O971" i="5"/>
  <c r="P971" i="5"/>
  <c r="Q971" i="5"/>
  <c r="R971" i="5"/>
  <c r="S971" i="5"/>
  <c r="T971" i="5"/>
  <c r="U971" i="5"/>
  <c r="V971" i="5"/>
  <c r="W971" i="5"/>
  <c r="X971" i="5"/>
  <c r="AB971" i="5"/>
  <c r="B972" i="5"/>
  <c r="C972" i="5"/>
  <c r="D972" i="5"/>
  <c r="AB972" i="5" s="1"/>
  <c r="E972" i="5"/>
  <c r="F972" i="5"/>
  <c r="G972" i="5"/>
  <c r="H972" i="5"/>
  <c r="I972" i="5"/>
  <c r="J972" i="5"/>
  <c r="K972" i="5"/>
  <c r="L972" i="5"/>
  <c r="M972" i="5"/>
  <c r="N972" i="5"/>
  <c r="O972" i="5"/>
  <c r="P972" i="5"/>
  <c r="Q972" i="5"/>
  <c r="R972" i="5"/>
  <c r="S972" i="5"/>
  <c r="T972" i="5"/>
  <c r="U972" i="5"/>
  <c r="V972" i="5"/>
  <c r="W972" i="5"/>
  <c r="X972" i="5"/>
  <c r="B973" i="5"/>
  <c r="C973" i="5"/>
  <c r="D973" i="5"/>
  <c r="E973" i="5"/>
  <c r="F973" i="5"/>
  <c r="G973" i="5"/>
  <c r="H973" i="5"/>
  <c r="I973" i="5"/>
  <c r="J973" i="5"/>
  <c r="K973" i="5"/>
  <c r="L973" i="5"/>
  <c r="M973" i="5"/>
  <c r="N973" i="5"/>
  <c r="O973" i="5"/>
  <c r="P973" i="5"/>
  <c r="Q973" i="5"/>
  <c r="R973" i="5"/>
  <c r="S973" i="5"/>
  <c r="T973" i="5"/>
  <c r="U973" i="5"/>
  <c r="V973" i="5"/>
  <c r="W973" i="5"/>
  <c r="X973" i="5"/>
  <c r="B974" i="5"/>
  <c r="C974" i="5"/>
  <c r="D974" i="5"/>
  <c r="E974" i="5"/>
  <c r="F974" i="5"/>
  <c r="G974" i="5"/>
  <c r="H974" i="5"/>
  <c r="I974" i="5"/>
  <c r="J974" i="5"/>
  <c r="K974" i="5"/>
  <c r="L974" i="5"/>
  <c r="M974" i="5"/>
  <c r="N974" i="5"/>
  <c r="O974" i="5"/>
  <c r="AC974" i="5" s="1"/>
  <c r="P974" i="5"/>
  <c r="Q974" i="5"/>
  <c r="R974" i="5"/>
  <c r="S974" i="5"/>
  <c r="T974" i="5"/>
  <c r="U974" i="5"/>
  <c r="V974" i="5"/>
  <c r="W974" i="5"/>
  <c r="X974" i="5"/>
  <c r="B975" i="5"/>
  <c r="C975" i="5"/>
  <c r="D975" i="5"/>
  <c r="E975" i="5"/>
  <c r="F975" i="5"/>
  <c r="G975" i="5"/>
  <c r="H975" i="5"/>
  <c r="I975" i="5"/>
  <c r="J975" i="5"/>
  <c r="K975" i="5"/>
  <c r="L975" i="5"/>
  <c r="M975" i="5"/>
  <c r="AC975" i="5" s="1"/>
  <c r="N975" i="5"/>
  <c r="O975" i="5"/>
  <c r="P975" i="5"/>
  <c r="Q975" i="5"/>
  <c r="R975" i="5"/>
  <c r="S975" i="5"/>
  <c r="T975" i="5"/>
  <c r="U975" i="5"/>
  <c r="V975" i="5"/>
  <c r="W975" i="5"/>
  <c r="X975" i="5"/>
  <c r="AB975" i="5"/>
  <c r="B976" i="5"/>
  <c r="C976" i="5"/>
  <c r="D976" i="5"/>
  <c r="AB976" i="5" s="1"/>
  <c r="E976" i="5"/>
  <c r="F976" i="5"/>
  <c r="G976" i="5"/>
  <c r="H976" i="5"/>
  <c r="I976" i="5"/>
  <c r="J976" i="5"/>
  <c r="K976" i="5"/>
  <c r="L976" i="5"/>
  <c r="M976" i="5"/>
  <c r="N976" i="5"/>
  <c r="O976" i="5"/>
  <c r="P976" i="5"/>
  <c r="Q976" i="5"/>
  <c r="R976" i="5"/>
  <c r="S976" i="5"/>
  <c r="T976" i="5"/>
  <c r="U976" i="5"/>
  <c r="V976" i="5"/>
  <c r="W976" i="5"/>
  <c r="X976" i="5"/>
  <c r="B977" i="5"/>
  <c r="C977" i="5"/>
  <c r="D977" i="5"/>
  <c r="E977" i="5"/>
  <c r="F977" i="5"/>
  <c r="G977" i="5"/>
  <c r="H977" i="5"/>
  <c r="I977" i="5"/>
  <c r="J977" i="5"/>
  <c r="K977" i="5"/>
  <c r="L977" i="5"/>
  <c r="M977" i="5"/>
  <c r="N977" i="5"/>
  <c r="O977" i="5"/>
  <c r="P977" i="5"/>
  <c r="Q977" i="5"/>
  <c r="R977" i="5"/>
  <c r="S977" i="5"/>
  <c r="T977" i="5"/>
  <c r="U977" i="5"/>
  <c r="V977" i="5"/>
  <c r="W977" i="5"/>
  <c r="X977" i="5"/>
  <c r="B978" i="5"/>
  <c r="C978" i="5"/>
  <c r="D978" i="5"/>
  <c r="E978" i="5"/>
  <c r="F978" i="5"/>
  <c r="G978" i="5"/>
  <c r="H978" i="5"/>
  <c r="I978" i="5"/>
  <c r="J978" i="5"/>
  <c r="K978" i="5"/>
  <c r="L978" i="5"/>
  <c r="M978" i="5"/>
  <c r="N978" i="5"/>
  <c r="O978" i="5"/>
  <c r="P978" i="5"/>
  <c r="Q978" i="5"/>
  <c r="R978" i="5"/>
  <c r="S978" i="5"/>
  <c r="T978" i="5"/>
  <c r="U978" i="5"/>
  <c r="V978" i="5"/>
  <c r="W978" i="5"/>
  <c r="X978" i="5"/>
  <c r="AC978" i="5"/>
  <c r="B979" i="5"/>
  <c r="C979" i="5"/>
  <c r="D979" i="5"/>
  <c r="E979" i="5"/>
  <c r="F979" i="5"/>
  <c r="G979" i="5"/>
  <c r="H979" i="5"/>
  <c r="I979" i="5"/>
  <c r="J979" i="5"/>
  <c r="K979" i="5"/>
  <c r="L979" i="5"/>
  <c r="M979" i="5"/>
  <c r="AC979" i="5" s="1"/>
  <c r="N979" i="5"/>
  <c r="O979" i="5"/>
  <c r="P979" i="5"/>
  <c r="Q979" i="5"/>
  <c r="R979" i="5"/>
  <c r="S979" i="5"/>
  <c r="T979" i="5"/>
  <c r="U979" i="5"/>
  <c r="V979" i="5"/>
  <c r="W979" i="5"/>
  <c r="X979" i="5"/>
  <c r="AB979" i="5"/>
  <c r="B980" i="5"/>
  <c r="C980" i="5"/>
  <c r="D980" i="5"/>
  <c r="AB980" i="5" s="1"/>
  <c r="E980" i="5"/>
  <c r="F980" i="5"/>
  <c r="G980" i="5"/>
  <c r="H980" i="5"/>
  <c r="I980" i="5"/>
  <c r="J980" i="5"/>
  <c r="K980" i="5"/>
  <c r="L980" i="5"/>
  <c r="M980" i="5"/>
  <c r="N980" i="5"/>
  <c r="O980" i="5"/>
  <c r="P980" i="5"/>
  <c r="Q980" i="5"/>
  <c r="R980" i="5"/>
  <c r="S980" i="5"/>
  <c r="T980" i="5"/>
  <c r="U980" i="5"/>
  <c r="V980" i="5"/>
  <c r="W980" i="5"/>
  <c r="X980" i="5"/>
  <c r="B981" i="5"/>
  <c r="C981" i="5"/>
  <c r="D981" i="5"/>
  <c r="E981" i="5"/>
  <c r="F981" i="5"/>
  <c r="G981" i="5"/>
  <c r="H981" i="5"/>
  <c r="I981" i="5"/>
  <c r="J981" i="5"/>
  <c r="K981" i="5"/>
  <c r="L981" i="5"/>
  <c r="M981" i="5"/>
  <c r="N981" i="5"/>
  <c r="O981" i="5"/>
  <c r="P981" i="5"/>
  <c r="Q981" i="5"/>
  <c r="R981" i="5"/>
  <c r="S981" i="5"/>
  <c r="T981" i="5"/>
  <c r="U981" i="5"/>
  <c r="V981" i="5"/>
  <c r="W981" i="5"/>
  <c r="X981" i="5"/>
  <c r="B982" i="5"/>
  <c r="C982" i="5"/>
  <c r="D982" i="5"/>
  <c r="E982" i="5"/>
  <c r="F982" i="5"/>
  <c r="G982" i="5"/>
  <c r="H982" i="5"/>
  <c r="I982" i="5"/>
  <c r="J982" i="5"/>
  <c r="K982" i="5"/>
  <c r="L982" i="5"/>
  <c r="M982" i="5"/>
  <c r="N982" i="5"/>
  <c r="O982" i="5"/>
  <c r="P982" i="5"/>
  <c r="Q982" i="5"/>
  <c r="R982" i="5"/>
  <c r="S982" i="5"/>
  <c r="T982" i="5"/>
  <c r="U982" i="5"/>
  <c r="V982" i="5"/>
  <c r="W982" i="5"/>
  <c r="X982" i="5"/>
  <c r="AC982" i="5"/>
  <c r="B983" i="5"/>
  <c r="C983" i="5"/>
  <c r="D983" i="5"/>
  <c r="E983" i="5"/>
  <c r="F983" i="5"/>
  <c r="G983" i="5"/>
  <c r="H983" i="5"/>
  <c r="I983" i="5"/>
  <c r="J983" i="5"/>
  <c r="K983" i="5"/>
  <c r="L983" i="5"/>
  <c r="M983" i="5"/>
  <c r="AC983" i="5" s="1"/>
  <c r="N983" i="5"/>
  <c r="O983" i="5"/>
  <c r="P983" i="5"/>
  <c r="Q983" i="5"/>
  <c r="R983" i="5"/>
  <c r="S983" i="5"/>
  <c r="T983" i="5"/>
  <c r="U983" i="5"/>
  <c r="V983" i="5"/>
  <c r="W983" i="5"/>
  <c r="X983" i="5"/>
  <c r="AB983" i="5"/>
  <c r="B984" i="5"/>
  <c r="C984" i="5"/>
  <c r="D984" i="5"/>
  <c r="AB984" i="5" s="1"/>
  <c r="E984" i="5"/>
  <c r="F984" i="5"/>
  <c r="G984" i="5"/>
  <c r="H984" i="5"/>
  <c r="I984" i="5"/>
  <c r="J984" i="5"/>
  <c r="K984" i="5"/>
  <c r="L984" i="5"/>
  <c r="M984" i="5"/>
  <c r="N984" i="5"/>
  <c r="O984" i="5"/>
  <c r="P984" i="5"/>
  <c r="Q984" i="5"/>
  <c r="R984" i="5"/>
  <c r="S984" i="5"/>
  <c r="T984" i="5"/>
  <c r="U984" i="5"/>
  <c r="V984" i="5"/>
  <c r="W984" i="5"/>
  <c r="X984" i="5"/>
  <c r="B985" i="5"/>
  <c r="C985" i="5"/>
  <c r="D985" i="5"/>
  <c r="E985" i="5"/>
  <c r="F985" i="5"/>
  <c r="G985" i="5"/>
  <c r="H985" i="5"/>
  <c r="I985" i="5"/>
  <c r="J985" i="5"/>
  <c r="K985" i="5"/>
  <c r="L985" i="5"/>
  <c r="M985" i="5"/>
  <c r="N985" i="5"/>
  <c r="O985" i="5"/>
  <c r="P985" i="5"/>
  <c r="Q985" i="5"/>
  <c r="R985" i="5"/>
  <c r="S985" i="5"/>
  <c r="T985" i="5"/>
  <c r="U985" i="5"/>
  <c r="V985" i="5"/>
  <c r="W985" i="5"/>
  <c r="X985" i="5"/>
  <c r="B986" i="5"/>
  <c r="C986" i="5"/>
  <c r="D986" i="5"/>
  <c r="E986" i="5"/>
  <c r="F986" i="5"/>
  <c r="G986" i="5"/>
  <c r="H986" i="5"/>
  <c r="I986" i="5"/>
  <c r="J986" i="5"/>
  <c r="K986" i="5"/>
  <c r="L986" i="5"/>
  <c r="M986" i="5"/>
  <c r="N986" i="5"/>
  <c r="O986" i="5"/>
  <c r="P986" i="5"/>
  <c r="Q986" i="5"/>
  <c r="R986" i="5"/>
  <c r="S986" i="5"/>
  <c r="T986" i="5"/>
  <c r="U986" i="5"/>
  <c r="V986" i="5"/>
  <c r="W986" i="5"/>
  <c r="X986" i="5"/>
  <c r="AC986" i="5"/>
  <c r="B987" i="5"/>
  <c r="C987" i="5"/>
  <c r="D987" i="5"/>
  <c r="E987" i="5"/>
  <c r="F987" i="5"/>
  <c r="G987" i="5"/>
  <c r="H987" i="5"/>
  <c r="I987" i="5"/>
  <c r="J987" i="5"/>
  <c r="K987" i="5"/>
  <c r="L987" i="5"/>
  <c r="M987" i="5"/>
  <c r="AC987" i="5" s="1"/>
  <c r="N987" i="5"/>
  <c r="O987" i="5"/>
  <c r="P987" i="5"/>
  <c r="Q987" i="5"/>
  <c r="R987" i="5"/>
  <c r="S987" i="5"/>
  <c r="T987" i="5"/>
  <c r="U987" i="5"/>
  <c r="V987" i="5"/>
  <c r="W987" i="5"/>
  <c r="X987" i="5"/>
  <c r="AB987" i="5"/>
  <c r="B988" i="5"/>
  <c r="C988" i="5"/>
  <c r="D988" i="5"/>
  <c r="AB988" i="5" s="1"/>
  <c r="E988" i="5"/>
  <c r="F988" i="5"/>
  <c r="G988" i="5"/>
  <c r="H988" i="5"/>
  <c r="I988" i="5"/>
  <c r="J988" i="5"/>
  <c r="K988" i="5"/>
  <c r="L988" i="5"/>
  <c r="M988" i="5"/>
  <c r="N988" i="5"/>
  <c r="O988" i="5"/>
  <c r="P988" i="5"/>
  <c r="Q988" i="5"/>
  <c r="R988" i="5"/>
  <c r="S988" i="5"/>
  <c r="T988" i="5"/>
  <c r="U988" i="5"/>
  <c r="V988" i="5"/>
  <c r="W988" i="5"/>
  <c r="X988" i="5"/>
  <c r="B989" i="5"/>
  <c r="C989" i="5"/>
  <c r="D989" i="5"/>
  <c r="E989" i="5"/>
  <c r="F989" i="5"/>
  <c r="G989" i="5"/>
  <c r="H989" i="5"/>
  <c r="I989" i="5"/>
  <c r="J989" i="5"/>
  <c r="K989" i="5"/>
  <c r="L989" i="5"/>
  <c r="M989" i="5"/>
  <c r="N989" i="5"/>
  <c r="O989" i="5"/>
  <c r="P989" i="5"/>
  <c r="Q989" i="5"/>
  <c r="R989" i="5"/>
  <c r="S989" i="5"/>
  <c r="T989" i="5"/>
  <c r="U989" i="5"/>
  <c r="V989" i="5"/>
  <c r="W989" i="5"/>
  <c r="X989" i="5"/>
  <c r="B990" i="5"/>
  <c r="C990" i="5"/>
  <c r="D990" i="5"/>
  <c r="E990" i="5"/>
  <c r="F990" i="5"/>
  <c r="G990" i="5"/>
  <c r="H990" i="5"/>
  <c r="I990" i="5"/>
  <c r="J990" i="5"/>
  <c r="K990" i="5"/>
  <c r="L990" i="5"/>
  <c r="M990" i="5"/>
  <c r="N990" i="5"/>
  <c r="O990" i="5"/>
  <c r="P990" i="5"/>
  <c r="Q990" i="5"/>
  <c r="R990" i="5"/>
  <c r="S990" i="5"/>
  <c r="T990" i="5"/>
  <c r="U990" i="5"/>
  <c r="V990" i="5"/>
  <c r="W990" i="5"/>
  <c r="X990" i="5"/>
  <c r="AC990" i="5"/>
  <c r="B991" i="5"/>
  <c r="C991" i="5"/>
  <c r="D991" i="5"/>
  <c r="E991" i="5"/>
  <c r="F991" i="5"/>
  <c r="G991" i="5"/>
  <c r="H991" i="5"/>
  <c r="I991" i="5"/>
  <c r="J991" i="5"/>
  <c r="K991" i="5"/>
  <c r="L991" i="5"/>
  <c r="M991" i="5"/>
  <c r="AC991" i="5" s="1"/>
  <c r="N991" i="5"/>
  <c r="O991" i="5"/>
  <c r="P991" i="5"/>
  <c r="Q991" i="5"/>
  <c r="R991" i="5"/>
  <c r="S991" i="5"/>
  <c r="T991" i="5"/>
  <c r="U991" i="5"/>
  <c r="V991" i="5"/>
  <c r="W991" i="5"/>
  <c r="X991" i="5"/>
  <c r="AB991" i="5"/>
  <c r="B992" i="5"/>
  <c r="C992" i="5"/>
  <c r="D992" i="5"/>
  <c r="AB992" i="5" s="1"/>
  <c r="E992" i="5"/>
  <c r="F992" i="5"/>
  <c r="G992" i="5"/>
  <c r="H992" i="5"/>
  <c r="I992" i="5"/>
  <c r="J992" i="5"/>
  <c r="K992" i="5"/>
  <c r="L992" i="5"/>
  <c r="M992" i="5"/>
  <c r="N992" i="5"/>
  <c r="O992" i="5"/>
  <c r="P992" i="5"/>
  <c r="Q992" i="5"/>
  <c r="R992" i="5"/>
  <c r="S992" i="5"/>
  <c r="T992" i="5"/>
  <c r="U992" i="5"/>
  <c r="V992" i="5"/>
  <c r="W992" i="5"/>
  <c r="X992" i="5"/>
  <c r="B993" i="5"/>
  <c r="C993" i="5"/>
  <c r="D993" i="5"/>
  <c r="E993" i="5"/>
  <c r="F993" i="5"/>
  <c r="G993" i="5"/>
  <c r="H993" i="5"/>
  <c r="I993" i="5"/>
  <c r="J993" i="5"/>
  <c r="K993" i="5"/>
  <c r="L993" i="5"/>
  <c r="M993" i="5"/>
  <c r="N993" i="5"/>
  <c r="O993" i="5"/>
  <c r="P993" i="5"/>
  <c r="Q993" i="5"/>
  <c r="R993" i="5"/>
  <c r="S993" i="5"/>
  <c r="T993" i="5"/>
  <c r="U993" i="5"/>
  <c r="V993" i="5"/>
  <c r="W993" i="5"/>
  <c r="X993" i="5"/>
  <c r="B994" i="5"/>
  <c r="C994" i="5"/>
  <c r="D994" i="5"/>
  <c r="E994" i="5"/>
  <c r="F994" i="5"/>
  <c r="G994" i="5"/>
  <c r="H994" i="5"/>
  <c r="I994" i="5"/>
  <c r="J994" i="5"/>
  <c r="K994" i="5"/>
  <c r="L994" i="5"/>
  <c r="M994" i="5"/>
  <c r="N994" i="5"/>
  <c r="O994" i="5"/>
  <c r="P994" i="5"/>
  <c r="Q994" i="5"/>
  <c r="R994" i="5"/>
  <c r="S994" i="5"/>
  <c r="T994" i="5"/>
  <c r="U994" i="5"/>
  <c r="V994" i="5"/>
  <c r="W994" i="5"/>
  <c r="X994" i="5"/>
  <c r="AC994" i="5"/>
  <c r="B995" i="5"/>
  <c r="C995" i="5"/>
  <c r="D995" i="5"/>
  <c r="E995" i="5"/>
  <c r="F995" i="5"/>
  <c r="G995" i="5"/>
  <c r="H995" i="5"/>
  <c r="I995" i="5"/>
  <c r="J995" i="5"/>
  <c r="K995" i="5"/>
  <c r="L995" i="5"/>
  <c r="M995" i="5"/>
  <c r="AC995" i="5" s="1"/>
  <c r="N995" i="5"/>
  <c r="O995" i="5"/>
  <c r="P995" i="5"/>
  <c r="Q995" i="5"/>
  <c r="R995" i="5"/>
  <c r="S995" i="5"/>
  <c r="T995" i="5"/>
  <c r="U995" i="5"/>
  <c r="V995" i="5"/>
  <c r="W995" i="5"/>
  <c r="X995" i="5"/>
  <c r="AB995" i="5"/>
  <c r="B996" i="5"/>
  <c r="C996" i="5"/>
  <c r="D996" i="5"/>
  <c r="AB996" i="5" s="1"/>
  <c r="E996" i="5"/>
  <c r="F996" i="5"/>
  <c r="G996" i="5"/>
  <c r="H996" i="5"/>
  <c r="I996" i="5"/>
  <c r="J996" i="5"/>
  <c r="K996" i="5"/>
  <c r="L996" i="5"/>
  <c r="M996" i="5"/>
  <c r="N996" i="5"/>
  <c r="O996" i="5"/>
  <c r="P996" i="5"/>
  <c r="Q996" i="5"/>
  <c r="R996" i="5"/>
  <c r="S996" i="5"/>
  <c r="T996" i="5"/>
  <c r="U996" i="5"/>
  <c r="V996" i="5"/>
  <c r="W996" i="5"/>
  <c r="X996" i="5"/>
  <c r="B997" i="5"/>
  <c r="C997" i="5"/>
  <c r="D997" i="5"/>
  <c r="E997" i="5"/>
  <c r="F997" i="5"/>
  <c r="G997" i="5"/>
  <c r="H997" i="5"/>
  <c r="I997" i="5"/>
  <c r="J997" i="5"/>
  <c r="K997" i="5"/>
  <c r="L997" i="5"/>
  <c r="M997" i="5"/>
  <c r="N997" i="5"/>
  <c r="O997" i="5"/>
  <c r="P997" i="5"/>
  <c r="Q997" i="5"/>
  <c r="R997" i="5"/>
  <c r="S997" i="5"/>
  <c r="T997" i="5"/>
  <c r="U997" i="5"/>
  <c r="V997" i="5"/>
  <c r="W997" i="5"/>
  <c r="X997" i="5"/>
  <c r="B998" i="5"/>
  <c r="C998" i="5"/>
  <c r="D998" i="5"/>
  <c r="E998" i="5"/>
  <c r="F998" i="5"/>
  <c r="G998" i="5"/>
  <c r="H998" i="5"/>
  <c r="I998" i="5"/>
  <c r="J998" i="5"/>
  <c r="K998" i="5"/>
  <c r="L998" i="5"/>
  <c r="M998" i="5"/>
  <c r="N998" i="5"/>
  <c r="O998" i="5"/>
  <c r="P998" i="5"/>
  <c r="Q998" i="5"/>
  <c r="R998" i="5"/>
  <c r="S998" i="5"/>
  <c r="T998" i="5"/>
  <c r="U998" i="5"/>
  <c r="V998" i="5"/>
  <c r="W998" i="5"/>
  <c r="X998" i="5"/>
  <c r="AC998" i="5"/>
  <c r="B999" i="5"/>
  <c r="C999" i="5"/>
  <c r="D999" i="5"/>
  <c r="E999" i="5"/>
  <c r="F999" i="5"/>
  <c r="G999" i="5"/>
  <c r="H999" i="5"/>
  <c r="I999" i="5"/>
  <c r="J999" i="5"/>
  <c r="K999" i="5"/>
  <c r="L999" i="5"/>
  <c r="M999" i="5"/>
  <c r="AC999" i="5" s="1"/>
  <c r="N999" i="5"/>
  <c r="O999" i="5"/>
  <c r="P999" i="5"/>
  <c r="Q999" i="5"/>
  <c r="R999" i="5"/>
  <c r="S999" i="5"/>
  <c r="T999" i="5"/>
  <c r="U999" i="5"/>
  <c r="V999" i="5"/>
  <c r="W999" i="5"/>
  <c r="X999" i="5"/>
  <c r="AB999" i="5"/>
  <c r="B1000" i="5"/>
  <c r="C1000" i="5"/>
  <c r="D1000" i="5"/>
  <c r="AB1000" i="5" s="1"/>
  <c r="E1000" i="5"/>
  <c r="F1000" i="5"/>
  <c r="G1000" i="5"/>
  <c r="H1000" i="5"/>
  <c r="I1000" i="5"/>
  <c r="J1000" i="5"/>
  <c r="K1000" i="5"/>
  <c r="L1000" i="5"/>
  <c r="M1000" i="5"/>
  <c r="N1000" i="5"/>
  <c r="O1000" i="5"/>
  <c r="P1000" i="5"/>
  <c r="Q1000" i="5"/>
  <c r="R1000" i="5"/>
  <c r="S1000" i="5"/>
  <c r="T1000" i="5"/>
  <c r="U1000" i="5"/>
  <c r="V1000" i="5"/>
  <c r="W1000" i="5"/>
  <c r="X1000" i="5"/>
  <c r="B1001" i="5"/>
  <c r="C1001" i="5"/>
  <c r="D1001" i="5"/>
  <c r="AB1001" i="5" s="1"/>
  <c r="E1001" i="5"/>
  <c r="F1001" i="5"/>
  <c r="G1001" i="5"/>
  <c r="H1001" i="5"/>
  <c r="I1001" i="5"/>
  <c r="J1001" i="5"/>
  <c r="K1001" i="5"/>
  <c r="L1001" i="5"/>
  <c r="M1001" i="5"/>
  <c r="N1001" i="5"/>
  <c r="O1001" i="5"/>
  <c r="P1001" i="5"/>
  <c r="Q1001" i="5"/>
  <c r="R1001" i="5"/>
  <c r="S1001" i="5"/>
  <c r="T1001" i="5"/>
  <c r="U1001" i="5"/>
  <c r="V1001" i="5"/>
  <c r="W1001" i="5"/>
  <c r="X1001" i="5"/>
  <c r="B1002" i="5"/>
  <c r="AB1002" i="5" s="1"/>
  <c r="C1002" i="5"/>
  <c r="D1002" i="5"/>
  <c r="E1002" i="5"/>
  <c r="F1002" i="5"/>
  <c r="G1002" i="5"/>
  <c r="H1002" i="5"/>
  <c r="I1002" i="5"/>
  <c r="J1002" i="5"/>
  <c r="K1002" i="5"/>
  <c r="L1002" i="5"/>
  <c r="M1002" i="5"/>
  <c r="N1002" i="5"/>
  <c r="O1002" i="5"/>
  <c r="P1002" i="5"/>
  <c r="AC1002" i="5" s="1"/>
  <c r="Q1002" i="5"/>
  <c r="R1002" i="5"/>
  <c r="S1002" i="5"/>
  <c r="T1002" i="5"/>
  <c r="U1002" i="5"/>
  <c r="V1002" i="5"/>
  <c r="W1002" i="5"/>
  <c r="X1002" i="5"/>
  <c r="B1003" i="5"/>
  <c r="C1003" i="5"/>
  <c r="AB1003" i="5" s="1"/>
  <c r="D1003" i="5"/>
  <c r="E1003" i="5"/>
  <c r="F1003" i="5"/>
  <c r="G1003" i="5"/>
  <c r="H1003" i="5"/>
  <c r="I1003" i="5"/>
  <c r="J1003" i="5"/>
  <c r="K1003" i="5"/>
  <c r="L1003" i="5"/>
  <c r="M1003" i="5"/>
  <c r="AC1003" i="5" s="1"/>
  <c r="N1003" i="5"/>
  <c r="O1003" i="5"/>
  <c r="P1003" i="5"/>
  <c r="Q1003" i="5"/>
  <c r="R1003" i="5"/>
  <c r="S1003" i="5"/>
  <c r="T1003" i="5"/>
  <c r="U1003" i="5"/>
  <c r="V1003" i="5"/>
  <c r="W1003" i="5"/>
  <c r="X1003" i="5"/>
  <c r="B1004" i="5"/>
  <c r="AB1004" i="5" s="1"/>
  <c r="C1004" i="5"/>
  <c r="D1004" i="5"/>
  <c r="E1004" i="5"/>
  <c r="F1004" i="5"/>
  <c r="G1004" i="5"/>
  <c r="H1004" i="5"/>
  <c r="I1004" i="5"/>
  <c r="J1004" i="5"/>
  <c r="K1004" i="5"/>
  <c r="L1004" i="5"/>
  <c r="M1004" i="5"/>
  <c r="N1004" i="5"/>
  <c r="O1004" i="5"/>
  <c r="P1004" i="5"/>
  <c r="Q1004" i="5"/>
  <c r="R1004" i="5"/>
  <c r="S1004" i="5"/>
  <c r="T1004" i="5"/>
  <c r="U1004" i="5"/>
  <c r="V1004" i="5"/>
  <c r="W1004" i="5"/>
  <c r="X1004" i="5"/>
  <c r="AC1004" i="5"/>
  <c r="B1005" i="5"/>
  <c r="C1005" i="5"/>
  <c r="D1005" i="5"/>
  <c r="E1005" i="5"/>
  <c r="F1005" i="5"/>
  <c r="G1005" i="5"/>
  <c r="H1005" i="5"/>
  <c r="I1005" i="5"/>
  <c r="J1005" i="5"/>
  <c r="K1005" i="5"/>
  <c r="L1005" i="5"/>
  <c r="M1005" i="5"/>
  <c r="AC1005" i="5" s="1"/>
  <c r="N1005" i="5"/>
  <c r="O1005" i="5"/>
  <c r="P1005" i="5"/>
  <c r="Q1005" i="5"/>
  <c r="R1005" i="5"/>
  <c r="S1005" i="5"/>
  <c r="T1005" i="5"/>
  <c r="U1005" i="5"/>
  <c r="V1005" i="5"/>
  <c r="W1005" i="5"/>
  <c r="X1005" i="5"/>
  <c r="AB1005" i="5"/>
  <c r="B1006" i="5"/>
  <c r="AB1006" i="5" s="1"/>
  <c r="C1006" i="5"/>
  <c r="D1006" i="5"/>
  <c r="E1006" i="5"/>
  <c r="F1006" i="5"/>
  <c r="G1006" i="5"/>
  <c r="H1006" i="5"/>
  <c r="I1006" i="5"/>
  <c r="J1006" i="5"/>
  <c r="K1006" i="5"/>
  <c r="L1006" i="5"/>
  <c r="M1006" i="5"/>
  <c r="N1006" i="5"/>
  <c r="O1006" i="5"/>
  <c r="P1006" i="5"/>
  <c r="AC1006" i="5" s="1"/>
  <c r="Q1006" i="5"/>
  <c r="R1006" i="5"/>
  <c r="S1006" i="5"/>
  <c r="T1006" i="5"/>
  <c r="U1006" i="5"/>
  <c r="V1006" i="5"/>
  <c r="W1006" i="5"/>
  <c r="X1006" i="5"/>
  <c r="B1007" i="5"/>
  <c r="C1007" i="5"/>
  <c r="AB1007" i="5" s="1"/>
  <c r="D1007" i="5"/>
  <c r="E1007" i="5"/>
  <c r="F1007" i="5"/>
  <c r="G1007" i="5"/>
  <c r="H1007" i="5"/>
  <c r="I1007" i="5"/>
  <c r="J1007" i="5"/>
  <c r="K1007" i="5"/>
  <c r="L1007" i="5"/>
  <c r="M1007" i="5"/>
  <c r="AC1007" i="5" s="1"/>
  <c r="N1007" i="5"/>
  <c r="O1007" i="5"/>
  <c r="P1007" i="5"/>
  <c r="Q1007" i="5"/>
  <c r="R1007" i="5"/>
  <c r="S1007" i="5"/>
  <c r="T1007" i="5"/>
  <c r="U1007" i="5"/>
  <c r="V1007" i="5"/>
  <c r="W1007" i="5"/>
  <c r="X1007" i="5"/>
  <c r="B1008" i="5"/>
  <c r="AB1008" i="5" s="1"/>
  <c r="C1008" i="5"/>
  <c r="D1008" i="5"/>
  <c r="E1008" i="5"/>
  <c r="F1008" i="5"/>
  <c r="G1008" i="5"/>
  <c r="H1008" i="5"/>
  <c r="I1008" i="5"/>
  <c r="J1008" i="5"/>
  <c r="K1008" i="5"/>
  <c r="L1008" i="5"/>
  <c r="M1008" i="5"/>
  <c r="N1008" i="5"/>
  <c r="O1008" i="5"/>
  <c r="P1008" i="5"/>
  <c r="Q1008" i="5"/>
  <c r="R1008" i="5"/>
  <c r="S1008" i="5"/>
  <c r="T1008" i="5"/>
  <c r="U1008" i="5"/>
  <c r="V1008" i="5"/>
  <c r="W1008" i="5"/>
  <c r="X1008" i="5"/>
  <c r="AC1008" i="5"/>
  <c r="B1009" i="5"/>
  <c r="C1009" i="5"/>
  <c r="D1009" i="5"/>
  <c r="E1009" i="5"/>
  <c r="F1009" i="5"/>
  <c r="G1009" i="5"/>
  <c r="H1009" i="5"/>
  <c r="I1009" i="5"/>
  <c r="J1009" i="5"/>
  <c r="K1009" i="5"/>
  <c r="L1009" i="5"/>
  <c r="M1009" i="5"/>
  <c r="AC1009" i="5" s="1"/>
  <c r="N1009" i="5"/>
  <c r="O1009" i="5"/>
  <c r="P1009" i="5"/>
  <c r="Q1009" i="5"/>
  <c r="R1009" i="5"/>
  <c r="S1009" i="5"/>
  <c r="T1009" i="5"/>
  <c r="U1009" i="5"/>
  <c r="V1009" i="5"/>
  <c r="W1009" i="5"/>
  <c r="X1009" i="5"/>
  <c r="AB1009" i="5"/>
  <c r="B1010" i="5"/>
  <c r="AB1010" i="5" s="1"/>
  <c r="C1010" i="5"/>
  <c r="D1010" i="5"/>
  <c r="E1010" i="5"/>
  <c r="F1010" i="5"/>
  <c r="G1010" i="5"/>
  <c r="H1010" i="5"/>
  <c r="I1010" i="5"/>
  <c r="J1010" i="5"/>
  <c r="K1010" i="5"/>
  <c r="L1010" i="5"/>
  <c r="M1010" i="5"/>
  <c r="N1010" i="5"/>
  <c r="O1010" i="5"/>
  <c r="P1010" i="5"/>
  <c r="AC1010" i="5" s="1"/>
  <c r="Q1010" i="5"/>
  <c r="R1010" i="5"/>
  <c r="S1010" i="5"/>
  <c r="T1010" i="5"/>
  <c r="U1010" i="5"/>
  <c r="V1010" i="5"/>
  <c r="W1010" i="5"/>
  <c r="X1010" i="5"/>
  <c r="B1011" i="5"/>
  <c r="C1011" i="5"/>
  <c r="AB1011" i="5" s="1"/>
  <c r="D1011" i="5"/>
  <c r="E1011" i="5"/>
  <c r="F1011" i="5"/>
  <c r="G1011" i="5"/>
  <c r="H1011" i="5"/>
  <c r="I1011" i="5"/>
  <c r="J1011" i="5"/>
  <c r="K1011" i="5"/>
  <c r="L1011" i="5"/>
  <c r="M1011" i="5"/>
  <c r="AC1011" i="5" s="1"/>
  <c r="N1011" i="5"/>
  <c r="O1011" i="5"/>
  <c r="P1011" i="5"/>
  <c r="Q1011" i="5"/>
  <c r="R1011" i="5"/>
  <c r="S1011" i="5"/>
  <c r="T1011" i="5"/>
  <c r="U1011" i="5"/>
  <c r="V1011" i="5"/>
  <c r="W1011" i="5"/>
  <c r="X1011" i="5"/>
  <c r="B1012" i="5"/>
  <c r="AB1012" i="5" s="1"/>
  <c r="C1012" i="5"/>
  <c r="D1012" i="5"/>
  <c r="E1012" i="5"/>
  <c r="F1012" i="5"/>
  <c r="G1012" i="5"/>
  <c r="H1012" i="5"/>
  <c r="I1012" i="5"/>
  <c r="J1012" i="5"/>
  <c r="K1012" i="5"/>
  <c r="L1012" i="5"/>
  <c r="M1012" i="5"/>
  <c r="N1012" i="5"/>
  <c r="O1012" i="5"/>
  <c r="P1012" i="5"/>
  <c r="Q1012" i="5"/>
  <c r="R1012" i="5"/>
  <c r="S1012" i="5"/>
  <c r="T1012" i="5"/>
  <c r="U1012" i="5"/>
  <c r="V1012" i="5"/>
  <c r="W1012" i="5"/>
  <c r="X1012" i="5"/>
  <c r="AC1012" i="5"/>
  <c r="B1013" i="5"/>
  <c r="C1013" i="5"/>
  <c r="D1013" i="5"/>
  <c r="E1013" i="5"/>
  <c r="F1013" i="5"/>
  <c r="G1013" i="5"/>
  <c r="H1013" i="5"/>
  <c r="I1013" i="5"/>
  <c r="J1013" i="5"/>
  <c r="K1013" i="5"/>
  <c r="L1013" i="5"/>
  <c r="M1013" i="5"/>
  <c r="AC1013" i="5" s="1"/>
  <c r="N1013" i="5"/>
  <c r="O1013" i="5"/>
  <c r="P1013" i="5"/>
  <c r="Q1013" i="5"/>
  <c r="R1013" i="5"/>
  <c r="S1013" i="5"/>
  <c r="T1013" i="5"/>
  <c r="U1013" i="5"/>
  <c r="V1013" i="5"/>
  <c r="W1013" i="5"/>
  <c r="X1013" i="5"/>
  <c r="AB1013" i="5"/>
  <c r="B1014" i="5"/>
  <c r="AB1014" i="5" s="1"/>
  <c r="C1014" i="5"/>
  <c r="D1014" i="5"/>
  <c r="E1014" i="5"/>
  <c r="F1014" i="5"/>
  <c r="G1014" i="5"/>
  <c r="H1014" i="5"/>
  <c r="I1014" i="5"/>
  <c r="J1014" i="5"/>
  <c r="K1014" i="5"/>
  <c r="L1014" i="5"/>
  <c r="M1014" i="5"/>
  <c r="N1014" i="5"/>
  <c r="O1014" i="5"/>
  <c r="P1014" i="5"/>
  <c r="AC1014" i="5" s="1"/>
  <c r="Q1014" i="5"/>
  <c r="R1014" i="5"/>
  <c r="S1014" i="5"/>
  <c r="T1014" i="5"/>
  <c r="U1014" i="5"/>
  <c r="V1014" i="5"/>
  <c r="W1014" i="5"/>
  <c r="X1014" i="5"/>
  <c r="B1015" i="5"/>
  <c r="C1015" i="5"/>
  <c r="AB1015" i="5" s="1"/>
  <c r="D1015" i="5"/>
  <c r="E1015" i="5"/>
  <c r="F1015" i="5"/>
  <c r="G1015" i="5"/>
  <c r="H1015" i="5"/>
  <c r="I1015" i="5"/>
  <c r="J1015" i="5"/>
  <c r="K1015" i="5"/>
  <c r="L1015" i="5"/>
  <c r="M1015" i="5"/>
  <c r="AC1015" i="5" s="1"/>
  <c r="N1015" i="5"/>
  <c r="O1015" i="5"/>
  <c r="P1015" i="5"/>
  <c r="Q1015" i="5"/>
  <c r="R1015" i="5"/>
  <c r="S1015" i="5"/>
  <c r="T1015" i="5"/>
  <c r="U1015" i="5"/>
  <c r="V1015" i="5"/>
  <c r="W1015" i="5"/>
  <c r="X1015" i="5"/>
  <c r="B1016" i="5"/>
  <c r="AB1016" i="5" s="1"/>
  <c r="C1016" i="5"/>
  <c r="D1016" i="5"/>
  <c r="E1016" i="5"/>
  <c r="F1016" i="5"/>
  <c r="G1016" i="5"/>
  <c r="H1016" i="5"/>
  <c r="I1016" i="5"/>
  <c r="J1016" i="5"/>
  <c r="K1016" i="5"/>
  <c r="L1016" i="5"/>
  <c r="M1016" i="5"/>
  <c r="N1016" i="5"/>
  <c r="O1016" i="5"/>
  <c r="P1016" i="5"/>
  <c r="Q1016" i="5"/>
  <c r="R1016" i="5"/>
  <c r="S1016" i="5"/>
  <c r="T1016" i="5"/>
  <c r="U1016" i="5"/>
  <c r="V1016" i="5"/>
  <c r="W1016" i="5"/>
  <c r="X1016" i="5"/>
  <c r="AC1016" i="5"/>
  <c r="B1017" i="5"/>
  <c r="C1017" i="5"/>
  <c r="D1017" i="5"/>
  <c r="E1017" i="5"/>
  <c r="F1017" i="5"/>
  <c r="G1017" i="5"/>
  <c r="H1017" i="5"/>
  <c r="I1017" i="5"/>
  <c r="J1017" i="5"/>
  <c r="K1017" i="5"/>
  <c r="L1017" i="5"/>
  <c r="M1017" i="5"/>
  <c r="AC1017" i="5" s="1"/>
  <c r="N1017" i="5"/>
  <c r="O1017" i="5"/>
  <c r="P1017" i="5"/>
  <c r="Q1017" i="5"/>
  <c r="R1017" i="5"/>
  <c r="S1017" i="5"/>
  <c r="T1017" i="5"/>
  <c r="U1017" i="5"/>
  <c r="V1017" i="5"/>
  <c r="W1017" i="5"/>
  <c r="X1017" i="5"/>
  <c r="AB1017" i="5"/>
  <c r="B1018" i="5"/>
  <c r="AB1018" i="5" s="1"/>
  <c r="C1018" i="5"/>
  <c r="D1018" i="5"/>
  <c r="E1018" i="5"/>
  <c r="F1018" i="5"/>
  <c r="G1018" i="5"/>
  <c r="H1018" i="5"/>
  <c r="I1018" i="5"/>
  <c r="J1018" i="5"/>
  <c r="K1018" i="5"/>
  <c r="L1018" i="5"/>
  <c r="M1018" i="5"/>
  <c r="N1018" i="5"/>
  <c r="O1018" i="5"/>
  <c r="P1018" i="5"/>
  <c r="AC1018" i="5" s="1"/>
  <c r="Q1018" i="5"/>
  <c r="R1018" i="5"/>
  <c r="S1018" i="5"/>
  <c r="T1018" i="5"/>
  <c r="U1018" i="5"/>
  <c r="V1018" i="5"/>
  <c r="W1018" i="5"/>
  <c r="X1018" i="5"/>
  <c r="B1019" i="5"/>
  <c r="C1019" i="5"/>
  <c r="AB1019" i="5" s="1"/>
  <c r="D1019" i="5"/>
  <c r="E1019" i="5"/>
  <c r="F1019" i="5"/>
  <c r="G1019" i="5"/>
  <c r="H1019" i="5"/>
  <c r="I1019" i="5"/>
  <c r="J1019" i="5"/>
  <c r="K1019" i="5"/>
  <c r="L1019" i="5"/>
  <c r="M1019" i="5"/>
  <c r="AC1019" i="5" s="1"/>
  <c r="N1019" i="5"/>
  <c r="O1019" i="5"/>
  <c r="P1019" i="5"/>
  <c r="Q1019" i="5"/>
  <c r="R1019" i="5"/>
  <c r="S1019" i="5"/>
  <c r="T1019" i="5"/>
  <c r="U1019" i="5"/>
  <c r="V1019" i="5"/>
  <c r="W1019" i="5"/>
  <c r="X1019" i="5"/>
  <c r="B1020" i="5"/>
  <c r="AB1020" i="5" s="1"/>
  <c r="C1020" i="5"/>
  <c r="D1020" i="5"/>
  <c r="E1020" i="5"/>
  <c r="F1020" i="5"/>
  <c r="G1020" i="5"/>
  <c r="H1020" i="5"/>
  <c r="I1020" i="5"/>
  <c r="J1020" i="5"/>
  <c r="K1020" i="5"/>
  <c r="L1020" i="5"/>
  <c r="M1020" i="5"/>
  <c r="N1020" i="5"/>
  <c r="O1020" i="5"/>
  <c r="P1020" i="5"/>
  <c r="Q1020" i="5"/>
  <c r="R1020" i="5"/>
  <c r="S1020" i="5"/>
  <c r="T1020" i="5"/>
  <c r="U1020" i="5"/>
  <c r="V1020" i="5"/>
  <c r="W1020" i="5"/>
  <c r="X1020" i="5"/>
  <c r="AC1020" i="5"/>
  <c r="B1021" i="5"/>
  <c r="C1021" i="5"/>
  <c r="D1021" i="5"/>
  <c r="E1021" i="5"/>
  <c r="F1021" i="5"/>
  <c r="G1021" i="5"/>
  <c r="H1021" i="5"/>
  <c r="I1021" i="5"/>
  <c r="J1021" i="5"/>
  <c r="K1021" i="5"/>
  <c r="L1021" i="5"/>
  <c r="M1021" i="5"/>
  <c r="AC1021" i="5" s="1"/>
  <c r="N1021" i="5"/>
  <c r="O1021" i="5"/>
  <c r="P1021" i="5"/>
  <c r="Q1021" i="5"/>
  <c r="R1021" i="5"/>
  <c r="S1021" i="5"/>
  <c r="T1021" i="5"/>
  <c r="U1021" i="5"/>
  <c r="V1021" i="5"/>
  <c r="W1021" i="5"/>
  <c r="X1021" i="5"/>
  <c r="AB1021" i="5"/>
  <c r="B1022" i="5"/>
  <c r="AB1022" i="5" s="1"/>
  <c r="C1022" i="5"/>
  <c r="D1022" i="5"/>
  <c r="E1022" i="5"/>
  <c r="F1022" i="5"/>
  <c r="G1022" i="5"/>
  <c r="H1022" i="5"/>
  <c r="I1022" i="5"/>
  <c r="J1022" i="5"/>
  <c r="K1022" i="5"/>
  <c r="L1022" i="5"/>
  <c r="M1022" i="5"/>
  <c r="N1022" i="5"/>
  <c r="O1022" i="5"/>
  <c r="P1022" i="5"/>
  <c r="AC1022" i="5" s="1"/>
  <c r="Q1022" i="5"/>
  <c r="R1022" i="5"/>
  <c r="S1022" i="5"/>
  <c r="T1022" i="5"/>
  <c r="U1022" i="5"/>
  <c r="V1022" i="5"/>
  <c r="W1022" i="5"/>
  <c r="X1022" i="5"/>
  <c r="B1023" i="5"/>
  <c r="C1023" i="5"/>
  <c r="AB1023" i="5" s="1"/>
  <c r="D1023" i="5"/>
  <c r="E1023" i="5"/>
  <c r="F1023" i="5"/>
  <c r="G1023" i="5"/>
  <c r="H1023" i="5"/>
  <c r="I1023" i="5"/>
  <c r="J1023" i="5"/>
  <c r="K1023" i="5"/>
  <c r="L1023" i="5"/>
  <c r="M1023" i="5"/>
  <c r="AC1023" i="5" s="1"/>
  <c r="N1023" i="5"/>
  <c r="O1023" i="5"/>
  <c r="P1023" i="5"/>
  <c r="Q1023" i="5"/>
  <c r="R1023" i="5"/>
  <c r="S1023" i="5"/>
  <c r="T1023" i="5"/>
  <c r="U1023" i="5"/>
  <c r="V1023" i="5"/>
  <c r="W1023" i="5"/>
  <c r="X1023" i="5"/>
  <c r="B1024" i="5"/>
  <c r="AB1024" i="5" s="1"/>
  <c r="C1024" i="5"/>
  <c r="D1024" i="5"/>
  <c r="E1024" i="5"/>
  <c r="F1024" i="5"/>
  <c r="G1024" i="5"/>
  <c r="H1024" i="5"/>
  <c r="I1024" i="5"/>
  <c r="J1024" i="5"/>
  <c r="K1024" i="5"/>
  <c r="L1024" i="5"/>
  <c r="M1024" i="5"/>
  <c r="N1024" i="5"/>
  <c r="O1024" i="5"/>
  <c r="P1024" i="5"/>
  <c r="Q1024" i="5"/>
  <c r="R1024" i="5"/>
  <c r="S1024" i="5"/>
  <c r="T1024" i="5"/>
  <c r="U1024" i="5"/>
  <c r="V1024" i="5"/>
  <c r="W1024" i="5"/>
  <c r="X1024" i="5"/>
  <c r="AC1024" i="5"/>
  <c r="B1025" i="5"/>
  <c r="C1025" i="5"/>
  <c r="D1025" i="5"/>
  <c r="E1025" i="5"/>
  <c r="F1025" i="5"/>
  <c r="G1025" i="5"/>
  <c r="H1025" i="5"/>
  <c r="I1025" i="5"/>
  <c r="J1025" i="5"/>
  <c r="K1025" i="5"/>
  <c r="L1025" i="5"/>
  <c r="M1025" i="5"/>
  <c r="AC1025" i="5" s="1"/>
  <c r="N1025" i="5"/>
  <c r="O1025" i="5"/>
  <c r="P1025" i="5"/>
  <c r="Q1025" i="5"/>
  <c r="R1025" i="5"/>
  <c r="S1025" i="5"/>
  <c r="T1025" i="5"/>
  <c r="U1025" i="5"/>
  <c r="V1025" i="5"/>
  <c r="W1025" i="5"/>
  <c r="X1025" i="5"/>
  <c r="AB1025" i="5"/>
  <c r="B1026" i="5"/>
  <c r="AB1026" i="5" s="1"/>
  <c r="C1026" i="5"/>
  <c r="D1026" i="5"/>
  <c r="E1026" i="5"/>
  <c r="F1026" i="5"/>
  <c r="G1026" i="5"/>
  <c r="H1026" i="5"/>
  <c r="I1026" i="5"/>
  <c r="J1026" i="5"/>
  <c r="K1026" i="5"/>
  <c r="L1026" i="5"/>
  <c r="M1026" i="5"/>
  <c r="N1026" i="5"/>
  <c r="O1026" i="5"/>
  <c r="P1026" i="5"/>
  <c r="AC1026" i="5" s="1"/>
  <c r="Q1026" i="5"/>
  <c r="R1026" i="5"/>
  <c r="S1026" i="5"/>
  <c r="T1026" i="5"/>
  <c r="U1026" i="5"/>
  <c r="V1026" i="5"/>
  <c r="W1026" i="5"/>
  <c r="X1026" i="5"/>
  <c r="B1027" i="5"/>
  <c r="C1027" i="5"/>
  <c r="AB1027" i="5" s="1"/>
  <c r="D1027" i="5"/>
  <c r="E1027" i="5"/>
  <c r="F1027" i="5"/>
  <c r="G1027" i="5"/>
  <c r="H1027" i="5"/>
  <c r="I1027" i="5"/>
  <c r="J1027" i="5"/>
  <c r="K1027" i="5"/>
  <c r="L1027" i="5"/>
  <c r="M1027" i="5"/>
  <c r="AC1027" i="5" s="1"/>
  <c r="N1027" i="5"/>
  <c r="O1027" i="5"/>
  <c r="P1027" i="5"/>
  <c r="Q1027" i="5"/>
  <c r="R1027" i="5"/>
  <c r="S1027" i="5"/>
  <c r="T1027" i="5"/>
  <c r="U1027" i="5"/>
  <c r="V1027" i="5"/>
  <c r="W1027" i="5"/>
  <c r="X1027" i="5"/>
  <c r="B1028" i="5"/>
  <c r="AB1028" i="5" s="1"/>
  <c r="C1028" i="5"/>
  <c r="D1028" i="5"/>
  <c r="E1028" i="5"/>
  <c r="F1028" i="5"/>
  <c r="G1028" i="5"/>
  <c r="H1028" i="5"/>
  <c r="I1028" i="5"/>
  <c r="J1028" i="5"/>
  <c r="K1028" i="5"/>
  <c r="L1028" i="5"/>
  <c r="M1028" i="5"/>
  <c r="N1028" i="5"/>
  <c r="O1028" i="5"/>
  <c r="P1028" i="5"/>
  <c r="Q1028" i="5"/>
  <c r="R1028" i="5"/>
  <c r="S1028" i="5"/>
  <c r="T1028" i="5"/>
  <c r="U1028" i="5"/>
  <c r="V1028" i="5"/>
  <c r="W1028" i="5"/>
  <c r="X1028" i="5"/>
  <c r="AC1028" i="5"/>
  <c r="B1029" i="5"/>
  <c r="C1029" i="5"/>
  <c r="D1029" i="5"/>
  <c r="E1029" i="5"/>
  <c r="F1029" i="5"/>
  <c r="G1029" i="5"/>
  <c r="H1029" i="5"/>
  <c r="I1029" i="5"/>
  <c r="J1029" i="5"/>
  <c r="K1029" i="5"/>
  <c r="L1029" i="5"/>
  <c r="M1029" i="5"/>
  <c r="AC1029" i="5" s="1"/>
  <c r="N1029" i="5"/>
  <c r="O1029" i="5"/>
  <c r="P1029" i="5"/>
  <c r="Q1029" i="5"/>
  <c r="R1029" i="5"/>
  <c r="S1029" i="5"/>
  <c r="T1029" i="5"/>
  <c r="U1029" i="5"/>
  <c r="V1029" i="5"/>
  <c r="W1029" i="5"/>
  <c r="X1029" i="5"/>
  <c r="AB1029" i="5"/>
  <c r="B1030" i="5"/>
  <c r="AB1030" i="5" s="1"/>
  <c r="C1030" i="5"/>
  <c r="D1030" i="5"/>
  <c r="E1030" i="5"/>
  <c r="F1030" i="5"/>
  <c r="G1030" i="5"/>
  <c r="H1030" i="5"/>
  <c r="I1030" i="5"/>
  <c r="J1030" i="5"/>
  <c r="K1030" i="5"/>
  <c r="L1030" i="5"/>
  <c r="M1030" i="5"/>
  <c r="N1030" i="5"/>
  <c r="O1030" i="5"/>
  <c r="P1030" i="5"/>
  <c r="AC1030" i="5" s="1"/>
  <c r="Q1030" i="5"/>
  <c r="R1030" i="5"/>
  <c r="S1030" i="5"/>
  <c r="T1030" i="5"/>
  <c r="U1030" i="5"/>
  <c r="V1030" i="5"/>
  <c r="W1030" i="5"/>
  <c r="X1030" i="5"/>
  <c r="B1031" i="5"/>
  <c r="C1031" i="5"/>
  <c r="AB1031" i="5" s="1"/>
  <c r="D1031" i="5"/>
  <c r="E1031" i="5"/>
  <c r="F1031" i="5"/>
  <c r="G1031" i="5"/>
  <c r="H1031" i="5"/>
  <c r="I1031" i="5"/>
  <c r="J1031" i="5"/>
  <c r="K1031" i="5"/>
  <c r="L1031" i="5"/>
  <c r="M1031" i="5"/>
  <c r="AC1031" i="5" s="1"/>
  <c r="N1031" i="5"/>
  <c r="O1031" i="5"/>
  <c r="P1031" i="5"/>
  <c r="Q1031" i="5"/>
  <c r="R1031" i="5"/>
  <c r="S1031" i="5"/>
  <c r="T1031" i="5"/>
  <c r="U1031" i="5"/>
  <c r="V1031" i="5"/>
  <c r="W1031" i="5"/>
  <c r="X1031" i="5"/>
  <c r="B1032" i="5"/>
  <c r="AB1032" i="5" s="1"/>
  <c r="C1032" i="5"/>
  <c r="D1032" i="5"/>
  <c r="E1032" i="5"/>
  <c r="F1032" i="5"/>
  <c r="G1032" i="5"/>
  <c r="H1032" i="5"/>
  <c r="I1032" i="5"/>
  <c r="J1032" i="5"/>
  <c r="K1032" i="5"/>
  <c r="L1032" i="5"/>
  <c r="M1032" i="5"/>
  <c r="N1032" i="5"/>
  <c r="O1032" i="5"/>
  <c r="P1032" i="5"/>
  <c r="Q1032" i="5"/>
  <c r="R1032" i="5"/>
  <c r="S1032" i="5"/>
  <c r="T1032" i="5"/>
  <c r="U1032" i="5"/>
  <c r="V1032" i="5"/>
  <c r="W1032" i="5"/>
  <c r="X1032" i="5"/>
  <c r="AC1032" i="5"/>
  <c r="B1033" i="5"/>
  <c r="C1033" i="5"/>
  <c r="D1033" i="5"/>
  <c r="E1033" i="5"/>
  <c r="F1033" i="5"/>
  <c r="G1033" i="5"/>
  <c r="H1033" i="5"/>
  <c r="I1033" i="5"/>
  <c r="J1033" i="5"/>
  <c r="K1033" i="5"/>
  <c r="L1033" i="5"/>
  <c r="M1033" i="5"/>
  <c r="AC1033" i="5" s="1"/>
  <c r="N1033" i="5"/>
  <c r="O1033" i="5"/>
  <c r="P1033" i="5"/>
  <c r="Q1033" i="5"/>
  <c r="R1033" i="5"/>
  <c r="S1033" i="5"/>
  <c r="T1033" i="5"/>
  <c r="U1033" i="5"/>
  <c r="V1033" i="5"/>
  <c r="W1033" i="5"/>
  <c r="X1033" i="5"/>
  <c r="AB1033" i="5"/>
  <c r="B1034" i="5"/>
  <c r="AB1034" i="5" s="1"/>
  <c r="C1034" i="5"/>
  <c r="D1034" i="5"/>
  <c r="E1034" i="5"/>
  <c r="F1034" i="5"/>
  <c r="G1034" i="5"/>
  <c r="H1034" i="5"/>
  <c r="I1034" i="5"/>
  <c r="J1034" i="5"/>
  <c r="K1034" i="5"/>
  <c r="L1034" i="5"/>
  <c r="M1034" i="5"/>
  <c r="N1034" i="5"/>
  <c r="O1034" i="5"/>
  <c r="P1034" i="5"/>
  <c r="AC1034" i="5" s="1"/>
  <c r="Q1034" i="5"/>
  <c r="R1034" i="5"/>
  <c r="S1034" i="5"/>
  <c r="T1034" i="5"/>
  <c r="U1034" i="5"/>
  <c r="V1034" i="5"/>
  <c r="W1034" i="5"/>
  <c r="X1034" i="5"/>
  <c r="B1035" i="5"/>
  <c r="C1035" i="5"/>
  <c r="AB1035" i="5" s="1"/>
  <c r="D1035" i="5"/>
  <c r="E1035" i="5"/>
  <c r="F1035" i="5"/>
  <c r="G1035" i="5"/>
  <c r="H1035" i="5"/>
  <c r="I1035" i="5"/>
  <c r="J1035" i="5"/>
  <c r="K1035" i="5"/>
  <c r="L1035" i="5"/>
  <c r="M1035" i="5"/>
  <c r="AC1035" i="5" s="1"/>
  <c r="N1035" i="5"/>
  <c r="O1035" i="5"/>
  <c r="P1035" i="5"/>
  <c r="Q1035" i="5"/>
  <c r="R1035" i="5"/>
  <c r="S1035" i="5"/>
  <c r="T1035" i="5"/>
  <c r="U1035" i="5"/>
  <c r="V1035" i="5"/>
  <c r="W1035" i="5"/>
  <c r="X1035" i="5"/>
  <c r="B1036" i="5"/>
  <c r="AB1036" i="5" s="1"/>
  <c r="C1036" i="5"/>
  <c r="D1036" i="5"/>
  <c r="E1036" i="5"/>
  <c r="F1036" i="5"/>
  <c r="G1036" i="5"/>
  <c r="H1036" i="5"/>
  <c r="I1036" i="5"/>
  <c r="J1036" i="5"/>
  <c r="K1036" i="5"/>
  <c r="L1036" i="5"/>
  <c r="M1036" i="5"/>
  <c r="N1036" i="5"/>
  <c r="O1036" i="5"/>
  <c r="P1036" i="5"/>
  <c r="Q1036" i="5"/>
  <c r="R1036" i="5"/>
  <c r="S1036" i="5"/>
  <c r="T1036" i="5"/>
  <c r="U1036" i="5"/>
  <c r="V1036" i="5"/>
  <c r="W1036" i="5"/>
  <c r="X1036" i="5"/>
  <c r="AC1036" i="5"/>
  <c r="B1037" i="5"/>
  <c r="C1037" i="5"/>
  <c r="D1037" i="5"/>
  <c r="E1037" i="5"/>
  <c r="F1037" i="5"/>
  <c r="G1037" i="5"/>
  <c r="H1037" i="5"/>
  <c r="I1037" i="5"/>
  <c r="J1037" i="5"/>
  <c r="K1037" i="5"/>
  <c r="L1037" i="5"/>
  <c r="M1037" i="5"/>
  <c r="AC1037" i="5" s="1"/>
  <c r="N1037" i="5"/>
  <c r="O1037" i="5"/>
  <c r="P1037" i="5"/>
  <c r="Q1037" i="5"/>
  <c r="R1037" i="5"/>
  <c r="S1037" i="5"/>
  <c r="T1037" i="5"/>
  <c r="U1037" i="5"/>
  <c r="V1037" i="5"/>
  <c r="W1037" i="5"/>
  <c r="X1037" i="5"/>
  <c r="AB1037" i="5"/>
  <c r="B1038" i="5"/>
  <c r="AB1038" i="5" s="1"/>
  <c r="C1038" i="5"/>
  <c r="D1038" i="5"/>
  <c r="E1038" i="5"/>
  <c r="F1038" i="5"/>
  <c r="G1038" i="5"/>
  <c r="H1038" i="5"/>
  <c r="I1038" i="5"/>
  <c r="J1038" i="5"/>
  <c r="K1038" i="5"/>
  <c r="L1038" i="5"/>
  <c r="M1038" i="5"/>
  <c r="N1038" i="5"/>
  <c r="O1038" i="5"/>
  <c r="P1038" i="5"/>
  <c r="AC1038" i="5" s="1"/>
  <c r="Q1038" i="5"/>
  <c r="R1038" i="5"/>
  <c r="S1038" i="5"/>
  <c r="T1038" i="5"/>
  <c r="U1038" i="5"/>
  <c r="V1038" i="5"/>
  <c r="W1038" i="5"/>
  <c r="X1038" i="5"/>
  <c r="B1039" i="5"/>
  <c r="C1039" i="5"/>
  <c r="AB1039" i="5" s="1"/>
  <c r="D1039" i="5"/>
  <c r="E1039" i="5"/>
  <c r="F1039" i="5"/>
  <c r="G1039" i="5"/>
  <c r="H1039" i="5"/>
  <c r="I1039" i="5"/>
  <c r="J1039" i="5"/>
  <c r="K1039" i="5"/>
  <c r="L1039" i="5"/>
  <c r="M1039" i="5"/>
  <c r="AC1039" i="5" s="1"/>
  <c r="N1039" i="5"/>
  <c r="O1039" i="5"/>
  <c r="P1039" i="5"/>
  <c r="Q1039" i="5"/>
  <c r="R1039" i="5"/>
  <c r="S1039" i="5"/>
  <c r="T1039" i="5"/>
  <c r="U1039" i="5"/>
  <c r="V1039" i="5"/>
  <c r="W1039" i="5"/>
  <c r="X1039" i="5"/>
  <c r="B1040" i="5"/>
  <c r="AB1040" i="5" s="1"/>
  <c r="C1040" i="5"/>
  <c r="D1040" i="5"/>
  <c r="E1040" i="5"/>
  <c r="F1040" i="5"/>
  <c r="G1040" i="5"/>
  <c r="H1040" i="5"/>
  <c r="I1040" i="5"/>
  <c r="J1040" i="5"/>
  <c r="K1040" i="5"/>
  <c r="L1040" i="5"/>
  <c r="M1040" i="5"/>
  <c r="N1040" i="5"/>
  <c r="O1040" i="5"/>
  <c r="P1040" i="5"/>
  <c r="Q1040" i="5"/>
  <c r="R1040" i="5"/>
  <c r="S1040" i="5"/>
  <c r="T1040" i="5"/>
  <c r="U1040" i="5"/>
  <c r="V1040" i="5"/>
  <c r="W1040" i="5"/>
  <c r="X1040" i="5"/>
  <c r="AC1040" i="5"/>
  <c r="B1041" i="5"/>
  <c r="C1041" i="5"/>
  <c r="D1041" i="5"/>
  <c r="E1041" i="5"/>
  <c r="F1041" i="5"/>
  <c r="G1041" i="5"/>
  <c r="H1041" i="5"/>
  <c r="I1041" i="5"/>
  <c r="J1041" i="5"/>
  <c r="K1041" i="5"/>
  <c r="L1041" i="5"/>
  <c r="M1041" i="5"/>
  <c r="AC1041" i="5" s="1"/>
  <c r="N1041" i="5"/>
  <c r="O1041" i="5"/>
  <c r="P1041" i="5"/>
  <c r="Q1041" i="5"/>
  <c r="R1041" i="5"/>
  <c r="S1041" i="5"/>
  <c r="T1041" i="5"/>
  <c r="U1041" i="5"/>
  <c r="V1041" i="5"/>
  <c r="W1041" i="5"/>
  <c r="X1041" i="5"/>
  <c r="AB1041" i="5"/>
  <c r="B1042" i="5"/>
  <c r="AB1042" i="5" s="1"/>
  <c r="C1042" i="5"/>
  <c r="D1042" i="5"/>
  <c r="E1042" i="5"/>
  <c r="F1042" i="5"/>
  <c r="G1042" i="5"/>
  <c r="H1042" i="5"/>
  <c r="I1042" i="5"/>
  <c r="J1042" i="5"/>
  <c r="K1042" i="5"/>
  <c r="L1042" i="5"/>
  <c r="M1042" i="5"/>
  <c r="N1042" i="5"/>
  <c r="O1042" i="5"/>
  <c r="P1042" i="5"/>
  <c r="AC1042" i="5" s="1"/>
  <c r="Q1042" i="5"/>
  <c r="R1042" i="5"/>
  <c r="S1042" i="5"/>
  <c r="T1042" i="5"/>
  <c r="U1042" i="5"/>
  <c r="V1042" i="5"/>
  <c r="W1042" i="5"/>
  <c r="X1042" i="5"/>
  <c r="B1043" i="5"/>
  <c r="C1043" i="5"/>
  <c r="AB1043" i="5" s="1"/>
  <c r="D1043" i="5"/>
  <c r="E1043" i="5"/>
  <c r="F1043" i="5"/>
  <c r="G1043" i="5"/>
  <c r="H1043" i="5"/>
  <c r="I1043" i="5"/>
  <c r="J1043" i="5"/>
  <c r="K1043" i="5"/>
  <c r="L1043" i="5"/>
  <c r="M1043" i="5"/>
  <c r="AC1043" i="5" s="1"/>
  <c r="N1043" i="5"/>
  <c r="O1043" i="5"/>
  <c r="P1043" i="5"/>
  <c r="Q1043" i="5"/>
  <c r="R1043" i="5"/>
  <c r="S1043" i="5"/>
  <c r="T1043" i="5"/>
  <c r="U1043" i="5"/>
  <c r="V1043" i="5"/>
  <c r="W1043" i="5"/>
  <c r="X1043" i="5"/>
  <c r="B1044" i="5"/>
  <c r="AB1044" i="5" s="1"/>
  <c r="C1044" i="5"/>
  <c r="D1044" i="5"/>
  <c r="E1044" i="5"/>
  <c r="F1044" i="5"/>
  <c r="G1044" i="5"/>
  <c r="H1044" i="5"/>
  <c r="I1044" i="5"/>
  <c r="J1044" i="5"/>
  <c r="K1044" i="5"/>
  <c r="L1044" i="5"/>
  <c r="M1044" i="5"/>
  <c r="N1044" i="5"/>
  <c r="O1044" i="5"/>
  <c r="P1044" i="5"/>
  <c r="Q1044" i="5"/>
  <c r="R1044" i="5"/>
  <c r="S1044" i="5"/>
  <c r="T1044" i="5"/>
  <c r="U1044" i="5"/>
  <c r="V1044" i="5"/>
  <c r="W1044" i="5"/>
  <c r="X1044" i="5"/>
  <c r="AC1044" i="5"/>
  <c r="B1045" i="5"/>
  <c r="C1045" i="5"/>
  <c r="D1045" i="5"/>
  <c r="E1045" i="5"/>
  <c r="F1045" i="5"/>
  <c r="G1045" i="5"/>
  <c r="H1045" i="5"/>
  <c r="I1045" i="5"/>
  <c r="J1045" i="5"/>
  <c r="K1045" i="5"/>
  <c r="L1045" i="5"/>
  <c r="M1045" i="5"/>
  <c r="AC1045" i="5" s="1"/>
  <c r="N1045" i="5"/>
  <c r="O1045" i="5"/>
  <c r="P1045" i="5"/>
  <c r="Q1045" i="5"/>
  <c r="R1045" i="5"/>
  <c r="S1045" i="5"/>
  <c r="T1045" i="5"/>
  <c r="U1045" i="5"/>
  <c r="V1045" i="5"/>
  <c r="W1045" i="5"/>
  <c r="X1045" i="5"/>
  <c r="AB1045" i="5"/>
  <c r="B1046" i="5"/>
  <c r="AB1046" i="5" s="1"/>
  <c r="C1046" i="5"/>
  <c r="D1046" i="5"/>
  <c r="E1046" i="5"/>
  <c r="F1046" i="5"/>
  <c r="G1046" i="5"/>
  <c r="H1046" i="5"/>
  <c r="I1046" i="5"/>
  <c r="J1046" i="5"/>
  <c r="K1046" i="5"/>
  <c r="L1046" i="5"/>
  <c r="M1046" i="5"/>
  <c r="N1046" i="5"/>
  <c r="O1046" i="5"/>
  <c r="P1046" i="5"/>
  <c r="AC1046" i="5" s="1"/>
  <c r="Q1046" i="5"/>
  <c r="R1046" i="5"/>
  <c r="S1046" i="5"/>
  <c r="T1046" i="5"/>
  <c r="U1046" i="5"/>
  <c r="V1046" i="5"/>
  <c r="W1046" i="5"/>
  <c r="X1046" i="5"/>
  <c r="B1047" i="5"/>
  <c r="C1047" i="5"/>
  <c r="AB1047" i="5" s="1"/>
  <c r="D1047" i="5"/>
  <c r="E1047" i="5"/>
  <c r="F1047" i="5"/>
  <c r="G1047" i="5"/>
  <c r="H1047" i="5"/>
  <c r="I1047" i="5"/>
  <c r="J1047" i="5"/>
  <c r="K1047" i="5"/>
  <c r="L1047" i="5"/>
  <c r="M1047" i="5"/>
  <c r="AC1047" i="5" s="1"/>
  <c r="N1047" i="5"/>
  <c r="O1047" i="5"/>
  <c r="P1047" i="5"/>
  <c r="Q1047" i="5"/>
  <c r="R1047" i="5"/>
  <c r="S1047" i="5"/>
  <c r="T1047" i="5"/>
  <c r="U1047" i="5"/>
  <c r="V1047" i="5"/>
  <c r="W1047" i="5"/>
  <c r="X1047" i="5"/>
  <c r="B1048" i="5"/>
  <c r="AB1048" i="5" s="1"/>
  <c r="C1048" i="5"/>
  <c r="D1048" i="5"/>
  <c r="E1048" i="5"/>
  <c r="F1048" i="5"/>
  <c r="G1048" i="5"/>
  <c r="H1048" i="5"/>
  <c r="I1048" i="5"/>
  <c r="J1048" i="5"/>
  <c r="K1048" i="5"/>
  <c r="L1048" i="5"/>
  <c r="M1048" i="5"/>
  <c r="N1048" i="5"/>
  <c r="O1048" i="5"/>
  <c r="P1048" i="5"/>
  <c r="Q1048" i="5"/>
  <c r="R1048" i="5"/>
  <c r="S1048" i="5"/>
  <c r="T1048" i="5"/>
  <c r="U1048" i="5"/>
  <c r="V1048" i="5"/>
  <c r="W1048" i="5"/>
  <c r="X1048" i="5"/>
  <c r="AC1048" i="5"/>
  <c r="B1049" i="5"/>
  <c r="C1049" i="5"/>
  <c r="D1049" i="5"/>
  <c r="E1049" i="5"/>
  <c r="F1049" i="5"/>
  <c r="G1049" i="5"/>
  <c r="H1049" i="5"/>
  <c r="I1049" i="5"/>
  <c r="J1049" i="5"/>
  <c r="K1049" i="5"/>
  <c r="L1049" i="5"/>
  <c r="M1049" i="5"/>
  <c r="AC1049" i="5" s="1"/>
  <c r="N1049" i="5"/>
  <c r="O1049" i="5"/>
  <c r="P1049" i="5"/>
  <c r="Q1049" i="5"/>
  <c r="R1049" i="5"/>
  <c r="S1049" i="5"/>
  <c r="T1049" i="5"/>
  <c r="U1049" i="5"/>
  <c r="V1049" i="5"/>
  <c r="W1049" i="5"/>
  <c r="X1049" i="5"/>
  <c r="AB1049" i="5"/>
  <c r="B1050" i="5"/>
  <c r="AB1050" i="5" s="1"/>
  <c r="C1050" i="5"/>
  <c r="D1050" i="5"/>
  <c r="E1050" i="5"/>
  <c r="F1050" i="5"/>
  <c r="G1050" i="5"/>
  <c r="H1050" i="5"/>
  <c r="I1050" i="5"/>
  <c r="J1050" i="5"/>
  <c r="K1050" i="5"/>
  <c r="L1050" i="5"/>
  <c r="M1050" i="5"/>
  <c r="N1050" i="5"/>
  <c r="O1050" i="5"/>
  <c r="P1050" i="5"/>
  <c r="AC1050" i="5" s="1"/>
  <c r="Q1050" i="5"/>
  <c r="R1050" i="5"/>
  <c r="S1050" i="5"/>
  <c r="T1050" i="5"/>
  <c r="U1050" i="5"/>
  <c r="V1050" i="5"/>
  <c r="W1050" i="5"/>
  <c r="X1050" i="5"/>
  <c r="B1051" i="5"/>
  <c r="C1051" i="5"/>
  <c r="AB1051" i="5" s="1"/>
  <c r="D1051" i="5"/>
  <c r="E1051" i="5"/>
  <c r="F1051" i="5"/>
  <c r="G1051" i="5"/>
  <c r="H1051" i="5"/>
  <c r="I1051" i="5"/>
  <c r="J1051" i="5"/>
  <c r="K1051" i="5"/>
  <c r="L1051" i="5"/>
  <c r="M1051" i="5"/>
  <c r="AC1051" i="5" s="1"/>
  <c r="N1051" i="5"/>
  <c r="O1051" i="5"/>
  <c r="P1051" i="5"/>
  <c r="Q1051" i="5"/>
  <c r="R1051" i="5"/>
  <c r="S1051" i="5"/>
  <c r="T1051" i="5"/>
  <c r="U1051" i="5"/>
  <c r="V1051" i="5"/>
  <c r="W1051" i="5"/>
  <c r="X1051" i="5"/>
  <c r="B1052" i="5"/>
  <c r="AB1052" i="5" s="1"/>
  <c r="C1052" i="5"/>
  <c r="D1052" i="5"/>
  <c r="E1052" i="5"/>
  <c r="F1052" i="5"/>
  <c r="G1052" i="5"/>
  <c r="H1052" i="5"/>
  <c r="I1052" i="5"/>
  <c r="J1052" i="5"/>
  <c r="K1052" i="5"/>
  <c r="L1052" i="5"/>
  <c r="M1052" i="5"/>
  <c r="N1052" i="5"/>
  <c r="O1052" i="5"/>
  <c r="P1052" i="5"/>
  <c r="Q1052" i="5"/>
  <c r="R1052" i="5"/>
  <c r="S1052" i="5"/>
  <c r="T1052" i="5"/>
  <c r="U1052" i="5"/>
  <c r="V1052" i="5"/>
  <c r="W1052" i="5"/>
  <c r="X1052" i="5"/>
  <c r="AC1052" i="5"/>
  <c r="B1053" i="5"/>
  <c r="C1053" i="5"/>
  <c r="D1053" i="5"/>
  <c r="E1053" i="5"/>
  <c r="F1053" i="5"/>
  <c r="G1053" i="5"/>
  <c r="H1053" i="5"/>
  <c r="I1053" i="5"/>
  <c r="J1053" i="5"/>
  <c r="K1053" i="5"/>
  <c r="L1053" i="5"/>
  <c r="M1053" i="5"/>
  <c r="AC1053" i="5" s="1"/>
  <c r="N1053" i="5"/>
  <c r="O1053" i="5"/>
  <c r="P1053" i="5"/>
  <c r="Q1053" i="5"/>
  <c r="R1053" i="5"/>
  <c r="S1053" i="5"/>
  <c r="T1053" i="5"/>
  <c r="U1053" i="5"/>
  <c r="V1053" i="5"/>
  <c r="W1053" i="5"/>
  <c r="X1053" i="5"/>
  <c r="AB1053" i="5"/>
  <c r="B1054" i="5"/>
  <c r="AB1054" i="5" s="1"/>
  <c r="C1054" i="5"/>
  <c r="D1054" i="5"/>
  <c r="E1054" i="5"/>
  <c r="F1054" i="5"/>
  <c r="G1054" i="5"/>
  <c r="H1054" i="5"/>
  <c r="I1054" i="5"/>
  <c r="J1054" i="5"/>
  <c r="K1054" i="5"/>
  <c r="L1054" i="5"/>
  <c r="M1054" i="5"/>
  <c r="N1054" i="5"/>
  <c r="O1054" i="5"/>
  <c r="P1054" i="5"/>
  <c r="AC1054" i="5" s="1"/>
  <c r="Q1054" i="5"/>
  <c r="R1054" i="5"/>
  <c r="S1054" i="5"/>
  <c r="T1054" i="5"/>
  <c r="U1054" i="5"/>
  <c r="V1054" i="5"/>
  <c r="W1054" i="5"/>
  <c r="X1054" i="5"/>
  <c r="B1055" i="5"/>
  <c r="C1055" i="5"/>
  <c r="AB1055" i="5" s="1"/>
  <c r="D1055" i="5"/>
  <c r="E1055" i="5"/>
  <c r="F1055" i="5"/>
  <c r="G1055" i="5"/>
  <c r="H1055" i="5"/>
  <c r="I1055" i="5"/>
  <c r="J1055" i="5"/>
  <c r="K1055" i="5"/>
  <c r="L1055" i="5"/>
  <c r="M1055" i="5"/>
  <c r="AC1055" i="5" s="1"/>
  <c r="N1055" i="5"/>
  <c r="O1055" i="5"/>
  <c r="P1055" i="5"/>
  <c r="Q1055" i="5"/>
  <c r="R1055" i="5"/>
  <c r="S1055" i="5"/>
  <c r="T1055" i="5"/>
  <c r="U1055" i="5"/>
  <c r="V1055" i="5"/>
  <c r="W1055" i="5"/>
  <c r="X1055" i="5"/>
  <c r="B1056" i="5"/>
  <c r="AB1056" i="5" s="1"/>
  <c r="C1056" i="5"/>
  <c r="D1056" i="5"/>
  <c r="E1056" i="5"/>
  <c r="F1056" i="5"/>
  <c r="G1056" i="5"/>
  <c r="H1056" i="5"/>
  <c r="I1056" i="5"/>
  <c r="J1056" i="5"/>
  <c r="K1056" i="5"/>
  <c r="L1056" i="5"/>
  <c r="M1056" i="5"/>
  <c r="N1056" i="5"/>
  <c r="O1056" i="5"/>
  <c r="P1056" i="5"/>
  <c r="Q1056" i="5"/>
  <c r="R1056" i="5"/>
  <c r="S1056" i="5"/>
  <c r="T1056" i="5"/>
  <c r="U1056" i="5"/>
  <c r="V1056" i="5"/>
  <c r="W1056" i="5"/>
  <c r="X1056" i="5"/>
  <c r="AC1056" i="5"/>
  <c r="B1057" i="5"/>
  <c r="C1057" i="5"/>
  <c r="D1057" i="5"/>
  <c r="E1057" i="5"/>
  <c r="F1057" i="5"/>
  <c r="G1057" i="5"/>
  <c r="H1057" i="5"/>
  <c r="I1057" i="5"/>
  <c r="J1057" i="5"/>
  <c r="K1057" i="5"/>
  <c r="L1057" i="5"/>
  <c r="M1057" i="5"/>
  <c r="AC1057" i="5" s="1"/>
  <c r="N1057" i="5"/>
  <c r="O1057" i="5"/>
  <c r="P1057" i="5"/>
  <c r="Q1057" i="5"/>
  <c r="R1057" i="5"/>
  <c r="S1057" i="5"/>
  <c r="T1057" i="5"/>
  <c r="U1057" i="5"/>
  <c r="V1057" i="5"/>
  <c r="W1057" i="5"/>
  <c r="X1057" i="5"/>
  <c r="AB1057" i="5"/>
  <c r="B1058" i="5"/>
  <c r="AB1058" i="5" s="1"/>
  <c r="C1058" i="5"/>
  <c r="D1058" i="5"/>
  <c r="E1058" i="5"/>
  <c r="F1058" i="5"/>
  <c r="G1058" i="5"/>
  <c r="H1058" i="5"/>
  <c r="I1058" i="5"/>
  <c r="J1058" i="5"/>
  <c r="K1058" i="5"/>
  <c r="L1058" i="5"/>
  <c r="M1058" i="5"/>
  <c r="N1058" i="5"/>
  <c r="O1058" i="5"/>
  <c r="P1058" i="5"/>
  <c r="AC1058" i="5" s="1"/>
  <c r="Q1058" i="5"/>
  <c r="R1058" i="5"/>
  <c r="S1058" i="5"/>
  <c r="T1058" i="5"/>
  <c r="U1058" i="5"/>
  <c r="V1058" i="5"/>
  <c r="W1058" i="5"/>
  <c r="X1058" i="5"/>
  <c r="B1059" i="5"/>
  <c r="C1059" i="5"/>
  <c r="AB1059" i="5" s="1"/>
  <c r="D1059" i="5"/>
  <c r="E1059" i="5"/>
  <c r="F1059" i="5"/>
  <c r="G1059" i="5"/>
  <c r="H1059" i="5"/>
  <c r="I1059" i="5"/>
  <c r="J1059" i="5"/>
  <c r="K1059" i="5"/>
  <c r="L1059" i="5"/>
  <c r="M1059" i="5"/>
  <c r="AC1059" i="5" s="1"/>
  <c r="N1059" i="5"/>
  <c r="O1059" i="5"/>
  <c r="P1059" i="5"/>
  <c r="Q1059" i="5"/>
  <c r="R1059" i="5"/>
  <c r="S1059" i="5"/>
  <c r="T1059" i="5"/>
  <c r="U1059" i="5"/>
  <c r="V1059" i="5"/>
  <c r="W1059" i="5"/>
  <c r="X1059" i="5"/>
  <c r="B1060" i="5"/>
  <c r="AB1060" i="5" s="1"/>
  <c r="C1060" i="5"/>
  <c r="D1060" i="5"/>
  <c r="E1060" i="5"/>
  <c r="F1060" i="5"/>
  <c r="G1060" i="5"/>
  <c r="H1060" i="5"/>
  <c r="I1060" i="5"/>
  <c r="J1060" i="5"/>
  <c r="K1060" i="5"/>
  <c r="L1060" i="5"/>
  <c r="M1060" i="5"/>
  <c r="N1060" i="5"/>
  <c r="O1060" i="5"/>
  <c r="P1060" i="5"/>
  <c r="Q1060" i="5"/>
  <c r="R1060" i="5"/>
  <c r="S1060" i="5"/>
  <c r="T1060" i="5"/>
  <c r="U1060" i="5"/>
  <c r="V1060" i="5"/>
  <c r="W1060" i="5"/>
  <c r="X1060" i="5"/>
  <c r="AC1060" i="5"/>
  <c r="B1061" i="5"/>
  <c r="C1061" i="5"/>
  <c r="D1061" i="5"/>
  <c r="E1061" i="5"/>
  <c r="F1061" i="5"/>
  <c r="G1061" i="5"/>
  <c r="H1061" i="5"/>
  <c r="I1061" i="5"/>
  <c r="J1061" i="5"/>
  <c r="K1061" i="5"/>
  <c r="L1061" i="5"/>
  <c r="M1061" i="5"/>
  <c r="AC1061" i="5" s="1"/>
  <c r="N1061" i="5"/>
  <c r="O1061" i="5"/>
  <c r="P1061" i="5"/>
  <c r="Q1061" i="5"/>
  <c r="R1061" i="5"/>
  <c r="S1061" i="5"/>
  <c r="T1061" i="5"/>
  <c r="U1061" i="5"/>
  <c r="V1061" i="5"/>
  <c r="W1061" i="5"/>
  <c r="X1061" i="5"/>
  <c r="AB1061" i="5"/>
  <c r="B1062" i="5"/>
  <c r="AB1062" i="5" s="1"/>
  <c r="C1062" i="5"/>
  <c r="D1062" i="5"/>
  <c r="E1062" i="5"/>
  <c r="F1062" i="5"/>
  <c r="G1062" i="5"/>
  <c r="H1062" i="5"/>
  <c r="I1062" i="5"/>
  <c r="J1062" i="5"/>
  <c r="K1062" i="5"/>
  <c r="L1062" i="5"/>
  <c r="M1062" i="5"/>
  <c r="N1062" i="5"/>
  <c r="O1062" i="5"/>
  <c r="P1062" i="5"/>
  <c r="AC1062" i="5" s="1"/>
  <c r="Q1062" i="5"/>
  <c r="R1062" i="5"/>
  <c r="S1062" i="5"/>
  <c r="T1062" i="5"/>
  <c r="U1062" i="5"/>
  <c r="V1062" i="5"/>
  <c r="W1062" i="5"/>
  <c r="X1062" i="5"/>
  <c r="B1063" i="5"/>
  <c r="C1063" i="5"/>
  <c r="AB1063" i="5" s="1"/>
  <c r="D1063" i="5"/>
  <c r="E1063" i="5"/>
  <c r="F1063" i="5"/>
  <c r="G1063" i="5"/>
  <c r="H1063" i="5"/>
  <c r="I1063" i="5"/>
  <c r="J1063" i="5"/>
  <c r="K1063" i="5"/>
  <c r="L1063" i="5"/>
  <c r="M1063" i="5"/>
  <c r="AC1063" i="5" s="1"/>
  <c r="N1063" i="5"/>
  <c r="O1063" i="5"/>
  <c r="P1063" i="5"/>
  <c r="Q1063" i="5"/>
  <c r="R1063" i="5"/>
  <c r="S1063" i="5"/>
  <c r="T1063" i="5"/>
  <c r="U1063" i="5"/>
  <c r="V1063" i="5"/>
  <c r="W1063" i="5"/>
  <c r="X1063" i="5"/>
  <c r="B1064" i="5"/>
  <c r="AB1064" i="5" s="1"/>
  <c r="C1064" i="5"/>
  <c r="D1064" i="5"/>
  <c r="E1064" i="5"/>
  <c r="F1064" i="5"/>
  <c r="G1064" i="5"/>
  <c r="H1064" i="5"/>
  <c r="I1064" i="5"/>
  <c r="J1064" i="5"/>
  <c r="K1064" i="5"/>
  <c r="L1064" i="5"/>
  <c r="M1064" i="5"/>
  <c r="N1064" i="5"/>
  <c r="O1064" i="5"/>
  <c r="P1064" i="5"/>
  <c r="Q1064" i="5"/>
  <c r="R1064" i="5"/>
  <c r="S1064" i="5"/>
  <c r="T1064" i="5"/>
  <c r="U1064" i="5"/>
  <c r="V1064" i="5"/>
  <c r="W1064" i="5"/>
  <c r="X1064" i="5"/>
  <c r="AC1064" i="5"/>
  <c r="B1065" i="5"/>
  <c r="C1065" i="5"/>
  <c r="D1065" i="5"/>
  <c r="E1065" i="5"/>
  <c r="F1065" i="5"/>
  <c r="G1065" i="5"/>
  <c r="H1065" i="5"/>
  <c r="I1065" i="5"/>
  <c r="J1065" i="5"/>
  <c r="K1065" i="5"/>
  <c r="L1065" i="5"/>
  <c r="M1065" i="5"/>
  <c r="AC1065" i="5" s="1"/>
  <c r="N1065" i="5"/>
  <c r="O1065" i="5"/>
  <c r="P1065" i="5"/>
  <c r="Q1065" i="5"/>
  <c r="R1065" i="5"/>
  <c r="S1065" i="5"/>
  <c r="T1065" i="5"/>
  <c r="U1065" i="5"/>
  <c r="V1065" i="5"/>
  <c r="W1065" i="5"/>
  <c r="X1065" i="5"/>
  <c r="AB1065" i="5"/>
  <c r="B1066" i="5"/>
  <c r="AB1066" i="5" s="1"/>
  <c r="C1066" i="5"/>
  <c r="D1066" i="5"/>
  <c r="E1066" i="5"/>
  <c r="F1066" i="5"/>
  <c r="G1066" i="5"/>
  <c r="H1066" i="5"/>
  <c r="I1066" i="5"/>
  <c r="J1066" i="5"/>
  <c r="K1066" i="5"/>
  <c r="L1066" i="5"/>
  <c r="M1066" i="5"/>
  <c r="N1066" i="5"/>
  <c r="O1066" i="5"/>
  <c r="P1066" i="5"/>
  <c r="AC1066" i="5" s="1"/>
  <c r="Q1066" i="5"/>
  <c r="R1066" i="5"/>
  <c r="S1066" i="5"/>
  <c r="T1066" i="5"/>
  <c r="U1066" i="5"/>
  <c r="V1066" i="5"/>
  <c r="W1066" i="5"/>
  <c r="X1066" i="5"/>
  <c r="B1067" i="5"/>
  <c r="C1067" i="5"/>
  <c r="AB1067" i="5" s="1"/>
  <c r="D1067" i="5"/>
  <c r="E1067" i="5"/>
  <c r="F1067" i="5"/>
  <c r="G1067" i="5"/>
  <c r="H1067" i="5"/>
  <c r="I1067" i="5"/>
  <c r="J1067" i="5"/>
  <c r="K1067" i="5"/>
  <c r="L1067" i="5"/>
  <c r="M1067" i="5"/>
  <c r="AC1067" i="5" s="1"/>
  <c r="N1067" i="5"/>
  <c r="O1067" i="5"/>
  <c r="P1067" i="5"/>
  <c r="Q1067" i="5"/>
  <c r="R1067" i="5"/>
  <c r="S1067" i="5"/>
  <c r="T1067" i="5"/>
  <c r="U1067" i="5"/>
  <c r="V1067" i="5"/>
  <c r="W1067" i="5"/>
  <c r="X1067" i="5"/>
  <c r="B1068" i="5"/>
  <c r="AB1068" i="5" s="1"/>
  <c r="C1068" i="5"/>
  <c r="D1068" i="5"/>
  <c r="E1068" i="5"/>
  <c r="F1068" i="5"/>
  <c r="G1068" i="5"/>
  <c r="H1068" i="5"/>
  <c r="I1068" i="5"/>
  <c r="J1068" i="5"/>
  <c r="K1068" i="5"/>
  <c r="L1068" i="5"/>
  <c r="M1068" i="5"/>
  <c r="N1068" i="5"/>
  <c r="O1068" i="5"/>
  <c r="P1068" i="5"/>
  <c r="Q1068" i="5"/>
  <c r="R1068" i="5"/>
  <c r="S1068" i="5"/>
  <c r="T1068" i="5"/>
  <c r="U1068" i="5"/>
  <c r="V1068" i="5"/>
  <c r="W1068" i="5"/>
  <c r="X1068" i="5"/>
  <c r="AC1068" i="5"/>
  <c r="B1070" i="5"/>
  <c r="C1070" i="5"/>
  <c r="D1070" i="5"/>
  <c r="E1070" i="5"/>
  <c r="F1070" i="5"/>
  <c r="G1070" i="5"/>
  <c r="H1070" i="5"/>
  <c r="I1070" i="5"/>
  <c r="J1070" i="5"/>
  <c r="L1070" i="5"/>
  <c r="M1070" i="5"/>
  <c r="N1070" i="5"/>
  <c r="O1070" i="5"/>
  <c r="P1070" i="5"/>
  <c r="Q1070" i="5"/>
  <c r="R1070" i="5"/>
  <c r="S1070" i="5"/>
  <c r="T1070" i="5"/>
  <c r="U1070" i="5"/>
  <c r="V1070" i="5"/>
  <c r="W1070" i="5"/>
  <c r="X1070" i="5"/>
  <c r="Y1070" i="5"/>
  <c r="Z1070" i="5"/>
  <c r="AA1070" i="5"/>
  <c r="AC1070" i="5"/>
  <c r="B1071" i="5"/>
  <c r="C1071" i="5"/>
  <c r="D1071" i="5"/>
  <c r="E1071" i="5"/>
  <c r="F1071" i="5"/>
  <c r="G1071" i="5"/>
  <c r="H1071" i="5"/>
  <c r="I1071" i="5"/>
  <c r="J1071" i="5"/>
  <c r="L1071" i="5"/>
  <c r="M1071" i="5"/>
  <c r="N1071" i="5"/>
  <c r="O1071" i="5"/>
  <c r="P1071" i="5"/>
  <c r="Q1071" i="5"/>
  <c r="R1071" i="5"/>
  <c r="S1071" i="5"/>
  <c r="T1071" i="5"/>
  <c r="U1071" i="5"/>
  <c r="V1071" i="5"/>
  <c r="W1071" i="5"/>
  <c r="X1071" i="5"/>
  <c r="Y1071" i="5"/>
  <c r="Z1071" i="5"/>
  <c r="AA1071" i="5"/>
  <c r="B1072" i="5"/>
  <c r="C1072" i="5"/>
  <c r="D1072" i="5"/>
  <c r="E1072" i="5"/>
  <c r="F1072" i="5"/>
  <c r="G1072" i="5"/>
  <c r="H1072" i="5"/>
  <c r="I1072" i="5"/>
  <c r="J1072" i="5"/>
  <c r="L1072" i="5"/>
  <c r="M1072" i="5"/>
  <c r="N1072" i="5"/>
  <c r="O1072" i="5"/>
  <c r="P1072" i="5"/>
  <c r="Q1072" i="5"/>
  <c r="R1072" i="5"/>
  <c r="S1072" i="5"/>
  <c r="T1072" i="5"/>
  <c r="U1072" i="5"/>
  <c r="V1072" i="5"/>
  <c r="W1072" i="5"/>
  <c r="X1072" i="5"/>
  <c r="Z1072" i="5"/>
  <c r="AA1072" i="5"/>
  <c r="B1073" i="5"/>
  <c r="C1073" i="5"/>
  <c r="D1073" i="5"/>
  <c r="E1073" i="5"/>
  <c r="F1073" i="5"/>
  <c r="G1073" i="5"/>
  <c r="H1073" i="5"/>
  <c r="I1073" i="5"/>
  <c r="J1073" i="5"/>
  <c r="L1073" i="5"/>
  <c r="M1073" i="5"/>
  <c r="N1073" i="5"/>
  <c r="O1073" i="5"/>
  <c r="P1073" i="5"/>
  <c r="Q1073" i="5"/>
  <c r="R1073" i="5"/>
  <c r="S1073" i="5"/>
  <c r="T1073" i="5"/>
  <c r="U1073" i="5"/>
  <c r="V1073" i="5"/>
  <c r="W1073" i="5"/>
  <c r="X1073" i="5"/>
  <c r="AB1073" i="5"/>
  <c r="B1074" i="5"/>
  <c r="C1074" i="5"/>
  <c r="D1074" i="5"/>
  <c r="E1074" i="5"/>
  <c r="F1074" i="5"/>
  <c r="G1074" i="5"/>
  <c r="H1074" i="5"/>
  <c r="I1074" i="5"/>
  <c r="J1074" i="5"/>
  <c r="K1074" i="5"/>
  <c r="L1074" i="5"/>
  <c r="M1074" i="5"/>
  <c r="N1074" i="5"/>
  <c r="O1074" i="5"/>
  <c r="P1074" i="5"/>
  <c r="Q1074" i="5"/>
  <c r="R1074" i="5"/>
  <c r="S1074" i="5"/>
  <c r="T1074" i="5"/>
  <c r="U1074" i="5"/>
  <c r="V1074" i="5"/>
  <c r="W1074" i="5"/>
  <c r="X1074" i="5"/>
  <c r="B1075" i="5"/>
  <c r="C1075" i="5"/>
  <c r="D1075" i="5"/>
  <c r="E1075" i="5"/>
  <c r="F1075" i="5"/>
  <c r="G1075" i="5"/>
  <c r="H1075" i="5"/>
  <c r="I1075" i="5"/>
  <c r="J1075" i="5"/>
  <c r="K1075" i="5"/>
  <c r="L1075" i="5"/>
  <c r="M1075" i="5"/>
  <c r="N1075" i="5"/>
  <c r="O1075" i="5"/>
  <c r="P1075" i="5"/>
  <c r="Q1075" i="5"/>
  <c r="R1075" i="5"/>
  <c r="S1075" i="5"/>
  <c r="T1075" i="5"/>
  <c r="U1075" i="5"/>
  <c r="V1075" i="5"/>
  <c r="W1075" i="5"/>
  <c r="X1075" i="5"/>
  <c r="B1076" i="5"/>
  <c r="C1076" i="5"/>
  <c r="D1076" i="5"/>
  <c r="E1076" i="5"/>
  <c r="F1076" i="5"/>
  <c r="G1076" i="5"/>
  <c r="H1076" i="5"/>
  <c r="I1076" i="5"/>
  <c r="J1076" i="5"/>
  <c r="K1076" i="5"/>
  <c r="L1076" i="5"/>
  <c r="M1076" i="5"/>
  <c r="N1076" i="5"/>
  <c r="O1076" i="5"/>
  <c r="P1076" i="5"/>
  <c r="Q1076" i="5"/>
  <c r="R1076" i="5"/>
  <c r="S1076" i="5"/>
  <c r="T1076" i="5"/>
  <c r="U1076" i="5"/>
  <c r="V1076" i="5"/>
  <c r="W1076" i="5"/>
  <c r="X1076" i="5"/>
  <c r="B1077" i="5"/>
  <c r="C1077" i="5"/>
  <c r="D1077" i="5"/>
  <c r="E1077" i="5"/>
  <c r="F1077" i="5"/>
  <c r="G1077" i="5"/>
  <c r="H1077" i="5"/>
  <c r="I1077" i="5"/>
  <c r="J1077" i="5"/>
  <c r="K1077" i="5"/>
  <c r="L1077" i="5"/>
  <c r="M1077" i="5"/>
  <c r="N1077" i="5"/>
  <c r="O1077" i="5"/>
  <c r="P1077" i="5"/>
  <c r="Q1077" i="5"/>
  <c r="R1077" i="5"/>
  <c r="S1077" i="5"/>
  <c r="T1077" i="5"/>
  <c r="U1077" i="5"/>
  <c r="V1077" i="5"/>
  <c r="W1077" i="5"/>
  <c r="X1077" i="5"/>
  <c r="B1078" i="5"/>
  <c r="C1078" i="5"/>
  <c r="D1078" i="5"/>
  <c r="E1078" i="5"/>
  <c r="F1078" i="5"/>
  <c r="G1078" i="5"/>
  <c r="H1078" i="5"/>
  <c r="I1078" i="5"/>
  <c r="J1078" i="5"/>
  <c r="K1078" i="5"/>
  <c r="L1078" i="5"/>
  <c r="M1078" i="5"/>
  <c r="N1078" i="5"/>
  <c r="O1078" i="5"/>
  <c r="P1078" i="5"/>
  <c r="Q1078" i="5"/>
  <c r="R1078" i="5"/>
  <c r="S1078" i="5"/>
  <c r="T1078" i="5"/>
  <c r="U1078" i="5"/>
  <c r="V1078" i="5"/>
  <c r="W1078" i="5"/>
  <c r="X1078" i="5"/>
  <c r="B1079" i="5"/>
  <c r="C1079" i="5"/>
  <c r="D1079" i="5"/>
  <c r="E1079" i="5"/>
  <c r="F1079" i="5"/>
  <c r="G1079" i="5"/>
  <c r="H1079" i="5"/>
  <c r="I1079" i="5"/>
  <c r="J1079" i="5"/>
  <c r="K1079" i="5"/>
  <c r="L1079" i="5"/>
  <c r="M1079" i="5"/>
  <c r="N1079" i="5"/>
  <c r="O1079" i="5"/>
  <c r="P1079" i="5"/>
  <c r="Q1079" i="5"/>
  <c r="R1079" i="5"/>
  <c r="S1079" i="5"/>
  <c r="T1079" i="5"/>
  <c r="U1079" i="5"/>
  <c r="V1079" i="5"/>
  <c r="W1079" i="5"/>
  <c r="X1079" i="5"/>
  <c r="B1080" i="5"/>
  <c r="C1080" i="5"/>
  <c r="D1080" i="5"/>
  <c r="E1080" i="5"/>
  <c r="F1080" i="5"/>
  <c r="G1080" i="5"/>
  <c r="H1080" i="5"/>
  <c r="I1080" i="5"/>
  <c r="J1080" i="5"/>
  <c r="K1080" i="5"/>
  <c r="L1080" i="5"/>
  <c r="M1080" i="5"/>
  <c r="N1080" i="5"/>
  <c r="O1080" i="5"/>
  <c r="P1080" i="5"/>
  <c r="Q1080" i="5"/>
  <c r="R1080" i="5"/>
  <c r="S1080" i="5"/>
  <c r="T1080" i="5"/>
  <c r="U1080" i="5"/>
  <c r="V1080" i="5"/>
  <c r="W1080" i="5"/>
  <c r="X1080" i="5"/>
  <c r="B1081" i="5"/>
  <c r="C1081" i="5"/>
  <c r="D1081" i="5"/>
  <c r="E1081" i="5"/>
  <c r="F1081" i="5"/>
  <c r="G1081" i="5"/>
  <c r="H1081" i="5"/>
  <c r="I1081" i="5"/>
  <c r="J1081" i="5"/>
  <c r="K1081" i="5"/>
  <c r="L1081" i="5"/>
  <c r="M1081" i="5"/>
  <c r="N1081" i="5"/>
  <c r="O1081" i="5"/>
  <c r="P1081" i="5"/>
  <c r="Q1081" i="5"/>
  <c r="R1081" i="5"/>
  <c r="S1081" i="5"/>
  <c r="T1081" i="5"/>
  <c r="U1081" i="5"/>
  <c r="V1081" i="5"/>
  <c r="W1081" i="5"/>
  <c r="X1081" i="5"/>
  <c r="B1082" i="5"/>
  <c r="C1082" i="5"/>
  <c r="D1082" i="5"/>
  <c r="E1082" i="5"/>
  <c r="F1082" i="5"/>
  <c r="G1082" i="5"/>
  <c r="H1082" i="5"/>
  <c r="I1082" i="5"/>
  <c r="J1082" i="5"/>
  <c r="K1082" i="5"/>
  <c r="L1082" i="5"/>
  <c r="M1082" i="5"/>
  <c r="N1082" i="5"/>
  <c r="O1082" i="5"/>
  <c r="P1082" i="5"/>
  <c r="Q1082" i="5"/>
  <c r="R1082" i="5"/>
  <c r="S1082" i="5"/>
  <c r="T1082" i="5"/>
  <c r="U1082" i="5"/>
  <c r="V1082" i="5"/>
  <c r="W1082" i="5"/>
  <c r="X1082" i="5"/>
  <c r="B1083" i="5"/>
  <c r="C1083" i="5"/>
  <c r="D1083" i="5"/>
  <c r="E1083" i="5"/>
  <c r="F1083" i="5"/>
  <c r="G1083" i="5"/>
  <c r="H1083" i="5"/>
  <c r="I1083" i="5"/>
  <c r="J1083" i="5"/>
  <c r="K1083" i="5"/>
  <c r="L1083" i="5"/>
  <c r="M1083" i="5"/>
  <c r="N1083" i="5"/>
  <c r="O1083" i="5"/>
  <c r="P1083" i="5"/>
  <c r="Q1083" i="5"/>
  <c r="R1083" i="5"/>
  <c r="S1083" i="5"/>
  <c r="T1083" i="5"/>
  <c r="U1083" i="5"/>
  <c r="V1083" i="5"/>
  <c r="W1083" i="5"/>
  <c r="X1083" i="5"/>
  <c r="AC1083" i="5"/>
  <c r="B1084" i="5"/>
  <c r="C1084" i="5"/>
  <c r="D1084" i="5"/>
  <c r="E1084" i="5"/>
  <c r="F1084" i="5"/>
  <c r="G1084" i="5"/>
  <c r="H1084" i="5"/>
  <c r="I1084" i="5"/>
  <c r="J1084" i="5"/>
  <c r="K1084" i="5"/>
  <c r="L1084" i="5"/>
  <c r="M1084" i="5"/>
  <c r="N1084" i="5"/>
  <c r="O1084" i="5"/>
  <c r="P1084" i="5"/>
  <c r="Q1084" i="5"/>
  <c r="R1084" i="5"/>
  <c r="S1084" i="5"/>
  <c r="T1084" i="5"/>
  <c r="U1084" i="5"/>
  <c r="V1084" i="5"/>
  <c r="W1084" i="5"/>
  <c r="X1084" i="5"/>
  <c r="AC1084" i="5"/>
  <c r="B1085" i="5"/>
  <c r="C1085" i="5"/>
  <c r="D1085" i="5"/>
  <c r="E1085" i="5"/>
  <c r="F1085" i="5"/>
  <c r="G1085" i="5"/>
  <c r="H1085" i="5"/>
  <c r="I1085" i="5"/>
  <c r="J1085" i="5"/>
  <c r="K1085" i="5"/>
  <c r="L1085" i="5"/>
  <c r="M1085" i="5"/>
  <c r="N1085" i="5"/>
  <c r="O1085" i="5"/>
  <c r="P1085" i="5"/>
  <c r="Q1085" i="5"/>
  <c r="R1085" i="5"/>
  <c r="S1085" i="5"/>
  <c r="T1085" i="5"/>
  <c r="U1085" i="5"/>
  <c r="V1085" i="5"/>
  <c r="W1085" i="5"/>
  <c r="X1085" i="5"/>
  <c r="AC1085" i="5"/>
  <c r="B1086" i="5"/>
  <c r="C1086" i="5"/>
  <c r="D1086" i="5"/>
  <c r="E1086" i="5"/>
  <c r="F1086" i="5"/>
  <c r="G1086" i="5"/>
  <c r="H1086" i="5"/>
  <c r="I1086" i="5"/>
  <c r="J1086" i="5"/>
  <c r="K1086" i="5"/>
  <c r="L1086" i="5"/>
  <c r="M1086" i="5"/>
  <c r="N1086" i="5"/>
  <c r="O1086" i="5"/>
  <c r="P1086" i="5"/>
  <c r="Q1086" i="5"/>
  <c r="R1086" i="5"/>
  <c r="S1086" i="5"/>
  <c r="T1086" i="5"/>
  <c r="U1086" i="5"/>
  <c r="V1086" i="5"/>
  <c r="W1086" i="5"/>
  <c r="X1086" i="5"/>
  <c r="AC1086" i="5"/>
  <c r="B1087" i="5"/>
  <c r="C1087" i="5"/>
  <c r="D1087" i="5"/>
  <c r="E1087" i="5"/>
  <c r="F1087" i="5"/>
  <c r="G1087" i="5"/>
  <c r="H1087" i="5"/>
  <c r="I1087" i="5"/>
  <c r="J1087" i="5"/>
  <c r="K1087" i="5"/>
  <c r="L1087" i="5"/>
  <c r="M1087" i="5"/>
  <c r="N1087" i="5"/>
  <c r="O1087" i="5"/>
  <c r="P1087" i="5"/>
  <c r="Q1087" i="5"/>
  <c r="R1087" i="5"/>
  <c r="S1087" i="5"/>
  <c r="T1087" i="5"/>
  <c r="U1087" i="5"/>
  <c r="V1087" i="5"/>
  <c r="W1087" i="5"/>
  <c r="X1087" i="5"/>
  <c r="AC1087" i="5"/>
  <c r="B1088" i="5"/>
  <c r="C1088" i="5"/>
  <c r="D1088" i="5"/>
  <c r="E1088" i="5"/>
  <c r="F1088" i="5"/>
  <c r="G1088" i="5"/>
  <c r="H1088" i="5"/>
  <c r="I1088" i="5"/>
  <c r="J1088" i="5"/>
  <c r="K1088" i="5"/>
  <c r="L1088" i="5"/>
  <c r="M1088" i="5"/>
  <c r="N1088" i="5"/>
  <c r="O1088" i="5"/>
  <c r="P1088" i="5"/>
  <c r="Q1088" i="5"/>
  <c r="R1088" i="5"/>
  <c r="S1088" i="5"/>
  <c r="T1088" i="5"/>
  <c r="U1088" i="5"/>
  <c r="V1088" i="5"/>
  <c r="W1088" i="5"/>
  <c r="X1088" i="5"/>
  <c r="AC1088" i="5"/>
  <c r="B1089" i="5"/>
  <c r="C1089" i="5"/>
  <c r="D1089" i="5"/>
  <c r="E1089" i="5"/>
  <c r="F1089" i="5"/>
  <c r="G1089" i="5"/>
  <c r="H1089" i="5"/>
  <c r="I1089" i="5"/>
  <c r="J1089" i="5"/>
  <c r="K1089" i="5"/>
  <c r="L1089" i="5"/>
  <c r="M1089" i="5"/>
  <c r="N1089" i="5"/>
  <c r="O1089" i="5"/>
  <c r="P1089" i="5"/>
  <c r="Q1089" i="5"/>
  <c r="R1089" i="5"/>
  <c r="S1089" i="5"/>
  <c r="T1089" i="5"/>
  <c r="U1089" i="5"/>
  <c r="V1089" i="5"/>
  <c r="W1089" i="5"/>
  <c r="X1089" i="5"/>
  <c r="AC1089" i="5"/>
  <c r="B1090" i="5"/>
  <c r="C1090" i="5"/>
  <c r="D1090" i="5"/>
  <c r="E1090" i="5"/>
  <c r="F1090" i="5"/>
  <c r="G1090" i="5"/>
  <c r="H1090" i="5"/>
  <c r="I1090" i="5"/>
  <c r="J1090" i="5"/>
  <c r="K1090" i="5"/>
  <c r="L1090" i="5"/>
  <c r="M1090" i="5"/>
  <c r="N1090" i="5"/>
  <c r="O1090" i="5"/>
  <c r="P1090" i="5"/>
  <c r="Q1090" i="5"/>
  <c r="R1090" i="5"/>
  <c r="S1090" i="5"/>
  <c r="T1090" i="5"/>
  <c r="U1090" i="5"/>
  <c r="V1090" i="5"/>
  <c r="W1090" i="5"/>
  <c r="X1090" i="5"/>
  <c r="AC1090" i="5"/>
  <c r="B1091" i="5"/>
  <c r="C1091" i="5"/>
  <c r="D1091" i="5"/>
  <c r="E1091" i="5"/>
  <c r="F1091" i="5"/>
  <c r="G1091" i="5"/>
  <c r="H1091" i="5"/>
  <c r="I1091" i="5"/>
  <c r="J1091" i="5"/>
  <c r="K1091" i="5"/>
  <c r="L1091" i="5"/>
  <c r="M1091" i="5"/>
  <c r="N1091" i="5"/>
  <c r="O1091" i="5"/>
  <c r="P1091" i="5"/>
  <c r="Q1091" i="5"/>
  <c r="R1091" i="5"/>
  <c r="S1091" i="5"/>
  <c r="T1091" i="5"/>
  <c r="U1091" i="5"/>
  <c r="V1091" i="5"/>
  <c r="W1091" i="5"/>
  <c r="X1091" i="5"/>
  <c r="AC1091" i="5"/>
  <c r="B1092" i="5"/>
  <c r="C1092" i="5"/>
  <c r="D1092" i="5"/>
  <c r="E1092" i="5"/>
  <c r="F1092" i="5"/>
  <c r="G1092" i="5"/>
  <c r="H1092" i="5"/>
  <c r="I1092" i="5"/>
  <c r="J1092" i="5"/>
  <c r="K1092" i="5"/>
  <c r="L1092" i="5"/>
  <c r="M1092" i="5"/>
  <c r="N1092" i="5"/>
  <c r="O1092" i="5"/>
  <c r="P1092" i="5"/>
  <c r="Q1092" i="5"/>
  <c r="R1092" i="5"/>
  <c r="S1092" i="5"/>
  <c r="T1092" i="5"/>
  <c r="U1092" i="5"/>
  <c r="V1092" i="5"/>
  <c r="W1092" i="5"/>
  <c r="X1092" i="5"/>
  <c r="AC1092" i="5"/>
  <c r="B1093" i="5"/>
  <c r="C1093" i="5"/>
  <c r="D1093" i="5"/>
  <c r="E1093" i="5"/>
  <c r="F1093" i="5"/>
  <c r="G1093" i="5"/>
  <c r="H1093" i="5"/>
  <c r="I1093" i="5"/>
  <c r="J1093" i="5"/>
  <c r="K1093" i="5"/>
  <c r="L1093" i="5"/>
  <c r="M1093" i="5"/>
  <c r="N1093" i="5"/>
  <c r="O1093" i="5"/>
  <c r="P1093" i="5"/>
  <c r="Q1093" i="5"/>
  <c r="R1093" i="5"/>
  <c r="S1093" i="5"/>
  <c r="T1093" i="5"/>
  <c r="U1093" i="5"/>
  <c r="V1093" i="5"/>
  <c r="W1093" i="5"/>
  <c r="X1093" i="5"/>
  <c r="AC1093" i="5"/>
  <c r="B1094" i="5"/>
  <c r="C1094" i="5"/>
  <c r="D1094" i="5"/>
  <c r="E1094" i="5"/>
  <c r="F1094" i="5"/>
  <c r="G1094" i="5"/>
  <c r="H1094" i="5"/>
  <c r="I1094" i="5"/>
  <c r="J1094" i="5"/>
  <c r="K1094" i="5"/>
  <c r="L1094" i="5"/>
  <c r="M1094" i="5"/>
  <c r="N1094" i="5"/>
  <c r="O1094" i="5"/>
  <c r="P1094" i="5"/>
  <c r="Q1094" i="5"/>
  <c r="R1094" i="5"/>
  <c r="S1094" i="5"/>
  <c r="T1094" i="5"/>
  <c r="U1094" i="5"/>
  <c r="V1094" i="5"/>
  <c r="W1094" i="5"/>
  <c r="X1094" i="5"/>
  <c r="AC1094" i="5"/>
  <c r="A1095" i="5"/>
  <c r="B1095" i="5"/>
  <c r="C1095" i="5"/>
  <c r="D1095" i="5"/>
  <c r="E1095" i="5"/>
  <c r="F1095" i="5"/>
  <c r="G1095" i="5"/>
  <c r="H1095" i="5"/>
  <c r="I1095" i="5"/>
  <c r="J1095" i="5"/>
  <c r="K1095" i="5"/>
  <c r="L1095" i="5"/>
  <c r="M1095" i="5"/>
  <c r="N1095" i="5"/>
  <c r="O1095" i="5"/>
  <c r="P1095" i="5"/>
  <c r="Q1095" i="5"/>
  <c r="R1095" i="5"/>
  <c r="S1095" i="5"/>
  <c r="T1095" i="5"/>
  <c r="U1095" i="5"/>
  <c r="V1095" i="5"/>
  <c r="W1095" i="5"/>
  <c r="X1095" i="5"/>
  <c r="AC1095" i="5"/>
  <c r="A1096" i="5"/>
  <c r="B1096" i="5"/>
  <c r="C1096" i="5"/>
  <c r="D1096" i="5"/>
  <c r="E1096" i="5"/>
  <c r="F1096" i="5"/>
  <c r="G1096" i="5"/>
  <c r="H1096" i="5"/>
  <c r="I1096" i="5"/>
  <c r="J1096" i="5"/>
  <c r="K1096" i="5"/>
  <c r="L1096" i="5"/>
  <c r="M1096" i="5"/>
  <c r="N1096" i="5"/>
  <c r="O1096" i="5"/>
  <c r="P1096" i="5"/>
  <c r="Q1096" i="5"/>
  <c r="R1096" i="5"/>
  <c r="S1096" i="5"/>
  <c r="T1096" i="5"/>
  <c r="U1096" i="5"/>
  <c r="V1096" i="5"/>
  <c r="W1096" i="5"/>
  <c r="X1096" i="5"/>
  <c r="AC1096" i="5"/>
  <c r="A1097" i="5"/>
  <c r="B1097" i="5"/>
  <c r="C1097" i="5"/>
  <c r="D1097" i="5"/>
  <c r="E1097" i="5"/>
  <c r="F1097" i="5"/>
  <c r="G1097" i="5"/>
  <c r="H1097" i="5"/>
  <c r="I1097" i="5"/>
  <c r="J1097" i="5"/>
  <c r="K1097" i="5"/>
  <c r="L1097" i="5"/>
  <c r="M1097" i="5"/>
  <c r="N1097" i="5"/>
  <c r="O1097" i="5"/>
  <c r="P1097" i="5"/>
  <c r="Q1097" i="5"/>
  <c r="R1097" i="5"/>
  <c r="S1097" i="5"/>
  <c r="T1097" i="5"/>
  <c r="U1097" i="5"/>
  <c r="V1097" i="5"/>
  <c r="W1097" i="5"/>
  <c r="X1097" i="5"/>
  <c r="AC1097" i="5"/>
  <c r="A1098" i="5"/>
  <c r="B1098" i="5"/>
  <c r="C1098" i="5"/>
  <c r="D1098" i="5"/>
  <c r="E1098" i="5"/>
  <c r="F1098" i="5"/>
  <c r="G1098" i="5"/>
  <c r="H1098" i="5"/>
  <c r="I1098" i="5"/>
  <c r="J1098" i="5"/>
  <c r="K1098" i="5"/>
  <c r="L1098" i="5"/>
  <c r="M1098" i="5"/>
  <c r="N1098" i="5"/>
  <c r="O1098" i="5"/>
  <c r="P1098" i="5"/>
  <c r="Q1098" i="5"/>
  <c r="R1098" i="5"/>
  <c r="S1098" i="5"/>
  <c r="T1098" i="5"/>
  <c r="U1098" i="5"/>
  <c r="V1098" i="5"/>
  <c r="W1098" i="5"/>
  <c r="X1098" i="5"/>
  <c r="AC1098" i="5"/>
  <c r="A1099" i="5"/>
  <c r="B1099" i="5"/>
  <c r="C1099" i="5"/>
  <c r="D1099" i="5"/>
  <c r="E1099" i="5"/>
  <c r="F1099" i="5"/>
  <c r="G1099" i="5"/>
  <c r="H1099" i="5"/>
  <c r="I1099" i="5"/>
  <c r="J1099" i="5"/>
  <c r="K1099" i="5"/>
  <c r="L1099" i="5"/>
  <c r="M1099" i="5"/>
  <c r="N1099" i="5"/>
  <c r="O1099" i="5"/>
  <c r="P1099" i="5"/>
  <c r="Q1099" i="5"/>
  <c r="R1099" i="5"/>
  <c r="S1099" i="5"/>
  <c r="T1099" i="5"/>
  <c r="U1099" i="5"/>
  <c r="V1099" i="5"/>
  <c r="W1099" i="5"/>
  <c r="X1099" i="5"/>
  <c r="AC1099" i="5"/>
  <c r="A1100" i="5"/>
  <c r="B1100" i="5"/>
  <c r="C1100" i="5"/>
  <c r="D1100" i="5"/>
  <c r="E1100" i="5"/>
  <c r="F1100" i="5"/>
  <c r="G1100" i="5"/>
  <c r="H1100" i="5"/>
  <c r="I1100" i="5"/>
  <c r="J1100" i="5"/>
  <c r="K1100" i="5"/>
  <c r="L1100" i="5"/>
  <c r="M1100" i="5"/>
  <c r="N1100" i="5"/>
  <c r="O1100" i="5"/>
  <c r="P1100" i="5"/>
  <c r="Q1100" i="5"/>
  <c r="R1100" i="5"/>
  <c r="S1100" i="5"/>
  <c r="T1100" i="5"/>
  <c r="U1100" i="5"/>
  <c r="V1100" i="5"/>
  <c r="W1100" i="5"/>
  <c r="X1100" i="5"/>
  <c r="AC1100" i="5"/>
  <c r="A1101" i="5"/>
  <c r="B1101" i="5"/>
  <c r="C1101" i="5"/>
  <c r="D1101" i="5"/>
  <c r="E1101" i="5"/>
  <c r="F1101" i="5"/>
  <c r="G1101" i="5"/>
  <c r="H1101" i="5"/>
  <c r="I1101" i="5"/>
  <c r="J1101" i="5"/>
  <c r="K1101" i="5"/>
  <c r="L1101" i="5"/>
  <c r="M1101" i="5"/>
  <c r="N1101" i="5"/>
  <c r="O1101" i="5"/>
  <c r="P1101" i="5"/>
  <c r="Q1101" i="5"/>
  <c r="R1101" i="5"/>
  <c r="S1101" i="5"/>
  <c r="T1101" i="5"/>
  <c r="U1101" i="5"/>
  <c r="V1101" i="5"/>
  <c r="W1101" i="5"/>
  <c r="X1101" i="5"/>
  <c r="AC1101" i="5"/>
  <c r="A1102" i="5"/>
  <c r="B1102" i="5"/>
  <c r="C1102" i="5"/>
  <c r="D1102" i="5"/>
  <c r="E1102" i="5"/>
  <c r="F1102" i="5"/>
  <c r="G1102" i="5"/>
  <c r="H1102" i="5"/>
  <c r="I1102" i="5"/>
  <c r="J1102" i="5"/>
  <c r="K1102" i="5"/>
  <c r="L1102" i="5"/>
  <c r="M1102" i="5"/>
  <c r="N1102" i="5"/>
  <c r="O1102" i="5"/>
  <c r="P1102" i="5"/>
  <c r="Q1102" i="5"/>
  <c r="R1102" i="5"/>
  <c r="S1102" i="5"/>
  <c r="T1102" i="5"/>
  <c r="U1102" i="5"/>
  <c r="V1102" i="5"/>
  <c r="W1102" i="5"/>
  <c r="X1102" i="5"/>
  <c r="AC1102" i="5"/>
  <c r="A1103" i="5"/>
  <c r="B1103" i="5"/>
  <c r="C1103" i="5"/>
  <c r="D1103" i="5"/>
  <c r="E1103" i="5"/>
  <c r="F1103" i="5"/>
  <c r="G1103" i="5"/>
  <c r="H1103" i="5"/>
  <c r="I1103" i="5"/>
  <c r="J1103" i="5"/>
  <c r="K1103" i="5"/>
  <c r="L1103" i="5"/>
  <c r="M1103" i="5"/>
  <c r="N1103" i="5"/>
  <c r="O1103" i="5"/>
  <c r="P1103" i="5"/>
  <c r="Q1103" i="5"/>
  <c r="R1103" i="5"/>
  <c r="S1103" i="5"/>
  <c r="T1103" i="5"/>
  <c r="U1103" i="5"/>
  <c r="V1103" i="5"/>
  <c r="W1103" i="5"/>
  <c r="X1103" i="5"/>
  <c r="AC1103" i="5"/>
  <c r="A1104" i="5"/>
  <c r="B1104" i="5"/>
  <c r="C1104" i="5"/>
  <c r="D1104" i="5"/>
  <c r="E1104" i="5"/>
  <c r="F1104" i="5"/>
  <c r="G1104" i="5"/>
  <c r="H1104" i="5"/>
  <c r="I1104" i="5"/>
  <c r="J1104" i="5"/>
  <c r="K1104" i="5"/>
  <c r="L1104" i="5"/>
  <c r="M1104" i="5"/>
  <c r="N1104" i="5"/>
  <c r="O1104" i="5"/>
  <c r="P1104" i="5"/>
  <c r="Q1104" i="5"/>
  <c r="R1104" i="5"/>
  <c r="S1104" i="5"/>
  <c r="T1104" i="5"/>
  <c r="U1104" i="5"/>
  <c r="V1104" i="5"/>
  <c r="W1104" i="5"/>
  <c r="X1104" i="5"/>
  <c r="AC1104" i="5"/>
  <c r="A1105" i="5"/>
  <c r="B1105" i="5"/>
  <c r="C1105" i="5"/>
  <c r="D1105" i="5"/>
  <c r="E1105" i="5"/>
  <c r="F1105" i="5"/>
  <c r="G1105" i="5"/>
  <c r="H1105" i="5"/>
  <c r="I1105" i="5"/>
  <c r="J1105" i="5"/>
  <c r="K1105" i="5"/>
  <c r="L1105" i="5"/>
  <c r="M1105" i="5"/>
  <c r="N1105" i="5"/>
  <c r="O1105" i="5"/>
  <c r="P1105" i="5"/>
  <c r="Q1105" i="5"/>
  <c r="R1105" i="5"/>
  <c r="S1105" i="5"/>
  <c r="T1105" i="5"/>
  <c r="U1105" i="5"/>
  <c r="V1105" i="5"/>
  <c r="W1105" i="5"/>
  <c r="X1105" i="5"/>
  <c r="AC1105" i="5"/>
  <c r="A1106" i="5"/>
  <c r="B1106" i="5"/>
  <c r="C1106" i="5"/>
  <c r="D1106" i="5"/>
  <c r="E1106" i="5"/>
  <c r="F1106" i="5"/>
  <c r="G1106" i="5"/>
  <c r="H1106" i="5"/>
  <c r="I1106" i="5"/>
  <c r="J1106" i="5"/>
  <c r="K1106" i="5"/>
  <c r="L1106" i="5"/>
  <c r="M1106" i="5"/>
  <c r="N1106" i="5"/>
  <c r="O1106" i="5"/>
  <c r="P1106" i="5"/>
  <c r="Q1106" i="5"/>
  <c r="R1106" i="5"/>
  <c r="S1106" i="5"/>
  <c r="T1106" i="5"/>
  <c r="U1106" i="5"/>
  <c r="V1106" i="5"/>
  <c r="W1106" i="5"/>
  <c r="X1106" i="5"/>
  <c r="AC1106" i="5"/>
  <c r="A1107" i="5"/>
  <c r="B1107" i="5"/>
  <c r="C1107" i="5"/>
  <c r="D1107" i="5"/>
  <c r="E1107" i="5"/>
  <c r="F1107" i="5"/>
  <c r="G1107" i="5"/>
  <c r="H1107" i="5"/>
  <c r="I1107" i="5"/>
  <c r="J1107" i="5"/>
  <c r="K1107" i="5"/>
  <c r="L1107" i="5"/>
  <c r="M1107" i="5"/>
  <c r="N1107" i="5"/>
  <c r="O1107" i="5"/>
  <c r="P1107" i="5"/>
  <c r="Q1107" i="5"/>
  <c r="R1107" i="5"/>
  <c r="S1107" i="5"/>
  <c r="T1107" i="5"/>
  <c r="U1107" i="5"/>
  <c r="V1107" i="5"/>
  <c r="W1107" i="5"/>
  <c r="X1107" i="5"/>
  <c r="AC1107" i="5"/>
  <c r="A1108" i="5"/>
  <c r="B1108" i="5"/>
  <c r="C1108" i="5"/>
  <c r="D1108" i="5"/>
  <c r="E1108" i="5"/>
  <c r="F1108" i="5"/>
  <c r="G1108" i="5"/>
  <c r="H1108" i="5"/>
  <c r="I1108" i="5"/>
  <c r="J1108" i="5"/>
  <c r="K1108" i="5"/>
  <c r="L1108" i="5"/>
  <c r="M1108" i="5"/>
  <c r="N1108" i="5"/>
  <c r="O1108" i="5"/>
  <c r="P1108" i="5"/>
  <c r="Q1108" i="5"/>
  <c r="R1108" i="5"/>
  <c r="S1108" i="5"/>
  <c r="T1108" i="5"/>
  <c r="U1108" i="5"/>
  <c r="V1108" i="5"/>
  <c r="W1108" i="5"/>
  <c r="X1108" i="5"/>
  <c r="AC1108" i="5"/>
  <c r="A1109" i="5"/>
  <c r="B1109" i="5"/>
  <c r="C1109" i="5"/>
  <c r="D1109" i="5"/>
  <c r="E1109" i="5"/>
  <c r="F1109" i="5"/>
  <c r="G1109" i="5"/>
  <c r="H1109" i="5"/>
  <c r="I1109" i="5"/>
  <c r="J1109" i="5"/>
  <c r="K1109" i="5"/>
  <c r="L1109" i="5"/>
  <c r="M1109" i="5"/>
  <c r="N1109" i="5"/>
  <c r="O1109" i="5"/>
  <c r="P1109" i="5"/>
  <c r="Q1109" i="5"/>
  <c r="R1109" i="5"/>
  <c r="S1109" i="5"/>
  <c r="T1109" i="5"/>
  <c r="U1109" i="5"/>
  <c r="V1109" i="5"/>
  <c r="W1109" i="5"/>
  <c r="X1109" i="5"/>
  <c r="AC1109" i="5"/>
  <c r="A1110" i="5"/>
  <c r="B1110" i="5"/>
  <c r="C1110" i="5"/>
  <c r="D1110" i="5"/>
  <c r="E1110" i="5"/>
  <c r="F1110" i="5"/>
  <c r="G1110" i="5"/>
  <c r="H1110" i="5"/>
  <c r="I1110" i="5"/>
  <c r="J1110" i="5"/>
  <c r="K1110" i="5"/>
  <c r="L1110" i="5"/>
  <c r="M1110" i="5"/>
  <c r="N1110" i="5"/>
  <c r="O1110" i="5"/>
  <c r="P1110" i="5"/>
  <c r="Q1110" i="5"/>
  <c r="R1110" i="5"/>
  <c r="S1110" i="5"/>
  <c r="T1110" i="5"/>
  <c r="U1110" i="5"/>
  <c r="V1110" i="5"/>
  <c r="W1110" i="5"/>
  <c r="X1110" i="5"/>
  <c r="AC1110" i="5"/>
  <c r="A1111" i="5"/>
  <c r="B1111" i="5"/>
  <c r="C1111" i="5"/>
  <c r="D1111" i="5"/>
  <c r="E1111" i="5"/>
  <c r="F1111" i="5"/>
  <c r="G1111" i="5"/>
  <c r="H1111" i="5"/>
  <c r="I1111" i="5"/>
  <c r="J1111" i="5"/>
  <c r="K1111" i="5"/>
  <c r="L1111" i="5"/>
  <c r="M1111" i="5"/>
  <c r="N1111" i="5"/>
  <c r="O1111" i="5"/>
  <c r="P1111" i="5"/>
  <c r="Q1111" i="5"/>
  <c r="R1111" i="5"/>
  <c r="S1111" i="5"/>
  <c r="T1111" i="5"/>
  <c r="U1111" i="5"/>
  <c r="V1111" i="5"/>
  <c r="W1111" i="5"/>
  <c r="X1111" i="5"/>
  <c r="AC1111" i="5"/>
  <c r="A1112" i="5"/>
  <c r="B1112" i="5"/>
  <c r="C1112" i="5"/>
  <c r="D1112" i="5"/>
  <c r="E1112" i="5"/>
  <c r="F1112" i="5"/>
  <c r="G1112" i="5"/>
  <c r="H1112" i="5"/>
  <c r="I1112" i="5"/>
  <c r="J1112" i="5"/>
  <c r="K1112" i="5"/>
  <c r="L1112" i="5"/>
  <c r="M1112" i="5"/>
  <c r="N1112" i="5"/>
  <c r="O1112" i="5"/>
  <c r="P1112" i="5"/>
  <c r="Q1112" i="5"/>
  <c r="R1112" i="5"/>
  <c r="S1112" i="5"/>
  <c r="T1112" i="5"/>
  <c r="U1112" i="5"/>
  <c r="V1112" i="5"/>
  <c r="W1112" i="5"/>
  <c r="X1112" i="5"/>
  <c r="AC1112" i="5"/>
  <c r="A1113" i="5"/>
  <c r="B1113" i="5"/>
  <c r="C1113" i="5"/>
  <c r="D1113" i="5"/>
  <c r="E1113" i="5"/>
  <c r="F1113" i="5"/>
  <c r="G1113" i="5"/>
  <c r="H1113" i="5"/>
  <c r="I1113" i="5"/>
  <c r="J1113" i="5"/>
  <c r="K1113" i="5"/>
  <c r="L1113" i="5"/>
  <c r="M1113" i="5"/>
  <c r="N1113" i="5"/>
  <c r="O1113" i="5"/>
  <c r="P1113" i="5"/>
  <c r="Q1113" i="5"/>
  <c r="R1113" i="5"/>
  <c r="S1113" i="5"/>
  <c r="T1113" i="5"/>
  <c r="U1113" i="5"/>
  <c r="V1113" i="5"/>
  <c r="W1113" i="5"/>
  <c r="X1113" i="5"/>
  <c r="AC1113" i="5"/>
  <c r="A1114" i="5"/>
  <c r="B1114" i="5"/>
  <c r="C1114" i="5"/>
  <c r="D1114" i="5"/>
  <c r="E1114" i="5"/>
  <c r="F1114" i="5"/>
  <c r="G1114" i="5"/>
  <c r="H1114" i="5"/>
  <c r="I1114" i="5"/>
  <c r="J1114" i="5"/>
  <c r="K1114" i="5"/>
  <c r="L1114" i="5"/>
  <c r="M1114" i="5"/>
  <c r="N1114" i="5"/>
  <c r="O1114" i="5"/>
  <c r="P1114" i="5"/>
  <c r="Q1114" i="5"/>
  <c r="R1114" i="5"/>
  <c r="S1114" i="5"/>
  <c r="T1114" i="5"/>
  <c r="U1114" i="5"/>
  <c r="V1114" i="5"/>
  <c r="W1114" i="5"/>
  <c r="X1114" i="5"/>
  <c r="AC1114" i="5"/>
  <c r="A1115" i="5"/>
  <c r="B1115" i="5"/>
  <c r="C1115" i="5"/>
  <c r="D1115" i="5"/>
  <c r="E1115" i="5"/>
  <c r="F1115" i="5"/>
  <c r="G1115" i="5"/>
  <c r="H1115" i="5"/>
  <c r="I1115" i="5"/>
  <c r="J1115" i="5"/>
  <c r="K1115" i="5"/>
  <c r="L1115" i="5"/>
  <c r="M1115" i="5"/>
  <c r="N1115" i="5"/>
  <c r="O1115" i="5"/>
  <c r="P1115" i="5"/>
  <c r="Q1115" i="5"/>
  <c r="R1115" i="5"/>
  <c r="S1115" i="5"/>
  <c r="T1115" i="5"/>
  <c r="U1115" i="5"/>
  <c r="V1115" i="5"/>
  <c r="W1115" i="5"/>
  <c r="X1115" i="5"/>
  <c r="AC1115" i="5"/>
  <c r="A1116" i="5"/>
  <c r="B1116" i="5"/>
  <c r="C1116" i="5"/>
  <c r="D1116" i="5"/>
  <c r="E1116" i="5"/>
  <c r="F1116" i="5"/>
  <c r="G1116" i="5"/>
  <c r="H1116" i="5"/>
  <c r="I1116" i="5"/>
  <c r="J1116" i="5"/>
  <c r="K1116" i="5"/>
  <c r="L1116" i="5"/>
  <c r="M1116" i="5"/>
  <c r="N1116" i="5"/>
  <c r="O1116" i="5"/>
  <c r="P1116" i="5"/>
  <c r="Q1116" i="5"/>
  <c r="R1116" i="5"/>
  <c r="S1116" i="5"/>
  <c r="T1116" i="5"/>
  <c r="U1116" i="5"/>
  <c r="V1116" i="5"/>
  <c r="W1116" i="5"/>
  <c r="X1116" i="5"/>
  <c r="AC1116" i="5"/>
  <c r="A1117" i="5"/>
  <c r="B1117" i="5"/>
  <c r="C1117" i="5"/>
  <c r="D1117" i="5"/>
  <c r="E1117" i="5"/>
  <c r="F1117" i="5"/>
  <c r="G1117" i="5"/>
  <c r="H1117" i="5"/>
  <c r="I1117" i="5"/>
  <c r="J1117" i="5"/>
  <c r="K1117" i="5"/>
  <c r="L1117" i="5"/>
  <c r="M1117" i="5"/>
  <c r="N1117" i="5"/>
  <c r="O1117" i="5"/>
  <c r="P1117" i="5"/>
  <c r="Q1117" i="5"/>
  <c r="R1117" i="5"/>
  <c r="S1117" i="5"/>
  <c r="T1117" i="5"/>
  <c r="U1117" i="5"/>
  <c r="V1117" i="5"/>
  <c r="W1117" i="5"/>
  <c r="X1117" i="5"/>
  <c r="AC1117" i="5"/>
  <c r="A1118" i="5"/>
  <c r="B1118" i="5"/>
  <c r="C1118" i="5"/>
  <c r="D1118" i="5"/>
  <c r="E1118" i="5"/>
  <c r="F1118" i="5"/>
  <c r="G1118" i="5"/>
  <c r="H1118" i="5"/>
  <c r="I1118" i="5"/>
  <c r="J1118" i="5"/>
  <c r="K1118" i="5"/>
  <c r="L1118" i="5"/>
  <c r="M1118" i="5"/>
  <c r="N1118" i="5"/>
  <c r="O1118" i="5"/>
  <c r="P1118" i="5"/>
  <c r="Q1118" i="5"/>
  <c r="R1118" i="5"/>
  <c r="S1118" i="5"/>
  <c r="T1118" i="5"/>
  <c r="U1118" i="5"/>
  <c r="V1118" i="5"/>
  <c r="W1118" i="5"/>
  <c r="X1118" i="5"/>
  <c r="AC1118" i="5"/>
  <c r="A1119" i="5"/>
  <c r="B1119" i="5"/>
  <c r="C1119" i="5"/>
  <c r="D1119" i="5"/>
  <c r="E1119" i="5"/>
  <c r="F1119" i="5"/>
  <c r="G1119" i="5"/>
  <c r="H1119" i="5"/>
  <c r="I1119" i="5"/>
  <c r="J1119" i="5"/>
  <c r="K1119" i="5"/>
  <c r="L1119" i="5"/>
  <c r="M1119" i="5"/>
  <c r="N1119" i="5"/>
  <c r="O1119" i="5"/>
  <c r="P1119" i="5"/>
  <c r="Q1119" i="5"/>
  <c r="R1119" i="5"/>
  <c r="S1119" i="5"/>
  <c r="T1119" i="5"/>
  <c r="U1119" i="5"/>
  <c r="V1119" i="5"/>
  <c r="W1119" i="5"/>
  <c r="X1119" i="5"/>
  <c r="AC1119" i="5"/>
  <c r="A1120" i="5"/>
  <c r="B1120" i="5"/>
  <c r="C1120" i="5"/>
  <c r="D1120" i="5"/>
  <c r="E1120" i="5"/>
  <c r="F1120" i="5"/>
  <c r="G1120" i="5"/>
  <c r="H1120" i="5"/>
  <c r="I1120" i="5"/>
  <c r="J1120" i="5"/>
  <c r="K1120" i="5"/>
  <c r="L1120" i="5"/>
  <c r="M1120" i="5"/>
  <c r="N1120" i="5"/>
  <c r="O1120" i="5"/>
  <c r="P1120" i="5"/>
  <c r="Q1120" i="5"/>
  <c r="R1120" i="5"/>
  <c r="S1120" i="5"/>
  <c r="T1120" i="5"/>
  <c r="U1120" i="5"/>
  <c r="V1120" i="5"/>
  <c r="W1120" i="5"/>
  <c r="X1120" i="5"/>
  <c r="AC1120" i="5"/>
  <c r="A1121" i="5"/>
  <c r="B1121" i="5"/>
  <c r="C1121" i="5"/>
  <c r="D1121" i="5"/>
  <c r="E1121" i="5"/>
  <c r="F1121" i="5"/>
  <c r="G1121" i="5"/>
  <c r="H1121" i="5"/>
  <c r="I1121" i="5"/>
  <c r="J1121" i="5"/>
  <c r="K1121" i="5"/>
  <c r="L1121" i="5"/>
  <c r="M1121" i="5"/>
  <c r="N1121" i="5"/>
  <c r="O1121" i="5"/>
  <c r="P1121" i="5"/>
  <c r="Q1121" i="5"/>
  <c r="R1121" i="5"/>
  <c r="S1121" i="5"/>
  <c r="T1121" i="5"/>
  <c r="U1121" i="5"/>
  <c r="V1121" i="5"/>
  <c r="W1121" i="5"/>
  <c r="X1121" i="5"/>
  <c r="A1122" i="5"/>
  <c r="B1122" i="5"/>
  <c r="C1122" i="5"/>
  <c r="D1122" i="5"/>
  <c r="E1122" i="5"/>
  <c r="F1122" i="5"/>
  <c r="G1122" i="5"/>
  <c r="H1122" i="5"/>
  <c r="I1122" i="5"/>
  <c r="J1122" i="5"/>
  <c r="K1122" i="5"/>
  <c r="L1122" i="5"/>
  <c r="M1122" i="5"/>
  <c r="N1122" i="5"/>
  <c r="O1122" i="5"/>
  <c r="P1122" i="5"/>
  <c r="Q1122" i="5"/>
  <c r="R1122" i="5"/>
  <c r="S1122" i="5"/>
  <c r="T1122" i="5"/>
  <c r="U1122" i="5"/>
  <c r="V1122" i="5"/>
  <c r="W1122" i="5"/>
  <c r="X1122" i="5"/>
  <c r="A1123" i="5"/>
  <c r="B1123" i="5"/>
  <c r="C1123" i="5"/>
  <c r="D1123" i="5"/>
  <c r="E1123" i="5"/>
  <c r="F1123" i="5"/>
  <c r="G1123" i="5"/>
  <c r="H1123" i="5"/>
  <c r="I1123" i="5"/>
  <c r="J1123" i="5"/>
  <c r="K1123" i="5"/>
  <c r="L1123" i="5"/>
  <c r="M1123" i="5"/>
  <c r="N1123" i="5"/>
  <c r="O1123" i="5"/>
  <c r="P1123" i="5"/>
  <c r="Q1123" i="5"/>
  <c r="R1123" i="5"/>
  <c r="S1123" i="5"/>
  <c r="T1123" i="5"/>
  <c r="U1123" i="5"/>
  <c r="V1123" i="5"/>
  <c r="W1123" i="5"/>
  <c r="X1123" i="5"/>
  <c r="A1124" i="5"/>
  <c r="B1124" i="5"/>
  <c r="C1124" i="5"/>
  <c r="D1124" i="5"/>
  <c r="E1124" i="5"/>
  <c r="F1124" i="5"/>
  <c r="G1124" i="5"/>
  <c r="H1124" i="5"/>
  <c r="I1124" i="5"/>
  <c r="J1124" i="5"/>
  <c r="K1124" i="5"/>
  <c r="L1124" i="5"/>
  <c r="M1124" i="5"/>
  <c r="N1124" i="5"/>
  <c r="O1124" i="5"/>
  <c r="P1124" i="5"/>
  <c r="Q1124" i="5"/>
  <c r="R1124" i="5"/>
  <c r="S1124" i="5"/>
  <c r="T1124" i="5"/>
  <c r="U1124" i="5"/>
  <c r="V1124" i="5"/>
  <c r="W1124" i="5"/>
  <c r="X1124" i="5"/>
  <c r="A1125" i="5"/>
  <c r="B1125" i="5"/>
  <c r="C1125" i="5"/>
  <c r="D1125" i="5"/>
  <c r="E1125" i="5"/>
  <c r="F1125" i="5"/>
  <c r="G1125" i="5"/>
  <c r="H1125" i="5"/>
  <c r="I1125" i="5"/>
  <c r="J1125" i="5"/>
  <c r="K1125" i="5"/>
  <c r="L1125" i="5"/>
  <c r="M1125" i="5"/>
  <c r="N1125" i="5"/>
  <c r="O1125" i="5"/>
  <c r="P1125" i="5"/>
  <c r="Q1125" i="5"/>
  <c r="R1125" i="5"/>
  <c r="S1125" i="5"/>
  <c r="T1125" i="5"/>
  <c r="U1125" i="5"/>
  <c r="V1125" i="5"/>
  <c r="W1125" i="5"/>
  <c r="X1125" i="5"/>
  <c r="A1126" i="5"/>
  <c r="B1126" i="5"/>
  <c r="C1126" i="5"/>
  <c r="D1126" i="5"/>
  <c r="E1126" i="5"/>
  <c r="F1126" i="5"/>
  <c r="G1126" i="5"/>
  <c r="H1126" i="5"/>
  <c r="I1126" i="5"/>
  <c r="J1126" i="5"/>
  <c r="K1126" i="5"/>
  <c r="L1126" i="5"/>
  <c r="M1126" i="5"/>
  <c r="N1126" i="5"/>
  <c r="O1126" i="5"/>
  <c r="P1126" i="5"/>
  <c r="Q1126" i="5"/>
  <c r="R1126" i="5"/>
  <c r="S1126" i="5"/>
  <c r="T1126" i="5"/>
  <c r="U1126" i="5"/>
  <c r="V1126" i="5"/>
  <c r="W1126" i="5"/>
  <c r="X1126" i="5"/>
  <c r="A1127" i="5"/>
  <c r="B1127" i="5"/>
  <c r="C1127" i="5"/>
  <c r="D1127" i="5"/>
  <c r="E1127" i="5"/>
  <c r="F1127" i="5"/>
  <c r="G1127" i="5"/>
  <c r="H1127" i="5"/>
  <c r="I1127" i="5"/>
  <c r="J1127" i="5"/>
  <c r="K1127" i="5"/>
  <c r="L1127" i="5"/>
  <c r="M1127" i="5"/>
  <c r="N1127" i="5"/>
  <c r="O1127" i="5"/>
  <c r="P1127" i="5"/>
  <c r="Q1127" i="5"/>
  <c r="R1127" i="5"/>
  <c r="S1127" i="5"/>
  <c r="T1127" i="5"/>
  <c r="U1127" i="5"/>
  <c r="V1127" i="5"/>
  <c r="W1127" i="5"/>
  <c r="X1127" i="5"/>
  <c r="A1128" i="5"/>
  <c r="B1128" i="5"/>
  <c r="C1128" i="5"/>
  <c r="D1128" i="5"/>
  <c r="E1128" i="5"/>
  <c r="F1128" i="5"/>
  <c r="G1128" i="5"/>
  <c r="H1128" i="5"/>
  <c r="I1128" i="5"/>
  <c r="J1128" i="5"/>
  <c r="K1128" i="5"/>
  <c r="L1128" i="5"/>
  <c r="M1128" i="5"/>
  <c r="N1128" i="5"/>
  <c r="O1128" i="5"/>
  <c r="P1128" i="5"/>
  <c r="Q1128" i="5"/>
  <c r="R1128" i="5"/>
  <c r="S1128" i="5"/>
  <c r="T1128" i="5"/>
  <c r="U1128" i="5"/>
  <c r="V1128" i="5"/>
  <c r="W1128" i="5"/>
  <c r="X1128" i="5"/>
  <c r="A1129" i="5"/>
  <c r="B1129" i="5"/>
  <c r="C1129" i="5"/>
  <c r="D1129" i="5"/>
  <c r="E1129" i="5"/>
  <c r="F1129" i="5"/>
  <c r="G1129" i="5"/>
  <c r="H1129" i="5"/>
  <c r="I1129" i="5"/>
  <c r="J1129" i="5"/>
  <c r="K1129" i="5"/>
  <c r="L1129" i="5"/>
  <c r="M1129" i="5"/>
  <c r="N1129" i="5"/>
  <c r="O1129" i="5"/>
  <c r="P1129" i="5"/>
  <c r="Q1129" i="5"/>
  <c r="R1129" i="5"/>
  <c r="S1129" i="5"/>
  <c r="T1129" i="5"/>
  <c r="U1129" i="5"/>
  <c r="V1129" i="5"/>
  <c r="W1129" i="5"/>
  <c r="X1129" i="5"/>
  <c r="A1130" i="5"/>
  <c r="B1130" i="5"/>
  <c r="C1130" i="5"/>
  <c r="D1130" i="5"/>
  <c r="E1130" i="5"/>
  <c r="F1130" i="5"/>
  <c r="G1130" i="5"/>
  <c r="H1130" i="5"/>
  <c r="I1130" i="5"/>
  <c r="J1130" i="5"/>
  <c r="K1130" i="5"/>
  <c r="L1130" i="5"/>
  <c r="M1130" i="5"/>
  <c r="N1130" i="5"/>
  <c r="O1130" i="5"/>
  <c r="P1130" i="5"/>
  <c r="Q1130" i="5"/>
  <c r="R1130" i="5"/>
  <c r="S1130" i="5"/>
  <c r="T1130" i="5"/>
  <c r="U1130" i="5"/>
  <c r="V1130" i="5"/>
  <c r="W1130" i="5"/>
  <c r="X1130" i="5"/>
  <c r="A1131" i="5"/>
  <c r="B1131" i="5"/>
  <c r="C1131" i="5"/>
  <c r="D1131" i="5"/>
  <c r="E1131" i="5"/>
  <c r="F1131" i="5"/>
  <c r="G1131" i="5"/>
  <c r="H1131" i="5"/>
  <c r="I1131" i="5"/>
  <c r="J1131" i="5"/>
  <c r="K1131" i="5"/>
  <c r="L1131" i="5"/>
  <c r="M1131" i="5"/>
  <c r="N1131" i="5"/>
  <c r="O1131" i="5"/>
  <c r="P1131" i="5"/>
  <c r="Q1131" i="5"/>
  <c r="R1131" i="5"/>
  <c r="S1131" i="5"/>
  <c r="T1131" i="5"/>
  <c r="U1131" i="5"/>
  <c r="V1131" i="5"/>
  <c r="W1131" i="5"/>
  <c r="X1131" i="5"/>
  <c r="A1132" i="5"/>
  <c r="B1132" i="5"/>
  <c r="C1132" i="5"/>
  <c r="D1132" i="5"/>
  <c r="E1132" i="5"/>
  <c r="F1132" i="5"/>
  <c r="G1132" i="5"/>
  <c r="H1132" i="5"/>
  <c r="I1132" i="5"/>
  <c r="J1132" i="5"/>
  <c r="K1132" i="5"/>
  <c r="L1132" i="5"/>
  <c r="M1132" i="5"/>
  <c r="N1132" i="5"/>
  <c r="O1132" i="5"/>
  <c r="P1132" i="5"/>
  <c r="Q1132" i="5"/>
  <c r="R1132" i="5"/>
  <c r="S1132" i="5"/>
  <c r="T1132" i="5"/>
  <c r="U1132" i="5"/>
  <c r="V1132" i="5"/>
  <c r="W1132" i="5"/>
  <c r="X1132" i="5"/>
  <c r="A1133" i="5"/>
  <c r="B1133" i="5"/>
  <c r="C1133" i="5"/>
  <c r="D1133" i="5"/>
  <c r="E1133" i="5"/>
  <c r="F1133" i="5"/>
  <c r="G1133" i="5"/>
  <c r="H1133" i="5"/>
  <c r="I1133" i="5"/>
  <c r="J1133" i="5"/>
  <c r="K1133" i="5"/>
  <c r="L1133" i="5"/>
  <c r="M1133" i="5"/>
  <c r="N1133" i="5"/>
  <c r="O1133" i="5"/>
  <c r="P1133" i="5"/>
  <c r="Q1133" i="5"/>
  <c r="R1133" i="5"/>
  <c r="S1133" i="5"/>
  <c r="T1133" i="5"/>
  <c r="U1133" i="5"/>
  <c r="V1133" i="5"/>
  <c r="W1133" i="5"/>
  <c r="X1133" i="5"/>
  <c r="A1134" i="5"/>
  <c r="B1134" i="5"/>
  <c r="C1134" i="5"/>
  <c r="D1134" i="5"/>
  <c r="E1134" i="5"/>
  <c r="F1134" i="5"/>
  <c r="G1134" i="5"/>
  <c r="H1134" i="5"/>
  <c r="I1134" i="5"/>
  <c r="J1134" i="5"/>
  <c r="K1134" i="5"/>
  <c r="L1134" i="5"/>
  <c r="M1134" i="5"/>
  <c r="N1134" i="5"/>
  <c r="O1134" i="5"/>
  <c r="P1134" i="5"/>
  <c r="Q1134" i="5"/>
  <c r="R1134" i="5"/>
  <c r="S1134" i="5"/>
  <c r="T1134" i="5"/>
  <c r="U1134" i="5"/>
  <c r="V1134" i="5"/>
  <c r="W1134" i="5"/>
  <c r="X1134" i="5"/>
  <c r="A1135" i="5"/>
  <c r="B1135" i="5"/>
  <c r="C1135" i="5"/>
  <c r="D1135" i="5"/>
  <c r="E1135" i="5"/>
  <c r="F1135" i="5"/>
  <c r="G1135" i="5"/>
  <c r="H1135" i="5"/>
  <c r="I1135" i="5"/>
  <c r="J1135" i="5"/>
  <c r="K1135" i="5"/>
  <c r="L1135" i="5"/>
  <c r="M1135" i="5"/>
  <c r="N1135" i="5"/>
  <c r="O1135" i="5"/>
  <c r="P1135" i="5"/>
  <c r="Q1135" i="5"/>
  <c r="R1135" i="5"/>
  <c r="S1135" i="5"/>
  <c r="T1135" i="5"/>
  <c r="U1135" i="5"/>
  <c r="V1135" i="5"/>
  <c r="W1135" i="5"/>
  <c r="X1135" i="5"/>
  <c r="A1136" i="5"/>
  <c r="B1136" i="5"/>
  <c r="C1136" i="5"/>
  <c r="D1136" i="5"/>
  <c r="E1136" i="5"/>
  <c r="F1136" i="5"/>
  <c r="G1136" i="5"/>
  <c r="H1136" i="5"/>
  <c r="I1136" i="5"/>
  <c r="J1136" i="5"/>
  <c r="K1136" i="5"/>
  <c r="L1136" i="5"/>
  <c r="M1136" i="5"/>
  <c r="N1136" i="5"/>
  <c r="O1136" i="5"/>
  <c r="P1136" i="5"/>
  <c r="Q1136" i="5"/>
  <c r="R1136" i="5"/>
  <c r="S1136" i="5"/>
  <c r="T1136" i="5"/>
  <c r="U1136" i="5"/>
  <c r="V1136" i="5"/>
  <c r="W1136" i="5"/>
  <c r="X1136" i="5"/>
  <c r="A1137" i="5"/>
  <c r="B1137" i="5"/>
  <c r="C1137" i="5"/>
  <c r="D1137" i="5"/>
  <c r="E1137" i="5"/>
  <c r="F1137" i="5"/>
  <c r="G1137" i="5"/>
  <c r="H1137" i="5"/>
  <c r="I1137" i="5"/>
  <c r="J1137" i="5"/>
  <c r="K1137" i="5"/>
  <c r="L1137" i="5"/>
  <c r="M1137" i="5"/>
  <c r="N1137" i="5"/>
  <c r="O1137" i="5"/>
  <c r="P1137" i="5"/>
  <c r="Q1137" i="5"/>
  <c r="R1137" i="5"/>
  <c r="S1137" i="5"/>
  <c r="T1137" i="5"/>
  <c r="U1137" i="5"/>
  <c r="V1137" i="5"/>
  <c r="W1137" i="5"/>
  <c r="X1137" i="5"/>
  <c r="AB1137" i="5"/>
  <c r="AC1137" i="5"/>
  <c r="A1138" i="5"/>
  <c r="B1138" i="5"/>
  <c r="C1138" i="5"/>
  <c r="D1138" i="5"/>
  <c r="E1138" i="5"/>
  <c r="F1138" i="5"/>
  <c r="G1138" i="5"/>
  <c r="H1138" i="5"/>
  <c r="I1138" i="5"/>
  <c r="J1138" i="5"/>
  <c r="K1138" i="5"/>
  <c r="L1138" i="5"/>
  <c r="M1138" i="5"/>
  <c r="N1138" i="5"/>
  <c r="O1138" i="5"/>
  <c r="P1138" i="5"/>
  <c r="Q1138" i="5"/>
  <c r="R1138" i="5"/>
  <c r="S1138" i="5"/>
  <c r="T1138" i="5"/>
  <c r="U1138" i="5"/>
  <c r="V1138" i="5"/>
  <c r="W1138" i="5"/>
  <c r="X1138" i="5"/>
  <c r="AB1138" i="5"/>
  <c r="AC1138" i="5"/>
  <c r="A1139" i="5"/>
  <c r="B1139" i="5"/>
  <c r="C1139" i="5"/>
  <c r="D1139" i="5"/>
  <c r="E1139" i="5"/>
  <c r="F1139" i="5"/>
  <c r="G1139" i="5"/>
  <c r="H1139" i="5"/>
  <c r="I1139" i="5"/>
  <c r="J1139" i="5"/>
  <c r="K1139" i="5"/>
  <c r="L1139" i="5"/>
  <c r="M1139" i="5"/>
  <c r="N1139" i="5"/>
  <c r="O1139" i="5"/>
  <c r="P1139" i="5"/>
  <c r="Q1139" i="5"/>
  <c r="R1139" i="5"/>
  <c r="S1139" i="5"/>
  <c r="T1139" i="5"/>
  <c r="U1139" i="5"/>
  <c r="V1139" i="5"/>
  <c r="W1139" i="5"/>
  <c r="X1139" i="5"/>
  <c r="AB1139" i="5"/>
  <c r="AC1139" i="5"/>
  <c r="A1140" i="5"/>
  <c r="B1140" i="5"/>
  <c r="C1140" i="5"/>
  <c r="D1140" i="5"/>
  <c r="E1140" i="5"/>
  <c r="F1140" i="5"/>
  <c r="G1140" i="5"/>
  <c r="H1140" i="5"/>
  <c r="I1140" i="5"/>
  <c r="J1140" i="5"/>
  <c r="K1140" i="5"/>
  <c r="L1140" i="5"/>
  <c r="M1140" i="5"/>
  <c r="N1140" i="5"/>
  <c r="O1140" i="5"/>
  <c r="P1140" i="5"/>
  <c r="Q1140" i="5"/>
  <c r="R1140" i="5"/>
  <c r="S1140" i="5"/>
  <c r="T1140" i="5"/>
  <c r="U1140" i="5"/>
  <c r="V1140" i="5"/>
  <c r="W1140" i="5"/>
  <c r="X1140" i="5"/>
  <c r="AB1140" i="5"/>
  <c r="AC1140" i="5"/>
  <c r="A1141" i="5"/>
  <c r="B1141" i="5"/>
  <c r="C1141" i="5"/>
  <c r="D1141" i="5"/>
  <c r="E1141" i="5"/>
  <c r="F1141" i="5"/>
  <c r="G1141" i="5"/>
  <c r="H1141" i="5"/>
  <c r="I1141" i="5"/>
  <c r="J1141" i="5"/>
  <c r="K1141" i="5"/>
  <c r="L1141" i="5"/>
  <c r="M1141" i="5"/>
  <c r="N1141" i="5"/>
  <c r="O1141" i="5"/>
  <c r="P1141" i="5"/>
  <c r="Q1141" i="5"/>
  <c r="R1141" i="5"/>
  <c r="S1141" i="5"/>
  <c r="T1141" i="5"/>
  <c r="U1141" i="5"/>
  <c r="V1141" i="5"/>
  <c r="W1141" i="5"/>
  <c r="X1141" i="5"/>
  <c r="AB1141" i="5"/>
  <c r="AC1141" i="5"/>
  <c r="A1142" i="5"/>
  <c r="B1142" i="5"/>
  <c r="C1142" i="5"/>
  <c r="D1142" i="5"/>
  <c r="E1142" i="5"/>
  <c r="F1142" i="5"/>
  <c r="G1142" i="5"/>
  <c r="H1142" i="5"/>
  <c r="I1142" i="5"/>
  <c r="J1142" i="5"/>
  <c r="K1142" i="5"/>
  <c r="L1142" i="5"/>
  <c r="M1142" i="5"/>
  <c r="N1142" i="5"/>
  <c r="O1142" i="5"/>
  <c r="P1142" i="5"/>
  <c r="Q1142" i="5"/>
  <c r="R1142" i="5"/>
  <c r="S1142" i="5"/>
  <c r="T1142" i="5"/>
  <c r="U1142" i="5"/>
  <c r="V1142" i="5"/>
  <c r="W1142" i="5"/>
  <c r="X1142" i="5"/>
  <c r="AB1142" i="5"/>
  <c r="AC1142" i="5"/>
  <c r="A1143" i="5"/>
  <c r="B1143" i="5"/>
  <c r="C1143" i="5"/>
  <c r="D1143" i="5"/>
  <c r="E1143" i="5"/>
  <c r="F1143" i="5"/>
  <c r="G1143" i="5"/>
  <c r="H1143" i="5"/>
  <c r="I1143" i="5"/>
  <c r="J1143" i="5"/>
  <c r="K1143" i="5"/>
  <c r="L1143" i="5"/>
  <c r="M1143" i="5"/>
  <c r="N1143" i="5"/>
  <c r="O1143" i="5"/>
  <c r="P1143" i="5"/>
  <c r="Q1143" i="5"/>
  <c r="R1143" i="5"/>
  <c r="S1143" i="5"/>
  <c r="T1143" i="5"/>
  <c r="U1143" i="5"/>
  <c r="V1143" i="5"/>
  <c r="W1143" i="5"/>
  <c r="X1143" i="5"/>
  <c r="A1144" i="5"/>
  <c r="B1144" i="5"/>
  <c r="C1144" i="5"/>
  <c r="D1144" i="5"/>
  <c r="E1144" i="5"/>
  <c r="F1144" i="5"/>
  <c r="G1144" i="5"/>
  <c r="H1144" i="5"/>
  <c r="I1144" i="5"/>
  <c r="J1144" i="5"/>
  <c r="K1144" i="5"/>
  <c r="L1144" i="5"/>
  <c r="M1144" i="5"/>
  <c r="N1144" i="5"/>
  <c r="O1144" i="5"/>
  <c r="P1144" i="5"/>
  <c r="Q1144" i="5"/>
  <c r="R1144" i="5"/>
  <c r="S1144" i="5"/>
  <c r="T1144" i="5"/>
  <c r="U1144" i="5"/>
  <c r="V1144" i="5"/>
  <c r="W1144" i="5"/>
  <c r="X1144" i="5"/>
  <c r="A1145" i="5"/>
  <c r="B1145" i="5"/>
  <c r="C1145" i="5"/>
  <c r="D1145" i="5"/>
  <c r="E1145" i="5"/>
  <c r="F1145" i="5"/>
  <c r="G1145" i="5"/>
  <c r="H1145" i="5"/>
  <c r="I1145" i="5"/>
  <c r="J1145" i="5"/>
  <c r="K1145" i="5"/>
  <c r="L1145" i="5"/>
  <c r="M1145" i="5"/>
  <c r="N1145" i="5"/>
  <c r="O1145" i="5"/>
  <c r="P1145" i="5"/>
  <c r="Q1145" i="5"/>
  <c r="R1145" i="5"/>
  <c r="S1145" i="5"/>
  <c r="T1145" i="5"/>
  <c r="U1145" i="5"/>
  <c r="V1145" i="5"/>
  <c r="W1145" i="5"/>
  <c r="X1145" i="5"/>
  <c r="A1146" i="5"/>
  <c r="B1146" i="5" s="1"/>
  <c r="C1146" i="5"/>
  <c r="D1146" i="5"/>
  <c r="E1146" i="5"/>
  <c r="F1146" i="5"/>
  <c r="G1146" i="5"/>
  <c r="H1146" i="5"/>
  <c r="I1146" i="5"/>
  <c r="J1146" i="5"/>
  <c r="K1146" i="5"/>
  <c r="L1146" i="5"/>
  <c r="M1146" i="5"/>
  <c r="N1146" i="5"/>
  <c r="O1146" i="5"/>
  <c r="P1146" i="5"/>
  <c r="Q1146" i="5"/>
  <c r="R1146" i="5"/>
  <c r="S1146" i="5"/>
  <c r="T1146" i="5"/>
  <c r="U1146" i="5"/>
  <c r="V1146" i="5"/>
  <c r="W1146" i="5"/>
  <c r="X1146" i="5"/>
  <c r="A1147" i="5"/>
  <c r="B1147" i="5"/>
  <c r="C1147" i="5"/>
  <c r="D1147" i="5"/>
  <c r="E1147" i="5"/>
  <c r="F1147" i="5"/>
  <c r="G1147" i="5"/>
  <c r="H1147" i="5"/>
  <c r="I1147" i="5"/>
  <c r="J1147" i="5"/>
  <c r="K1147" i="5"/>
  <c r="L1147" i="5"/>
  <c r="M1147" i="5"/>
  <c r="N1147" i="5"/>
  <c r="O1147" i="5"/>
  <c r="P1147" i="5"/>
  <c r="Q1147" i="5"/>
  <c r="R1147" i="5"/>
  <c r="S1147" i="5"/>
  <c r="T1147" i="5"/>
  <c r="U1147" i="5"/>
  <c r="V1147" i="5"/>
  <c r="W1147" i="5"/>
  <c r="X1147" i="5"/>
  <c r="A1148" i="5"/>
  <c r="B1148" i="5"/>
  <c r="C1148" i="5"/>
  <c r="D1148" i="5"/>
  <c r="E1148" i="5"/>
  <c r="F1148" i="5"/>
  <c r="G1148" i="5"/>
  <c r="H1148" i="5"/>
  <c r="I1148" i="5"/>
  <c r="J1148" i="5"/>
  <c r="K1148" i="5"/>
  <c r="L1148" i="5"/>
  <c r="M1148" i="5"/>
  <c r="N1148" i="5"/>
  <c r="O1148" i="5"/>
  <c r="P1148" i="5"/>
  <c r="Q1148" i="5"/>
  <c r="R1148" i="5"/>
  <c r="S1148" i="5"/>
  <c r="T1148" i="5"/>
  <c r="U1148" i="5"/>
  <c r="V1148" i="5"/>
  <c r="W1148" i="5"/>
  <c r="X1148" i="5"/>
  <c r="A1149" i="5"/>
  <c r="B1149" i="5"/>
  <c r="C1149" i="5"/>
  <c r="D1149" i="5"/>
  <c r="E1149" i="5"/>
  <c r="F1149" i="5"/>
  <c r="G1149" i="5"/>
  <c r="H1149" i="5"/>
  <c r="I1149" i="5"/>
  <c r="J1149" i="5"/>
  <c r="K1149" i="5"/>
  <c r="L1149" i="5"/>
  <c r="M1149" i="5"/>
  <c r="N1149" i="5"/>
  <c r="O1149" i="5"/>
  <c r="P1149" i="5"/>
  <c r="Q1149" i="5"/>
  <c r="R1149" i="5"/>
  <c r="S1149" i="5"/>
  <c r="T1149" i="5"/>
  <c r="U1149" i="5"/>
  <c r="V1149" i="5"/>
  <c r="W1149" i="5"/>
  <c r="X1149" i="5"/>
  <c r="A1150" i="5"/>
  <c r="B1150" i="5"/>
  <c r="C1150" i="5"/>
  <c r="D1150" i="5"/>
  <c r="E1150" i="5"/>
  <c r="F1150" i="5"/>
  <c r="G1150" i="5"/>
  <c r="H1150" i="5"/>
  <c r="I1150" i="5"/>
  <c r="J1150" i="5"/>
  <c r="K1150" i="5"/>
  <c r="L1150" i="5"/>
  <c r="M1150" i="5"/>
  <c r="N1150" i="5"/>
  <c r="O1150" i="5"/>
  <c r="P1150" i="5"/>
  <c r="Q1150" i="5"/>
  <c r="R1150" i="5"/>
  <c r="S1150" i="5"/>
  <c r="T1150" i="5"/>
  <c r="U1150" i="5"/>
  <c r="V1150" i="5"/>
  <c r="W1150" i="5"/>
  <c r="X1150" i="5"/>
  <c r="A1151" i="5"/>
  <c r="B1151" i="5"/>
  <c r="C1151" i="5"/>
  <c r="D1151" i="5"/>
  <c r="E1151" i="5"/>
  <c r="F1151" i="5"/>
  <c r="G1151" i="5"/>
  <c r="H1151" i="5"/>
  <c r="I1151" i="5"/>
  <c r="J1151" i="5"/>
  <c r="K1151" i="5"/>
  <c r="L1151" i="5"/>
  <c r="M1151" i="5"/>
  <c r="N1151" i="5"/>
  <c r="O1151" i="5"/>
  <c r="P1151" i="5"/>
  <c r="Q1151" i="5"/>
  <c r="R1151" i="5"/>
  <c r="S1151" i="5"/>
  <c r="T1151" i="5"/>
  <c r="U1151" i="5"/>
  <c r="V1151" i="5"/>
  <c r="W1151" i="5"/>
  <c r="X1151" i="5"/>
  <c r="A1152" i="5"/>
  <c r="B1152" i="5"/>
  <c r="C1152" i="5"/>
  <c r="D1152" i="5"/>
  <c r="E1152" i="5"/>
  <c r="F1152" i="5"/>
  <c r="G1152" i="5"/>
  <c r="H1152" i="5"/>
  <c r="I1152" i="5"/>
  <c r="J1152" i="5"/>
  <c r="K1152" i="5"/>
  <c r="L1152" i="5"/>
  <c r="M1152" i="5"/>
  <c r="N1152" i="5"/>
  <c r="O1152" i="5"/>
  <c r="P1152" i="5"/>
  <c r="Q1152" i="5"/>
  <c r="R1152" i="5"/>
  <c r="S1152" i="5"/>
  <c r="T1152" i="5"/>
  <c r="U1152" i="5"/>
  <c r="V1152" i="5"/>
  <c r="W1152" i="5"/>
  <c r="X1152" i="5"/>
  <c r="A1153" i="5"/>
  <c r="B1153" i="5"/>
  <c r="C1153" i="5"/>
  <c r="D1153" i="5"/>
  <c r="E1153" i="5"/>
  <c r="F1153" i="5"/>
  <c r="G1153" i="5"/>
  <c r="H1153" i="5"/>
  <c r="I1153" i="5"/>
  <c r="J1153" i="5"/>
  <c r="K1153" i="5"/>
  <c r="L1153" i="5"/>
  <c r="M1153" i="5"/>
  <c r="N1153" i="5"/>
  <c r="O1153" i="5"/>
  <c r="P1153" i="5"/>
  <c r="Q1153" i="5"/>
  <c r="R1153" i="5"/>
  <c r="S1153" i="5"/>
  <c r="T1153" i="5"/>
  <c r="U1153" i="5"/>
  <c r="V1153" i="5"/>
  <c r="W1153" i="5"/>
  <c r="X1153" i="5"/>
  <c r="AB1153" i="5"/>
  <c r="AC1153" i="5"/>
  <c r="A1154" i="5"/>
  <c r="B1154" i="5"/>
  <c r="C1154" i="5"/>
  <c r="D1154" i="5"/>
  <c r="E1154" i="5"/>
  <c r="F1154" i="5"/>
  <c r="G1154" i="5"/>
  <c r="H1154" i="5"/>
  <c r="I1154" i="5"/>
  <c r="J1154" i="5"/>
  <c r="K1154" i="5"/>
  <c r="L1154" i="5"/>
  <c r="M1154" i="5"/>
  <c r="N1154" i="5"/>
  <c r="O1154" i="5"/>
  <c r="P1154" i="5"/>
  <c r="Q1154" i="5"/>
  <c r="R1154" i="5"/>
  <c r="S1154" i="5"/>
  <c r="T1154" i="5"/>
  <c r="U1154" i="5"/>
  <c r="V1154" i="5"/>
  <c r="W1154" i="5"/>
  <c r="X1154" i="5"/>
  <c r="AB1154" i="5"/>
  <c r="AC1154" i="5"/>
  <c r="A1155" i="5"/>
  <c r="B1155" i="5"/>
  <c r="C1155" i="5"/>
  <c r="D1155" i="5"/>
  <c r="E1155" i="5"/>
  <c r="F1155" i="5"/>
  <c r="G1155" i="5"/>
  <c r="H1155" i="5"/>
  <c r="I1155" i="5"/>
  <c r="J1155" i="5"/>
  <c r="K1155" i="5"/>
  <c r="L1155" i="5"/>
  <c r="M1155" i="5"/>
  <c r="N1155" i="5"/>
  <c r="O1155" i="5"/>
  <c r="P1155" i="5"/>
  <c r="Q1155" i="5"/>
  <c r="R1155" i="5"/>
  <c r="S1155" i="5"/>
  <c r="T1155" i="5"/>
  <c r="U1155" i="5"/>
  <c r="V1155" i="5"/>
  <c r="W1155" i="5"/>
  <c r="X1155" i="5"/>
  <c r="AB1155" i="5"/>
  <c r="AC1155" i="5"/>
  <c r="A1156" i="5"/>
  <c r="B1156" i="5"/>
  <c r="C1156" i="5"/>
  <c r="D1156" i="5"/>
  <c r="E1156" i="5"/>
  <c r="F1156" i="5"/>
  <c r="G1156" i="5"/>
  <c r="H1156" i="5"/>
  <c r="I1156" i="5"/>
  <c r="J1156" i="5"/>
  <c r="K1156" i="5"/>
  <c r="L1156" i="5"/>
  <c r="M1156" i="5"/>
  <c r="N1156" i="5"/>
  <c r="O1156" i="5"/>
  <c r="P1156" i="5"/>
  <c r="Q1156" i="5"/>
  <c r="R1156" i="5"/>
  <c r="S1156" i="5"/>
  <c r="T1156" i="5"/>
  <c r="U1156" i="5"/>
  <c r="V1156" i="5"/>
  <c r="W1156" i="5"/>
  <c r="X1156" i="5"/>
  <c r="AB1156" i="5"/>
  <c r="AC1156" i="5"/>
  <c r="A1157" i="5"/>
  <c r="B1157" i="5"/>
  <c r="C1157" i="5"/>
  <c r="D1157" i="5"/>
  <c r="E1157" i="5"/>
  <c r="F1157" i="5"/>
  <c r="G1157" i="5"/>
  <c r="H1157" i="5"/>
  <c r="I1157" i="5"/>
  <c r="J1157" i="5"/>
  <c r="K1157" i="5"/>
  <c r="L1157" i="5"/>
  <c r="M1157" i="5"/>
  <c r="N1157" i="5"/>
  <c r="O1157" i="5"/>
  <c r="P1157" i="5"/>
  <c r="Q1157" i="5"/>
  <c r="R1157" i="5"/>
  <c r="S1157" i="5"/>
  <c r="T1157" i="5"/>
  <c r="U1157" i="5"/>
  <c r="V1157" i="5"/>
  <c r="W1157" i="5"/>
  <c r="X1157" i="5"/>
  <c r="AB1157" i="5"/>
  <c r="AC1157" i="5"/>
  <c r="E9" i="4"/>
  <c r="G9" i="4"/>
  <c r="J12" i="4"/>
  <c r="J13" i="4"/>
  <c r="J14" i="4"/>
  <c r="J15" i="4"/>
  <c r="J16" i="4"/>
  <c r="J17" i="4"/>
  <c r="J18" i="4"/>
  <c r="J19" i="4"/>
  <c r="J20" i="4"/>
  <c r="J21" i="4"/>
  <c r="B22" i="4"/>
  <c r="C22" i="4"/>
  <c r="D22" i="4"/>
  <c r="E22" i="4"/>
  <c r="F22" i="4"/>
  <c r="G22" i="4"/>
  <c r="H22" i="4"/>
  <c r="I22" i="4"/>
  <c r="J22" i="4"/>
  <c r="B23" i="4"/>
  <c r="C23" i="4"/>
  <c r="D23" i="4"/>
  <c r="E23" i="4"/>
  <c r="F23" i="4"/>
  <c r="G23" i="4"/>
  <c r="H23" i="4"/>
  <c r="I23" i="4"/>
  <c r="J23" i="4"/>
  <c r="B24" i="4"/>
  <c r="C24" i="4"/>
  <c r="D24" i="4"/>
  <c r="E24" i="4"/>
  <c r="F24" i="4"/>
  <c r="G24" i="4"/>
  <c r="H24" i="4"/>
  <c r="I24" i="4"/>
  <c r="J24" i="4"/>
  <c r="B25" i="4"/>
  <c r="C25" i="4"/>
  <c r="D25" i="4"/>
  <c r="E25" i="4"/>
  <c r="F25" i="4"/>
  <c r="G25" i="4"/>
  <c r="H25" i="4"/>
  <c r="I25" i="4"/>
  <c r="J25" i="4"/>
  <c r="B26" i="4"/>
  <c r="C26" i="4"/>
  <c r="D26" i="4"/>
  <c r="E26" i="4"/>
  <c r="F26" i="4"/>
  <c r="G26" i="4"/>
  <c r="H26" i="4"/>
  <c r="I26" i="4"/>
  <c r="J26" i="4"/>
  <c r="B27" i="4"/>
  <c r="C27" i="4"/>
  <c r="D27" i="4"/>
  <c r="E27" i="4"/>
  <c r="F27" i="4"/>
  <c r="G27" i="4"/>
  <c r="H27" i="4"/>
  <c r="I27" i="4"/>
  <c r="J27" i="4"/>
  <c r="B28" i="4"/>
  <c r="C28" i="4"/>
  <c r="D28" i="4"/>
  <c r="E28" i="4"/>
  <c r="F28" i="4"/>
  <c r="G28" i="4"/>
  <c r="H28" i="4"/>
  <c r="I28" i="4"/>
  <c r="J28" i="4"/>
  <c r="B29" i="4"/>
  <c r="C29" i="4"/>
  <c r="D29" i="4"/>
  <c r="E29" i="4"/>
  <c r="F29" i="4"/>
  <c r="G29" i="4"/>
  <c r="H29" i="4"/>
  <c r="I29" i="4"/>
  <c r="J29" i="4"/>
  <c r="B30" i="4"/>
  <c r="C30" i="4"/>
  <c r="D30" i="4"/>
  <c r="E30" i="4"/>
  <c r="F30" i="4"/>
  <c r="G30" i="4"/>
  <c r="H30" i="4"/>
  <c r="I30" i="4"/>
  <c r="J30" i="4"/>
  <c r="B31" i="4"/>
  <c r="C31" i="4"/>
  <c r="D31" i="4"/>
  <c r="E31" i="4"/>
  <c r="F31" i="4"/>
  <c r="G31" i="4"/>
  <c r="H31" i="4"/>
  <c r="I31" i="4"/>
  <c r="J31" i="4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B314" i="4"/>
  <c r="C314" i="4"/>
  <c r="D314" i="4"/>
  <c r="E314" i="4"/>
  <c r="F314" i="4"/>
  <c r="G314" i="4"/>
  <c r="H314" i="4"/>
  <c r="I314" i="4"/>
  <c r="J314" i="4"/>
  <c r="B315" i="4"/>
  <c r="C315" i="4"/>
  <c r="D315" i="4"/>
  <c r="E315" i="4"/>
  <c r="F315" i="4"/>
  <c r="G315" i="4"/>
  <c r="H315" i="4"/>
  <c r="I315" i="4"/>
  <c r="J315" i="4"/>
  <c r="B316" i="4"/>
  <c r="C316" i="4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D324" i="4"/>
  <c r="E324" i="4"/>
  <c r="F324" i="4"/>
  <c r="G324" i="4"/>
  <c r="H324" i="4"/>
  <c r="I324" i="4"/>
  <c r="J324" i="4"/>
  <c r="B325" i="4"/>
  <c r="C325" i="4"/>
  <c r="D325" i="4"/>
  <c r="E325" i="4"/>
  <c r="F325" i="4"/>
  <c r="G325" i="4"/>
  <c r="H325" i="4"/>
  <c r="I325" i="4"/>
  <c r="J325" i="4"/>
  <c r="B326" i="4"/>
  <c r="C326" i="4"/>
  <c r="D326" i="4"/>
  <c r="E326" i="4"/>
  <c r="F326" i="4"/>
  <c r="G326" i="4"/>
  <c r="H326" i="4"/>
  <c r="I326" i="4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H336" i="4"/>
  <c r="I336" i="4"/>
  <c r="J336" i="4"/>
  <c r="B337" i="4"/>
  <c r="C337" i="4"/>
  <c r="D337" i="4"/>
  <c r="E337" i="4"/>
  <c r="F337" i="4"/>
  <c r="G337" i="4"/>
  <c r="H337" i="4"/>
  <c r="I337" i="4"/>
  <c r="J337" i="4"/>
  <c r="B338" i="4"/>
  <c r="C338" i="4"/>
  <c r="D338" i="4"/>
  <c r="E338" i="4"/>
  <c r="F338" i="4"/>
  <c r="G338" i="4"/>
  <c r="H338" i="4"/>
  <c r="I338" i="4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D348" i="4"/>
  <c r="E348" i="4"/>
  <c r="F348" i="4"/>
  <c r="G348" i="4"/>
  <c r="H348" i="4"/>
  <c r="I348" i="4"/>
  <c r="J348" i="4"/>
  <c r="B349" i="4"/>
  <c r="C349" i="4"/>
  <c r="D349" i="4"/>
  <c r="E349" i="4"/>
  <c r="F349" i="4"/>
  <c r="G349" i="4"/>
  <c r="H349" i="4"/>
  <c r="I349" i="4"/>
  <c r="J349" i="4"/>
  <c r="B350" i="4"/>
  <c r="C350" i="4"/>
  <c r="D350" i="4"/>
  <c r="E350" i="4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B362" i="4"/>
  <c r="C362" i="4"/>
  <c r="D362" i="4"/>
  <c r="E362" i="4"/>
  <c r="F362" i="4"/>
  <c r="G362" i="4"/>
  <c r="H362" i="4"/>
  <c r="I362" i="4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D372" i="4"/>
  <c r="E372" i="4"/>
  <c r="F372" i="4"/>
  <c r="G372" i="4"/>
  <c r="H372" i="4"/>
  <c r="I372" i="4"/>
  <c r="J372" i="4"/>
  <c r="B373" i="4"/>
  <c r="C373" i="4"/>
  <c r="D373" i="4"/>
  <c r="E373" i="4"/>
  <c r="F373" i="4"/>
  <c r="G373" i="4"/>
  <c r="H373" i="4"/>
  <c r="I373" i="4"/>
  <c r="J373" i="4"/>
  <c r="B374" i="4"/>
  <c r="C374" i="4"/>
  <c r="D374" i="4"/>
  <c r="E374" i="4"/>
  <c r="F374" i="4"/>
  <c r="G374" i="4"/>
  <c r="H374" i="4"/>
  <c r="I374" i="4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H384" i="4"/>
  <c r="I384" i="4"/>
  <c r="J384" i="4"/>
  <c r="B385" i="4"/>
  <c r="C385" i="4"/>
  <c r="D385" i="4"/>
  <c r="E385" i="4"/>
  <c r="F385" i="4"/>
  <c r="G385" i="4"/>
  <c r="H385" i="4"/>
  <c r="I385" i="4"/>
  <c r="J385" i="4"/>
  <c r="B386" i="4"/>
  <c r="C386" i="4"/>
  <c r="D386" i="4"/>
  <c r="E386" i="4"/>
  <c r="F386" i="4"/>
  <c r="G386" i="4"/>
  <c r="H386" i="4"/>
  <c r="I386" i="4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D396" i="4"/>
  <c r="E396" i="4"/>
  <c r="F396" i="4"/>
  <c r="G396" i="4"/>
  <c r="H396" i="4"/>
  <c r="I396" i="4"/>
  <c r="J396" i="4"/>
  <c r="B397" i="4"/>
  <c r="C397" i="4"/>
  <c r="D397" i="4"/>
  <c r="E397" i="4"/>
  <c r="F397" i="4"/>
  <c r="G397" i="4"/>
  <c r="H397" i="4"/>
  <c r="I397" i="4"/>
  <c r="J397" i="4"/>
  <c r="B398" i="4"/>
  <c r="C398" i="4"/>
  <c r="D398" i="4"/>
  <c r="E398" i="4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B410" i="4"/>
  <c r="C410" i="4"/>
  <c r="D410" i="4"/>
  <c r="E410" i="4"/>
  <c r="F410" i="4"/>
  <c r="G410" i="4"/>
  <c r="H410" i="4"/>
  <c r="I410" i="4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D420" i="4"/>
  <c r="E420" i="4"/>
  <c r="F420" i="4"/>
  <c r="G420" i="4"/>
  <c r="H420" i="4"/>
  <c r="I420" i="4"/>
  <c r="J420" i="4"/>
  <c r="B421" i="4"/>
  <c r="C421" i="4"/>
  <c r="D421" i="4"/>
  <c r="E421" i="4"/>
  <c r="F421" i="4"/>
  <c r="G421" i="4"/>
  <c r="H421" i="4"/>
  <c r="I421" i="4"/>
  <c r="J421" i="4"/>
  <c r="B422" i="4"/>
  <c r="C422" i="4"/>
  <c r="D422" i="4"/>
  <c r="E422" i="4"/>
  <c r="F422" i="4"/>
  <c r="G422" i="4"/>
  <c r="H422" i="4"/>
  <c r="I422" i="4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H432" i="4"/>
  <c r="I432" i="4"/>
  <c r="J432" i="4"/>
  <c r="B433" i="4"/>
  <c r="C433" i="4"/>
  <c r="D433" i="4"/>
  <c r="E433" i="4"/>
  <c r="F433" i="4"/>
  <c r="G433" i="4"/>
  <c r="H433" i="4"/>
  <c r="I433" i="4"/>
  <c r="J433" i="4"/>
  <c r="B434" i="4"/>
  <c r="C434" i="4"/>
  <c r="D434" i="4"/>
  <c r="E434" i="4"/>
  <c r="F434" i="4"/>
  <c r="G434" i="4"/>
  <c r="H434" i="4"/>
  <c r="I434" i="4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D444" i="4"/>
  <c r="E444" i="4"/>
  <c r="F444" i="4"/>
  <c r="G444" i="4"/>
  <c r="H444" i="4"/>
  <c r="I444" i="4"/>
  <c r="J444" i="4"/>
  <c r="B445" i="4"/>
  <c r="C445" i="4"/>
  <c r="D445" i="4"/>
  <c r="E445" i="4"/>
  <c r="F445" i="4"/>
  <c r="G445" i="4"/>
  <c r="H445" i="4"/>
  <c r="I445" i="4"/>
  <c r="J445" i="4"/>
  <c r="B446" i="4"/>
  <c r="C446" i="4"/>
  <c r="D446" i="4"/>
  <c r="E446" i="4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B458" i="4"/>
  <c r="C458" i="4"/>
  <c r="D458" i="4"/>
  <c r="E458" i="4"/>
  <c r="F458" i="4"/>
  <c r="G458" i="4"/>
  <c r="H458" i="4"/>
  <c r="I458" i="4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D468" i="4"/>
  <c r="E468" i="4"/>
  <c r="F468" i="4"/>
  <c r="G468" i="4"/>
  <c r="H468" i="4"/>
  <c r="I468" i="4"/>
  <c r="J468" i="4"/>
  <c r="B469" i="4"/>
  <c r="C469" i="4"/>
  <c r="D469" i="4"/>
  <c r="E469" i="4"/>
  <c r="F469" i="4"/>
  <c r="G469" i="4"/>
  <c r="H469" i="4"/>
  <c r="I469" i="4"/>
  <c r="J469" i="4"/>
  <c r="B470" i="4"/>
  <c r="C470" i="4"/>
  <c r="D470" i="4"/>
  <c r="E470" i="4"/>
  <c r="F470" i="4"/>
  <c r="G470" i="4"/>
  <c r="H470" i="4"/>
  <c r="I470" i="4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H480" i="4"/>
  <c r="I480" i="4"/>
  <c r="J480" i="4"/>
  <c r="B481" i="4"/>
  <c r="C481" i="4"/>
  <c r="D481" i="4"/>
  <c r="E481" i="4"/>
  <c r="F481" i="4"/>
  <c r="G481" i="4"/>
  <c r="H481" i="4"/>
  <c r="I481" i="4"/>
  <c r="J481" i="4"/>
  <c r="B482" i="4"/>
  <c r="C482" i="4"/>
  <c r="D482" i="4"/>
  <c r="E482" i="4"/>
  <c r="F482" i="4"/>
  <c r="G482" i="4"/>
  <c r="H482" i="4"/>
  <c r="I482" i="4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D492" i="4"/>
  <c r="E492" i="4"/>
  <c r="F492" i="4"/>
  <c r="G492" i="4"/>
  <c r="H492" i="4"/>
  <c r="I492" i="4"/>
  <c r="J492" i="4"/>
  <c r="B493" i="4"/>
  <c r="C493" i="4"/>
  <c r="D493" i="4"/>
  <c r="E493" i="4"/>
  <c r="F493" i="4"/>
  <c r="G493" i="4"/>
  <c r="H493" i="4"/>
  <c r="I493" i="4"/>
  <c r="J493" i="4"/>
  <c r="B494" i="4"/>
  <c r="C494" i="4"/>
  <c r="D494" i="4"/>
  <c r="E494" i="4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B506" i="4"/>
  <c r="C506" i="4"/>
  <c r="D506" i="4"/>
  <c r="E506" i="4"/>
  <c r="F506" i="4"/>
  <c r="G506" i="4"/>
  <c r="H506" i="4"/>
  <c r="I506" i="4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D516" i="4"/>
  <c r="E516" i="4"/>
  <c r="F516" i="4"/>
  <c r="G516" i="4"/>
  <c r="H516" i="4"/>
  <c r="I516" i="4"/>
  <c r="J516" i="4"/>
  <c r="B517" i="4"/>
  <c r="C517" i="4"/>
  <c r="D517" i="4"/>
  <c r="E517" i="4"/>
  <c r="F517" i="4"/>
  <c r="G517" i="4"/>
  <c r="H517" i="4"/>
  <c r="I517" i="4"/>
  <c r="J517" i="4"/>
  <c r="B518" i="4"/>
  <c r="C518" i="4"/>
  <c r="D518" i="4"/>
  <c r="E518" i="4"/>
  <c r="F518" i="4"/>
  <c r="G518" i="4"/>
  <c r="H518" i="4"/>
  <c r="I518" i="4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H528" i="4"/>
  <c r="I528" i="4"/>
  <c r="J528" i="4"/>
  <c r="B529" i="4"/>
  <c r="C529" i="4"/>
  <c r="D529" i="4"/>
  <c r="E529" i="4"/>
  <c r="F529" i="4"/>
  <c r="G529" i="4"/>
  <c r="H529" i="4"/>
  <c r="I529" i="4"/>
  <c r="J529" i="4"/>
  <c r="B530" i="4"/>
  <c r="C530" i="4"/>
  <c r="D530" i="4"/>
  <c r="E530" i="4"/>
  <c r="F530" i="4"/>
  <c r="G530" i="4"/>
  <c r="H530" i="4"/>
  <c r="I530" i="4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D540" i="4"/>
  <c r="E540" i="4"/>
  <c r="F540" i="4"/>
  <c r="G540" i="4"/>
  <c r="H540" i="4"/>
  <c r="I540" i="4"/>
  <c r="J540" i="4"/>
  <c r="B541" i="4"/>
  <c r="C541" i="4"/>
  <c r="D541" i="4"/>
  <c r="E541" i="4"/>
  <c r="F541" i="4"/>
  <c r="G541" i="4"/>
  <c r="H541" i="4"/>
  <c r="I541" i="4"/>
  <c r="J541" i="4"/>
  <c r="B542" i="4"/>
  <c r="C542" i="4"/>
  <c r="D542" i="4"/>
  <c r="E542" i="4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B554" i="4"/>
  <c r="C554" i="4"/>
  <c r="D554" i="4"/>
  <c r="E554" i="4"/>
  <c r="F554" i="4"/>
  <c r="G554" i="4"/>
  <c r="H554" i="4"/>
  <c r="I554" i="4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D564" i="4"/>
  <c r="E564" i="4"/>
  <c r="F564" i="4"/>
  <c r="G564" i="4"/>
  <c r="H564" i="4"/>
  <c r="I564" i="4"/>
  <c r="J564" i="4"/>
  <c r="B565" i="4"/>
  <c r="C565" i="4"/>
  <c r="D565" i="4"/>
  <c r="E565" i="4"/>
  <c r="F565" i="4"/>
  <c r="G565" i="4"/>
  <c r="H565" i="4"/>
  <c r="I565" i="4"/>
  <c r="J565" i="4"/>
  <c r="B566" i="4"/>
  <c r="C566" i="4"/>
  <c r="D566" i="4"/>
  <c r="E566" i="4"/>
  <c r="F566" i="4"/>
  <c r="G566" i="4"/>
  <c r="H566" i="4"/>
  <c r="I566" i="4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H576" i="4"/>
  <c r="I576" i="4"/>
  <c r="J576" i="4"/>
  <c r="B577" i="4"/>
  <c r="C577" i="4"/>
  <c r="D577" i="4"/>
  <c r="E577" i="4"/>
  <c r="F577" i="4"/>
  <c r="G577" i="4"/>
  <c r="H577" i="4"/>
  <c r="I577" i="4"/>
  <c r="J577" i="4"/>
  <c r="B578" i="4"/>
  <c r="C578" i="4"/>
  <c r="D578" i="4"/>
  <c r="E578" i="4"/>
  <c r="F578" i="4"/>
  <c r="G578" i="4"/>
  <c r="H578" i="4"/>
  <c r="I578" i="4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D588" i="4"/>
  <c r="E588" i="4"/>
  <c r="F588" i="4"/>
  <c r="G588" i="4"/>
  <c r="H588" i="4"/>
  <c r="I588" i="4"/>
  <c r="J588" i="4"/>
  <c r="B589" i="4"/>
  <c r="C589" i="4"/>
  <c r="D589" i="4"/>
  <c r="E589" i="4"/>
  <c r="F589" i="4"/>
  <c r="G589" i="4"/>
  <c r="H589" i="4"/>
  <c r="I589" i="4"/>
  <c r="J589" i="4"/>
  <c r="B590" i="4"/>
  <c r="C590" i="4"/>
  <c r="D590" i="4"/>
  <c r="E590" i="4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F602" i="4"/>
  <c r="G602" i="4"/>
  <c r="H602" i="4"/>
  <c r="I602" i="4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D612" i="4"/>
  <c r="E612" i="4"/>
  <c r="F612" i="4"/>
  <c r="G612" i="4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F626" i="4"/>
  <c r="G626" i="4"/>
  <c r="H626" i="4"/>
  <c r="I626" i="4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D636" i="4"/>
  <c r="E636" i="4"/>
  <c r="F636" i="4"/>
  <c r="G636" i="4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F650" i="4"/>
  <c r="G650" i="4"/>
  <c r="H650" i="4"/>
  <c r="I650" i="4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D660" i="4"/>
  <c r="E660" i="4"/>
  <c r="F660" i="4"/>
  <c r="G660" i="4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F674" i="4"/>
  <c r="G674" i="4"/>
  <c r="H674" i="4"/>
  <c r="I674" i="4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D684" i="4"/>
  <c r="E684" i="4"/>
  <c r="F684" i="4"/>
  <c r="G684" i="4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F698" i="4"/>
  <c r="G698" i="4"/>
  <c r="H698" i="4"/>
  <c r="I698" i="4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D708" i="4"/>
  <c r="E708" i="4"/>
  <c r="F708" i="4"/>
  <c r="G708" i="4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F722" i="4"/>
  <c r="G722" i="4"/>
  <c r="H722" i="4"/>
  <c r="I722" i="4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C1128" i="4" s="1"/>
  <c r="D731" i="4"/>
  <c r="E731" i="4"/>
  <c r="F731" i="4"/>
  <c r="G731" i="4"/>
  <c r="G1128" i="4" s="1"/>
  <c r="H731" i="4"/>
  <c r="I731" i="4"/>
  <c r="J731" i="4"/>
  <c r="B732" i="4"/>
  <c r="C732" i="4"/>
  <c r="D732" i="4"/>
  <c r="E732" i="4"/>
  <c r="F732" i="4"/>
  <c r="G732" i="4"/>
  <c r="H732" i="4"/>
  <c r="I732" i="4"/>
  <c r="J732" i="4"/>
  <c r="B733" i="4"/>
  <c r="C733" i="4"/>
  <c r="D733" i="4"/>
  <c r="E733" i="4"/>
  <c r="E1129" i="4" s="1"/>
  <c r="F733" i="4"/>
  <c r="G733" i="4"/>
  <c r="H733" i="4"/>
  <c r="I733" i="4"/>
  <c r="I1129" i="4" s="1"/>
  <c r="J733" i="4"/>
  <c r="B734" i="4"/>
  <c r="C734" i="4"/>
  <c r="D734" i="4"/>
  <c r="E734" i="4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C1129" i="4" s="1"/>
  <c r="D743" i="4"/>
  <c r="E743" i="4"/>
  <c r="F743" i="4"/>
  <c r="G743" i="4"/>
  <c r="G1129" i="4" s="1"/>
  <c r="H743" i="4"/>
  <c r="I743" i="4"/>
  <c r="J743" i="4"/>
  <c r="B744" i="4"/>
  <c r="C744" i="4"/>
  <c r="D744" i="4"/>
  <c r="E744" i="4"/>
  <c r="F744" i="4"/>
  <c r="G744" i="4"/>
  <c r="H744" i="4"/>
  <c r="I744" i="4"/>
  <c r="J744" i="4"/>
  <c r="B745" i="4"/>
  <c r="C745" i="4"/>
  <c r="D745" i="4"/>
  <c r="E745" i="4"/>
  <c r="E1130" i="4" s="1"/>
  <c r="F745" i="4"/>
  <c r="G745" i="4"/>
  <c r="H745" i="4"/>
  <c r="I745" i="4"/>
  <c r="I1130" i="4" s="1"/>
  <c r="J745" i="4"/>
  <c r="B746" i="4"/>
  <c r="C746" i="4"/>
  <c r="D746" i="4"/>
  <c r="E746" i="4"/>
  <c r="F746" i="4"/>
  <c r="G746" i="4"/>
  <c r="H746" i="4"/>
  <c r="I746" i="4"/>
  <c r="J746" i="4"/>
  <c r="B747" i="4"/>
  <c r="C747" i="4"/>
  <c r="C1130" i="4" s="1"/>
  <c r="D747" i="4"/>
  <c r="E747" i="4"/>
  <c r="F747" i="4"/>
  <c r="G747" i="4"/>
  <c r="G1130" i="4" s="1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D756" i="4"/>
  <c r="E756" i="4"/>
  <c r="F756" i="4"/>
  <c r="G756" i="4"/>
  <c r="H756" i="4"/>
  <c r="I756" i="4"/>
  <c r="J756" i="4"/>
  <c r="B757" i="4"/>
  <c r="C757" i="4"/>
  <c r="D757" i="4"/>
  <c r="E757" i="4"/>
  <c r="E1131" i="4" s="1"/>
  <c r="F757" i="4"/>
  <c r="G757" i="4"/>
  <c r="H757" i="4"/>
  <c r="I757" i="4"/>
  <c r="I1131" i="4" s="1"/>
  <c r="J757" i="4"/>
  <c r="B758" i="4"/>
  <c r="C758" i="4"/>
  <c r="D758" i="4"/>
  <c r="E758" i="4"/>
  <c r="F758" i="4"/>
  <c r="G758" i="4"/>
  <c r="H758" i="4"/>
  <c r="I758" i="4"/>
  <c r="J758" i="4"/>
  <c r="B759" i="4"/>
  <c r="C759" i="4"/>
  <c r="C1131" i="4" s="1"/>
  <c r="D759" i="4"/>
  <c r="E759" i="4"/>
  <c r="F759" i="4"/>
  <c r="G759" i="4"/>
  <c r="G1131" i="4" s="1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D1131" i="4" s="1"/>
  <c r="E766" i="4"/>
  <c r="F766" i="4"/>
  <c r="G766" i="4"/>
  <c r="H766" i="4"/>
  <c r="H1131" i="4" s="1"/>
  <c r="I766" i="4"/>
  <c r="J766" i="4"/>
  <c r="B767" i="4"/>
  <c r="C767" i="4"/>
  <c r="D767" i="4"/>
  <c r="E767" i="4"/>
  <c r="F767" i="4"/>
  <c r="G767" i="4"/>
  <c r="H767" i="4"/>
  <c r="I767" i="4"/>
  <c r="J767" i="4"/>
  <c r="B768" i="4"/>
  <c r="B1132" i="4" s="1"/>
  <c r="C768" i="4"/>
  <c r="D768" i="4"/>
  <c r="E768" i="4"/>
  <c r="F768" i="4"/>
  <c r="F1132" i="4" s="1"/>
  <c r="G768" i="4"/>
  <c r="H768" i="4"/>
  <c r="I768" i="4"/>
  <c r="J768" i="4"/>
  <c r="B769" i="4"/>
  <c r="C769" i="4"/>
  <c r="D769" i="4"/>
  <c r="E769" i="4"/>
  <c r="E1132" i="4" s="1"/>
  <c r="F769" i="4"/>
  <c r="G769" i="4"/>
  <c r="H769" i="4"/>
  <c r="I769" i="4"/>
  <c r="I1132" i="4" s="1"/>
  <c r="J769" i="4"/>
  <c r="B770" i="4"/>
  <c r="C770" i="4"/>
  <c r="D770" i="4"/>
  <c r="E770" i="4"/>
  <c r="F770" i="4"/>
  <c r="G770" i="4"/>
  <c r="H770" i="4"/>
  <c r="I770" i="4"/>
  <c r="J770" i="4"/>
  <c r="B771" i="4"/>
  <c r="C771" i="4"/>
  <c r="C1132" i="4" s="1"/>
  <c r="D771" i="4"/>
  <c r="E771" i="4"/>
  <c r="F771" i="4"/>
  <c r="G771" i="4"/>
  <c r="G1132" i="4" s="1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D780" i="4"/>
  <c r="E780" i="4"/>
  <c r="F780" i="4"/>
  <c r="G780" i="4"/>
  <c r="H780" i="4"/>
  <c r="I780" i="4"/>
  <c r="J780" i="4"/>
  <c r="B781" i="4"/>
  <c r="C781" i="4"/>
  <c r="D781" i="4"/>
  <c r="E781" i="4"/>
  <c r="E1133" i="4" s="1"/>
  <c r="F781" i="4"/>
  <c r="G781" i="4"/>
  <c r="H781" i="4"/>
  <c r="I781" i="4"/>
  <c r="I1133" i="4" s="1"/>
  <c r="J781" i="4"/>
  <c r="B782" i="4"/>
  <c r="C782" i="4"/>
  <c r="D782" i="4"/>
  <c r="D1133" i="4" s="1"/>
  <c r="E782" i="4"/>
  <c r="F782" i="4"/>
  <c r="G782" i="4"/>
  <c r="H782" i="4"/>
  <c r="H1133" i="4" s="1"/>
  <c r="I782" i="4"/>
  <c r="J782" i="4"/>
  <c r="B783" i="4"/>
  <c r="C783" i="4"/>
  <c r="C1133" i="4" s="1"/>
  <c r="D783" i="4"/>
  <c r="E783" i="4"/>
  <c r="F783" i="4"/>
  <c r="G783" i="4"/>
  <c r="G1133" i="4" s="1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B1134" i="4" s="1"/>
  <c r="C792" i="4"/>
  <c r="D792" i="4"/>
  <c r="E792" i="4"/>
  <c r="F792" i="4"/>
  <c r="F1134" i="4" s="1"/>
  <c r="G792" i="4"/>
  <c r="H792" i="4"/>
  <c r="I792" i="4"/>
  <c r="J792" i="4"/>
  <c r="B793" i="4"/>
  <c r="C793" i="4"/>
  <c r="D793" i="4"/>
  <c r="E793" i="4"/>
  <c r="E1134" i="4" s="1"/>
  <c r="F793" i="4"/>
  <c r="G793" i="4"/>
  <c r="H793" i="4"/>
  <c r="I793" i="4"/>
  <c r="I1134" i="4" s="1"/>
  <c r="J793" i="4"/>
  <c r="B794" i="4"/>
  <c r="C794" i="4"/>
  <c r="D794" i="4"/>
  <c r="E794" i="4"/>
  <c r="F794" i="4"/>
  <c r="G794" i="4"/>
  <c r="H794" i="4"/>
  <c r="I794" i="4"/>
  <c r="J794" i="4"/>
  <c r="B795" i="4"/>
  <c r="C795" i="4"/>
  <c r="C1134" i="4" s="1"/>
  <c r="D795" i="4"/>
  <c r="E795" i="4"/>
  <c r="F795" i="4"/>
  <c r="G795" i="4"/>
  <c r="G1134" i="4" s="1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D804" i="4"/>
  <c r="E804" i="4"/>
  <c r="F804" i="4"/>
  <c r="G804" i="4"/>
  <c r="H804" i="4"/>
  <c r="I804" i="4"/>
  <c r="J804" i="4"/>
  <c r="B805" i="4"/>
  <c r="C805" i="4"/>
  <c r="D805" i="4"/>
  <c r="E805" i="4"/>
  <c r="E1135" i="4" s="1"/>
  <c r="F805" i="4"/>
  <c r="G805" i="4"/>
  <c r="H805" i="4"/>
  <c r="I805" i="4"/>
  <c r="I1135" i="4" s="1"/>
  <c r="J805" i="4"/>
  <c r="B806" i="4"/>
  <c r="C806" i="4"/>
  <c r="D806" i="4"/>
  <c r="D1135" i="4" s="1"/>
  <c r="E806" i="4"/>
  <c r="F806" i="4"/>
  <c r="G806" i="4"/>
  <c r="H806" i="4"/>
  <c r="H1135" i="4" s="1"/>
  <c r="I806" i="4"/>
  <c r="J806" i="4"/>
  <c r="B807" i="4"/>
  <c r="C807" i="4"/>
  <c r="C1135" i="4" s="1"/>
  <c r="D807" i="4"/>
  <c r="E807" i="4"/>
  <c r="F807" i="4"/>
  <c r="G807" i="4"/>
  <c r="G1135" i="4" s="1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B1136" i="4" s="1"/>
  <c r="C816" i="4"/>
  <c r="D816" i="4"/>
  <c r="E816" i="4"/>
  <c r="F816" i="4"/>
  <c r="F1136" i="4" s="1"/>
  <c r="G816" i="4"/>
  <c r="H816" i="4"/>
  <c r="I816" i="4"/>
  <c r="J816" i="4"/>
  <c r="B817" i="4"/>
  <c r="C817" i="4"/>
  <c r="D817" i="4"/>
  <c r="E817" i="4"/>
  <c r="E1136" i="4" s="1"/>
  <c r="F817" i="4"/>
  <c r="G817" i="4"/>
  <c r="H817" i="4"/>
  <c r="I817" i="4"/>
  <c r="I1136" i="4" s="1"/>
  <c r="J817" i="4"/>
  <c r="B818" i="4"/>
  <c r="C818" i="4"/>
  <c r="D818" i="4"/>
  <c r="E818" i="4"/>
  <c r="F818" i="4"/>
  <c r="G818" i="4"/>
  <c r="H818" i="4"/>
  <c r="I818" i="4"/>
  <c r="J818" i="4"/>
  <c r="B819" i="4"/>
  <c r="C819" i="4"/>
  <c r="C1136" i="4" s="1"/>
  <c r="D819" i="4"/>
  <c r="E819" i="4"/>
  <c r="F819" i="4"/>
  <c r="G819" i="4"/>
  <c r="G1136" i="4" s="1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D828" i="4"/>
  <c r="E828" i="4"/>
  <c r="F828" i="4"/>
  <c r="G828" i="4"/>
  <c r="H828" i="4"/>
  <c r="I828" i="4"/>
  <c r="J828" i="4"/>
  <c r="B829" i="4"/>
  <c r="C829" i="4"/>
  <c r="D829" i="4"/>
  <c r="E829" i="4"/>
  <c r="E1137" i="4" s="1"/>
  <c r="F829" i="4"/>
  <c r="G829" i="4"/>
  <c r="H829" i="4"/>
  <c r="I829" i="4"/>
  <c r="I1137" i="4" s="1"/>
  <c r="J829" i="4"/>
  <c r="B830" i="4"/>
  <c r="C830" i="4"/>
  <c r="D830" i="4"/>
  <c r="D1137" i="4" s="1"/>
  <c r="E830" i="4"/>
  <c r="F830" i="4"/>
  <c r="G830" i="4"/>
  <c r="H830" i="4"/>
  <c r="H1137" i="4" s="1"/>
  <c r="I830" i="4"/>
  <c r="J830" i="4"/>
  <c r="B831" i="4"/>
  <c r="C831" i="4"/>
  <c r="C1137" i="4" s="1"/>
  <c r="D831" i="4"/>
  <c r="E831" i="4"/>
  <c r="F831" i="4"/>
  <c r="G831" i="4"/>
  <c r="G1137" i="4" s="1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B1138" i="4" s="1"/>
  <c r="C840" i="4"/>
  <c r="D840" i="4"/>
  <c r="E840" i="4"/>
  <c r="F840" i="4"/>
  <c r="F1138" i="4" s="1"/>
  <c r="G840" i="4"/>
  <c r="H840" i="4"/>
  <c r="I840" i="4"/>
  <c r="J840" i="4"/>
  <c r="B841" i="4"/>
  <c r="C841" i="4"/>
  <c r="D841" i="4"/>
  <c r="E841" i="4"/>
  <c r="E1138" i="4" s="1"/>
  <c r="F841" i="4"/>
  <c r="G841" i="4"/>
  <c r="H841" i="4"/>
  <c r="I841" i="4"/>
  <c r="I1138" i="4" s="1"/>
  <c r="J841" i="4"/>
  <c r="B842" i="4"/>
  <c r="C842" i="4"/>
  <c r="D842" i="4"/>
  <c r="E842" i="4"/>
  <c r="F842" i="4"/>
  <c r="G842" i="4"/>
  <c r="H842" i="4"/>
  <c r="I842" i="4"/>
  <c r="J842" i="4"/>
  <c r="B843" i="4"/>
  <c r="C843" i="4"/>
  <c r="C1138" i="4" s="1"/>
  <c r="D843" i="4"/>
  <c r="E843" i="4"/>
  <c r="F843" i="4"/>
  <c r="G843" i="4"/>
  <c r="G1138" i="4" s="1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D852" i="4"/>
  <c r="E852" i="4"/>
  <c r="F852" i="4"/>
  <c r="G852" i="4"/>
  <c r="H852" i="4"/>
  <c r="I852" i="4"/>
  <c r="J852" i="4"/>
  <c r="B853" i="4"/>
  <c r="C853" i="4"/>
  <c r="D853" i="4"/>
  <c r="E853" i="4"/>
  <c r="E1139" i="4" s="1"/>
  <c r="F853" i="4"/>
  <c r="G853" i="4"/>
  <c r="H853" i="4"/>
  <c r="I853" i="4"/>
  <c r="I1139" i="4" s="1"/>
  <c r="J853" i="4"/>
  <c r="B854" i="4"/>
  <c r="C854" i="4"/>
  <c r="D854" i="4"/>
  <c r="D1139" i="4" s="1"/>
  <c r="E854" i="4"/>
  <c r="F854" i="4"/>
  <c r="G854" i="4"/>
  <c r="H854" i="4"/>
  <c r="H1139" i="4" s="1"/>
  <c r="I854" i="4"/>
  <c r="J854" i="4"/>
  <c r="B855" i="4"/>
  <c r="C855" i="4"/>
  <c r="C1139" i="4" s="1"/>
  <c r="D855" i="4"/>
  <c r="E855" i="4"/>
  <c r="F855" i="4"/>
  <c r="G855" i="4"/>
  <c r="G1139" i="4" s="1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B1140" i="4" s="1"/>
  <c r="C864" i="4"/>
  <c r="D864" i="4"/>
  <c r="E864" i="4"/>
  <c r="F864" i="4"/>
  <c r="F1140" i="4" s="1"/>
  <c r="G864" i="4"/>
  <c r="H864" i="4"/>
  <c r="I864" i="4"/>
  <c r="J864" i="4"/>
  <c r="B865" i="4"/>
  <c r="C865" i="4"/>
  <c r="D865" i="4"/>
  <c r="E865" i="4"/>
  <c r="E1140" i="4" s="1"/>
  <c r="F865" i="4"/>
  <c r="G865" i="4"/>
  <c r="H865" i="4"/>
  <c r="I865" i="4"/>
  <c r="I1140" i="4" s="1"/>
  <c r="J865" i="4"/>
  <c r="B866" i="4"/>
  <c r="C866" i="4"/>
  <c r="D866" i="4"/>
  <c r="E866" i="4"/>
  <c r="F866" i="4"/>
  <c r="G866" i="4"/>
  <c r="H866" i="4"/>
  <c r="I866" i="4"/>
  <c r="J866" i="4"/>
  <c r="B867" i="4"/>
  <c r="C867" i="4"/>
  <c r="C1140" i="4" s="1"/>
  <c r="D867" i="4"/>
  <c r="E867" i="4"/>
  <c r="F867" i="4"/>
  <c r="G867" i="4"/>
  <c r="G1140" i="4" s="1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D876" i="4"/>
  <c r="E876" i="4"/>
  <c r="F876" i="4"/>
  <c r="G876" i="4"/>
  <c r="H876" i="4"/>
  <c r="I876" i="4"/>
  <c r="J876" i="4"/>
  <c r="B877" i="4"/>
  <c r="C877" i="4"/>
  <c r="D877" i="4"/>
  <c r="E877" i="4"/>
  <c r="E1141" i="4" s="1"/>
  <c r="F877" i="4"/>
  <c r="G877" i="4"/>
  <c r="H877" i="4"/>
  <c r="I877" i="4"/>
  <c r="I1141" i="4" s="1"/>
  <c r="J877" i="4"/>
  <c r="B878" i="4"/>
  <c r="C878" i="4"/>
  <c r="D878" i="4"/>
  <c r="D1141" i="4" s="1"/>
  <c r="E878" i="4"/>
  <c r="F878" i="4"/>
  <c r="G878" i="4"/>
  <c r="H878" i="4"/>
  <c r="H1141" i="4" s="1"/>
  <c r="I878" i="4"/>
  <c r="J878" i="4"/>
  <c r="B879" i="4"/>
  <c r="C879" i="4"/>
  <c r="C1141" i="4" s="1"/>
  <c r="D879" i="4"/>
  <c r="E879" i="4"/>
  <c r="F879" i="4"/>
  <c r="G879" i="4"/>
  <c r="G1141" i="4" s="1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B1142" i="4" s="1"/>
  <c r="C888" i="4"/>
  <c r="D888" i="4"/>
  <c r="E888" i="4"/>
  <c r="F888" i="4"/>
  <c r="F1142" i="4" s="1"/>
  <c r="G888" i="4"/>
  <c r="H888" i="4"/>
  <c r="I888" i="4"/>
  <c r="J888" i="4"/>
  <c r="B889" i="4"/>
  <c r="C889" i="4"/>
  <c r="D889" i="4"/>
  <c r="E889" i="4"/>
  <c r="E1142" i="4" s="1"/>
  <c r="F889" i="4"/>
  <c r="G889" i="4"/>
  <c r="H889" i="4"/>
  <c r="I889" i="4"/>
  <c r="I1142" i="4" s="1"/>
  <c r="J889" i="4"/>
  <c r="B890" i="4"/>
  <c r="C890" i="4"/>
  <c r="D890" i="4"/>
  <c r="E890" i="4"/>
  <c r="F890" i="4"/>
  <c r="G890" i="4"/>
  <c r="H890" i="4"/>
  <c r="I890" i="4"/>
  <c r="J890" i="4"/>
  <c r="B891" i="4"/>
  <c r="C891" i="4"/>
  <c r="C1142" i="4" s="1"/>
  <c r="D891" i="4"/>
  <c r="E891" i="4"/>
  <c r="F891" i="4"/>
  <c r="G891" i="4"/>
  <c r="G1142" i="4" s="1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D900" i="4"/>
  <c r="E900" i="4"/>
  <c r="F900" i="4"/>
  <c r="G900" i="4"/>
  <c r="H900" i="4"/>
  <c r="I900" i="4"/>
  <c r="J900" i="4"/>
  <c r="B901" i="4"/>
  <c r="C901" i="4"/>
  <c r="D901" i="4"/>
  <c r="E901" i="4"/>
  <c r="E1143" i="4" s="1"/>
  <c r="F901" i="4"/>
  <c r="G901" i="4"/>
  <c r="H901" i="4"/>
  <c r="I901" i="4"/>
  <c r="I1143" i="4" s="1"/>
  <c r="J901" i="4"/>
  <c r="B902" i="4"/>
  <c r="C902" i="4"/>
  <c r="D902" i="4"/>
  <c r="D1143" i="4" s="1"/>
  <c r="E902" i="4"/>
  <c r="F902" i="4"/>
  <c r="G902" i="4"/>
  <c r="H902" i="4"/>
  <c r="H1143" i="4" s="1"/>
  <c r="I902" i="4"/>
  <c r="J902" i="4"/>
  <c r="B903" i="4"/>
  <c r="C903" i="4"/>
  <c r="C1143" i="4" s="1"/>
  <c r="D903" i="4"/>
  <c r="E903" i="4"/>
  <c r="F903" i="4"/>
  <c r="G903" i="4"/>
  <c r="G1143" i="4" s="1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B1144" i="4" s="1"/>
  <c r="C912" i="4"/>
  <c r="D912" i="4"/>
  <c r="E912" i="4"/>
  <c r="F912" i="4"/>
  <c r="F1144" i="4" s="1"/>
  <c r="G912" i="4"/>
  <c r="H912" i="4"/>
  <c r="I912" i="4"/>
  <c r="J912" i="4"/>
  <c r="B913" i="4"/>
  <c r="C913" i="4"/>
  <c r="D913" i="4"/>
  <c r="E913" i="4"/>
  <c r="E1144" i="4" s="1"/>
  <c r="F913" i="4"/>
  <c r="G913" i="4"/>
  <c r="H913" i="4"/>
  <c r="I913" i="4"/>
  <c r="I1144" i="4" s="1"/>
  <c r="J913" i="4"/>
  <c r="B914" i="4"/>
  <c r="C914" i="4"/>
  <c r="D914" i="4"/>
  <c r="E914" i="4"/>
  <c r="F914" i="4"/>
  <c r="G914" i="4"/>
  <c r="H914" i="4"/>
  <c r="I914" i="4"/>
  <c r="J914" i="4"/>
  <c r="B915" i="4"/>
  <c r="C915" i="4"/>
  <c r="C1144" i="4" s="1"/>
  <c r="D915" i="4"/>
  <c r="E915" i="4"/>
  <c r="F915" i="4"/>
  <c r="G915" i="4"/>
  <c r="G1144" i="4" s="1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D924" i="4"/>
  <c r="E924" i="4"/>
  <c r="F924" i="4"/>
  <c r="G924" i="4"/>
  <c r="H924" i="4"/>
  <c r="I924" i="4"/>
  <c r="J924" i="4"/>
  <c r="B925" i="4"/>
  <c r="C925" i="4"/>
  <c r="D925" i="4"/>
  <c r="E925" i="4"/>
  <c r="E1145" i="4" s="1"/>
  <c r="F925" i="4"/>
  <c r="G925" i="4"/>
  <c r="H925" i="4"/>
  <c r="I925" i="4"/>
  <c r="I1145" i="4" s="1"/>
  <c r="J925" i="4"/>
  <c r="B926" i="4"/>
  <c r="C926" i="4"/>
  <c r="D926" i="4"/>
  <c r="D1145" i="4" s="1"/>
  <c r="E926" i="4"/>
  <c r="F926" i="4"/>
  <c r="G926" i="4"/>
  <c r="H926" i="4"/>
  <c r="H1145" i="4" s="1"/>
  <c r="I926" i="4"/>
  <c r="J926" i="4"/>
  <c r="B927" i="4"/>
  <c r="C927" i="4"/>
  <c r="C1145" i="4" s="1"/>
  <c r="D927" i="4"/>
  <c r="E927" i="4"/>
  <c r="F927" i="4"/>
  <c r="G927" i="4"/>
  <c r="G1145" i="4" s="1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B1146" i="4" s="1"/>
  <c r="C936" i="4"/>
  <c r="D936" i="4"/>
  <c r="E936" i="4"/>
  <c r="F936" i="4"/>
  <c r="F1146" i="4" s="1"/>
  <c r="G936" i="4"/>
  <c r="H936" i="4"/>
  <c r="I936" i="4"/>
  <c r="J936" i="4"/>
  <c r="B937" i="4"/>
  <c r="C937" i="4"/>
  <c r="D937" i="4"/>
  <c r="E937" i="4"/>
  <c r="E1146" i="4" s="1"/>
  <c r="F937" i="4"/>
  <c r="G937" i="4"/>
  <c r="H937" i="4"/>
  <c r="I937" i="4"/>
  <c r="I1146" i="4" s="1"/>
  <c r="J937" i="4"/>
  <c r="B938" i="4"/>
  <c r="C938" i="4"/>
  <c r="D938" i="4"/>
  <c r="E938" i="4"/>
  <c r="F938" i="4"/>
  <c r="G938" i="4"/>
  <c r="H938" i="4"/>
  <c r="I938" i="4"/>
  <c r="J938" i="4"/>
  <c r="B939" i="4"/>
  <c r="C939" i="4"/>
  <c r="C1146" i="4" s="1"/>
  <c r="D939" i="4"/>
  <c r="E939" i="4"/>
  <c r="F939" i="4"/>
  <c r="G939" i="4"/>
  <c r="G1146" i="4" s="1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D948" i="4"/>
  <c r="E948" i="4"/>
  <c r="F948" i="4"/>
  <c r="G948" i="4"/>
  <c r="H948" i="4"/>
  <c r="I948" i="4"/>
  <c r="J948" i="4"/>
  <c r="B949" i="4"/>
  <c r="C949" i="4"/>
  <c r="D949" i="4"/>
  <c r="E949" i="4"/>
  <c r="E1147" i="4" s="1"/>
  <c r="F949" i="4"/>
  <c r="G949" i="4"/>
  <c r="H949" i="4"/>
  <c r="I949" i="4"/>
  <c r="I1147" i="4" s="1"/>
  <c r="J949" i="4"/>
  <c r="B950" i="4"/>
  <c r="C950" i="4"/>
  <c r="D950" i="4"/>
  <c r="D1147" i="4" s="1"/>
  <c r="E950" i="4"/>
  <c r="F950" i="4"/>
  <c r="G950" i="4"/>
  <c r="H950" i="4"/>
  <c r="H1147" i="4" s="1"/>
  <c r="I950" i="4"/>
  <c r="J950" i="4"/>
  <c r="B951" i="4"/>
  <c r="C951" i="4"/>
  <c r="C1147" i="4" s="1"/>
  <c r="D951" i="4"/>
  <c r="E951" i="4"/>
  <c r="F951" i="4"/>
  <c r="G951" i="4"/>
  <c r="G1147" i="4" s="1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B1148" i="4" s="1"/>
  <c r="C960" i="4"/>
  <c r="D960" i="4"/>
  <c r="E960" i="4"/>
  <c r="F960" i="4"/>
  <c r="F1148" i="4" s="1"/>
  <c r="G960" i="4"/>
  <c r="H960" i="4"/>
  <c r="I960" i="4"/>
  <c r="J960" i="4"/>
  <c r="B961" i="4"/>
  <c r="C961" i="4"/>
  <c r="D961" i="4"/>
  <c r="E961" i="4"/>
  <c r="E1148" i="4" s="1"/>
  <c r="F961" i="4"/>
  <c r="G961" i="4"/>
  <c r="H961" i="4"/>
  <c r="I961" i="4"/>
  <c r="I1148" i="4" s="1"/>
  <c r="J961" i="4"/>
  <c r="B962" i="4"/>
  <c r="C962" i="4"/>
  <c r="D962" i="4"/>
  <c r="E962" i="4"/>
  <c r="F962" i="4"/>
  <c r="G962" i="4"/>
  <c r="H962" i="4"/>
  <c r="I962" i="4"/>
  <c r="J962" i="4"/>
  <c r="B963" i="4"/>
  <c r="C963" i="4"/>
  <c r="C1148" i="4" s="1"/>
  <c r="D963" i="4"/>
  <c r="E963" i="4"/>
  <c r="F963" i="4"/>
  <c r="G963" i="4"/>
  <c r="G1148" i="4" s="1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D972" i="4"/>
  <c r="E972" i="4"/>
  <c r="F972" i="4"/>
  <c r="G972" i="4"/>
  <c r="H972" i="4"/>
  <c r="I972" i="4"/>
  <c r="J972" i="4"/>
  <c r="B973" i="4"/>
  <c r="C973" i="4"/>
  <c r="D973" i="4"/>
  <c r="E973" i="4"/>
  <c r="E1149" i="4" s="1"/>
  <c r="F973" i="4"/>
  <c r="G973" i="4"/>
  <c r="H973" i="4"/>
  <c r="I973" i="4"/>
  <c r="I1149" i="4" s="1"/>
  <c r="J973" i="4"/>
  <c r="B974" i="4"/>
  <c r="C974" i="4"/>
  <c r="D974" i="4"/>
  <c r="D1149" i="4" s="1"/>
  <c r="E974" i="4"/>
  <c r="F974" i="4"/>
  <c r="G974" i="4"/>
  <c r="H974" i="4"/>
  <c r="H1149" i="4" s="1"/>
  <c r="I974" i="4"/>
  <c r="J974" i="4"/>
  <c r="B975" i="4"/>
  <c r="C975" i="4"/>
  <c r="C1149" i="4" s="1"/>
  <c r="D975" i="4"/>
  <c r="E975" i="4"/>
  <c r="F975" i="4"/>
  <c r="G975" i="4"/>
  <c r="G1149" i="4" s="1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B1150" i="4" s="1"/>
  <c r="C984" i="4"/>
  <c r="D984" i="4"/>
  <c r="E984" i="4"/>
  <c r="F984" i="4"/>
  <c r="F1150" i="4" s="1"/>
  <c r="G984" i="4"/>
  <c r="H984" i="4"/>
  <c r="I984" i="4"/>
  <c r="J984" i="4"/>
  <c r="B985" i="4"/>
  <c r="C985" i="4"/>
  <c r="D985" i="4"/>
  <c r="E985" i="4"/>
  <c r="E1150" i="4" s="1"/>
  <c r="F985" i="4"/>
  <c r="G985" i="4"/>
  <c r="H985" i="4"/>
  <c r="I985" i="4"/>
  <c r="I1150" i="4" s="1"/>
  <c r="J985" i="4"/>
  <c r="B986" i="4"/>
  <c r="C986" i="4"/>
  <c r="D986" i="4"/>
  <c r="E986" i="4"/>
  <c r="F986" i="4"/>
  <c r="G986" i="4"/>
  <c r="H986" i="4"/>
  <c r="I986" i="4"/>
  <c r="J986" i="4"/>
  <c r="B987" i="4"/>
  <c r="C987" i="4"/>
  <c r="C1150" i="4" s="1"/>
  <c r="D987" i="4"/>
  <c r="E987" i="4"/>
  <c r="F987" i="4"/>
  <c r="G987" i="4"/>
  <c r="G1150" i="4" s="1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D996" i="4"/>
  <c r="E996" i="4"/>
  <c r="F996" i="4"/>
  <c r="G996" i="4"/>
  <c r="H996" i="4"/>
  <c r="I996" i="4"/>
  <c r="J996" i="4"/>
  <c r="B997" i="4"/>
  <c r="C997" i="4"/>
  <c r="D997" i="4"/>
  <c r="E997" i="4"/>
  <c r="E1151" i="4" s="1"/>
  <c r="F997" i="4"/>
  <c r="G997" i="4"/>
  <c r="H997" i="4"/>
  <c r="I997" i="4"/>
  <c r="I1151" i="4" s="1"/>
  <c r="J997" i="4"/>
  <c r="B998" i="4"/>
  <c r="C998" i="4"/>
  <c r="D998" i="4"/>
  <c r="D1151" i="4" s="1"/>
  <c r="E998" i="4"/>
  <c r="F998" i="4"/>
  <c r="G998" i="4"/>
  <c r="H998" i="4"/>
  <c r="H1151" i="4" s="1"/>
  <c r="I998" i="4"/>
  <c r="J998" i="4"/>
  <c r="B999" i="4"/>
  <c r="C999" i="4"/>
  <c r="C1151" i="4" s="1"/>
  <c r="D999" i="4"/>
  <c r="E999" i="4"/>
  <c r="F999" i="4"/>
  <c r="G999" i="4"/>
  <c r="G1151" i="4" s="1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B1003" i="4"/>
  <c r="C1003" i="4"/>
  <c r="D1003" i="4"/>
  <c r="E1003" i="4"/>
  <c r="F1003" i="4"/>
  <c r="G1003" i="4"/>
  <c r="H1003" i="4"/>
  <c r="I1003" i="4"/>
  <c r="J1003" i="4"/>
  <c r="B1004" i="4"/>
  <c r="C1004" i="4"/>
  <c r="D1004" i="4"/>
  <c r="E1004" i="4"/>
  <c r="F1004" i="4"/>
  <c r="G1004" i="4"/>
  <c r="H1004" i="4"/>
  <c r="I1004" i="4"/>
  <c r="J1004" i="4"/>
  <c r="B1005" i="4"/>
  <c r="C1005" i="4"/>
  <c r="D1005" i="4"/>
  <c r="E1005" i="4"/>
  <c r="F1005" i="4"/>
  <c r="G1005" i="4"/>
  <c r="H1005" i="4"/>
  <c r="I1005" i="4"/>
  <c r="J1005" i="4"/>
  <c r="B1006" i="4"/>
  <c r="C1006" i="4"/>
  <c r="D1006" i="4"/>
  <c r="E1006" i="4"/>
  <c r="F1006" i="4"/>
  <c r="G1006" i="4"/>
  <c r="H1006" i="4"/>
  <c r="I1006" i="4"/>
  <c r="J1006" i="4"/>
  <c r="B1007" i="4"/>
  <c r="C1007" i="4"/>
  <c r="D1007" i="4"/>
  <c r="E1007" i="4"/>
  <c r="F1007" i="4"/>
  <c r="G1007" i="4"/>
  <c r="H1007" i="4"/>
  <c r="I1007" i="4"/>
  <c r="J1007" i="4"/>
  <c r="B1008" i="4"/>
  <c r="B1152" i="4" s="1"/>
  <c r="C1008" i="4"/>
  <c r="D1008" i="4"/>
  <c r="E1008" i="4"/>
  <c r="F1008" i="4"/>
  <c r="F1152" i="4" s="1"/>
  <c r="G1008" i="4"/>
  <c r="H1008" i="4"/>
  <c r="I1008" i="4"/>
  <c r="J1008" i="4"/>
  <c r="B1009" i="4"/>
  <c r="C1009" i="4"/>
  <c r="D1009" i="4"/>
  <c r="E1009" i="4"/>
  <c r="E1152" i="4" s="1"/>
  <c r="F1009" i="4"/>
  <c r="G1009" i="4"/>
  <c r="H1009" i="4"/>
  <c r="I1009" i="4"/>
  <c r="I1152" i="4" s="1"/>
  <c r="J1009" i="4"/>
  <c r="B1010" i="4"/>
  <c r="C1010" i="4"/>
  <c r="D1010" i="4"/>
  <c r="E1010" i="4"/>
  <c r="F1010" i="4"/>
  <c r="G1010" i="4"/>
  <c r="H1010" i="4"/>
  <c r="I1010" i="4"/>
  <c r="J1010" i="4"/>
  <c r="B1011" i="4"/>
  <c r="C1011" i="4"/>
  <c r="C1152" i="4" s="1"/>
  <c r="D1011" i="4"/>
  <c r="E1011" i="4"/>
  <c r="F1011" i="4"/>
  <c r="G1011" i="4"/>
  <c r="G1152" i="4" s="1"/>
  <c r="H1011" i="4"/>
  <c r="I1011" i="4"/>
  <c r="J1011" i="4"/>
  <c r="B1012" i="4"/>
  <c r="C1012" i="4"/>
  <c r="D1012" i="4"/>
  <c r="E1012" i="4"/>
  <c r="F1012" i="4"/>
  <c r="G1012" i="4"/>
  <c r="H1012" i="4"/>
  <c r="I1012" i="4"/>
  <c r="J1012" i="4"/>
  <c r="B1013" i="4"/>
  <c r="C1013" i="4"/>
  <c r="D1013" i="4"/>
  <c r="E1013" i="4"/>
  <c r="F1013" i="4"/>
  <c r="G1013" i="4"/>
  <c r="H1013" i="4"/>
  <c r="I1013" i="4"/>
  <c r="J1013" i="4"/>
  <c r="B1014" i="4"/>
  <c r="C1014" i="4"/>
  <c r="D1014" i="4"/>
  <c r="E1014" i="4"/>
  <c r="F1014" i="4"/>
  <c r="G1014" i="4"/>
  <c r="H1014" i="4"/>
  <c r="I1014" i="4"/>
  <c r="J1014" i="4"/>
  <c r="B1015" i="4"/>
  <c r="C1015" i="4"/>
  <c r="D1015" i="4"/>
  <c r="E1015" i="4"/>
  <c r="F1015" i="4"/>
  <c r="G1015" i="4"/>
  <c r="H1015" i="4"/>
  <c r="I1015" i="4"/>
  <c r="J1015" i="4"/>
  <c r="B1016" i="4"/>
  <c r="C1016" i="4"/>
  <c r="D1016" i="4"/>
  <c r="E1016" i="4"/>
  <c r="F1016" i="4"/>
  <c r="G1016" i="4"/>
  <c r="H1016" i="4"/>
  <c r="I1016" i="4"/>
  <c r="J1016" i="4"/>
  <c r="B1017" i="4"/>
  <c r="C1017" i="4"/>
  <c r="D1017" i="4"/>
  <c r="E1017" i="4"/>
  <c r="F1017" i="4"/>
  <c r="G1017" i="4"/>
  <c r="H1017" i="4"/>
  <c r="I1017" i="4"/>
  <c r="J1017" i="4"/>
  <c r="B1018" i="4"/>
  <c r="C1018" i="4"/>
  <c r="D1018" i="4"/>
  <c r="E1018" i="4"/>
  <c r="F1018" i="4"/>
  <c r="G1018" i="4"/>
  <c r="H1018" i="4"/>
  <c r="I1018" i="4"/>
  <c r="J1018" i="4"/>
  <c r="B1019" i="4"/>
  <c r="C1019" i="4"/>
  <c r="D1019" i="4"/>
  <c r="E1019" i="4"/>
  <c r="F1019" i="4"/>
  <c r="G1019" i="4"/>
  <c r="H1019" i="4"/>
  <c r="I1019" i="4"/>
  <c r="J1019" i="4"/>
  <c r="B1020" i="4"/>
  <c r="C1020" i="4"/>
  <c r="D1020" i="4"/>
  <c r="E1020" i="4"/>
  <c r="F1020" i="4"/>
  <c r="G1020" i="4"/>
  <c r="H1020" i="4"/>
  <c r="I1020" i="4"/>
  <c r="J1020" i="4"/>
  <c r="B1021" i="4"/>
  <c r="C1021" i="4"/>
  <c r="D1021" i="4"/>
  <c r="E1021" i="4"/>
  <c r="E1153" i="4" s="1"/>
  <c r="F1021" i="4"/>
  <c r="G1021" i="4"/>
  <c r="H1021" i="4"/>
  <c r="I1021" i="4"/>
  <c r="I1153" i="4" s="1"/>
  <c r="J1021" i="4"/>
  <c r="B1022" i="4"/>
  <c r="C1022" i="4"/>
  <c r="D1022" i="4"/>
  <c r="D1153" i="4" s="1"/>
  <c r="E1022" i="4"/>
  <c r="F1022" i="4"/>
  <c r="G1022" i="4"/>
  <c r="H1022" i="4"/>
  <c r="H1153" i="4" s="1"/>
  <c r="I1022" i="4"/>
  <c r="J1022" i="4"/>
  <c r="B1023" i="4"/>
  <c r="C1023" i="4"/>
  <c r="C1153" i="4" s="1"/>
  <c r="D1023" i="4"/>
  <c r="E1023" i="4"/>
  <c r="F1023" i="4"/>
  <c r="G1023" i="4"/>
  <c r="G1153" i="4" s="1"/>
  <c r="H1023" i="4"/>
  <c r="I1023" i="4"/>
  <c r="J1023" i="4"/>
  <c r="B1024" i="4"/>
  <c r="C1024" i="4"/>
  <c r="D1024" i="4"/>
  <c r="E1024" i="4"/>
  <c r="F1024" i="4"/>
  <c r="G1024" i="4"/>
  <c r="H1024" i="4"/>
  <c r="I1024" i="4"/>
  <c r="J1024" i="4"/>
  <c r="B1025" i="4"/>
  <c r="C1025" i="4"/>
  <c r="D1025" i="4"/>
  <c r="E1025" i="4"/>
  <c r="F1025" i="4"/>
  <c r="G1025" i="4"/>
  <c r="H1025" i="4"/>
  <c r="I1025" i="4"/>
  <c r="J1025" i="4"/>
  <c r="B1026" i="4"/>
  <c r="C1026" i="4"/>
  <c r="D1026" i="4"/>
  <c r="E1026" i="4"/>
  <c r="F1026" i="4"/>
  <c r="G1026" i="4"/>
  <c r="H1026" i="4"/>
  <c r="I1026" i="4"/>
  <c r="J1026" i="4"/>
  <c r="B1027" i="4"/>
  <c r="C1027" i="4"/>
  <c r="D1027" i="4"/>
  <c r="E1027" i="4"/>
  <c r="F1027" i="4"/>
  <c r="G1027" i="4"/>
  <c r="H1027" i="4"/>
  <c r="I1027" i="4"/>
  <c r="J1027" i="4"/>
  <c r="B1028" i="4"/>
  <c r="C1028" i="4"/>
  <c r="D1028" i="4"/>
  <c r="E1028" i="4"/>
  <c r="F1028" i="4"/>
  <c r="G1028" i="4"/>
  <c r="H1028" i="4"/>
  <c r="I1028" i="4"/>
  <c r="J1028" i="4"/>
  <c r="B1029" i="4"/>
  <c r="C1029" i="4"/>
  <c r="D1029" i="4"/>
  <c r="E1029" i="4"/>
  <c r="F1029" i="4"/>
  <c r="G1029" i="4"/>
  <c r="H1029" i="4"/>
  <c r="I1029" i="4"/>
  <c r="J1029" i="4"/>
  <c r="B1030" i="4"/>
  <c r="C1030" i="4"/>
  <c r="D1030" i="4"/>
  <c r="E1030" i="4"/>
  <c r="F1030" i="4"/>
  <c r="G1030" i="4"/>
  <c r="H1030" i="4"/>
  <c r="I1030" i="4"/>
  <c r="J1030" i="4"/>
  <c r="B1031" i="4"/>
  <c r="C1031" i="4"/>
  <c r="D1031" i="4"/>
  <c r="E1031" i="4"/>
  <c r="F1031" i="4"/>
  <c r="G1031" i="4"/>
  <c r="H1031" i="4"/>
  <c r="I1031" i="4"/>
  <c r="J1031" i="4"/>
  <c r="B1032" i="4"/>
  <c r="B1154" i="4" s="1"/>
  <c r="C1032" i="4"/>
  <c r="D1032" i="4"/>
  <c r="E1032" i="4"/>
  <c r="F1032" i="4"/>
  <c r="F1154" i="4" s="1"/>
  <c r="G1032" i="4"/>
  <c r="H1032" i="4"/>
  <c r="I1032" i="4"/>
  <c r="J1032" i="4"/>
  <c r="B1033" i="4"/>
  <c r="C1033" i="4"/>
  <c r="D1033" i="4"/>
  <c r="E1033" i="4"/>
  <c r="E1154" i="4" s="1"/>
  <c r="F1033" i="4"/>
  <c r="G1033" i="4"/>
  <c r="H1033" i="4"/>
  <c r="I1033" i="4"/>
  <c r="I1154" i="4" s="1"/>
  <c r="J1033" i="4"/>
  <c r="B1034" i="4"/>
  <c r="C1034" i="4"/>
  <c r="D1034" i="4"/>
  <c r="E1034" i="4"/>
  <c r="F1034" i="4"/>
  <c r="G1034" i="4"/>
  <c r="H1034" i="4"/>
  <c r="I1034" i="4"/>
  <c r="J1034" i="4"/>
  <c r="B1035" i="4"/>
  <c r="C1035" i="4"/>
  <c r="C1154" i="4" s="1"/>
  <c r="D1035" i="4"/>
  <c r="E1035" i="4"/>
  <c r="F1035" i="4"/>
  <c r="G1035" i="4"/>
  <c r="G1154" i="4" s="1"/>
  <c r="H1035" i="4"/>
  <c r="I1035" i="4"/>
  <c r="J1035" i="4"/>
  <c r="B1036" i="4"/>
  <c r="C1036" i="4"/>
  <c r="D1036" i="4"/>
  <c r="E1036" i="4"/>
  <c r="F1036" i="4"/>
  <c r="G1036" i="4"/>
  <c r="H1036" i="4"/>
  <c r="I1036" i="4"/>
  <c r="J1036" i="4"/>
  <c r="B1037" i="4"/>
  <c r="C1037" i="4"/>
  <c r="D1037" i="4"/>
  <c r="E1037" i="4"/>
  <c r="F1037" i="4"/>
  <c r="G1037" i="4"/>
  <c r="H1037" i="4"/>
  <c r="I1037" i="4"/>
  <c r="J1037" i="4"/>
  <c r="B1038" i="4"/>
  <c r="C1038" i="4"/>
  <c r="D1038" i="4"/>
  <c r="E1038" i="4"/>
  <c r="F1038" i="4"/>
  <c r="G1038" i="4"/>
  <c r="H1038" i="4"/>
  <c r="I1038" i="4"/>
  <c r="J1038" i="4"/>
  <c r="B1039" i="4"/>
  <c r="C1039" i="4"/>
  <c r="D1039" i="4"/>
  <c r="E1039" i="4"/>
  <c r="F1039" i="4"/>
  <c r="G1039" i="4"/>
  <c r="H1039" i="4"/>
  <c r="I1039" i="4"/>
  <c r="J1039" i="4"/>
  <c r="B1040" i="4"/>
  <c r="C1040" i="4"/>
  <c r="D1040" i="4"/>
  <c r="E1040" i="4"/>
  <c r="F1040" i="4"/>
  <c r="G1040" i="4"/>
  <c r="H1040" i="4"/>
  <c r="I1040" i="4"/>
  <c r="J1040" i="4"/>
  <c r="B1041" i="4"/>
  <c r="C1041" i="4"/>
  <c r="D1041" i="4"/>
  <c r="E1041" i="4"/>
  <c r="F1041" i="4"/>
  <c r="G1041" i="4"/>
  <c r="H1041" i="4"/>
  <c r="I1041" i="4"/>
  <c r="J1041" i="4"/>
  <c r="B1042" i="4"/>
  <c r="C1042" i="4"/>
  <c r="D1042" i="4"/>
  <c r="E1042" i="4"/>
  <c r="F1042" i="4"/>
  <c r="G1042" i="4"/>
  <c r="H1042" i="4"/>
  <c r="I1042" i="4"/>
  <c r="J1042" i="4"/>
  <c r="B1043" i="4"/>
  <c r="C1043" i="4"/>
  <c r="D1043" i="4"/>
  <c r="E1043" i="4"/>
  <c r="F1043" i="4"/>
  <c r="G1043" i="4"/>
  <c r="H1043" i="4"/>
  <c r="I1043" i="4"/>
  <c r="J1043" i="4"/>
  <c r="B1044" i="4"/>
  <c r="C1044" i="4"/>
  <c r="D1044" i="4"/>
  <c r="E1044" i="4"/>
  <c r="F1044" i="4"/>
  <c r="G1044" i="4"/>
  <c r="H1044" i="4"/>
  <c r="I1044" i="4"/>
  <c r="J1044" i="4"/>
  <c r="B1045" i="4"/>
  <c r="C1045" i="4"/>
  <c r="D1045" i="4"/>
  <c r="E1045" i="4"/>
  <c r="E1155" i="4" s="1"/>
  <c r="F1045" i="4"/>
  <c r="G1045" i="4"/>
  <c r="H1045" i="4"/>
  <c r="I1045" i="4"/>
  <c r="I1155" i="4" s="1"/>
  <c r="J1045" i="4"/>
  <c r="B1046" i="4"/>
  <c r="C1046" i="4"/>
  <c r="D1046" i="4"/>
  <c r="D1155" i="4" s="1"/>
  <c r="E1046" i="4"/>
  <c r="F1046" i="4"/>
  <c r="G1046" i="4"/>
  <c r="H1046" i="4"/>
  <c r="H1155" i="4" s="1"/>
  <c r="I1046" i="4"/>
  <c r="J1046" i="4"/>
  <c r="B1047" i="4"/>
  <c r="C1047" i="4"/>
  <c r="C1155" i="4" s="1"/>
  <c r="D1047" i="4"/>
  <c r="E1047" i="4"/>
  <c r="F1047" i="4"/>
  <c r="G1047" i="4"/>
  <c r="G1155" i="4" s="1"/>
  <c r="H1047" i="4"/>
  <c r="I1047" i="4"/>
  <c r="J1047" i="4"/>
  <c r="B1048" i="4"/>
  <c r="C1048" i="4"/>
  <c r="D1048" i="4"/>
  <c r="E1048" i="4"/>
  <c r="F1048" i="4"/>
  <c r="G1048" i="4"/>
  <c r="H1048" i="4"/>
  <c r="I1048" i="4"/>
  <c r="J1048" i="4"/>
  <c r="B1049" i="4"/>
  <c r="C1049" i="4"/>
  <c r="D1049" i="4"/>
  <c r="E1049" i="4"/>
  <c r="F1049" i="4"/>
  <c r="G1049" i="4"/>
  <c r="H1049" i="4"/>
  <c r="I1049" i="4"/>
  <c r="J1049" i="4"/>
  <c r="B1050" i="4"/>
  <c r="C1050" i="4"/>
  <c r="D1050" i="4"/>
  <c r="E1050" i="4"/>
  <c r="F1050" i="4"/>
  <c r="G1050" i="4"/>
  <c r="H1050" i="4"/>
  <c r="I1050" i="4"/>
  <c r="J1050" i="4"/>
  <c r="B1051" i="4"/>
  <c r="C1051" i="4"/>
  <c r="D1051" i="4"/>
  <c r="E1051" i="4"/>
  <c r="F1051" i="4"/>
  <c r="G1051" i="4"/>
  <c r="H1051" i="4"/>
  <c r="I1051" i="4"/>
  <c r="J1051" i="4"/>
  <c r="B1052" i="4"/>
  <c r="C1052" i="4"/>
  <c r="D1052" i="4"/>
  <c r="E1052" i="4"/>
  <c r="F1052" i="4"/>
  <c r="G1052" i="4"/>
  <c r="H1052" i="4"/>
  <c r="I1052" i="4"/>
  <c r="J1052" i="4"/>
  <c r="B1053" i="4"/>
  <c r="C1053" i="4"/>
  <c r="D1053" i="4"/>
  <c r="E1053" i="4"/>
  <c r="F1053" i="4"/>
  <c r="G1053" i="4"/>
  <c r="H1053" i="4"/>
  <c r="I1053" i="4"/>
  <c r="J1053" i="4"/>
  <c r="B1054" i="4"/>
  <c r="C1054" i="4"/>
  <c r="D1054" i="4"/>
  <c r="E1054" i="4"/>
  <c r="F1054" i="4"/>
  <c r="G1054" i="4"/>
  <c r="H1054" i="4"/>
  <c r="I1054" i="4"/>
  <c r="J1054" i="4"/>
  <c r="B1055" i="4"/>
  <c r="C1055" i="4"/>
  <c r="D1055" i="4"/>
  <c r="E1055" i="4"/>
  <c r="F1055" i="4"/>
  <c r="G1055" i="4"/>
  <c r="H1055" i="4"/>
  <c r="I1055" i="4"/>
  <c r="J1055" i="4"/>
  <c r="B1056" i="4"/>
  <c r="B1156" i="4" s="1"/>
  <c r="C1056" i="4"/>
  <c r="D1056" i="4"/>
  <c r="E1056" i="4"/>
  <c r="F1056" i="4"/>
  <c r="F1156" i="4" s="1"/>
  <c r="G1056" i="4"/>
  <c r="H1056" i="4"/>
  <c r="I1056" i="4"/>
  <c r="J1056" i="4"/>
  <c r="B1057" i="4"/>
  <c r="C1057" i="4"/>
  <c r="D1057" i="4"/>
  <c r="E1057" i="4"/>
  <c r="E1156" i="4" s="1"/>
  <c r="F1057" i="4"/>
  <c r="G1057" i="4"/>
  <c r="H1057" i="4"/>
  <c r="I1057" i="4"/>
  <c r="I1156" i="4" s="1"/>
  <c r="J1057" i="4"/>
  <c r="B1058" i="4"/>
  <c r="C1058" i="4"/>
  <c r="D1058" i="4"/>
  <c r="E1058" i="4"/>
  <c r="F1058" i="4"/>
  <c r="G1058" i="4"/>
  <c r="H1058" i="4"/>
  <c r="I1058" i="4"/>
  <c r="J1058" i="4"/>
  <c r="B1059" i="4"/>
  <c r="C1059" i="4"/>
  <c r="C1156" i="4" s="1"/>
  <c r="D1059" i="4"/>
  <c r="E1059" i="4"/>
  <c r="F1059" i="4"/>
  <c r="G1059" i="4"/>
  <c r="G1156" i="4" s="1"/>
  <c r="H1059" i="4"/>
  <c r="I1059" i="4"/>
  <c r="J1059" i="4"/>
  <c r="B1060" i="4"/>
  <c r="C1060" i="4"/>
  <c r="D1060" i="4"/>
  <c r="E1060" i="4"/>
  <c r="F1060" i="4"/>
  <c r="G1060" i="4"/>
  <c r="H1060" i="4"/>
  <c r="I1060" i="4"/>
  <c r="J1060" i="4"/>
  <c r="B1061" i="4"/>
  <c r="C1061" i="4"/>
  <c r="D1061" i="4"/>
  <c r="E1061" i="4"/>
  <c r="F1061" i="4"/>
  <c r="G1061" i="4"/>
  <c r="H1061" i="4"/>
  <c r="I1061" i="4"/>
  <c r="J1061" i="4"/>
  <c r="B1062" i="4"/>
  <c r="C1062" i="4"/>
  <c r="D1062" i="4"/>
  <c r="E1062" i="4"/>
  <c r="F1062" i="4"/>
  <c r="G1062" i="4"/>
  <c r="H1062" i="4"/>
  <c r="I1062" i="4"/>
  <c r="J1062" i="4"/>
  <c r="B1063" i="4"/>
  <c r="C1063" i="4"/>
  <c r="D1063" i="4"/>
  <c r="E1063" i="4"/>
  <c r="F1063" i="4"/>
  <c r="G1063" i="4"/>
  <c r="H1063" i="4"/>
  <c r="I1063" i="4"/>
  <c r="J1063" i="4"/>
  <c r="B1064" i="4"/>
  <c r="C1064" i="4"/>
  <c r="D1064" i="4"/>
  <c r="E1064" i="4"/>
  <c r="F1064" i="4"/>
  <c r="G1064" i="4"/>
  <c r="H1064" i="4"/>
  <c r="I1064" i="4"/>
  <c r="J1064" i="4"/>
  <c r="B1065" i="4"/>
  <c r="C1065" i="4"/>
  <c r="D1065" i="4"/>
  <c r="E1065" i="4"/>
  <c r="F1065" i="4"/>
  <c r="G1065" i="4"/>
  <c r="H1065" i="4"/>
  <c r="I1065" i="4"/>
  <c r="J1065" i="4"/>
  <c r="B1066" i="4"/>
  <c r="C1066" i="4"/>
  <c r="D1066" i="4"/>
  <c r="E1066" i="4"/>
  <c r="F1066" i="4"/>
  <c r="G1066" i="4"/>
  <c r="H1066" i="4"/>
  <c r="I1066" i="4"/>
  <c r="J1066" i="4"/>
  <c r="B1067" i="4"/>
  <c r="C1067" i="4"/>
  <c r="D1067" i="4"/>
  <c r="E1067" i="4"/>
  <c r="F1067" i="4"/>
  <c r="G1067" i="4"/>
  <c r="H1067" i="4"/>
  <c r="I1067" i="4"/>
  <c r="J1067" i="4"/>
  <c r="B1069" i="4"/>
  <c r="C1069" i="4"/>
  <c r="D1069" i="4"/>
  <c r="E1069" i="4"/>
  <c r="F1069" i="4"/>
  <c r="G1069" i="4"/>
  <c r="H1069" i="4"/>
  <c r="I1069" i="4"/>
  <c r="J1069" i="4"/>
  <c r="B1070" i="4"/>
  <c r="C1070" i="4"/>
  <c r="D1070" i="4"/>
  <c r="E1070" i="4"/>
  <c r="F1070" i="4"/>
  <c r="G1070" i="4"/>
  <c r="H1070" i="4"/>
  <c r="I1070" i="4"/>
  <c r="J1070" i="4"/>
  <c r="B1071" i="4"/>
  <c r="C1071" i="4"/>
  <c r="D1071" i="4"/>
  <c r="E1071" i="4"/>
  <c r="F1071" i="4"/>
  <c r="G1071" i="4"/>
  <c r="H1071" i="4"/>
  <c r="I1071" i="4"/>
  <c r="J1071" i="4"/>
  <c r="B1072" i="4"/>
  <c r="C1072" i="4"/>
  <c r="D1072" i="4"/>
  <c r="E1072" i="4"/>
  <c r="F1072" i="4"/>
  <c r="G1072" i="4"/>
  <c r="H1072" i="4"/>
  <c r="I1072" i="4"/>
  <c r="J1072" i="4"/>
  <c r="B1073" i="4"/>
  <c r="C1073" i="4"/>
  <c r="D1073" i="4"/>
  <c r="E1073" i="4"/>
  <c r="F1073" i="4"/>
  <c r="G1073" i="4"/>
  <c r="H1073" i="4"/>
  <c r="I1073" i="4"/>
  <c r="J1073" i="4"/>
  <c r="B1074" i="4"/>
  <c r="C1074" i="4"/>
  <c r="D1074" i="4"/>
  <c r="E1074" i="4"/>
  <c r="F1074" i="4"/>
  <c r="G1074" i="4"/>
  <c r="H1074" i="4"/>
  <c r="I1074" i="4"/>
  <c r="J1074" i="4"/>
  <c r="B1075" i="4"/>
  <c r="C1075" i="4"/>
  <c r="D1075" i="4"/>
  <c r="E1075" i="4"/>
  <c r="F1075" i="4"/>
  <c r="G1075" i="4"/>
  <c r="H1075" i="4"/>
  <c r="I1075" i="4"/>
  <c r="J1075" i="4"/>
  <c r="B1076" i="4"/>
  <c r="C1076" i="4"/>
  <c r="D1076" i="4"/>
  <c r="E1076" i="4"/>
  <c r="F1076" i="4"/>
  <c r="G1076" i="4"/>
  <c r="H1076" i="4"/>
  <c r="I1076" i="4"/>
  <c r="J1076" i="4"/>
  <c r="B1077" i="4"/>
  <c r="C1077" i="4"/>
  <c r="D1077" i="4"/>
  <c r="E1077" i="4"/>
  <c r="F1077" i="4"/>
  <c r="G1077" i="4"/>
  <c r="H1077" i="4"/>
  <c r="I1077" i="4"/>
  <c r="J1077" i="4"/>
  <c r="B1078" i="4"/>
  <c r="C1078" i="4"/>
  <c r="D1078" i="4"/>
  <c r="E1078" i="4"/>
  <c r="F1078" i="4"/>
  <c r="G1078" i="4"/>
  <c r="H1078" i="4"/>
  <c r="I1078" i="4"/>
  <c r="J1078" i="4"/>
  <c r="B1079" i="4"/>
  <c r="C1079" i="4"/>
  <c r="D1079" i="4"/>
  <c r="E1079" i="4"/>
  <c r="F1079" i="4"/>
  <c r="G1079" i="4"/>
  <c r="H1079" i="4"/>
  <c r="I1079" i="4"/>
  <c r="J1079" i="4"/>
  <c r="B1080" i="4"/>
  <c r="C1080" i="4"/>
  <c r="D1080" i="4"/>
  <c r="E1080" i="4"/>
  <c r="F1080" i="4"/>
  <c r="G1080" i="4"/>
  <c r="H1080" i="4"/>
  <c r="I1080" i="4"/>
  <c r="J1080" i="4"/>
  <c r="B1081" i="4"/>
  <c r="C1081" i="4"/>
  <c r="D1081" i="4"/>
  <c r="E1081" i="4"/>
  <c r="F1081" i="4"/>
  <c r="G1081" i="4"/>
  <c r="H1081" i="4"/>
  <c r="I1081" i="4"/>
  <c r="J1081" i="4"/>
  <c r="B1082" i="4"/>
  <c r="C1082" i="4"/>
  <c r="D1082" i="4"/>
  <c r="E1082" i="4"/>
  <c r="F1082" i="4"/>
  <c r="G1082" i="4"/>
  <c r="H1082" i="4"/>
  <c r="I1082" i="4"/>
  <c r="J1082" i="4"/>
  <c r="B1083" i="4"/>
  <c r="C1083" i="4"/>
  <c r="D1083" i="4"/>
  <c r="E1083" i="4"/>
  <c r="F1083" i="4"/>
  <c r="G1083" i="4"/>
  <c r="H1083" i="4"/>
  <c r="I1083" i="4"/>
  <c r="J1083" i="4"/>
  <c r="B1084" i="4"/>
  <c r="C1084" i="4"/>
  <c r="D1084" i="4"/>
  <c r="E1084" i="4"/>
  <c r="F1084" i="4"/>
  <c r="G1084" i="4"/>
  <c r="H1084" i="4"/>
  <c r="I1084" i="4"/>
  <c r="J1084" i="4"/>
  <c r="B1085" i="4"/>
  <c r="C1085" i="4"/>
  <c r="D1085" i="4"/>
  <c r="E1085" i="4"/>
  <c r="F1085" i="4"/>
  <c r="G1085" i="4"/>
  <c r="H1085" i="4"/>
  <c r="I1085" i="4"/>
  <c r="J1085" i="4"/>
  <c r="B1086" i="4"/>
  <c r="C1086" i="4"/>
  <c r="D1086" i="4"/>
  <c r="E1086" i="4"/>
  <c r="F1086" i="4"/>
  <c r="G1086" i="4"/>
  <c r="H1086" i="4"/>
  <c r="I1086" i="4"/>
  <c r="J1086" i="4"/>
  <c r="B1087" i="4"/>
  <c r="C1087" i="4"/>
  <c r="D1087" i="4"/>
  <c r="E1087" i="4"/>
  <c r="F1087" i="4"/>
  <c r="G1087" i="4"/>
  <c r="H1087" i="4"/>
  <c r="I1087" i="4"/>
  <c r="J1087" i="4"/>
  <c r="B1088" i="4"/>
  <c r="C1088" i="4"/>
  <c r="D1088" i="4"/>
  <c r="E1088" i="4"/>
  <c r="F1088" i="4"/>
  <c r="G1088" i="4"/>
  <c r="H1088" i="4"/>
  <c r="I1088" i="4"/>
  <c r="J1088" i="4"/>
  <c r="B1089" i="4"/>
  <c r="C1089" i="4"/>
  <c r="D1089" i="4"/>
  <c r="E1089" i="4"/>
  <c r="F1089" i="4"/>
  <c r="G1089" i="4"/>
  <c r="H1089" i="4"/>
  <c r="I1089" i="4"/>
  <c r="J1089" i="4"/>
  <c r="B1090" i="4"/>
  <c r="C1090" i="4"/>
  <c r="D1090" i="4"/>
  <c r="E1090" i="4"/>
  <c r="F1090" i="4"/>
  <c r="G1090" i="4"/>
  <c r="H1090" i="4"/>
  <c r="I1090" i="4"/>
  <c r="J1090" i="4"/>
  <c r="B1091" i="4"/>
  <c r="C1091" i="4"/>
  <c r="D1091" i="4"/>
  <c r="E1091" i="4"/>
  <c r="F1091" i="4"/>
  <c r="G1091" i="4"/>
  <c r="H1091" i="4"/>
  <c r="I1091" i="4"/>
  <c r="J1091" i="4"/>
  <c r="B1092" i="4"/>
  <c r="C1092" i="4"/>
  <c r="D1092" i="4"/>
  <c r="E1092" i="4"/>
  <c r="F1092" i="4"/>
  <c r="G1092" i="4"/>
  <c r="H1092" i="4"/>
  <c r="I1092" i="4"/>
  <c r="J1092" i="4"/>
  <c r="B1093" i="4"/>
  <c r="C1093" i="4"/>
  <c r="D1093" i="4"/>
  <c r="E1093" i="4"/>
  <c r="F1093" i="4"/>
  <c r="G1093" i="4"/>
  <c r="H1093" i="4"/>
  <c r="I1093" i="4"/>
  <c r="J1093" i="4"/>
  <c r="A1094" i="4"/>
  <c r="B1094" i="4"/>
  <c r="C1094" i="4"/>
  <c r="D1094" i="4"/>
  <c r="E1094" i="4"/>
  <c r="F1094" i="4"/>
  <c r="G1094" i="4"/>
  <c r="H1094" i="4"/>
  <c r="I1094" i="4"/>
  <c r="J1094" i="4"/>
  <c r="A1095" i="4"/>
  <c r="B1095" i="4"/>
  <c r="C1095" i="4"/>
  <c r="D1095" i="4"/>
  <c r="E1095" i="4"/>
  <c r="F1095" i="4"/>
  <c r="G1095" i="4"/>
  <c r="H1095" i="4"/>
  <c r="I1095" i="4"/>
  <c r="J1095" i="4"/>
  <c r="A1096" i="4"/>
  <c r="B1096" i="4"/>
  <c r="C1096" i="4"/>
  <c r="D1096" i="4"/>
  <c r="E1096" i="4"/>
  <c r="F1096" i="4"/>
  <c r="G1096" i="4"/>
  <c r="H1096" i="4"/>
  <c r="I1096" i="4"/>
  <c r="J1096" i="4"/>
  <c r="A1097" i="4"/>
  <c r="B1097" i="4"/>
  <c r="C1097" i="4"/>
  <c r="D1097" i="4"/>
  <c r="E1097" i="4"/>
  <c r="F1097" i="4"/>
  <c r="G1097" i="4"/>
  <c r="H1097" i="4"/>
  <c r="I1097" i="4"/>
  <c r="J1097" i="4"/>
  <c r="A1098" i="4"/>
  <c r="B1098" i="4"/>
  <c r="C1098" i="4"/>
  <c r="D1098" i="4"/>
  <c r="E1098" i="4"/>
  <c r="F1098" i="4"/>
  <c r="G1098" i="4"/>
  <c r="H1098" i="4"/>
  <c r="I1098" i="4"/>
  <c r="J1098" i="4"/>
  <c r="A1099" i="4"/>
  <c r="B1099" i="4"/>
  <c r="C1099" i="4"/>
  <c r="D1099" i="4"/>
  <c r="E1099" i="4"/>
  <c r="F1099" i="4"/>
  <c r="G1099" i="4"/>
  <c r="H1099" i="4"/>
  <c r="I1099" i="4"/>
  <c r="J1099" i="4"/>
  <c r="A1100" i="4"/>
  <c r="B1100" i="4"/>
  <c r="C1100" i="4"/>
  <c r="D1100" i="4"/>
  <c r="E1100" i="4"/>
  <c r="F1100" i="4"/>
  <c r="G1100" i="4"/>
  <c r="H1100" i="4"/>
  <c r="I1100" i="4"/>
  <c r="J1100" i="4"/>
  <c r="A1101" i="4"/>
  <c r="B1101" i="4"/>
  <c r="C1101" i="4"/>
  <c r="D1101" i="4"/>
  <c r="E1101" i="4"/>
  <c r="F1101" i="4"/>
  <c r="G1101" i="4"/>
  <c r="H1101" i="4"/>
  <c r="I1101" i="4"/>
  <c r="J1101" i="4"/>
  <c r="A1102" i="4"/>
  <c r="B1102" i="4"/>
  <c r="C1102" i="4"/>
  <c r="D1102" i="4"/>
  <c r="E1102" i="4"/>
  <c r="F1102" i="4"/>
  <c r="G1102" i="4"/>
  <c r="H1102" i="4"/>
  <c r="I1102" i="4"/>
  <c r="J1102" i="4"/>
  <c r="A1103" i="4"/>
  <c r="B1103" i="4"/>
  <c r="C1103" i="4"/>
  <c r="D1103" i="4"/>
  <c r="E1103" i="4"/>
  <c r="F1103" i="4"/>
  <c r="G1103" i="4"/>
  <c r="H1103" i="4"/>
  <c r="I1103" i="4"/>
  <c r="J1103" i="4"/>
  <c r="A1104" i="4"/>
  <c r="B1104" i="4"/>
  <c r="C1104" i="4"/>
  <c r="D1104" i="4"/>
  <c r="E1104" i="4"/>
  <c r="F1104" i="4"/>
  <c r="G1104" i="4"/>
  <c r="H1104" i="4"/>
  <c r="I1104" i="4"/>
  <c r="J1104" i="4"/>
  <c r="A1105" i="4"/>
  <c r="B1105" i="4"/>
  <c r="C1105" i="4"/>
  <c r="D1105" i="4"/>
  <c r="E1105" i="4"/>
  <c r="F1105" i="4"/>
  <c r="G1105" i="4"/>
  <c r="H1105" i="4"/>
  <c r="I1105" i="4"/>
  <c r="J1105" i="4"/>
  <c r="A1106" i="4"/>
  <c r="B1106" i="4"/>
  <c r="C1106" i="4"/>
  <c r="D1106" i="4"/>
  <c r="E1106" i="4"/>
  <c r="F1106" i="4"/>
  <c r="G1106" i="4"/>
  <c r="H1106" i="4"/>
  <c r="I1106" i="4"/>
  <c r="J1106" i="4"/>
  <c r="A1107" i="4"/>
  <c r="B1107" i="4"/>
  <c r="C1107" i="4"/>
  <c r="D1107" i="4"/>
  <c r="E1107" i="4"/>
  <c r="F1107" i="4"/>
  <c r="G1107" i="4"/>
  <c r="H1107" i="4"/>
  <c r="I1107" i="4"/>
  <c r="J1107" i="4"/>
  <c r="A1108" i="4"/>
  <c r="B1108" i="4"/>
  <c r="C1108" i="4"/>
  <c r="D1108" i="4"/>
  <c r="E1108" i="4"/>
  <c r="F1108" i="4"/>
  <c r="G1108" i="4"/>
  <c r="H1108" i="4"/>
  <c r="I1108" i="4"/>
  <c r="J1108" i="4"/>
  <c r="A1109" i="4"/>
  <c r="B1109" i="4"/>
  <c r="C1109" i="4"/>
  <c r="D1109" i="4"/>
  <c r="E1109" i="4"/>
  <c r="F1109" i="4"/>
  <c r="G1109" i="4"/>
  <c r="H1109" i="4"/>
  <c r="I1109" i="4"/>
  <c r="J1109" i="4"/>
  <c r="A1110" i="4"/>
  <c r="B1110" i="4"/>
  <c r="C1110" i="4"/>
  <c r="D1110" i="4"/>
  <c r="E1110" i="4"/>
  <c r="F1110" i="4"/>
  <c r="G1110" i="4"/>
  <c r="H1110" i="4"/>
  <c r="I1110" i="4"/>
  <c r="J1110" i="4"/>
  <c r="A1111" i="4"/>
  <c r="B1111" i="4"/>
  <c r="C1111" i="4"/>
  <c r="D1111" i="4"/>
  <c r="E1111" i="4"/>
  <c r="F1111" i="4"/>
  <c r="G1111" i="4"/>
  <c r="H1111" i="4"/>
  <c r="I1111" i="4"/>
  <c r="J1111" i="4"/>
  <c r="A1112" i="4"/>
  <c r="B1112" i="4"/>
  <c r="C1112" i="4"/>
  <c r="D1112" i="4"/>
  <c r="E1112" i="4"/>
  <c r="F1112" i="4"/>
  <c r="G1112" i="4"/>
  <c r="H1112" i="4"/>
  <c r="I1112" i="4"/>
  <c r="J1112" i="4"/>
  <c r="A1113" i="4"/>
  <c r="B1113" i="4"/>
  <c r="C1113" i="4"/>
  <c r="D1113" i="4"/>
  <c r="E1113" i="4"/>
  <c r="F1113" i="4"/>
  <c r="G1113" i="4"/>
  <c r="H1113" i="4"/>
  <c r="I1113" i="4"/>
  <c r="J1113" i="4"/>
  <c r="A1114" i="4"/>
  <c r="B1114" i="4"/>
  <c r="C1114" i="4"/>
  <c r="D1114" i="4"/>
  <c r="E1114" i="4"/>
  <c r="F1114" i="4"/>
  <c r="G1114" i="4"/>
  <c r="H1114" i="4"/>
  <c r="I1114" i="4"/>
  <c r="J1114" i="4"/>
  <c r="A1115" i="4"/>
  <c r="B1115" i="4"/>
  <c r="C1115" i="4"/>
  <c r="D1115" i="4"/>
  <c r="E1115" i="4"/>
  <c r="F1115" i="4"/>
  <c r="G1115" i="4"/>
  <c r="H1115" i="4"/>
  <c r="I1115" i="4"/>
  <c r="J1115" i="4"/>
  <c r="A1116" i="4"/>
  <c r="B1116" i="4"/>
  <c r="C1116" i="4"/>
  <c r="D1116" i="4"/>
  <c r="E1116" i="4"/>
  <c r="F1116" i="4"/>
  <c r="G1116" i="4"/>
  <c r="H1116" i="4"/>
  <c r="I1116" i="4"/>
  <c r="J1116" i="4"/>
  <c r="A1117" i="4"/>
  <c r="B1117" i="4"/>
  <c r="C1117" i="4"/>
  <c r="D1117" i="4"/>
  <c r="E1117" i="4"/>
  <c r="F1117" i="4"/>
  <c r="G1117" i="4"/>
  <c r="H1117" i="4"/>
  <c r="I1117" i="4"/>
  <c r="J1117" i="4"/>
  <c r="A1118" i="4"/>
  <c r="B1118" i="4"/>
  <c r="C1118" i="4"/>
  <c r="D1118" i="4"/>
  <c r="E1118" i="4"/>
  <c r="F1118" i="4"/>
  <c r="G1118" i="4"/>
  <c r="H1118" i="4"/>
  <c r="I1118" i="4"/>
  <c r="J1118" i="4"/>
  <c r="A1119" i="4"/>
  <c r="B1119" i="4"/>
  <c r="C1119" i="4"/>
  <c r="D1119" i="4"/>
  <c r="E1119" i="4"/>
  <c r="F1119" i="4"/>
  <c r="G1119" i="4"/>
  <c r="H1119" i="4"/>
  <c r="I1119" i="4"/>
  <c r="J1119" i="4"/>
  <c r="A1120" i="4"/>
  <c r="B1120" i="4"/>
  <c r="C1120" i="4"/>
  <c r="D1120" i="4"/>
  <c r="E1120" i="4"/>
  <c r="F1120" i="4"/>
  <c r="G1120" i="4"/>
  <c r="H1120" i="4"/>
  <c r="I1120" i="4"/>
  <c r="J1120" i="4"/>
  <c r="A1121" i="4"/>
  <c r="B1121" i="4"/>
  <c r="C1121" i="4"/>
  <c r="D1121" i="4"/>
  <c r="E1121" i="4"/>
  <c r="F1121" i="4"/>
  <c r="G1121" i="4"/>
  <c r="H1121" i="4"/>
  <c r="I1121" i="4"/>
  <c r="J1121" i="4"/>
  <c r="A1122" i="4"/>
  <c r="B1122" i="4"/>
  <c r="C1122" i="4"/>
  <c r="D1122" i="4"/>
  <c r="E1122" i="4"/>
  <c r="F1122" i="4"/>
  <c r="G1122" i="4"/>
  <c r="H1122" i="4"/>
  <c r="I1122" i="4"/>
  <c r="J1122" i="4"/>
  <c r="A1123" i="4"/>
  <c r="B1123" i="4"/>
  <c r="C1123" i="4"/>
  <c r="D1123" i="4"/>
  <c r="E1123" i="4"/>
  <c r="F1123" i="4"/>
  <c r="G1123" i="4"/>
  <c r="H1123" i="4"/>
  <c r="I1123" i="4"/>
  <c r="J1123" i="4"/>
  <c r="A1124" i="4"/>
  <c r="B1124" i="4"/>
  <c r="C1124" i="4"/>
  <c r="D1124" i="4"/>
  <c r="E1124" i="4"/>
  <c r="F1124" i="4"/>
  <c r="G1124" i="4"/>
  <c r="H1124" i="4"/>
  <c r="I1124" i="4"/>
  <c r="J1124" i="4"/>
  <c r="A1125" i="4"/>
  <c r="B1125" i="4"/>
  <c r="C1125" i="4"/>
  <c r="D1125" i="4"/>
  <c r="E1125" i="4"/>
  <c r="F1125" i="4"/>
  <c r="G1125" i="4"/>
  <c r="H1125" i="4"/>
  <c r="I1125" i="4"/>
  <c r="J1125" i="4"/>
  <c r="A1126" i="4"/>
  <c r="B1126" i="4"/>
  <c r="C1126" i="4"/>
  <c r="D1126" i="4"/>
  <c r="E1126" i="4"/>
  <c r="F1126" i="4"/>
  <c r="G1126" i="4"/>
  <c r="H1126" i="4"/>
  <c r="I1126" i="4"/>
  <c r="J1126" i="4"/>
  <c r="A1127" i="4"/>
  <c r="B1127" i="4"/>
  <c r="C1127" i="4"/>
  <c r="D1127" i="4"/>
  <c r="E1127" i="4"/>
  <c r="F1127" i="4"/>
  <c r="G1127" i="4"/>
  <c r="H1127" i="4"/>
  <c r="I1127" i="4"/>
  <c r="J1127" i="4"/>
  <c r="A1128" i="4"/>
  <c r="B1128" i="4"/>
  <c r="D1128" i="4"/>
  <c r="E1128" i="4"/>
  <c r="F1128" i="4"/>
  <c r="H1128" i="4"/>
  <c r="I1128" i="4"/>
  <c r="J1128" i="4"/>
  <c r="A1129" i="4"/>
  <c r="B1129" i="4"/>
  <c r="D1129" i="4"/>
  <c r="F1129" i="4"/>
  <c r="H1129" i="4"/>
  <c r="J1129" i="4"/>
  <c r="A1130" i="4"/>
  <c r="B1130" i="4"/>
  <c r="D1130" i="4"/>
  <c r="F1130" i="4"/>
  <c r="H1130" i="4"/>
  <c r="J1130" i="4"/>
  <c r="A1131" i="4"/>
  <c r="B1131" i="4"/>
  <c r="F1131" i="4"/>
  <c r="J1131" i="4"/>
  <c r="A1132" i="4"/>
  <c r="D1132" i="4"/>
  <c r="H1132" i="4"/>
  <c r="J1132" i="4"/>
  <c r="A1133" i="4"/>
  <c r="B1133" i="4"/>
  <c r="F1133" i="4"/>
  <c r="J1133" i="4"/>
  <c r="A1134" i="4"/>
  <c r="D1134" i="4"/>
  <c r="H1134" i="4"/>
  <c r="J1134" i="4"/>
  <c r="A1135" i="4"/>
  <c r="B1135" i="4"/>
  <c r="F1135" i="4"/>
  <c r="J1135" i="4"/>
  <c r="A1136" i="4"/>
  <c r="D1136" i="4"/>
  <c r="H1136" i="4"/>
  <c r="J1136" i="4"/>
  <c r="A1137" i="4"/>
  <c r="B1137" i="4"/>
  <c r="F1137" i="4"/>
  <c r="J1137" i="4"/>
  <c r="A1138" i="4"/>
  <c r="D1138" i="4"/>
  <c r="H1138" i="4"/>
  <c r="J1138" i="4"/>
  <c r="A1139" i="4"/>
  <c r="B1139" i="4"/>
  <c r="F1139" i="4"/>
  <c r="J1139" i="4"/>
  <c r="A1140" i="4"/>
  <c r="D1140" i="4"/>
  <c r="H1140" i="4"/>
  <c r="J1140" i="4"/>
  <c r="A1141" i="4"/>
  <c r="B1141" i="4"/>
  <c r="F1141" i="4"/>
  <c r="J1141" i="4"/>
  <c r="A1142" i="4"/>
  <c r="D1142" i="4"/>
  <c r="H1142" i="4"/>
  <c r="J1142" i="4"/>
  <c r="A1143" i="4"/>
  <c r="B1143" i="4"/>
  <c r="F1143" i="4"/>
  <c r="J1143" i="4"/>
  <c r="A1144" i="4"/>
  <c r="D1144" i="4"/>
  <c r="H1144" i="4"/>
  <c r="J1144" i="4"/>
  <c r="A1145" i="4"/>
  <c r="B1145" i="4"/>
  <c r="F1145" i="4"/>
  <c r="J1145" i="4"/>
  <c r="A1146" i="4"/>
  <c r="D1146" i="4"/>
  <c r="H1146" i="4"/>
  <c r="J1146" i="4"/>
  <c r="A1147" i="4"/>
  <c r="B1147" i="4"/>
  <c r="F1147" i="4"/>
  <c r="J1147" i="4"/>
  <c r="A1148" i="4"/>
  <c r="D1148" i="4"/>
  <c r="H1148" i="4"/>
  <c r="J1148" i="4"/>
  <c r="A1149" i="4"/>
  <c r="B1149" i="4"/>
  <c r="F1149" i="4"/>
  <c r="J1149" i="4"/>
  <c r="A1150" i="4"/>
  <c r="D1150" i="4"/>
  <c r="H1150" i="4"/>
  <c r="J1150" i="4"/>
  <c r="A1151" i="4"/>
  <c r="B1151" i="4"/>
  <c r="F1151" i="4"/>
  <c r="J1151" i="4"/>
  <c r="A1152" i="4"/>
  <c r="D1152" i="4"/>
  <c r="H1152" i="4"/>
  <c r="J1152" i="4"/>
  <c r="A1153" i="4"/>
  <c r="B1153" i="4"/>
  <c r="F1153" i="4"/>
  <c r="J1153" i="4"/>
  <c r="A1154" i="4"/>
  <c r="D1154" i="4"/>
  <c r="H1154" i="4"/>
  <c r="J1154" i="4"/>
  <c r="A1155" i="4"/>
  <c r="B1155" i="4"/>
  <c r="F1155" i="4"/>
  <c r="J1155" i="4"/>
  <c r="A1156" i="4"/>
  <c r="D1156" i="4"/>
  <c r="H1156" i="4"/>
  <c r="J1156" i="4"/>
  <c r="D9" i="3"/>
  <c r="F9" i="3"/>
  <c r="B22" i="3"/>
  <c r="C22" i="3"/>
  <c r="D22" i="3"/>
  <c r="E22" i="3"/>
  <c r="F22" i="3"/>
  <c r="G22" i="3"/>
  <c r="H22" i="3"/>
  <c r="I22" i="3"/>
  <c r="J22" i="3"/>
  <c r="K22" i="3"/>
  <c r="B23" i="3"/>
  <c r="C23" i="3"/>
  <c r="D23" i="3"/>
  <c r="E23" i="3"/>
  <c r="F23" i="3"/>
  <c r="G23" i="3"/>
  <c r="H23" i="3"/>
  <c r="I23" i="3"/>
  <c r="J23" i="3"/>
  <c r="K23" i="3"/>
  <c r="B24" i="3"/>
  <c r="C24" i="3"/>
  <c r="D24" i="3"/>
  <c r="E24" i="3"/>
  <c r="F24" i="3"/>
  <c r="G24" i="3"/>
  <c r="H24" i="3"/>
  <c r="I24" i="3"/>
  <c r="J24" i="3"/>
  <c r="K24" i="3"/>
  <c r="B25" i="3"/>
  <c r="C25" i="3"/>
  <c r="D25" i="3"/>
  <c r="E25" i="3"/>
  <c r="F25" i="3"/>
  <c r="G25" i="3"/>
  <c r="H25" i="3"/>
  <c r="I25" i="3"/>
  <c r="J25" i="3"/>
  <c r="K25" i="3"/>
  <c r="B26" i="3"/>
  <c r="C26" i="3"/>
  <c r="D26" i="3"/>
  <c r="E26" i="3"/>
  <c r="F26" i="3"/>
  <c r="G26" i="3"/>
  <c r="H26" i="3"/>
  <c r="I26" i="3"/>
  <c r="J26" i="3"/>
  <c r="K26" i="3"/>
  <c r="B27" i="3"/>
  <c r="C27" i="3"/>
  <c r="D27" i="3"/>
  <c r="E27" i="3"/>
  <c r="F27" i="3"/>
  <c r="G27" i="3"/>
  <c r="H27" i="3"/>
  <c r="I27" i="3"/>
  <c r="J27" i="3"/>
  <c r="K27" i="3"/>
  <c r="B28" i="3"/>
  <c r="C28" i="3"/>
  <c r="D28" i="3"/>
  <c r="E28" i="3"/>
  <c r="F28" i="3"/>
  <c r="G28" i="3"/>
  <c r="H28" i="3"/>
  <c r="I28" i="3"/>
  <c r="J28" i="3"/>
  <c r="K28" i="3"/>
  <c r="B29" i="3"/>
  <c r="C29" i="3"/>
  <c r="D29" i="3"/>
  <c r="E29" i="3"/>
  <c r="F29" i="3"/>
  <c r="G29" i="3"/>
  <c r="H29" i="3"/>
  <c r="I29" i="3"/>
  <c r="J29" i="3"/>
  <c r="K29" i="3"/>
  <c r="B30" i="3"/>
  <c r="C30" i="3"/>
  <c r="D30" i="3"/>
  <c r="E30" i="3"/>
  <c r="F30" i="3"/>
  <c r="G30" i="3"/>
  <c r="H30" i="3"/>
  <c r="I30" i="3"/>
  <c r="J30" i="3"/>
  <c r="K30" i="3"/>
  <c r="B31" i="3"/>
  <c r="C31" i="3"/>
  <c r="D31" i="3"/>
  <c r="E31" i="3"/>
  <c r="F31" i="3"/>
  <c r="G31" i="3"/>
  <c r="H31" i="3"/>
  <c r="I31" i="3"/>
  <c r="J31" i="3"/>
  <c r="K31" i="3"/>
  <c r="B32" i="3"/>
  <c r="C32" i="3"/>
  <c r="D32" i="3"/>
  <c r="E32" i="3"/>
  <c r="F32" i="3"/>
  <c r="G32" i="3"/>
  <c r="H32" i="3"/>
  <c r="I32" i="3"/>
  <c r="J32" i="3"/>
  <c r="K32" i="3"/>
  <c r="B33" i="3"/>
  <c r="C33" i="3"/>
  <c r="D33" i="3"/>
  <c r="E33" i="3"/>
  <c r="F33" i="3"/>
  <c r="G33" i="3"/>
  <c r="H33" i="3"/>
  <c r="I33" i="3"/>
  <c r="J33" i="3"/>
  <c r="K33" i="3"/>
  <c r="B34" i="3"/>
  <c r="C34" i="3"/>
  <c r="D34" i="3"/>
  <c r="E34" i="3"/>
  <c r="F34" i="3"/>
  <c r="G34" i="3"/>
  <c r="H34" i="3"/>
  <c r="I34" i="3"/>
  <c r="J34" i="3"/>
  <c r="K34" i="3"/>
  <c r="B35" i="3"/>
  <c r="C35" i="3"/>
  <c r="D35" i="3"/>
  <c r="E35" i="3"/>
  <c r="F35" i="3"/>
  <c r="G35" i="3"/>
  <c r="H35" i="3"/>
  <c r="I35" i="3"/>
  <c r="J35" i="3"/>
  <c r="K35" i="3"/>
  <c r="B36" i="3"/>
  <c r="C36" i="3"/>
  <c r="D36" i="3"/>
  <c r="E36" i="3"/>
  <c r="F36" i="3"/>
  <c r="G36" i="3"/>
  <c r="H36" i="3"/>
  <c r="I36" i="3"/>
  <c r="J36" i="3"/>
  <c r="K36" i="3"/>
  <c r="B37" i="3"/>
  <c r="C37" i="3"/>
  <c r="D37" i="3"/>
  <c r="E37" i="3"/>
  <c r="F37" i="3"/>
  <c r="G37" i="3"/>
  <c r="H37" i="3"/>
  <c r="I37" i="3"/>
  <c r="J37" i="3"/>
  <c r="K37" i="3"/>
  <c r="B38" i="3"/>
  <c r="C38" i="3"/>
  <c r="D38" i="3"/>
  <c r="E38" i="3"/>
  <c r="F38" i="3"/>
  <c r="G38" i="3"/>
  <c r="H38" i="3"/>
  <c r="I38" i="3"/>
  <c r="J38" i="3"/>
  <c r="K38" i="3"/>
  <c r="B39" i="3"/>
  <c r="C39" i="3"/>
  <c r="D39" i="3"/>
  <c r="E39" i="3"/>
  <c r="F39" i="3"/>
  <c r="G39" i="3"/>
  <c r="H39" i="3"/>
  <c r="I39" i="3"/>
  <c r="J39" i="3"/>
  <c r="K39" i="3"/>
  <c r="B40" i="3"/>
  <c r="C40" i="3"/>
  <c r="D40" i="3"/>
  <c r="E40" i="3"/>
  <c r="F40" i="3"/>
  <c r="G40" i="3"/>
  <c r="H40" i="3"/>
  <c r="I40" i="3"/>
  <c r="J40" i="3"/>
  <c r="K40" i="3"/>
  <c r="B41" i="3"/>
  <c r="C41" i="3"/>
  <c r="D41" i="3"/>
  <c r="E41" i="3"/>
  <c r="F41" i="3"/>
  <c r="G41" i="3"/>
  <c r="H41" i="3"/>
  <c r="I41" i="3"/>
  <c r="J41" i="3"/>
  <c r="K41" i="3"/>
  <c r="B42" i="3"/>
  <c r="C42" i="3"/>
  <c r="D42" i="3"/>
  <c r="E42" i="3"/>
  <c r="F42" i="3"/>
  <c r="G42" i="3"/>
  <c r="H42" i="3"/>
  <c r="I42" i="3"/>
  <c r="J42" i="3"/>
  <c r="K42" i="3"/>
  <c r="B43" i="3"/>
  <c r="C43" i="3"/>
  <c r="D43" i="3"/>
  <c r="E43" i="3"/>
  <c r="F43" i="3"/>
  <c r="G43" i="3"/>
  <c r="H43" i="3"/>
  <c r="I43" i="3"/>
  <c r="J43" i="3"/>
  <c r="K43" i="3"/>
  <c r="B44" i="3"/>
  <c r="C44" i="3"/>
  <c r="D44" i="3"/>
  <c r="E44" i="3"/>
  <c r="F44" i="3"/>
  <c r="G44" i="3"/>
  <c r="H44" i="3"/>
  <c r="I44" i="3"/>
  <c r="J44" i="3"/>
  <c r="K44" i="3"/>
  <c r="B45" i="3"/>
  <c r="C45" i="3"/>
  <c r="D45" i="3"/>
  <c r="E45" i="3"/>
  <c r="F45" i="3"/>
  <c r="G45" i="3"/>
  <c r="H45" i="3"/>
  <c r="I45" i="3"/>
  <c r="J45" i="3"/>
  <c r="K45" i="3"/>
  <c r="B46" i="3"/>
  <c r="C46" i="3"/>
  <c r="D46" i="3"/>
  <c r="E46" i="3"/>
  <c r="F46" i="3"/>
  <c r="G46" i="3"/>
  <c r="H46" i="3"/>
  <c r="I46" i="3"/>
  <c r="J46" i="3"/>
  <c r="K46" i="3"/>
  <c r="B47" i="3"/>
  <c r="C47" i="3"/>
  <c r="D47" i="3"/>
  <c r="E47" i="3"/>
  <c r="F47" i="3"/>
  <c r="G47" i="3"/>
  <c r="H47" i="3"/>
  <c r="I47" i="3"/>
  <c r="J47" i="3"/>
  <c r="K47" i="3"/>
  <c r="B48" i="3"/>
  <c r="C48" i="3"/>
  <c r="D48" i="3"/>
  <c r="E48" i="3"/>
  <c r="F48" i="3"/>
  <c r="G48" i="3"/>
  <c r="H48" i="3"/>
  <c r="I48" i="3"/>
  <c r="J48" i="3"/>
  <c r="K48" i="3"/>
  <c r="B49" i="3"/>
  <c r="C49" i="3"/>
  <c r="D49" i="3"/>
  <c r="E49" i="3"/>
  <c r="F49" i="3"/>
  <c r="G49" i="3"/>
  <c r="H49" i="3"/>
  <c r="I49" i="3"/>
  <c r="J49" i="3"/>
  <c r="K49" i="3"/>
  <c r="B50" i="3"/>
  <c r="C50" i="3"/>
  <c r="D50" i="3"/>
  <c r="E50" i="3"/>
  <c r="F50" i="3"/>
  <c r="G50" i="3"/>
  <c r="H50" i="3"/>
  <c r="I50" i="3"/>
  <c r="J50" i="3"/>
  <c r="K50" i="3"/>
  <c r="B51" i="3"/>
  <c r="C51" i="3"/>
  <c r="D51" i="3"/>
  <c r="E51" i="3"/>
  <c r="F51" i="3"/>
  <c r="G51" i="3"/>
  <c r="H51" i="3"/>
  <c r="I51" i="3"/>
  <c r="J51" i="3"/>
  <c r="K51" i="3"/>
  <c r="B52" i="3"/>
  <c r="C52" i="3"/>
  <c r="D52" i="3"/>
  <c r="E52" i="3"/>
  <c r="F52" i="3"/>
  <c r="G52" i="3"/>
  <c r="H52" i="3"/>
  <c r="I52" i="3"/>
  <c r="J52" i="3"/>
  <c r="K52" i="3"/>
  <c r="B53" i="3"/>
  <c r="C53" i="3"/>
  <c r="D53" i="3"/>
  <c r="E53" i="3"/>
  <c r="F53" i="3"/>
  <c r="G53" i="3"/>
  <c r="H53" i="3"/>
  <c r="I53" i="3"/>
  <c r="J53" i="3"/>
  <c r="K53" i="3"/>
  <c r="B54" i="3"/>
  <c r="C54" i="3"/>
  <c r="D54" i="3"/>
  <c r="E54" i="3"/>
  <c r="F54" i="3"/>
  <c r="G54" i="3"/>
  <c r="H54" i="3"/>
  <c r="I54" i="3"/>
  <c r="J54" i="3"/>
  <c r="K54" i="3"/>
  <c r="B55" i="3"/>
  <c r="C55" i="3"/>
  <c r="D55" i="3"/>
  <c r="E55" i="3"/>
  <c r="F55" i="3"/>
  <c r="G55" i="3"/>
  <c r="H55" i="3"/>
  <c r="I55" i="3"/>
  <c r="J55" i="3"/>
  <c r="K55" i="3"/>
  <c r="B56" i="3"/>
  <c r="C56" i="3"/>
  <c r="D56" i="3"/>
  <c r="E56" i="3"/>
  <c r="F56" i="3"/>
  <c r="G56" i="3"/>
  <c r="H56" i="3"/>
  <c r="I56" i="3"/>
  <c r="J56" i="3"/>
  <c r="K56" i="3"/>
  <c r="B57" i="3"/>
  <c r="C57" i="3"/>
  <c r="D57" i="3"/>
  <c r="E57" i="3"/>
  <c r="F57" i="3"/>
  <c r="G57" i="3"/>
  <c r="H57" i="3"/>
  <c r="I57" i="3"/>
  <c r="J57" i="3"/>
  <c r="K57" i="3"/>
  <c r="B58" i="3"/>
  <c r="C58" i="3"/>
  <c r="D58" i="3"/>
  <c r="E58" i="3"/>
  <c r="F58" i="3"/>
  <c r="G58" i="3"/>
  <c r="H58" i="3"/>
  <c r="I58" i="3"/>
  <c r="J58" i="3"/>
  <c r="K58" i="3"/>
  <c r="B59" i="3"/>
  <c r="C59" i="3"/>
  <c r="D59" i="3"/>
  <c r="E59" i="3"/>
  <c r="F59" i="3"/>
  <c r="G59" i="3"/>
  <c r="H59" i="3"/>
  <c r="I59" i="3"/>
  <c r="J59" i="3"/>
  <c r="K59" i="3"/>
  <c r="B60" i="3"/>
  <c r="C60" i="3"/>
  <c r="D60" i="3"/>
  <c r="E60" i="3"/>
  <c r="F60" i="3"/>
  <c r="G60" i="3"/>
  <c r="H60" i="3"/>
  <c r="I60" i="3"/>
  <c r="J60" i="3"/>
  <c r="K60" i="3"/>
  <c r="B61" i="3"/>
  <c r="C61" i="3"/>
  <c r="D61" i="3"/>
  <c r="E61" i="3"/>
  <c r="F61" i="3"/>
  <c r="G61" i="3"/>
  <c r="H61" i="3"/>
  <c r="I61" i="3"/>
  <c r="J61" i="3"/>
  <c r="K61" i="3"/>
  <c r="B62" i="3"/>
  <c r="C62" i="3"/>
  <c r="D62" i="3"/>
  <c r="E62" i="3"/>
  <c r="F62" i="3"/>
  <c r="G62" i="3"/>
  <c r="H62" i="3"/>
  <c r="I62" i="3"/>
  <c r="J62" i="3"/>
  <c r="K62" i="3"/>
  <c r="B63" i="3"/>
  <c r="C63" i="3"/>
  <c r="D63" i="3"/>
  <c r="E63" i="3"/>
  <c r="F63" i="3"/>
  <c r="G63" i="3"/>
  <c r="H63" i="3"/>
  <c r="I63" i="3"/>
  <c r="J63" i="3"/>
  <c r="K63" i="3"/>
  <c r="B64" i="3"/>
  <c r="C64" i="3"/>
  <c r="D64" i="3"/>
  <c r="E64" i="3"/>
  <c r="F64" i="3"/>
  <c r="G64" i="3"/>
  <c r="H64" i="3"/>
  <c r="I64" i="3"/>
  <c r="J64" i="3"/>
  <c r="K64" i="3"/>
  <c r="B65" i="3"/>
  <c r="C65" i="3"/>
  <c r="D65" i="3"/>
  <c r="E65" i="3"/>
  <c r="F65" i="3"/>
  <c r="G65" i="3"/>
  <c r="H65" i="3"/>
  <c r="I65" i="3"/>
  <c r="J65" i="3"/>
  <c r="K65" i="3"/>
  <c r="B66" i="3"/>
  <c r="C66" i="3"/>
  <c r="D66" i="3"/>
  <c r="E66" i="3"/>
  <c r="F66" i="3"/>
  <c r="G66" i="3"/>
  <c r="H66" i="3"/>
  <c r="I66" i="3"/>
  <c r="J66" i="3"/>
  <c r="K66" i="3"/>
  <c r="B67" i="3"/>
  <c r="C67" i="3"/>
  <c r="D67" i="3"/>
  <c r="E67" i="3"/>
  <c r="F67" i="3"/>
  <c r="G67" i="3"/>
  <c r="H67" i="3"/>
  <c r="I67" i="3"/>
  <c r="J67" i="3"/>
  <c r="K67" i="3"/>
  <c r="B68" i="3"/>
  <c r="C68" i="3"/>
  <c r="D68" i="3"/>
  <c r="E68" i="3"/>
  <c r="F68" i="3"/>
  <c r="G68" i="3"/>
  <c r="H68" i="3"/>
  <c r="I68" i="3"/>
  <c r="J68" i="3"/>
  <c r="K68" i="3"/>
  <c r="B69" i="3"/>
  <c r="C69" i="3"/>
  <c r="D69" i="3"/>
  <c r="E69" i="3"/>
  <c r="F69" i="3"/>
  <c r="G69" i="3"/>
  <c r="H69" i="3"/>
  <c r="I69" i="3"/>
  <c r="J69" i="3"/>
  <c r="K69" i="3"/>
  <c r="B70" i="3"/>
  <c r="C70" i="3"/>
  <c r="D70" i="3"/>
  <c r="E70" i="3"/>
  <c r="F70" i="3"/>
  <c r="G70" i="3"/>
  <c r="H70" i="3"/>
  <c r="I70" i="3"/>
  <c r="J70" i="3"/>
  <c r="K70" i="3"/>
  <c r="B71" i="3"/>
  <c r="C71" i="3"/>
  <c r="D71" i="3"/>
  <c r="E71" i="3"/>
  <c r="F71" i="3"/>
  <c r="G71" i="3"/>
  <c r="H71" i="3"/>
  <c r="I71" i="3"/>
  <c r="J71" i="3"/>
  <c r="K71" i="3"/>
  <c r="B72" i="3"/>
  <c r="C72" i="3"/>
  <c r="D72" i="3"/>
  <c r="E72" i="3"/>
  <c r="F72" i="3"/>
  <c r="G72" i="3"/>
  <c r="H72" i="3"/>
  <c r="I72" i="3"/>
  <c r="J72" i="3"/>
  <c r="K72" i="3"/>
  <c r="B73" i="3"/>
  <c r="C73" i="3"/>
  <c r="D73" i="3"/>
  <c r="E73" i="3"/>
  <c r="F73" i="3"/>
  <c r="G73" i="3"/>
  <c r="H73" i="3"/>
  <c r="I73" i="3"/>
  <c r="J73" i="3"/>
  <c r="K73" i="3"/>
  <c r="B74" i="3"/>
  <c r="C74" i="3"/>
  <c r="D74" i="3"/>
  <c r="E74" i="3"/>
  <c r="F74" i="3"/>
  <c r="G74" i="3"/>
  <c r="H74" i="3"/>
  <c r="I74" i="3"/>
  <c r="J74" i="3"/>
  <c r="K74" i="3"/>
  <c r="B75" i="3"/>
  <c r="C75" i="3"/>
  <c r="D75" i="3"/>
  <c r="E75" i="3"/>
  <c r="F75" i="3"/>
  <c r="G75" i="3"/>
  <c r="H75" i="3"/>
  <c r="I75" i="3"/>
  <c r="J75" i="3"/>
  <c r="K75" i="3"/>
  <c r="B76" i="3"/>
  <c r="C76" i="3"/>
  <c r="D76" i="3"/>
  <c r="E76" i="3"/>
  <c r="F76" i="3"/>
  <c r="G76" i="3"/>
  <c r="H76" i="3"/>
  <c r="I76" i="3"/>
  <c r="J76" i="3"/>
  <c r="K76" i="3"/>
  <c r="B77" i="3"/>
  <c r="C77" i="3"/>
  <c r="D77" i="3"/>
  <c r="E77" i="3"/>
  <c r="F77" i="3"/>
  <c r="G77" i="3"/>
  <c r="H77" i="3"/>
  <c r="I77" i="3"/>
  <c r="J77" i="3"/>
  <c r="K77" i="3"/>
  <c r="B78" i="3"/>
  <c r="C78" i="3"/>
  <c r="D78" i="3"/>
  <c r="E78" i="3"/>
  <c r="F78" i="3"/>
  <c r="G78" i="3"/>
  <c r="H78" i="3"/>
  <c r="I78" i="3"/>
  <c r="J78" i="3"/>
  <c r="K78" i="3"/>
  <c r="B79" i="3"/>
  <c r="C79" i="3"/>
  <c r="D79" i="3"/>
  <c r="E79" i="3"/>
  <c r="F79" i="3"/>
  <c r="G79" i="3"/>
  <c r="H79" i="3"/>
  <c r="I79" i="3"/>
  <c r="J79" i="3"/>
  <c r="K79" i="3"/>
  <c r="B80" i="3"/>
  <c r="C80" i="3"/>
  <c r="D80" i="3"/>
  <c r="E80" i="3"/>
  <c r="F80" i="3"/>
  <c r="G80" i="3"/>
  <c r="H80" i="3"/>
  <c r="I80" i="3"/>
  <c r="J80" i="3"/>
  <c r="K80" i="3"/>
  <c r="B81" i="3"/>
  <c r="C81" i="3"/>
  <c r="D81" i="3"/>
  <c r="E81" i="3"/>
  <c r="F81" i="3"/>
  <c r="G81" i="3"/>
  <c r="H81" i="3"/>
  <c r="I81" i="3"/>
  <c r="J81" i="3"/>
  <c r="K81" i="3"/>
  <c r="B82" i="3"/>
  <c r="C82" i="3"/>
  <c r="D82" i="3"/>
  <c r="E82" i="3"/>
  <c r="F82" i="3"/>
  <c r="G82" i="3"/>
  <c r="H82" i="3"/>
  <c r="I82" i="3"/>
  <c r="J82" i="3"/>
  <c r="K82" i="3"/>
  <c r="B83" i="3"/>
  <c r="C83" i="3"/>
  <c r="D83" i="3"/>
  <c r="E83" i="3"/>
  <c r="F83" i="3"/>
  <c r="G83" i="3"/>
  <c r="H83" i="3"/>
  <c r="I83" i="3"/>
  <c r="J83" i="3"/>
  <c r="K83" i="3"/>
  <c r="B84" i="3"/>
  <c r="C84" i="3"/>
  <c r="D84" i="3"/>
  <c r="E84" i="3"/>
  <c r="F84" i="3"/>
  <c r="G84" i="3"/>
  <c r="H84" i="3"/>
  <c r="I84" i="3"/>
  <c r="J84" i="3"/>
  <c r="K84" i="3"/>
  <c r="B85" i="3"/>
  <c r="C85" i="3"/>
  <c r="D85" i="3"/>
  <c r="E85" i="3"/>
  <c r="F85" i="3"/>
  <c r="G85" i="3"/>
  <c r="H85" i="3"/>
  <c r="I85" i="3"/>
  <c r="J85" i="3"/>
  <c r="K85" i="3"/>
  <c r="B86" i="3"/>
  <c r="C86" i="3"/>
  <c r="D86" i="3"/>
  <c r="E86" i="3"/>
  <c r="F86" i="3"/>
  <c r="G86" i="3"/>
  <c r="H86" i="3"/>
  <c r="I86" i="3"/>
  <c r="J86" i="3"/>
  <c r="K86" i="3"/>
  <c r="B87" i="3"/>
  <c r="C87" i="3"/>
  <c r="D87" i="3"/>
  <c r="E87" i="3"/>
  <c r="F87" i="3"/>
  <c r="G87" i="3"/>
  <c r="H87" i="3"/>
  <c r="I87" i="3"/>
  <c r="J87" i="3"/>
  <c r="K87" i="3"/>
  <c r="B88" i="3"/>
  <c r="C88" i="3"/>
  <c r="D88" i="3"/>
  <c r="E88" i="3"/>
  <c r="F88" i="3"/>
  <c r="G88" i="3"/>
  <c r="H88" i="3"/>
  <c r="I88" i="3"/>
  <c r="J88" i="3"/>
  <c r="K88" i="3"/>
  <c r="B89" i="3"/>
  <c r="C89" i="3"/>
  <c r="D89" i="3"/>
  <c r="E89" i="3"/>
  <c r="F89" i="3"/>
  <c r="G89" i="3"/>
  <c r="H89" i="3"/>
  <c r="I89" i="3"/>
  <c r="J89" i="3"/>
  <c r="K89" i="3"/>
  <c r="B90" i="3"/>
  <c r="C90" i="3"/>
  <c r="D90" i="3"/>
  <c r="E90" i="3"/>
  <c r="F90" i="3"/>
  <c r="G90" i="3"/>
  <c r="H90" i="3"/>
  <c r="I90" i="3"/>
  <c r="J90" i="3"/>
  <c r="K90" i="3"/>
  <c r="B91" i="3"/>
  <c r="C91" i="3"/>
  <c r="D91" i="3"/>
  <c r="E91" i="3"/>
  <c r="F91" i="3"/>
  <c r="G91" i="3"/>
  <c r="H91" i="3"/>
  <c r="I91" i="3"/>
  <c r="J91" i="3"/>
  <c r="K91" i="3"/>
  <c r="B92" i="3"/>
  <c r="C92" i="3"/>
  <c r="D92" i="3"/>
  <c r="E92" i="3"/>
  <c r="F92" i="3"/>
  <c r="G92" i="3"/>
  <c r="H92" i="3"/>
  <c r="I92" i="3"/>
  <c r="J92" i="3"/>
  <c r="K92" i="3"/>
  <c r="B93" i="3"/>
  <c r="C93" i="3"/>
  <c r="D93" i="3"/>
  <c r="E93" i="3"/>
  <c r="F93" i="3"/>
  <c r="G93" i="3"/>
  <c r="H93" i="3"/>
  <c r="I93" i="3"/>
  <c r="J93" i="3"/>
  <c r="K93" i="3"/>
  <c r="B94" i="3"/>
  <c r="C94" i="3"/>
  <c r="D94" i="3"/>
  <c r="E94" i="3"/>
  <c r="F94" i="3"/>
  <c r="G94" i="3"/>
  <c r="H94" i="3"/>
  <c r="I94" i="3"/>
  <c r="J94" i="3"/>
  <c r="K94" i="3"/>
  <c r="B95" i="3"/>
  <c r="C95" i="3"/>
  <c r="D95" i="3"/>
  <c r="E95" i="3"/>
  <c r="F95" i="3"/>
  <c r="G95" i="3"/>
  <c r="H95" i="3"/>
  <c r="I95" i="3"/>
  <c r="J95" i="3"/>
  <c r="K95" i="3"/>
  <c r="B96" i="3"/>
  <c r="C96" i="3"/>
  <c r="D96" i="3"/>
  <c r="E96" i="3"/>
  <c r="F96" i="3"/>
  <c r="G96" i="3"/>
  <c r="H96" i="3"/>
  <c r="I96" i="3"/>
  <c r="J96" i="3"/>
  <c r="K96" i="3"/>
  <c r="B97" i="3"/>
  <c r="C97" i="3"/>
  <c r="D97" i="3"/>
  <c r="E97" i="3"/>
  <c r="F97" i="3"/>
  <c r="G97" i="3"/>
  <c r="H97" i="3"/>
  <c r="I97" i="3"/>
  <c r="J97" i="3"/>
  <c r="K97" i="3"/>
  <c r="B98" i="3"/>
  <c r="C98" i="3"/>
  <c r="D98" i="3"/>
  <c r="E98" i="3"/>
  <c r="F98" i="3"/>
  <c r="G98" i="3"/>
  <c r="H98" i="3"/>
  <c r="I98" i="3"/>
  <c r="J98" i="3"/>
  <c r="K98" i="3"/>
  <c r="B99" i="3"/>
  <c r="C99" i="3"/>
  <c r="D99" i="3"/>
  <c r="E99" i="3"/>
  <c r="F99" i="3"/>
  <c r="G99" i="3"/>
  <c r="H99" i="3"/>
  <c r="I99" i="3"/>
  <c r="J99" i="3"/>
  <c r="K99" i="3"/>
  <c r="B100" i="3"/>
  <c r="C100" i="3"/>
  <c r="D100" i="3"/>
  <c r="E100" i="3"/>
  <c r="F100" i="3"/>
  <c r="G100" i="3"/>
  <c r="H100" i="3"/>
  <c r="I100" i="3"/>
  <c r="J100" i="3"/>
  <c r="K100" i="3"/>
  <c r="B101" i="3"/>
  <c r="C101" i="3"/>
  <c r="D101" i="3"/>
  <c r="E101" i="3"/>
  <c r="F101" i="3"/>
  <c r="G101" i="3"/>
  <c r="H101" i="3"/>
  <c r="I101" i="3"/>
  <c r="J101" i="3"/>
  <c r="K101" i="3"/>
  <c r="B102" i="3"/>
  <c r="C102" i="3"/>
  <c r="D102" i="3"/>
  <c r="E102" i="3"/>
  <c r="F102" i="3"/>
  <c r="G102" i="3"/>
  <c r="H102" i="3"/>
  <c r="I102" i="3"/>
  <c r="J102" i="3"/>
  <c r="K102" i="3"/>
  <c r="B103" i="3"/>
  <c r="C103" i="3"/>
  <c r="D103" i="3"/>
  <c r="E103" i="3"/>
  <c r="F103" i="3"/>
  <c r="G103" i="3"/>
  <c r="H103" i="3"/>
  <c r="I103" i="3"/>
  <c r="J103" i="3"/>
  <c r="K103" i="3"/>
  <c r="B104" i="3"/>
  <c r="C104" i="3"/>
  <c r="D104" i="3"/>
  <c r="E104" i="3"/>
  <c r="F104" i="3"/>
  <c r="G104" i="3"/>
  <c r="H104" i="3"/>
  <c r="I104" i="3"/>
  <c r="J104" i="3"/>
  <c r="K104" i="3"/>
  <c r="B105" i="3"/>
  <c r="C105" i="3"/>
  <c r="D105" i="3"/>
  <c r="E105" i="3"/>
  <c r="F105" i="3"/>
  <c r="G105" i="3"/>
  <c r="H105" i="3"/>
  <c r="I105" i="3"/>
  <c r="J105" i="3"/>
  <c r="K105" i="3"/>
  <c r="B106" i="3"/>
  <c r="C106" i="3"/>
  <c r="D106" i="3"/>
  <c r="E106" i="3"/>
  <c r="F106" i="3"/>
  <c r="G106" i="3"/>
  <c r="H106" i="3"/>
  <c r="I106" i="3"/>
  <c r="J106" i="3"/>
  <c r="K106" i="3"/>
  <c r="B107" i="3"/>
  <c r="C107" i="3"/>
  <c r="D107" i="3"/>
  <c r="E107" i="3"/>
  <c r="F107" i="3"/>
  <c r="G107" i="3"/>
  <c r="H107" i="3"/>
  <c r="I107" i="3"/>
  <c r="J107" i="3"/>
  <c r="K107" i="3"/>
  <c r="B108" i="3"/>
  <c r="C108" i="3"/>
  <c r="D108" i="3"/>
  <c r="E108" i="3"/>
  <c r="F108" i="3"/>
  <c r="G108" i="3"/>
  <c r="H108" i="3"/>
  <c r="I108" i="3"/>
  <c r="J108" i="3"/>
  <c r="K108" i="3"/>
  <c r="B109" i="3"/>
  <c r="C109" i="3"/>
  <c r="D109" i="3"/>
  <c r="E109" i="3"/>
  <c r="F109" i="3"/>
  <c r="G109" i="3"/>
  <c r="H109" i="3"/>
  <c r="I109" i="3"/>
  <c r="J109" i="3"/>
  <c r="K109" i="3"/>
  <c r="B110" i="3"/>
  <c r="C110" i="3"/>
  <c r="D110" i="3"/>
  <c r="E110" i="3"/>
  <c r="F110" i="3"/>
  <c r="G110" i="3"/>
  <c r="H110" i="3"/>
  <c r="I110" i="3"/>
  <c r="J110" i="3"/>
  <c r="K110" i="3"/>
  <c r="B111" i="3"/>
  <c r="C111" i="3"/>
  <c r="D111" i="3"/>
  <c r="E111" i="3"/>
  <c r="F111" i="3"/>
  <c r="G111" i="3"/>
  <c r="H111" i="3"/>
  <c r="I111" i="3"/>
  <c r="J111" i="3"/>
  <c r="K111" i="3"/>
  <c r="B112" i="3"/>
  <c r="C112" i="3"/>
  <c r="D112" i="3"/>
  <c r="E112" i="3"/>
  <c r="F112" i="3"/>
  <c r="G112" i="3"/>
  <c r="H112" i="3"/>
  <c r="I112" i="3"/>
  <c r="J112" i="3"/>
  <c r="K112" i="3"/>
  <c r="B113" i="3"/>
  <c r="C113" i="3"/>
  <c r="D113" i="3"/>
  <c r="E113" i="3"/>
  <c r="F113" i="3"/>
  <c r="G113" i="3"/>
  <c r="H113" i="3"/>
  <c r="I113" i="3"/>
  <c r="J113" i="3"/>
  <c r="K113" i="3"/>
  <c r="B114" i="3"/>
  <c r="C114" i="3"/>
  <c r="D114" i="3"/>
  <c r="E114" i="3"/>
  <c r="F114" i="3"/>
  <c r="G114" i="3"/>
  <c r="H114" i="3"/>
  <c r="I114" i="3"/>
  <c r="J114" i="3"/>
  <c r="K114" i="3"/>
  <c r="B115" i="3"/>
  <c r="C115" i="3"/>
  <c r="D115" i="3"/>
  <c r="E115" i="3"/>
  <c r="F115" i="3"/>
  <c r="G115" i="3"/>
  <c r="H115" i="3"/>
  <c r="I115" i="3"/>
  <c r="J115" i="3"/>
  <c r="K115" i="3"/>
  <c r="B116" i="3"/>
  <c r="C116" i="3"/>
  <c r="D116" i="3"/>
  <c r="E116" i="3"/>
  <c r="F116" i="3"/>
  <c r="G116" i="3"/>
  <c r="H116" i="3"/>
  <c r="I116" i="3"/>
  <c r="J116" i="3"/>
  <c r="K116" i="3"/>
  <c r="B117" i="3"/>
  <c r="C117" i="3"/>
  <c r="D117" i="3"/>
  <c r="E117" i="3"/>
  <c r="F117" i="3"/>
  <c r="G117" i="3"/>
  <c r="H117" i="3"/>
  <c r="I117" i="3"/>
  <c r="J117" i="3"/>
  <c r="K117" i="3"/>
  <c r="B118" i="3"/>
  <c r="C118" i="3"/>
  <c r="D118" i="3"/>
  <c r="E118" i="3"/>
  <c r="F118" i="3"/>
  <c r="G118" i="3"/>
  <c r="H118" i="3"/>
  <c r="I118" i="3"/>
  <c r="J118" i="3"/>
  <c r="K118" i="3"/>
  <c r="B119" i="3"/>
  <c r="C119" i="3"/>
  <c r="D119" i="3"/>
  <c r="E119" i="3"/>
  <c r="F119" i="3"/>
  <c r="G119" i="3"/>
  <c r="H119" i="3"/>
  <c r="I119" i="3"/>
  <c r="J119" i="3"/>
  <c r="K119" i="3"/>
  <c r="B120" i="3"/>
  <c r="C120" i="3"/>
  <c r="D120" i="3"/>
  <c r="E120" i="3"/>
  <c r="F120" i="3"/>
  <c r="G120" i="3"/>
  <c r="H120" i="3"/>
  <c r="I120" i="3"/>
  <c r="J120" i="3"/>
  <c r="K120" i="3"/>
  <c r="B121" i="3"/>
  <c r="C121" i="3"/>
  <c r="D121" i="3"/>
  <c r="E121" i="3"/>
  <c r="F121" i="3"/>
  <c r="G121" i="3"/>
  <c r="H121" i="3"/>
  <c r="I121" i="3"/>
  <c r="J121" i="3"/>
  <c r="K121" i="3"/>
  <c r="B122" i="3"/>
  <c r="C122" i="3"/>
  <c r="D122" i="3"/>
  <c r="E122" i="3"/>
  <c r="F122" i="3"/>
  <c r="G122" i="3"/>
  <c r="H122" i="3"/>
  <c r="I122" i="3"/>
  <c r="J122" i="3"/>
  <c r="K122" i="3"/>
  <c r="B123" i="3"/>
  <c r="C123" i="3"/>
  <c r="D123" i="3"/>
  <c r="E123" i="3"/>
  <c r="F123" i="3"/>
  <c r="G123" i="3"/>
  <c r="H123" i="3"/>
  <c r="I123" i="3"/>
  <c r="J123" i="3"/>
  <c r="K123" i="3"/>
  <c r="B124" i="3"/>
  <c r="C124" i="3"/>
  <c r="D124" i="3"/>
  <c r="E124" i="3"/>
  <c r="F124" i="3"/>
  <c r="G124" i="3"/>
  <c r="H124" i="3"/>
  <c r="I124" i="3"/>
  <c r="J124" i="3"/>
  <c r="K124" i="3"/>
  <c r="B125" i="3"/>
  <c r="C125" i="3"/>
  <c r="D125" i="3"/>
  <c r="E125" i="3"/>
  <c r="F125" i="3"/>
  <c r="G125" i="3"/>
  <c r="H125" i="3"/>
  <c r="I125" i="3"/>
  <c r="J125" i="3"/>
  <c r="K125" i="3"/>
  <c r="B126" i="3"/>
  <c r="C126" i="3"/>
  <c r="D126" i="3"/>
  <c r="E126" i="3"/>
  <c r="F126" i="3"/>
  <c r="G126" i="3"/>
  <c r="H126" i="3"/>
  <c r="I126" i="3"/>
  <c r="J126" i="3"/>
  <c r="K126" i="3"/>
  <c r="B127" i="3"/>
  <c r="C127" i="3"/>
  <c r="D127" i="3"/>
  <c r="E127" i="3"/>
  <c r="F127" i="3"/>
  <c r="G127" i="3"/>
  <c r="H127" i="3"/>
  <c r="I127" i="3"/>
  <c r="J127" i="3"/>
  <c r="K127" i="3"/>
  <c r="B128" i="3"/>
  <c r="C128" i="3"/>
  <c r="D128" i="3"/>
  <c r="E128" i="3"/>
  <c r="F128" i="3"/>
  <c r="G128" i="3"/>
  <c r="H128" i="3"/>
  <c r="I128" i="3"/>
  <c r="J128" i="3"/>
  <c r="K128" i="3"/>
  <c r="B129" i="3"/>
  <c r="C129" i="3"/>
  <c r="D129" i="3"/>
  <c r="E129" i="3"/>
  <c r="F129" i="3"/>
  <c r="G129" i="3"/>
  <c r="H129" i="3"/>
  <c r="I129" i="3"/>
  <c r="J129" i="3"/>
  <c r="K129" i="3"/>
  <c r="B130" i="3"/>
  <c r="C130" i="3"/>
  <c r="D130" i="3"/>
  <c r="E130" i="3"/>
  <c r="F130" i="3"/>
  <c r="G130" i="3"/>
  <c r="H130" i="3"/>
  <c r="I130" i="3"/>
  <c r="J130" i="3"/>
  <c r="K130" i="3"/>
  <c r="B131" i="3"/>
  <c r="C131" i="3"/>
  <c r="D131" i="3"/>
  <c r="E131" i="3"/>
  <c r="F131" i="3"/>
  <c r="G131" i="3"/>
  <c r="H131" i="3"/>
  <c r="I131" i="3"/>
  <c r="J131" i="3"/>
  <c r="K131" i="3"/>
  <c r="B132" i="3"/>
  <c r="C132" i="3"/>
  <c r="D132" i="3"/>
  <c r="E132" i="3"/>
  <c r="F132" i="3"/>
  <c r="G132" i="3"/>
  <c r="H132" i="3"/>
  <c r="I132" i="3"/>
  <c r="J132" i="3"/>
  <c r="K132" i="3"/>
  <c r="B133" i="3"/>
  <c r="C133" i="3"/>
  <c r="D133" i="3"/>
  <c r="E133" i="3"/>
  <c r="F133" i="3"/>
  <c r="G133" i="3"/>
  <c r="H133" i="3"/>
  <c r="I133" i="3"/>
  <c r="J133" i="3"/>
  <c r="K133" i="3"/>
  <c r="B134" i="3"/>
  <c r="C134" i="3"/>
  <c r="D134" i="3"/>
  <c r="E134" i="3"/>
  <c r="F134" i="3"/>
  <c r="G134" i="3"/>
  <c r="H134" i="3"/>
  <c r="I134" i="3"/>
  <c r="J134" i="3"/>
  <c r="K134" i="3"/>
  <c r="B135" i="3"/>
  <c r="C135" i="3"/>
  <c r="D135" i="3"/>
  <c r="E135" i="3"/>
  <c r="F135" i="3"/>
  <c r="G135" i="3"/>
  <c r="H135" i="3"/>
  <c r="I135" i="3"/>
  <c r="J135" i="3"/>
  <c r="K135" i="3"/>
  <c r="B136" i="3"/>
  <c r="C136" i="3"/>
  <c r="D136" i="3"/>
  <c r="E136" i="3"/>
  <c r="F136" i="3"/>
  <c r="G136" i="3"/>
  <c r="H136" i="3"/>
  <c r="I136" i="3"/>
  <c r="J136" i="3"/>
  <c r="K136" i="3"/>
  <c r="B137" i="3"/>
  <c r="C137" i="3"/>
  <c r="D137" i="3"/>
  <c r="E137" i="3"/>
  <c r="F137" i="3"/>
  <c r="G137" i="3"/>
  <c r="H137" i="3"/>
  <c r="I137" i="3"/>
  <c r="J137" i="3"/>
  <c r="K137" i="3"/>
  <c r="B138" i="3"/>
  <c r="C138" i="3"/>
  <c r="D138" i="3"/>
  <c r="E138" i="3"/>
  <c r="F138" i="3"/>
  <c r="G138" i="3"/>
  <c r="H138" i="3"/>
  <c r="I138" i="3"/>
  <c r="J138" i="3"/>
  <c r="K138" i="3"/>
  <c r="B139" i="3"/>
  <c r="C139" i="3"/>
  <c r="D139" i="3"/>
  <c r="E139" i="3"/>
  <c r="F139" i="3"/>
  <c r="G139" i="3"/>
  <c r="H139" i="3"/>
  <c r="I139" i="3"/>
  <c r="J139" i="3"/>
  <c r="K139" i="3"/>
  <c r="B140" i="3"/>
  <c r="C140" i="3"/>
  <c r="D140" i="3"/>
  <c r="E140" i="3"/>
  <c r="F140" i="3"/>
  <c r="G140" i="3"/>
  <c r="H140" i="3"/>
  <c r="I140" i="3"/>
  <c r="J140" i="3"/>
  <c r="K140" i="3"/>
  <c r="B141" i="3"/>
  <c r="C141" i="3"/>
  <c r="D141" i="3"/>
  <c r="E141" i="3"/>
  <c r="F141" i="3"/>
  <c r="G141" i="3"/>
  <c r="H141" i="3"/>
  <c r="I141" i="3"/>
  <c r="J141" i="3"/>
  <c r="K141" i="3"/>
  <c r="B142" i="3"/>
  <c r="C142" i="3"/>
  <c r="D142" i="3"/>
  <c r="E142" i="3"/>
  <c r="F142" i="3"/>
  <c r="G142" i="3"/>
  <c r="H142" i="3"/>
  <c r="I142" i="3"/>
  <c r="J142" i="3"/>
  <c r="K142" i="3"/>
  <c r="B143" i="3"/>
  <c r="C143" i="3"/>
  <c r="D143" i="3"/>
  <c r="E143" i="3"/>
  <c r="F143" i="3"/>
  <c r="G143" i="3"/>
  <c r="H143" i="3"/>
  <c r="I143" i="3"/>
  <c r="J143" i="3"/>
  <c r="K143" i="3"/>
  <c r="B144" i="3"/>
  <c r="C144" i="3"/>
  <c r="D144" i="3"/>
  <c r="E144" i="3"/>
  <c r="F144" i="3"/>
  <c r="G144" i="3"/>
  <c r="H144" i="3"/>
  <c r="I144" i="3"/>
  <c r="J144" i="3"/>
  <c r="K144" i="3"/>
  <c r="B145" i="3"/>
  <c r="C145" i="3"/>
  <c r="D145" i="3"/>
  <c r="E145" i="3"/>
  <c r="F145" i="3"/>
  <c r="G145" i="3"/>
  <c r="H145" i="3"/>
  <c r="I145" i="3"/>
  <c r="J145" i="3"/>
  <c r="K145" i="3"/>
  <c r="B146" i="3"/>
  <c r="C146" i="3"/>
  <c r="D146" i="3"/>
  <c r="E146" i="3"/>
  <c r="F146" i="3"/>
  <c r="G146" i="3"/>
  <c r="H146" i="3"/>
  <c r="I146" i="3"/>
  <c r="J146" i="3"/>
  <c r="K146" i="3"/>
  <c r="B147" i="3"/>
  <c r="C147" i="3"/>
  <c r="D147" i="3"/>
  <c r="E147" i="3"/>
  <c r="F147" i="3"/>
  <c r="G147" i="3"/>
  <c r="H147" i="3"/>
  <c r="I147" i="3"/>
  <c r="J147" i="3"/>
  <c r="K147" i="3"/>
  <c r="B148" i="3"/>
  <c r="C148" i="3"/>
  <c r="D148" i="3"/>
  <c r="E148" i="3"/>
  <c r="F148" i="3"/>
  <c r="G148" i="3"/>
  <c r="H148" i="3"/>
  <c r="I148" i="3"/>
  <c r="J148" i="3"/>
  <c r="K148" i="3"/>
  <c r="B149" i="3"/>
  <c r="C149" i="3"/>
  <c r="D149" i="3"/>
  <c r="E149" i="3"/>
  <c r="F149" i="3"/>
  <c r="G149" i="3"/>
  <c r="H149" i="3"/>
  <c r="I149" i="3"/>
  <c r="J149" i="3"/>
  <c r="K149" i="3"/>
  <c r="B150" i="3"/>
  <c r="C150" i="3"/>
  <c r="D150" i="3"/>
  <c r="E150" i="3"/>
  <c r="F150" i="3"/>
  <c r="G150" i="3"/>
  <c r="H150" i="3"/>
  <c r="I150" i="3"/>
  <c r="J150" i="3"/>
  <c r="K150" i="3"/>
  <c r="B151" i="3"/>
  <c r="C151" i="3"/>
  <c r="D151" i="3"/>
  <c r="E151" i="3"/>
  <c r="F151" i="3"/>
  <c r="G151" i="3"/>
  <c r="H151" i="3"/>
  <c r="I151" i="3"/>
  <c r="J151" i="3"/>
  <c r="K151" i="3"/>
  <c r="B152" i="3"/>
  <c r="C152" i="3"/>
  <c r="D152" i="3"/>
  <c r="E152" i="3"/>
  <c r="F152" i="3"/>
  <c r="G152" i="3"/>
  <c r="H152" i="3"/>
  <c r="I152" i="3"/>
  <c r="J152" i="3"/>
  <c r="K152" i="3"/>
  <c r="B153" i="3"/>
  <c r="C153" i="3"/>
  <c r="D153" i="3"/>
  <c r="E153" i="3"/>
  <c r="F153" i="3"/>
  <c r="G153" i="3"/>
  <c r="H153" i="3"/>
  <c r="I153" i="3"/>
  <c r="J153" i="3"/>
  <c r="K153" i="3"/>
  <c r="B154" i="3"/>
  <c r="C154" i="3"/>
  <c r="D154" i="3"/>
  <c r="E154" i="3"/>
  <c r="F154" i="3"/>
  <c r="G154" i="3"/>
  <c r="H154" i="3"/>
  <c r="I154" i="3"/>
  <c r="J154" i="3"/>
  <c r="K154" i="3"/>
  <c r="B155" i="3"/>
  <c r="C155" i="3"/>
  <c r="D155" i="3"/>
  <c r="E155" i="3"/>
  <c r="F155" i="3"/>
  <c r="G155" i="3"/>
  <c r="H155" i="3"/>
  <c r="I155" i="3"/>
  <c r="J155" i="3"/>
  <c r="K155" i="3"/>
  <c r="B156" i="3"/>
  <c r="C156" i="3"/>
  <c r="D156" i="3"/>
  <c r="E156" i="3"/>
  <c r="F156" i="3"/>
  <c r="G156" i="3"/>
  <c r="H156" i="3"/>
  <c r="I156" i="3"/>
  <c r="J156" i="3"/>
  <c r="K156" i="3"/>
  <c r="B157" i="3"/>
  <c r="C157" i="3"/>
  <c r="D157" i="3"/>
  <c r="E157" i="3"/>
  <c r="F157" i="3"/>
  <c r="G157" i="3"/>
  <c r="H157" i="3"/>
  <c r="I157" i="3"/>
  <c r="J157" i="3"/>
  <c r="K157" i="3"/>
  <c r="B158" i="3"/>
  <c r="C158" i="3"/>
  <c r="D158" i="3"/>
  <c r="E158" i="3"/>
  <c r="F158" i="3"/>
  <c r="G158" i="3"/>
  <c r="H158" i="3"/>
  <c r="I158" i="3"/>
  <c r="J158" i="3"/>
  <c r="K158" i="3"/>
  <c r="B159" i="3"/>
  <c r="C159" i="3"/>
  <c r="D159" i="3"/>
  <c r="E159" i="3"/>
  <c r="F159" i="3"/>
  <c r="G159" i="3"/>
  <c r="H159" i="3"/>
  <c r="I159" i="3"/>
  <c r="J159" i="3"/>
  <c r="K159" i="3"/>
  <c r="B160" i="3"/>
  <c r="C160" i="3"/>
  <c r="D160" i="3"/>
  <c r="E160" i="3"/>
  <c r="F160" i="3"/>
  <c r="G160" i="3"/>
  <c r="H160" i="3"/>
  <c r="I160" i="3"/>
  <c r="J160" i="3"/>
  <c r="K160" i="3"/>
  <c r="B161" i="3"/>
  <c r="C161" i="3"/>
  <c r="D161" i="3"/>
  <c r="E161" i="3"/>
  <c r="F161" i="3"/>
  <c r="G161" i="3"/>
  <c r="H161" i="3"/>
  <c r="I161" i="3"/>
  <c r="J161" i="3"/>
  <c r="K161" i="3"/>
  <c r="B162" i="3"/>
  <c r="C162" i="3"/>
  <c r="D162" i="3"/>
  <c r="E162" i="3"/>
  <c r="F162" i="3"/>
  <c r="G162" i="3"/>
  <c r="H162" i="3"/>
  <c r="I162" i="3"/>
  <c r="J162" i="3"/>
  <c r="K162" i="3"/>
  <c r="B163" i="3"/>
  <c r="C163" i="3"/>
  <c r="D163" i="3"/>
  <c r="E163" i="3"/>
  <c r="F163" i="3"/>
  <c r="G163" i="3"/>
  <c r="H163" i="3"/>
  <c r="I163" i="3"/>
  <c r="J163" i="3"/>
  <c r="K163" i="3"/>
  <c r="B164" i="3"/>
  <c r="C164" i="3"/>
  <c r="D164" i="3"/>
  <c r="E164" i="3"/>
  <c r="F164" i="3"/>
  <c r="G164" i="3"/>
  <c r="H164" i="3"/>
  <c r="I164" i="3"/>
  <c r="J164" i="3"/>
  <c r="K164" i="3"/>
  <c r="B165" i="3"/>
  <c r="C165" i="3"/>
  <c r="D165" i="3"/>
  <c r="E165" i="3"/>
  <c r="F165" i="3"/>
  <c r="G165" i="3"/>
  <c r="H165" i="3"/>
  <c r="I165" i="3"/>
  <c r="J165" i="3"/>
  <c r="K165" i="3"/>
  <c r="B166" i="3"/>
  <c r="C166" i="3"/>
  <c r="D166" i="3"/>
  <c r="E166" i="3"/>
  <c r="F166" i="3"/>
  <c r="G166" i="3"/>
  <c r="H166" i="3"/>
  <c r="I166" i="3"/>
  <c r="J166" i="3"/>
  <c r="K166" i="3"/>
  <c r="B167" i="3"/>
  <c r="C167" i="3"/>
  <c r="D167" i="3"/>
  <c r="E167" i="3"/>
  <c r="F167" i="3"/>
  <c r="G167" i="3"/>
  <c r="H167" i="3"/>
  <c r="I167" i="3"/>
  <c r="J167" i="3"/>
  <c r="K167" i="3"/>
  <c r="B168" i="3"/>
  <c r="C168" i="3"/>
  <c r="D168" i="3"/>
  <c r="E168" i="3"/>
  <c r="F168" i="3"/>
  <c r="G168" i="3"/>
  <c r="H168" i="3"/>
  <c r="I168" i="3"/>
  <c r="J168" i="3"/>
  <c r="K168" i="3"/>
  <c r="B169" i="3"/>
  <c r="C169" i="3"/>
  <c r="D169" i="3"/>
  <c r="E169" i="3"/>
  <c r="F169" i="3"/>
  <c r="G169" i="3"/>
  <c r="H169" i="3"/>
  <c r="I169" i="3"/>
  <c r="J169" i="3"/>
  <c r="K169" i="3"/>
  <c r="B170" i="3"/>
  <c r="C170" i="3"/>
  <c r="D170" i="3"/>
  <c r="E170" i="3"/>
  <c r="F170" i="3"/>
  <c r="G170" i="3"/>
  <c r="H170" i="3"/>
  <c r="I170" i="3"/>
  <c r="J170" i="3"/>
  <c r="K170" i="3"/>
  <c r="B171" i="3"/>
  <c r="C171" i="3"/>
  <c r="D171" i="3"/>
  <c r="E171" i="3"/>
  <c r="F171" i="3"/>
  <c r="G171" i="3"/>
  <c r="H171" i="3"/>
  <c r="I171" i="3"/>
  <c r="J171" i="3"/>
  <c r="K171" i="3"/>
  <c r="B172" i="3"/>
  <c r="C172" i="3"/>
  <c r="D172" i="3"/>
  <c r="E172" i="3"/>
  <c r="F172" i="3"/>
  <c r="G172" i="3"/>
  <c r="H172" i="3"/>
  <c r="I172" i="3"/>
  <c r="J172" i="3"/>
  <c r="K172" i="3"/>
  <c r="B173" i="3"/>
  <c r="C173" i="3"/>
  <c r="D173" i="3"/>
  <c r="E173" i="3"/>
  <c r="F173" i="3"/>
  <c r="G173" i="3"/>
  <c r="H173" i="3"/>
  <c r="I173" i="3"/>
  <c r="J173" i="3"/>
  <c r="K173" i="3"/>
  <c r="B174" i="3"/>
  <c r="C174" i="3"/>
  <c r="D174" i="3"/>
  <c r="E174" i="3"/>
  <c r="F174" i="3"/>
  <c r="G174" i="3"/>
  <c r="H174" i="3"/>
  <c r="I174" i="3"/>
  <c r="J174" i="3"/>
  <c r="K174" i="3"/>
  <c r="B175" i="3"/>
  <c r="C175" i="3"/>
  <c r="D175" i="3"/>
  <c r="E175" i="3"/>
  <c r="F175" i="3"/>
  <c r="G175" i="3"/>
  <c r="H175" i="3"/>
  <c r="I175" i="3"/>
  <c r="J175" i="3"/>
  <c r="K175" i="3"/>
  <c r="B176" i="3"/>
  <c r="C176" i="3"/>
  <c r="D176" i="3"/>
  <c r="E176" i="3"/>
  <c r="F176" i="3"/>
  <c r="G176" i="3"/>
  <c r="H176" i="3"/>
  <c r="I176" i="3"/>
  <c r="J176" i="3"/>
  <c r="K176" i="3"/>
  <c r="B177" i="3"/>
  <c r="C177" i="3"/>
  <c r="D177" i="3"/>
  <c r="E177" i="3"/>
  <c r="F177" i="3"/>
  <c r="G177" i="3"/>
  <c r="H177" i="3"/>
  <c r="I177" i="3"/>
  <c r="J177" i="3"/>
  <c r="K177" i="3"/>
  <c r="B178" i="3"/>
  <c r="C178" i="3"/>
  <c r="D178" i="3"/>
  <c r="E178" i="3"/>
  <c r="F178" i="3"/>
  <c r="G178" i="3"/>
  <c r="H178" i="3"/>
  <c r="I178" i="3"/>
  <c r="J178" i="3"/>
  <c r="K178" i="3"/>
  <c r="B179" i="3"/>
  <c r="C179" i="3"/>
  <c r="D179" i="3"/>
  <c r="E179" i="3"/>
  <c r="F179" i="3"/>
  <c r="G179" i="3"/>
  <c r="H179" i="3"/>
  <c r="I179" i="3"/>
  <c r="J179" i="3"/>
  <c r="K179" i="3"/>
  <c r="B180" i="3"/>
  <c r="C180" i="3"/>
  <c r="D180" i="3"/>
  <c r="E180" i="3"/>
  <c r="F180" i="3"/>
  <c r="G180" i="3"/>
  <c r="H180" i="3"/>
  <c r="I180" i="3"/>
  <c r="J180" i="3"/>
  <c r="K180" i="3"/>
  <c r="B181" i="3"/>
  <c r="C181" i="3"/>
  <c r="D181" i="3"/>
  <c r="E181" i="3"/>
  <c r="F181" i="3"/>
  <c r="G181" i="3"/>
  <c r="H181" i="3"/>
  <c r="I181" i="3"/>
  <c r="J181" i="3"/>
  <c r="K181" i="3"/>
  <c r="B182" i="3"/>
  <c r="C182" i="3"/>
  <c r="D182" i="3"/>
  <c r="E182" i="3"/>
  <c r="F182" i="3"/>
  <c r="G182" i="3"/>
  <c r="H182" i="3"/>
  <c r="I182" i="3"/>
  <c r="J182" i="3"/>
  <c r="K182" i="3"/>
  <c r="B183" i="3"/>
  <c r="C183" i="3"/>
  <c r="D183" i="3"/>
  <c r="E183" i="3"/>
  <c r="F183" i="3"/>
  <c r="G183" i="3"/>
  <c r="H183" i="3"/>
  <c r="I183" i="3"/>
  <c r="J183" i="3"/>
  <c r="K183" i="3"/>
  <c r="B184" i="3"/>
  <c r="C184" i="3"/>
  <c r="D184" i="3"/>
  <c r="E184" i="3"/>
  <c r="F184" i="3"/>
  <c r="G184" i="3"/>
  <c r="H184" i="3"/>
  <c r="I184" i="3"/>
  <c r="J184" i="3"/>
  <c r="K184" i="3"/>
  <c r="B185" i="3"/>
  <c r="C185" i="3"/>
  <c r="D185" i="3"/>
  <c r="E185" i="3"/>
  <c r="F185" i="3"/>
  <c r="G185" i="3"/>
  <c r="H185" i="3"/>
  <c r="I185" i="3"/>
  <c r="J185" i="3"/>
  <c r="K185" i="3"/>
  <c r="B186" i="3"/>
  <c r="C186" i="3"/>
  <c r="D186" i="3"/>
  <c r="E186" i="3"/>
  <c r="F186" i="3"/>
  <c r="G186" i="3"/>
  <c r="H186" i="3"/>
  <c r="I186" i="3"/>
  <c r="J186" i="3"/>
  <c r="K186" i="3"/>
  <c r="B187" i="3"/>
  <c r="C187" i="3"/>
  <c r="D187" i="3"/>
  <c r="E187" i="3"/>
  <c r="F187" i="3"/>
  <c r="G187" i="3"/>
  <c r="H187" i="3"/>
  <c r="I187" i="3"/>
  <c r="J187" i="3"/>
  <c r="K187" i="3"/>
  <c r="B188" i="3"/>
  <c r="C188" i="3"/>
  <c r="D188" i="3"/>
  <c r="E188" i="3"/>
  <c r="F188" i="3"/>
  <c r="G188" i="3"/>
  <c r="H188" i="3"/>
  <c r="I188" i="3"/>
  <c r="J188" i="3"/>
  <c r="K188" i="3"/>
  <c r="B189" i="3"/>
  <c r="C189" i="3"/>
  <c r="D189" i="3"/>
  <c r="E189" i="3"/>
  <c r="F189" i="3"/>
  <c r="G189" i="3"/>
  <c r="H189" i="3"/>
  <c r="I189" i="3"/>
  <c r="J189" i="3"/>
  <c r="K189" i="3"/>
  <c r="B190" i="3"/>
  <c r="C190" i="3"/>
  <c r="D190" i="3"/>
  <c r="E190" i="3"/>
  <c r="F190" i="3"/>
  <c r="G190" i="3"/>
  <c r="H190" i="3"/>
  <c r="I190" i="3"/>
  <c r="J190" i="3"/>
  <c r="K190" i="3"/>
  <c r="B191" i="3"/>
  <c r="C191" i="3"/>
  <c r="D191" i="3"/>
  <c r="E191" i="3"/>
  <c r="F191" i="3"/>
  <c r="G191" i="3"/>
  <c r="H191" i="3"/>
  <c r="I191" i="3"/>
  <c r="J191" i="3"/>
  <c r="K191" i="3"/>
  <c r="B192" i="3"/>
  <c r="C192" i="3"/>
  <c r="D192" i="3"/>
  <c r="E192" i="3"/>
  <c r="F192" i="3"/>
  <c r="G192" i="3"/>
  <c r="H192" i="3"/>
  <c r="I192" i="3"/>
  <c r="J192" i="3"/>
  <c r="K192" i="3"/>
  <c r="B193" i="3"/>
  <c r="C193" i="3"/>
  <c r="D193" i="3"/>
  <c r="E193" i="3"/>
  <c r="F193" i="3"/>
  <c r="G193" i="3"/>
  <c r="H193" i="3"/>
  <c r="I193" i="3"/>
  <c r="J193" i="3"/>
  <c r="K193" i="3"/>
  <c r="B194" i="3"/>
  <c r="C194" i="3"/>
  <c r="D194" i="3"/>
  <c r="E194" i="3"/>
  <c r="F194" i="3"/>
  <c r="G194" i="3"/>
  <c r="H194" i="3"/>
  <c r="I194" i="3"/>
  <c r="J194" i="3"/>
  <c r="K194" i="3"/>
  <c r="B195" i="3"/>
  <c r="C195" i="3"/>
  <c r="D195" i="3"/>
  <c r="E195" i="3"/>
  <c r="F195" i="3"/>
  <c r="G195" i="3"/>
  <c r="H195" i="3"/>
  <c r="I195" i="3"/>
  <c r="J195" i="3"/>
  <c r="K195" i="3"/>
  <c r="B196" i="3"/>
  <c r="C196" i="3"/>
  <c r="D196" i="3"/>
  <c r="E196" i="3"/>
  <c r="F196" i="3"/>
  <c r="G196" i="3"/>
  <c r="H196" i="3"/>
  <c r="I196" i="3"/>
  <c r="J196" i="3"/>
  <c r="K196" i="3"/>
  <c r="B197" i="3"/>
  <c r="C197" i="3"/>
  <c r="D197" i="3"/>
  <c r="E197" i="3"/>
  <c r="F197" i="3"/>
  <c r="G197" i="3"/>
  <c r="H197" i="3"/>
  <c r="I197" i="3"/>
  <c r="J197" i="3"/>
  <c r="K197" i="3"/>
  <c r="B198" i="3"/>
  <c r="C198" i="3"/>
  <c r="D198" i="3"/>
  <c r="E198" i="3"/>
  <c r="F198" i="3"/>
  <c r="G198" i="3"/>
  <c r="H198" i="3"/>
  <c r="I198" i="3"/>
  <c r="J198" i="3"/>
  <c r="K198" i="3"/>
  <c r="B199" i="3"/>
  <c r="C199" i="3"/>
  <c r="D199" i="3"/>
  <c r="E199" i="3"/>
  <c r="F199" i="3"/>
  <c r="G199" i="3"/>
  <c r="H199" i="3"/>
  <c r="I199" i="3"/>
  <c r="J199" i="3"/>
  <c r="K199" i="3"/>
  <c r="B200" i="3"/>
  <c r="C200" i="3"/>
  <c r="D200" i="3"/>
  <c r="E200" i="3"/>
  <c r="F200" i="3"/>
  <c r="G200" i="3"/>
  <c r="H200" i="3"/>
  <c r="I200" i="3"/>
  <c r="J200" i="3"/>
  <c r="K200" i="3"/>
  <c r="B201" i="3"/>
  <c r="C201" i="3"/>
  <c r="D201" i="3"/>
  <c r="E201" i="3"/>
  <c r="F201" i="3"/>
  <c r="G201" i="3"/>
  <c r="H201" i="3"/>
  <c r="I201" i="3"/>
  <c r="J201" i="3"/>
  <c r="K201" i="3"/>
  <c r="B202" i="3"/>
  <c r="C202" i="3"/>
  <c r="D202" i="3"/>
  <c r="E202" i="3"/>
  <c r="F202" i="3"/>
  <c r="G202" i="3"/>
  <c r="H202" i="3"/>
  <c r="I202" i="3"/>
  <c r="J202" i="3"/>
  <c r="K202" i="3"/>
  <c r="B203" i="3"/>
  <c r="C203" i="3"/>
  <c r="D203" i="3"/>
  <c r="E203" i="3"/>
  <c r="F203" i="3"/>
  <c r="G203" i="3"/>
  <c r="H203" i="3"/>
  <c r="I203" i="3"/>
  <c r="J203" i="3"/>
  <c r="K203" i="3"/>
  <c r="B204" i="3"/>
  <c r="C204" i="3"/>
  <c r="D204" i="3"/>
  <c r="E204" i="3"/>
  <c r="F204" i="3"/>
  <c r="G204" i="3"/>
  <c r="H204" i="3"/>
  <c r="I204" i="3"/>
  <c r="J204" i="3"/>
  <c r="K204" i="3"/>
  <c r="B205" i="3"/>
  <c r="C205" i="3"/>
  <c r="D205" i="3"/>
  <c r="E205" i="3"/>
  <c r="F205" i="3"/>
  <c r="G205" i="3"/>
  <c r="H205" i="3"/>
  <c r="I205" i="3"/>
  <c r="J205" i="3"/>
  <c r="K205" i="3"/>
  <c r="B206" i="3"/>
  <c r="C206" i="3"/>
  <c r="D206" i="3"/>
  <c r="E206" i="3"/>
  <c r="F206" i="3"/>
  <c r="G206" i="3"/>
  <c r="H206" i="3"/>
  <c r="I206" i="3"/>
  <c r="J206" i="3"/>
  <c r="K206" i="3"/>
  <c r="B207" i="3"/>
  <c r="C207" i="3"/>
  <c r="D207" i="3"/>
  <c r="E207" i="3"/>
  <c r="F207" i="3"/>
  <c r="G207" i="3"/>
  <c r="H207" i="3"/>
  <c r="I207" i="3"/>
  <c r="J207" i="3"/>
  <c r="K207" i="3"/>
  <c r="B208" i="3"/>
  <c r="C208" i="3"/>
  <c r="D208" i="3"/>
  <c r="E208" i="3"/>
  <c r="F208" i="3"/>
  <c r="G208" i="3"/>
  <c r="H208" i="3"/>
  <c r="I208" i="3"/>
  <c r="J208" i="3"/>
  <c r="K208" i="3"/>
  <c r="B209" i="3"/>
  <c r="C209" i="3"/>
  <c r="D209" i="3"/>
  <c r="E209" i="3"/>
  <c r="F209" i="3"/>
  <c r="G209" i="3"/>
  <c r="H209" i="3"/>
  <c r="I209" i="3"/>
  <c r="J209" i="3"/>
  <c r="K209" i="3"/>
  <c r="B210" i="3"/>
  <c r="C210" i="3"/>
  <c r="D210" i="3"/>
  <c r="E210" i="3"/>
  <c r="F210" i="3"/>
  <c r="G210" i="3"/>
  <c r="H210" i="3"/>
  <c r="I210" i="3"/>
  <c r="J210" i="3"/>
  <c r="K210" i="3"/>
  <c r="B211" i="3"/>
  <c r="C211" i="3"/>
  <c r="D211" i="3"/>
  <c r="E211" i="3"/>
  <c r="F211" i="3"/>
  <c r="G211" i="3"/>
  <c r="H211" i="3"/>
  <c r="I211" i="3"/>
  <c r="J211" i="3"/>
  <c r="K211" i="3"/>
  <c r="B212" i="3"/>
  <c r="C212" i="3"/>
  <c r="D212" i="3"/>
  <c r="E212" i="3"/>
  <c r="F212" i="3"/>
  <c r="G212" i="3"/>
  <c r="H212" i="3"/>
  <c r="I212" i="3"/>
  <c r="J212" i="3"/>
  <c r="K212" i="3"/>
  <c r="B213" i="3"/>
  <c r="C213" i="3"/>
  <c r="D213" i="3"/>
  <c r="E213" i="3"/>
  <c r="F213" i="3"/>
  <c r="G213" i="3"/>
  <c r="H213" i="3"/>
  <c r="I213" i="3"/>
  <c r="J213" i="3"/>
  <c r="K213" i="3"/>
  <c r="B214" i="3"/>
  <c r="C214" i="3"/>
  <c r="D214" i="3"/>
  <c r="E214" i="3"/>
  <c r="F214" i="3"/>
  <c r="G214" i="3"/>
  <c r="H214" i="3"/>
  <c r="I214" i="3"/>
  <c r="J214" i="3"/>
  <c r="K214" i="3"/>
  <c r="B215" i="3"/>
  <c r="C215" i="3"/>
  <c r="D215" i="3"/>
  <c r="E215" i="3"/>
  <c r="F215" i="3"/>
  <c r="G215" i="3"/>
  <c r="H215" i="3"/>
  <c r="I215" i="3"/>
  <c r="J215" i="3"/>
  <c r="K215" i="3"/>
  <c r="B216" i="3"/>
  <c r="C216" i="3"/>
  <c r="D216" i="3"/>
  <c r="E216" i="3"/>
  <c r="F216" i="3"/>
  <c r="G216" i="3"/>
  <c r="H216" i="3"/>
  <c r="I216" i="3"/>
  <c r="J216" i="3"/>
  <c r="K216" i="3"/>
  <c r="B217" i="3"/>
  <c r="C217" i="3"/>
  <c r="D217" i="3"/>
  <c r="E217" i="3"/>
  <c r="F217" i="3"/>
  <c r="G217" i="3"/>
  <c r="H217" i="3"/>
  <c r="I217" i="3"/>
  <c r="J217" i="3"/>
  <c r="K217" i="3"/>
  <c r="B218" i="3"/>
  <c r="C218" i="3"/>
  <c r="D218" i="3"/>
  <c r="E218" i="3"/>
  <c r="F218" i="3"/>
  <c r="G218" i="3"/>
  <c r="H218" i="3"/>
  <c r="I218" i="3"/>
  <c r="J218" i="3"/>
  <c r="K218" i="3"/>
  <c r="B219" i="3"/>
  <c r="C219" i="3"/>
  <c r="D219" i="3"/>
  <c r="E219" i="3"/>
  <c r="F219" i="3"/>
  <c r="G219" i="3"/>
  <c r="H219" i="3"/>
  <c r="I219" i="3"/>
  <c r="J219" i="3"/>
  <c r="K219" i="3"/>
  <c r="B220" i="3"/>
  <c r="C220" i="3"/>
  <c r="D220" i="3"/>
  <c r="E220" i="3"/>
  <c r="F220" i="3"/>
  <c r="G220" i="3"/>
  <c r="H220" i="3"/>
  <c r="I220" i="3"/>
  <c r="J220" i="3"/>
  <c r="K220" i="3"/>
  <c r="B221" i="3"/>
  <c r="C221" i="3"/>
  <c r="D221" i="3"/>
  <c r="E221" i="3"/>
  <c r="F221" i="3"/>
  <c r="G221" i="3"/>
  <c r="H221" i="3"/>
  <c r="I221" i="3"/>
  <c r="J221" i="3"/>
  <c r="K221" i="3"/>
  <c r="B222" i="3"/>
  <c r="C222" i="3"/>
  <c r="D222" i="3"/>
  <c r="E222" i="3"/>
  <c r="F222" i="3"/>
  <c r="G222" i="3"/>
  <c r="H222" i="3"/>
  <c r="I222" i="3"/>
  <c r="J222" i="3"/>
  <c r="K222" i="3"/>
  <c r="B223" i="3"/>
  <c r="C223" i="3"/>
  <c r="D223" i="3"/>
  <c r="E223" i="3"/>
  <c r="F223" i="3"/>
  <c r="G223" i="3"/>
  <c r="H223" i="3"/>
  <c r="I223" i="3"/>
  <c r="J223" i="3"/>
  <c r="K223" i="3"/>
  <c r="B224" i="3"/>
  <c r="C224" i="3"/>
  <c r="D224" i="3"/>
  <c r="E224" i="3"/>
  <c r="F224" i="3"/>
  <c r="G224" i="3"/>
  <c r="H224" i="3"/>
  <c r="I224" i="3"/>
  <c r="J224" i="3"/>
  <c r="K224" i="3"/>
  <c r="B225" i="3"/>
  <c r="C225" i="3"/>
  <c r="D225" i="3"/>
  <c r="E225" i="3"/>
  <c r="F225" i="3"/>
  <c r="G225" i="3"/>
  <c r="H225" i="3"/>
  <c r="I225" i="3"/>
  <c r="J225" i="3"/>
  <c r="K225" i="3"/>
  <c r="B226" i="3"/>
  <c r="C226" i="3"/>
  <c r="D226" i="3"/>
  <c r="E226" i="3"/>
  <c r="F226" i="3"/>
  <c r="G226" i="3"/>
  <c r="H226" i="3"/>
  <c r="I226" i="3"/>
  <c r="J226" i="3"/>
  <c r="K226" i="3"/>
  <c r="B227" i="3"/>
  <c r="C227" i="3"/>
  <c r="D227" i="3"/>
  <c r="E227" i="3"/>
  <c r="F227" i="3"/>
  <c r="G227" i="3"/>
  <c r="H227" i="3"/>
  <c r="I227" i="3"/>
  <c r="J227" i="3"/>
  <c r="K227" i="3"/>
  <c r="B228" i="3"/>
  <c r="C228" i="3"/>
  <c r="D228" i="3"/>
  <c r="E228" i="3"/>
  <c r="F228" i="3"/>
  <c r="G228" i="3"/>
  <c r="H228" i="3"/>
  <c r="I228" i="3"/>
  <c r="J228" i="3"/>
  <c r="K228" i="3"/>
  <c r="B229" i="3"/>
  <c r="C229" i="3"/>
  <c r="D229" i="3"/>
  <c r="E229" i="3"/>
  <c r="F229" i="3"/>
  <c r="G229" i="3"/>
  <c r="H229" i="3"/>
  <c r="I229" i="3"/>
  <c r="J229" i="3"/>
  <c r="K229" i="3"/>
  <c r="B230" i="3"/>
  <c r="C230" i="3"/>
  <c r="D230" i="3"/>
  <c r="E230" i="3"/>
  <c r="F230" i="3"/>
  <c r="G230" i="3"/>
  <c r="H230" i="3"/>
  <c r="I230" i="3"/>
  <c r="J230" i="3"/>
  <c r="K230" i="3"/>
  <c r="B231" i="3"/>
  <c r="C231" i="3"/>
  <c r="D231" i="3"/>
  <c r="E231" i="3"/>
  <c r="F231" i="3"/>
  <c r="G231" i="3"/>
  <c r="H231" i="3"/>
  <c r="I231" i="3"/>
  <c r="J231" i="3"/>
  <c r="K231" i="3"/>
  <c r="B232" i="3"/>
  <c r="C232" i="3"/>
  <c r="D232" i="3"/>
  <c r="E232" i="3"/>
  <c r="F232" i="3"/>
  <c r="G232" i="3"/>
  <c r="H232" i="3"/>
  <c r="I232" i="3"/>
  <c r="J232" i="3"/>
  <c r="K232" i="3"/>
  <c r="B233" i="3"/>
  <c r="C233" i="3"/>
  <c r="D233" i="3"/>
  <c r="E233" i="3"/>
  <c r="F233" i="3"/>
  <c r="G233" i="3"/>
  <c r="H233" i="3"/>
  <c r="I233" i="3"/>
  <c r="J233" i="3"/>
  <c r="K233" i="3"/>
  <c r="B234" i="3"/>
  <c r="C234" i="3"/>
  <c r="D234" i="3"/>
  <c r="E234" i="3"/>
  <c r="F234" i="3"/>
  <c r="G234" i="3"/>
  <c r="H234" i="3"/>
  <c r="I234" i="3"/>
  <c r="J234" i="3"/>
  <c r="K234" i="3"/>
  <c r="B235" i="3"/>
  <c r="C235" i="3"/>
  <c r="D235" i="3"/>
  <c r="E235" i="3"/>
  <c r="F235" i="3"/>
  <c r="G235" i="3"/>
  <c r="H235" i="3"/>
  <c r="I235" i="3"/>
  <c r="J235" i="3"/>
  <c r="K235" i="3"/>
  <c r="B236" i="3"/>
  <c r="C236" i="3"/>
  <c r="D236" i="3"/>
  <c r="E236" i="3"/>
  <c r="F236" i="3"/>
  <c r="G236" i="3"/>
  <c r="H236" i="3"/>
  <c r="I236" i="3"/>
  <c r="J236" i="3"/>
  <c r="K236" i="3"/>
  <c r="B237" i="3"/>
  <c r="C237" i="3"/>
  <c r="D237" i="3"/>
  <c r="E237" i="3"/>
  <c r="F237" i="3"/>
  <c r="G237" i="3"/>
  <c r="H237" i="3"/>
  <c r="I237" i="3"/>
  <c r="J237" i="3"/>
  <c r="K237" i="3"/>
  <c r="B238" i="3"/>
  <c r="C238" i="3"/>
  <c r="D238" i="3"/>
  <c r="E238" i="3"/>
  <c r="F238" i="3"/>
  <c r="G238" i="3"/>
  <c r="H238" i="3"/>
  <c r="I238" i="3"/>
  <c r="J238" i="3"/>
  <c r="K238" i="3"/>
  <c r="B239" i="3"/>
  <c r="C239" i="3"/>
  <c r="D239" i="3"/>
  <c r="E239" i="3"/>
  <c r="F239" i="3"/>
  <c r="G239" i="3"/>
  <c r="H239" i="3"/>
  <c r="I239" i="3"/>
  <c r="J239" i="3"/>
  <c r="K239" i="3"/>
  <c r="B240" i="3"/>
  <c r="C240" i="3"/>
  <c r="D240" i="3"/>
  <c r="E240" i="3"/>
  <c r="F240" i="3"/>
  <c r="G240" i="3"/>
  <c r="H240" i="3"/>
  <c r="I240" i="3"/>
  <c r="J240" i="3"/>
  <c r="K240" i="3"/>
  <c r="B241" i="3"/>
  <c r="C241" i="3"/>
  <c r="D241" i="3"/>
  <c r="E241" i="3"/>
  <c r="F241" i="3"/>
  <c r="G241" i="3"/>
  <c r="H241" i="3"/>
  <c r="I241" i="3"/>
  <c r="J241" i="3"/>
  <c r="K241" i="3"/>
  <c r="B242" i="3"/>
  <c r="C242" i="3"/>
  <c r="D242" i="3"/>
  <c r="E242" i="3"/>
  <c r="F242" i="3"/>
  <c r="G242" i="3"/>
  <c r="H242" i="3"/>
  <c r="I242" i="3"/>
  <c r="J242" i="3"/>
  <c r="K242" i="3"/>
  <c r="B243" i="3"/>
  <c r="C243" i="3"/>
  <c r="D243" i="3"/>
  <c r="E243" i="3"/>
  <c r="F243" i="3"/>
  <c r="G243" i="3"/>
  <c r="H243" i="3"/>
  <c r="I243" i="3"/>
  <c r="J243" i="3"/>
  <c r="K243" i="3"/>
  <c r="B244" i="3"/>
  <c r="C244" i="3"/>
  <c r="D244" i="3"/>
  <c r="E244" i="3"/>
  <c r="F244" i="3"/>
  <c r="G244" i="3"/>
  <c r="H244" i="3"/>
  <c r="I244" i="3"/>
  <c r="J244" i="3"/>
  <c r="K244" i="3"/>
  <c r="B245" i="3"/>
  <c r="C245" i="3"/>
  <c r="D245" i="3"/>
  <c r="E245" i="3"/>
  <c r="F245" i="3"/>
  <c r="G245" i="3"/>
  <c r="H245" i="3"/>
  <c r="I245" i="3"/>
  <c r="J245" i="3"/>
  <c r="K245" i="3"/>
  <c r="B246" i="3"/>
  <c r="C246" i="3"/>
  <c r="D246" i="3"/>
  <c r="E246" i="3"/>
  <c r="F246" i="3"/>
  <c r="G246" i="3"/>
  <c r="H246" i="3"/>
  <c r="I246" i="3"/>
  <c r="J246" i="3"/>
  <c r="K246" i="3"/>
  <c r="B247" i="3"/>
  <c r="C247" i="3"/>
  <c r="D247" i="3"/>
  <c r="E247" i="3"/>
  <c r="F247" i="3"/>
  <c r="G247" i="3"/>
  <c r="H247" i="3"/>
  <c r="I247" i="3"/>
  <c r="J247" i="3"/>
  <c r="K247" i="3"/>
  <c r="B248" i="3"/>
  <c r="C248" i="3"/>
  <c r="D248" i="3"/>
  <c r="E248" i="3"/>
  <c r="F248" i="3"/>
  <c r="G248" i="3"/>
  <c r="H248" i="3"/>
  <c r="I248" i="3"/>
  <c r="J248" i="3"/>
  <c r="K248" i="3"/>
  <c r="B249" i="3"/>
  <c r="C249" i="3"/>
  <c r="D249" i="3"/>
  <c r="E249" i="3"/>
  <c r="F249" i="3"/>
  <c r="G249" i="3"/>
  <c r="H249" i="3"/>
  <c r="I249" i="3"/>
  <c r="J249" i="3"/>
  <c r="K249" i="3"/>
  <c r="B250" i="3"/>
  <c r="C250" i="3"/>
  <c r="D250" i="3"/>
  <c r="E250" i="3"/>
  <c r="F250" i="3"/>
  <c r="G250" i="3"/>
  <c r="H250" i="3"/>
  <c r="I250" i="3"/>
  <c r="J250" i="3"/>
  <c r="K250" i="3"/>
  <c r="B251" i="3"/>
  <c r="C251" i="3"/>
  <c r="D251" i="3"/>
  <c r="E251" i="3"/>
  <c r="F251" i="3"/>
  <c r="G251" i="3"/>
  <c r="H251" i="3"/>
  <c r="I251" i="3"/>
  <c r="J251" i="3"/>
  <c r="K251" i="3"/>
  <c r="B252" i="3"/>
  <c r="C252" i="3"/>
  <c r="D252" i="3"/>
  <c r="E252" i="3"/>
  <c r="F252" i="3"/>
  <c r="G252" i="3"/>
  <c r="H252" i="3"/>
  <c r="I252" i="3"/>
  <c r="J252" i="3"/>
  <c r="K252" i="3"/>
  <c r="B253" i="3"/>
  <c r="C253" i="3"/>
  <c r="D253" i="3"/>
  <c r="E253" i="3"/>
  <c r="F253" i="3"/>
  <c r="G253" i="3"/>
  <c r="H253" i="3"/>
  <c r="I253" i="3"/>
  <c r="J253" i="3"/>
  <c r="K253" i="3"/>
  <c r="B254" i="3"/>
  <c r="C254" i="3"/>
  <c r="D254" i="3"/>
  <c r="E254" i="3"/>
  <c r="F254" i="3"/>
  <c r="G254" i="3"/>
  <c r="H254" i="3"/>
  <c r="I254" i="3"/>
  <c r="J254" i="3"/>
  <c r="K254" i="3"/>
  <c r="B255" i="3"/>
  <c r="C255" i="3"/>
  <c r="D255" i="3"/>
  <c r="E255" i="3"/>
  <c r="F255" i="3"/>
  <c r="G255" i="3"/>
  <c r="H255" i="3"/>
  <c r="I255" i="3"/>
  <c r="J255" i="3"/>
  <c r="K255" i="3"/>
  <c r="B256" i="3"/>
  <c r="C256" i="3"/>
  <c r="D256" i="3"/>
  <c r="E256" i="3"/>
  <c r="F256" i="3"/>
  <c r="G256" i="3"/>
  <c r="H256" i="3"/>
  <c r="I256" i="3"/>
  <c r="J256" i="3"/>
  <c r="K256" i="3"/>
  <c r="B257" i="3"/>
  <c r="C257" i="3"/>
  <c r="D257" i="3"/>
  <c r="E257" i="3"/>
  <c r="F257" i="3"/>
  <c r="G257" i="3"/>
  <c r="H257" i="3"/>
  <c r="I257" i="3"/>
  <c r="J257" i="3"/>
  <c r="K257" i="3"/>
  <c r="B258" i="3"/>
  <c r="C258" i="3"/>
  <c r="D258" i="3"/>
  <c r="E258" i="3"/>
  <c r="F258" i="3"/>
  <c r="G258" i="3"/>
  <c r="H258" i="3"/>
  <c r="I258" i="3"/>
  <c r="J258" i="3"/>
  <c r="K258" i="3"/>
  <c r="B259" i="3"/>
  <c r="C259" i="3"/>
  <c r="D259" i="3"/>
  <c r="E259" i="3"/>
  <c r="F259" i="3"/>
  <c r="G259" i="3"/>
  <c r="H259" i="3"/>
  <c r="I259" i="3"/>
  <c r="J259" i="3"/>
  <c r="K259" i="3"/>
  <c r="B260" i="3"/>
  <c r="C260" i="3"/>
  <c r="D260" i="3"/>
  <c r="E260" i="3"/>
  <c r="F260" i="3"/>
  <c r="G260" i="3"/>
  <c r="H260" i="3"/>
  <c r="I260" i="3"/>
  <c r="J260" i="3"/>
  <c r="K260" i="3"/>
  <c r="B261" i="3"/>
  <c r="C261" i="3"/>
  <c r="D261" i="3"/>
  <c r="E261" i="3"/>
  <c r="F261" i="3"/>
  <c r="G261" i="3"/>
  <c r="H261" i="3"/>
  <c r="I261" i="3"/>
  <c r="J261" i="3"/>
  <c r="K261" i="3"/>
  <c r="B262" i="3"/>
  <c r="C262" i="3"/>
  <c r="D262" i="3"/>
  <c r="E262" i="3"/>
  <c r="F262" i="3"/>
  <c r="G262" i="3"/>
  <c r="H262" i="3"/>
  <c r="I262" i="3"/>
  <c r="J262" i="3"/>
  <c r="K262" i="3"/>
  <c r="B263" i="3"/>
  <c r="C263" i="3"/>
  <c r="D263" i="3"/>
  <c r="E263" i="3"/>
  <c r="F263" i="3"/>
  <c r="G263" i="3"/>
  <c r="H263" i="3"/>
  <c r="I263" i="3"/>
  <c r="J263" i="3"/>
  <c r="K263" i="3"/>
  <c r="B264" i="3"/>
  <c r="C264" i="3"/>
  <c r="D264" i="3"/>
  <c r="E264" i="3"/>
  <c r="F264" i="3"/>
  <c r="G264" i="3"/>
  <c r="H264" i="3"/>
  <c r="I264" i="3"/>
  <c r="J264" i="3"/>
  <c r="K264" i="3"/>
  <c r="B265" i="3"/>
  <c r="C265" i="3"/>
  <c r="D265" i="3"/>
  <c r="E265" i="3"/>
  <c r="F265" i="3"/>
  <c r="G265" i="3"/>
  <c r="H265" i="3"/>
  <c r="I265" i="3"/>
  <c r="J265" i="3"/>
  <c r="K265" i="3"/>
  <c r="B266" i="3"/>
  <c r="C266" i="3"/>
  <c r="D266" i="3"/>
  <c r="E266" i="3"/>
  <c r="F266" i="3"/>
  <c r="G266" i="3"/>
  <c r="H266" i="3"/>
  <c r="I266" i="3"/>
  <c r="J266" i="3"/>
  <c r="K266" i="3"/>
  <c r="B267" i="3"/>
  <c r="C267" i="3"/>
  <c r="D267" i="3"/>
  <c r="E267" i="3"/>
  <c r="F267" i="3"/>
  <c r="G267" i="3"/>
  <c r="H267" i="3"/>
  <c r="I267" i="3"/>
  <c r="J267" i="3"/>
  <c r="K267" i="3"/>
  <c r="B268" i="3"/>
  <c r="C268" i="3"/>
  <c r="D268" i="3"/>
  <c r="E268" i="3"/>
  <c r="F268" i="3"/>
  <c r="G268" i="3"/>
  <c r="H268" i="3"/>
  <c r="I268" i="3"/>
  <c r="J268" i="3"/>
  <c r="K268" i="3"/>
  <c r="B269" i="3"/>
  <c r="C269" i="3"/>
  <c r="D269" i="3"/>
  <c r="E269" i="3"/>
  <c r="F269" i="3"/>
  <c r="G269" i="3"/>
  <c r="H269" i="3"/>
  <c r="I269" i="3"/>
  <c r="J269" i="3"/>
  <c r="K269" i="3"/>
  <c r="B270" i="3"/>
  <c r="C270" i="3"/>
  <c r="D270" i="3"/>
  <c r="E270" i="3"/>
  <c r="F270" i="3"/>
  <c r="G270" i="3"/>
  <c r="H270" i="3"/>
  <c r="I270" i="3"/>
  <c r="J270" i="3"/>
  <c r="K270" i="3"/>
  <c r="B271" i="3"/>
  <c r="C271" i="3"/>
  <c r="D271" i="3"/>
  <c r="E271" i="3"/>
  <c r="F271" i="3"/>
  <c r="G271" i="3"/>
  <c r="H271" i="3"/>
  <c r="I271" i="3"/>
  <c r="J271" i="3"/>
  <c r="K271" i="3"/>
  <c r="B272" i="3"/>
  <c r="C272" i="3"/>
  <c r="D272" i="3"/>
  <c r="E272" i="3"/>
  <c r="F272" i="3"/>
  <c r="G272" i="3"/>
  <c r="H272" i="3"/>
  <c r="I272" i="3"/>
  <c r="J272" i="3"/>
  <c r="K272" i="3"/>
  <c r="B273" i="3"/>
  <c r="C273" i="3"/>
  <c r="D273" i="3"/>
  <c r="E273" i="3"/>
  <c r="F273" i="3"/>
  <c r="G273" i="3"/>
  <c r="H273" i="3"/>
  <c r="I273" i="3"/>
  <c r="J273" i="3"/>
  <c r="K273" i="3"/>
  <c r="B274" i="3"/>
  <c r="C274" i="3"/>
  <c r="D274" i="3"/>
  <c r="E274" i="3"/>
  <c r="F274" i="3"/>
  <c r="G274" i="3"/>
  <c r="H274" i="3"/>
  <c r="I274" i="3"/>
  <c r="J274" i="3"/>
  <c r="K274" i="3"/>
  <c r="B275" i="3"/>
  <c r="C275" i="3"/>
  <c r="D275" i="3"/>
  <c r="E275" i="3"/>
  <c r="F275" i="3"/>
  <c r="G275" i="3"/>
  <c r="H275" i="3"/>
  <c r="I275" i="3"/>
  <c r="J275" i="3"/>
  <c r="K275" i="3"/>
  <c r="B276" i="3"/>
  <c r="C276" i="3"/>
  <c r="D276" i="3"/>
  <c r="E276" i="3"/>
  <c r="F276" i="3"/>
  <c r="G276" i="3"/>
  <c r="H276" i="3"/>
  <c r="I276" i="3"/>
  <c r="J276" i="3"/>
  <c r="K276" i="3"/>
  <c r="B277" i="3"/>
  <c r="C277" i="3"/>
  <c r="D277" i="3"/>
  <c r="E277" i="3"/>
  <c r="F277" i="3"/>
  <c r="G277" i="3"/>
  <c r="H277" i="3"/>
  <c r="I277" i="3"/>
  <c r="J277" i="3"/>
  <c r="K277" i="3"/>
  <c r="B278" i="3"/>
  <c r="C278" i="3"/>
  <c r="D278" i="3"/>
  <c r="E278" i="3"/>
  <c r="F278" i="3"/>
  <c r="G278" i="3"/>
  <c r="H278" i="3"/>
  <c r="I278" i="3"/>
  <c r="J278" i="3"/>
  <c r="K278" i="3"/>
  <c r="B279" i="3"/>
  <c r="C279" i="3"/>
  <c r="D279" i="3"/>
  <c r="E279" i="3"/>
  <c r="F279" i="3"/>
  <c r="G279" i="3"/>
  <c r="H279" i="3"/>
  <c r="I279" i="3"/>
  <c r="J279" i="3"/>
  <c r="K279" i="3"/>
  <c r="B280" i="3"/>
  <c r="C280" i="3"/>
  <c r="D280" i="3"/>
  <c r="E280" i="3"/>
  <c r="F280" i="3"/>
  <c r="G280" i="3"/>
  <c r="H280" i="3"/>
  <c r="I280" i="3"/>
  <c r="J280" i="3"/>
  <c r="K280" i="3"/>
  <c r="B281" i="3"/>
  <c r="C281" i="3"/>
  <c r="D281" i="3"/>
  <c r="E281" i="3"/>
  <c r="F281" i="3"/>
  <c r="G281" i="3"/>
  <c r="H281" i="3"/>
  <c r="I281" i="3"/>
  <c r="J281" i="3"/>
  <c r="K281" i="3"/>
  <c r="B282" i="3"/>
  <c r="C282" i="3"/>
  <c r="D282" i="3"/>
  <c r="E282" i="3"/>
  <c r="F282" i="3"/>
  <c r="G282" i="3"/>
  <c r="H282" i="3"/>
  <c r="I282" i="3"/>
  <c r="J282" i="3"/>
  <c r="K282" i="3"/>
  <c r="B283" i="3"/>
  <c r="C283" i="3"/>
  <c r="D283" i="3"/>
  <c r="E283" i="3"/>
  <c r="F283" i="3"/>
  <c r="G283" i="3"/>
  <c r="H283" i="3"/>
  <c r="I283" i="3"/>
  <c r="J283" i="3"/>
  <c r="K283" i="3"/>
  <c r="B284" i="3"/>
  <c r="C284" i="3"/>
  <c r="D284" i="3"/>
  <c r="E284" i="3"/>
  <c r="F284" i="3"/>
  <c r="G284" i="3"/>
  <c r="H284" i="3"/>
  <c r="I284" i="3"/>
  <c r="J284" i="3"/>
  <c r="K284" i="3"/>
  <c r="B285" i="3"/>
  <c r="C285" i="3"/>
  <c r="D285" i="3"/>
  <c r="E285" i="3"/>
  <c r="F285" i="3"/>
  <c r="G285" i="3"/>
  <c r="H285" i="3"/>
  <c r="I285" i="3"/>
  <c r="J285" i="3"/>
  <c r="K285" i="3"/>
  <c r="B286" i="3"/>
  <c r="C286" i="3"/>
  <c r="D286" i="3"/>
  <c r="E286" i="3"/>
  <c r="F286" i="3"/>
  <c r="G286" i="3"/>
  <c r="H286" i="3"/>
  <c r="I286" i="3"/>
  <c r="J286" i="3"/>
  <c r="K286" i="3"/>
  <c r="B287" i="3"/>
  <c r="C287" i="3"/>
  <c r="D287" i="3"/>
  <c r="E287" i="3"/>
  <c r="F287" i="3"/>
  <c r="G287" i="3"/>
  <c r="H287" i="3"/>
  <c r="I287" i="3"/>
  <c r="J287" i="3"/>
  <c r="K287" i="3"/>
  <c r="B288" i="3"/>
  <c r="C288" i="3"/>
  <c r="D288" i="3"/>
  <c r="E288" i="3"/>
  <c r="F288" i="3"/>
  <c r="G288" i="3"/>
  <c r="H288" i="3"/>
  <c r="I288" i="3"/>
  <c r="J288" i="3"/>
  <c r="K288" i="3"/>
  <c r="B289" i="3"/>
  <c r="C289" i="3"/>
  <c r="D289" i="3"/>
  <c r="E289" i="3"/>
  <c r="F289" i="3"/>
  <c r="G289" i="3"/>
  <c r="H289" i="3"/>
  <c r="I289" i="3"/>
  <c r="J289" i="3"/>
  <c r="K289" i="3"/>
  <c r="B290" i="3"/>
  <c r="C290" i="3"/>
  <c r="D290" i="3"/>
  <c r="E290" i="3"/>
  <c r="F290" i="3"/>
  <c r="G290" i="3"/>
  <c r="H290" i="3"/>
  <c r="I290" i="3"/>
  <c r="J290" i="3"/>
  <c r="K290" i="3"/>
  <c r="B291" i="3"/>
  <c r="C291" i="3"/>
  <c r="D291" i="3"/>
  <c r="E291" i="3"/>
  <c r="F291" i="3"/>
  <c r="G291" i="3"/>
  <c r="H291" i="3"/>
  <c r="I291" i="3"/>
  <c r="J291" i="3"/>
  <c r="K291" i="3"/>
  <c r="B292" i="3"/>
  <c r="C292" i="3"/>
  <c r="D292" i="3"/>
  <c r="E292" i="3"/>
  <c r="F292" i="3"/>
  <c r="G292" i="3"/>
  <c r="H292" i="3"/>
  <c r="I292" i="3"/>
  <c r="J292" i="3"/>
  <c r="K292" i="3"/>
  <c r="B293" i="3"/>
  <c r="C293" i="3"/>
  <c r="D293" i="3"/>
  <c r="E293" i="3"/>
  <c r="F293" i="3"/>
  <c r="G293" i="3"/>
  <c r="H293" i="3"/>
  <c r="I293" i="3"/>
  <c r="J293" i="3"/>
  <c r="K293" i="3"/>
  <c r="B294" i="3"/>
  <c r="C294" i="3"/>
  <c r="D294" i="3"/>
  <c r="E294" i="3"/>
  <c r="F294" i="3"/>
  <c r="G294" i="3"/>
  <c r="H294" i="3"/>
  <c r="I294" i="3"/>
  <c r="J294" i="3"/>
  <c r="K294" i="3"/>
  <c r="B295" i="3"/>
  <c r="C295" i="3"/>
  <c r="D295" i="3"/>
  <c r="E295" i="3"/>
  <c r="F295" i="3"/>
  <c r="G295" i="3"/>
  <c r="H295" i="3"/>
  <c r="I295" i="3"/>
  <c r="J295" i="3"/>
  <c r="K295" i="3"/>
  <c r="B296" i="3"/>
  <c r="C296" i="3"/>
  <c r="D296" i="3"/>
  <c r="E296" i="3"/>
  <c r="F296" i="3"/>
  <c r="G296" i="3"/>
  <c r="H296" i="3"/>
  <c r="I296" i="3"/>
  <c r="J296" i="3"/>
  <c r="K296" i="3"/>
  <c r="B297" i="3"/>
  <c r="C297" i="3"/>
  <c r="D297" i="3"/>
  <c r="E297" i="3"/>
  <c r="F297" i="3"/>
  <c r="G297" i="3"/>
  <c r="H297" i="3"/>
  <c r="I297" i="3"/>
  <c r="J297" i="3"/>
  <c r="K297" i="3"/>
  <c r="B298" i="3"/>
  <c r="C298" i="3"/>
  <c r="D298" i="3"/>
  <c r="E298" i="3"/>
  <c r="F298" i="3"/>
  <c r="G298" i="3"/>
  <c r="H298" i="3"/>
  <c r="I298" i="3"/>
  <c r="J298" i="3"/>
  <c r="K298" i="3"/>
  <c r="B299" i="3"/>
  <c r="C299" i="3"/>
  <c r="D299" i="3"/>
  <c r="E299" i="3"/>
  <c r="F299" i="3"/>
  <c r="G299" i="3"/>
  <c r="H299" i="3"/>
  <c r="I299" i="3"/>
  <c r="J299" i="3"/>
  <c r="K299" i="3"/>
  <c r="B300" i="3"/>
  <c r="C300" i="3"/>
  <c r="D300" i="3"/>
  <c r="E300" i="3"/>
  <c r="F300" i="3"/>
  <c r="G300" i="3"/>
  <c r="H300" i="3"/>
  <c r="I300" i="3"/>
  <c r="J300" i="3"/>
  <c r="K300" i="3"/>
  <c r="B301" i="3"/>
  <c r="C301" i="3"/>
  <c r="D301" i="3"/>
  <c r="E301" i="3"/>
  <c r="F301" i="3"/>
  <c r="G301" i="3"/>
  <c r="H301" i="3"/>
  <c r="I301" i="3"/>
  <c r="J301" i="3"/>
  <c r="K301" i="3"/>
  <c r="B302" i="3"/>
  <c r="C302" i="3"/>
  <c r="D302" i="3"/>
  <c r="E302" i="3"/>
  <c r="F302" i="3"/>
  <c r="G302" i="3"/>
  <c r="H302" i="3"/>
  <c r="I302" i="3"/>
  <c r="J302" i="3"/>
  <c r="K302" i="3"/>
  <c r="B303" i="3"/>
  <c r="C303" i="3"/>
  <c r="D303" i="3"/>
  <c r="E303" i="3"/>
  <c r="F303" i="3"/>
  <c r="G303" i="3"/>
  <c r="H303" i="3"/>
  <c r="I303" i="3"/>
  <c r="J303" i="3"/>
  <c r="K303" i="3"/>
  <c r="B304" i="3"/>
  <c r="C304" i="3"/>
  <c r="D304" i="3"/>
  <c r="E304" i="3"/>
  <c r="F304" i="3"/>
  <c r="G304" i="3"/>
  <c r="H304" i="3"/>
  <c r="I304" i="3"/>
  <c r="J304" i="3"/>
  <c r="K304" i="3"/>
  <c r="B305" i="3"/>
  <c r="C305" i="3"/>
  <c r="D305" i="3"/>
  <c r="E305" i="3"/>
  <c r="F305" i="3"/>
  <c r="G305" i="3"/>
  <c r="H305" i="3"/>
  <c r="I305" i="3"/>
  <c r="J305" i="3"/>
  <c r="K305" i="3"/>
  <c r="B306" i="3"/>
  <c r="C306" i="3"/>
  <c r="D306" i="3"/>
  <c r="E306" i="3"/>
  <c r="F306" i="3"/>
  <c r="G306" i="3"/>
  <c r="H306" i="3"/>
  <c r="I306" i="3"/>
  <c r="J306" i="3"/>
  <c r="K306" i="3"/>
  <c r="B307" i="3"/>
  <c r="C307" i="3"/>
  <c r="D307" i="3"/>
  <c r="E307" i="3"/>
  <c r="F307" i="3"/>
  <c r="G307" i="3"/>
  <c r="H307" i="3"/>
  <c r="I307" i="3"/>
  <c r="J307" i="3"/>
  <c r="K307" i="3"/>
  <c r="B308" i="3"/>
  <c r="C308" i="3"/>
  <c r="D308" i="3"/>
  <c r="E308" i="3"/>
  <c r="F308" i="3"/>
  <c r="G308" i="3"/>
  <c r="H308" i="3"/>
  <c r="I308" i="3"/>
  <c r="J308" i="3"/>
  <c r="K308" i="3"/>
  <c r="B309" i="3"/>
  <c r="C309" i="3"/>
  <c r="D309" i="3"/>
  <c r="E309" i="3"/>
  <c r="F309" i="3"/>
  <c r="G309" i="3"/>
  <c r="H309" i="3"/>
  <c r="I309" i="3"/>
  <c r="J309" i="3"/>
  <c r="K309" i="3"/>
  <c r="B310" i="3"/>
  <c r="C310" i="3"/>
  <c r="D310" i="3"/>
  <c r="E310" i="3"/>
  <c r="F310" i="3"/>
  <c r="G310" i="3"/>
  <c r="H310" i="3"/>
  <c r="I310" i="3"/>
  <c r="J310" i="3"/>
  <c r="K310" i="3"/>
  <c r="B311" i="3"/>
  <c r="C311" i="3"/>
  <c r="D311" i="3"/>
  <c r="E311" i="3"/>
  <c r="F311" i="3"/>
  <c r="G311" i="3"/>
  <c r="H311" i="3"/>
  <c r="I311" i="3"/>
  <c r="J311" i="3"/>
  <c r="K311" i="3"/>
  <c r="B312" i="3"/>
  <c r="C312" i="3"/>
  <c r="D312" i="3"/>
  <c r="E312" i="3"/>
  <c r="F312" i="3"/>
  <c r="G312" i="3"/>
  <c r="H312" i="3"/>
  <c r="I312" i="3"/>
  <c r="J312" i="3"/>
  <c r="K312" i="3"/>
  <c r="B313" i="3"/>
  <c r="C313" i="3"/>
  <c r="D313" i="3"/>
  <c r="E313" i="3"/>
  <c r="F313" i="3"/>
  <c r="G313" i="3"/>
  <c r="H313" i="3"/>
  <c r="I313" i="3"/>
  <c r="J313" i="3"/>
  <c r="K313" i="3"/>
  <c r="B314" i="3"/>
  <c r="C314" i="3"/>
  <c r="D314" i="3"/>
  <c r="E314" i="3"/>
  <c r="F314" i="3"/>
  <c r="G314" i="3"/>
  <c r="H314" i="3"/>
  <c r="I314" i="3"/>
  <c r="J314" i="3"/>
  <c r="K314" i="3"/>
  <c r="B315" i="3"/>
  <c r="C315" i="3"/>
  <c r="D315" i="3"/>
  <c r="E315" i="3"/>
  <c r="F315" i="3"/>
  <c r="G315" i="3"/>
  <c r="H315" i="3"/>
  <c r="I315" i="3"/>
  <c r="J315" i="3"/>
  <c r="K315" i="3"/>
  <c r="B316" i="3"/>
  <c r="C316" i="3"/>
  <c r="D316" i="3"/>
  <c r="E316" i="3"/>
  <c r="F316" i="3"/>
  <c r="G316" i="3"/>
  <c r="H316" i="3"/>
  <c r="I316" i="3"/>
  <c r="J316" i="3"/>
  <c r="K316" i="3"/>
  <c r="B317" i="3"/>
  <c r="C317" i="3"/>
  <c r="D317" i="3"/>
  <c r="E317" i="3"/>
  <c r="F317" i="3"/>
  <c r="G317" i="3"/>
  <c r="H317" i="3"/>
  <c r="I317" i="3"/>
  <c r="J317" i="3"/>
  <c r="K317" i="3"/>
  <c r="B318" i="3"/>
  <c r="C318" i="3"/>
  <c r="D318" i="3"/>
  <c r="E318" i="3"/>
  <c r="F318" i="3"/>
  <c r="G318" i="3"/>
  <c r="H318" i="3"/>
  <c r="I318" i="3"/>
  <c r="J318" i="3"/>
  <c r="K318" i="3"/>
  <c r="B319" i="3"/>
  <c r="C319" i="3"/>
  <c r="D319" i="3"/>
  <c r="E319" i="3"/>
  <c r="F319" i="3"/>
  <c r="G319" i="3"/>
  <c r="H319" i="3"/>
  <c r="I319" i="3"/>
  <c r="J319" i="3"/>
  <c r="K319" i="3"/>
  <c r="B320" i="3"/>
  <c r="C320" i="3"/>
  <c r="D320" i="3"/>
  <c r="E320" i="3"/>
  <c r="F320" i="3"/>
  <c r="G320" i="3"/>
  <c r="H320" i="3"/>
  <c r="I320" i="3"/>
  <c r="J320" i="3"/>
  <c r="K320" i="3"/>
  <c r="B321" i="3"/>
  <c r="C321" i="3"/>
  <c r="D321" i="3"/>
  <c r="E321" i="3"/>
  <c r="F321" i="3"/>
  <c r="G321" i="3"/>
  <c r="H321" i="3"/>
  <c r="I321" i="3"/>
  <c r="J321" i="3"/>
  <c r="K321" i="3"/>
  <c r="B322" i="3"/>
  <c r="C322" i="3"/>
  <c r="D322" i="3"/>
  <c r="E322" i="3"/>
  <c r="F322" i="3"/>
  <c r="G322" i="3"/>
  <c r="H322" i="3"/>
  <c r="I322" i="3"/>
  <c r="J322" i="3"/>
  <c r="K322" i="3"/>
  <c r="B323" i="3"/>
  <c r="C323" i="3"/>
  <c r="D323" i="3"/>
  <c r="E323" i="3"/>
  <c r="F323" i="3"/>
  <c r="G323" i="3"/>
  <c r="H323" i="3"/>
  <c r="I323" i="3"/>
  <c r="J323" i="3"/>
  <c r="K323" i="3"/>
  <c r="B324" i="3"/>
  <c r="C324" i="3"/>
  <c r="D324" i="3"/>
  <c r="E324" i="3"/>
  <c r="F324" i="3"/>
  <c r="G324" i="3"/>
  <c r="H324" i="3"/>
  <c r="I324" i="3"/>
  <c r="J324" i="3"/>
  <c r="K324" i="3"/>
  <c r="B325" i="3"/>
  <c r="C325" i="3"/>
  <c r="D325" i="3"/>
  <c r="E325" i="3"/>
  <c r="F325" i="3"/>
  <c r="G325" i="3"/>
  <c r="H325" i="3"/>
  <c r="I325" i="3"/>
  <c r="J325" i="3"/>
  <c r="K325" i="3"/>
  <c r="B326" i="3"/>
  <c r="C326" i="3"/>
  <c r="D326" i="3"/>
  <c r="E326" i="3"/>
  <c r="F326" i="3"/>
  <c r="G326" i="3"/>
  <c r="H326" i="3"/>
  <c r="I326" i="3"/>
  <c r="J326" i="3"/>
  <c r="K326" i="3"/>
  <c r="B327" i="3"/>
  <c r="C327" i="3"/>
  <c r="D327" i="3"/>
  <c r="E327" i="3"/>
  <c r="F327" i="3"/>
  <c r="G327" i="3"/>
  <c r="H327" i="3"/>
  <c r="I327" i="3"/>
  <c r="J327" i="3"/>
  <c r="K327" i="3"/>
  <c r="B328" i="3"/>
  <c r="C328" i="3"/>
  <c r="D328" i="3"/>
  <c r="E328" i="3"/>
  <c r="F328" i="3"/>
  <c r="G328" i="3"/>
  <c r="H328" i="3"/>
  <c r="I328" i="3"/>
  <c r="J328" i="3"/>
  <c r="K328" i="3"/>
  <c r="B329" i="3"/>
  <c r="C329" i="3"/>
  <c r="D329" i="3"/>
  <c r="E329" i="3"/>
  <c r="F329" i="3"/>
  <c r="G329" i="3"/>
  <c r="H329" i="3"/>
  <c r="I329" i="3"/>
  <c r="J329" i="3"/>
  <c r="K329" i="3"/>
  <c r="B330" i="3"/>
  <c r="C330" i="3"/>
  <c r="D330" i="3"/>
  <c r="E330" i="3"/>
  <c r="F330" i="3"/>
  <c r="G330" i="3"/>
  <c r="H330" i="3"/>
  <c r="I330" i="3"/>
  <c r="J330" i="3"/>
  <c r="K330" i="3"/>
  <c r="B331" i="3"/>
  <c r="C331" i="3"/>
  <c r="D331" i="3"/>
  <c r="E331" i="3"/>
  <c r="F331" i="3"/>
  <c r="G331" i="3"/>
  <c r="H331" i="3"/>
  <c r="I331" i="3"/>
  <c r="J331" i="3"/>
  <c r="K331" i="3"/>
  <c r="B332" i="3"/>
  <c r="C332" i="3"/>
  <c r="D332" i="3"/>
  <c r="E332" i="3"/>
  <c r="F332" i="3"/>
  <c r="G332" i="3"/>
  <c r="H332" i="3"/>
  <c r="I332" i="3"/>
  <c r="J332" i="3"/>
  <c r="K332" i="3"/>
  <c r="B333" i="3"/>
  <c r="C333" i="3"/>
  <c r="D333" i="3"/>
  <c r="E333" i="3"/>
  <c r="F333" i="3"/>
  <c r="G333" i="3"/>
  <c r="H333" i="3"/>
  <c r="I333" i="3"/>
  <c r="J333" i="3"/>
  <c r="K333" i="3"/>
  <c r="B334" i="3"/>
  <c r="C334" i="3"/>
  <c r="D334" i="3"/>
  <c r="E334" i="3"/>
  <c r="F334" i="3"/>
  <c r="G334" i="3"/>
  <c r="H334" i="3"/>
  <c r="I334" i="3"/>
  <c r="J334" i="3"/>
  <c r="K334" i="3"/>
  <c r="B335" i="3"/>
  <c r="C335" i="3"/>
  <c r="D335" i="3"/>
  <c r="E335" i="3"/>
  <c r="F335" i="3"/>
  <c r="G335" i="3"/>
  <c r="H335" i="3"/>
  <c r="I335" i="3"/>
  <c r="J335" i="3"/>
  <c r="K335" i="3"/>
  <c r="B336" i="3"/>
  <c r="C336" i="3"/>
  <c r="D336" i="3"/>
  <c r="E336" i="3"/>
  <c r="F336" i="3"/>
  <c r="G336" i="3"/>
  <c r="H336" i="3"/>
  <c r="I336" i="3"/>
  <c r="J336" i="3"/>
  <c r="K336" i="3"/>
  <c r="B337" i="3"/>
  <c r="C337" i="3"/>
  <c r="D337" i="3"/>
  <c r="E337" i="3"/>
  <c r="F337" i="3"/>
  <c r="G337" i="3"/>
  <c r="H337" i="3"/>
  <c r="I337" i="3"/>
  <c r="J337" i="3"/>
  <c r="K337" i="3"/>
  <c r="B338" i="3"/>
  <c r="C338" i="3"/>
  <c r="D338" i="3"/>
  <c r="E338" i="3"/>
  <c r="F338" i="3"/>
  <c r="G338" i="3"/>
  <c r="H338" i="3"/>
  <c r="I338" i="3"/>
  <c r="J338" i="3"/>
  <c r="K338" i="3"/>
  <c r="B339" i="3"/>
  <c r="C339" i="3"/>
  <c r="D339" i="3"/>
  <c r="E339" i="3"/>
  <c r="F339" i="3"/>
  <c r="G339" i="3"/>
  <c r="H339" i="3"/>
  <c r="I339" i="3"/>
  <c r="J339" i="3"/>
  <c r="K339" i="3"/>
  <c r="B340" i="3"/>
  <c r="C340" i="3"/>
  <c r="D340" i="3"/>
  <c r="E340" i="3"/>
  <c r="F340" i="3"/>
  <c r="G340" i="3"/>
  <c r="H340" i="3"/>
  <c r="I340" i="3"/>
  <c r="J340" i="3"/>
  <c r="K340" i="3"/>
  <c r="B341" i="3"/>
  <c r="C341" i="3"/>
  <c r="D341" i="3"/>
  <c r="E341" i="3"/>
  <c r="F341" i="3"/>
  <c r="G341" i="3"/>
  <c r="H341" i="3"/>
  <c r="I341" i="3"/>
  <c r="J341" i="3"/>
  <c r="K341" i="3"/>
  <c r="B342" i="3"/>
  <c r="C342" i="3"/>
  <c r="D342" i="3"/>
  <c r="E342" i="3"/>
  <c r="F342" i="3"/>
  <c r="G342" i="3"/>
  <c r="H342" i="3"/>
  <c r="I342" i="3"/>
  <c r="J342" i="3"/>
  <c r="K342" i="3"/>
  <c r="B343" i="3"/>
  <c r="C343" i="3"/>
  <c r="D343" i="3"/>
  <c r="E343" i="3"/>
  <c r="F343" i="3"/>
  <c r="G343" i="3"/>
  <c r="H343" i="3"/>
  <c r="I343" i="3"/>
  <c r="J343" i="3"/>
  <c r="K343" i="3"/>
  <c r="B344" i="3"/>
  <c r="C344" i="3"/>
  <c r="D344" i="3"/>
  <c r="E344" i="3"/>
  <c r="F344" i="3"/>
  <c r="G344" i="3"/>
  <c r="H344" i="3"/>
  <c r="I344" i="3"/>
  <c r="J344" i="3"/>
  <c r="K344" i="3"/>
  <c r="B345" i="3"/>
  <c r="C345" i="3"/>
  <c r="D345" i="3"/>
  <c r="E345" i="3"/>
  <c r="F345" i="3"/>
  <c r="G345" i="3"/>
  <c r="H345" i="3"/>
  <c r="I345" i="3"/>
  <c r="J345" i="3"/>
  <c r="K345" i="3"/>
  <c r="B346" i="3"/>
  <c r="C346" i="3"/>
  <c r="D346" i="3"/>
  <c r="E346" i="3"/>
  <c r="F346" i="3"/>
  <c r="G346" i="3"/>
  <c r="H346" i="3"/>
  <c r="I346" i="3"/>
  <c r="J346" i="3"/>
  <c r="K346" i="3"/>
  <c r="B347" i="3"/>
  <c r="C347" i="3"/>
  <c r="D347" i="3"/>
  <c r="E347" i="3"/>
  <c r="F347" i="3"/>
  <c r="G347" i="3"/>
  <c r="H347" i="3"/>
  <c r="I347" i="3"/>
  <c r="J347" i="3"/>
  <c r="K347" i="3"/>
  <c r="B348" i="3"/>
  <c r="C348" i="3"/>
  <c r="D348" i="3"/>
  <c r="E348" i="3"/>
  <c r="F348" i="3"/>
  <c r="G348" i="3"/>
  <c r="H348" i="3"/>
  <c r="I348" i="3"/>
  <c r="J348" i="3"/>
  <c r="K348" i="3"/>
  <c r="B349" i="3"/>
  <c r="C349" i="3"/>
  <c r="D349" i="3"/>
  <c r="E349" i="3"/>
  <c r="F349" i="3"/>
  <c r="G349" i="3"/>
  <c r="H349" i="3"/>
  <c r="I349" i="3"/>
  <c r="J349" i="3"/>
  <c r="K349" i="3"/>
  <c r="B350" i="3"/>
  <c r="C350" i="3"/>
  <c r="D350" i="3"/>
  <c r="E350" i="3"/>
  <c r="F350" i="3"/>
  <c r="G350" i="3"/>
  <c r="H350" i="3"/>
  <c r="I350" i="3"/>
  <c r="J350" i="3"/>
  <c r="K350" i="3"/>
  <c r="B351" i="3"/>
  <c r="C351" i="3"/>
  <c r="D351" i="3"/>
  <c r="E351" i="3"/>
  <c r="F351" i="3"/>
  <c r="G351" i="3"/>
  <c r="H351" i="3"/>
  <c r="I351" i="3"/>
  <c r="J351" i="3"/>
  <c r="K351" i="3"/>
  <c r="B352" i="3"/>
  <c r="C352" i="3"/>
  <c r="D352" i="3"/>
  <c r="E352" i="3"/>
  <c r="F352" i="3"/>
  <c r="G352" i="3"/>
  <c r="H352" i="3"/>
  <c r="I352" i="3"/>
  <c r="J352" i="3"/>
  <c r="K352" i="3"/>
  <c r="B353" i="3"/>
  <c r="C353" i="3"/>
  <c r="D353" i="3"/>
  <c r="E353" i="3"/>
  <c r="F353" i="3"/>
  <c r="G353" i="3"/>
  <c r="H353" i="3"/>
  <c r="I353" i="3"/>
  <c r="J353" i="3"/>
  <c r="K353" i="3"/>
  <c r="B354" i="3"/>
  <c r="C354" i="3"/>
  <c r="D354" i="3"/>
  <c r="E354" i="3"/>
  <c r="F354" i="3"/>
  <c r="G354" i="3"/>
  <c r="H354" i="3"/>
  <c r="I354" i="3"/>
  <c r="J354" i="3"/>
  <c r="K354" i="3"/>
  <c r="B355" i="3"/>
  <c r="C355" i="3"/>
  <c r="D355" i="3"/>
  <c r="E355" i="3"/>
  <c r="F355" i="3"/>
  <c r="G355" i="3"/>
  <c r="H355" i="3"/>
  <c r="I355" i="3"/>
  <c r="J355" i="3"/>
  <c r="K355" i="3"/>
  <c r="B356" i="3"/>
  <c r="C356" i="3"/>
  <c r="D356" i="3"/>
  <c r="E356" i="3"/>
  <c r="F356" i="3"/>
  <c r="G356" i="3"/>
  <c r="H356" i="3"/>
  <c r="I356" i="3"/>
  <c r="J356" i="3"/>
  <c r="K356" i="3"/>
  <c r="B357" i="3"/>
  <c r="C357" i="3"/>
  <c r="D357" i="3"/>
  <c r="E357" i="3"/>
  <c r="F357" i="3"/>
  <c r="G357" i="3"/>
  <c r="H357" i="3"/>
  <c r="I357" i="3"/>
  <c r="J357" i="3"/>
  <c r="K357" i="3"/>
  <c r="B358" i="3"/>
  <c r="C358" i="3"/>
  <c r="D358" i="3"/>
  <c r="E358" i="3"/>
  <c r="F358" i="3"/>
  <c r="G358" i="3"/>
  <c r="H358" i="3"/>
  <c r="I358" i="3"/>
  <c r="J358" i="3"/>
  <c r="K358" i="3"/>
  <c r="B359" i="3"/>
  <c r="C359" i="3"/>
  <c r="D359" i="3"/>
  <c r="E359" i="3"/>
  <c r="F359" i="3"/>
  <c r="G359" i="3"/>
  <c r="H359" i="3"/>
  <c r="I359" i="3"/>
  <c r="J359" i="3"/>
  <c r="K359" i="3"/>
  <c r="B360" i="3"/>
  <c r="C360" i="3"/>
  <c r="D360" i="3"/>
  <c r="E360" i="3"/>
  <c r="F360" i="3"/>
  <c r="G360" i="3"/>
  <c r="H360" i="3"/>
  <c r="I360" i="3"/>
  <c r="J360" i="3"/>
  <c r="K360" i="3"/>
  <c r="B361" i="3"/>
  <c r="C361" i="3"/>
  <c r="D361" i="3"/>
  <c r="E361" i="3"/>
  <c r="F361" i="3"/>
  <c r="G361" i="3"/>
  <c r="H361" i="3"/>
  <c r="I361" i="3"/>
  <c r="J361" i="3"/>
  <c r="K361" i="3"/>
  <c r="B362" i="3"/>
  <c r="C362" i="3"/>
  <c r="D362" i="3"/>
  <c r="E362" i="3"/>
  <c r="F362" i="3"/>
  <c r="G362" i="3"/>
  <c r="H362" i="3"/>
  <c r="I362" i="3"/>
  <c r="J362" i="3"/>
  <c r="K362" i="3"/>
  <c r="B363" i="3"/>
  <c r="C363" i="3"/>
  <c r="D363" i="3"/>
  <c r="E363" i="3"/>
  <c r="F363" i="3"/>
  <c r="G363" i="3"/>
  <c r="H363" i="3"/>
  <c r="I363" i="3"/>
  <c r="J363" i="3"/>
  <c r="K363" i="3"/>
  <c r="B364" i="3"/>
  <c r="C364" i="3"/>
  <c r="D364" i="3"/>
  <c r="E364" i="3"/>
  <c r="F364" i="3"/>
  <c r="G364" i="3"/>
  <c r="H364" i="3"/>
  <c r="I364" i="3"/>
  <c r="J364" i="3"/>
  <c r="K364" i="3"/>
  <c r="B365" i="3"/>
  <c r="C365" i="3"/>
  <c r="D365" i="3"/>
  <c r="E365" i="3"/>
  <c r="F365" i="3"/>
  <c r="G365" i="3"/>
  <c r="H365" i="3"/>
  <c r="I365" i="3"/>
  <c r="J365" i="3"/>
  <c r="K365" i="3"/>
  <c r="B366" i="3"/>
  <c r="C366" i="3"/>
  <c r="D366" i="3"/>
  <c r="E366" i="3"/>
  <c r="F366" i="3"/>
  <c r="G366" i="3"/>
  <c r="H366" i="3"/>
  <c r="I366" i="3"/>
  <c r="J366" i="3"/>
  <c r="K366" i="3"/>
  <c r="B367" i="3"/>
  <c r="C367" i="3"/>
  <c r="D367" i="3"/>
  <c r="E367" i="3"/>
  <c r="F367" i="3"/>
  <c r="G367" i="3"/>
  <c r="H367" i="3"/>
  <c r="I367" i="3"/>
  <c r="J367" i="3"/>
  <c r="K367" i="3"/>
  <c r="B368" i="3"/>
  <c r="C368" i="3"/>
  <c r="D368" i="3"/>
  <c r="E368" i="3"/>
  <c r="F368" i="3"/>
  <c r="G368" i="3"/>
  <c r="H368" i="3"/>
  <c r="I368" i="3"/>
  <c r="J368" i="3"/>
  <c r="K368" i="3"/>
  <c r="B369" i="3"/>
  <c r="C369" i="3"/>
  <c r="D369" i="3"/>
  <c r="E369" i="3"/>
  <c r="F369" i="3"/>
  <c r="G369" i="3"/>
  <c r="H369" i="3"/>
  <c r="I369" i="3"/>
  <c r="J369" i="3"/>
  <c r="K369" i="3"/>
  <c r="B370" i="3"/>
  <c r="C370" i="3"/>
  <c r="D370" i="3"/>
  <c r="E370" i="3"/>
  <c r="F370" i="3"/>
  <c r="G370" i="3"/>
  <c r="H370" i="3"/>
  <c r="I370" i="3"/>
  <c r="J370" i="3"/>
  <c r="K370" i="3"/>
  <c r="B371" i="3"/>
  <c r="C371" i="3"/>
  <c r="D371" i="3"/>
  <c r="E371" i="3"/>
  <c r="F371" i="3"/>
  <c r="G371" i="3"/>
  <c r="H371" i="3"/>
  <c r="I371" i="3"/>
  <c r="J371" i="3"/>
  <c r="K371" i="3"/>
  <c r="B372" i="3"/>
  <c r="C372" i="3"/>
  <c r="D372" i="3"/>
  <c r="E372" i="3"/>
  <c r="F372" i="3"/>
  <c r="G372" i="3"/>
  <c r="H372" i="3"/>
  <c r="I372" i="3"/>
  <c r="J372" i="3"/>
  <c r="K372" i="3"/>
  <c r="B373" i="3"/>
  <c r="C373" i="3"/>
  <c r="D373" i="3"/>
  <c r="E373" i="3"/>
  <c r="F373" i="3"/>
  <c r="G373" i="3"/>
  <c r="H373" i="3"/>
  <c r="I373" i="3"/>
  <c r="J373" i="3"/>
  <c r="K373" i="3"/>
  <c r="B374" i="3"/>
  <c r="C374" i="3"/>
  <c r="D374" i="3"/>
  <c r="E374" i="3"/>
  <c r="F374" i="3"/>
  <c r="G374" i="3"/>
  <c r="H374" i="3"/>
  <c r="I374" i="3"/>
  <c r="J374" i="3"/>
  <c r="K374" i="3"/>
  <c r="B375" i="3"/>
  <c r="C375" i="3"/>
  <c r="D375" i="3"/>
  <c r="E375" i="3"/>
  <c r="F375" i="3"/>
  <c r="G375" i="3"/>
  <c r="H375" i="3"/>
  <c r="I375" i="3"/>
  <c r="J375" i="3"/>
  <c r="K375" i="3"/>
  <c r="B376" i="3"/>
  <c r="C376" i="3"/>
  <c r="D376" i="3"/>
  <c r="E376" i="3"/>
  <c r="F376" i="3"/>
  <c r="G376" i="3"/>
  <c r="H376" i="3"/>
  <c r="I376" i="3"/>
  <c r="J376" i="3"/>
  <c r="K376" i="3"/>
  <c r="B377" i="3"/>
  <c r="C377" i="3"/>
  <c r="D377" i="3"/>
  <c r="E377" i="3"/>
  <c r="F377" i="3"/>
  <c r="G377" i="3"/>
  <c r="H377" i="3"/>
  <c r="I377" i="3"/>
  <c r="J377" i="3"/>
  <c r="K377" i="3"/>
  <c r="B378" i="3"/>
  <c r="C378" i="3"/>
  <c r="D378" i="3"/>
  <c r="E378" i="3"/>
  <c r="F378" i="3"/>
  <c r="G378" i="3"/>
  <c r="H378" i="3"/>
  <c r="I378" i="3"/>
  <c r="J378" i="3"/>
  <c r="K378" i="3"/>
  <c r="B379" i="3"/>
  <c r="C379" i="3"/>
  <c r="D379" i="3"/>
  <c r="E379" i="3"/>
  <c r="F379" i="3"/>
  <c r="G379" i="3"/>
  <c r="H379" i="3"/>
  <c r="I379" i="3"/>
  <c r="J379" i="3"/>
  <c r="K379" i="3"/>
  <c r="B380" i="3"/>
  <c r="C380" i="3"/>
  <c r="D380" i="3"/>
  <c r="E380" i="3"/>
  <c r="F380" i="3"/>
  <c r="G380" i="3"/>
  <c r="H380" i="3"/>
  <c r="I380" i="3"/>
  <c r="J380" i="3"/>
  <c r="K380" i="3"/>
  <c r="B381" i="3"/>
  <c r="C381" i="3"/>
  <c r="D381" i="3"/>
  <c r="E381" i="3"/>
  <c r="F381" i="3"/>
  <c r="G381" i="3"/>
  <c r="H381" i="3"/>
  <c r="I381" i="3"/>
  <c r="J381" i="3"/>
  <c r="K381" i="3"/>
  <c r="B382" i="3"/>
  <c r="C382" i="3"/>
  <c r="D382" i="3"/>
  <c r="E382" i="3"/>
  <c r="F382" i="3"/>
  <c r="G382" i="3"/>
  <c r="H382" i="3"/>
  <c r="I382" i="3"/>
  <c r="J382" i="3"/>
  <c r="K382" i="3"/>
  <c r="B383" i="3"/>
  <c r="C383" i="3"/>
  <c r="D383" i="3"/>
  <c r="E383" i="3"/>
  <c r="F383" i="3"/>
  <c r="G383" i="3"/>
  <c r="H383" i="3"/>
  <c r="I383" i="3"/>
  <c r="J383" i="3"/>
  <c r="K383" i="3"/>
  <c r="B384" i="3"/>
  <c r="C384" i="3"/>
  <c r="D384" i="3"/>
  <c r="E384" i="3"/>
  <c r="F384" i="3"/>
  <c r="G384" i="3"/>
  <c r="H384" i="3"/>
  <c r="I384" i="3"/>
  <c r="J384" i="3"/>
  <c r="K384" i="3"/>
  <c r="B385" i="3"/>
  <c r="C385" i="3"/>
  <c r="D385" i="3"/>
  <c r="E385" i="3"/>
  <c r="F385" i="3"/>
  <c r="G385" i="3"/>
  <c r="H385" i="3"/>
  <c r="I385" i="3"/>
  <c r="J385" i="3"/>
  <c r="K385" i="3"/>
  <c r="B386" i="3"/>
  <c r="C386" i="3"/>
  <c r="D386" i="3"/>
  <c r="E386" i="3"/>
  <c r="F386" i="3"/>
  <c r="G386" i="3"/>
  <c r="H386" i="3"/>
  <c r="I386" i="3"/>
  <c r="J386" i="3"/>
  <c r="K386" i="3"/>
  <c r="B387" i="3"/>
  <c r="C387" i="3"/>
  <c r="D387" i="3"/>
  <c r="E387" i="3"/>
  <c r="F387" i="3"/>
  <c r="G387" i="3"/>
  <c r="H387" i="3"/>
  <c r="I387" i="3"/>
  <c r="J387" i="3"/>
  <c r="K387" i="3"/>
  <c r="B388" i="3"/>
  <c r="C388" i="3"/>
  <c r="D388" i="3"/>
  <c r="E388" i="3"/>
  <c r="F388" i="3"/>
  <c r="G388" i="3"/>
  <c r="H388" i="3"/>
  <c r="I388" i="3"/>
  <c r="J388" i="3"/>
  <c r="K388" i="3"/>
  <c r="B389" i="3"/>
  <c r="C389" i="3"/>
  <c r="D389" i="3"/>
  <c r="E389" i="3"/>
  <c r="F389" i="3"/>
  <c r="G389" i="3"/>
  <c r="H389" i="3"/>
  <c r="I389" i="3"/>
  <c r="J389" i="3"/>
  <c r="K389" i="3"/>
  <c r="B390" i="3"/>
  <c r="C390" i="3"/>
  <c r="D390" i="3"/>
  <c r="E390" i="3"/>
  <c r="F390" i="3"/>
  <c r="G390" i="3"/>
  <c r="H390" i="3"/>
  <c r="I390" i="3"/>
  <c r="J390" i="3"/>
  <c r="K390" i="3"/>
  <c r="B391" i="3"/>
  <c r="C391" i="3"/>
  <c r="D391" i="3"/>
  <c r="E391" i="3"/>
  <c r="F391" i="3"/>
  <c r="G391" i="3"/>
  <c r="H391" i="3"/>
  <c r="I391" i="3"/>
  <c r="J391" i="3"/>
  <c r="K391" i="3"/>
  <c r="B392" i="3"/>
  <c r="C392" i="3"/>
  <c r="D392" i="3"/>
  <c r="E392" i="3"/>
  <c r="F392" i="3"/>
  <c r="G392" i="3"/>
  <c r="H392" i="3"/>
  <c r="I392" i="3"/>
  <c r="J392" i="3"/>
  <c r="K392" i="3"/>
  <c r="B393" i="3"/>
  <c r="C393" i="3"/>
  <c r="D393" i="3"/>
  <c r="E393" i="3"/>
  <c r="F393" i="3"/>
  <c r="G393" i="3"/>
  <c r="H393" i="3"/>
  <c r="I393" i="3"/>
  <c r="J393" i="3"/>
  <c r="K393" i="3"/>
  <c r="B394" i="3"/>
  <c r="C394" i="3"/>
  <c r="D394" i="3"/>
  <c r="E394" i="3"/>
  <c r="F394" i="3"/>
  <c r="G394" i="3"/>
  <c r="H394" i="3"/>
  <c r="I394" i="3"/>
  <c r="J394" i="3"/>
  <c r="K394" i="3"/>
  <c r="B395" i="3"/>
  <c r="C395" i="3"/>
  <c r="D395" i="3"/>
  <c r="E395" i="3"/>
  <c r="F395" i="3"/>
  <c r="G395" i="3"/>
  <c r="H395" i="3"/>
  <c r="I395" i="3"/>
  <c r="J395" i="3"/>
  <c r="K395" i="3"/>
  <c r="B396" i="3"/>
  <c r="C396" i="3"/>
  <c r="D396" i="3"/>
  <c r="E396" i="3"/>
  <c r="F396" i="3"/>
  <c r="G396" i="3"/>
  <c r="H396" i="3"/>
  <c r="I396" i="3"/>
  <c r="J396" i="3"/>
  <c r="K396" i="3"/>
  <c r="B397" i="3"/>
  <c r="C397" i="3"/>
  <c r="D397" i="3"/>
  <c r="E397" i="3"/>
  <c r="F397" i="3"/>
  <c r="G397" i="3"/>
  <c r="H397" i="3"/>
  <c r="I397" i="3"/>
  <c r="J397" i="3"/>
  <c r="K397" i="3"/>
  <c r="B398" i="3"/>
  <c r="C398" i="3"/>
  <c r="D398" i="3"/>
  <c r="E398" i="3"/>
  <c r="F398" i="3"/>
  <c r="G398" i="3"/>
  <c r="H398" i="3"/>
  <c r="I398" i="3"/>
  <c r="J398" i="3"/>
  <c r="K398" i="3"/>
  <c r="B399" i="3"/>
  <c r="C399" i="3"/>
  <c r="D399" i="3"/>
  <c r="E399" i="3"/>
  <c r="F399" i="3"/>
  <c r="G399" i="3"/>
  <c r="H399" i="3"/>
  <c r="I399" i="3"/>
  <c r="J399" i="3"/>
  <c r="K399" i="3"/>
  <c r="B400" i="3"/>
  <c r="C400" i="3"/>
  <c r="D400" i="3"/>
  <c r="E400" i="3"/>
  <c r="F400" i="3"/>
  <c r="G400" i="3"/>
  <c r="H400" i="3"/>
  <c r="I400" i="3"/>
  <c r="J400" i="3"/>
  <c r="K400" i="3"/>
  <c r="B401" i="3"/>
  <c r="C401" i="3"/>
  <c r="D401" i="3"/>
  <c r="E401" i="3"/>
  <c r="F401" i="3"/>
  <c r="G401" i="3"/>
  <c r="H401" i="3"/>
  <c r="I401" i="3"/>
  <c r="J401" i="3"/>
  <c r="K401" i="3"/>
  <c r="B402" i="3"/>
  <c r="C402" i="3"/>
  <c r="D402" i="3"/>
  <c r="E402" i="3"/>
  <c r="F402" i="3"/>
  <c r="G402" i="3"/>
  <c r="H402" i="3"/>
  <c r="I402" i="3"/>
  <c r="J402" i="3"/>
  <c r="K402" i="3"/>
  <c r="B403" i="3"/>
  <c r="C403" i="3"/>
  <c r="D403" i="3"/>
  <c r="E403" i="3"/>
  <c r="F403" i="3"/>
  <c r="G403" i="3"/>
  <c r="H403" i="3"/>
  <c r="I403" i="3"/>
  <c r="J403" i="3"/>
  <c r="K403" i="3"/>
  <c r="B404" i="3"/>
  <c r="C404" i="3"/>
  <c r="D404" i="3"/>
  <c r="E404" i="3"/>
  <c r="F404" i="3"/>
  <c r="G404" i="3"/>
  <c r="H404" i="3"/>
  <c r="I404" i="3"/>
  <c r="J404" i="3"/>
  <c r="K404" i="3"/>
  <c r="B405" i="3"/>
  <c r="C405" i="3"/>
  <c r="D405" i="3"/>
  <c r="E405" i="3"/>
  <c r="F405" i="3"/>
  <c r="G405" i="3"/>
  <c r="H405" i="3"/>
  <c r="I405" i="3"/>
  <c r="J405" i="3"/>
  <c r="K405" i="3"/>
  <c r="B406" i="3"/>
  <c r="C406" i="3"/>
  <c r="D406" i="3"/>
  <c r="E406" i="3"/>
  <c r="F406" i="3"/>
  <c r="G406" i="3"/>
  <c r="H406" i="3"/>
  <c r="I406" i="3"/>
  <c r="J406" i="3"/>
  <c r="K406" i="3"/>
  <c r="B407" i="3"/>
  <c r="C407" i="3"/>
  <c r="D407" i="3"/>
  <c r="E407" i="3"/>
  <c r="F407" i="3"/>
  <c r="G407" i="3"/>
  <c r="H407" i="3"/>
  <c r="I407" i="3"/>
  <c r="J407" i="3"/>
  <c r="K407" i="3"/>
  <c r="B408" i="3"/>
  <c r="C408" i="3"/>
  <c r="D408" i="3"/>
  <c r="E408" i="3"/>
  <c r="F408" i="3"/>
  <c r="G408" i="3"/>
  <c r="H408" i="3"/>
  <c r="I408" i="3"/>
  <c r="J408" i="3"/>
  <c r="K408" i="3"/>
  <c r="B409" i="3"/>
  <c r="C409" i="3"/>
  <c r="D409" i="3"/>
  <c r="E409" i="3"/>
  <c r="F409" i="3"/>
  <c r="G409" i="3"/>
  <c r="H409" i="3"/>
  <c r="I409" i="3"/>
  <c r="J409" i="3"/>
  <c r="K409" i="3"/>
  <c r="B410" i="3"/>
  <c r="C410" i="3"/>
  <c r="D410" i="3"/>
  <c r="E410" i="3"/>
  <c r="F410" i="3"/>
  <c r="G410" i="3"/>
  <c r="H410" i="3"/>
  <c r="I410" i="3"/>
  <c r="J410" i="3"/>
  <c r="K410" i="3"/>
  <c r="B411" i="3"/>
  <c r="C411" i="3"/>
  <c r="D411" i="3"/>
  <c r="E411" i="3"/>
  <c r="F411" i="3"/>
  <c r="G411" i="3"/>
  <c r="H411" i="3"/>
  <c r="I411" i="3"/>
  <c r="J411" i="3"/>
  <c r="K411" i="3"/>
  <c r="B412" i="3"/>
  <c r="C412" i="3"/>
  <c r="D412" i="3"/>
  <c r="E412" i="3"/>
  <c r="F412" i="3"/>
  <c r="G412" i="3"/>
  <c r="H412" i="3"/>
  <c r="I412" i="3"/>
  <c r="J412" i="3"/>
  <c r="K412" i="3"/>
  <c r="B413" i="3"/>
  <c r="C413" i="3"/>
  <c r="D413" i="3"/>
  <c r="E413" i="3"/>
  <c r="F413" i="3"/>
  <c r="G413" i="3"/>
  <c r="H413" i="3"/>
  <c r="I413" i="3"/>
  <c r="J413" i="3"/>
  <c r="K413" i="3"/>
  <c r="B414" i="3"/>
  <c r="C414" i="3"/>
  <c r="D414" i="3"/>
  <c r="E414" i="3"/>
  <c r="F414" i="3"/>
  <c r="G414" i="3"/>
  <c r="H414" i="3"/>
  <c r="I414" i="3"/>
  <c r="J414" i="3"/>
  <c r="K414" i="3"/>
  <c r="B415" i="3"/>
  <c r="C415" i="3"/>
  <c r="D415" i="3"/>
  <c r="E415" i="3"/>
  <c r="F415" i="3"/>
  <c r="G415" i="3"/>
  <c r="H415" i="3"/>
  <c r="I415" i="3"/>
  <c r="J415" i="3"/>
  <c r="K415" i="3"/>
  <c r="B416" i="3"/>
  <c r="C416" i="3"/>
  <c r="D416" i="3"/>
  <c r="E416" i="3"/>
  <c r="F416" i="3"/>
  <c r="G416" i="3"/>
  <c r="H416" i="3"/>
  <c r="I416" i="3"/>
  <c r="J416" i="3"/>
  <c r="K416" i="3"/>
  <c r="B417" i="3"/>
  <c r="C417" i="3"/>
  <c r="D417" i="3"/>
  <c r="E417" i="3"/>
  <c r="F417" i="3"/>
  <c r="G417" i="3"/>
  <c r="H417" i="3"/>
  <c r="I417" i="3"/>
  <c r="J417" i="3"/>
  <c r="K417" i="3"/>
  <c r="B418" i="3"/>
  <c r="C418" i="3"/>
  <c r="D418" i="3"/>
  <c r="E418" i="3"/>
  <c r="F418" i="3"/>
  <c r="G418" i="3"/>
  <c r="H418" i="3"/>
  <c r="I418" i="3"/>
  <c r="J418" i="3"/>
  <c r="K418" i="3"/>
  <c r="B419" i="3"/>
  <c r="C419" i="3"/>
  <c r="D419" i="3"/>
  <c r="E419" i="3"/>
  <c r="F419" i="3"/>
  <c r="G419" i="3"/>
  <c r="H419" i="3"/>
  <c r="I419" i="3"/>
  <c r="J419" i="3"/>
  <c r="K419" i="3"/>
  <c r="B420" i="3"/>
  <c r="C420" i="3"/>
  <c r="D420" i="3"/>
  <c r="E420" i="3"/>
  <c r="F420" i="3"/>
  <c r="G420" i="3"/>
  <c r="H420" i="3"/>
  <c r="I420" i="3"/>
  <c r="J420" i="3"/>
  <c r="K420" i="3"/>
  <c r="B421" i="3"/>
  <c r="C421" i="3"/>
  <c r="D421" i="3"/>
  <c r="E421" i="3"/>
  <c r="F421" i="3"/>
  <c r="G421" i="3"/>
  <c r="H421" i="3"/>
  <c r="I421" i="3"/>
  <c r="J421" i="3"/>
  <c r="K421" i="3"/>
  <c r="B422" i="3"/>
  <c r="C422" i="3"/>
  <c r="D422" i="3"/>
  <c r="E422" i="3"/>
  <c r="F422" i="3"/>
  <c r="G422" i="3"/>
  <c r="H422" i="3"/>
  <c r="I422" i="3"/>
  <c r="J422" i="3"/>
  <c r="K422" i="3"/>
  <c r="B423" i="3"/>
  <c r="C423" i="3"/>
  <c r="D423" i="3"/>
  <c r="E423" i="3"/>
  <c r="F423" i="3"/>
  <c r="G423" i="3"/>
  <c r="H423" i="3"/>
  <c r="I423" i="3"/>
  <c r="J423" i="3"/>
  <c r="K423" i="3"/>
  <c r="B424" i="3"/>
  <c r="C424" i="3"/>
  <c r="D424" i="3"/>
  <c r="E424" i="3"/>
  <c r="F424" i="3"/>
  <c r="G424" i="3"/>
  <c r="H424" i="3"/>
  <c r="I424" i="3"/>
  <c r="J424" i="3"/>
  <c r="K424" i="3"/>
  <c r="B425" i="3"/>
  <c r="C425" i="3"/>
  <c r="D425" i="3"/>
  <c r="E425" i="3"/>
  <c r="F425" i="3"/>
  <c r="G425" i="3"/>
  <c r="H425" i="3"/>
  <c r="I425" i="3"/>
  <c r="J425" i="3"/>
  <c r="K425" i="3"/>
  <c r="B426" i="3"/>
  <c r="C426" i="3"/>
  <c r="D426" i="3"/>
  <c r="E426" i="3"/>
  <c r="F426" i="3"/>
  <c r="G426" i="3"/>
  <c r="H426" i="3"/>
  <c r="I426" i="3"/>
  <c r="J426" i="3"/>
  <c r="K426" i="3"/>
  <c r="B427" i="3"/>
  <c r="C427" i="3"/>
  <c r="D427" i="3"/>
  <c r="E427" i="3"/>
  <c r="F427" i="3"/>
  <c r="G427" i="3"/>
  <c r="H427" i="3"/>
  <c r="I427" i="3"/>
  <c r="J427" i="3"/>
  <c r="K427" i="3"/>
  <c r="B428" i="3"/>
  <c r="C428" i="3"/>
  <c r="D428" i="3"/>
  <c r="E428" i="3"/>
  <c r="F428" i="3"/>
  <c r="G428" i="3"/>
  <c r="H428" i="3"/>
  <c r="I428" i="3"/>
  <c r="J428" i="3"/>
  <c r="K428" i="3"/>
  <c r="B429" i="3"/>
  <c r="C429" i="3"/>
  <c r="D429" i="3"/>
  <c r="E429" i="3"/>
  <c r="F429" i="3"/>
  <c r="G429" i="3"/>
  <c r="H429" i="3"/>
  <c r="I429" i="3"/>
  <c r="J429" i="3"/>
  <c r="K429" i="3"/>
  <c r="B430" i="3"/>
  <c r="C430" i="3"/>
  <c r="D430" i="3"/>
  <c r="E430" i="3"/>
  <c r="F430" i="3"/>
  <c r="G430" i="3"/>
  <c r="H430" i="3"/>
  <c r="I430" i="3"/>
  <c r="J430" i="3"/>
  <c r="K430" i="3"/>
  <c r="B431" i="3"/>
  <c r="C431" i="3"/>
  <c r="D431" i="3"/>
  <c r="E431" i="3"/>
  <c r="F431" i="3"/>
  <c r="G431" i="3"/>
  <c r="H431" i="3"/>
  <c r="I431" i="3"/>
  <c r="J431" i="3"/>
  <c r="K431" i="3"/>
  <c r="B432" i="3"/>
  <c r="C432" i="3"/>
  <c r="D432" i="3"/>
  <c r="E432" i="3"/>
  <c r="F432" i="3"/>
  <c r="G432" i="3"/>
  <c r="H432" i="3"/>
  <c r="I432" i="3"/>
  <c r="J432" i="3"/>
  <c r="K432" i="3"/>
  <c r="B433" i="3"/>
  <c r="C433" i="3"/>
  <c r="D433" i="3"/>
  <c r="E433" i="3"/>
  <c r="F433" i="3"/>
  <c r="G433" i="3"/>
  <c r="H433" i="3"/>
  <c r="I433" i="3"/>
  <c r="J433" i="3"/>
  <c r="K433" i="3"/>
  <c r="B434" i="3"/>
  <c r="C434" i="3"/>
  <c r="D434" i="3"/>
  <c r="E434" i="3"/>
  <c r="F434" i="3"/>
  <c r="G434" i="3"/>
  <c r="H434" i="3"/>
  <c r="I434" i="3"/>
  <c r="J434" i="3"/>
  <c r="K434" i="3"/>
  <c r="B435" i="3"/>
  <c r="C435" i="3"/>
  <c r="D435" i="3"/>
  <c r="E435" i="3"/>
  <c r="F435" i="3"/>
  <c r="G435" i="3"/>
  <c r="H435" i="3"/>
  <c r="I435" i="3"/>
  <c r="J435" i="3"/>
  <c r="K435" i="3"/>
  <c r="B436" i="3"/>
  <c r="C436" i="3"/>
  <c r="D436" i="3"/>
  <c r="E436" i="3"/>
  <c r="F436" i="3"/>
  <c r="G436" i="3"/>
  <c r="H436" i="3"/>
  <c r="I436" i="3"/>
  <c r="J436" i="3"/>
  <c r="K436" i="3"/>
  <c r="B437" i="3"/>
  <c r="C437" i="3"/>
  <c r="D437" i="3"/>
  <c r="E437" i="3"/>
  <c r="F437" i="3"/>
  <c r="G437" i="3"/>
  <c r="H437" i="3"/>
  <c r="I437" i="3"/>
  <c r="J437" i="3"/>
  <c r="K437" i="3"/>
  <c r="B438" i="3"/>
  <c r="C438" i="3"/>
  <c r="D438" i="3"/>
  <c r="E438" i="3"/>
  <c r="F438" i="3"/>
  <c r="G438" i="3"/>
  <c r="H438" i="3"/>
  <c r="I438" i="3"/>
  <c r="J438" i="3"/>
  <c r="K438" i="3"/>
  <c r="B439" i="3"/>
  <c r="C439" i="3"/>
  <c r="D439" i="3"/>
  <c r="E439" i="3"/>
  <c r="F439" i="3"/>
  <c r="G439" i="3"/>
  <c r="H439" i="3"/>
  <c r="I439" i="3"/>
  <c r="J439" i="3"/>
  <c r="K439" i="3"/>
  <c r="B440" i="3"/>
  <c r="C440" i="3"/>
  <c r="D440" i="3"/>
  <c r="E440" i="3"/>
  <c r="F440" i="3"/>
  <c r="G440" i="3"/>
  <c r="H440" i="3"/>
  <c r="I440" i="3"/>
  <c r="J440" i="3"/>
  <c r="K440" i="3"/>
  <c r="B441" i="3"/>
  <c r="C441" i="3"/>
  <c r="D441" i="3"/>
  <c r="E441" i="3"/>
  <c r="F441" i="3"/>
  <c r="G441" i="3"/>
  <c r="H441" i="3"/>
  <c r="I441" i="3"/>
  <c r="J441" i="3"/>
  <c r="K441" i="3"/>
  <c r="B442" i="3"/>
  <c r="C442" i="3"/>
  <c r="D442" i="3"/>
  <c r="E442" i="3"/>
  <c r="F442" i="3"/>
  <c r="G442" i="3"/>
  <c r="H442" i="3"/>
  <c r="I442" i="3"/>
  <c r="J442" i="3"/>
  <c r="K442" i="3"/>
  <c r="B443" i="3"/>
  <c r="C443" i="3"/>
  <c r="D443" i="3"/>
  <c r="E443" i="3"/>
  <c r="F443" i="3"/>
  <c r="G443" i="3"/>
  <c r="H443" i="3"/>
  <c r="I443" i="3"/>
  <c r="J443" i="3"/>
  <c r="K443" i="3"/>
  <c r="B444" i="3"/>
  <c r="C444" i="3"/>
  <c r="D444" i="3"/>
  <c r="E444" i="3"/>
  <c r="F444" i="3"/>
  <c r="G444" i="3"/>
  <c r="H444" i="3"/>
  <c r="I444" i="3"/>
  <c r="J444" i="3"/>
  <c r="K444" i="3"/>
  <c r="B445" i="3"/>
  <c r="C445" i="3"/>
  <c r="D445" i="3"/>
  <c r="E445" i="3"/>
  <c r="F445" i="3"/>
  <c r="G445" i="3"/>
  <c r="H445" i="3"/>
  <c r="I445" i="3"/>
  <c r="J445" i="3"/>
  <c r="K445" i="3"/>
  <c r="B446" i="3"/>
  <c r="C446" i="3"/>
  <c r="D446" i="3"/>
  <c r="E446" i="3"/>
  <c r="F446" i="3"/>
  <c r="G446" i="3"/>
  <c r="H446" i="3"/>
  <c r="I446" i="3"/>
  <c r="J446" i="3"/>
  <c r="K446" i="3"/>
  <c r="B447" i="3"/>
  <c r="C447" i="3"/>
  <c r="D447" i="3"/>
  <c r="E447" i="3"/>
  <c r="F447" i="3"/>
  <c r="G447" i="3"/>
  <c r="H447" i="3"/>
  <c r="I447" i="3"/>
  <c r="J447" i="3"/>
  <c r="K447" i="3"/>
  <c r="B448" i="3"/>
  <c r="C448" i="3"/>
  <c r="D448" i="3"/>
  <c r="E448" i="3"/>
  <c r="F448" i="3"/>
  <c r="G448" i="3"/>
  <c r="H448" i="3"/>
  <c r="I448" i="3"/>
  <c r="J448" i="3"/>
  <c r="K448" i="3"/>
  <c r="B449" i="3"/>
  <c r="C449" i="3"/>
  <c r="D449" i="3"/>
  <c r="E449" i="3"/>
  <c r="F449" i="3"/>
  <c r="G449" i="3"/>
  <c r="H449" i="3"/>
  <c r="I449" i="3"/>
  <c r="J449" i="3"/>
  <c r="K449" i="3"/>
  <c r="B450" i="3"/>
  <c r="C450" i="3"/>
  <c r="D450" i="3"/>
  <c r="E450" i="3"/>
  <c r="F450" i="3"/>
  <c r="G450" i="3"/>
  <c r="H450" i="3"/>
  <c r="I450" i="3"/>
  <c r="J450" i="3"/>
  <c r="K450" i="3"/>
  <c r="B451" i="3"/>
  <c r="C451" i="3"/>
  <c r="D451" i="3"/>
  <c r="E451" i="3"/>
  <c r="F451" i="3"/>
  <c r="G451" i="3"/>
  <c r="H451" i="3"/>
  <c r="I451" i="3"/>
  <c r="J451" i="3"/>
  <c r="K451" i="3"/>
  <c r="B452" i="3"/>
  <c r="C452" i="3"/>
  <c r="D452" i="3"/>
  <c r="E452" i="3"/>
  <c r="F452" i="3"/>
  <c r="G452" i="3"/>
  <c r="H452" i="3"/>
  <c r="I452" i="3"/>
  <c r="J452" i="3"/>
  <c r="K452" i="3"/>
  <c r="B453" i="3"/>
  <c r="C453" i="3"/>
  <c r="D453" i="3"/>
  <c r="E453" i="3"/>
  <c r="F453" i="3"/>
  <c r="G453" i="3"/>
  <c r="H453" i="3"/>
  <c r="I453" i="3"/>
  <c r="J453" i="3"/>
  <c r="K453" i="3"/>
  <c r="B454" i="3"/>
  <c r="C454" i="3"/>
  <c r="D454" i="3"/>
  <c r="E454" i="3"/>
  <c r="F454" i="3"/>
  <c r="G454" i="3"/>
  <c r="H454" i="3"/>
  <c r="I454" i="3"/>
  <c r="J454" i="3"/>
  <c r="K454" i="3"/>
  <c r="B455" i="3"/>
  <c r="C455" i="3"/>
  <c r="D455" i="3"/>
  <c r="E455" i="3"/>
  <c r="F455" i="3"/>
  <c r="G455" i="3"/>
  <c r="H455" i="3"/>
  <c r="I455" i="3"/>
  <c r="J455" i="3"/>
  <c r="K455" i="3"/>
  <c r="B456" i="3"/>
  <c r="C456" i="3"/>
  <c r="D456" i="3"/>
  <c r="E456" i="3"/>
  <c r="F456" i="3"/>
  <c r="G456" i="3"/>
  <c r="H456" i="3"/>
  <c r="I456" i="3"/>
  <c r="J456" i="3"/>
  <c r="K456" i="3"/>
  <c r="B457" i="3"/>
  <c r="C457" i="3"/>
  <c r="D457" i="3"/>
  <c r="E457" i="3"/>
  <c r="F457" i="3"/>
  <c r="G457" i="3"/>
  <c r="H457" i="3"/>
  <c r="I457" i="3"/>
  <c r="J457" i="3"/>
  <c r="K457" i="3"/>
  <c r="B458" i="3"/>
  <c r="C458" i="3"/>
  <c r="D458" i="3"/>
  <c r="E458" i="3"/>
  <c r="F458" i="3"/>
  <c r="G458" i="3"/>
  <c r="H458" i="3"/>
  <c r="I458" i="3"/>
  <c r="J458" i="3"/>
  <c r="K458" i="3"/>
  <c r="B459" i="3"/>
  <c r="C459" i="3"/>
  <c r="D459" i="3"/>
  <c r="E459" i="3"/>
  <c r="F459" i="3"/>
  <c r="G459" i="3"/>
  <c r="H459" i="3"/>
  <c r="I459" i="3"/>
  <c r="J459" i="3"/>
  <c r="K459" i="3"/>
  <c r="B460" i="3"/>
  <c r="C460" i="3"/>
  <c r="D460" i="3"/>
  <c r="E460" i="3"/>
  <c r="F460" i="3"/>
  <c r="G460" i="3"/>
  <c r="H460" i="3"/>
  <c r="I460" i="3"/>
  <c r="J460" i="3"/>
  <c r="K460" i="3"/>
  <c r="B461" i="3"/>
  <c r="C461" i="3"/>
  <c r="D461" i="3"/>
  <c r="E461" i="3"/>
  <c r="F461" i="3"/>
  <c r="G461" i="3"/>
  <c r="H461" i="3"/>
  <c r="I461" i="3"/>
  <c r="J461" i="3"/>
  <c r="K461" i="3"/>
  <c r="B462" i="3"/>
  <c r="C462" i="3"/>
  <c r="D462" i="3"/>
  <c r="E462" i="3"/>
  <c r="F462" i="3"/>
  <c r="G462" i="3"/>
  <c r="H462" i="3"/>
  <c r="I462" i="3"/>
  <c r="J462" i="3"/>
  <c r="K462" i="3"/>
  <c r="B463" i="3"/>
  <c r="C463" i="3"/>
  <c r="D463" i="3"/>
  <c r="E463" i="3"/>
  <c r="F463" i="3"/>
  <c r="G463" i="3"/>
  <c r="H463" i="3"/>
  <c r="I463" i="3"/>
  <c r="J463" i="3"/>
  <c r="K463" i="3"/>
  <c r="B464" i="3"/>
  <c r="C464" i="3"/>
  <c r="D464" i="3"/>
  <c r="E464" i="3"/>
  <c r="F464" i="3"/>
  <c r="G464" i="3"/>
  <c r="H464" i="3"/>
  <c r="I464" i="3"/>
  <c r="J464" i="3"/>
  <c r="K464" i="3"/>
  <c r="B465" i="3"/>
  <c r="C465" i="3"/>
  <c r="D465" i="3"/>
  <c r="E465" i="3"/>
  <c r="F465" i="3"/>
  <c r="G465" i="3"/>
  <c r="H465" i="3"/>
  <c r="I465" i="3"/>
  <c r="J465" i="3"/>
  <c r="K465" i="3"/>
  <c r="B466" i="3"/>
  <c r="C466" i="3"/>
  <c r="D466" i="3"/>
  <c r="E466" i="3"/>
  <c r="F466" i="3"/>
  <c r="G466" i="3"/>
  <c r="H466" i="3"/>
  <c r="I466" i="3"/>
  <c r="J466" i="3"/>
  <c r="K466" i="3"/>
  <c r="B467" i="3"/>
  <c r="C467" i="3"/>
  <c r="D467" i="3"/>
  <c r="E467" i="3"/>
  <c r="F467" i="3"/>
  <c r="G467" i="3"/>
  <c r="H467" i="3"/>
  <c r="I467" i="3"/>
  <c r="J467" i="3"/>
  <c r="K467" i="3"/>
  <c r="B468" i="3"/>
  <c r="C468" i="3"/>
  <c r="D468" i="3"/>
  <c r="E468" i="3"/>
  <c r="F468" i="3"/>
  <c r="G468" i="3"/>
  <c r="H468" i="3"/>
  <c r="I468" i="3"/>
  <c r="J468" i="3"/>
  <c r="K468" i="3"/>
  <c r="B469" i="3"/>
  <c r="C469" i="3"/>
  <c r="D469" i="3"/>
  <c r="E469" i="3"/>
  <c r="F469" i="3"/>
  <c r="G469" i="3"/>
  <c r="H469" i="3"/>
  <c r="I469" i="3"/>
  <c r="J469" i="3"/>
  <c r="K469" i="3"/>
  <c r="B470" i="3"/>
  <c r="C470" i="3"/>
  <c r="D470" i="3"/>
  <c r="E470" i="3"/>
  <c r="F470" i="3"/>
  <c r="G470" i="3"/>
  <c r="H470" i="3"/>
  <c r="I470" i="3"/>
  <c r="J470" i="3"/>
  <c r="K470" i="3"/>
  <c r="B471" i="3"/>
  <c r="C471" i="3"/>
  <c r="D471" i="3"/>
  <c r="E471" i="3"/>
  <c r="F471" i="3"/>
  <c r="G471" i="3"/>
  <c r="H471" i="3"/>
  <c r="I471" i="3"/>
  <c r="J471" i="3"/>
  <c r="K471" i="3"/>
  <c r="B472" i="3"/>
  <c r="C472" i="3"/>
  <c r="D472" i="3"/>
  <c r="E472" i="3"/>
  <c r="F472" i="3"/>
  <c r="G472" i="3"/>
  <c r="H472" i="3"/>
  <c r="I472" i="3"/>
  <c r="J472" i="3"/>
  <c r="K472" i="3"/>
  <c r="B473" i="3"/>
  <c r="C473" i="3"/>
  <c r="D473" i="3"/>
  <c r="E473" i="3"/>
  <c r="F473" i="3"/>
  <c r="G473" i="3"/>
  <c r="H473" i="3"/>
  <c r="I473" i="3"/>
  <c r="J473" i="3"/>
  <c r="K473" i="3"/>
  <c r="B474" i="3"/>
  <c r="C474" i="3"/>
  <c r="D474" i="3"/>
  <c r="E474" i="3"/>
  <c r="F474" i="3"/>
  <c r="G474" i="3"/>
  <c r="H474" i="3"/>
  <c r="I474" i="3"/>
  <c r="J474" i="3"/>
  <c r="K474" i="3"/>
  <c r="B475" i="3"/>
  <c r="C475" i="3"/>
  <c r="D475" i="3"/>
  <c r="E475" i="3"/>
  <c r="F475" i="3"/>
  <c r="G475" i="3"/>
  <c r="H475" i="3"/>
  <c r="I475" i="3"/>
  <c r="J475" i="3"/>
  <c r="K475" i="3"/>
  <c r="B476" i="3"/>
  <c r="C476" i="3"/>
  <c r="D476" i="3"/>
  <c r="E476" i="3"/>
  <c r="F476" i="3"/>
  <c r="G476" i="3"/>
  <c r="H476" i="3"/>
  <c r="I476" i="3"/>
  <c r="J476" i="3"/>
  <c r="K476" i="3"/>
  <c r="B477" i="3"/>
  <c r="C477" i="3"/>
  <c r="D477" i="3"/>
  <c r="E477" i="3"/>
  <c r="F477" i="3"/>
  <c r="G477" i="3"/>
  <c r="H477" i="3"/>
  <c r="I477" i="3"/>
  <c r="J477" i="3"/>
  <c r="K477" i="3"/>
  <c r="B478" i="3"/>
  <c r="C478" i="3"/>
  <c r="D478" i="3"/>
  <c r="E478" i="3"/>
  <c r="F478" i="3"/>
  <c r="G478" i="3"/>
  <c r="H478" i="3"/>
  <c r="I478" i="3"/>
  <c r="J478" i="3"/>
  <c r="K478" i="3"/>
  <c r="B479" i="3"/>
  <c r="C479" i="3"/>
  <c r="D479" i="3"/>
  <c r="E479" i="3"/>
  <c r="F479" i="3"/>
  <c r="G479" i="3"/>
  <c r="H479" i="3"/>
  <c r="I479" i="3"/>
  <c r="J479" i="3"/>
  <c r="K479" i="3"/>
  <c r="B480" i="3"/>
  <c r="C480" i="3"/>
  <c r="D480" i="3"/>
  <c r="E480" i="3"/>
  <c r="F480" i="3"/>
  <c r="G480" i="3"/>
  <c r="H480" i="3"/>
  <c r="I480" i="3"/>
  <c r="J480" i="3"/>
  <c r="K480" i="3"/>
  <c r="B481" i="3"/>
  <c r="C481" i="3"/>
  <c r="D481" i="3"/>
  <c r="E481" i="3"/>
  <c r="F481" i="3"/>
  <c r="G481" i="3"/>
  <c r="H481" i="3"/>
  <c r="I481" i="3"/>
  <c r="J481" i="3"/>
  <c r="K481" i="3"/>
  <c r="B482" i="3"/>
  <c r="C482" i="3"/>
  <c r="D482" i="3"/>
  <c r="E482" i="3"/>
  <c r="F482" i="3"/>
  <c r="G482" i="3"/>
  <c r="H482" i="3"/>
  <c r="I482" i="3"/>
  <c r="J482" i="3"/>
  <c r="K482" i="3"/>
  <c r="B483" i="3"/>
  <c r="C483" i="3"/>
  <c r="D483" i="3"/>
  <c r="E483" i="3"/>
  <c r="F483" i="3"/>
  <c r="G483" i="3"/>
  <c r="H483" i="3"/>
  <c r="I483" i="3"/>
  <c r="J483" i="3"/>
  <c r="K483" i="3"/>
  <c r="B484" i="3"/>
  <c r="C484" i="3"/>
  <c r="D484" i="3"/>
  <c r="E484" i="3"/>
  <c r="F484" i="3"/>
  <c r="G484" i="3"/>
  <c r="H484" i="3"/>
  <c r="I484" i="3"/>
  <c r="J484" i="3"/>
  <c r="K484" i="3"/>
  <c r="B485" i="3"/>
  <c r="C485" i="3"/>
  <c r="D485" i="3"/>
  <c r="E485" i="3"/>
  <c r="F485" i="3"/>
  <c r="G485" i="3"/>
  <c r="H485" i="3"/>
  <c r="I485" i="3"/>
  <c r="J485" i="3"/>
  <c r="K485" i="3"/>
  <c r="B486" i="3"/>
  <c r="C486" i="3"/>
  <c r="D486" i="3"/>
  <c r="E486" i="3"/>
  <c r="F486" i="3"/>
  <c r="G486" i="3"/>
  <c r="H486" i="3"/>
  <c r="I486" i="3"/>
  <c r="J486" i="3"/>
  <c r="K486" i="3"/>
  <c r="B487" i="3"/>
  <c r="C487" i="3"/>
  <c r="D487" i="3"/>
  <c r="E487" i="3"/>
  <c r="F487" i="3"/>
  <c r="G487" i="3"/>
  <c r="H487" i="3"/>
  <c r="I487" i="3"/>
  <c r="J487" i="3"/>
  <c r="K487" i="3"/>
  <c r="B488" i="3"/>
  <c r="C488" i="3"/>
  <c r="D488" i="3"/>
  <c r="E488" i="3"/>
  <c r="F488" i="3"/>
  <c r="G488" i="3"/>
  <c r="H488" i="3"/>
  <c r="I488" i="3"/>
  <c r="J488" i="3"/>
  <c r="K488" i="3"/>
  <c r="B489" i="3"/>
  <c r="C489" i="3"/>
  <c r="D489" i="3"/>
  <c r="E489" i="3"/>
  <c r="F489" i="3"/>
  <c r="G489" i="3"/>
  <c r="H489" i="3"/>
  <c r="I489" i="3"/>
  <c r="J489" i="3"/>
  <c r="K489" i="3"/>
  <c r="B490" i="3"/>
  <c r="C490" i="3"/>
  <c r="D490" i="3"/>
  <c r="E490" i="3"/>
  <c r="F490" i="3"/>
  <c r="G490" i="3"/>
  <c r="H490" i="3"/>
  <c r="I490" i="3"/>
  <c r="J490" i="3"/>
  <c r="K490" i="3"/>
  <c r="B491" i="3"/>
  <c r="C491" i="3"/>
  <c r="D491" i="3"/>
  <c r="E491" i="3"/>
  <c r="F491" i="3"/>
  <c r="G491" i="3"/>
  <c r="H491" i="3"/>
  <c r="I491" i="3"/>
  <c r="J491" i="3"/>
  <c r="K491" i="3"/>
  <c r="B492" i="3"/>
  <c r="C492" i="3"/>
  <c r="D492" i="3"/>
  <c r="E492" i="3"/>
  <c r="F492" i="3"/>
  <c r="G492" i="3"/>
  <c r="H492" i="3"/>
  <c r="I492" i="3"/>
  <c r="J492" i="3"/>
  <c r="K492" i="3"/>
  <c r="B493" i="3"/>
  <c r="C493" i="3"/>
  <c r="D493" i="3"/>
  <c r="E493" i="3"/>
  <c r="F493" i="3"/>
  <c r="G493" i="3"/>
  <c r="H493" i="3"/>
  <c r="I493" i="3"/>
  <c r="J493" i="3"/>
  <c r="K493" i="3"/>
  <c r="B494" i="3"/>
  <c r="C494" i="3"/>
  <c r="D494" i="3"/>
  <c r="E494" i="3"/>
  <c r="F494" i="3"/>
  <c r="G494" i="3"/>
  <c r="H494" i="3"/>
  <c r="I494" i="3"/>
  <c r="J494" i="3"/>
  <c r="K494" i="3"/>
  <c r="B495" i="3"/>
  <c r="C495" i="3"/>
  <c r="D495" i="3"/>
  <c r="E495" i="3"/>
  <c r="F495" i="3"/>
  <c r="G495" i="3"/>
  <c r="H495" i="3"/>
  <c r="I495" i="3"/>
  <c r="J495" i="3"/>
  <c r="K495" i="3"/>
  <c r="B496" i="3"/>
  <c r="C496" i="3"/>
  <c r="D496" i="3"/>
  <c r="E496" i="3"/>
  <c r="F496" i="3"/>
  <c r="G496" i="3"/>
  <c r="H496" i="3"/>
  <c r="I496" i="3"/>
  <c r="J496" i="3"/>
  <c r="K496" i="3"/>
  <c r="B497" i="3"/>
  <c r="C497" i="3"/>
  <c r="D497" i="3"/>
  <c r="E497" i="3"/>
  <c r="F497" i="3"/>
  <c r="G497" i="3"/>
  <c r="H497" i="3"/>
  <c r="I497" i="3"/>
  <c r="J497" i="3"/>
  <c r="K497" i="3"/>
  <c r="B498" i="3"/>
  <c r="C498" i="3"/>
  <c r="D498" i="3"/>
  <c r="E498" i="3"/>
  <c r="F498" i="3"/>
  <c r="G498" i="3"/>
  <c r="H498" i="3"/>
  <c r="I498" i="3"/>
  <c r="J498" i="3"/>
  <c r="K498" i="3"/>
  <c r="B499" i="3"/>
  <c r="C499" i="3"/>
  <c r="D499" i="3"/>
  <c r="E499" i="3"/>
  <c r="F499" i="3"/>
  <c r="G499" i="3"/>
  <c r="H499" i="3"/>
  <c r="I499" i="3"/>
  <c r="J499" i="3"/>
  <c r="K499" i="3"/>
  <c r="B500" i="3"/>
  <c r="C500" i="3"/>
  <c r="D500" i="3"/>
  <c r="E500" i="3"/>
  <c r="F500" i="3"/>
  <c r="G500" i="3"/>
  <c r="H500" i="3"/>
  <c r="I500" i="3"/>
  <c r="J500" i="3"/>
  <c r="K500" i="3"/>
  <c r="B501" i="3"/>
  <c r="C501" i="3"/>
  <c r="D501" i="3"/>
  <c r="E501" i="3"/>
  <c r="F501" i="3"/>
  <c r="G501" i="3"/>
  <c r="H501" i="3"/>
  <c r="I501" i="3"/>
  <c r="J501" i="3"/>
  <c r="K501" i="3"/>
  <c r="B502" i="3"/>
  <c r="C502" i="3"/>
  <c r="D502" i="3"/>
  <c r="E502" i="3"/>
  <c r="F502" i="3"/>
  <c r="G502" i="3"/>
  <c r="H502" i="3"/>
  <c r="I502" i="3"/>
  <c r="J502" i="3"/>
  <c r="K502" i="3"/>
  <c r="B503" i="3"/>
  <c r="C503" i="3"/>
  <c r="D503" i="3"/>
  <c r="E503" i="3"/>
  <c r="F503" i="3"/>
  <c r="G503" i="3"/>
  <c r="H503" i="3"/>
  <c r="I503" i="3"/>
  <c r="J503" i="3"/>
  <c r="K503" i="3"/>
  <c r="B504" i="3"/>
  <c r="C504" i="3"/>
  <c r="D504" i="3"/>
  <c r="E504" i="3"/>
  <c r="F504" i="3"/>
  <c r="G504" i="3"/>
  <c r="H504" i="3"/>
  <c r="I504" i="3"/>
  <c r="J504" i="3"/>
  <c r="K504" i="3"/>
  <c r="B505" i="3"/>
  <c r="C505" i="3"/>
  <c r="D505" i="3"/>
  <c r="E505" i="3"/>
  <c r="F505" i="3"/>
  <c r="G505" i="3"/>
  <c r="H505" i="3"/>
  <c r="I505" i="3"/>
  <c r="J505" i="3"/>
  <c r="K505" i="3"/>
  <c r="B506" i="3"/>
  <c r="C506" i="3"/>
  <c r="D506" i="3"/>
  <c r="E506" i="3"/>
  <c r="F506" i="3"/>
  <c r="G506" i="3"/>
  <c r="H506" i="3"/>
  <c r="I506" i="3"/>
  <c r="J506" i="3"/>
  <c r="K506" i="3"/>
  <c r="B507" i="3"/>
  <c r="C507" i="3"/>
  <c r="D507" i="3"/>
  <c r="E507" i="3"/>
  <c r="F507" i="3"/>
  <c r="G507" i="3"/>
  <c r="H507" i="3"/>
  <c r="I507" i="3"/>
  <c r="J507" i="3"/>
  <c r="K507" i="3"/>
  <c r="B508" i="3"/>
  <c r="C508" i="3"/>
  <c r="D508" i="3"/>
  <c r="E508" i="3"/>
  <c r="F508" i="3"/>
  <c r="G508" i="3"/>
  <c r="H508" i="3"/>
  <c r="I508" i="3"/>
  <c r="J508" i="3"/>
  <c r="K508" i="3"/>
  <c r="B509" i="3"/>
  <c r="C509" i="3"/>
  <c r="D509" i="3"/>
  <c r="E509" i="3"/>
  <c r="F509" i="3"/>
  <c r="G509" i="3"/>
  <c r="H509" i="3"/>
  <c r="I509" i="3"/>
  <c r="J509" i="3"/>
  <c r="K509" i="3"/>
  <c r="B510" i="3"/>
  <c r="C510" i="3"/>
  <c r="D510" i="3"/>
  <c r="E510" i="3"/>
  <c r="F510" i="3"/>
  <c r="G510" i="3"/>
  <c r="H510" i="3"/>
  <c r="I510" i="3"/>
  <c r="J510" i="3"/>
  <c r="K510" i="3"/>
  <c r="B511" i="3"/>
  <c r="C511" i="3"/>
  <c r="D511" i="3"/>
  <c r="E511" i="3"/>
  <c r="F511" i="3"/>
  <c r="G511" i="3"/>
  <c r="H511" i="3"/>
  <c r="I511" i="3"/>
  <c r="J511" i="3"/>
  <c r="K511" i="3"/>
  <c r="B512" i="3"/>
  <c r="C512" i="3"/>
  <c r="D512" i="3"/>
  <c r="E512" i="3"/>
  <c r="F512" i="3"/>
  <c r="G512" i="3"/>
  <c r="H512" i="3"/>
  <c r="I512" i="3"/>
  <c r="J512" i="3"/>
  <c r="K512" i="3"/>
  <c r="B513" i="3"/>
  <c r="C513" i="3"/>
  <c r="D513" i="3"/>
  <c r="E513" i="3"/>
  <c r="F513" i="3"/>
  <c r="G513" i="3"/>
  <c r="H513" i="3"/>
  <c r="I513" i="3"/>
  <c r="J513" i="3"/>
  <c r="K513" i="3"/>
  <c r="B514" i="3"/>
  <c r="C514" i="3"/>
  <c r="D514" i="3"/>
  <c r="E514" i="3"/>
  <c r="F514" i="3"/>
  <c r="G514" i="3"/>
  <c r="H514" i="3"/>
  <c r="I514" i="3"/>
  <c r="J514" i="3"/>
  <c r="K514" i="3"/>
  <c r="B515" i="3"/>
  <c r="C515" i="3"/>
  <c r="D515" i="3"/>
  <c r="E515" i="3"/>
  <c r="F515" i="3"/>
  <c r="G515" i="3"/>
  <c r="H515" i="3"/>
  <c r="I515" i="3"/>
  <c r="J515" i="3"/>
  <c r="K515" i="3"/>
  <c r="B516" i="3"/>
  <c r="C516" i="3"/>
  <c r="D516" i="3"/>
  <c r="E516" i="3"/>
  <c r="F516" i="3"/>
  <c r="G516" i="3"/>
  <c r="H516" i="3"/>
  <c r="I516" i="3"/>
  <c r="J516" i="3"/>
  <c r="K516" i="3"/>
  <c r="B517" i="3"/>
  <c r="C517" i="3"/>
  <c r="D517" i="3"/>
  <c r="E517" i="3"/>
  <c r="F517" i="3"/>
  <c r="G517" i="3"/>
  <c r="H517" i="3"/>
  <c r="I517" i="3"/>
  <c r="J517" i="3"/>
  <c r="K517" i="3"/>
  <c r="B518" i="3"/>
  <c r="C518" i="3"/>
  <c r="D518" i="3"/>
  <c r="E518" i="3"/>
  <c r="F518" i="3"/>
  <c r="G518" i="3"/>
  <c r="H518" i="3"/>
  <c r="I518" i="3"/>
  <c r="J518" i="3"/>
  <c r="K518" i="3"/>
  <c r="B519" i="3"/>
  <c r="C519" i="3"/>
  <c r="D519" i="3"/>
  <c r="E519" i="3"/>
  <c r="F519" i="3"/>
  <c r="G519" i="3"/>
  <c r="H519" i="3"/>
  <c r="I519" i="3"/>
  <c r="J519" i="3"/>
  <c r="K519" i="3"/>
  <c r="B520" i="3"/>
  <c r="C520" i="3"/>
  <c r="D520" i="3"/>
  <c r="E520" i="3"/>
  <c r="F520" i="3"/>
  <c r="G520" i="3"/>
  <c r="H520" i="3"/>
  <c r="I520" i="3"/>
  <c r="J520" i="3"/>
  <c r="K520" i="3"/>
  <c r="B521" i="3"/>
  <c r="C521" i="3"/>
  <c r="D521" i="3"/>
  <c r="E521" i="3"/>
  <c r="F521" i="3"/>
  <c r="G521" i="3"/>
  <c r="H521" i="3"/>
  <c r="I521" i="3"/>
  <c r="J521" i="3"/>
  <c r="K521" i="3"/>
  <c r="B522" i="3"/>
  <c r="C522" i="3"/>
  <c r="D522" i="3"/>
  <c r="E522" i="3"/>
  <c r="F522" i="3"/>
  <c r="G522" i="3"/>
  <c r="H522" i="3"/>
  <c r="I522" i="3"/>
  <c r="J522" i="3"/>
  <c r="K522" i="3"/>
  <c r="B523" i="3"/>
  <c r="C523" i="3"/>
  <c r="D523" i="3"/>
  <c r="E523" i="3"/>
  <c r="F523" i="3"/>
  <c r="G523" i="3"/>
  <c r="H523" i="3"/>
  <c r="I523" i="3"/>
  <c r="J523" i="3"/>
  <c r="K523" i="3"/>
  <c r="B524" i="3"/>
  <c r="C524" i="3"/>
  <c r="D524" i="3"/>
  <c r="E524" i="3"/>
  <c r="F524" i="3"/>
  <c r="G524" i="3"/>
  <c r="H524" i="3"/>
  <c r="I524" i="3"/>
  <c r="J524" i="3"/>
  <c r="K524" i="3"/>
  <c r="B525" i="3"/>
  <c r="C525" i="3"/>
  <c r="D525" i="3"/>
  <c r="E525" i="3"/>
  <c r="F525" i="3"/>
  <c r="G525" i="3"/>
  <c r="H525" i="3"/>
  <c r="I525" i="3"/>
  <c r="J525" i="3"/>
  <c r="K525" i="3"/>
  <c r="B526" i="3"/>
  <c r="C526" i="3"/>
  <c r="D526" i="3"/>
  <c r="E526" i="3"/>
  <c r="F526" i="3"/>
  <c r="G526" i="3"/>
  <c r="H526" i="3"/>
  <c r="I526" i="3"/>
  <c r="J526" i="3"/>
  <c r="K526" i="3"/>
  <c r="B527" i="3"/>
  <c r="C527" i="3"/>
  <c r="D527" i="3"/>
  <c r="E527" i="3"/>
  <c r="F527" i="3"/>
  <c r="G527" i="3"/>
  <c r="H527" i="3"/>
  <c r="I527" i="3"/>
  <c r="J527" i="3"/>
  <c r="K527" i="3"/>
  <c r="B528" i="3"/>
  <c r="C528" i="3"/>
  <c r="D528" i="3"/>
  <c r="E528" i="3"/>
  <c r="F528" i="3"/>
  <c r="G528" i="3"/>
  <c r="H528" i="3"/>
  <c r="I528" i="3"/>
  <c r="J528" i="3"/>
  <c r="K528" i="3"/>
  <c r="B529" i="3"/>
  <c r="C529" i="3"/>
  <c r="D529" i="3"/>
  <c r="E529" i="3"/>
  <c r="F529" i="3"/>
  <c r="G529" i="3"/>
  <c r="H529" i="3"/>
  <c r="I529" i="3"/>
  <c r="J529" i="3"/>
  <c r="K529" i="3"/>
  <c r="B530" i="3"/>
  <c r="C530" i="3"/>
  <c r="D530" i="3"/>
  <c r="E530" i="3"/>
  <c r="F530" i="3"/>
  <c r="G530" i="3"/>
  <c r="H530" i="3"/>
  <c r="I530" i="3"/>
  <c r="J530" i="3"/>
  <c r="K530" i="3"/>
  <c r="B531" i="3"/>
  <c r="C531" i="3"/>
  <c r="D531" i="3"/>
  <c r="E531" i="3"/>
  <c r="F531" i="3"/>
  <c r="G531" i="3"/>
  <c r="H531" i="3"/>
  <c r="I531" i="3"/>
  <c r="J531" i="3"/>
  <c r="K531" i="3"/>
  <c r="B532" i="3"/>
  <c r="C532" i="3"/>
  <c r="D532" i="3"/>
  <c r="E532" i="3"/>
  <c r="F532" i="3"/>
  <c r="G532" i="3"/>
  <c r="H532" i="3"/>
  <c r="I532" i="3"/>
  <c r="J532" i="3"/>
  <c r="K532" i="3"/>
  <c r="B533" i="3"/>
  <c r="C533" i="3"/>
  <c r="D533" i="3"/>
  <c r="E533" i="3"/>
  <c r="F533" i="3"/>
  <c r="G533" i="3"/>
  <c r="H533" i="3"/>
  <c r="I533" i="3"/>
  <c r="J533" i="3"/>
  <c r="K533" i="3"/>
  <c r="B534" i="3"/>
  <c r="C534" i="3"/>
  <c r="D534" i="3"/>
  <c r="E534" i="3"/>
  <c r="F534" i="3"/>
  <c r="G534" i="3"/>
  <c r="H534" i="3"/>
  <c r="I534" i="3"/>
  <c r="J534" i="3"/>
  <c r="K534" i="3"/>
  <c r="B535" i="3"/>
  <c r="C535" i="3"/>
  <c r="D535" i="3"/>
  <c r="E535" i="3"/>
  <c r="F535" i="3"/>
  <c r="G535" i="3"/>
  <c r="H535" i="3"/>
  <c r="I535" i="3"/>
  <c r="J535" i="3"/>
  <c r="K535" i="3"/>
  <c r="B536" i="3"/>
  <c r="C536" i="3"/>
  <c r="D536" i="3"/>
  <c r="E536" i="3"/>
  <c r="F536" i="3"/>
  <c r="G536" i="3"/>
  <c r="H536" i="3"/>
  <c r="I536" i="3"/>
  <c r="J536" i="3"/>
  <c r="K536" i="3"/>
  <c r="B537" i="3"/>
  <c r="C537" i="3"/>
  <c r="D537" i="3"/>
  <c r="E537" i="3"/>
  <c r="F537" i="3"/>
  <c r="G537" i="3"/>
  <c r="H537" i="3"/>
  <c r="I537" i="3"/>
  <c r="J537" i="3"/>
  <c r="K537" i="3"/>
  <c r="B538" i="3"/>
  <c r="C538" i="3"/>
  <c r="D538" i="3"/>
  <c r="E538" i="3"/>
  <c r="F538" i="3"/>
  <c r="G538" i="3"/>
  <c r="H538" i="3"/>
  <c r="I538" i="3"/>
  <c r="J538" i="3"/>
  <c r="K538" i="3"/>
  <c r="B539" i="3"/>
  <c r="C539" i="3"/>
  <c r="D539" i="3"/>
  <c r="E539" i="3"/>
  <c r="F539" i="3"/>
  <c r="G539" i="3"/>
  <c r="H539" i="3"/>
  <c r="I539" i="3"/>
  <c r="J539" i="3"/>
  <c r="K539" i="3"/>
  <c r="B540" i="3"/>
  <c r="C540" i="3"/>
  <c r="D540" i="3"/>
  <c r="E540" i="3"/>
  <c r="F540" i="3"/>
  <c r="G540" i="3"/>
  <c r="H540" i="3"/>
  <c r="I540" i="3"/>
  <c r="J540" i="3"/>
  <c r="K540" i="3"/>
  <c r="B541" i="3"/>
  <c r="C541" i="3"/>
  <c r="D541" i="3"/>
  <c r="E541" i="3"/>
  <c r="F541" i="3"/>
  <c r="G541" i="3"/>
  <c r="H541" i="3"/>
  <c r="I541" i="3"/>
  <c r="J541" i="3"/>
  <c r="K541" i="3"/>
  <c r="B542" i="3"/>
  <c r="C542" i="3"/>
  <c r="D542" i="3"/>
  <c r="E542" i="3"/>
  <c r="F542" i="3"/>
  <c r="G542" i="3"/>
  <c r="H542" i="3"/>
  <c r="I542" i="3"/>
  <c r="J542" i="3"/>
  <c r="K542" i="3"/>
  <c r="B543" i="3"/>
  <c r="C543" i="3"/>
  <c r="D543" i="3"/>
  <c r="E543" i="3"/>
  <c r="F543" i="3"/>
  <c r="G543" i="3"/>
  <c r="H543" i="3"/>
  <c r="I543" i="3"/>
  <c r="J543" i="3"/>
  <c r="K543" i="3"/>
  <c r="B544" i="3"/>
  <c r="C544" i="3"/>
  <c r="D544" i="3"/>
  <c r="E544" i="3"/>
  <c r="F544" i="3"/>
  <c r="G544" i="3"/>
  <c r="H544" i="3"/>
  <c r="I544" i="3"/>
  <c r="J544" i="3"/>
  <c r="K544" i="3"/>
  <c r="B545" i="3"/>
  <c r="C545" i="3"/>
  <c r="D545" i="3"/>
  <c r="E545" i="3"/>
  <c r="F545" i="3"/>
  <c r="G545" i="3"/>
  <c r="H545" i="3"/>
  <c r="I545" i="3"/>
  <c r="J545" i="3"/>
  <c r="K545" i="3"/>
  <c r="B546" i="3"/>
  <c r="C546" i="3"/>
  <c r="D546" i="3"/>
  <c r="E546" i="3"/>
  <c r="F546" i="3"/>
  <c r="G546" i="3"/>
  <c r="H546" i="3"/>
  <c r="I546" i="3"/>
  <c r="J546" i="3"/>
  <c r="K546" i="3"/>
  <c r="B547" i="3"/>
  <c r="C547" i="3"/>
  <c r="D547" i="3"/>
  <c r="E547" i="3"/>
  <c r="F547" i="3"/>
  <c r="G547" i="3"/>
  <c r="H547" i="3"/>
  <c r="I547" i="3"/>
  <c r="J547" i="3"/>
  <c r="K547" i="3"/>
  <c r="B548" i="3"/>
  <c r="C548" i="3"/>
  <c r="D548" i="3"/>
  <c r="E548" i="3"/>
  <c r="F548" i="3"/>
  <c r="G548" i="3"/>
  <c r="H548" i="3"/>
  <c r="I548" i="3"/>
  <c r="J548" i="3"/>
  <c r="K548" i="3"/>
  <c r="B549" i="3"/>
  <c r="C549" i="3"/>
  <c r="D549" i="3"/>
  <c r="E549" i="3"/>
  <c r="F549" i="3"/>
  <c r="G549" i="3"/>
  <c r="H549" i="3"/>
  <c r="I549" i="3"/>
  <c r="J549" i="3"/>
  <c r="K549" i="3"/>
  <c r="B550" i="3"/>
  <c r="C550" i="3"/>
  <c r="D550" i="3"/>
  <c r="E550" i="3"/>
  <c r="F550" i="3"/>
  <c r="G550" i="3"/>
  <c r="H550" i="3"/>
  <c r="I550" i="3"/>
  <c r="J550" i="3"/>
  <c r="K550" i="3"/>
  <c r="B551" i="3"/>
  <c r="C551" i="3"/>
  <c r="D551" i="3"/>
  <c r="E551" i="3"/>
  <c r="F551" i="3"/>
  <c r="G551" i="3"/>
  <c r="H551" i="3"/>
  <c r="I551" i="3"/>
  <c r="J551" i="3"/>
  <c r="K551" i="3"/>
  <c r="B552" i="3"/>
  <c r="C552" i="3"/>
  <c r="D552" i="3"/>
  <c r="E552" i="3"/>
  <c r="F552" i="3"/>
  <c r="G552" i="3"/>
  <c r="H552" i="3"/>
  <c r="I552" i="3"/>
  <c r="J552" i="3"/>
  <c r="K552" i="3"/>
  <c r="B553" i="3"/>
  <c r="C553" i="3"/>
  <c r="D553" i="3"/>
  <c r="E553" i="3"/>
  <c r="F553" i="3"/>
  <c r="G553" i="3"/>
  <c r="H553" i="3"/>
  <c r="I553" i="3"/>
  <c r="J553" i="3"/>
  <c r="K553" i="3"/>
  <c r="B554" i="3"/>
  <c r="C554" i="3"/>
  <c r="D554" i="3"/>
  <c r="E554" i="3"/>
  <c r="F554" i="3"/>
  <c r="G554" i="3"/>
  <c r="H554" i="3"/>
  <c r="I554" i="3"/>
  <c r="J554" i="3"/>
  <c r="K554" i="3"/>
  <c r="B555" i="3"/>
  <c r="C555" i="3"/>
  <c r="D555" i="3"/>
  <c r="E555" i="3"/>
  <c r="F555" i="3"/>
  <c r="G555" i="3"/>
  <c r="H555" i="3"/>
  <c r="I555" i="3"/>
  <c r="J555" i="3"/>
  <c r="K555" i="3"/>
  <c r="B556" i="3"/>
  <c r="C556" i="3"/>
  <c r="D556" i="3"/>
  <c r="E556" i="3"/>
  <c r="F556" i="3"/>
  <c r="G556" i="3"/>
  <c r="H556" i="3"/>
  <c r="I556" i="3"/>
  <c r="J556" i="3"/>
  <c r="K556" i="3"/>
  <c r="B557" i="3"/>
  <c r="C557" i="3"/>
  <c r="D557" i="3"/>
  <c r="E557" i="3"/>
  <c r="F557" i="3"/>
  <c r="G557" i="3"/>
  <c r="H557" i="3"/>
  <c r="I557" i="3"/>
  <c r="J557" i="3"/>
  <c r="K557" i="3"/>
  <c r="B558" i="3"/>
  <c r="C558" i="3"/>
  <c r="D558" i="3"/>
  <c r="E558" i="3"/>
  <c r="F558" i="3"/>
  <c r="G558" i="3"/>
  <c r="H558" i="3"/>
  <c r="I558" i="3"/>
  <c r="J558" i="3"/>
  <c r="K558" i="3"/>
  <c r="B559" i="3"/>
  <c r="C559" i="3"/>
  <c r="D559" i="3"/>
  <c r="E559" i="3"/>
  <c r="F559" i="3"/>
  <c r="G559" i="3"/>
  <c r="H559" i="3"/>
  <c r="I559" i="3"/>
  <c r="J559" i="3"/>
  <c r="K559" i="3"/>
  <c r="B560" i="3"/>
  <c r="C560" i="3"/>
  <c r="D560" i="3"/>
  <c r="E560" i="3"/>
  <c r="F560" i="3"/>
  <c r="G560" i="3"/>
  <c r="H560" i="3"/>
  <c r="I560" i="3"/>
  <c r="J560" i="3"/>
  <c r="K560" i="3"/>
  <c r="B561" i="3"/>
  <c r="C561" i="3"/>
  <c r="D561" i="3"/>
  <c r="E561" i="3"/>
  <c r="F561" i="3"/>
  <c r="G561" i="3"/>
  <c r="H561" i="3"/>
  <c r="I561" i="3"/>
  <c r="J561" i="3"/>
  <c r="K561" i="3"/>
  <c r="B562" i="3"/>
  <c r="C562" i="3"/>
  <c r="D562" i="3"/>
  <c r="E562" i="3"/>
  <c r="F562" i="3"/>
  <c r="G562" i="3"/>
  <c r="H562" i="3"/>
  <c r="I562" i="3"/>
  <c r="J562" i="3"/>
  <c r="K562" i="3"/>
  <c r="B563" i="3"/>
  <c r="C563" i="3"/>
  <c r="D563" i="3"/>
  <c r="E563" i="3"/>
  <c r="F563" i="3"/>
  <c r="G563" i="3"/>
  <c r="H563" i="3"/>
  <c r="I563" i="3"/>
  <c r="J563" i="3"/>
  <c r="K563" i="3"/>
  <c r="B564" i="3"/>
  <c r="C564" i="3"/>
  <c r="D564" i="3"/>
  <c r="E564" i="3"/>
  <c r="F564" i="3"/>
  <c r="G564" i="3"/>
  <c r="H564" i="3"/>
  <c r="I564" i="3"/>
  <c r="J564" i="3"/>
  <c r="K564" i="3"/>
  <c r="B565" i="3"/>
  <c r="C565" i="3"/>
  <c r="D565" i="3"/>
  <c r="E565" i="3"/>
  <c r="F565" i="3"/>
  <c r="G565" i="3"/>
  <c r="H565" i="3"/>
  <c r="I565" i="3"/>
  <c r="J565" i="3"/>
  <c r="K565" i="3"/>
  <c r="B566" i="3"/>
  <c r="C566" i="3"/>
  <c r="D566" i="3"/>
  <c r="E566" i="3"/>
  <c r="F566" i="3"/>
  <c r="G566" i="3"/>
  <c r="H566" i="3"/>
  <c r="I566" i="3"/>
  <c r="J566" i="3"/>
  <c r="K566" i="3"/>
  <c r="B567" i="3"/>
  <c r="C567" i="3"/>
  <c r="D567" i="3"/>
  <c r="E567" i="3"/>
  <c r="F567" i="3"/>
  <c r="G567" i="3"/>
  <c r="H567" i="3"/>
  <c r="I567" i="3"/>
  <c r="J567" i="3"/>
  <c r="K567" i="3"/>
  <c r="B568" i="3"/>
  <c r="C568" i="3"/>
  <c r="D568" i="3"/>
  <c r="E568" i="3"/>
  <c r="F568" i="3"/>
  <c r="G568" i="3"/>
  <c r="H568" i="3"/>
  <c r="I568" i="3"/>
  <c r="J568" i="3"/>
  <c r="K568" i="3"/>
  <c r="B569" i="3"/>
  <c r="C569" i="3"/>
  <c r="D569" i="3"/>
  <c r="E569" i="3"/>
  <c r="F569" i="3"/>
  <c r="G569" i="3"/>
  <c r="H569" i="3"/>
  <c r="I569" i="3"/>
  <c r="J569" i="3"/>
  <c r="K569" i="3"/>
  <c r="B570" i="3"/>
  <c r="C570" i="3"/>
  <c r="D570" i="3"/>
  <c r="E570" i="3"/>
  <c r="F570" i="3"/>
  <c r="G570" i="3"/>
  <c r="H570" i="3"/>
  <c r="I570" i="3"/>
  <c r="J570" i="3"/>
  <c r="K570" i="3"/>
  <c r="B571" i="3"/>
  <c r="C571" i="3"/>
  <c r="D571" i="3"/>
  <c r="E571" i="3"/>
  <c r="F571" i="3"/>
  <c r="G571" i="3"/>
  <c r="H571" i="3"/>
  <c r="I571" i="3"/>
  <c r="J571" i="3"/>
  <c r="K571" i="3"/>
  <c r="B572" i="3"/>
  <c r="C572" i="3"/>
  <c r="D572" i="3"/>
  <c r="E572" i="3"/>
  <c r="F572" i="3"/>
  <c r="G572" i="3"/>
  <c r="H572" i="3"/>
  <c r="I572" i="3"/>
  <c r="J572" i="3"/>
  <c r="K572" i="3"/>
  <c r="B573" i="3"/>
  <c r="C573" i="3"/>
  <c r="D573" i="3"/>
  <c r="E573" i="3"/>
  <c r="F573" i="3"/>
  <c r="G573" i="3"/>
  <c r="H573" i="3"/>
  <c r="I573" i="3"/>
  <c r="J573" i="3"/>
  <c r="K573" i="3"/>
  <c r="B574" i="3"/>
  <c r="C574" i="3"/>
  <c r="D574" i="3"/>
  <c r="E574" i="3"/>
  <c r="F574" i="3"/>
  <c r="G574" i="3"/>
  <c r="H574" i="3"/>
  <c r="I574" i="3"/>
  <c r="J574" i="3"/>
  <c r="K574" i="3"/>
  <c r="B575" i="3"/>
  <c r="C575" i="3"/>
  <c r="D575" i="3"/>
  <c r="E575" i="3"/>
  <c r="F575" i="3"/>
  <c r="G575" i="3"/>
  <c r="H575" i="3"/>
  <c r="I575" i="3"/>
  <c r="J575" i="3"/>
  <c r="K575" i="3"/>
  <c r="B576" i="3"/>
  <c r="C576" i="3"/>
  <c r="D576" i="3"/>
  <c r="E576" i="3"/>
  <c r="F576" i="3"/>
  <c r="G576" i="3"/>
  <c r="H576" i="3"/>
  <c r="I576" i="3"/>
  <c r="J576" i="3"/>
  <c r="K576" i="3"/>
  <c r="B577" i="3"/>
  <c r="C577" i="3"/>
  <c r="D577" i="3"/>
  <c r="E577" i="3"/>
  <c r="F577" i="3"/>
  <c r="G577" i="3"/>
  <c r="H577" i="3"/>
  <c r="I577" i="3"/>
  <c r="J577" i="3"/>
  <c r="K577" i="3"/>
  <c r="B578" i="3"/>
  <c r="C578" i="3"/>
  <c r="D578" i="3"/>
  <c r="E578" i="3"/>
  <c r="F578" i="3"/>
  <c r="G578" i="3"/>
  <c r="H578" i="3"/>
  <c r="I578" i="3"/>
  <c r="J578" i="3"/>
  <c r="K578" i="3"/>
  <c r="B579" i="3"/>
  <c r="C579" i="3"/>
  <c r="D579" i="3"/>
  <c r="E579" i="3"/>
  <c r="F579" i="3"/>
  <c r="G579" i="3"/>
  <c r="H579" i="3"/>
  <c r="I579" i="3"/>
  <c r="J579" i="3"/>
  <c r="K579" i="3"/>
  <c r="B580" i="3"/>
  <c r="C580" i="3"/>
  <c r="D580" i="3"/>
  <c r="E580" i="3"/>
  <c r="F580" i="3"/>
  <c r="G580" i="3"/>
  <c r="H580" i="3"/>
  <c r="I580" i="3"/>
  <c r="J580" i="3"/>
  <c r="K580" i="3"/>
  <c r="B581" i="3"/>
  <c r="C581" i="3"/>
  <c r="D581" i="3"/>
  <c r="E581" i="3"/>
  <c r="F581" i="3"/>
  <c r="G581" i="3"/>
  <c r="H581" i="3"/>
  <c r="I581" i="3"/>
  <c r="J581" i="3"/>
  <c r="K581" i="3"/>
  <c r="B582" i="3"/>
  <c r="C582" i="3"/>
  <c r="D582" i="3"/>
  <c r="E582" i="3"/>
  <c r="F582" i="3"/>
  <c r="G582" i="3"/>
  <c r="H582" i="3"/>
  <c r="I582" i="3"/>
  <c r="J582" i="3"/>
  <c r="K582" i="3"/>
  <c r="B583" i="3"/>
  <c r="C583" i="3"/>
  <c r="D583" i="3"/>
  <c r="E583" i="3"/>
  <c r="F583" i="3"/>
  <c r="G583" i="3"/>
  <c r="H583" i="3"/>
  <c r="I583" i="3"/>
  <c r="J583" i="3"/>
  <c r="K583" i="3"/>
  <c r="B584" i="3"/>
  <c r="C584" i="3"/>
  <c r="D584" i="3"/>
  <c r="E584" i="3"/>
  <c r="F584" i="3"/>
  <c r="G584" i="3"/>
  <c r="H584" i="3"/>
  <c r="I584" i="3"/>
  <c r="J584" i="3"/>
  <c r="K584" i="3"/>
  <c r="B585" i="3"/>
  <c r="C585" i="3"/>
  <c r="D585" i="3"/>
  <c r="E585" i="3"/>
  <c r="F585" i="3"/>
  <c r="G585" i="3"/>
  <c r="H585" i="3"/>
  <c r="I585" i="3"/>
  <c r="J585" i="3"/>
  <c r="K585" i="3"/>
  <c r="B586" i="3"/>
  <c r="C586" i="3"/>
  <c r="D586" i="3"/>
  <c r="E586" i="3"/>
  <c r="F586" i="3"/>
  <c r="G586" i="3"/>
  <c r="H586" i="3"/>
  <c r="I586" i="3"/>
  <c r="J586" i="3"/>
  <c r="K586" i="3"/>
  <c r="B587" i="3"/>
  <c r="C587" i="3"/>
  <c r="D587" i="3"/>
  <c r="E587" i="3"/>
  <c r="F587" i="3"/>
  <c r="G587" i="3"/>
  <c r="H587" i="3"/>
  <c r="I587" i="3"/>
  <c r="J587" i="3"/>
  <c r="K587" i="3"/>
  <c r="B588" i="3"/>
  <c r="C588" i="3"/>
  <c r="D588" i="3"/>
  <c r="E588" i="3"/>
  <c r="F588" i="3"/>
  <c r="G588" i="3"/>
  <c r="H588" i="3"/>
  <c r="I588" i="3"/>
  <c r="J588" i="3"/>
  <c r="K588" i="3"/>
  <c r="B589" i="3"/>
  <c r="C589" i="3"/>
  <c r="D589" i="3"/>
  <c r="E589" i="3"/>
  <c r="F589" i="3"/>
  <c r="G589" i="3"/>
  <c r="H589" i="3"/>
  <c r="I589" i="3"/>
  <c r="J589" i="3"/>
  <c r="K589" i="3"/>
  <c r="B590" i="3"/>
  <c r="C590" i="3"/>
  <c r="D590" i="3"/>
  <c r="E590" i="3"/>
  <c r="F590" i="3"/>
  <c r="G590" i="3"/>
  <c r="H590" i="3"/>
  <c r="I590" i="3"/>
  <c r="J590" i="3"/>
  <c r="K590" i="3"/>
  <c r="B591" i="3"/>
  <c r="C591" i="3"/>
  <c r="D591" i="3"/>
  <c r="E591" i="3"/>
  <c r="F591" i="3"/>
  <c r="G591" i="3"/>
  <c r="H591" i="3"/>
  <c r="I591" i="3"/>
  <c r="J591" i="3"/>
  <c r="K591" i="3"/>
  <c r="B592" i="3"/>
  <c r="C592" i="3"/>
  <c r="D592" i="3"/>
  <c r="E592" i="3"/>
  <c r="F592" i="3"/>
  <c r="G592" i="3"/>
  <c r="H592" i="3"/>
  <c r="I592" i="3"/>
  <c r="J592" i="3"/>
  <c r="K592" i="3"/>
  <c r="B593" i="3"/>
  <c r="C593" i="3"/>
  <c r="D593" i="3"/>
  <c r="E593" i="3"/>
  <c r="F593" i="3"/>
  <c r="G593" i="3"/>
  <c r="H593" i="3"/>
  <c r="I593" i="3"/>
  <c r="J593" i="3"/>
  <c r="K593" i="3"/>
  <c r="B594" i="3"/>
  <c r="C594" i="3"/>
  <c r="D594" i="3"/>
  <c r="E594" i="3"/>
  <c r="F594" i="3"/>
  <c r="G594" i="3"/>
  <c r="H594" i="3"/>
  <c r="I594" i="3"/>
  <c r="J594" i="3"/>
  <c r="K594" i="3"/>
  <c r="B595" i="3"/>
  <c r="C595" i="3"/>
  <c r="D595" i="3"/>
  <c r="E595" i="3"/>
  <c r="F595" i="3"/>
  <c r="G595" i="3"/>
  <c r="H595" i="3"/>
  <c r="I595" i="3"/>
  <c r="J595" i="3"/>
  <c r="K595" i="3"/>
  <c r="B596" i="3"/>
  <c r="C596" i="3"/>
  <c r="D596" i="3"/>
  <c r="E596" i="3"/>
  <c r="F596" i="3"/>
  <c r="G596" i="3"/>
  <c r="H596" i="3"/>
  <c r="I596" i="3"/>
  <c r="J596" i="3"/>
  <c r="K596" i="3"/>
  <c r="B597" i="3"/>
  <c r="C597" i="3"/>
  <c r="D597" i="3"/>
  <c r="E597" i="3"/>
  <c r="F597" i="3"/>
  <c r="G597" i="3"/>
  <c r="H597" i="3"/>
  <c r="I597" i="3"/>
  <c r="J597" i="3"/>
  <c r="K597" i="3"/>
  <c r="B598" i="3"/>
  <c r="C598" i="3"/>
  <c r="D598" i="3"/>
  <c r="E598" i="3"/>
  <c r="F598" i="3"/>
  <c r="G598" i="3"/>
  <c r="H598" i="3"/>
  <c r="I598" i="3"/>
  <c r="J598" i="3"/>
  <c r="K598" i="3"/>
  <c r="B599" i="3"/>
  <c r="C599" i="3"/>
  <c r="D599" i="3"/>
  <c r="E599" i="3"/>
  <c r="F599" i="3"/>
  <c r="G599" i="3"/>
  <c r="H599" i="3"/>
  <c r="I599" i="3"/>
  <c r="J599" i="3"/>
  <c r="K599" i="3"/>
  <c r="B600" i="3"/>
  <c r="C600" i="3"/>
  <c r="D600" i="3"/>
  <c r="E600" i="3"/>
  <c r="F600" i="3"/>
  <c r="G600" i="3"/>
  <c r="H600" i="3"/>
  <c r="I600" i="3"/>
  <c r="J600" i="3"/>
  <c r="K600" i="3"/>
  <c r="B601" i="3"/>
  <c r="C601" i="3"/>
  <c r="D601" i="3"/>
  <c r="E601" i="3"/>
  <c r="F601" i="3"/>
  <c r="G601" i="3"/>
  <c r="H601" i="3"/>
  <c r="I601" i="3"/>
  <c r="J601" i="3"/>
  <c r="K601" i="3"/>
  <c r="B602" i="3"/>
  <c r="C602" i="3"/>
  <c r="D602" i="3"/>
  <c r="E602" i="3"/>
  <c r="F602" i="3"/>
  <c r="G602" i="3"/>
  <c r="H602" i="3"/>
  <c r="I602" i="3"/>
  <c r="J602" i="3"/>
  <c r="K602" i="3"/>
  <c r="B603" i="3"/>
  <c r="C603" i="3"/>
  <c r="D603" i="3"/>
  <c r="E603" i="3"/>
  <c r="F603" i="3"/>
  <c r="G603" i="3"/>
  <c r="H603" i="3"/>
  <c r="I603" i="3"/>
  <c r="J603" i="3"/>
  <c r="K603" i="3"/>
  <c r="B604" i="3"/>
  <c r="C604" i="3"/>
  <c r="D604" i="3"/>
  <c r="E604" i="3"/>
  <c r="F604" i="3"/>
  <c r="G604" i="3"/>
  <c r="H604" i="3"/>
  <c r="I604" i="3"/>
  <c r="J604" i="3"/>
  <c r="K604" i="3"/>
  <c r="B605" i="3"/>
  <c r="C605" i="3"/>
  <c r="D605" i="3"/>
  <c r="E605" i="3"/>
  <c r="F605" i="3"/>
  <c r="G605" i="3"/>
  <c r="H605" i="3"/>
  <c r="I605" i="3"/>
  <c r="J605" i="3"/>
  <c r="K605" i="3"/>
  <c r="B606" i="3"/>
  <c r="C606" i="3"/>
  <c r="D606" i="3"/>
  <c r="E606" i="3"/>
  <c r="F606" i="3"/>
  <c r="G606" i="3"/>
  <c r="H606" i="3"/>
  <c r="I606" i="3"/>
  <c r="J606" i="3"/>
  <c r="K606" i="3"/>
  <c r="B607" i="3"/>
  <c r="C607" i="3"/>
  <c r="D607" i="3"/>
  <c r="E607" i="3"/>
  <c r="F607" i="3"/>
  <c r="G607" i="3"/>
  <c r="H607" i="3"/>
  <c r="I607" i="3"/>
  <c r="J607" i="3"/>
  <c r="K607" i="3"/>
  <c r="B608" i="3"/>
  <c r="C608" i="3"/>
  <c r="D608" i="3"/>
  <c r="E608" i="3"/>
  <c r="F608" i="3"/>
  <c r="G608" i="3"/>
  <c r="H608" i="3"/>
  <c r="I608" i="3"/>
  <c r="J608" i="3"/>
  <c r="K608" i="3"/>
  <c r="B609" i="3"/>
  <c r="C609" i="3"/>
  <c r="D609" i="3"/>
  <c r="E609" i="3"/>
  <c r="F609" i="3"/>
  <c r="G609" i="3"/>
  <c r="H609" i="3"/>
  <c r="I609" i="3"/>
  <c r="J609" i="3"/>
  <c r="K609" i="3"/>
  <c r="B610" i="3"/>
  <c r="C610" i="3"/>
  <c r="D610" i="3"/>
  <c r="E610" i="3"/>
  <c r="F610" i="3"/>
  <c r="G610" i="3"/>
  <c r="H610" i="3"/>
  <c r="I610" i="3"/>
  <c r="J610" i="3"/>
  <c r="K610" i="3"/>
  <c r="B611" i="3"/>
  <c r="C611" i="3"/>
  <c r="D611" i="3"/>
  <c r="E611" i="3"/>
  <c r="F611" i="3"/>
  <c r="G611" i="3"/>
  <c r="H611" i="3"/>
  <c r="I611" i="3"/>
  <c r="J611" i="3"/>
  <c r="K611" i="3"/>
  <c r="B612" i="3"/>
  <c r="C612" i="3"/>
  <c r="D612" i="3"/>
  <c r="E612" i="3"/>
  <c r="F612" i="3"/>
  <c r="G612" i="3"/>
  <c r="H612" i="3"/>
  <c r="I612" i="3"/>
  <c r="J612" i="3"/>
  <c r="K612" i="3"/>
  <c r="B613" i="3"/>
  <c r="C613" i="3"/>
  <c r="D613" i="3"/>
  <c r="E613" i="3"/>
  <c r="F613" i="3"/>
  <c r="G613" i="3"/>
  <c r="H613" i="3"/>
  <c r="I613" i="3"/>
  <c r="J613" i="3"/>
  <c r="K613" i="3"/>
  <c r="B614" i="3"/>
  <c r="C614" i="3"/>
  <c r="D614" i="3"/>
  <c r="E614" i="3"/>
  <c r="F614" i="3"/>
  <c r="G614" i="3"/>
  <c r="H614" i="3"/>
  <c r="I614" i="3"/>
  <c r="J614" i="3"/>
  <c r="K614" i="3"/>
  <c r="B615" i="3"/>
  <c r="C615" i="3"/>
  <c r="D615" i="3"/>
  <c r="E615" i="3"/>
  <c r="F615" i="3"/>
  <c r="G615" i="3"/>
  <c r="H615" i="3"/>
  <c r="I615" i="3"/>
  <c r="J615" i="3"/>
  <c r="K615" i="3"/>
  <c r="B616" i="3"/>
  <c r="C616" i="3"/>
  <c r="D616" i="3"/>
  <c r="E616" i="3"/>
  <c r="F616" i="3"/>
  <c r="G616" i="3"/>
  <c r="H616" i="3"/>
  <c r="I616" i="3"/>
  <c r="J616" i="3"/>
  <c r="K616" i="3"/>
  <c r="B617" i="3"/>
  <c r="C617" i="3"/>
  <c r="D617" i="3"/>
  <c r="E617" i="3"/>
  <c r="F617" i="3"/>
  <c r="G617" i="3"/>
  <c r="H617" i="3"/>
  <c r="I617" i="3"/>
  <c r="J617" i="3"/>
  <c r="K617" i="3"/>
  <c r="B618" i="3"/>
  <c r="C618" i="3"/>
  <c r="D618" i="3"/>
  <c r="E618" i="3"/>
  <c r="F618" i="3"/>
  <c r="G618" i="3"/>
  <c r="H618" i="3"/>
  <c r="I618" i="3"/>
  <c r="J618" i="3"/>
  <c r="K618" i="3"/>
  <c r="B619" i="3"/>
  <c r="C619" i="3"/>
  <c r="D619" i="3"/>
  <c r="E619" i="3"/>
  <c r="F619" i="3"/>
  <c r="G619" i="3"/>
  <c r="H619" i="3"/>
  <c r="I619" i="3"/>
  <c r="J619" i="3"/>
  <c r="K619" i="3"/>
  <c r="B620" i="3"/>
  <c r="C620" i="3"/>
  <c r="D620" i="3"/>
  <c r="E620" i="3"/>
  <c r="F620" i="3"/>
  <c r="G620" i="3"/>
  <c r="H620" i="3"/>
  <c r="I620" i="3"/>
  <c r="J620" i="3"/>
  <c r="K620" i="3"/>
  <c r="B621" i="3"/>
  <c r="C621" i="3"/>
  <c r="D621" i="3"/>
  <c r="E621" i="3"/>
  <c r="F621" i="3"/>
  <c r="G621" i="3"/>
  <c r="H621" i="3"/>
  <c r="I621" i="3"/>
  <c r="J621" i="3"/>
  <c r="K621" i="3"/>
  <c r="B622" i="3"/>
  <c r="C622" i="3"/>
  <c r="D622" i="3"/>
  <c r="E622" i="3"/>
  <c r="F622" i="3"/>
  <c r="G622" i="3"/>
  <c r="H622" i="3"/>
  <c r="I622" i="3"/>
  <c r="J622" i="3"/>
  <c r="K622" i="3"/>
  <c r="B623" i="3"/>
  <c r="C623" i="3"/>
  <c r="D623" i="3"/>
  <c r="E623" i="3"/>
  <c r="F623" i="3"/>
  <c r="G623" i="3"/>
  <c r="H623" i="3"/>
  <c r="I623" i="3"/>
  <c r="J623" i="3"/>
  <c r="K623" i="3"/>
  <c r="B624" i="3"/>
  <c r="C624" i="3"/>
  <c r="D624" i="3"/>
  <c r="E624" i="3"/>
  <c r="F624" i="3"/>
  <c r="G624" i="3"/>
  <c r="H624" i="3"/>
  <c r="I624" i="3"/>
  <c r="J624" i="3"/>
  <c r="K624" i="3"/>
  <c r="B625" i="3"/>
  <c r="C625" i="3"/>
  <c r="D625" i="3"/>
  <c r="E625" i="3"/>
  <c r="F625" i="3"/>
  <c r="G625" i="3"/>
  <c r="H625" i="3"/>
  <c r="I625" i="3"/>
  <c r="J625" i="3"/>
  <c r="K625" i="3"/>
  <c r="B626" i="3"/>
  <c r="C626" i="3"/>
  <c r="D626" i="3"/>
  <c r="E626" i="3"/>
  <c r="F626" i="3"/>
  <c r="G626" i="3"/>
  <c r="H626" i="3"/>
  <c r="I626" i="3"/>
  <c r="J626" i="3"/>
  <c r="K626" i="3"/>
  <c r="B627" i="3"/>
  <c r="C627" i="3"/>
  <c r="D627" i="3"/>
  <c r="E627" i="3"/>
  <c r="F627" i="3"/>
  <c r="G627" i="3"/>
  <c r="H627" i="3"/>
  <c r="I627" i="3"/>
  <c r="J627" i="3"/>
  <c r="K627" i="3"/>
  <c r="B628" i="3"/>
  <c r="C628" i="3"/>
  <c r="D628" i="3"/>
  <c r="E628" i="3"/>
  <c r="F628" i="3"/>
  <c r="G628" i="3"/>
  <c r="H628" i="3"/>
  <c r="I628" i="3"/>
  <c r="J628" i="3"/>
  <c r="K628" i="3"/>
  <c r="B629" i="3"/>
  <c r="C629" i="3"/>
  <c r="D629" i="3"/>
  <c r="E629" i="3"/>
  <c r="F629" i="3"/>
  <c r="G629" i="3"/>
  <c r="H629" i="3"/>
  <c r="I629" i="3"/>
  <c r="J629" i="3"/>
  <c r="K629" i="3"/>
  <c r="B630" i="3"/>
  <c r="C630" i="3"/>
  <c r="D630" i="3"/>
  <c r="E630" i="3"/>
  <c r="F630" i="3"/>
  <c r="G630" i="3"/>
  <c r="H630" i="3"/>
  <c r="I630" i="3"/>
  <c r="J630" i="3"/>
  <c r="K630" i="3"/>
  <c r="B631" i="3"/>
  <c r="C631" i="3"/>
  <c r="D631" i="3"/>
  <c r="E631" i="3"/>
  <c r="F631" i="3"/>
  <c r="G631" i="3"/>
  <c r="H631" i="3"/>
  <c r="I631" i="3"/>
  <c r="J631" i="3"/>
  <c r="K631" i="3"/>
  <c r="B632" i="3"/>
  <c r="C632" i="3"/>
  <c r="D632" i="3"/>
  <c r="E632" i="3"/>
  <c r="F632" i="3"/>
  <c r="G632" i="3"/>
  <c r="H632" i="3"/>
  <c r="I632" i="3"/>
  <c r="J632" i="3"/>
  <c r="K632" i="3"/>
  <c r="B633" i="3"/>
  <c r="C633" i="3"/>
  <c r="D633" i="3"/>
  <c r="E633" i="3"/>
  <c r="F633" i="3"/>
  <c r="G633" i="3"/>
  <c r="H633" i="3"/>
  <c r="I633" i="3"/>
  <c r="J633" i="3"/>
  <c r="K633" i="3"/>
  <c r="B634" i="3"/>
  <c r="C634" i="3"/>
  <c r="D634" i="3"/>
  <c r="E634" i="3"/>
  <c r="F634" i="3"/>
  <c r="G634" i="3"/>
  <c r="H634" i="3"/>
  <c r="I634" i="3"/>
  <c r="J634" i="3"/>
  <c r="K634" i="3"/>
  <c r="B635" i="3"/>
  <c r="C635" i="3"/>
  <c r="D635" i="3"/>
  <c r="E635" i="3"/>
  <c r="F635" i="3"/>
  <c r="G635" i="3"/>
  <c r="H635" i="3"/>
  <c r="I635" i="3"/>
  <c r="J635" i="3"/>
  <c r="K635" i="3"/>
  <c r="B636" i="3"/>
  <c r="C636" i="3"/>
  <c r="D636" i="3"/>
  <c r="E636" i="3"/>
  <c r="F636" i="3"/>
  <c r="G636" i="3"/>
  <c r="H636" i="3"/>
  <c r="I636" i="3"/>
  <c r="J636" i="3"/>
  <c r="K636" i="3"/>
  <c r="B637" i="3"/>
  <c r="C637" i="3"/>
  <c r="D637" i="3"/>
  <c r="E637" i="3"/>
  <c r="F637" i="3"/>
  <c r="G637" i="3"/>
  <c r="H637" i="3"/>
  <c r="I637" i="3"/>
  <c r="J637" i="3"/>
  <c r="K637" i="3"/>
  <c r="B638" i="3"/>
  <c r="C638" i="3"/>
  <c r="D638" i="3"/>
  <c r="E638" i="3"/>
  <c r="F638" i="3"/>
  <c r="G638" i="3"/>
  <c r="H638" i="3"/>
  <c r="I638" i="3"/>
  <c r="J638" i="3"/>
  <c r="K638" i="3"/>
  <c r="B639" i="3"/>
  <c r="C639" i="3"/>
  <c r="D639" i="3"/>
  <c r="E639" i="3"/>
  <c r="F639" i="3"/>
  <c r="G639" i="3"/>
  <c r="H639" i="3"/>
  <c r="I639" i="3"/>
  <c r="J639" i="3"/>
  <c r="K639" i="3"/>
  <c r="B640" i="3"/>
  <c r="C640" i="3"/>
  <c r="D640" i="3"/>
  <c r="E640" i="3"/>
  <c r="F640" i="3"/>
  <c r="G640" i="3"/>
  <c r="H640" i="3"/>
  <c r="I640" i="3"/>
  <c r="J640" i="3"/>
  <c r="K640" i="3"/>
  <c r="B641" i="3"/>
  <c r="C641" i="3"/>
  <c r="D641" i="3"/>
  <c r="E641" i="3"/>
  <c r="F641" i="3"/>
  <c r="G641" i="3"/>
  <c r="H641" i="3"/>
  <c r="I641" i="3"/>
  <c r="J641" i="3"/>
  <c r="K641" i="3"/>
  <c r="B642" i="3"/>
  <c r="C642" i="3"/>
  <c r="D642" i="3"/>
  <c r="E642" i="3"/>
  <c r="F642" i="3"/>
  <c r="G642" i="3"/>
  <c r="H642" i="3"/>
  <c r="I642" i="3"/>
  <c r="J642" i="3"/>
  <c r="K642" i="3"/>
  <c r="B643" i="3"/>
  <c r="C643" i="3"/>
  <c r="D643" i="3"/>
  <c r="E643" i="3"/>
  <c r="F643" i="3"/>
  <c r="G643" i="3"/>
  <c r="H643" i="3"/>
  <c r="I643" i="3"/>
  <c r="J643" i="3"/>
  <c r="K643" i="3"/>
  <c r="B644" i="3"/>
  <c r="C644" i="3"/>
  <c r="D644" i="3"/>
  <c r="E644" i="3"/>
  <c r="F644" i="3"/>
  <c r="G644" i="3"/>
  <c r="H644" i="3"/>
  <c r="I644" i="3"/>
  <c r="J644" i="3"/>
  <c r="K644" i="3"/>
  <c r="B645" i="3"/>
  <c r="C645" i="3"/>
  <c r="D645" i="3"/>
  <c r="E645" i="3"/>
  <c r="F645" i="3"/>
  <c r="G645" i="3"/>
  <c r="H645" i="3"/>
  <c r="I645" i="3"/>
  <c r="J645" i="3"/>
  <c r="K645" i="3"/>
  <c r="B646" i="3"/>
  <c r="C646" i="3"/>
  <c r="D646" i="3"/>
  <c r="E646" i="3"/>
  <c r="F646" i="3"/>
  <c r="G646" i="3"/>
  <c r="H646" i="3"/>
  <c r="I646" i="3"/>
  <c r="J646" i="3"/>
  <c r="K646" i="3"/>
  <c r="B647" i="3"/>
  <c r="C647" i="3"/>
  <c r="D647" i="3"/>
  <c r="E647" i="3"/>
  <c r="F647" i="3"/>
  <c r="G647" i="3"/>
  <c r="H647" i="3"/>
  <c r="I647" i="3"/>
  <c r="J647" i="3"/>
  <c r="K647" i="3"/>
  <c r="B648" i="3"/>
  <c r="C648" i="3"/>
  <c r="D648" i="3"/>
  <c r="E648" i="3"/>
  <c r="F648" i="3"/>
  <c r="G648" i="3"/>
  <c r="H648" i="3"/>
  <c r="I648" i="3"/>
  <c r="J648" i="3"/>
  <c r="K648" i="3"/>
  <c r="B649" i="3"/>
  <c r="C649" i="3"/>
  <c r="D649" i="3"/>
  <c r="E649" i="3"/>
  <c r="F649" i="3"/>
  <c r="G649" i="3"/>
  <c r="H649" i="3"/>
  <c r="I649" i="3"/>
  <c r="J649" i="3"/>
  <c r="K649" i="3"/>
  <c r="B650" i="3"/>
  <c r="C650" i="3"/>
  <c r="D650" i="3"/>
  <c r="E650" i="3"/>
  <c r="F650" i="3"/>
  <c r="G650" i="3"/>
  <c r="H650" i="3"/>
  <c r="I650" i="3"/>
  <c r="J650" i="3"/>
  <c r="K650" i="3"/>
  <c r="B651" i="3"/>
  <c r="C651" i="3"/>
  <c r="D651" i="3"/>
  <c r="E651" i="3"/>
  <c r="F651" i="3"/>
  <c r="G651" i="3"/>
  <c r="H651" i="3"/>
  <c r="I651" i="3"/>
  <c r="J651" i="3"/>
  <c r="K651" i="3"/>
  <c r="B652" i="3"/>
  <c r="C652" i="3"/>
  <c r="D652" i="3"/>
  <c r="E652" i="3"/>
  <c r="F652" i="3"/>
  <c r="G652" i="3"/>
  <c r="H652" i="3"/>
  <c r="I652" i="3"/>
  <c r="J652" i="3"/>
  <c r="K652" i="3"/>
  <c r="B653" i="3"/>
  <c r="C653" i="3"/>
  <c r="D653" i="3"/>
  <c r="E653" i="3"/>
  <c r="F653" i="3"/>
  <c r="G653" i="3"/>
  <c r="H653" i="3"/>
  <c r="I653" i="3"/>
  <c r="J653" i="3"/>
  <c r="K653" i="3"/>
  <c r="B654" i="3"/>
  <c r="C654" i="3"/>
  <c r="D654" i="3"/>
  <c r="E654" i="3"/>
  <c r="F654" i="3"/>
  <c r="G654" i="3"/>
  <c r="H654" i="3"/>
  <c r="I654" i="3"/>
  <c r="J654" i="3"/>
  <c r="K654" i="3"/>
  <c r="B655" i="3"/>
  <c r="C655" i="3"/>
  <c r="D655" i="3"/>
  <c r="E655" i="3"/>
  <c r="F655" i="3"/>
  <c r="G655" i="3"/>
  <c r="H655" i="3"/>
  <c r="I655" i="3"/>
  <c r="J655" i="3"/>
  <c r="K655" i="3"/>
  <c r="B656" i="3"/>
  <c r="C656" i="3"/>
  <c r="D656" i="3"/>
  <c r="E656" i="3"/>
  <c r="F656" i="3"/>
  <c r="G656" i="3"/>
  <c r="H656" i="3"/>
  <c r="I656" i="3"/>
  <c r="J656" i="3"/>
  <c r="K656" i="3"/>
  <c r="B657" i="3"/>
  <c r="C657" i="3"/>
  <c r="D657" i="3"/>
  <c r="E657" i="3"/>
  <c r="F657" i="3"/>
  <c r="G657" i="3"/>
  <c r="H657" i="3"/>
  <c r="I657" i="3"/>
  <c r="J657" i="3"/>
  <c r="K657" i="3"/>
  <c r="B658" i="3"/>
  <c r="C658" i="3"/>
  <c r="D658" i="3"/>
  <c r="E658" i="3"/>
  <c r="F658" i="3"/>
  <c r="G658" i="3"/>
  <c r="H658" i="3"/>
  <c r="I658" i="3"/>
  <c r="J658" i="3"/>
  <c r="K658" i="3"/>
  <c r="B659" i="3"/>
  <c r="C659" i="3"/>
  <c r="D659" i="3"/>
  <c r="E659" i="3"/>
  <c r="F659" i="3"/>
  <c r="G659" i="3"/>
  <c r="H659" i="3"/>
  <c r="I659" i="3"/>
  <c r="J659" i="3"/>
  <c r="K659" i="3"/>
  <c r="B660" i="3"/>
  <c r="C660" i="3"/>
  <c r="D660" i="3"/>
  <c r="E660" i="3"/>
  <c r="F660" i="3"/>
  <c r="G660" i="3"/>
  <c r="H660" i="3"/>
  <c r="I660" i="3"/>
  <c r="J660" i="3"/>
  <c r="K660" i="3"/>
  <c r="B661" i="3"/>
  <c r="C661" i="3"/>
  <c r="D661" i="3"/>
  <c r="E661" i="3"/>
  <c r="F661" i="3"/>
  <c r="G661" i="3"/>
  <c r="H661" i="3"/>
  <c r="I661" i="3"/>
  <c r="J661" i="3"/>
  <c r="K661" i="3"/>
  <c r="B662" i="3"/>
  <c r="C662" i="3"/>
  <c r="D662" i="3"/>
  <c r="E662" i="3"/>
  <c r="F662" i="3"/>
  <c r="G662" i="3"/>
  <c r="H662" i="3"/>
  <c r="I662" i="3"/>
  <c r="J662" i="3"/>
  <c r="K662" i="3"/>
  <c r="B663" i="3"/>
  <c r="C663" i="3"/>
  <c r="D663" i="3"/>
  <c r="E663" i="3"/>
  <c r="F663" i="3"/>
  <c r="G663" i="3"/>
  <c r="H663" i="3"/>
  <c r="I663" i="3"/>
  <c r="J663" i="3"/>
  <c r="K663" i="3"/>
  <c r="B664" i="3"/>
  <c r="C664" i="3"/>
  <c r="D664" i="3"/>
  <c r="E664" i="3"/>
  <c r="F664" i="3"/>
  <c r="G664" i="3"/>
  <c r="H664" i="3"/>
  <c r="I664" i="3"/>
  <c r="J664" i="3"/>
  <c r="K664" i="3"/>
  <c r="B665" i="3"/>
  <c r="C665" i="3"/>
  <c r="D665" i="3"/>
  <c r="E665" i="3"/>
  <c r="F665" i="3"/>
  <c r="G665" i="3"/>
  <c r="H665" i="3"/>
  <c r="I665" i="3"/>
  <c r="J665" i="3"/>
  <c r="K665" i="3"/>
  <c r="B666" i="3"/>
  <c r="C666" i="3"/>
  <c r="D666" i="3"/>
  <c r="E666" i="3"/>
  <c r="F666" i="3"/>
  <c r="G666" i="3"/>
  <c r="H666" i="3"/>
  <c r="I666" i="3"/>
  <c r="J666" i="3"/>
  <c r="K666" i="3"/>
  <c r="B667" i="3"/>
  <c r="C667" i="3"/>
  <c r="D667" i="3"/>
  <c r="E667" i="3"/>
  <c r="F667" i="3"/>
  <c r="G667" i="3"/>
  <c r="H667" i="3"/>
  <c r="I667" i="3"/>
  <c r="J667" i="3"/>
  <c r="K667" i="3"/>
  <c r="B668" i="3"/>
  <c r="C668" i="3"/>
  <c r="D668" i="3"/>
  <c r="E668" i="3"/>
  <c r="F668" i="3"/>
  <c r="G668" i="3"/>
  <c r="H668" i="3"/>
  <c r="I668" i="3"/>
  <c r="J668" i="3"/>
  <c r="K668" i="3"/>
  <c r="B669" i="3"/>
  <c r="C669" i="3"/>
  <c r="D669" i="3"/>
  <c r="E669" i="3"/>
  <c r="F669" i="3"/>
  <c r="G669" i="3"/>
  <c r="H669" i="3"/>
  <c r="I669" i="3"/>
  <c r="J669" i="3"/>
  <c r="K669" i="3"/>
  <c r="B670" i="3"/>
  <c r="C670" i="3"/>
  <c r="D670" i="3"/>
  <c r="E670" i="3"/>
  <c r="F670" i="3"/>
  <c r="G670" i="3"/>
  <c r="H670" i="3"/>
  <c r="I670" i="3"/>
  <c r="J670" i="3"/>
  <c r="K670" i="3"/>
  <c r="B671" i="3"/>
  <c r="C671" i="3"/>
  <c r="D671" i="3"/>
  <c r="E671" i="3"/>
  <c r="F671" i="3"/>
  <c r="G671" i="3"/>
  <c r="H671" i="3"/>
  <c r="I671" i="3"/>
  <c r="J671" i="3"/>
  <c r="K671" i="3"/>
  <c r="B672" i="3"/>
  <c r="C672" i="3"/>
  <c r="D672" i="3"/>
  <c r="E672" i="3"/>
  <c r="F672" i="3"/>
  <c r="G672" i="3"/>
  <c r="H672" i="3"/>
  <c r="I672" i="3"/>
  <c r="J672" i="3"/>
  <c r="K672" i="3"/>
  <c r="B673" i="3"/>
  <c r="C673" i="3"/>
  <c r="D673" i="3"/>
  <c r="E673" i="3"/>
  <c r="F673" i="3"/>
  <c r="G673" i="3"/>
  <c r="H673" i="3"/>
  <c r="I673" i="3"/>
  <c r="J673" i="3"/>
  <c r="K673" i="3"/>
  <c r="B674" i="3"/>
  <c r="C674" i="3"/>
  <c r="D674" i="3"/>
  <c r="E674" i="3"/>
  <c r="F674" i="3"/>
  <c r="G674" i="3"/>
  <c r="H674" i="3"/>
  <c r="I674" i="3"/>
  <c r="J674" i="3"/>
  <c r="K674" i="3"/>
  <c r="B675" i="3"/>
  <c r="C675" i="3"/>
  <c r="D675" i="3"/>
  <c r="E675" i="3"/>
  <c r="F675" i="3"/>
  <c r="G675" i="3"/>
  <c r="H675" i="3"/>
  <c r="I675" i="3"/>
  <c r="J675" i="3"/>
  <c r="K675" i="3"/>
  <c r="B676" i="3"/>
  <c r="C676" i="3"/>
  <c r="D676" i="3"/>
  <c r="E676" i="3"/>
  <c r="F676" i="3"/>
  <c r="G676" i="3"/>
  <c r="H676" i="3"/>
  <c r="I676" i="3"/>
  <c r="J676" i="3"/>
  <c r="K676" i="3"/>
  <c r="B677" i="3"/>
  <c r="C677" i="3"/>
  <c r="D677" i="3"/>
  <c r="E677" i="3"/>
  <c r="F677" i="3"/>
  <c r="G677" i="3"/>
  <c r="H677" i="3"/>
  <c r="I677" i="3"/>
  <c r="J677" i="3"/>
  <c r="K677" i="3"/>
  <c r="B678" i="3"/>
  <c r="C678" i="3"/>
  <c r="D678" i="3"/>
  <c r="E678" i="3"/>
  <c r="F678" i="3"/>
  <c r="G678" i="3"/>
  <c r="H678" i="3"/>
  <c r="I678" i="3"/>
  <c r="J678" i="3"/>
  <c r="K678" i="3"/>
  <c r="B679" i="3"/>
  <c r="C679" i="3"/>
  <c r="D679" i="3"/>
  <c r="E679" i="3"/>
  <c r="F679" i="3"/>
  <c r="G679" i="3"/>
  <c r="H679" i="3"/>
  <c r="I679" i="3"/>
  <c r="J679" i="3"/>
  <c r="K679" i="3"/>
  <c r="B680" i="3"/>
  <c r="C680" i="3"/>
  <c r="D680" i="3"/>
  <c r="E680" i="3"/>
  <c r="F680" i="3"/>
  <c r="G680" i="3"/>
  <c r="H680" i="3"/>
  <c r="I680" i="3"/>
  <c r="J680" i="3"/>
  <c r="K680" i="3"/>
  <c r="B681" i="3"/>
  <c r="C681" i="3"/>
  <c r="D681" i="3"/>
  <c r="E681" i="3"/>
  <c r="F681" i="3"/>
  <c r="G681" i="3"/>
  <c r="H681" i="3"/>
  <c r="I681" i="3"/>
  <c r="J681" i="3"/>
  <c r="K681" i="3"/>
  <c r="B682" i="3"/>
  <c r="C682" i="3"/>
  <c r="D682" i="3"/>
  <c r="E682" i="3"/>
  <c r="F682" i="3"/>
  <c r="G682" i="3"/>
  <c r="H682" i="3"/>
  <c r="I682" i="3"/>
  <c r="J682" i="3"/>
  <c r="K682" i="3"/>
  <c r="B683" i="3"/>
  <c r="C683" i="3"/>
  <c r="D683" i="3"/>
  <c r="E683" i="3"/>
  <c r="F683" i="3"/>
  <c r="G683" i="3"/>
  <c r="H683" i="3"/>
  <c r="I683" i="3"/>
  <c r="J683" i="3"/>
  <c r="K683" i="3"/>
  <c r="B684" i="3"/>
  <c r="C684" i="3"/>
  <c r="D684" i="3"/>
  <c r="E684" i="3"/>
  <c r="F684" i="3"/>
  <c r="G684" i="3"/>
  <c r="H684" i="3"/>
  <c r="I684" i="3"/>
  <c r="J684" i="3"/>
  <c r="K684" i="3"/>
  <c r="B685" i="3"/>
  <c r="C685" i="3"/>
  <c r="D685" i="3"/>
  <c r="E685" i="3"/>
  <c r="F685" i="3"/>
  <c r="G685" i="3"/>
  <c r="H685" i="3"/>
  <c r="I685" i="3"/>
  <c r="J685" i="3"/>
  <c r="K685" i="3"/>
  <c r="B686" i="3"/>
  <c r="C686" i="3"/>
  <c r="D686" i="3"/>
  <c r="E686" i="3"/>
  <c r="F686" i="3"/>
  <c r="G686" i="3"/>
  <c r="H686" i="3"/>
  <c r="I686" i="3"/>
  <c r="J686" i="3"/>
  <c r="K686" i="3"/>
  <c r="B687" i="3"/>
  <c r="C687" i="3"/>
  <c r="D687" i="3"/>
  <c r="E687" i="3"/>
  <c r="F687" i="3"/>
  <c r="G687" i="3"/>
  <c r="H687" i="3"/>
  <c r="I687" i="3"/>
  <c r="J687" i="3"/>
  <c r="K687" i="3"/>
  <c r="B688" i="3"/>
  <c r="C688" i="3"/>
  <c r="D688" i="3"/>
  <c r="E688" i="3"/>
  <c r="F688" i="3"/>
  <c r="G688" i="3"/>
  <c r="H688" i="3"/>
  <c r="I688" i="3"/>
  <c r="J688" i="3"/>
  <c r="K688" i="3"/>
  <c r="B689" i="3"/>
  <c r="C689" i="3"/>
  <c r="D689" i="3"/>
  <c r="E689" i="3"/>
  <c r="F689" i="3"/>
  <c r="G689" i="3"/>
  <c r="H689" i="3"/>
  <c r="I689" i="3"/>
  <c r="J689" i="3"/>
  <c r="K689" i="3"/>
  <c r="B690" i="3"/>
  <c r="C690" i="3"/>
  <c r="D690" i="3"/>
  <c r="E690" i="3"/>
  <c r="F690" i="3"/>
  <c r="G690" i="3"/>
  <c r="H690" i="3"/>
  <c r="I690" i="3"/>
  <c r="J690" i="3"/>
  <c r="K690" i="3"/>
  <c r="B691" i="3"/>
  <c r="C691" i="3"/>
  <c r="D691" i="3"/>
  <c r="E691" i="3"/>
  <c r="F691" i="3"/>
  <c r="G691" i="3"/>
  <c r="H691" i="3"/>
  <c r="I691" i="3"/>
  <c r="J691" i="3"/>
  <c r="K691" i="3"/>
  <c r="B692" i="3"/>
  <c r="C692" i="3"/>
  <c r="D692" i="3"/>
  <c r="E692" i="3"/>
  <c r="F692" i="3"/>
  <c r="G692" i="3"/>
  <c r="H692" i="3"/>
  <c r="I692" i="3"/>
  <c r="J692" i="3"/>
  <c r="K692" i="3"/>
  <c r="B693" i="3"/>
  <c r="C693" i="3"/>
  <c r="D693" i="3"/>
  <c r="E693" i="3"/>
  <c r="F693" i="3"/>
  <c r="G693" i="3"/>
  <c r="H693" i="3"/>
  <c r="I693" i="3"/>
  <c r="J693" i="3"/>
  <c r="K693" i="3"/>
  <c r="B694" i="3"/>
  <c r="C694" i="3"/>
  <c r="D694" i="3"/>
  <c r="E694" i="3"/>
  <c r="F694" i="3"/>
  <c r="G694" i="3"/>
  <c r="H694" i="3"/>
  <c r="I694" i="3"/>
  <c r="J694" i="3"/>
  <c r="K694" i="3"/>
  <c r="B695" i="3"/>
  <c r="C695" i="3"/>
  <c r="D695" i="3"/>
  <c r="E695" i="3"/>
  <c r="F695" i="3"/>
  <c r="G695" i="3"/>
  <c r="H695" i="3"/>
  <c r="I695" i="3"/>
  <c r="J695" i="3"/>
  <c r="K695" i="3"/>
  <c r="B696" i="3"/>
  <c r="C696" i="3"/>
  <c r="D696" i="3"/>
  <c r="E696" i="3"/>
  <c r="F696" i="3"/>
  <c r="G696" i="3"/>
  <c r="H696" i="3"/>
  <c r="I696" i="3"/>
  <c r="J696" i="3"/>
  <c r="K696" i="3"/>
  <c r="B697" i="3"/>
  <c r="C697" i="3"/>
  <c r="D697" i="3"/>
  <c r="E697" i="3"/>
  <c r="F697" i="3"/>
  <c r="G697" i="3"/>
  <c r="H697" i="3"/>
  <c r="I697" i="3"/>
  <c r="J697" i="3"/>
  <c r="K697" i="3"/>
  <c r="B698" i="3"/>
  <c r="C698" i="3"/>
  <c r="D698" i="3"/>
  <c r="E698" i="3"/>
  <c r="F698" i="3"/>
  <c r="G698" i="3"/>
  <c r="H698" i="3"/>
  <c r="I698" i="3"/>
  <c r="J698" i="3"/>
  <c r="K698" i="3"/>
  <c r="B699" i="3"/>
  <c r="C699" i="3"/>
  <c r="D699" i="3"/>
  <c r="E699" i="3"/>
  <c r="F699" i="3"/>
  <c r="G699" i="3"/>
  <c r="H699" i="3"/>
  <c r="I699" i="3"/>
  <c r="J699" i="3"/>
  <c r="K699" i="3"/>
  <c r="B700" i="3"/>
  <c r="C700" i="3"/>
  <c r="D700" i="3"/>
  <c r="E700" i="3"/>
  <c r="F700" i="3"/>
  <c r="G700" i="3"/>
  <c r="H700" i="3"/>
  <c r="I700" i="3"/>
  <c r="J700" i="3"/>
  <c r="K700" i="3"/>
  <c r="B701" i="3"/>
  <c r="C701" i="3"/>
  <c r="D701" i="3"/>
  <c r="E701" i="3"/>
  <c r="F701" i="3"/>
  <c r="G701" i="3"/>
  <c r="H701" i="3"/>
  <c r="I701" i="3"/>
  <c r="J701" i="3"/>
  <c r="K701" i="3"/>
  <c r="B702" i="3"/>
  <c r="C702" i="3"/>
  <c r="D702" i="3"/>
  <c r="E702" i="3"/>
  <c r="F702" i="3"/>
  <c r="G702" i="3"/>
  <c r="H702" i="3"/>
  <c r="I702" i="3"/>
  <c r="J702" i="3"/>
  <c r="K702" i="3"/>
  <c r="B703" i="3"/>
  <c r="C703" i="3"/>
  <c r="D703" i="3"/>
  <c r="E703" i="3"/>
  <c r="F703" i="3"/>
  <c r="G703" i="3"/>
  <c r="H703" i="3"/>
  <c r="I703" i="3"/>
  <c r="J703" i="3"/>
  <c r="K703" i="3"/>
  <c r="B704" i="3"/>
  <c r="C704" i="3"/>
  <c r="D704" i="3"/>
  <c r="E704" i="3"/>
  <c r="F704" i="3"/>
  <c r="G704" i="3"/>
  <c r="H704" i="3"/>
  <c r="I704" i="3"/>
  <c r="J704" i="3"/>
  <c r="K704" i="3"/>
  <c r="B705" i="3"/>
  <c r="C705" i="3"/>
  <c r="D705" i="3"/>
  <c r="E705" i="3"/>
  <c r="F705" i="3"/>
  <c r="G705" i="3"/>
  <c r="H705" i="3"/>
  <c r="I705" i="3"/>
  <c r="J705" i="3"/>
  <c r="K705" i="3"/>
  <c r="B706" i="3"/>
  <c r="C706" i="3"/>
  <c r="D706" i="3"/>
  <c r="E706" i="3"/>
  <c r="F706" i="3"/>
  <c r="G706" i="3"/>
  <c r="H706" i="3"/>
  <c r="I706" i="3"/>
  <c r="J706" i="3"/>
  <c r="K706" i="3"/>
  <c r="B707" i="3"/>
  <c r="C707" i="3"/>
  <c r="D707" i="3"/>
  <c r="E707" i="3"/>
  <c r="F707" i="3"/>
  <c r="G707" i="3"/>
  <c r="H707" i="3"/>
  <c r="I707" i="3"/>
  <c r="J707" i="3"/>
  <c r="K707" i="3"/>
  <c r="B708" i="3"/>
  <c r="C708" i="3"/>
  <c r="D708" i="3"/>
  <c r="E708" i="3"/>
  <c r="F708" i="3"/>
  <c r="G708" i="3"/>
  <c r="H708" i="3"/>
  <c r="I708" i="3"/>
  <c r="J708" i="3"/>
  <c r="K708" i="3"/>
  <c r="B709" i="3"/>
  <c r="C709" i="3"/>
  <c r="D709" i="3"/>
  <c r="E709" i="3"/>
  <c r="F709" i="3"/>
  <c r="G709" i="3"/>
  <c r="H709" i="3"/>
  <c r="I709" i="3"/>
  <c r="J709" i="3"/>
  <c r="K709" i="3"/>
  <c r="B710" i="3"/>
  <c r="C710" i="3"/>
  <c r="D710" i="3"/>
  <c r="E710" i="3"/>
  <c r="F710" i="3"/>
  <c r="G710" i="3"/>
  <c r="H710" i="3"/>
  <c r="I710" i="3"/>
  <c r="J710" i="3"/>
  <c r="K710" i="3"/>
  <c r="B711" i="3"/>
  <c r="C711" i="3"/>
  <c r="D711" i="3"/>
  <c r="E711" i="3"/>
  <c r="F711" i="3"/>
  <c r="G711" i="3"/>
  <c r="H711" i="3"/>
  <c r="I711" i="3"/>
  <c r="J711" i="3"/>
  <c r="K711" i="3"/>
  <c r="B712" i="3"/>
  <c r="C712" i="3"/>
  <c r="D712" i="3"/>
  <c r="E712" i="3"/>
  <c r="F712" i="3"/>
  <c r="G712" i="3"/>
  <c r="H712" i="3"/>
  <c r="I712" i="3"/>
  <c r="J712" i="3"/>
  <c r="K712" i="3"/>
  <c r="B713" i="3"/>
  <c r="C713" i="3"/>
  <c r="D713" i="3"/>
  <c r="E713" i="3"/>
  <c r="F713" i="3"/>
  <c r="G713" i="3"/>
  <c r="H713" i="3"/>
  <c r="I713" i="3"/>
  <c r="J713" i="3"/>
  <c r="K713" i="3"/>
  <c r="B714" i="3"/>
  <c r="C714" i="3"/>
  <c r="D714" i="3"/>
  <c r="E714" i="3"/>
  <c r="F714" i="3"/>
  <c r="G714" i="3"/>
  <c r="H714" i="3"/>
  <c r="I714" i="3"/>
  <c r="J714" i="3"/>
  <c r="K714" i="3"/>
  <c r="B715" i="3"/>
  <c r="C715" i="3"/>
  <c r="D715" i="3"/>
  <c r="E715" i="3"/>
  <c r="F715" i="3"/>
  <c r="G715" i="3"/>
  <c r="H715" i="3"/>
  <c r="I715" i="3"/>
  <c r="J715" i="3"/>
  <c r="K715" i="3"/>
  <c r="B716" i="3"/>
  <c r="C716" i="3"/>
  <c r="D716" i="3"/>
  <c r="E716" i="3"/>
  <c r="F716" i="3"/>
  <c r="G716" i="3"/>
  <c r="H716" i="3"/>
  <c r="I716" i="3"/>
  <c r="J716" i="3"/>
  <c r="K716" i="3"/>
  <c r="B717" i="3"/>
  <c r="C717" i="3"/>
  <c r="D717" i="3"/>
  <c r="E717" i="3"/>
  <c r="F717" i="3"/>
  <c r="G717" i="3"/>
  <c r="H717" i="3"/>
  <c r="I717" i="3"/>
  <c r="J717" i="3"/>
  <c r="K717" i="3"/>
  <c r="B718" i="3"/>
  <c r="C718" i="3"/>
  <c r="D718" i="3"/>
  <c r="E718" i="3"/>
  <c r="F718" i="3"/>
  <c r="G718" i="3"/>
  <c r="H718" i="3"/>
  <c r="I718" i="3"/>
  <c r="J718" i="3"/>
  <c r="K718" i="3"/>
  <c r="B719" i="3"/>
  <c r="C719" i="3"/>
  <c r="D719" i="3"/>
  <c r="E719" i="3"/>
  <c r="F719" i="3"/>
  <c r="G719" i="3"/>
  <c r="H719" i="3"/>
  <c r="I719" i="3"/>
  <c r="J719" i="3"/>
  <c r="K719" i="3"/>
  <c r="B720" i="3"/>
  <c r="C720" i="3"/>
  <c r="D720" i="3"/>
  <c r="E720" i="3"/>
  <c r="F720" i="3"/>
  <c r="G720" i="3"/>
  <c r="H720" i="3"/>
  <c r="I720" i="3"/>
  <c r="J720" i="3"/>
  <c r="K720" i="3"/>
  <c r="B721" i="3"/>
  <c r="C721" i="3"/>
  <c r="D721" i="3"/>
  <c r="E721" i="3"/>
  <c r="F721" i="3"/>
  <c r="G721" i="3"/>
  <c r="H721" i="3"/>
  <c r="I721" i="3"/>
  <c r="J721" i="3"/>
  <c r="K721" i="3"/>
  <c r="B722" i="3"/>
  <c r="C722" i="3"/>
  <c r="D722" i="3"/>
  <c r="E722" i="3"/>
  <c r="F722" i="3"/>
  <c r="G722" i="3"/>
  <c r="H722" i="3"/>
  <c r="I722" i="3"/>
  <c r="J722" i="3"/>
  <c r="K722" i="3"/>
  <c r="B723" i="3"/>
  <c r="C723" i="3"/>
  <c r="D723" i="3"/>
  <c r="E723" i="3"/>
  <c r="F723" i="3"/>
  <c r="G723" i="3"/>
  <c r="H723" i="3"/>
  <c r="I723" i="3"/>
  <c r="J723" i="3"/>
  <c r="K723" i="3"/>
  <c r="B724" i="3"/>
  <c r="C724" i="3"/>
  <c r="D724" i="3"/>
  <c r="E724" i="3"/>
  <c r="F724" i="3"/>
  <c r="G724" i="3"/>
  <c r="H724" i="3"/>
  <c r="I724" i="3"/>
  <c r="J724" i="3"/>
  <c r="K724" i="3"/>
  <c r="B725" i="3"/>
  <c r="C725" i="3"/>
  <c r="D725" i="3"/>
  <c r="E725" i="3"/>
  <c r="F725" i="3"/>
  <c r="G725" i="3"/>
  <c r="H725" i="3"/>
  <c r="I725" i="3"/>
  <c r="J725" i="3"/>
  <c r="K725" i="3"/>
  <c r="B726" i="3"/>
  <c r="C726" i="3"/>
  <c r="D726" i="3"/>
  <c r="E726" i="3"/>
  <c r="F726" i="3"/>
  <c r="G726" i="3"/>
  <c r="H726" i="3"/>
  <c r="I726" i="3"/>
  <c r="J726" i="3"/>
  <c r="K726" i="3"/>
  <c r="B727" i="3"/>
  <c r="C727" i="3"/>
  <c r="D727" i="3"/>
  <c r="E727" i="3"/>
  <c r="F727" i="3"/>
  <c r="G727" i="3"/>
  <c r="H727" i="3"/>
  <c r="I727" i="3"/>
  <c r="J727" i="3"/>
  <c r="K727" i="3"/>
  <c r="B728" i="3"/>
  <c r="C728" i="3"/>
  <c r="D728" i="3"/>
  <c r="E728" i="3"/>
  <c r="F728" i="3"/>
  <c r="G728" i="3"/>
  <c r="H728" i="3"/>
  <c r="I728" i="3"/>
  <c r="J728" i="3"/>
  <c r="K728" i="3"/>
  <c r="B729" i="3"/>
  <c r="C729" i="3"/>
  <c r="D729" i="3"/>
  <c r="E729" i="3"/>
  <c r="F729" i="3"/>
  <c r="G729" i="3"/>
  <c r="H729" i="3"/>
  <c r="I729" i="3"/>
  <c r="J729" i="3"/>
  <c r="K729" i="3"/>
  <c r="B730" i="3"/>
  <c r="C730" i="3"/>
  <c r="D730" i="3"/>
  <c r="E730" i="3"/>
  <c r="F730" i="3"/>
  <c r="G730" i="3"/>
  <c r="H730" i="3"/>
  <c r="I730" i="3"/>
  <c r="J730" i="3"/>
  <c r="K730" i="3"/>
  <c r="B731" i="3"/>
  <c r="C731" i="3"/>
  <c r="D731" i="3"/>
  <c r="E731" i="3"/>
  <c r="F731" i="3"/>
  <c r="G731" i="3"/>
  <c r="H731" i="3"/>
  <c r="I731" i="3"/>
  <c r="J731" i="3"/>
  <c r="K731" i="3"/>
  <c r="B732" i="3"/>
  <c r="C732" i="3"/>
  <c r="D732" i="3"/>
  <c r="E732" i="3"/>
  <c r="F732" i="3"/>
  <c r="G732" i="3"/>
  <c r="H732" i="3"/>
  <c r="I732" i="3"/>
  <c r="J732" i="3"/>
  <c r="K732" i="3"/>
  <c r="B733" i="3"/>
  <c r="C733" i="3"/>
  <c r="D733" i="3"/>
  <c r="E733" i="3"/>
  <c r="F733" i="3"/>
  <c r="G733" i="3"/>
  <c r="H733" i="3"/>
  <c r="I733" i="3"/>
  <c r="J733" i="3"/>
  <c r="K733" i="3"/>
  <c r="B734" i="3"/>
  <c r="C734" i="3"/>
  <c r="D734" i="3"/>
  <c r="E734" i="3"/>
  <c r="F734" i="3"/>
  <c r="G734" i="3"/>
  <c r="H734" i="3"/>
  <c r="I734" i="3"/>
  <c r="J734" i="3"/>
  <c r="K734" i="3"/>
  <c r="B735" i="3"/>
  <c r="C735" i="3"/>
  <c r="D735" i="3"/>
  <c r="E735" i="3"/>
  <c r="F735" i="3"/>
  <c r="G735" i="3"/>
  <c r="H735" i="3"/>
  <c r="I735" i="3"/>
  <c r="J735" i="3"/>
  <c r="K735" i="3"/>
  <c r="B736" i="3"/>
  <c r="C736" i="3"/>
  <c r="D736" i="3"/>
  <c r="E736" i="3"/>
  <c r="F736" i="3"/>
  <c r="G736" i="3"/>
  <c r="H736" i="3"/>
  <c r="I736" i="3"/>
  <c r="J736" i="3"/>
  <c r="K736" i="3"/>
  <c r="B737" i="3"/>
  <c r="C737" i="3"/>
  <c r="D737" i="3"/>
  <c r="E737" i="3"/>
  <c r="F737" i="3"/>
  <c r="G737" i="3"/>
  <c r="H737" i="3"/>
  <c r="I737" i="3"/>
  <c r="J737" i="3"/>
  <c r="K737" i="3"/>
  <c r="B738" i="3"/>
  <c r="C738" i="3"/>
  <c r="D738" i="3"/>
  <c r="E738" i="3"/>
  <c r="F738" i="3"/>
  <c r="G738" i="3"/>
  <c r="H738" i="3"/>
  <c r="I738" i="3"/>
  <c r="J738" i="3"/>
  <c r="K738" i="3"/>
  <c r="B739" i="3"/>
  <c r="C739" i="3"/>
  <c r="D739" i="3"/>
  <c r="E739" i="3"/>
  <c r="F739" i="3"/>
  <c r="G739" i="3"/>
  <c r="H739" i="3"/>
  <c r="I739" i="3"/>
  <c r="J739" i="3"/>
  <c r="K739" i="3"/>
  <c r="B740" i="3"/>
  <c r="C740" i="3"/>
  <c r="D740" i="3"/>
  <c r="E740" i="3"/>
  <c r="F740" i="3"/>
  <c r="G740" i="3"/>
  <c r="H740" i="3"/>
  <c r="I740" i="3"/>
  <c r="J740" i="3"/>
  <c r="K740" i="3"/>
  <c r="B741" i="3"/>
  <c r="C741" i="3"/>
  <c r="D741" i="3"/>
  <c r="E741" i="3"/>
  <c r="F741" i="3"/>
  <c r="G741" i="3"/>
  <c r="H741" i="3"/>
  <c r="I741" i="3"/>
  <c r="J741" i="3"/>
  <c r="K741" i="3"/>
  <c r="B742" i="3"/>
  <c r="C742" i="3"/>
  <c r="D742" i="3"/>
  <c r="E742" i="3"/>
  <c r="F742" i="3"/>
  <c r="G742" i="3"/>
  <c r="H742" i="3"/>
  <c r="I742" i="3"/>
  <c r="J742" i="3"/>
  <c r="K742" i="3"/>
  <c r="B743" i="3"/>
  <c r="C743" i="3"/>
  <c r="D743" i="3"/>
  <c r="E743" i="3"/>
  <c r="F743" i="3"/>
  <c r="G743" i="3"/>
  <c r="H743" i="3"/>
  <c r="I743" i="3"/>
  <c r="J743" i="3"/>
  <c r="K743" i="3"/>
  <c r="B744" i="3"/>
  <c r="C744" i="3"/>
  <c r="D744" i="3"/>
  <c r="E744" i="3"/>
  <c r="F744" i="3"/>
  <c r="G744" i="3"/>
  <c r="H744" i="3"/>
  <c r="I744" i="3"/>
  <c r="J744" i="3"/>
  <c r="K744" i="3"/>
  <c r="B745" i="3"/>
  <c r="C745" i="3"/>
  <c r="D745" i="3"/>
  <c r="E745" i="3"/>
  <c r="F745" i="3"/>
  <c r="G745" i="3"/>
  <c r="H745" i="3"/>
  <c r="I745" i="3"/>
  <c r="J745" i="3"/>
  <c r="K745" i="3"/>
  <c r="B746" i="3"/>
  <c r="C746" i="3"/>
  <c r="D746" i="3"/>
  <c r="E746" i="3"/>
  <c r="F746" i="3"/>
  <c r="G746" i="3"/>
  <c r="H746" i="3"/>
  <c r="I746" i="3"/>
  <c r="J746" i="3"/>
  <c r="K746" i="3"/>
  <c r="B747" i="3"/>
  <c r="C747" i="3"/>
  <c r="D747" i="3"/>
  <c r="E747" i="3"/>
  <c r="F747" i="3"/>
  <c r="G747" i="3"/>
  <c r="H747" i="3"/>
  <c r="I747" i="3"/>
  <c r="J747" i="3"/>
  <c r="K747" i="3"/>
  <c r="B748" i="3"/>
  <c r="C748" i="3"/>
  <c r="D748" i="3"/>
  <c r="E748" i="3"/>
  <c r="F748" i="3"/>
  <c r="G748" i="3"/>
  <c r="H748" i="3"/>
  <c r="I748" i="3"/>
  <c r="J748" i="3"/>
  <c r="K748" i="3"/>
  <c r="B749" i="3"/>
  <c r="C749" i="3"/>
  <c r="D749" i="3"/>
  <c r="E749" i="3"/>
  <c r="F749" i="3"/>
  <c r="G749" i="3"/>
  <c r="H749" i="3"/>
  <c r="I749" i="3"/>
  <c r="J749" i="3"/>
  <c r="K749" i="3"/>
  <c r="B750" i="3"/>
  <c r="C750" i="3"/>
  <c r="D750" i="3"/>
  <c r="E750" i="3"/>
  <c r="F750" i="3"/>
  <c r="G750" i="3"/>
  <c r="H750" i="3"/>
  <c r="I750" i="3"/>
  <c r="J750" i="3"/>
  <c r="K750" i="3"/>
  <c r="B751" i="3"/>
  <c r="C751" i="3"/>
  <c r="D751" i="3"/>
  <c r="E751" i="3"/>
  <c r="F751" i="3"/>
  <c r="G751" i="3"/>
  <c r="H751" i="3"/>
  <c r="I751" i="3"/>
  <c r="J751" i="3"/>
  <c r="K751" i="3"/>
  <c r="B752" i="3"/>
  <c r="C752" i="3"/>
  <c r="D752" i="3"/>
  <c r="E752" i="3"/>
  <c r="F752" i="3"/>
  <c r="G752" i="3"/>
  <c r="H752" i="3"/>
  <c r="I752" i="3"/>
  <c r="J752" i="3"/>
  <c r="K752" i="3"/>
  <c r="B753" i="3"/>
  <c r="C753" i="3"/>
  <c r="D753" i="3"/>
  <c r="E753" i="3"/>
  <c r="F753" i="3"/>
  <c r="G753" i="3"/>
  <c r="H753" i="3"/>
  <c r="I753" i="3"/>
  <c r="J753" i="3"/>
  <c r="K753" i="3"/>
  <c r="B754" i="3"/>
  <c r="C754" i="3"/>
  <c r="D754" i="3"/>
  <c r="E754" i="3"/>
  <c r="F754" i="3"/>
  <c r="G754" i="3"/>
  <c r="H754" i="3"/>
  <c r="I754" i="3"/>
  <c r="J754" i="3"/>
  <c r="K754" i="3"/>
  <c r="B755" i="3"/>
  <c r="C755" i="3"/>
  <c r="D755" i="3"/>
  <c r="E755" i="3"/>
  <c r="F755" i="3"/>
  <c r="G755" i="3"/>
  <c r="H755" i="3"/>
  <c r="I755" i="3"/>
  <c r="J755" i="3"/>
  <c r="K755" i="3"/>
  <c r="B756" i="3"/>
  <c r="C756" i="3"/>
  <c r="D756" i="3"/>
  <c r="E756" i="3"/>
  <c r="F756" i="3"/>
  <c r="G756" i="3"/>
  <c r="H756" i="3"/>
  <c r="I756" i="3"/>
  <c r="J756" i="3"/>
  <c r="K756" i="3"/>
  <c r="B757" i="3"/>
  <c r="C757" i="3"/>
  <c r="D757" i="3"/>
  <c r="E757" i="3"/>
  <c r="F757" i="3"/>
  <c r="G757" i="3"/>
  <c r="H757" i="3"/>
  <c r="I757" i="3"/>
  <c r="J757" i="3"/>
  <c r="K757" i="3"/>
  <c r="B758" i="3"/>
  <c r="C758" i="3"/>
  <c r="D758" i="3"/>
  <c r="E758" i="3"/>
  <c r="F758" i="3"/>
  <c r="G758" i="3"/>
  <c r="H758" i="3"/>
  <c r="I758" i="3"/>
  <c r="J758" i="3"/>
  <c r="K758" i="3"/>
  <c r="B759" i="3"/>
  <c r="C759" i="3"/>
  <c r="D759" i="3"/>
  <c r="E759" i="3"/>
  <c r="F759" i="3"/>
  <c r="G759" i="3"/>
  <c r="H759" i="3"/>
  <c r="I759" i="3"/>
  <c r="J759" i="3"/>
  <c r="K759" i="3"/>
  <c r="B760" i="3"/>
  <c r="C760" i="3"/>
  <c r="D760" i="3"/>
  <c r="E760" i="3"/>
  <c r="F760" i="3"/>
  <c r="G760" i="3"/>
  <c r="H760" i="3"/>
  <c r="I760" i="3"/>
  <c r="J760" i="3"/>
  <c r="K760" i="3"/>
  <c r="B761" i="3"/>
  <c r="C761" i="3"/>
  <c r="D761" i="3"/>
  <c r="E761" i="3"/>
  <c r="F761" i="3"/>
  <c r="G761" i="3"/>
  <c r="H761" i="3"/>
  <c r="I761" i="3"/>
  <c r="J761" i="3"/>
  <c r="K761" i="3"/>
  <c r="B762" i="3"/>
  <c r="C762" i="3"/>
  <c r="D762" i="3"/>
  <c r="E762" i="3"/>
  <c r="F762" i="3"/>
  <c r="G762" i="3"/>
  <c r="H762" i="3"/>
  <c r="I762" i="3"/>
  <c r="J762" i="3"/>
  <c r="K762" i="3"/>
  <c r="B763" i="3"/>
  <c r="C763" i="3"/>
  <c r="D763" i="3"/>
  <c r="E763" i="3"/>
  <c r="F763" i="3"/>
  <c r="G763" i="3"/>
  <c r="H763" i="3"/>
  <c r="I763" i="3"/>
  <c r="J763" i="3"/>
  <c r="K763" i="3"/>
  <c r="B764" i="3"/>
  <c r="C764" i="3"/>
  <c r="D764" i="3"/>
  <c r="E764" i="3"/>
  <c r="F764" i="3"/>
  <c r="G764" i="3"/>
  <c r="H764" i="3"/>
  <c r="I764" i="3"/>
  <c r="J764" i="3"/>
  <c r="K764" i="3"/>
  <c r="B765" i="3"/>
  <c r="C765" i="3"/>
  <c r="D765" i="3"/>
  <c r="E765" i="3"/>
  <c r="F765" i="3"/>
  <c r="G765" i="3"/>
  <c r="H765" i="3"/>
  <c r="I765" i="3"/>
  <c r="J765" i="3"/>
  <c r="K765" i="3"/>
  <c r="B766" i="3"/>
  <c r="C766" i="3"/>
  <c r="D766" i="3"/>
  <c r="E766" i="3"/>
  <c r="F766" i="3"/>
  <c r="G766" i="3"/>
  <c r="H766" i="3"/>
  <c r="I766" i="3"/>
  <c r="J766" i="3"/>
  <c r="K766" i="3"/>
  <c r="B767" i="3"/>
  <c r="C767" i="3"/>
  <c r="D767" i="3"/>
  <c r="E767" i="3"/>
  <c r="F767" i="3"/>
  <c r="G767" i="3"/>
  <c r="H767" i="3"/>
  <c r="I767" i="3"/>
  <c r="J767" i="3"/>
  <c r="K767" i="3"/>
  <c r="B768" i="3"/>
  <c r="C768" i="3"/>
  <c r="D768" i="3"/>
  <c r="E768" i="3"/>
  <c r="F768" i="3"/>
  <c r="G768" i="3"/>
  <c r="H768" i="3"/>
  <c r="I768" i="3"/>
  <c r="J768" i="3"/>
  <c r="K768" i="3"/>
  <c r="B769" i="3"/>
  <c r="C769" i="3"/>
  <c r="D769" i="3"/>
  <c r="E769" i="3"/>
  <c r="F769" i="3"/>
  <c r="G769" i="3"/>
  <c r="H769" i="3"/>
  <c r="I769" i="3"/>
  <c r="J769" i="3"/>
  <c r="K769" i="3"/>
  <c r="B770" i="3"/>
  <c r="C770" i="3"/>
  <c r="D770" i="3"/>
  <c r="E770" i="3"/>
  <c r="F770" i="3"/>
  <c r="G770" i="3"/>
  <c r="H770" i="3"/>
  <c r="I770" i="3"/>
  <c r="J770" i="3"/>
  <c r="K770" i="3"/>
  <c r="B771" i="3"/>
  <c r="C771" i="3"/>
  <c r="D771" i="3"/>
  <c r="E771" i="3"/>
  <c r="F771" i="3"/>
  <c r="G771" i="3"/>
  <c r="H771" i="3"/>
  <c r="I771" i="3"/>
  <c r="J771" i="3"/>
  <c r="K771" i="3"/>
  <c r="B772" i="3"/>
  <c r="C772" i="3"/>
  <c r="D772" i="3"/>
  <c r="E772" i="3"/>
  <c r="F772" i="3"/>
  <c r="G772" i="3"/>
  <c r="H772" i="3"/>
  <c r="I772" i="3"/>
  <c r="J772" i="3"/>
  <c r="K772" i="3"/>
  <c r="B773" i="3"/>
  <c r="C773" i="3"/>
  <c r="D773" i="3"/>
  <c r="E773" i="3"/>
  <c r="F773" i="3"/>
  <c r="G773" i="3"/>
  <c r="H773" i="3"/>
  <c r="I773" i="3"/>
  <c r="J773" i="3"/>
  <c r="K773" i="3"/>
  <c r="B774" i="3"/>
  <c r="C774" i="3"/>
  <c r="D774" i="3"/>
  <c r="E774" i="3"/>
  <c r="F774" i="3"/>
  <c r="G774" i="3"/>
  <c r="H774" i="3"/>
  <c r="I774" i="3"/>
  <c r="J774" i="3"/>
  <c r="K774" i="3"/>
  <c r="B775" i="3"/>
  <c r="C775" i="3"/>
  <c r="D775" i="3"/>
  <c r="E775" i="3"/>
  <c r="F775" i="3"/>
  <c r="G775" i="3"/>
  <c r="H775" i="3"/>
  <c r="I775" i="3"/>
  <c r="J775" i="3"/>
  <c r="K775" i="3"/>
  <c r="B776" i="3"/>
  <c r="C776" i="3"/>
  <c r="D776" i="3"/>
  <c r="E776" i="3"/>
  <c r="F776" i="3"/>
  <c r="G776" i="3"/>
  <c r="H776" i="3"/>
  <c r="I776" i="3"/>
  <c r="J776" i="3"/>
  <c r="K776" i="3"/>
  <c r="B777" i="3"/>
  <c r="C777" i="3"/>
  <c r="D777" i="3"/>
  <c r="E777" i="3"/>
  <c r="F777" i="3"/>
  <c r="G777" i="3"/>
  <c r="H777" i="3"/>
  <c r="I777" i="3"/>
  <c r="J777" i="3"/>
  <c r="K777" i="3"/>
  <c r="B778" i="3"/>
  <c r="C778" i="3"/>
  <c r="D778" i="3"/>
  <c r="E778" i="3"/>
  <c r="F778" i="3"/>
  <c r="G778" i="3"/>
  <c r="H778" i="3"/>
  <c r="I778" i="3"/>
  <c r="J778" i="3"/>
  <c r="K778" i="3"/>
  <c r="B779" i="3"/>
  <c r="C779" i="3"/>
  <c r="D779" i="3"/>
  <c r="E779" i="3"/>
  <c r="F779" i="3"/>
  <c r="G779" i="3"/>
  <c r="H779" i="3"/>
  <c r="I779" i="3"/>
  <c r="J779" i="3"/>
  <c r="K779" i="3"/>
  <c r="B780" i="3"/>
  <c r="C780" i="3"/>
  <c r="D780" i="3"/>
  <c r="E780" i="3"/>
  <c r="F780" i="3"/>
  <c r="G780" i="3"/>
  <c r="H780" i="3"/>
  <c r="I780" i="3"/>
  <c r="J780" i="3"/>
  <c r="K780" i="3"/>
  <c r="B781" i="3"/>
  <c r="C781" i="3"/>
  <c r="D781" i="3"/>
  <c r="E781" i="3"/>
  <c r="F781" i="3"/>
  <c r="G781" i="3"/>
  <c r="H781" i="3"/>
  <c r="I781" i="3"/>
  <c r="J781" i="3"/>
  <c r="K781" i="3"/>
  <c r="B782" i="3"/>
  <c r="C782" i="3"/>
  <c r="D782" i="3"/>
  <c r="E782" i="3"/>
  <c r="F782" i="3"/>
  <c r="G782" i="3"/>
  <c r="H782" i="3"/>
  <c r="I782" i="3"/>
  <c r="J782" i="3"/>
  <c r="K782" i="3"/>
  <c r="B783" i="3"/>
  <c r="C783" i="3"/>
  <c r="D783" i="3"/>
  <c r="E783" i="3"/>
  <c r="F783" i="3"/>
  <c r="G783" i="3"/>
  <c r="H783" i="3"/>
  <c r="I783" i="3"/>
  <c r="J783" i="3"/>
  <c r="K783" i="3"/>
  <c r="B784" i="3"/>
  <c r="C784" i="3"/>
  <c r="D784" i="3"/>
  <c r="E784" i="3"/>
  <c r="F784" i="3"/>
  <c r="G784" i="3"/>
  <c r="H784" i="3"/>
  <c r="I784" i="3"/>
  <c r="J784" i="3"/>
  <c r="K784" i="3"/>
  <c r="B785" i="3"/>
  <c r="C785" i="3"/>
  <c r="D785" i="3"/>
  <c r="E785" i="3"/>
  <c r="F785" i="3"/>
  <c r="G785" i="3"/>
  <c r="H785" i="3"/>
  <c r="I785" i="3"/>
  <c r="J785" i="3"/>
  <c r="K785" i="3"/>
  <c r="B786" i="3"/>
  <c r="C786" i="3"/>
  <c r="D786" i="3"/>
  <c r="E786" i="3"/>
  <c r="F786" i="3"/>
  <c r="G786" i="3"/>
  <c r="H786" i="3"/>
  <c r="I786" i="3"/>
  <c r="J786" i="3"/>
  <c r="K786" i="3"/>
  <c r="B787" i="3"/>
  <c r="C787" i="3"/>
  <c r="D787" i="3"/>
  <c r="E787" i="3"/>
  <c r="F787" i="3"/>
  <c r="G787" i="3"/>
  <c r="H787" i="3"/>
  <c r="I787" i="3"/>
  <c r="J787" i="3"/>
  <c r="K787" i="3"/>
  <c r="B788" i="3"/>
  <c r="C788" i="3"/>
  <c r="D788" i="3"/>
  <c r="E788" i="3"/>
  <c r="F788" i="3"/>
  <c r="G788" i="3"/>
  <c r="H788" i="3"/>
  <c r="I788" i="3"/>
  <c r="J788" i="3"/>
  <c r="K788" i="3"/>
  <c r="B789" i="3"/>
  <c r="C789" i="3"/>
  <c r="D789" i="3"/>
  <c r="E789" i="3"/>
  <c r="F789" i="3"/>
  <c r="G789" i="3"/>
  <c r="H789" i="3"/>
  <c r="I789" i="3"/>
  <c r="J789" i="3"/>
  <c r="K789" i="3"/>
  <c r="B790" i="3"/>
  <c r="C790" i="3"/>
  <c r="D790" i="3"/>
  <c r="E790" i="3"/>
  <c r="F790" i="3"/>
  <c r="G790" i="3"/>
  <c r="H790" i="3"/>
  <c r="I790" i="3"/>
  <c r="J790" i="3"/>
  <c r="K790" i="3"/>
  <c r="B791" i="3"/>
  <c r="C791" i="3"/>
  <c r="D791" i="3"/>
  <c r="E791" i="3"/>
  <c r="F791" i="3"/>
  <c r="G791" i="3"/>
  <c r="H791" i="3"/>
  <c r="I791" i="3"/>
  <c r="J791" i="3"/>
  <c r="K791" i="3"/>
  <c r="B792" i="3"/>
  <c r="C792" i="3"/>
  <c r="D792" i="3"/>
  <c r="E792" i="3"/>
  <c r="F792" i="3"/>
  <c r="G792" i="3"/>
  <c r="H792" i="3"/>
  <c r="I792" i="3"/>
  <c r="J792" i="3"/>
  <c r="K792" i="3"/>
  <c r="B793" i="3"/>
  <c r="C793" i="3"/>
  <c r="D793" i="3"/>
  <c r="E793" i="3"/>
  <c r="F793" i="3"/>
  <c r="G793" i="3"/>
  <c r="H793" i="3"/>
  <c r="I793" i="3"/>
  <c r="J793" i="3"/>
  <c r="K793" i="3"/>
  <c r="B794" i="3"/>
  <c r="C794" i="3"/>
  <c r="D794" i="3"/>
  <c r="E794" i="3"/>
  <c r="F794" i="3"/>
  <c r="G794" i="3"/>
  <c r="H794" i="3"/>
  <c r="I794" i="3"/>
  <c r="J794" i="3"/>
  <c r="K794" i="3"/>
  <c r="B795" i="3"/>
  <c r="C795" i="3"/>
  <c r="D795" i="3"/>
  <c r="E795" i="3"/>
  <c r="F795" i="3"/>
  <c r="G795" i="3"/>
  <c r="H795" i="3"/>
  <c r="I795" i="3"/>
  <c r="J795" i="3"/>
  <c r="K795" i="3"/>
  <c r="B796" i="3"/>
  <c r="C796" i="3"/>
  <c r="D796" i="3"/>
  <c r="E796" i="3"/>
  <c r="F796" i="3"/>
  <c r="G796" i="3"/>
  <c r="H796" i="3"/>
  <c r="I796" i="3"/>
  <c r="J796" i="3"/>
  <c r="K796" i="3"/>
  <c r="B797" i="3"/>
  <c r="C797" i="3"/>
  <c r="D797" i="3"/>
  <c r="E797" i="3"/>
  <c r="F797" i="3"/>
  <c r="G797" i="3"/>
  <c r="H797" i="3"/>
  <c r="I797" i="3"/>
  <c r="J797" i="3"/>
  <c r="K797" i="3"/>
  <c r="B798" i="3"/>
  <c r="C798" i="3"/>
  <c r="D798" i="3"/>
  <c r="E798" i="3"/>
  <c r="F798" i="3"/>
  <c r="G798" i="3"/>
  <c r="H798" i="3"/>
  <c r="I798" i="3"/>
  <c r="J798" i="3"/>
  <c r="K798" i="3"/>
  <c r="B799" i="3"/>
  <c r="C799" i="3"/>
  <c r="D799" i="3"/>
  <c r="E799" i="3"/>
  <c r="F799" i="3"/>
  <c r="G799" i="3"/>
  <c r="H799" i="3"/>
  <c r="I799" i="3"/>
  <c r="J799" i="3"/>
  <c r="K799" i="3"/>
  <c r="B800" i="3"/>
  <c r="C800" i="3"/>
  <c r="D800" i="3"/>
  <c r="E800" i="3"/>
  <c r="F800" i="3"/>
  <c r="G800" i="3"/>
  <c r="H800" i="3"/>
  <c r="I800" i="3"/>
  <c r="J800" i="3"/>
  <c r="K800" i="3"/>
  <c r="B801" i="3"/>
  <c r="C801" i="3"/>
  <c r="D801" i="3"/>
  <c r="E801" i="3"/>
  <c r="F801" i="3"/>
  <c r="G801" i="3"/>
  <c r="H801" i="3"/>
  <c r="I801" i="3"/>
  <c r="J801" i="3"/>
  <c r="K801" i="3"/>
  <c r="B802" i="3"/>
  <c r="C802" i="3"/>
  <c r="D802" i="3"/>
  <c r="E802" i="3"/>
  <c r="F802" i="3"/>
  <c r="G802" i="3"/>
  <c r="H802" i="3"/>
  <c r="I802" i="3"/>
  <c r="J802" i="3"/>
  <c r="K802" i="3"/>
  <c r="B803" i="3"/>
  <c r="C803" i="3"/>
  <c r="D803" i="3"/>
  <c r="E803" i="3"/>
  <c r="F803" i="3"/>
  <c r="G803" i="3"/>
  <c r="H803" i="3"/>
  <c r="I803" i="3"/>
  <c r="J803" i="3"/>
  <c r="K803" i="3"/>
  <c r="B804" i="3"/>
  <c r="C804" i="3"/>
  <c r="D804" i="3"/>
  <c r="E804" i="3"/>
  <c r="F804" i="3"/>
  <c r="G804" i="3"/>
  <c r="H804" i="3"/>
  <c r="I804" i="3"/>
  <c r="J804" i="3"/>
  <c r="K804" i="3"/>
  <c r="B805" i="3"/>
  <c r="C805" i="3"/>
  <c r="D805" i="3"/>
  <c r="E805" i="3"/>
  <c r="F805" i="3"/>
  <c r="G805" i="3"/>
  <c r="H805" i="3"/>
  <c r="I805" i="3"/>
  <c r="J805" i="3"/>
  <c r="K805" i="3"/>
  <c r="B806" i="3"/>
  <c r="C806" i="3"/>
  <c r="D806" i="3"/>
  <c r="E806" i="3"/>
  <c r="F806" i="3"/>
  <c r="G806" i="3"/>
  <c r="H806" i="3"/>
  <c r="I806" i="3"/>
  <c r="J806" i="3"/>
  <c r="K806" i="3"/>
  <c r="B807" i="3"/>
  <c r="C807" i="3"/>
  <c r="D807" i="3"/>
  <c r="E807" i="3"/>
  <c r="F807" i="3"/>
  <c r="G807" i="3"/>
  <c r="H807" i="3"/>
  <c r="I807" i="3"/>
  <c r="J807" i="3"/>
  <c r="K807" i="3"/>
  <c r="B808" i="3"/>
  <c r="C808" i="3"/>
  <c r="D808" i="3"/>
  <c r="E808" i="3"/>
  <c r="F808" i="3"/>
  <c r="G808" i="3"/>
  <c r="H808" i="3"/>
  <c r="I808" i="3"/>
  <c r="J808" i="3"/>
  <c r="K808" i="3"/>
  <c r="B809" i="3"/>
  <c r="C809" i="3"/>
  <c r="D809" i="3"/>
  <c r="E809" i="3"/>
  <c r="F809" i="3"/>
  <c r="G809" i="3"/>
  <c r="H809" i="3"/>
  <c r="I809" i="3"/>
  <c r="J809" i="3"/>
  <c r="K809" i="3"/>
  <c r="B810" i="3"/>
  <c r="C810" i="3"/>
  <c r="D810" i="3"/>
  <c r="E810" i="3"/>
  <c r="F810" i="3"/>
  <c r="G810" i="3"/>
  <c r="H810" i="3"/>
  <c r="I810" i="3"/>
  <c r="J810" i="3"/>
  <c r="K810" i="3"/>
  <c r="B811" i="3"/>
  <c r="C811" i="3"/>
  <c r="D811" i="3"/>
  <c r="E811" i="3"/>
  <c r="F811" i="3"/>
  <c r="G811" i="3"/>
  <c r="H811" i="3"/>
  <c r="I811" i="3"/>
  <c r="J811" i="3"/>
  <c r="K811" i="3"/>
  <c r="B812" i="3"/>
  <c r="C812" i="3"/>
  <c r="D812" i="3"/>
  <c r="E812" i="3"/>
  <c r="F812" i="3"/>
  <c r="G812" i="3"/>
  <c r="H812" i="3"/>
  <c r="I812" i="3"/>
  <c r="J812" i="3"/>
  <c r="K812" i="3"/>
  <c r="B813" i="3"/>
  <c r="C813" i="3"/>
  <c r="D813" i="3"/>
  <c r="E813" i="3"/>
  <c r="F813" i="3"/>
  <c r="G813" i="3"/>
  <c r="H813" i="3"/>
  <c r="I813" i="3"/>
  <c r="J813" i="3"/>
  <c r="K813" i="3"/>
  <c r="B814" i="3"/>
  <c r="C814" i="3"/>
  <c r="D814" i="3"/>
  <c r="E814" i="3"/>
  <c r="F814" i="3"/>
  <c r="G814" i="3"/>
  <c r="H814" i="3"/>
  <c r="I814" i="3"/>
  <c r="J814" i="3"/>
  <c r="K814" i="3"/>
  <c r="B815" i="3"/>
  <c r="C815" i="3"/>
  <c r="D815" i="3"/>
  <c r="E815" i="3"/>
  <c r="F815" i="3"/>
  <c r="G815" i="3"/>
  <c r="H815" i="3"/>
  <c r="I815" i="3"/>
  <c r="J815" i="3"/>
  <c r="K815" i="3"/>
  <c r="B816" i="3"/>
  <c r="C816" i="3"/>
  <c r="D816" i="3"/>
  <c r="E816" i="3"/>
  <c r="F816" i="3"/>
  <c r="G816" i="3"/>
  <c r="H816" i="3"/>
  <c r="I816" i="3"/>
  <c r="J816" i="3"/>
  <c r="K816" i="3"/>
  <c r="B817" i="3"/>
  <c r="C817" i="3"/>
  <c r="D817" i="3"/>
  <c r="E817" i="3"/>
  <c r="F817" i="3"/>
  <c r="G817" i="3"/>
  <c r="H817" i="3"/>
  <c r="I817" i="3"/>
  <c r="J817" i="3"/>
  <c r="K817" i="3"/>
  <c r="B818" i="3"/>
  <c r="C818" i="3"/>
  <c r="D818" i="3"/>
  <c r="E818" i="3"/>
  <c r="F818" i="3"/>
  <c r="G818" i="3"/>
  <c r="H818" i="3"/>
  <c r="I818" i="3"/>
  <c r="J818" i="3"/>
  <c r="K818" i="3"/>
  <c r="B819" i="3"/>
  <c r="C819" i="3"/>
  <c r="D819" i="3"/>
  <c r="E819" i="3"/>
  <c r="F819" i="3"/>
  <c r="G819" i="3"/>
  <c r="H819" i="3"/>
  <c r="I819" i="3"/>
  <c r="J819" i="3"/>
  <c r="K819" i="3"/>
  <c r="B820" i="3"/>
  <c r="C820" i="3"/>
  <c r="D820" i="3"/>
  <c r="E820" i="3"/>
  <c r="F820" i="3"/>
  <c r="G820" i="3"/>
  <c r="H820" i="3"/>
  <c r="I820" i="3"/>
  <c r="J820" i="3"/>
  <c r="K820" i="3"/>
  <c r="B821" i="3"/>
  <c r="C821" i="3"/>
  <c r="D821" i="3"/>
  <c r="E821" i="3"/>
  <c r="F821" i="3"/>
  <c r="G821" i="3"/>
  <c r="H821" i="3"/>
  <c r="I821" i="3"/>
  <c r="J821" i="3"/>
  <c r="K821" i="3"/>
  <c r="B822" i="3"/>
  <c r="C822" i="3"/>
  <c r="D822" i="3"/>
  <c r="E822" i="3"/>
  <c r="F822" i="3"/>
  <c r="G822" i="3"/>
  <c r="H822" i="3"/>
  <c r="I822" i="3"/>
  <c r="J822" i="3"/>
  <c r="K822" i="3"/>
  <c r="B823" i="3"/>
  <c r="C823" i="3"/>
  <c r="D823" i="3"/>
  <c r="E823" i="3"/>
  <c r="F823" i="3"/>
  <c r="G823" i="3"/>
  <c r="H823" i="3"/>
  <c r="I823" i="3"/>
  <c r="J823" i="3"/>
  <c r="K823" i="3"/>
  <c r="B824" i="3"/>
  <c r="C824" i="3"/>
  <c r="D824" i="3"/>
  <c r="E824" i="3"/>
  <c r="F824" i="3"/>
  <c r="G824" i="3"/>
  <c r="H824" i="3"/>
  <c r="I824" i="3"/>
  <c r="J824" i="3"/>
  <c r="K824" i="3"/>
  <c r="B825" i="3"/>
  <c r="C825" i="3"/>
  <c r="D825" i="3"/>
  <c r="E825" i="3"/>
  <c r="F825" i="3"/>
  <c r="G825" i="3"/>
  <c r="H825" i="3"/>
  <c r="I825" i="3"/>
  <c r="J825" i="3"/>
  <c r="K825" i="3"/>
  <c r="B826" i="3"/>
  <c r="C826" i="3"/>
  <c r="D826" i="3"/>
  <c r="E826" i="3"/>
  <c r="F826" i="3"/>
  <c r="G826" i="3"/>
  <c r="H826" i="3"/>
  <c r="I826" i="3"/>
  <c r="J826" i="3"/>
  <c r="K826" i="3"/>
  <c r="B827" i="3"/>
  <c r="C827" i="3"/>
  <c r="D827" i="3"/>
  <c r="E827" i="3"/>
  <c r="F827" i="3"/>
  <c r="G827" i="3"/>
  <c r="H827" i="3"/>
  <c r="I827" i="3"/>
  <c r="J827" i="3"/>
  <c r="K827" i="3"/>
  <c r="B828" i="3"/>
  <c r="C828" i="3"/>
  <c r="D828" i="3"/>
  <c r="E828" i="3"/>
  <c r="F828" i="3"/>
  <c r="G828" i="3"/>
  <c r="H828" i="3"/>
  <c r="I828" i="3"/>
  <c r="J828" i="3"/>
  <c r="K828" i="3"/>
  <c r="B829" i="3"/>
  <c r="C829" i="3"/>
  <c r="D829" i="3"/>
  <c r="E829" i="3"/>
  <c r="F829" i="3"/>
  <c r="G829" i="3"/>
  <c r="H829" i="3"/>
  <c r="I829" i="3"/>
  <c r="J829" i="3"/>
  <c r="K829" i="3"/>
  <c r="B830" i="3"/>
  <c r="C830" i="3"/>
  <c r="D830" i="3"/>
  <c r="E830" i="3"/>
  <c r="F830" i="3"/>
  <c r="G830" i="3"/>
  <c r="H830" i="3"/>
  <c r="I830" i="3"/>
  <c r="J830" i="3"/>
  <c r="K830" i="3"/>
  <c r="B831" i="3"/>
  <c r="C831" i="3"/>
  <c r="D831" i="3"/>
  <c r="E831" i="3"/>
  <c r="F831" i="3"/>
  <c r="G831" i="3"/>
  <c r="H831" i="3"/>
  <c r="I831" i="3"/>
  <c r="J831" i="3"/>
  <c r="K831" i="3"/>
  <c r="B832" i="3"/>
  <c r="C832" i="3"/>
  <c r="D832" i="3"/>
  <c r="E832" i="3"/>
  <c r="F832" i="3"/>
  <c r="G832" i="3"/>
  <c r="H832" i="3"/>
  <c r="I832" i="3"/>
  <c r="J832" i="3"/>
  <c r="K832" i="3"/>
  <c r="B833" i="3"/>
  <c r="C833" i="3"/>
  <c r="D833" i="3"/>
  <c r="E833" i="3"/>
  <c r="F833" i="3"/>
  <c r="G833" i="3"/>
  <c r="H833" i="3"/>
  <c r="I833" i="3"/>
  <c r="J833" i="3"/>
  <c r="K833" i="3"/>
  <c r="B834" i="3"/>
  <c r="C834" i="3"/>
  <c r="D834" i="3"/>
  <c r="E834" i="3"/>
  <c r="F834" i="3"/>
  <c r="G834" i="3"/>
  <c r="H834" i="3"/>
  <c r="I834" i="3"/>
  <c r="J834" i="3"/>
  <c r="K834" i="3"/>
  <c r="B835" i="3"/>
  <c r="C835" i="3"/>
  <c r="D835" i="3"/>
  <c r="E835" i="3"/>
  <c r="F835" i="3"/>
  <c r="G835" i="3"/>
  <c r="H835" i="3"/>
  <c r="I835" i="3"/>
  <c r="J835" i="3"/>
  <c r="K835" i="3"/>
  <c r="B836" i="3"/>
  <c r="C836" i="3"/>
  <c r="D836" i="3"/>
  <c r="E836" i="3"/>
  <c r="F836" i="3"/>
  <c r="G836" i="3"/>
  <c r="H836" i="3"/>
  <c r="I836" i="3"/>
  <c r="J836" i="3"/>
  <c r="K836" i="3"/>
  <c r="B837" i="3"/>
  <c r="C837" i="3"/>
  <c r="D837" i="3"/>
  <c r="E837" i="3"/>
  <c r="F837" i="3"/>
  <c r="G837" i="3"/>
  <c r="H837" i="3"/>
  <c r="I837" i="3"/>
  <c r="J837" i="3"/>
  <c r="K837" i="3"/>
  <c r="B838" i="3"/>
  <c r="C838" i="3"/>
  <c r="D838" i="3"/>
  <c r="E838" i="3"/>
  <c r="F838" i="3"/>
  <c r="G838" i="3"/>
  <c r="H838" i="3"/>
  <c r="I838" i="3"/>
  <c r="J838" i="3"/>
  <c r="K838" i="3"/>
  <c r="B839" i="3"/>
  <c r="C839" i="3"/>
  <c r="D839" i="3"/>
  <c r="E839" i="3"/>
  <c r="F839" i="3"/>
  <c r="G839" i="3"/>
  <c r="H839" i="3"/>
  <c r="I839" i="3"/>
  <c r="J839" i="3"/>
  <c r="K839" i="3"/>
  <c r="B840" i="3"/>
  <c r="C840" i="3"/>
  <c r="D840" i="3"/>
  <c r="E840" i="3"/>
  <c r="F840" i="3"/>
  <c r="G840" i="3"/>
  <c r="H840" i="3"/>
  <c r="I840" i="3"/>
  <c r="J840" i="3"/>
  <c r="K840" i="3"/>
  <c r="B841" i="3"/>
  <c r="C841" i="3"/>
  <c r="D841" i="3"/>
  <c r="E841" i="3"/>
  <c r="F841" i="3"/>
  <c r="G841" i="3"/>
  <c r="H841" i="3"/>
  <c r="I841" i="3"/>
  <c r="J841" i="3"/>
  <c r="K841" i="3"/>
  <c r="B842" i="3"/>
  <c r="C842" i="3"/>
  <c r="D842" i="3"/>
  <c r="E842" i="3"/>
  <c r="F842" i="3"/>
  <c r="G842" i="3"/>
  <c r="H842" i="3"/>
  <c r="I842" i="3"/>
  <c r="J842" i="3"/>
  <c r="K842" i="3"/>
  <c r="B843" i="3"/>
  <c r="C843" i="3"/>
  <c r="D843" i="3"/>
  <c r="E843" i="3"/>
  <c r="F843" i="3"/>
  <c r="G843" i="3"/>
  <c r="H843" i="3"/>
  <c r="I843" i="3"/>
  <c r="J843" i="3"/>
  <c r="K843" i="3"/>
  <c r="B844" i="3"/>
  <c r="C844" i="3"/>
  <c r="D844" i="3"/>
  <c r="E844" i="3"/>
  <c r="F844" i="3"/>
  <c r="G844" i="3"/>
  <c r="H844" i="3"/>
  <c r="I844" i="3"/>
  <c r="J844" i="3"/>
  <c r="K844" i="3"/>
  <c r="B845" i="3"/>
  <c r="C845" i="3"/>
  <c r="D845" i="3"/>
  <c r="E845" i="3"/>
  <c r="F845" i="3"/>
  <c r="G845" i="3"/>
  <c r="H845" i="3"/>
  <c r="I845" i="3"/>
  <c r="J845" i="3"/>
  <c r="K845" i="3"/>
  <c r="B846" i="3"/>
  <c r="C846" i="3"/>
  <c r="D846" i="3"/>
  <c r="E846" i="3"/>
  <c r="F846" i="3"/>
  <c r="G846" i="3"/>
  <c r="H846" i="3"/>
  <c r="I846" i="3"/>
  <c r="J846" i="3"/>
  <c r="K846" i="3"/>
  <c r="B847" i="3"/>
  <c r="C847" i="3"/>
  <c r="D847" i="3"/>
  <c r="E847" i="3"/>
  <c r="F847" i="3"/>
  <c r="G847" i="3"/>
  <c r="H847" i="3"/>
  <c r="I847" i="3"/>
  <c r="J847" i="3"/>
  <c r="K847" i="3"/>
  <c r="B848" i="3"/>
  <c r="C848" i="3"/>
  <c r="D848" i="3"/>
  <c r="E848" i="3"/>
  <c r="F848" i="3"/>
  <c r="G848" i="3"/>
  <c r="H848" i="3"/>
  <c r="I848" i="3"/>
  <c r="J848" i="3"/>
  <c r="K848" i="3"/>
  <c r="B849" i="3"/>
  <c r="C849" i="3"/>
  <c r="D849" i="3"/>
  <c r="E849" i="3"/>
  <c r="F849" i="3"/>
  <c r="G849" i="3"/>
  <c r="H849" i="3"/>
  <c r="I849" i="3"/>
  <c r="J849" i="3"/>
  <c r="K849" i="3"/>
  <c r="B850" i="3"/>
  <c r="C850" i="3"/>
  <c r="D850" i="3"/>
  <c r="E850" i="3"/>
  <c r="F850" i="3"/>
  <c r="G850" i="3"/>
  <c r="H850" i="3"/>
  <c r="I850" i="3"/>
  <c r="J850" i="3"/>
  <c r="K850" i="3"/>
  <c r="B851" i="3"/>
  <c r="C851" i="3"/>
  <c r="D851" i="3"/>
  <c r="E851" i="3"/>
  <c r="F851" i="3"/>
  <c r="G851" i="3"/>
  <c r="H851" i="3"/>
  <c r="I851" i="3"/>
  <c r="J851" i="3"/>
  <c r="K851" i="3"/>
  <c r="B852" i="3"/>
  <c r="C852" i="3"/>
  <c r="D852" i="3"/>
  <c r="E852" i="3"/>
  <c r="F852" i="3"/>
  <c r="G852" i="3"/>
  <c r="H852" i="3"/>
  <c r="I852" i="3"/>
  <c r="J852" i="3"/>
  <c r="K852" i="3"/>
  <c r="B853" i="3"/>
  <c r="C853" i="3"/>
  <c r="D853" i="3"/>
  <c r="E853" i="3"/>
  <c r="F853" i="3"/>
  <c r="G853" i="3"/>
  <c r="H853" i="3"/>
  <c r="I853" i="3"/>
  <c r="J853" i="3"/>
  <c r="K853" i="3"/>
  <c r="B854" i="3"/>
  <c r="C854" i="3"/>
  <c r="D854" i="3"/>
  <c r="E854" i="3"/>
  <c r="F854" i="3"/>
  <c r="G854" i="3"/>
  <c r="H854" i="3"/>
  <c r="I854" i="3"/>
  <c r="J854" i="3"/>
  <c r="K854" i="3"/>
  <c r="B855" i="3"/>
  <c r="C855" i="3"/>
  <c r="D855" i="3"/>
  <c r="E855" i="3"/>
  <c r="F855" i="3"/>
  <c r="G855" i="3"/>
  <c r="H855" i="3"/>
  <c r="I855" i="3"/>
  <c r="J855" i="3"/>
  <c r="K855" i="3"/>
  <c r="B856" i="3"/>
  <c r="C856" i="3"/>
  <c r="D856" i="3"/>
  <c r="E856" i="3"/>
  <c r="F856" i="3"/>
  <c r="G856" i="3"/>
  <c r="H856" i="3"/>
  <c r="I856" i="3"/>
  <c r="J856" i="3"/>
  <c r="K856" i="3"/>
  <c r="B857" i="3"/>
  <c r="C857" i="3"/>
  <c r="D857" i="3"/>
  <c r="E857" i="3"/>
  <c r="F857" i="3"/>
  <c r="G857" i="3"/>
  <c r="H857" i="3"/>
  <c r="I857" i="3"/>
  <c r="J857" i="3"/>
  <c r="K857" i="3"/>
  <c r="B858" i="3"/>
  <c r="C858" i="3"/>
  <c r="D858" i="3"/>
  <c r="E858" i="3"/>
  <c r="F858" i="3"/>
  <c r="G858" i="3"/>
  <c r="H858" i="3"/>
  <c r="I858" i="3"/>
  <c r="J858" i="3"/>
  <c r="K858" i="3"/>
  <c r="B859" i="3"/>
  <c r="C859" i="3"/>
  <c r="D859" i="3"/>
  <c r="E859" i="3"/>
  <c r="F859" i="3"/>
  <c r="G859" i="3"/>
  <c r="H859" i="3"/>
  <c r="I859" i="3"/>
  <c r="J859" i="3"/>
  <c r="K859" i="3"/>
  <c r="B860" i="3"/>
  <c r="C860" i="3"/>
  <c r="D860" i="3"/>
  <c r="E860" i="3"/>
  <c r="F860" i="3"/>
  <c r="G860" i="3"/>
  <c r="H860" i="3"/>
  <c r="I860" i="3"/>
  <c r="J860" i="3"/>
  <c r="K860" i="3"/>
  <c r="B861" i="3"/>
  <c r="C861" i="3"/>
  <c r="D861" i="3"/>
  <c r="E861" i="3"/>
  <c r="F861" i="3"/>
  <c r="G861" i="3"/>
  <c r="H861" i="3"/>
  <c r="I861" i="3"/>
  <c r="J861" i="3"/>
  <c r="K861" i="3"/>
  <c r="B862" i="3"/>
  <c r="C862" i="3"/>
  <c r="D862" i="3"/>
  <c r="E862" i="3"/>
  <c r="F862" i="3"/>
  <c r="G862" i="3"/>
  <c r="H862" i="3"/>
  <c r="I862" i="3"/>
  <c r="J862" i="3"/>
  <c r="K862" i="3"/>
  <c r="B863" i="3"/>
  <c r="C863" i="3"/>
  <c r="D863" i="3"/>
  <c r="E863" i="3"/>
  <c r="F863" i="3"/>
  <c r="G863" i="3"/>
  <c r="H863" i="3"/>
  <c r="I863" i="3"/>
  <c r="J863" i="3"/>
  <c r="K863" i="3"/>
  <c r="B864" i="3"/>
  <c r="C864" i="3"/>
  <c r="D864" i="3"/>
  <c r="E864" i="3"/>
  <c r="F864" i="3"/>
  <c r="G864" i="3"/>
  <c r="H864" i="3"/>
  <c r="I864" i="3"/>
  <c r="J864" i="3"/>
  <c r="K864" i="3"/>
  <c r="B865" i="3"/>
  <c r="C865" i="3"/>
  <c r="D865" i="3"/>
  <c r="E865" i="3"/>
  <c r="F865" i="3"/>
  <c r="G865" i="3"/>
  <c r="H865" i="3"/>
  <c r="I865" i="3"/>
  <c r="J865" i="3"/>
  <c r="K865" i="3"/>
  <c r="B866" i="3"/>
  <c r="C866" i="3"/>
  <c r="D866" i="3"/>
  <c r="E866" i="3"/>
  <c r="F866" i="3"/>
  <c r="G866" i="3"/>
  <c r="H866" i="3"/>
  <c r="I866" i="3"/>
  <c r="J866" i="3"/>
  <c r="K866" i="3"/>
  <c r="B867" i="3"/>
  <c r="C867" i="3"/>
  <c r="D867" i="3"/>
  <c r="E867" i="3"/>
  <c r="F867" i="3"/>
  <c r="G867" i="3"/>
  <c r="H867" i="3"/>
  <c r="I867" i="3"/>
  <c r="J867" i="3"/>
  <c r="K867" i="3"/>
  <c r="B868" i="3"/>
  <c r="C868" i="3"/>
  <c r="D868" i="3"/>
  <c r="E868" i="3"/>
  <c r="F868" i="3"/>
  <c r="G868" i="3"/>
  <c r="H868" i="3"/>
  <c r="I868" i="3"/>
  <c r="J868" i="3"/>
  <c r="K868" i="3"/>
  <c r="B869" i="3"/>
  <c r="C869" i="3"/>
  <c r="D869" i="3"/>
  <c r="E869" i="3"/>
  <c r="F869" i="3"/>
  <c r="G869" i="3"/>
  <c r="H869" i="3"/>
  <c r="I869" i="3"/>
  <c r="J869" i="3"/>
  <c r="K869" i="3"/>
  <c r="B870" i="3"/>
  <c r="C870" i="3"/>
  <c r="D870" i="3"/>
  <c r="E870" i="3"/>
  <c r="F870" i="3"/>
  <c r="G870" i="3"/>
  <c r="H870" i="3"/>
  <c r="I870" i="3"/>
  <c r="J870" i="3"/>
  <c r="K870" i="3"/>
  <c r="B871" i="3"/>
  <c r="C871" i="3"/>
  <c r="D871" i="3"/>
  <c r="E871" i="3"/>
  <c r="F871" i="3"/>
  <c r="G871" i="3"/>
  <c r="H871" i="3"/>
  <c r="I871" i="3"/>
  <c r="J871" i="3"/>
  <c r="K871" i="3"/>
  <c r="B872" i="3"/>
  <c r="C872" i="3"/>
  <c r="D872" i="3"/>
  <c r="E872" i="3"/>
  <c r="F872" i="3"/>
  <c r="G872" i="3"/>
  <c r="H872" i="3"/>
  <c r="I872" i="3"/>
  <c r="J872" i="3"/>
  <c r="K872" i="3"/>
  <c r="B873" i="3"/>
  <c r="C873" i="3"/>
  <c r="D873" i="3"/>
  <c r="E873" i="3"/>
  <c r="F873" i="3"/>
  <c r="G873" i="3"/>
  <c r="H873" i="3"/>
  <c r="I873" i="3"/>
  <c r="J873" i="3"/>
  <c r="K873" i="3"/>
  <c r="B874" i="3"/>
  <c r="C874" i="3"/>
  <c r="D874" i="3"/>
  <c r="E874" i="3"/>
  <c r="F874" i="3"/>
  <c r="G874" i="3"/>
  <c r="H874" i="3"/>
  <c r="I874" i="3"/>
  <c r="J874" i="3"/>
  <c r="K874" i="3"/>
  <c r="B875" i="3"/>
  <c r="C875" i="3"/>
  <c r="D875" i="3"/>
  <c r="E875" i="3"/>
  <c r="F875" i="3"/>
  <c r="G875" i="3"/>
  <c r="H875" i="3"/>
  <c r="I875" i="3"/>
  <c r="J875" i="3"/>
  <c r="K875" i="3"/>
  <c r="B876" i="3"/>
  <c r="C876" i="3"/>
  <c r="D876" i="3"/>
  <c r="E876" i="3"/>
  <c r="F876" i="3"/>
  <c r="G876" i="3"/>
  <c r="H876" i="3"/>
  <c r="I876" i="3"/>
  <c r="J876" i="3"/>
  <c r="K876" i="3"/>
  <c r="B877" i="3"/>
  <c r="C877" i="3"/>
  <c r="D877" i="3"/>
  <c r="E877" i="3"/>
  <c r="F877" i="3"/>
  <c r="G877" i="3"/>
  <c r="H877" i="3"/>
  <c r="I877" i="3"/>
  <c r="J877" i="3"/>
  <c r="K877" i="3"/>
  <c r="B878" i="3"/>
  <c r="C878" i="3"/>
  <c r="D878" i="3"/>
  <c r="E878" i="3"/>
  <c r="F878" i="3"/>
  <c r="G878" i="3"/>
  <c r="H878" i="3"/>
  <c r="I878" i="3"/>
  <c r="J878" i="3"/>
  <c r="K878" i="3"/>
  <c r="B879" i="3"/>
  <c r="C879" i="3"/>
  <c r="D879" i="3"/>
  <c r="E879" i="3"/>
  <c r="F879" i="3"/>
  <c r="G879" i="3"/>
  <c r="H879" i="3"/>
  <c r="I879" i="3"/>
  <c r="J879" i="3"/>
  <c r="K879" i="3"/>
  <c r="B880" i="3"/>
  <c r="C880" i="3"/>
  <c r="D880" i="3"/>
  <c r="E880" i="3"/>
  <c r="F880" i="3"/>
  <c r="G880" i="3"/>
  <c r="H880" i="3"/>
  <c r="I880" i="3"/>
  <c r="J880" i="3"/>
  <c r="K880" i="3"/>
  <c r="B881" i="3"/>
  <c r="C881" i="3"/>
  <c r="D881" i="3"/>
  <c r="E881" i="3"/>
  <c r="F881" i="3"/>
  <c r="G881" i="3"/>
  <c r="H881" i="3"/>
  <c r="I881" i="3"/>
  <c r="J881" i="3"/>
  <c r="K881" i="3"/>
  <c r="B882" i="3"/>
  <c r="C882" i="3"/>
  <c r="D882" i="3"/>
  <c r="E882" i="3"/>
  <c r="F882" i="3"/>
  <c r="G882" i="3"/>
  <c r="H882" i="3"/>
  <c r="I882" i="3"/>
  <c r="J882" i="3"/>
  <c r="K882" i="3"/>
  <c r="B883" i="3"/>
  <c r="C883" i="3"/>
  <c r="D883" i="3"/>
  <c r="E883" i="3"/>
  <c r="F883" i="3"/>
  <c r="G883" i="3"/>
  <c r="H883" i="3"/>
  <c r="I883" i="3"/>
  <c r="J883" i="3"/>
  <c r="K883" i="3"/>
  <c r="B884" i="3"/>
  <c r="C884" i="3"/>
  <c r="D884" i="3"/>
  <c r="E884" i="3"/>
  <c r="F884" i="3"/>
  <c r="G884" i="3"/>
  <c r="H884" i="3"/>
  <c r="I884" i="3"/>
  <c r="J884" i="3"/>
  <c r="K884" i="3"/>
  <c r="B885" i="3"/>
  <c r="C885" i="3"/>
  <c r="D885" i="3"/>
  <c r="E885" i="3"/>
  <c r="F885" i="3"/>
  <c r="G885" i="3"/>
  <c r="H885" i="3"/>
  <c r="I885" i="3"/>
  <c r="J885" i="3"/>
  <c r="K885" i="3"/>
  <c r="B886" i="3"/>
  <c r="C886" i="3"/>
  <c r="D886" i="3"/>
  <c r="E886" i="3"/>
  <c r="F886" i="3"/>
  <c r="G886" i="3"/>
  <c r="H886" i="3"/>
  <c r="I886" i="3"/>
  <c r="J886" i="3"/>
  <c r="K886" i="3"/>
  <c r="B887" i="3"/>
  <c r="C887" i="3"/>
  <c r="D887" i="3"/>
  <c r="E887" i="3"/>
  <c r="F887" i="3"/>
  <c r="G887" i="3"/>
  <c r="H887" i="3"/>
  <c r="I887" i="3"/>
  <c r="J887" i="3"/>
  <c r="K887" i="3"/>
  <c r="B888" i="3"/>
  <c r="C888" i="3"/>
  <c r="D888" i="3"/>
  <c r="E888" i="3"/>
  <c r="F888" i="3"/>
  <c r="G888" i="3"/>
  <c r="H888" i="3"/>
  <c r="I888" i="3"/>
  <c r="J888" i="3"/>
  <c r="K888" i="3"/>
  <c r="B889" i="3"/>
  <c r="C889" i="3"/>
  <c r="D889" i="3"/>
  <c r="E889" i="3"/>
  <c r="F889" i="3"/>
  <c r="G889" i="3"/>
  <c r="H889" i="3"/>
  <c r="I889" i="3"/>
  <c r="J889" i="3"/>
  <c r="K889" i="3"/>
  <c r="B890" i="3"/>
  <c r="C890" i="3"/>
  <c r="D890" i="3"/>
  <c r="E890" i="3"/>
  <c r="F890" i="3"/>
  <c r="G890" i="3"/>
  <c r="H890" i="3"/>
  <c r="I890" i="3"/>
  <c r="J890" i="3"/>
  <c r="K890" i="3"/>
  <c r="B891" i="3"/>
  <c r="C891" i="3"/>
  <c r="D891" i="3"/>
  <c r="E891" i="3"/>
  <c r="F891" i="3"/>
  <c r="G891" i="3"/>
  <c r="G1142" i="3" s="1"/>
  <c r="H891" i="3"/>
  <c r="I891" i="3"/>
  <c r="J891" i="3"/>
  <c r="K891" i="3"/>
  <c r="K1142" i="3" s="1"/>
  <c r="B892" i="3"/>
  <c r="C892" i="3"/>
  <c r="D892" i="3"/>
  <c r="E892" i="3"/>
  <c r="F892" i="3"/>
  <c r="G892" i="3"/>
  <c r="H892" i="3"/>
  <c r="I892" i="3"/>
  <c r="J892" i="3"/>
  <c r="K892" i="3"/>
  <c r="B893" i="3"/>
  <c r="C893" i="3"/>
  <c r="D893" i="3"/>
  <c r="E893" i="3"/>
  <c r="F893" i="3"/>
  <c r="G893" i="3"/>
  <c r="H893" i="3"/>
  <c r="I893" i="3"/>
  <c r="J893" i="3"/>
  <c r="K893" i="3"/>
  <c r="B894" i="3"/>
  <c r="C894" i="3"/>
  <c r="D894" i="3"/>
  <c r="E894" i="3"/>
  <c r="F894" i="3"/>
  <c r="G894" i="3"/>
  <c r="H894" i="3"/>
  <c r="I894" i="3"/>
  <c r="J894" i="3"/>
  <c r="K894" i="3"/>
  <c r="B895" i="3"/>
  <c r="C895" i="3"/>
  <c r="D895" i="3"/>
  <c r="E895" i="3"/>
  <c r="F895" i="3"/>
  <c r="G895" i="3"/>
  <c r="H895" i="3"/>
  <c r="I895" i="3"/>
  <c r="J895" i="3"/>
  <c r="K895" i="3"/>
  <c r="B896" i="3"/>
  <c r="C896" i="3"/>
  <c r="D896" i="3"/>
  <c r="E896" i="3"/>
  <c r="F896" i="3"/>
  <c r="G896" i="3"/>
  <c r="H896" i="3"/>
  <c r="I896" i="3"/>
  <c r="J896" i="3"/>
  <c r="K896" i="3"/>
  <c r="B897" i="3"/>
  <c r="C897" i="3"/>
  <c r="D897" i="3"/>
  <c r="E897" i="3"/>
  <c r="F897" i="3"/>
  <c r="G897" i="3"/>
  <c r="H897" i="3"/>
  <c r="I897" i="3"/>
  <c r="J897" i="3"/>
  <c r="K897" i="3"/>
  <c r="B898" i="3"/>
  <c r="C898" i="3"/>
  <c r="D898" i="3"/>
  <c r="E898" i="3"/>
  <c r="F898" i="3"/>
  <c r="G898" i="3"/>
  <c r="H898" i="3"/>
  <c r="I898" i="3"/>
  <c r="J898" i="3"/>
  <c r="K898" i="3"/>
  <c r="B899" i="3"/>
  <c r="C899" i="3"/>
  <c r="D899" i="3"/>
  <c r="E899" i="3"/>
  <c r="F899" i="3"/>
  <c r="G899" i="3"/>
  <c r="H899" i="3"/>
  <c r="I899" i="3"/>
  <c r="J899" i="3"/>
  <c r="K899" i="3"/>
  <c r="B900" i="3"/>
  <c r="C900" i="3"/>
  <c r="D900" i="3"/>
  <c r="E900" i="3"/>
  <c r="E1143" i="3" s="1"/>
  <c r="F900" i="3"/>
  <c r="G900" i="3"/>
  <c r="H900" i="3"/>
  <c r="I900" i="3"/>
  <c r="I1143" i="3" s="1"/>
  <c r="J900" i="3"/>
  <c r="K900" i="3"/>
  <c r="B901" i="3"/>
  <c r="C901" i="3"/>
  <c r="C1143" i="3" s="1"/>
  <c r="D901" i="3"/>
  <c r="E901" i="3"/>
  <c r="F901" i="3"/>
  <c r="G901" i="3"/>
  <c r="H901" i="3"/>
  <c r="I901" i="3"/>
  <c r="J901" i="3"/>
  <c r="K901" i="3"/>
  <c r="B902" i="3"/>
  <c r="C902" i="3"/>
  <c r="D902" i="3"/>
  <c r="E902" i="3"/>
  <c r="F902" i="3"/>
  <c r="G902" i="3"/>
  <c r="H902" i="3"/>
  <c r="I902" i="3"/>
  <c r="J902" i="3"/>
  <c r="K902" i="3"/>
  <c r="B903" i="3"/>
  <c r="C903" i="3"/>
  <c r="D903" i="3"/>
  <c r="E903" i="3"/>
  <c r="F903" i="3"/>
  <c r="G903" i="3"/>
  <c r="H903" i="3"/>
  <c r="I903" i="3"/>
  <c r="J903" i="3"/>
  <c r="K903" i="3"/>
  <c r="B904" i="3"/>
  <c r="C904" i="3"/>
  <c r="D904" i="3"/>
  <c r="E904" i="3"/>
  <c r="F904" i="3"/>
  <c r="G904" i="3"/>
  <c r="H904" i="3"/>
  <c r="I904" i="3"/>
  <c r="J904" i="3"/>
  <c r="K904" i="3"/>
  <c r="B905" i="3"/>
  <c r="C905" i="3"/>
  <c r="D905" i="3"/>
  <c r="E905" i="3"/>
  <c r="F905" i="3"/>
  <c r="G905" i="3"/>
  <c r="H905" i="3"/>
  <c r="I905" i="3"/>
  <c r="J905" i="3"/>
  <c r="K905" i="3"/>
  <c r="B906" i="3"/>
  <c r="C906" i="3"/>
  <c r="D906" i="3"/>
  <c r="E906" i="3"/>
  <c r="F906" i="3"/>
  <c r="G906" i="3"/>
  <c r="H906" i="3"/>
  <c r="I906" i="3"/>
  <c r="J906" i="3"/>
  <c r="K906" i="3"/>
  <c r="B907" i="3"/>
  <c r="C907" i="3"/>
  <c r="D907" i="3"/>
  <c r="E907" i="3"/>
  <c r="F907" i="3"/>
  <c r="G907" i="3"/>
  <c r="H907" i="3"/>
  <c r="I907" i="3"/>
  <c r="J907" i="3"/>
  <c r="K907" i="3"/>
  <c r="B908" i="3"/>
  <c r="C908" i="3"/>
  <c r="D908" i="3"/>
  <c r="E908" i="3"/>
  <c r="F908" i="3"/>
  <c r="G908" i="3"/>
  <c r="H908" i="3"/>
  <c r="I908" i="3"/>
  <c r="J908" i="3"/>
  <c r="K908" i="3"/>
  <c r="B909" i="3"/>
  <c r="C909" i="3"/>
  <c r="D909" i="3"/>
  <c r="E909" i="3"/>
  <c r="F909" i="3"/>
  <c r="G909" i="3"/>
  <c r="G1143" i="3" s="1"/>
  <c r="H909" i="3"/>
  <c r="I909" i="3"/>
  <c r="J909" i="3"/>
  <c r="K909" i="3"/>
  <c r="B910" i="3"/>
  <c r="C910" i="3"/>
  <c r="D910" i="3"/>
  <c r="E910" i="3"/>
  <c r="F910" i="3"/>
  <c r="G910" i="3"/>
  <c r="H910" i="3"/>
  <c r="I910" i="3"/>
  <c r="J910" i="3"/>
  <c r="K910" i="3"/>
  <c r="B911" i="3"/>
  <c r="C911" i="3"/>
  <c r="D911" i="3"/>
  <c r="E911" i="3"/>
  <c r="F911" i="3"/>
  <c r="G911" i="3"/>
  <c r="H911" i="3"/>
  <c r="I911" i="3"/>
  <c r="J911" i="3"/>
  <c r="K911" i="3"/>
  <c r="K1143" i="3" s="1"/>
  <c r="B912" i="3"/>
  <c r="C912" i="3"/>
  <c r="D912" i="3"/>
  <c r="E912" i="3"/>
  <c r="E1144" i="3" s="1"/>
  <c r="F912" i="3"/>
  <c r="G912" i="3"/>
  <c r="H912" i="3"/>
  <c r="I912" i="3"/>
  <c r="I1144" i="3" s="1"/>
  <c r="J912" i="3"/>
  <c r="K912" i="3"/>
  <c r="B913" i="3"/>
  <c r="C913" i="3"/>
  <c r="D913" i="3"/>
  <c r="E913" i="3"/>
  <c r="F913" i="3"/>
  <c r="G913" i="3"/>
  <c r="G1144" i="3" s="1"/>
  <c r="H913" i="3"/>
  <c r="I913" i="3"/>
  <c r="J913" i="3"/>
  <c r="K913" i="3"/>
  <c r="K1144" i="3" s="1"/>
  <c r="B914" i="3"/>
  <c r="C914" i="3"/>
  <c r="D914" i="3"/>
  <c r="E914" i="3"/>
  <c r="F914" i="3"/>
  <c r="G914" i="3"/>
  <c r="H914" i="3"/>
  <c r="I914" i="3"/>
  <c r="J914" i="3"/>
  <c r="K914" i="3"/>
  <c r="B915" i="3"/>
  <c r="C915" i="3"/>
  <c r="D915" i="3"/>
  <c r="E915" i="3"/>
  <c r="F915" i="3"/>
  <c r="G915" i="3"/>
  <c r="H915" i="3"/>
  <c r="I915" i="3"/>
  <c r="J915" i="3"/>
  <c r="K915" i="3"/>
  <c r="B916" i="3"/>
  <c r="C916" i="3"/>
  <c r="D916" i="3"/>
  <c r="E916" i="3"/>
  <c r="F916" i="3"/>
  <c r="G916" i="3"/>
  <c r="H916" i="3"/>
  <c r="I916" i="3"/>
  <c r="J916" i="3"/>
  <c r="K916" i="3"/>
  <c r="B917" i="3"/>
  <c r="C917" i="3"/>
  <c r="D917" i="3"/>
  <c r="E917" i="3"/>
  <c r="F917" i="3"/>
  <c r="G917" i="3"/>
  <c r="H917" i="3"/>
  <c r="I917" i="3"/>
  <c r="J917" i="3"/>
  <c r="K917" i="3"/>
  <c r="B918" i="3"/>
  <c r="C918" i="3"/>
  <c r="D918" i="3"/>
  <c r="E918" i="3"/>
  <c r="F918" i="3"/>
  <c r="G918" i="3"/>
  <c r="H918" i="3"/>
  <c r="I918" i="3"/>
  <c r="J918" i="3"/>
  <c r="K918" i="3"/>
  <c r="B919" i="3"/>
  <c r="C919" i="3"/>
  <c r="D919" i="3"/>
  <c r="E919" i="3"/>
  <c r="F919" i="3"/>
  <c r="G919" i="3"/>
  <c r="H919" i="3"/>
  <c r="I919" i="3"/>
  <c r="J919" i="3"/>
  <c r="K919" i="3"/>
  <c r="B920" i="3"/>
  <c r="C920" i="3"/>
  <c r="D920" i="3"/>
  <c r="E920" i="3"/>
  <c r="F920" i="3"/>
  <c r="G920" i="3"/>
  <c r="H920" i="3"/>
  <c r="I920" i="3"/>
  <c r="J920" i="3"/>
  <c r="K920" i="3"/>
  <c r="B921" i="3"/>
  <c r="C921" i="3"/>
  <c r="D921" i="3"/>
  <c r="E921" i="3"/>
  <c r="F921" i="3"/>
  <c r="G921" i="3"/>
  <c r="H921" i="3"/>
  <c r="I921" i="3"/>
  <c r="J921" i="3"/>
  <c r="K921" i="3"/>
  <c r="B922" i="3"/>
  <c r="C922" i="3"/>
  <c r="D922" i="3"/>
  <c r="E922" i="3"/>
  <c r="F922" i="3"/>
  <c r="G922" i="3"/>
  <c r="H922" i="3"/>
  <c r="I922" i="3"/>
  <c r="J922" i="3"/>
  <c r="K922" i="3"/>
  <c r="B923" i="3"/>
  <c r="C923" i="3"/>
  <c r="D923" i="3"/>
  <c r="E923" i="3"/>
  <c r="F923" i="3"/>
  <c r="G923" i="3"/>
  <c r="H923" i="3"/>
  <c r="I923" i="3"/>
  <c r="J923" i="3"/>
  <c r="K923" i="3"/>
  <c r="B924" i="3"/>
  <c r="C924" i="3"/>
  <c r="D924" i="3"/>
  <c r="E924" i="3"/>
  <c r="E1145" i="3" s="1"/>
  <c r="F924" i="3"/>
  <c r="G924" i="3"/>
  <c r="H924" i="3"/>
  <c r="I924" i="3"/>
  <c r="I1145" i="3" s="1"/>
  <c r="J924" i="3"/>
  <c r="K924" i="3"/>
  <c r="B925" i="3"/>
  <c r="C925" i="3"/>
  <c r="C1145" i="3" s="1"/>
  <c r="D925" i="3"/>
  <c r="E925" i="3"/>
  <c r="F925" i="3"/>
  <c r="G925" i="3"/>
  <c r="G1145" i="3" s="1"/>
  <c r="H925" i="3"/>
  <c r="I925" i="3"/>
  <c r="J925" i="3"/>
  <c r="K925" i="3"/>
  <c r="K1145" i="3" s="1"/>
  <c r="B926" i="3"/>
  <c r="C926" i="3"/>
  <c r="D926" i="3"/>
  <c r="E926" i="3"/>
  <c r="F926" i="3"/>
  <c r="G926" i="3"/>
  <c r="H926" i="3"/>
  <c r="I926" i="3"/>
  <c r="J926" i="3"/>
  <c r="K926" i="3"/>
  <c r="B927" i="3"/>
  <c r="C927" i="3"/>
  <c r="D927" i="3"/>
  <c r="E927" i="3"/>
  <c r="F927" i="3"/>
  <c r="G927" i="3"/>
  <c r="H927" i="3"/>
  <c r="I927" i="3"/>
  <c r="J927" i="3"/>
  <c r="K927" i="3"/>
  <c r="B928" i="3"/>
  <c r="C928" i="3"/>
  <c r="D928" i="3"/>
  <c r="E928" i="3"/>
  <c r="F928" i="3"/>
  <c r="G928" i="3"/>
  <c r="H928" i="3"/>
  <c r="I928" i="3"/>
  <c r="J928" i="3"/>
  <c r="K928" i="3"/>
  <c r="B929" i="3"/>
  <c r="C929" i="3"/>
  <c r="D929" i="3"/>
  <c r="E929" i="3"/>
  <c r="F929" i="3"/>
  <c r="G929" i="3"/>
  <c r="H929" i="3"/>
  <c r="I929" i="3"/>
  <c r="J929" i="3"/>
  <c r="K929" i="3"/>
  <c r="B930" i="3"/>
  <c r="C930" i="3"/>
  <c r="D930" i="3"/>
  <c r="E930" i="3"/>
  <c r="F930" i="3"/>
  <c r="G930" i="3"/>
  <c r="H930" i="3"/>
  <c r="I930" i="3"/>
  <c r="J930" i="3"/>
  <c r="K930" i="3"/>
  <c r="B931" i="3"/>
  <c r="C931" i="3"/>
  <c r="D931" i="3"/>
  <c r="E931" i="3"/>
  <c r="F931" i="3"/>
  <c r="G931" i="3"/>
  <c r="H931" i="3"/>
  <c r="I931" i="3"/>
  <c r="J931" i="3"/>
  <c r="K931" i="3"/>
  <c r="B932" i="3"/>
  <c r="C932" i="3"/>
  <c r="D932" i="3"/>
  <c r="E932" i="3"/>
  <c r="F932" i="3"/>
  <c r="G932" i="3"/>
  <c r="H932" i="3"/>
  <c r="I932" i="3"/>
  <c r="J932" i="3"/>
  <c r="K932" i="3"/>
  <c r="B933" i="3"/>
  <c r="C933" i="3"/>
  <c r="D933" i="3"/>
  <c r="E933" i="3"/>
  <c r="F933" i="3"/>
  <c r="G933" i="3"/>
  <c r="H933" i="3"/>
  <c r="I933" i="3"/>
  <c r="J933" i="3"/>
  <c r="K933" i="3"/>
  <c r="B934" i="3"/>
  <c r="C934" i="3"/>
  <c r="D934" i="3"/>
  <c r="E934" i="3"/>
  <c r="F934" i="3"/>
  <c r="G934" i="3"/>
  <c r="H934" i="3"/>
  <c r="I934" i="3"/>
  <c r="J934" i="3"/>
  <c r="K934" i="3"/>
  <c r="B935" i="3"/>
  <c r="C935" i="3"/>
  <c r="D935" i="3"/>
  <c r="E935" i="3"/>
  <c r="F935" i="3"/>
  <c r="G935" i="3"/>
  <c r="H935" i="3"/>
  <c r="I935" i="3"/>
  <c r="J935" i="3"/>
  <c r="K935" i="3"/>
  <c r="B936" i="3"/>
  <c r="C936" i="3"/>
  <c r="D936" i="3"/>
  <c r="E936" i="3"/>
  <c r="E1146" i="3" s="1"/>
  <c r="F936" i="3"/>
  <c r="G936" i="3"/>
  <c r="H936" i="3"/>
  <c r="I936" i="3"/>
  <c r="I1146" i="3" s="1"/>
  <c r="J936" i="3"/>
  <c r="K936" i="3"/>
  <c r="B937" i="3"/>
  <c r="C937" i="3"/>
  <c r="D937" i="3"/>
  <c r="E937" i="3"/>
  <c r="F937" i="3"/>
  <c r="G937" i="3"/>
  <c r="G1146" i="3" s="1"/>
  <c r="H937" i="3"/>
  <c r="I937" i="3"/>
  <c r="J937" i="3"/>
  <c r="K937" i="3"/>
  <c r="K1146" i="3" s="1"/>
  <c r="B938" i="3"/>
  <c r="C938" i="3"/>
  <c r="D938" i="3"/>
  <c r="E938" i="3"/>
  <c r="F938" i="3"/>
  <c r="G938" i="3"/>
  <c r="H938" i="3"/>
  <c r="I938" i="3"/>
  <c r="J938" i="3"/>
  <c r="K938" i="3"/>
  <c r="B939" i="3"/>
  <c r="C939" i="3"/>
  <c r="D939" i="3"/>
  <c r="E939" i="3"/>
  <c r="F939" i="3"/>
  <c r="G939" i="3"/>
  <c r="H939" i="3"/>
  <c r="I939" i="3"/>
  <c r="J939" i="3"/>
  <c r="K939" i="3"/>
  <c r="B940" i="3"/>
  <c r="C940" i="3"/>
  <c r="D940" i="3"/>
  <c r="E940" i="3"/>
  <c r="F940" i="3"/>
  <c r="G940" i="3"/>
  <c r="H940" i="3"/>
  <c r="I940" i="3"/>
  <c r="J940" i="3"/>
  <c r="K940" i="3"/>
  <c r="B941" i="3"/>
  <c r="C941" i="3"/>
  <c r="D941" i="3"/>
  <c r="E941" i="3"/>
  <c r="F941" i="3"/>
  <c r="G941" i="3"/>
  <c r="H941" i="3"/>
  <c r="I941" i="3"/>
  <c r="J941" i="3"/>
  <c r="K941" i="3"/>
  <c r="B942" i="3"/>
  <c r="C942" i="3"/>
  <c r="D942" i="3"/>
  <c r="E942" i="3"/>
  <c r="F942" i="3"/>
  <c r="G942" i="3"/>
  <c r="H942" i="3"/>
  <c r="I942" i="3"/>
  <c r="J942" i="3"/>
  <c r="K942" i="3"/>
  <c r="B943" i="3"/>
  <c r="C943" i="3"/>
  <c r="D943" i="3"/>
  <c r="E943" i="3"/>
  <c r="F943" i="3"/>
  <c r="G943" i="3"/>
  <c r="H943" i="3"/>
  <c r="I943" i="3"/>
  <c r="J943" i="3"/>
  <c r="K943" i="3"/>
  <c r="B944" i="3"/>
  <c r="C944" i="3"/>
  <c r="D944" i="3"/>
  <c r="E944" i="3"/>
  <c r="F944" i="3"/>
  <c r="G944" i="3"/>
  <c r="H944" i="3"/>
  <c r="I944" i="3"/>
  <c r="J944" i="3"/>
  <c r="K944" i="3"/>
  <c r="B945" i="3"/>
  <c r="C945" i="3"/>
  <c r="D945" i="3"/>
  <c r="E945" i="3"/>
  <c r="F945" i="3"/>
  <c r="G945" i="3"/>
  <c r="H945" i="3"/>
  <c r="I945" i="3"/>
  <c r="J945" i="3"/>
  <c r="K945" i="3"/>
  <c r="B946" i="3"/>
  <c r="C946" i="3"/>
  <c r="D946" i="3"/>
  <c r="E946" i="3"/>
  <c r="F946" i="3"/>
  <c r="G946" i="3"/>
  <c r="H946" i="3"/>
  <c r="I946" i="3"/>
  <c r="J946" i="3"/>
  <c r="K946" i="3"/>
  <c r="B947" i="3"/>
  <c r="C947" i="3"/>
  <c r="D947" i="3"/>
  <c r="E947" i="3"/>
  <c r="F947" i="3"/>
  <c r="G947" i="3"/>
  <c r="H947" i="3"/>
  <c r="I947" i="3"/>
  <c r="J947" i="3"/>
  <c r="K947" i="3"/>
  <c r="B948" i="3"/>
  <c r="C948" i="3"/>
  <c r="D948" i="3"/>
  <c r="E948" i="3"/>
  <c r="E1147" i="3" s="1"/>
  <c r="F948" i="3"/>
  <c r="G948" i="3"/>
  <c r="H948" i="3"/>
  <c r="I948" i="3"/>
  <c r="I1147" i="3" s="1"/>
  <c r="J948" i="3"/>
  <c r="K948" i="3"/>
  <c r="B949" i="3"/>
  <c r="C949" i="3"/>
  <c r="C1147" i="3" s="1"/>
  <c r="D949" i="3"/>
  <c r="E949" i="3"/>
  <c r="F949" i="3"/>
  <c r="G949" i="3"/>
  <c r="G1147" i="3" s="1"/>
  <c r="H949" i="3"/>
  <c r="I949" i="3"/>
  <c r="J949" i="3"/>
  <c r="K949" i="3"/>
  <c r="K1147" i="3" s="1"/>
  <c r="B950" i="3"/>
  <c r="C950" i="3"/>
  <c r="D950" i="3"/>
  <c r="E950" i="3"/>
  <c r="F950" i="3"/>
  <c r="G950" i="3"/>
  <c r="H950" i="3"/>
  <c r="I950" i="3"/>
  <c r="J950" i="3"/>
  <c r="K950" i="3"/>
  <c r="B951" i="3"/>
  <c r="C951" i="3"/>
  <c r="D951" i="3"/>
  <c r="E951" i="3"/>
  <c r="F951" i="3"/>
  <c r="G951" i="3"/>
  <c r="H951" i="3"/>
  <c r="I951" i="3"/>
  <c r="J951" i="3"/>
  <c r="K951" i="3"/>
  <c r="B952" i="3"/>
  <c r="C952" i="3"/>
  <c r="D952" i="3"/>
  <c r="E952" i="3"/>
  <c r="F952" i="3"/>
  <c r="G952" i="3"/>
  <c r="H952" i="3"/>
  <c r="I952" i="3"/>
  <c r="J952" i="3"/>
  <c r="K952" i="3"/>
  <c r="B953" i="3"/>
  <c r="C953" i="3"/>
  <c r="D953" i="3"/>
  <c r="E953" i="3"/>
  <c r="F953" i="3"/>
  <c r="G953" i="3"/>
  <c r="H953" i="3"/>
  <c r="I953" i="3"/>
  <c r="J953" i="3"/>
  <c r="K953" i="3"/>
  <c r="B954" i="3"/>
  <c r="C954" i="3"/>
  <c r="D954" i="3"/>
  <c r="E954" i="3"/>
  <c r="F954" i="3"/>
  <c r="G954" i="3"/>
  <c r="H954" i="3"/>
  <c r="I954" i="3"/>
  <c r="J954" i="3"/>
  <c r="K954" i="3"/>
  <c r="B955" i="3"/>
  <c r="C955" i="3"/>
  <c r="D955" i="3"/>
  <c r="E955" i="3"/>
  <c r="F955" i="3"/>
  <c r="G955" i="3"/>
  <c r="H955" i="3"/>
  <c r="I955" i="3"/>
  <c r="J955" i="3"/>
  <c r="K955" i="3"/>
  <c r="B956" i="3"/>
  <c r="C956" i="3"/>
  <c r="D956" i="3"/>
  <c r="E956" i="3"/>
  <c r="F956" i="3"/>
  <c r="G956" i="3"/>
  <c r="H956" i="3"/>
  <c r="I956" i="3"/>
  <c r="J956" i="3"/>
  <c r="K956" i="3"/>
  <c r="B957" i="3"/>
  <c r="C957" i="3"/>
  <c r="D957" i="3"/>
  <c r="E957" i="3"/>
  <c r="F957" i="3"/>
  <c r="G957" i="3"/>
  <c r="H957" i="3"/>
  <c r="I957" i="3"/>
  <c r="J957" i="3"/>
  <c r="K957" i="3"/>
  <c r="B958" i="3"/>
  <c r="C958" i="3"/>
  <c r="D958" i="3"/>
  <c r="E958" i="3"/>
  <c r="F958" i="3"/>
  <c r="G958" i="3"/>
  <c r="H958" i="3"/>
  <c r="I958" i="3"/>
  <c r="J958" i="3"/>
  <c r="K958" i="3"/>
  <c r="B959" i="3"/>
  <c r="C959" i="3"/>
  <c r="D959" i="3"/>
  <c r="E959" i="3"/>
  <c r="F959" i="3"/>
  <c r="G959" i="3"/>
  <c r="H959" i="3"/>
  <c r="I959" i="3"/>
  <c r="J959" i="3"/>
  <c r="K959" i="3"/>
  <c r="B960" i="3"/>
  <c r="C960" i="3"/>
  <c r="D960" i="3"/>
  <c r="E960" i="3"/>
  <c r="E1148" i="3" s="1"/>
  <c r="F960" i="3"/>
  <c r="G960" i="3"/>
  <c r="H960" i="3"/>
  <c r="I960" i="3"/>
  <c r="I1148" i="3" s="1"/>
  <c r="J960" i="3"/>
  <c r="K960" i="3"/>
  <c r="B961" i="3"/>
  <c r="C961" i="3"/>
  <c r="D961" i="3"/>
  <c r="E961" i="3"/>
  <c r="F961" i="3"/>
  <c r="G961" i="3"/>
  <c r="G1148" i="3" s="1"/>
  <c r="H961" i="3"/>
  <c r="I961" i="3"/>
  <c r="J961" i="3"/>
  <c r="K961" i="3"/>
  <c r="K1148" i="3" s="1"/>
  <c r="B962" i="3"/>
  <c r="C962" i="3"/>
  <c r="D962" i="3"/>
  <c r="E962" i="3"/>
  <c r="F962" i="3"/>
  <c r="G962" i="3"/>
  <c r="H962" i="3"/>
  <c r="I962" i="3"/>
  <c r="J962" i="3"/>
  <c r="K962" i="3"/>
  <c r="B963" i="3"/>
  <c r="C963" i="3"/>
  <c r="D963" i="3"/>
  <c r="E963" i="3"/>
  <c r="F963" i="3"/>
  <c r="G963" i="3"/>
  <c r="H963" i="3"/>
  <c r="I963" i="3"/>
  <c r="J963" i="3"/>
  <c r="K963" i="3"/>
  <c r="B964" i="3"/>
  <c r="C964" i="3"/>
  <c r="D964" i="3"/>
  <c r="E964" i="3"/>
  <c r="F964" i="3"/>
  <c r="G964" i="3"/>
  <c r="H964" i="3"/>
  <c r="I964" i="3"/>
  <c r="J964" i="3"/>
  <c r="K964" i="3"/>
  <c r="B965" i="3"/>
  <c r="C965" i="3"/>
  <c r="D965" i="3"/>
  <c r="E965" i="3"/>
  <c r="F965" i="3"/>
  <c r="G965" i="3"/>
  <c r="H965" i="3"/>
  <c r="I965" i="3"/>
  <c r="J965" i="3"/>
  <c r="K965" i="3"/>
  <c r="B966" i="3"/>
  <c r="C966" i="3"/>
  <c r="D966" i="3"/>
  <c r="E966" i="3"/>
  <c r="F966" i="3"/>
  <c r="G966" i="3"/>
  <c r="H966" i="3"/>
  <c r="I966" i="3"/>
  <c r="J966" i="3"/>
  <c r="K966" i="3"/>
  <c r="B967" i="3"/>
  <c r="C967" i="3"/>
  <c r="D967" i="3"/>
  <c r="E967" i="3"/>
  <c r="F967" i="3"/>
  <c r="G967" i="3"/>
  <c r="H967" i="3"/>
  <c r="I967" i="3"/>
  <c r="J967" i="3"/>
  <c r="K967" i="3"/>
  <c r="B968" i="3"/>
  <c r="C968" i="3"/>
  <c r="D968" i="3"/>
  <c r="E968" i="3"/>
  <c r="F968" i="3"/>
  <c r="G968" i="3"/>
  <c r="H968" i="3"/>
  <c r="I968" i="3"/>
  <c r="J968" i="3"/>
  <c r="K968" i="3"/>
  <c r="B969" i="3"/>
  <c r="C969" i="3"/>
  <c r="D969" i="3"/>
  <c r="E969" i="3"/>
  <c r="F969" i="3"/>
  <c r="G969" i="3"/>
  <c r="H969" i="3"/>
  <c r="I969" i="3"/>
  <c r="J969" i="3"/>
  <c r="K969" i="3"/>
  <c r="B970" i="3"/>
  <c r="C970" i="3"/>
  <c r="D970" i="3"/>
  <c r="E970" i="3"/>
  <c r="F970" i="3"/>
  <c r="G970" i="3"/>
  <c r="H970" i="3"/>
  <c r="I970" i="3"/>
  <c r="J970" i="3"/>
  <c r="K970" i="3"/>
  <c r="B971" i="3"/>
  <c r="C971" i="3"/>
  <c r="D971" i="3"/>
  <c r="E971" i="3"/>
  <c r="F971" i="3"/>
  <c r="G971" i="3"/>
  <c r="H971" i="3"/>
  <c r="I971" i="3"/>
  <c r="J971" i="3"/>
  <c r="K971" i="3"/>
  <c r="B972" i="3"/>
  <c r="C972" i="3"/>
  <c r="D972" i="3"/>
  <c r="E972" i="3"/>
  <c r="E1149" i="3" s="1"/>
  <c r="F972" i="3"/>
  <c r="G972" i="3"/>
  <c r="H972" i="3"/>
  <c r="I972" i="3"/>
  <c r="I1149" i="3" s="1"/>
  <c r="J972" i="3"/>
  <c r="K972" i="3"/>
  <c r="B973" i="3"/>
  <c r="C973" i="3"/>
  <c r="C1149" i="3" s="1"/>
  <c r="D973" i="3"/>
  <c r="E973" i="3"/>
  <c r="F973" i="3"/>
  <c r="G973" i="3"/>
  <c r="G1149" i="3" s="1"/>
  <c r="H973" i="3"/>
  <c r="I973" i="3"/>
  <c r="J973" i="3"/>
  <c r="K973" i="3"/>
  <c r="K1149" i="3" s="1"/>
  <c r="B974" i="3"/>
  <c r="C974" i="3"/>
  <c r="D974" i="3"/>
  <c r="E974" i="3"/>
  <c r="F974" i="3"/>
  <c r="G974" i="3"/>
  <c r="H974" i="3"/>
  <c r="I974" i="3"/>
  <c r="J974" i="3"/>
  <c r="K974" i="3"/>
  <c r="B975" i="3"/>
  <c r="C975" i="3"/>
  <c r="D975" i="3"/>
  <c r="E975" i="3"/>
  <c r="F975" i="3"/>
  <c r="G975" i="3"/>
  <c r="H975" i="3"/>
  <c r="I975" i="3"/>
  <c r="J975" i="3"/>
  <c r="K975" i="3"/>
  <c r="B976" i="3"/>
  <c r="C976" i="3"/>
  <c r="D976" i="3"/>
  <c r="E976" i="3"/>
  <c r="F976" i="3"/>
  <c r="G976" i="3"/>
  <c r="H976" i="3"/>
  <c r="I976" i="3"/>
  <c r="J976" i="3"/>
  <c r="K976" i="3"/>
  <c r="B977" i="3"/>
  <c r="C977" i="3"/>
  <c r="D977" i="3"/>
  <c r="E977" i="3"/>
  <c r="F977" i="3"/>
  <c r="G977" i="3"/>
  <c r="H977" i="3"/>
  <c r="I977" i="3"/>
  <c r="J977" i="3"/>
  <c r="K977" i="3"/>
  <c r="B978" i="3"/>
  <c r="C978" i="3"/>
  <c r="D978" i="3"/>
  <c r="E978" i="3"/>
  <c r="F978" i="3"/>
  <c r="G978" i="3"/>
  <c r="H978" i="3"/>
  <c r="I978" i="3"/>
  <c r="J978" i="3"/>
  <c r="K978" i="3"/>
  <c r="B979" i="3"/>
  <c r="C979" i="3"/>
  <c r="D979" i="3"/>
  <c r="E979" i="3"/>
  <c r="F979" i="3"/>
  <c r="G979" i="3"/>
  <c r="H979" i="3"/>
  <c r="I979" i="3"/>
  <c r="J979" i="3"/>
  <c r="K979" i="3"/>
  <c r="B980" i="3"/>
  <c r="C980" i="3"/>
  <c r="D980" i="3"/>
  <c r="E980" i="3"/>
  <c r="F980" i="3"/>
  <c r="G980" i="3"/>
  <c r="H980" i="3"/>
  <c r="I980" i="3"/>
  <c r="J980" i="3"/>
  <c r="K980" i="3"/>
  <c r="B981" i="3"/>
  <c r="C981" i="3"/>
  <c r="D981" i="3"/>
  <c r="E981" i="3"/>
  <c r="F981" i="3"/>
  <c r="G981" i="3"/>
  <c r="H981" i="3"/>
  <c r="I981" i="3"/>
  <c r="J981" i="3"/>
  <c r="K981" i="3"/>
  <c r="B982" i="3"/>
  <c r="C982" i="3"/>
  <c r="D982" i="3"/>
  <c r="E982" i="3"/>
  <c r="F982" i="3"/>
  <c r="G982" i="3"/>
  <c r="H982" i="3"/>
  <c r="I982" i="3"/>
  <c r="J982" i="3"/>
  <c r="K982" i="3"/>
  <c r="B983" i="3"/>
  <c r="C983" i="3"/>
  <c r="D983" i="3"/>
  <c r="E983" i="3"/>
  <c r="F983" i="3"/>
  <c r="G983" i="3"/>
  <c r="H983" i="3"/>
  <c r="I983" i="3"/>
  <c r="J983" i="3"/>
  <c r="K983" i="3"/>
  <c r="B984" i="3"/>
  <c r="C984" i="3"/>
  <c r="D984" i="3"/>
  <c r="E984" i="3"/>
  <c r="E1150" i="3" s="1"/>
  <c r="F984" i="3"/>
  <c r="G984" i="3"/>
  <c r="H984" i="3"/>
  <c r="I984" i="3"/>
  <c r="I1150" i="3" s="1"/>
  <c r="J984" i="3"/>
  <c r="K984" i="3"/>
  <c r="B985" i="3"/>
  <c r="C985" i="3"/>
  <c r="D985" i="3"/>
  <c r="E985" i="3"/>
  <c r="F985" i="3"/>
  <c r="G985" i="3"/>
  <c r="G1150" i="3" s="1"/>
  <c r="H985" i="3"/>
  <c r="I985" i="3"/>
  <c r="J985" i="3"/>
  <c r="K985" i="3"/>
  <c r="K1150" i="3" s="1"/>
  <c r="B986" i="3"/>
  <c r="C986" i="3"/>
  <c r="D986" i="3"/>
  <c r="E986" i="3"/>
  <c r="F986" i="3"/>
  <c r="G986" i="3"/>
  <c r="H986" i="3"/>
  <c r="I986" i="3"/>
  <c r="J986" i="3"/>
  <c r="K986" i="3"/>
  <c r="B987" i="3"/>
  <c r="C987" i="3"/>
  <c r="D987" i="3"/>
  <c r="E987" i="3"/>
  <c r="F987" i="3"/>
  <c r="G987" i="3"/>
  <c r="H987" i="3"/>
  <c r="I987" i="3"/>
  <c r="J987" i="3"/>
  <c r="K987" i="3"/>
  <c r="B988" i="3"/>
  <c r="C988" i="3"/>
  <c r="D988" i="3"/>
  <c r="E988" i="3"/>
  <c r="F988" i="3"/>
  <c r="G988" i="3"/>
  <c r="H988" i="3"/>
  <c r="I988" i="3"/>
  <c r="J988" i="3"/>
  <c r="K988" i="3"/>
  <c r="B989" i="3"/>
  <c r="C989" i="3"/>
  <c r="D989" i="3"/>
  <c r="E989" i="3"/>
  <c r="F989" i="3"/>
  <c r="G989" i="3"/>
  <c r="H989" i="3"/>
  <c r="I989" i="3"/>
  <c r="J989" i="3"/>
  <c r="K989" i="3"/>
  <c r="B990" i="3"/>
  <c r="C990" i="3"/>
  <c r="D990" i="3"/>
  <c r="E990" i="3"/>
  <c r="F990" i="3"/>
  <c r="G990" i="3"/>
  <c r="H990" i="3"/>
  <c r="I990" i="3"/>
  <c r="J990" i="3"/>
  <c r="K990" i="3"/>
  <c r="B991" i="3"/>
  <c r="C991" i="3"/>
  <c r="D991" i="3"/>
  <c r="E991" i="3"/>
  <c r="F991" i="3"/>
  <c r="G991" i="3"/>
  <c r="H991" i="3"/>
  <c r="I991" i="3"/>
  <c r="J991" i="3"/>
  <c r="K991" i="3"/>
  <c r="B992" i="3"/>
  <c r="C992" i="3"/>
  <c r="D992" i="3"/>
  <c r="E992" i="3"/>
  <c r="F992" i="3"/>
  <c r="G992" i="3"/>
  <c r="H992" i="3"/>
  <c r="I992" i="3"/>
  <c r="J992" i="3"/>
  <c r="K992" i="3"/>
  <c r="B993" i="3"/>
  <c r="C993" i="3"/>
  <c r="D993" i="3"/>
  <c r="E993" i="3"/>
  <c r="F993" i="3"/>
  <c r="G993" i="3"/>
  <c r="H993" i="3"/>
  <c r="I993" i="3"/>
  <c r="J993" i="3"/>
  <c r="K993" i="3"/>
  <c r="B994" i="3"/>
  <c r="C994" i="3"/>
  <c r="D994" i="3"/>
  <c r="E994" i="3"/>
  <c r="F994" i="3"/>
  <c r="G994" i="3"/>
  <c r="H994" i="3"/>
  <c r="I994" i="3"/>
  <c r="J994" i="3"/>
  <c r="K994" i="3"/>
  <c r="B995" i="3"/>
  <c r="C995" i="3"/>
  <c r="D995" i="3"/>
  <c r="E995" i="3"/>
  <c r="F995" i="3"/>
  <c r="G995" i="3"/>
  <c r="H995" i="3"/>
  <c r="I995" i="3"/>
  <c r="J995" i="3"/>
  <c r="K995" i="3"/>
  <c r="B996" i="3"/>
  <c r="C996" i="3"/>
  <c r="D996" i="3"/>
  <c r="E996" i="3"/>
  <c r="E1151" i="3" s="1"/>
  <c r="F996" i="3"/>
  <c r="G996" i="3"/>
  <c r="H996" i="3"/>
  <c r="I996" i="3"/>
  <c r="I1151" i="3" s="1"/>
  <c r="J996" i="3"/>
  <c r="K996" i="3"/>
  <c r="B997" i="3"/>
  <c r="C997" i="3"/>
  <c r="C1151" i="3" s="1"/>
  <c r="D997" i="3"/>
  <c r="E997" i="3"/>
  <c r="F997" i="3"/>
  <c r="G997" i="3"/>
  <c r="G1151" i="3" s="1"/>
  <c r="H997" i="3"/>
  <c r="I997" i="3"/>
  <c r="J997" i="3"/>
  <c r="K997" i="3"/>
  <c r="K1151" i="3" s="1"/>
  <c r="B998" i="3"/>
  <c r="C998" i="3"/>
  <c r="D998" i="3"/>
  <c r="E998" i="3"/>
  <c r="F998" i="3"/>
  <c r="G998" i="3"/>
  <c r="H998" i="3"/>
  <c r="I998" i="3"/>
  <c r="J998" i="3"/>
  <c r="K998" i="3"/>
  <c r="B999" i="3"/>
  <c r="C999" i="3"/>
  <c r="D999" i="3"/>
  <c r="E999" i="3"/>
  <c r="F999" i="3"/>
  <c r="G999" i="3"/>
  <c r="H999" i="3"/>
  <c r="I999" i="3"/>
  <c r="J999" i="3"/>
  <c r="K999" i="3"/>
  <c r="B1000" i="3"/>
  <c r="C1000" i="3"/>
  <c r="D1000" i="3"/>
  <c r="E1000" i="3"/>
  <c r="F1000" i="3"/>
  <c r="G1000" i="3"/>
  <c r="H1000" i="3"/>
  <c r="I1000" i="3"/>
  <c r="J1000" i="3"/>
  <c r="K1000" i="3"/>
  <c r="B1001" i="3"/>
  <c r="C1001" i="3"/>
  <c r="D1001" i="3"/>
  <c r="E1001" i="3"/>
  <c r="F1001" i="3"/>
  <c r="G1001" i="3"/>
  <c r="H1001" i="3"/>
  <c r="I1001" i="3"/>
  <c r="J1001" i="3"/>
  <c r="K1001" i="3"/>
  <c r="B1002" i="3"/>
  <c r="C1002" i="3"/>
  <c r="D1002" i="3"/>
  <c r="E1002" i="3"/>
  <c r="F1002" i="3"/>
  <c r="G1002" i="3"/>
  <c r="H1002" i="3"/>
  <c r="I1002" i="3"/>
  <c r="J1002" i="3"/>
  <c r="K1002" i="3"/>
  <c r="B1003" i="3"/>
  <c r="C1003" i="3"/>
  <c r="D1003" i="3"/>
  <c r="E1003" i="3"/>
  <c r="F1003" i="3"/>
  <c r="G1003" i="3"/>
  <c r="H1003" i="3"/>
  <c r="I1003" i="3"/>
  <c r="J1003" i="3"/>
  <c r="K1003" i="3"/>
  <c r="B1004" i="3"/>
  <c r="C1004" i="3"/>
  <c r="D1004" i="3"/>
  <c r="E1004" i="3"/>
  <c r="F1004" i="3"/>
  <c r="G1004" i="3"/>
  <c r="H1004" i="3"/>
  <c r="I1004" i="3"/>
  <c r="J1004" i="3"/>
  <c r="K1004" i="3"/>
  <c r="B1005" i="3"/>
  <c r="C1005" i="3"/>
  <c r="D1005" i="3"/>
  <c r="E1005" i="3"/>
  <c r="F1005" i="3"/>
  <c r="G1005" i="3"/>
  <c r="H1005" i="3"/>
  <c r="I1005" i="3"/>
  <c r="J1005" i="3"/>
  <c r="K1005" i="3"/>
  <c r="B1006" i="3"/>
  <c r="C1006" i="3"/>
  <c r="D1006" i="3"/>
  <c r="E1006" i="3"/>
  <c r="F1006" i="3"/>
  <c r="G1006" i="3"/>
  <c r="H1006" i="3"/>
  <c r="I1006" i="3"/>
  <c r="J1006" i="3"/>
  <c r="K1006" i="3"/>
  <c r="B1007" i="3"/>
  <c r="C1007" i="3"/>
  <c r="D1007" i="3"/>
  <c r="E1007" i="3"/>
  <c r="F1007" i="3"/>
  <c r="G1007" i="3"/>
  <c r="H1007" i="3"/>
  <c r="I1007" i="3"/>
  <c r="J1007" i="3"/>
  <c r="K1007" i="3"/>
  <c r="B1008" i="3"/>
  <c r="C1008" i="3"/>
  <c r="D1008" i="3"/>
  <c r="E1008" i="3"/>
  <c r="E1152" i="3" s="1"/>
  <c r="F1008" i="3"/>
  <c r="G1008" i="3"/>
  <c r="H1008" i="3"/>
  <c r="I1008" i="3"/>
  <c r="I1152" i="3" s="1"/>
  <c r="J1008" i="3"/>
  <c r="K1008" i="3"/>
  <c r="B1009" i="3"/>
  <c r="C1009" i="3"/>
  <c r="D1009" i="3"/>
  <c r="E1009" i="3"/>
  <c r="F1009" i="3"/>
  <c r="G1009" i="3"/>
  <c r="G1152" i="3" s="1"/>
  <c r="H1009" i="3"/>
  <c r="I1009" i="3"/>
  <c r="J1009" i="3"/>
  <c r="K1009" i="3"/>
  <c r="K1152" i="3" s="1"/>
  <c r="B1010" i="3"/>
  <c r="C1010" i="3"/>
  <c r="D1010" i="3"/>
  <c r="E1010" i="3"/>
  <c r="F1010" i="3"/>
  <c r="G1010" i="3"/>
  <c r="H1010" i="3"/>
  <c r="I1010" i="3"/>
  <c r="J1010" i="3"/>
  <c r="K1010" i="3"/>
  <c r="B1011" i="3"/>
  <c r="C1011" i="3"/>
  <c r="D1011" i="3"/>
  <c r="E1011" i="3"/>
  <c r="F1011" i="3"/>
  <c r="G1011" i="3"/>
  <c r="H1011" i="3"/>
  <c r="I1011" i="3"/>
  <c r="J1011" i="3"/>
  <c r="K1011" i="3"/>
  <c r="B1012" i="3"/>
  <c r="C1012" i="3"/>
  <c r="D1012" i="3"/>
  <c r="E1012" i="3"/>
  <c r="F1012" i="3"/>
  <c r="G1012" i="3"/>
  <c r="H1012" i="3"/>
  <c r="I1012" i="3"/>
  <c r="J1012" i="3"/>
  <c r="K1012" i="3"/>
  <c r="B1013" i="3"/>
  <c r="C1013" i="3"/>
  <c r="D1013" i="3"/>
  <c r="E1013" i="3"/>
  <c r="F1013" i="3"/>
  <c r="G1013" i="3"/>
  <c r="H1013" i="3"/>
  <c r="I1013" i="3"/>
  <c r="J1013" i="3"/>
  <c r="K1013" i="3"/>
  <c r="B1014" i="3"/>
  <c r="C1014" i="3"/>
  <c r="D1014" i="3"/>
  <c r="E1014" i="3"/>
  <c r="F1014" i="3"/>
  <c r="G1014" i="3"/>
  <c r="H1014" i="3"/>
  <c r="I1014" i="3"/>
  <c r="J1014" i="3"/>
  <c r="K1014" i="3"/>
  <c r="B1015" i="3"/>
  <c r="C1015" i="3"/>
  <c r="D1015" i="3"/>
  <c r="E1015" i="3"/>
  <c r="F1015" i="3"/>
  <c r="G1015" i="3"/>
  <c r="H1015" i="3"/>
  <c r="I1015" i="3"/>
  <c r="J1015" i="3"/>
  <c r="K1015" i="3"/>
  <c r="B1016" i="3"/>
  <c r="C1016" i="3"/>
  <c r="D1016" i="3"/>
  <c r="E1016" i="3"/>
  <c r="F1016" i="3"/>
  <c r="G1016" i="3"/>
  <c r="H1016" i="3"/>
  <c r="I1016" i="3"/>
  <c r="J1016" i="3"/>
  <c r="K1016" i="3"/>
  <c r="B1017" i="3"/>
  <c r="C1017" i="3"/>
  <c r="D1017" i="3"/>
  <c r="E1017" i="3"/>
  <c r="F1017" i="3"/>
  <c r="G1017" i="3"/>
  <c r="H1017" i="3"/>
  <c r="I1017" i="3"/>
  <c r="J1017" i="3"/>
  <c r="K1017" i="3"/>
  <c r="B1018" i="3"/>
  <c r="C1018" i="3"/>
  <c r="D1018" i="3"/>
  <c r="E1018" i="3"/>
  <c r="F1018" i="3"/>
  <c r="G1018" i="3"/>
  <c r="H1018" i="3"/>
  <c r="I1018" i="3"/>
  <c r="J1018" i="3"/>
  <c r="K1018" i="3"/>
  <c r="B1019" i="3"/>
  <c r="C1019" i="3"/>
  <c r="D1019" i="3"/>
  <c r="E1019" i="3"/>
  <c r="F1019" i="3"/>
  <c r="G1019" i="3"/>
  <c r="H1019" i="3"/>
  <c r="I1019" i="3"/>
  <c r="J1019" i="3"/>
  <c r="K1019" i="3"/>
  <c r="B1020" i="3"/>
  <c r="C1020" i="3"/>
  <c r="D1020" i="3"/>
  <c r="E1020" i="3"/>
  <c r="E1153" i="3" s="1"/>
  <c r="F1020" i="3"/>
  <c r="G1020" i="3"/>
  <c r="H1020" i="3"/>
  <c r="I1020" i="3"/>
  <c r="I1153" i="3" s="1"/>
  <c r="J1020" i="3"/>
  <c r="K1020" i="3"/>
  <c r="B1021" i="3"/>
  <c r="C1021" i="3"/>
  <c r="C1153" i="3" s="1"/>
  <c r="D1021" i="3"/>
  <c r="E1021" i="3"/>
  <c r="F1021" i="3"/>
  <c r="G1021" i="3"/>
  <c r="G1153" i="3" s="1"/>
  <c r="H1021" i="3"/>
  <c r="I1021" i="3"/>
  <c r="J1021" i="3"/>
  <c r="K1021" i="3"/>
  <c r="K1153" i="3" s="1"/>
  <c r="B1022" i="3"/>
  <c r="C1022" i="3"/>
  <c r="D1022" i="3"/>
  <c r="E1022" i="3"/>
  <c r="F1022" i="3"/>
  <c r="G1022" i="3"/>
  <c r="H1022" i="3"/>
  <c r="I1022" i="3"/>
  <c r="J1022" i="3"/>
  <c r="K1022" i="3"/>
  <c r="B1023" i="3"/>
  <c r="C1023" i="3"/>
  <c r="D1023" i="3"/>
  <c r="E1023" i="3"/>
  <c r="F1023" i="3"/>
  <c r="G1023" i="3"/>
  <c r="H1023" i="3"/>
  <c r="I1023" i="3"/>
  <c r="J1023" i="3"/>
  <c r="K1023" i="3"/>
  <c r="B1024" i="3"/>
  <c r="C1024" i="3"/>
  <c r="D1024" i="3"/>
  <c r="E1024" i="3"/>
  <c r="F1024" i="3"/>
  <c r="G1024" i="3"/>
  <c r="H1024" i="3"/>
  <c r="I1024" i="3"/>
  <c r="J1024" i="3"/>
  <c r="K1024" i="3"/>
  <c r="B1025" i="3"/>
  <c r="C1025" i="3"/>
  <c r="D1025" i="3"/>
  <c r="E1025" i="3"/>
  <c r="F1025" i="3"/>
  <c r="G1025" i="3"/>
  <c r="H1025" i="3"/>
  <c r="I1025" i="3"/>
  <c r="J1025" i="3"/>
  <c r="K1025" i="3"/>
  <c r="B1026" i="3"/>
  <c r="C1026" i="3"/>
  <c r="D1026" i="3"/>
  <c r="E1026" i="3"/>
  <c r="F1026" i="3"/>
  <c r="G1026" i="3"/>
  <c r="H1026" i="3"/>
  <c r="I1026" i="3"/>
  <c r="J1026" i="3"/>
  <c r="K1026" i="3"/>
  <c r="B1027" i="3"/>
  <c r="C1027" i="3"/>
  <c r="D1027" i="3"/>
  <c r="E1027" i="3"/>
  <c r="F1027" i="3"/>
  <c r="G1027" i="3"/>
  <c r="H1027" i="3"/>
  <c r="I1027" i="3"/>
  <c r="J1027" i="3"/>
  <c r="K1027" i="3"/>
  <c r="B1028" i="3"/>
  <c r="C1028" i="3"/>
  <c r="D1028" i="3"/>
  <c r="E1028" i="3"/>
  <c r="F1028" i="3"/>
  <c r="G1028" i="3"/>
  <c r="H1028" i="3"/>
  <c r="I1028" i="3"/>
  <c r="J1028" i="3"/>
  <c r="K1028" i="3"/>
  <c r="B1029" i="3"/>
  <c r="C1029" i="3"/>
  <c r="D1029" i="3"/>
  <c r="E1029" i="3"/>
  <c r="F1029" i="3"/>
  <c r="G1029" i="3"/>
  <c r="H1029" i="3"/>
  <c r="I1029" i="3"/>
  <c r="J1029" i="3"/>
  <c r="K1029" i="3"/>
  <c r="B1030" i="3"/>
  <c r="C1030" i="3"/>
  <c r="D1030" i="3"/>
  <c r="E1030" i="3"/>
  <c r="F1030" i="3"/>
  <c r="G1030" i="3"/>
  <c r="H1030" i="3"/>
  <c r="I1030" i="3"/>
  <c r="J1030" i="3"/>
  <c r="K1030" i="3"/>
  <c r="B1031" i="3"/>
  <c r="C1031" i="3"/>
  <c r="D1031" i="3"/>
  <c r="E1031" i="3"/>
  <c r="F1031" i="3"/>
  <c r="G1031" i="3"/>
  <c r="H1031" i="3"/>
  <c r="I1031" i="3"/>
  <c r="J1031" i="3"/>
  <c r="K1031" i="3"/>
  <c r="B1032" i="3"/>
  <c r="C1032" i="3"/>
  <c r="D1032" i="3"/>
  <c r="E1032" i="3"/>
  <c r="E1154" i="3" s="1"/>
  <c r="F1032" i="3"/>
  <c r="G1032" i="3"/>
  <c r="H1032" i="3"/>
  <c r="I1032" i="3"/>
  <c r="I1154" i="3" s="1"/>
  <c r="J1032" i="3"/>
  <c r="K1032" i="3"/>
  <c r="B1033" i="3"/>
  <c r="C1033" i="3"/>
  <c r="D1033" i="3"/>
  <c r="E1033" i="3"/>
  <c r="F1033" i="3"/>
  <c r="G1033" i="3"/>
  <c r="G1154" i="3" s="1"/>
  <c r="H1033" i="3"/>
  <c r="I1033" i="3"/>
  <c r="J1033" i="3"/>
  <c r="K1033" i="3"/>
  <c r="K1154" i="3" s="1"/>
  <c r="B1034" i="3"/>
  <c r="C1034" i="3"/>
  <c r="D1034" i="3"/>
  <c r="E1034" i="3"/>
  <c r="F1034" i="3"/>
  <c r="G1034" i="3"/>
  <c r="H1034" i="3"/>
  <c r="I1034" i="3"/>
  <c r="J1034" i="3"/>
  <c r="K1034" i="3"/>
  <c r="B1035" i="3"/>
  <c r="C1035" i="3"/>
  <c r="D1035" i="3"/>
  <c r="E1035" i="3"/>
  <c r="F1035" i="3"/>
  <c r="G1035" i="3"/>
  <c r="H1035" i="3"/>
  <c r="I1035" i="3"/>
  <c r="J1035" i="3"/>
  <c r="K1035" i="3"/>
  <c r="B1036" i="3"/>
  <c r="C1036" i="3"/>
  <c r="D1036" i="3"/>
  <c r="E1036" i="3"/>
  <c r="F1036" i="3"/>
  <c r="G1036" i="3"/>
  <c r="H1036" i="3"/>
  <c r="I1036" i="3"/>
  <c r="J1036" i="3"/>
  <c r="K1036" i="3"/>
  <c r="B1037" i="3"/>
  <c r="C1037" i="3"/>
  <c r="D1037" i="3"/>
  <c r="E1037" i="3"/>
  <c r="F1037" i="3"/>
  <c r="G1037" i="3"/>
  <c r="H1037" i="3"/>
  <c r="I1037" i="3"/>
  <c r="J1037" i="3"/>
  <c r="K1037" i="3"/>
  <c r="B1038" i="3"/>
  <c r="C1038" i="3"/>
  <c r="D1038" i="3"/>
  <c r="E1038" i="3"/>
  <c r="F1038" i="3"/>
  <c r="G1038" i="3"/>
  <c r="H1038" i="3"/>
  <c r="I1038" i="3"/>
  <c r="J1038" i="3"/>
  <c r="K1038" i="3"/>
  <c r="B1039" i="3"/>
  <c r="C1039" i="3"/>
  <c r="D1039" i="3"/>
  <c r="E1039" i="3"/>
  <c r="F1039" i="3"/>
  <c r="G1039" i="3"/>
  <c r="H1039" i="3"/>
  <c r="I1039" i="3"/>
  <c r="J1039" i="3"/>
  <c r="K1039" i="3"/>
  <c r="B1040" i="3"/>
  <c r="C1040" i="3"/>
  <c r="D1040" i="3"/>
  <c r="E1040" i="3"/>
  <c r="F1040" i="3"/>
  <c r="G1040" i="3"/>
  <c r="H1040" i="3"/>
  <c r="I1040" i="3"/>
  <c r="J1040" i="3"/>
  <c r="K1040" i="3"/>
  <c r="B1041" i="3"/>
  <c r="C1041" i="3"/>
  <c r="D1041" i="3"/>
  <c r="E1041" i="3"/>
  <c r="F1041" i="3"/>
  <c r="G1041" i="3"/>
  <c r="H1041" i="3"/>
  <c r="I1041" i="3"/>
  <c r="J1041" i="3"/>
  <c r="K1041" i="3"/>
  <c r="B1042" i="3"/>
  <c r="C1042" i="3"/>
  <c r="D1042" i="3"/>
  <c r="E1042" i="3"/>
  <c r="F1042" i="3"/>
  <c r="G1042" i="3"/>
  <c r="H1042" i="3"/>
  <c r="I1042" i="3"/>
  <c r="J1042" i="3"/>
  <c r="K1042" i="3"/>
  <c r="B1043" i="3"/>
  <c r="C1043" i="3"/>
  <c r="D1043" i="3"/>
  <c r="E1043" i="3"/>
  <c r="F1043" i="3"/>
  <c r="G1043" i="3"/>
  <c r="H1043" i="3"/>
  <c r="I1043" i="3"/>
  <c r="J1043" i="3"/>
  <c r="K1043" i="3"/>
  <c r="B1044" i="3"/>
  <c r="C1044" i="3"/>
  <c r="D1044" i="3"/>
  <c r="E1044" i="3"/>
  <c r="E1155" i="3" s="1"/>
  <c r="F1044" i="3"/>
  <c r="G1044" i="3"/>
  <c r="H1044" i="3"/>
  <c r="I1044" i="3"/>
  <c r="I1155" i="3" s="1"/>
  <c r="J1044" i="3"/>
  <c r="K1044" i="3"/>
  <c r="B1045" i="3"/>
  <c r="C1045" i="3"/>
  <c r="C1155" i="3" s="1"/>
  <c r="D1045" i="3"/>
  <c r="E1045" i="3"/>
  <c r="F1045" i="3"/>
  <c r="G1045" i="3"/>
  <c r="G1155" i="3" s="1"/>
  <c r="H1045" i="3"/>
  <c r="I1045" i="3"/>
  <c r="J1045" i="3"/>
  <c r="K1045" i="3"/>
  <c r="K1155" i="3" s="1"/>
  <c r="B1046" i="3"/>
  <c r="C1046" i="3"/>
  <c r="D1046" i="3"/>
  <c r="E1046" i="3"/>
  <c r="F1046" i="3"/>
  <c r="G1046" i="3"/>
  <c r="H1046" i="3"/>
  <c r="I1046" i="3"/>
  <c r="J1046" i="3"/>
  <c r="K1046" i="3"/>
  <c r="B1047" i="3"/>
  <c r="C1047" i="3"/>
  <c r="D1047" i="3"/>
  <c r="E1047" i="3"/>
  <c r="F1047" i="3"/>
  <c r="G1047" i="3"/>
  <c r="H1047" i="3"/>
  <c r="I1047" i="3"/>
  <c r="J1047" i="3"/>
  <c r="K1047" i="3"/>
  <c r="B1048" i="3"/>
  <c r="C1048" i="3"/>
  <c r="D1048" i="3"/>
  <c r="E1048" i="3"/>
  <c r="F1048" i="3"/>
  <c r="G1048" i="3"/>
  <c r="H1048" i="3"/>
  <c r="I1048" i="3"/>
  <c r="J1048" i="3"/>
  <c r="K1048" i="3"/>
  <c r="B1049" i="3"/>
  <c r="C1049" i="3"/>
  <c r="D1049" i="3"/>
  <c r="E1049" i="3"/>
  <c r="F1049" i="3"/>
  <c r="G1049" i="3"/>
  <c r="H1049" i="3"/>
  <c r="I1049" i="3"/>
  <c r="J1049" i="3"/>
  <c r="K1049" i="3"/>
  <c r="B1050" i="3"/>
  <c r="C1050" i="3"/>
  <c r="D1050" i="3"/>
  <c r="E1050" i="3"/>
  <c r="F1050" i="3"/>
  <c r="G1050" i="3"/>
  <c r="H1050" i="3"/>
  <c r="I1050" i="3"/>
  <c r="J1050" i="3"/>
  <c r="K1050" i="3"/>
  <c r="B1051" i="3"/>
  <c r="C1051" i="3"/>
  <c r="D1051" i="3"/>
  <c r="E1051" i="3"/>
  <c r="F1051" i="3"/>
  <c r="G1051" i="3"/>
  <c r="H1051" i="3"/>
  <c r="I1051" i="3"/>
  <c r="J1051" i="3"/>
  <c r="K1051" i="3"/>
  <c r="B1052" i="3"/>
  <c r="C1052" i="3"/>
  <c r="D1052" i="3"/>
  <c r="E1052" i="3"/>
  <c r="F1052" i="3"/>
  <c r="G1052" i="3"/>
  <c r="H1052" i="3"/>
  <c r="I1052" i="3"/>
  <c r="J1052" i="3"/>
  <c r="K1052" i="3"/>
  <c r="B1053" i="3"/>
  <c r="C1053" i="3"/>
  <c r="D1053" i="3"/>
  <c r="E1053" i="3"/>
  <c r="F1053" i="3"/>
  <c r="G1053" i="3"/>
  <c r="H1053" i="3"/>
  <c r="I1053" i="3"/>
  <c r="J1053" i="3"/>
  <c r="K1053" i="3"/>
  <c r="B1054" i="3"/>
  <c r="C1054" i="3"/>
  <c r="D1054" i="3"/>
  <c r="E1054" i="3"/>
  <c r="F1054" i="3"/>
  <c r="G1054" i="3"/>
  <c r="H1054" i="3"/>
  <c r="I1054" i="3"/>
  <c r="J1054" i="3"/>
  <c r="K1054" i="3"/>
  <c r="B1055" i="3"/>
  <c r="C1055" i="3"/>
  <c r="D1055" i="3"/>
  <c r="E1055" i="3"/>
  <c r="F1055" i="3"/>
  <c r="G1055" i="3"/>
  <c r="H1055" i="3"/>
  <c r="I1055" i="3"/>
  <c r="J1055" i="3"/>
  <c r="K1055" i="3"/>
  <c r="B1056" i="3"/>
  <c r="C1056" i="3"/>
  <c r="D1056" i="3"/>
  <c r="E1056" i="3"/>
  <c r="E1156" i="3" s="1"/>
  <c r="F1056" i="3"/>
  <c r="G1056" i="3"/>
  <c r="H1056" i="3"/>
  <c r="I1056" i="3"/>
  <c r="I1156" i="3" s="1"/>
  <c r="J1056" i="3"/>
  <c r="K1056" i="3"/>
  <c r="B1057" i="3"/>
  <c r="C1057" i="3"/>
  <c r="D1057" i="3"/>
  <c r="E1057" i="3"/>
  <c r="F1057" i="3"/>
  <c r="G1057" i="3"/>
  <c r="G1156" i="3" s="1"/>
  <c r="H1057" i="3"/>
  <c r="I1057" i="3"/>
  <c r="J1057" i="3"/>
  <c r="K1057" i="3"/>
  <c r="K1156" i="3" s="1"/>
  <c r="B1058" i="3"/>
  <c r="C1058" i="3"/>
  <c r="D1058" i="3"/>
  <c r="E1058" i="3"/>
  <c r="F1058" i="3"/>
  <c r="G1058" i="3"/>
  <c r="H1058" i="3"/>
  <c r="I1058" i="3"/>
  <c r="J1058" i="3"/>
  <c r="K1058" i="3"/>
  <c r="B1059" i="3"/>
  <c r="C1059" i="3"/>
  <c r="D1059" i="3"/>
  <c r="E1059" i="3"/>
  <c r="F1059" i="3"/>
  <c r="G1059" i="3"/>
  <c r="H1059" i="3"/>
  <c r="I1059" i="3"/>
  <c r="J1059" i="3"/>
  <c r="K1059" i="3"/>
  <c r="B1060" i="3"/>
  <c r="C1060" i="3"/>
  <c r="D1060" i="3"/>
  <c r="E1060" i="3"/>
  <c r="F1060" i="3"/>
  <c r="G1060" i="3"/>
  <c r="H1060" i="3"/>
  <c r="I1060" i="3"/>
  <c r="J1060" i="3"/>
  <c r="K1060" i="3"/>
  <c r="B1061" i="3"/>
  <c r="C1061" i="3"/>
  <c r="D1061" i="3"/>
  <c r="E1061" i="3"/>
  <c r="F1061" i="3"/>
  <c r="G1061" i="3"/>
  <c r="H1061" i="3"/>
  <c r="I1061" i="3"/>
  <c r="J1061" i="3"/>
  <c r="K1061" i="3"/>
  <c r="B1062" i="3"/>
  <c r="C1062" i="3"/>
  <c r="D1062" i="3"/>
  <c r="E1062" i="3"/>
  <c r="F1062" i="3"/>
  <c r="G1062" i="3"/>
  <c r="H1062" i="3"/>
  <c r="I1062" i="3"/>
  <c r="J1062" i="3"/>
  <c r="K1062" i="3"/>
  <c r="B1063" i="3"/>
  <c r="C1063" i="3"/>
  <c r="D1063" i="3"/>
  <c r="E1063" i="3"/>
  <c r="F1063" i="3"/>
  <c r="G1063" i="3"/>
  <c r="H1063" i="3"/>
  <c r="I1063" i="3"/>
  <c r="J1063" i="3"/>
  <c r="K1063" i="3"/>
  <c r="B1064" i="3"/>
  <c r="C1064" i="3"/>
  <c r="D1064" i="3"/>
  <c r="E1064" i="3"/>
  <c r="F1064" i="3"/>
  <c r="G1064" i="3"/>
  <c r="H1064" i="3"/>
  <c r="I1064" i="3"/>
  <c r="J1064" i="3"/>
  <c r="K1064" i="3"/>
  <c r="B1065" i="3"/>
  <c r="C1065" i="3"/>
  <c r="D1065" i="3"/>
  <c r="E1065" i="3"/>
  <c r="F1065" i="3"/>
  <c r="G1065" i="3"/>
  <c r="H1065" i="3"/>
  <c r="I1065" i="3"/>
  <c r="J1065" i="3"/>
  <c r="K1065" i="3"/>
  <c r="B1066" i="3"/>
  <c r="C1066" i="3"/>
  <c r="D1066" i="3"/>
  <c r="E1066" i="3"/>
  <c r="F1066" i="3"/>
  <c r="G1066" i="3"/>
  <c r="H1066" i="3"/>
  <c r="I1066" i="3"/>
  <c r="J1066" i="3"/>
  <c r="K1066" i="3"/>
  <c r="B1067" i="3"/>
  <c r="C1067" i="3"/>
  <c r="D1067" i="3"/>
  <c r="E1067" i="3"/>
  <c r="F1067" i="3"/>
  <c r="G1067" i="3"/>
  <c r="H1067" i="3"/>
  <c r="I1067" i="3"/>
  <c r="J1067" i="3"/>
  <c r="K1067" i="3"/>
  <c r="B1069" i="3"/>
  <c r="C1069" i="3"/>
  <c r="E1069" i="3"/>
  <c r="F1069" i="3"/>
  <c r="G1069" i="3"/>
  <c r="H1069" i="3"/>
  <c r="I1069" i="3"/>
  <c r="J1069" i="3"/>
  <c r="K1069" i="3"/>
  <c r="B1070" i="3"/>
  <c r="C1070" i="3"/>
  <c r="E1070" i="3"/>
  <c r="F1070" i="3"/>
  <c r="G1070" i="3"/>
  <c r="H1070" i="3"/>
  <c r="I1070" i="3"/>
  <c r="J1070" i="3"/>
  <c r="K1070" i="3"/>
  <c r="B1071" i="3"/>
  <c r="C1071" i="3"/>
  <c r="E1071" i="3"/>
  <c r="F1071" i="3"/>
  <c r="G1071" i="3"/>
  <c r="H1071" i="3"/>
  <c r="I1071" i="3"/>
  <c r="J1071" i="3"/>
  <c r="K1071" i="3"/>
  <c r="B1072" i="3"/>
  <c r="C1072" i="3"/>
  <c r="E1072" i="3"/>
  <c r="F1072" i="3"/>
  <c r="G1072" i="3"/>
  <c r="H1072" i="3"/>
  <c r="I1072" i="3"/>
  <c r="J1072" i="3"/>
  <c r="K1072" i="3"/>
  <c r="B1073" i="3"/>
  <c r="C1073" i="3"/>
  <c r="E1073" i="3"/>
  <c r="F1073" i="3"/>
  <c r="G1073" i="3"/>
  <c r="H1073" i="3"/>
  <c r="I1073" i="3"/>
  <c r="J1073" i="3"/>
  <c r="K1073" i="3"/>
  <c r="B1074" i="3"/>
  <c r="C1074" i="3"/>
  <c r="E1074" i="3"/>
  <c r="F1074" i="3"/>
  <c r="G1074" i="3"/>
  <c r="H1074" i="3"/>
  <c r="I1074" i="3"/>
  <c r="J1074" i="3"/>
  <c r="K1074" i="3"/>
  <c r="B1075" i="3"/>
  <c r="C1075" i="3"/>
  <c r="E1075" i="3"/>
  <c r="F1075" i="3"/>
  <c r="G1075" i="3"/>
  <c r="H1075" i="3"/>
  <c r="I1075" i="3"/>
  <c r="J1075" i="3"/>
  <c r="K1075" i="3"/>
  <c r="B1076" i="3"/>
  <c r="C1076" i="3"/>
  <c r="E1076" i="3"/>
  <c r="F1076" i="3"/>
  <c r="G1076" i="3"/>
  <c r="H1076" i="3"/>
  <c r="I1076" i="3"/>
  <c r="J1076" i="3"/>
  <c r="K1076" i="3"/>
  <c r="B1077" i="3"/>
  <c r="C1077" i="3"/>
  <c r="E1077" i="3"/>
  <c r="F1077" i="3"/>
  <c r="G1077" i="3"/>
  <c r="H1077" i="3"/>
  <c r="I1077" i="3"/>
  <c r="J1077" i="3"/>
  <c r="K1077" i="3"/>
  <c r="B1078" i="3"/>
  <c r="C1078" i="3"/>
  <c r="E1078" i="3"/>
  <c r="F1078" i="3"/>
  <c r="G1078" i="3"/>
  <c r="H1078" i="3"/>
  <c r="I1078" i="3"/>
  <c r="J1078" i="3"/>
  <c r="K1078" i="3"/>
  <c r="B1079" i="3"/>
  <c r="C1079" i="3"/>
  <c r="E1079" i="3"/>
  <c r="F1079" i="3"/>
  <c r="G1079" i="3"/>
  <c r="H1079" i="3"/>
  <c r="I1079" i="3"/>
  <c r="J1079" i="3"/>
  <c r="K1079" i="3"/>
  <c r="B1080" i="3"/>
  <c r="C1080" i="3"/>
  <c r="E1080" i="3"/>
  <c r="F1080" i="3"/>
  <c r="G1080" i="3"/>
  <c r="H1080" i="3"/>
  <c r="I1080" i="3"/>
  <c r="J1080" i="3"/>
  <c r="K1080" i="3"/>
  <c r="B1081" i="3"/>
  <c r="C1081" i="3"/>
  <c r="E1081" i="3"/>
  <c r="F1081" i="3"/>
  <c r="G1081" i="3"/>
  <c r="H1081" i="3"/>
  <c r="I1081" i="3"/>
  <c r="J1081" i="3"/>
  <c r="K1081" i="3"/>
  <c r="B1082" i="3"/>
  <c r="C1082" i="3"/>
  <c r="E1082" i="3"/>
  <c r="F1082" i="3"/>
  <c r="G1082" i="3"/>
  <c r="H1082" i="3"/>
  <c r="I1082" i="3"/>
  <c r="J1082" i="3"/>
  <c r="K1082" i="3"/>
  <c r="B1083" i="3"/>
  <c r="C1083" i="3"/>
  <c r="E1083" i="3"/>
  <c r="F1083" i="3"/>
  <c r="G1083" i="3"/>
  <c r="H1083" i="3"/>
  <c r="I1083" i="3"/>
  <c r="J1083" i="3"/>
  <c r="K1083" i="3"/>
  <c r="B1084" i="3"/>
  <c r="C1084" i="3"/>
  <c r="E1084" i="3"/>
  <c r="F1084" i="3"/>
  <c r="G1084" i="3"/>
  <c r="H1084" i="3"/>
  <c r="I1084" i="3"/>
  <c r="J1084" i="3"/>
  <c r="K1084" i="3"/>
  <c r="B1085" i="3"/>
  <c r="C1085" i="3"/>
  <c r="E1085" i="3"/>
  <c r="F1085" i="3"/>
  <c r="G1085" i="3"/>
  <c r="H1085" i="3"/>
  <c r="I1085" i="3"/>
  <c r="J1085" i="3"/>
  <c r="K1085" i="3"/>
  <c r="B1086" i="3"/>
  <c r="C1086" i="3"/>
  <c r="E1086" i="3"/>
  <c r="F1086" i="3"/>
  <c r="G1086" i="3"/>
  <c r="H1086" i="3"/>
  <c r="I1086" i="3"/>
  <c r="J1086" i="3"/>
  <c r="K1086" i="3"/>
  <c r="B1087" i="3"/>
  <c r="C1087" i="3"/>
  <c r="E1087" i="3"/>
  <c r="F1087" i="3"/>
  <c r="G1087" i="3"/>
  <c r="H1087" i="3"/>
  <c r="I1087" i="3"/>
  <c r="J1087" i="3"/>
  <c r="K1087" i="3"/>
  <c r="B1088" i="3"/>
  <c r="C1088" i="3"/>
  <c r="E1088" i="3"/>
  <c r="F1088" i="3"/>
  <c r="G1088" i="3"/>
  <c r="H1088" i="3"/>
  <c r="I1088" i="3"/>
  <c r="J1088" i="3"/>
  <c r="K1088" i="3"/>
  <c r="B1089" i="3"/>
  <c r="C1089" i="3"/>
  <c r="E1089" i="3"/>
  <c r="F1089" i="3"/>
  <c r="G1089" i="3"/>
  <c r="H1089" i="3"/>
  <c r="I1089" i="3"/>
  <c r="J1089" i="3"/>
  <c r="K1089" i="3"/>
  <c r="B1090" i="3"/>
  <c r="C1090" i="3"/>
  <c r="E1090" i="3"/>
  <c r="F1090" i="3"/>
  <c r="G1090" i="3"/>
  <c r="H1090" i="3"/>
  <c r="I1090" i="3"/>
  <c r="J1090" i="3"/>
  <c r="K1090" i="3"/>
  <c r="B1091" i="3"/>
  <c r="C1091" i="3"/>
  <c r="E1091" i="3"/>
  <c r="F1091" i="3"/>
  <c r="G1091" i="3"/>
  <c r="H1091" i="3"/>
  <c r="I1091" i="3"/>
  <c r="J1091" i="3"/>
  <c r="K1091" i="3"/>
  <c r="B1092" i="3"/>
  <c r="C1092" i="3"/>
  <c r="E1092" i="3"/>
  <c r="F1092" i="3"/>
  <c r="G1092" i="3"/>
  <c r="H1092" i="3"/>
  <c r="I1092" i="3"/>
  <c r="J1092" i="3"/>
  <c r="K1092" i="3"/>
  <c r="B1093" i="3"/>
  <c r="C1093" i="3"/>
  <c r="E1093" i="3"/>
  <c r="F1093" i="3"/>
  <c r="G1093" i="3"/>
  <c r="H1093" i="3"/>
  <c r="I1093" i="3"/>
  <c r="J1093" i="3"/>
  <c r="K1093" i="3"/>
  <c r="A1094" i="3"/>
  <c r="B1094" i="3"/>
  <c r="C1094" i="3"/>
  <c r="E1094" i="3"/>
  <c r="F1094" i="3"/>
  <c r="G1094" i="3"/>
  <c r="H1094" i="3"/>
  <c r="I1094" i="3"/>
  <c r="J1094" i="3"/>
  <c r="K1094" i="3"/>
  <c r="A1095" i="3"/>
  <c r="B1095" i="3"/>
  <c r="C1095" i="3"/>
  <c r="E1095" i="3"/>
  <c r="F1095" i="3"/>
  <c r="G1095" i="3"/>
  <c r="H1095" i="3"/>
  <c r="I1095" i="3"/>
  <c r="J1095" i="3"/>
  <c r="K1095" i="3"/>
  <c r="A1096" i="3"/>
  <c r="B1096" i="3"/>
  <c r="C1096" i="3"/>
  <c r="E1096" i="3"/>
  <c r="F1096" i="3"/>
  <c r="G1096" i="3"/>
  <c r="H1096" i="3"/>
  <c r="I1096" i="3"/>
  <c r="J1096" i="3"/>
  <c r="K1096" i="3"/>
  <c r="A1097" i="3"/>
  <c r="B1097" i="3"/>
  <c r="C1097" i="3"/>
  <c r="E1097" i="3"/>
  <c r="F1097" i="3"/>
  <c r="G1097" i="3"/>
  <c r="H1097" i="3"/>
  <c r="I1097" i="3"/>
  <c r="J1097" i="3"/>
  <c r="K1097" i="3"/>
  <c r="A1098" i="3"/>
  <c r="B1098" i="3"/>
  <c r="C1098" i="3"/>
  <c r="E1098" i="3"/>
  <c r="F1098" i="3"/>
  <c r="G1098" i="3"/>
  <c r="H1098" i="3"/>
  <c r="I1098" i="3"/>
  <c r="J1098" i="3"/>
  <c r="K1098" i="3"/>
  <c r="A1099" i="3"/>
  <c r="B1099" i="3"/>
  <c r="C1099" i="3"/>
  <c r="E1099" i="3"/>
  <c r="F1099" i="3"/>
  <c r="G1099" i="3"/>
  <c r="H1099" i="3"/>
  <c r="I1099" i="3"/>
  <c r="J1099" i="3"/>
  <c r="K1099" i="3"/>
  <c r="A1100" i="3"/>
  <c r="B1100" i="3"/>
  <c r="C1100" i="3"/>
  <c r="E1100" i="3"/>
  <c r="F1100" i="3"/>
  <c r="G1100" i="3"/>
  <c r="H1100" i="3"/>
  <c r="I1100" i="3"/>
  <c r="J1100" i="3"/>
  <c r="K1100" i="3"/>
  <c r="A1101" i="3"/>
  <c r="B1101" i="3"/>
  <c r="C1101" i="3"/>
  <c r="E1101" i="3"/>
  <c r="F1101" i="3"/>
  <c r="G1101" i="3"/>
  <c r="H1101" i="3"/>
  <c r="I1101" i="3"/>
  <c r="J1101" i="3"/>
  <c r="K1101" i="3"/>
  <c r="A1102" i="3"/>
  <c r="B1102" i="3"/>
  <c r="C1102" i="3"/>
  <c r="E1102" i="3"/>
  <c r="F1102" i="3"/>
  <c r="G1102" i="3"/>
  <c r="H1102" i="3"/>
  <c r="I1102" i="3"/>
  <c r="J1102" i="3"/>
  <c r="K1102" i="3"/>
  <c r="A1103" i="3"/>
  <c r="B1103" i="3"/>
  <c r="C1103" i="3"/>
  <c r="E1103" i="3"/>
  <c r="F1103" i="3"/>
  <c r="G1103" i="3"/>
  <c r="H1103" i="3"/>
  <c r="I1103" i="3"/>
  <c r="J1103" i="3"/>
  <c r="K1103" i="3"/>
  <c r="A1104" i="3"/>
  <c r="B1104" i="3"/>
  <c r="C1104" i="3"/>
  <c r="E1104" i="3"/>
  <c r="F1104" i="3"/>
  <c r="G1104" i="3"/>
  <c r="H1104" i="3"/>
  <c r="I1104" i="3"/>
  <c r="J1104" i="3"/>
  <c r="K1104" i="3"/>
  <c r="A1105" i="3"/>
  <c r="B1105" i="3"/>
  <c r="C1105" i="3"/>
  <c r="E1105" i="3"/>
  <c r="F1105" i="3"/>
  <c r="G1105" i="3"/>
  <c r="H1105" i="3"/>
  <c r="I1105" i="3"/>
  <c r="J1105" i="3"/>
  <c r="K1105" i="3"/>
  <c r="A1106" i="3"/>
  <c r="B1106" i="3"/>
  <c r="C1106" i="3"/>
  <c r="E1106" i="3"/>
  <c r="F1106" i="3"/>
  <c r="G1106" i="3"/>
  <c r="H1106" i="3"/>
  <c r="I1106" i="3"/>
  <c r="J1106" i="3"/>
  <c r="K1106" i="3"/>
  <c r="A1107" i="3"/>
  <c r="B1107" i="3"/>
  <c r="C1107" i="3"/>
  <c r="E1107" i="3"/>
  <c r="F1107" i="3"/>
  <c r="G1107" i="3"/>
  <c r="H1107" i="3"/>
  <c r="I1107" i="3"/>
  <c r="J1107" i="3"/>
  <c r="K1107" i="3"/>
  <c r="A1108" i="3"/>
  <c r="B1108" i="3"/>
  <c r="C1108" i="3"/>
  <c r="E1108" i="3"/>
  <c r="F1108" i="3"/>
  <c r="G1108" i="3"/>
  <c r="H1108" i="3"/>
  <c r="I1108" i="3"/>
  <c r="J1108" i="3"/>
  <c r="K1108" i="3"/>
  <c r="A1109" i="3"/>
  <c r="B1109" i="3"/>
  <c r="C1109" i="3"/>
  <c r="E1109" i="3"/>
  <c r="F1109" i="3"/>
  <c r="G1109" i="3"/>
  <c r="H1109" i="3"/>
  <c r="I1109" i="3"/>
  <c r="J1109" i="3"/>
  <c r="K1109" i="3"/>
  <c r="A1110" i="3"/>
  <c r="B1110" i="3"/>
  <c r="C1110" i="3"/>
  <c r="E1110" i="3"/>
  <c r="F1110" i="3"/>
  <c r="G1110" i="3"/>
  <c r="H1110" i="3"/>
  <c r="I1110" i="3"/>
  <c r="J1110" i="3"/>
  <c r="K1110" i="3"/>
  <c r="A1111" i="3"/>
  <c r="B1111" i="3"/>
  <c r="C1111" i="3"/>
  <c r="E1111" i="3"/>
  <c r="F1111" i="3"/>
  <c r="G1111" i="3"/>
  <c r="H1111" i="3"/>
  <c r="I1111" i="3"/>
  <c r="J1111" i="3"/>
  <c r="K1111" i="3"/>
  <c r="A1112" i="3"/>
  <c r="B1112" i="3"/>
  <c r="C1112" i="3"/>
  <c r="E1112" i="3"/>
  <c r="F1112" i="3"/>
  <c r="G1112" i="3"/>
  <c r="H1112" i="3"/>
  <c r="I1112" i="3"/>
  <c r="J1112" i="3"/>
  <c r="K1112" i="3"/>
  <c r="A1113" i="3"/>
  <c r="B1113" i="3"/>
  <c r="C1113" i="3"/>
  <c r="E1113" i="3"/>
  <c r="F1113" i="3"/>
  <c r="G1113" i="3"/>
  <c r="H1113" i="3"/>
  <c r="I1113" i="3"/>
  <c r="J1113" i="3"/>
  <c r="K1113" i="3"/>
  <c r="A1114" i="3"/>
  <c r="B1114" i="3"/>
  <c r="C1114" i="3"/>
  <c r="E1114" i="3"/>
  <c r="F1114" i="3"/>
  <c r="G1114" i="3"/>
  <c r="H1114" i="3"/>
  <c r="I1114" i="3"/>
  <c r="J1114" i="3"/>
  <c r="K1114" i="3"/>
  <c r="A1115" i="3"/>
  <c r="B1115" i="3"/>
  <c r="C1115" i="3"/>
  <c r="E1115" i="3"/>
  <c r="F1115" i="3"/>
  <c r="G1115" i="3"/>
  <c r="H1115" i="3"/>
  <c r="I1115" i="3"/>
  <c r="J1115" i="3"/>
  <c r="K1115" i="3"/>
  <c r="A1116" i="3"/>
  <c r="B1116" i="3"/>
  <c r="C1116" i="3"/>
  <c r="E1116" i="3"/>
  <c r="F1116" i="3"/>
  <c r="G1116" i="3"/>
  <c r="H1116" i="3"/>
  <c r="I1116" i="3"/>
  <c r="J1116" i="3"/>
  <c r="K1116" i="3"/>
  <c r="A1117" i="3"/>
  <c r="B1117" i="3"/>
  <c r="C1117" i="3"/>
  <c r="E1117" i="3"/>
  <c r="F1117" i="3"/>
  <c r="G1117" i="3"/>
  <c r="H1117" i="3"/>
  <c r="I1117" i="3"/>
  <c r="J1117" i="3"/>
  <c r="K1117" i="3"/>
  <c r="A1118" i="3"/>
  <c r="B1118" i="3"/>
  <c r="C1118" i="3"/>
  <c r="E1118" i="3"/>
  <c r="F1118" i="3"/>
  <c r="G1118" i="3"/>
  <c r="H1118" i="3"/>
  <c r="I1118" i="3"/>
  <c r="J1118" i="3"/>
  <c r="K1118" i="3"/>
  <c r="A1119" i="3"/>
  <c r="B1119" i="3"/>
  <c r="C1119" i="3"/>
  <c r="E1119" i="3"/>
  <c r="F1119" i="3"/>
  <c r="G1119" i="3"/>
  <c r="H1119" i="3"/>
  <c r="I1119" i="3"/>
  <c r="J1119" i="3"/>
  <c r="K1119" i="3"/>
  <c r="A1120" i="3"/>
  <c r="B1120" i="3"/>
  <c r="C1120" i="3"/>
  <c r="E1120" i="3"/>
  <c r="F1120" i="3"/>
  <c r="G1120" i="3"/>
  <c r="H1120" i="3"/>
  <c r="I1120" i="3"/>
  <c r="J1120" i="3"/>
  <c r="K1120" i="3"/>
  <c r="A1121" i="3"/>
  <c r="B1121" i="3"/>
  <c r="C1121" i="3"/>
  <c r="E1121" i="3"/>
  <c r="F1121" i="3"/>
  <c r="G1121" i="3"/>
  <c r="H1121" i="3"/>
  <c r="I1121" i="3"/>
  <c r="J1121" i="3"/>
  <c r="K1121" i="3"/>
  <c r="A1122" i="3"/>
  <c r="B1122" i="3"/>
  <c r="C1122" i="3"/>
  <c r="E1122" i="3"/>
  <c r="F1122" i="3"/>
  <c r="G1122" i="3"/>
  <c r="H1122" i="3"/>
  <c r="I1122" i="3"/>
  <c r="J1122" i="3"/>
  <c r="K1122" i="3"/>
  <c r="A1123" i="3"/>
  <c r="B1123" i="3"/>
  <c r="C1123" i="3"/>
  <c r="E1123" i="3"/>
  <c r="F1123" i="3"/>
  <c r="G1123" i="3"/>
  <c r="H1123" i="3"/>
  <c r="I1123" i="3"/>
  <c r="J1123" i="3"/>
  <c r="K1123" i="3"/>
  <c r="A1124" i="3"/>
  <c r="B1124" i="3"/>
  <c r="C1124" i="3"/>
  <c r="E1124" i="3"/>
  <c r="F1124" i="3"/>
  <c r="G1124" i="3"/>
  <c r="H1124" i="3"/>
  <c r="I1124" i="3"/>
  <c r="J1124" i="3"/>
  <c r="K1124" i="3"/>
  <c r="A1125" i="3"/>
  <c r="B1125" i="3"/>
  <c r="C1125" i="3"/>
  <c r="E1125" i="3"/>
  <c r="F1125" i="3"/>
  <c r="G1125" i="3"/>
  <c r="H1125" i="3"/>
  <c r="I1125" i="3"/>
  <c r="J1125" i="3"/>
  <c r="K1125" i="3"/>
  <c r="A1126" i="3"/>
  <c r="B1126" i="3"/>
  <c r="C1126" i="3"/>
  <c r="E1126" i="3"/>
  <c r="F1126" i="3"/>
  <c r="G1126" i="3"/>
  <c r="H1126" i="3"/>
  <c r="I1126" i="3"/>
  <c r="J1126" i="3"/>
  <c r="K1126" i="3"/>
  <c r="A1127" i="3"/>
  <c r="B1127" i="3"/>
  <c r="C1127" i="3"/>
  <c r="E1127" i="3"/>
  <c r="F1127" i="3"/>
  <c r="G1127" i="3"/>
  <c r="H1127" i="3"/>
  <c r="I1127" i="3"/>
  <c r="J1127" i="3"/>
  <c r="K1127" i="3"/>
  <c r="A1128" i="3"/>
  <c r="B1128" i="3"/>
  <c r="C1128" i="3"/>
  <c r="E1128" i="3"/>
  <c r="F1128" i="3"/>
  <c r="G1128" i="3"/>
  <c r="H1128" i="3"/>
  <c r="I1128" i="3"/>
  <c r="J1128" i="3"/>
  <c r="K1128" i="3"/>
  <c r="A1129" i="3"/>
  <c r="B1129" i="3"/>
  <c r="C1129" i="3"/>
  <c r="E1129" i="3"/>
  <c r="F1129" i="3"/>
  <c r="G1129" i="3"/>
  <c r="H1129" i="3"/>
  <c r="I1129" i="3"/>
  <c r="J1129" i="3"/>
  <c r="K1129" i="3"/>
  <c r="A1130" i="3"/>
  <c r="B1130" i="3"/>
  <c r="C1130" i="3"/>
  <c r="E1130" i="3"/>
  <c r="F1130" i="3"/>
  <c r="G1130" i="3"/>
  <c r="H1130" i="3"/>
  <c r="I1130" i="3"/>
  <c r="J1130" i="3"/>
  <c r="K1130" i="3"/>
  <c r="A1131" i="3"/>
  <c r="B1131" i="3"/>
  <c r="C1131" i="3"/>
  <c r="E1131" i="3"/>
  <c r="F1131" i="3"/>
  <c r="G1131" i="3"/>
  <c r="H1131" i="3"/>
  <c r="I1131" i="3"/>
  <c r="J1131" i="3"/>
  <c r="K1131" i="3"/>
  <c r="A1132" i="3"/>
  <c r="B1132" i="3"/>
  <c r="C1132" i="3"/>
  <c r="E1132" i="3"/>
  <c r="F1132" i="3"/>
  <c r="G1132" i="3"/>
  <c r="H1132" i="3"/>
  <c r="I1132" i="3"/>
  <c r="J1132" i="3"/>
  <c r="K1132" i="3"/>
  <c r="A1133" i="3"/>
  <c r="B1133" i="3"/>
  <c r="C1133" i="3"/>
  <c r="E1133" i="3"/>
  <c r="F1133" i="3"/>
  <c r="G1133" i="3"/>
  <c r="H1133" i="3"/>
  <c r="I1133" i="3"/>
  <c r="J1133" i="3"/>
  <c r="K1133" i="3"/>
  <c r="A1134" i="3"/>
  <c r="B1134" i="3"/>
  <c r="C1134" i="3"/>
  <c r="E1134" i="3"/>
  <c r="F1134" i="3"/>
  <c r="G1134" i="3"/>
  <c r="H1134" i="3"/>
  <c r="I1134" i="3"/>
  <c r="J1134" i="3"/>
  <c r="K1134" i="3"/>
  <c r="A1135" i="3"/>
  <c r="B1135" i="3"/>
  <c r="C1135" i="3"/>
  <c r="E1135" i="3"/>
  <c r="F1135" i="3"/>
  <c r="G1135" i="3"/>
  <c r="H1135" i="3"/>
  <c r="I1135" i="3"/>
  <c r="J1135" i="3"/>
  <c r="K1135" i="3"/>
  <c r="A1136" i="3"/>
  <c r="B1136" i="3"/>
  <c r="C1136" i="3"/>
  <c r="E1136" i="3"/>
  <c r="F1136" i="3"/>
  <c r="G1136" i="3"/>
  <c r="H1136" i="3"/>
  <c r="I1136" i="3"/>
  <c r="J1136" i="3"/>
  <c r="K1136" i="3"/>
  <c r="A1137" i="3"/>
  <c r="B1137" i="3"/>
  <c r="C1137" i="3"/>
  <c r="E1137" i="3"/>
  <c r="F1137" i="3"/>
  <c r="G1137" i="3"/>
  <c r="H1137" i="3"/>
  <c r="I1137" i="3"/>
  <c r="J1137" i="3"/>
  <c r="K1137" i="3"/>
  <c r="A1138" i="3"/>
  <c r="B1138" i="3"/>
  <c r="C1138" i="3"/>
  <c r="E1138" i="3"/>
  <c r="F1138" i="3"/>
  <c r="G1138" i="3"/>
  <c r="H1138" i="3"/>
  <c r="I1138" i="3"/>
  <c r="J1138" i="3"/>
  <c r="K1138" i="3"/>
  <c r="A1139" i="3"/>
  <c r="B1139" i="3"/>
  <c r="C1139" i="3"/>
  <c r="E1139" i="3"/>
  <c r="F1139" i="3"/>
  <c r="G1139" i="3"/>
  <c r="H1139" i="3"/>
  <c r="I1139" i="3"/>
  <c r="J1139" i="3"/>
  <c r="K1139" i="3"/>
  <c r="A1140" i="3"/>
  <c r="B1140" i="3"/>
  <c r="C1140" i="3"/>
  <c r="E1140" i="3"/>
  <c r="F1140" i="3"/>
  <c r="G1140" i="3"/>
  <c r="H1140" i="3"/>
  <c r="I1140" i="3"/>
  <c r="J1140" i="3"/>
  <c r="K1140" i="3"/>
  <c r="A1141" i="3"/>
  <c r="B1141" i="3"/>
  <c r="C1141" i="3"/>
  <c r="E1141" i="3"/>
  <c r="F1141" i="3"/>
  <c r="G1141" i="3"/>
  <c r="H1141" i="3"/>
  <c r="I1141" i="3"/>
  <c r="J1141" i="3"/>
  <c r="K1141" i="3"/>
  <c r="A1142" i="3"/>
  <c r="B1142" i="3"/>
  <c r="C1142" i="3"/>
  <c r="E1142" i="3"/>
  <c r="F1142" i="3"/>
  <c r="H1142" i="3"/>
  <c r="I1142" i="3"/>
  <c r="J1142" i="3"/>
  <c r="A1143" i="3"/>
  <c r="B1143" i="3"/>
  <c r="F1143" i="3"/>
  <c r="H1143" i="3"/>
  <c r="J1143" i="3"/>
  <c r="A1144" i="3"/>
  <c r="B1144" i="3"/>
  <c r="C1144" i="3"/>
  <c r="F1144" i="3"/>
  <c r="H1144" i="3"/>
  <c r="J1144" i="3"/>
  <c r="A1145" i="3"/>
  <c r="B1145" i="3"/>
  <c r="F1145" i="3"/>
  <c r="H1145" i="3"/>
  <c r="J1145" i="3"/>
  <c r="A1146" i="3"/>
  <c r="B1146" i="3"/>
  <c r="C1146" i="3"/>
  <c r="F1146" i="3"/>
  <c r="H1146" i="3"/>
  <c r="J1146" i="3"/>
  <c r="A1147" i="3"/>
  <c r="B1147" i="3"/>
  <c r="F1147" i="3"/>
  <c r="H1147" i="3"/>
  <c r="J1147" i="3"/>
  <c r="A1148" i="3"/>
  <c r="B1148" i="3"/>
  <c r="C1148" i="3"/>
  <c r="F1148" i="3"/>
  <c r="H1148" i="3"/>
  <c r="J1148" i="3"/>
  <c r="A1149" i="3"/>
  <c r="B1149" i="3"/>
  <c r="F1149" i="3"/>
  <c r="H1149" i="3"/>
  <c r="J1149" i="3"/>
  <c r="A1150" i="3"/>
  <c r="B1150" i="3"/>
  <c r="C1150" i="3"/>
  <c r="F1150" i="3"/>
  <c r="H1150" i="3"/>
  <c r="J1150" i="3"/>
  <c r="A1151" i="3"/>
  <c r="B1151" i="3"/>
  <c r="F1151" i="3"/>
  <c r="H1151" i="3"/>
  <c r="J1151" i="3"/>
  <c r="A1152" i="3"/>
  <c r="B1152" i="3"/>
  <c r="C1152" i="3"/>
  <c r="F1152" i="3"/>
  <c r="H1152" i="3"/>
  <c r="J1152" i="3"/>
  <c r="A1153" i="3"/>
  <c r="B1153" i="3"/>
  <c r="F1153" i="3"/>
  <c r="H1153" i="3"/>
  <c r="J1153" i="3"/>
  <c r="A1154" i="3"/>
  <c r="B1154" i="3"/>
  <c r="C1154" i="3"/>
  <c r="F1154" i="3"/>
  <c r="H1154" i="3"/>
  <c r="J1154" i="3"/>
  <c r="A1155" i="3"/>
  <c r="B1155" i="3"/>
  <c r="F1155" i="3"/>
  <c r="H1155" i="3"/>
  <c r="J1155" i="3"/>
  <c r="A1156" i="3"/>
  <c r="B1156" i="3"/>
  <c r="C1156" i="3"/>
  <c r="F1156" i="3"/>
  <c r="H1156" i="3"/>
  <c r="J1156" i="3"/>
  <c r="C9" i="2"/>
  <c r="E9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B367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B385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B394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B399" i="2"/>
  <c r="B1103" i="2" s="1"/>
  <c r="C399" i="2"/>
  <c r="D399" i="2"/>
  <c r="E399" i="2"/>
  <c r="F399" i="2"/>
  <c r="F1103" i="2" s="1"/>
  <c r="G399" i="2"/>
  <c r="H399" i="2"/>
  <c r="I399" i="2"/>
  <c r="J399" i="2"/>
  <c r="J1103" i="2" s="1"/>
  <c r="K399" i="2"/>
  <c r="L399" i="2"/>
  <c r="M399" i="2"/>
  <c r="N399" i="2"/>
  <c r="N1103" i="2" s="1"/>
  <c r="O399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B403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B410" i="2"/>
  <c r="C410" i="2"/>
  <c r="D410" i="2"/>
  <c r="D1104" i="2" s="1"/>
  <c r="E410" i="2"/>
  <c r="F410" i="2"/>
  <c r="G410" i="2"/>
  <c r="H410" i="2"/>
  <c r="H1104" i="2" s="1"/>
  <c r="I410" i="2"/>
  <c r="J410" i="2"/>
  <c r="K410" i="2"/>
  <c r="L410" i="2"/>
  <c r="L1104" i="2" s="1"/>
  <c r="M410" i="2"/>
  <c r="N410" i="2"/>
  <c r="O410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B412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B421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B430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B431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B432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B433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B434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B435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B436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B437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B438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B439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B440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B441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B442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B443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B444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B445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B446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B447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B448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B449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B450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B451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B452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B453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B454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B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B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B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B458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B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B460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B461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B46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B46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B464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B465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B466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B467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B468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B470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B471" i="2"/>
  <c r="C471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B472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B473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B474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B475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B476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B477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B478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B481" i="2"/>
  <c r="C481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B483" i="2"/>
  <c r="C483" i="2"/>
  <c r="D483" i="2"/>
  <c r="E483" i="2"/>
  <c r="F483" i="2"/>
  <c r="F1110" i="2" s="1"/>
  <c r="G483" i="2"/>
  <c r="H483" i="2"/>
  <c r="I483" i="2"/>
  <c r="J483" i="2"/>
  <c r="K483" i="2"/>
  <c r="L483" i="2"/>
  <c r="M483" i="2"/>
  <c r="N483" i="2"/>
  <c r="O483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B494" i="2"/>
  <c r="C494" i="2"/>
  <c r="D494" i="2"/>
  <c r="E494" i="2"/>
  <c r="F494" i="2"/>
  <c r="G494" i="2"/>
  <c r="H494" i="2"/>
  <c r="H1111" i="2" s="1"/>
  <c r="I494" i="2"/>
  <c r="J494" i="2"/>
  <c r="K494" i="2"/>
  <c r="L494" i="2"/>
  <c r="M494" i="2"/>
  <c r="N494" i="2"/>
  <c r="O494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B502" i="2"/>
  <c r="C502" i="2"/>
  <c r="D502" i="2"/>
  <c r="E502" i="2"/>
  <c r="F502" i="2"/>
  <c r="G502" i="2"/>
  <c r="H502" i="2"/>
  <c r="I502" i="2"/>
  <c r="J502" i="2"/>
  <c r="K502" i="2"/>
  <c r="L502" i="2"/>
  <c r="M502" i="2"/>
  <c r="N502" i="2"/>
  <c r="O502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B507" i="2"/>
  <c r="C507" i="2"/>
  <c r="D507" i="2"/>
  <c r="E507" i="2"/>
  <c r="F507" i="2"/>
  <c r="G507" i="2"/>
  <c r="H507" i="2"/>
  <c r="I507" i="2"/>
  <c r="J507" i="2"/>
  <c r="J1112" i="2" s="1"/>
  <c r="K507" i="2"/>
  <c r="L507" i="2"/>
  <c r="M507" i="2"/>
  <c r="N507" i="2"/>
  <c r="O507" i="2"/>
  <c r="B508" i="2"/>
  <c r="C508" i="2"/>
  <c r="D508" i="2"/>
  <c r="E508" i="2"/>
  <c r="F508" i="2"/>
  <c r="G508" i="2"/>
  <c r="H508" i="2"/>
  <c r="I508" i="2"/>
  <c r="J508" i="2"/>
  <c r="K508" i="2"/>
  <c r="L508" i="2"/>
  <c r="L1113" i="2" s="1"/>
  <c r="M508" i="2"/>
  <c r="N508" i="2"/>
  <c r="O508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B511" i="2"/>
  <c r="C511" i="2"/>
  <c r="D511" i="2"/>
  <c r="E511" i="2"/>
  <c r="F511" i="2"/>
  <c r="G511" i="2"/>
  <c r="H511" i="2"/>
  <c r="I511" i="2"/>
  <c r="J511" i="2"/>
  <c r="K511" i="2"/>
  <c r="L511" i="2"/>
  <c r="M511" i="2"/>
  <c r="N511" i="2"/>
  <c r="O511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B520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B521" i="2"/>
  <c r="C521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B522" i="2"/>
  <c r="C522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B523" i="2"/>
  <c r="C523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B524" i="2"/>
  <c r="C524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B525" i="2"/>
  <c r="C525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B526" i="2"/>
  <c r="C526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B527" i="2"/>
  <c r="C527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B528" i="2"/>
  <c r="C528" i="2"/>
  <c r="D528" i="2"/>
  <c r="E528" i="2"/>
  <c r="F528" i="2"/>
  <c r="G528" i="2"/>
  <c r="H528" i="2"/>
  <c r="I528" i="2"/>
  <c r="J528" i="2"/>
  <c r="K528" i="2"/>
  <c r="L528" i="2"/>
  <c r="M528" i="2"/>
  <c r="N528" i="2"/>
  <c r="O528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N1114" i="2" s="1"/>
  <c r="O531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B537" i="2"/>
  <c r="C537" i="2"/>
  <c r="D537" i="2"/>
  <c r="E537" i="2"/>
  <c r="F537" i="2"/>
  <c r="G537" i="2"/>
  <c r="H537" i="2"/>
  <c r="I537" i="2"/>
  <c r="J537" i="2"/>
  <c r="K537" i="2"/>
  <c r="L537" i="2"/>
  <c r="M537" i="2"/>
  <c r="N537" i="2"/>
  <c r="O537" i="2"/>
  <c r="B538" i="2"/>
  <c r="C538" i="2"/>
  <c r="D538" i="2"/>
  <c r="E538" i="2"/>
  <c r="F538" i="2"/>
  <c r="G538" i="2"/>
  <c r="H538" i="2"/>
  <c r="I538" i="2"/>
  <c r="J538" i="2"/>
  <c r="K538" i="2"/>
  <c r="L538" i="2"/>
  <c r="M538" i="2"/>
  <c r="N538" i="2"/>
  <c r="O538" i="2"/>
  <c r="B539" i="2"/>
  <c r="C539" i="2"/>
  <c r="D539" i="2"/>
  <c r="E539" i="2"/>
  <c r="F539" i="2"/>
  <c r="G539" i="2"/>
  <c r="H539" i="2"/>
  <c r="I539" i="2"/>
  <c r="J539" i="2"/>
  <c r="K539" i="2"/>
  <c r="L539" i="2"/>
  <c r="M539" i="2"/>
  <c r="N539" i="2"/>
  <c r="O539" i="2"/>
  <c r="B540" i="2"/>
  <c r="C540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B541" i="2"/>
  <c r="C541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B542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B543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B544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B545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B546" i="2"/>
  <c r="C546" i="2"/>
  <c r="D546" i="2"/>
  <c r="E546" i="2"/>
  <c r="F546" i="2"/>
  <c r="G546" i="2"/>
  <c r="H546" i="2"/>
  <c r="I546" i="2"/>
  <c r="J546" i="2"/>
  <c r="K546" i="2"/>
  <c r="L546" i="2"/>
  <c r="M546" i="2"/>
  <c r="N546" i="2"/>
  <c r="O546" i="2"/>
  <c r="B547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B548" i="2"/>
  <c r="C548" i="2"/>
  <c r="D548" i="2"/>
  <c r="E548" i="2"/>
  <c r="F548" i="2"/>
  <c r="G548" i="2"/>
  <c r="H548" i="2"/>
  <c r="I548" i="2"/>
  <c r="J548" i="2"/>
  <c r="K548" i="2"/>
  <c r="L548" i="2"/>
  <c r="M548" i="2"/>
  <c r="N548" i="2"/>
  <c r="O548" i="2"/>
  <c r="B549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B550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B551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B552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B553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B554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B555" i="2"/>
  <c r="B1116" i="2" s="1"/>
  <c r="C555" i="2"/>
  <c r="D555" i="2"/>
  <c r="E555" i="2"/>
  <c r="F555" i="2"/>
  <c r="F1116" i="2" s="1"/>
  <c r="G555" i="2"/>
  <c r="H555" i="2"/>
  <c r="I555" i="2"/>
  <c r="J555" i="2"/>
  <c r="K555" i="2"/>
  <c r="L555" i="2"/>
  <c r="M555" i="2"/>
  <c r="N555" i="2"/>
  <c r="O555" i="2"/>
  <c r="B556" i="2"/>
  <c r="C556" i="2"/>
  <c r="D556" i="2"/>
  <c r="E556" i="2"/>
  <c r="F556" i="2"/>
  <c r="G556" i="2"/>
  <c r="H556" i="2"/>
  <c r="I556" i="2"/>
  <c r="J556" i="2"/>
  <c r="K556" i="2"/>
  <c r="L556" i="2"/>
  <c r="M556" i="2"/>
  <c r="N556" i="2"/>
  <c r="O556" i="2"/>
  <c r="B557" i="2"/>
  <c r="C557" i="2"/>
  <c r="D557" i="2"/>
  <c r="E557" i="2"/>
  <c r="F557" i="2"/>
  <c r="G557" i="2"/>
  <c r="H557" i="2"/>
  <c r="I557" i="2"/>
  <c r="J557" i="2"/>
  <c r="K557" i="2"/>
  <c r="L557" i="2"/>
  <c r="M557" i="2"/>
  <c r="N557" i="2"/>
  <c r="O557" i="2"/>
  <c r="B558" i="2"/>
  <c r="C558" i="2"/>
  <c r="D558" i="2"/>
  <c r="E558" i="2"/>
  <c r="F558" i="2"/>
  <c r="G558" i="2"/>
  <c r="H558" i="2"/>
  <c r="I558" i="2"/>
  <c r="J558" i="2"/>
  <c r="K558" i="2"/>
  <c r="L558" i="2"/>
  <c r="M558" i="2"/>
  <c r="N558" i="2"/>
  <c r="O558" i="2"/>
  <c r="B559" i="2"/>
  <c r="C559" i="2"/>
  <c r="D559" i="2"/>
  <c r="E559" i="2"/>
  <c r="F559" i="2"/>
  <c r="G559" i="2"/>
  <c r="H559" i="2"/>
  <c r="I559" i="2"/>
  <c r="J559" i="2"/>
  <c r="K559" i="2"/>
  <c r="L559" i="2"/>
  <c r="M559" i="2"/>
  <c r="N559" i="2"/>
  <c r="O559" i="2"/>
  <c r="B560" i="2"/>
  <c r="C560" i="2"/>
  <c r="D560" i="2"/>
  <c r="E560" i="2"/>
  <c r="F560" i="2"/>
  <c r="G560" i="2"/>
  <c r="H560" i="2"/>
  <c r="I560" i="2"/>
  <c r="J560" i="2"/>
  <c r="K560" i="2"/>
  <c r="L560" i="2"/>
  <c r="M560" i="2"/>
  <c r="N560" i="2"/>
  <c r="O560" i="2"/>
  <c r="B561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B562" i="2"/>
  <c r="C562" i="2"/>
  <c r="D562" i="2"/>
  <c r="E562" i="2"/>
  <c r="F562" i="2"/>
  <c r="G562" i="2"/>
  <c r="H562" i="2"/>
  <c r="I562" i="2"/>
  <c r="J562" i="2"/>
  <c r="K562" i="2"/>
  <c r="L562" i="2"/>
  <c r="M562" i="2"/>
  <c r="N562" i="2"/>
  <c r="O562" i="2"/>
  <c r="B563" i="2"/>
  <c r="C563" i="2"/>
  <c r="D563" i="2"/>
  <c r="E563" i="2"/>
  <c r="F563" i="2"/>
  <c r="G563" i="2"/>
  <c r="H563" i="2"/>
  <c r="I563" i="2"/>
  <c r="J563" i="2"/>
  <c r="K563" i="2"/>
  <c r="L563" i="2"/>
  <c r="M563" i="2"/>
  <c r="N563" i="2"/>
  <c r="O563" i="2"/>
  <c r="B564" i="2"/>
  <c r="C564" i="2"/>
  <c r="D564" i="2"/>
  <c r="E564" i="2"/>
  <c r="F564" i="2"/>
  <c r="G564" i="2"/>
  <c r="H564" i="2"/>
  <c r="I564" i="2"/>
  <c r="J564" i="2"/>
  <c r="K564" i="2"/>
  <c r="L564" i="2"/>
  <c r="M564" i="2"/>
  <c r="N564" i="2"/>
  <c r="O564" i="2"/>
  <c r="B565" i="2"/>
  <c r="C565" i="2"/>
  <c r="D565" i="2"/>
  <c r="E565" i="2"/>
  <c r="F565" i="2"/>
  <c r="G565" i="2"/>
  <c r="H565" i="2"/>
  <c r="I565" i="2"/>
  <c r="J565" i="2"/>
  <c r="K565" i="2"/>
  <c r="L565" i="2"/>
  <c r="M565" i="2"/>
  <c r="N565" i="2"/>
  <c r="O565" i="2"/>
  <c r="B566" i="2"/>
  <c r="C566" i="2"/>
  <c r="D566" i="2"/>
  <c r="D1117" i="2" s="1"/>
  <c r="E566" i="2"/>
  <c r="F566" i="2"/>
  <c r="G566" i="2"/>
  <c r="H566" i="2"/>
  <c r="H1117" i="2" s="1"/>
  <c r="I566" i="2"/>
  <c r="J566" i="2"/>
  <c r="K566" i="2"/>
  <c r="L566" i="2"/>
  <c r="M566" i="2"/>
  <c r="N566" i="2"/>
  <c r="O566" i="2"/>
  <c r="B567" i="2"/>
  <c r="C567" i="2"/>
  <c r="D567" i="2"/>
  <c r="E567" i="2"/>
  <c r="F567" i="2"/>
  <c r="G567" i="2"/>
  <c r="H567" i="2"/>
  <c r="I567" i="2"/>
  <c r="J567" i="2"/>
  <c r="K567" i="2"/>
  <c r="L567" i="2"/>
  <c r="M567" i="2"/>
  <c r="N567" i="2"/>
  <c r="O567" i="2"/>
  <c r="B568" i="2"/>
  <c r="C568" i="2"/>
  <c r="D568" i="2"/>
  <c r="E568" i="2"/>
  <c r="F568" i="2"/>
  <c r="G568" i="2"/>
  <c r="H568" i="2"/>
  <c r="I568" i="2"/>
  <c r="J568" i="2"/>
  <c r="K568" i="2"/>
  <c r="L568" i="2"/>
  <c r="M568" i="2"/>
  <c r="N568" i="2"/>
  <c r="O568" i="2"/>
  <c r="B569" i="2"/>
  <c r="C569" i="2"/>
  <c r="D569" i="2"/>
  <c r="E569" i="2"/>
  <c r="F569" i="2"/>
  <c r="G569" i="2"/>
  <c r="H569" i="2"/>
  <c r="I569" i="2"/>
  <c r="J569" i="2"/>
  <c r="K569" i="2"/>
  <c r="L569" i="2"/>
  <c r="M569" i="2"/>
  <c r="N569" i="2"/>
  <c r="O569" i="2"/>
  <c r="B570" i="2"/>
  <c r="C570" i="2"/>
  <c r="D570" i="2"/>
  <c r="E570" i="2"/>
  <c r="F570" i="2"/>
  <c r="G570" i="2"/>
  <c r="H570" i="2"/>
  <c r="I570" i="2"/>
  <c r="J570" i="2"/>
  <c r="K570" i="2"/>
  <c r="L570" i="2"/>
  <c r="M570" i="2"/>
  <c r="N570" i="2"/>
  <c r="O570" i="2"/>
  <c r="B571" i="2"/>
  <c r="C571" i="2"/>
  <c r="D571" i="2"/>
  <c r="E571" i="2"/>
  <c r="F571" i="2"/>
  <c r="G571" i="2"/>
  <c r="H571" i="2"/>
  <c r="I571" i="2"/>
  <c r="J571" i="2"/>
  <c r="K571" i="2"/>
  <c r="L571" i="2"/>
  <c r="M571" i="2"/>
  <c r="N571" i="2"/>
  <c r="O571" i="2"/>
  <c r="B572" i="2"/>
  <c r="C572" i="2"/>
  <c r="D572" i="2"/>
  <c r="E572" i="2"/>
  <c r="F572" i="2"/>
  <c r="G572" i="2"/>
  <c r="H572" i="2"/>
  <c r="I572" i="2"/>
  <c r="J572" i="2"/>
  <c r="K572" i="2"/>
  <c r="L572" i="2"/>
  <c r="M572" i="2"/>
  <c r="N572" i="2"/>
  <c r="O572" i="2"/>
  <c r="B573" i="2"/>
  <c r="C573" i="2"/>
  <c r="D573" i="2"/>
  <c r="E573" i="2"/>
  <c r="F573" i="2"/>
  <c r="G573" i="2"/>
  <c r="H573" i="2"/>
  <c r="I573" i="2"/>
  <c r="J573" i="2"/>
  <c r="K573" i="2"/>
  <c r="L573" i="2"/>
  <c r="M573" i="2"/>
  <c r="N573" i="2"/>
  <c r="O573" i="2"/>
  <c r="B574" i="2"/>
  <c r="C574" i="2"/>
  <c r="D574" i="2"/>
  <c r="E574" i="2"/>
  <c r="F574" i="2"/>
  <c r="G574" i="2"/>
  <c r="H574" i="2"/>
  <c r="I574" i="2"/>
  <c r="J574" i="2"/>
  <c r="K574" i="2"/>
  <c r="L574" i="2"/>
  <c r="M574" i="2"/>
  <c r="N574" i="2"/>
  <c r="O574" i="2"/>
  <c r="B575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B576" i="2"/>
  <c r="C576" i="2"/>
  <c r="D576" i="2"/>
  <c r="E576" i="2"/>
  <c r="F576" i="2"/>
  <c r="G576" i="2"/>
  <c r="H576" i="2"/>
  <c r="I576" i="2"/>
  <c r="J576" i="2"/>
  <c r="K576" i="2"/>
  <c r="L576" i="2"/>
  <c r="M576" i="2"/>
  <c r="N576" i="2"/>
  <c r="O576" i="2"/>
  <c r="B577" i="2"/>
  <c r="C577" i="2"/>
  <c r="D577" i="2"/>
  <c r="E577" i="2"/>
  <c r="F577" i="2"/>
  <c r="G577" i="2"/>
  <c r="H577" i="2"/>
  <c r="I577" i="2"/>
  <c r="J577" i="2"/>
  <c r="K577" i="2"/>
  <c r="L577" i="2"/>
  <c r="M577" i="2"/>
  <c r="N577" i="2"/>
  <c r="O577" i="2"/>
  <c r="B578" i="2"/>
  <c r="C578" i="2"/>
  <c r="D578" i="2"/>
  <c r="E578" i="2"/>
  <c r="F578" i="2"/>
  <c r="G578" i="2"/>
  <c r="H578" i="2"/>
  <c r="I578" i="2"/>
  <c r="J578" i="2"/>
  <c r="K578" i="2"/>
  <c r="L578" i="2"/>
  <c r="M578" i="2"/>
  <c r="N578" i="2"/>
  <c r="O578" i="2"/>
  <c r="B579" i="2"/>
  <c r="C579" i="2"/>
  <c r="D579" i="2"/>
  <c r="E579" i="2"/>
  <c r="F579" i="2"/>
  <c r="F1118" i="2" s="1"/>
  <c r="G579" i="2"/>
  <c r="H579" i="2"/>
  <c r="I579" i="2"/>
  <c r="J579" i="2"/>
  <c r="J1118" i="2" s="1"/>
  <c r="K579" i="2"/>
  <c r="L579" i="2"/>
  <c r="M579" i="2"/>
  <c r="N579" i="2"/>
  <c r="O579" i="2"/>
  <c r="B580" i="2"/>
  <c r="C580" i="2"/>
  <c r="D580" i="2"/>
  <c r="E580" i="2"/>
  <c r="F580" i="2"/>
  <c r="G580" i="2"/>
  <c r="H580" i="2"/>
  <c r="I580" i="2"/>
  <c r="J580" i="2"/>
  <c r="K580" i="2"/>
  <c r="L580" i="2"/>
  <c r="M580" i="2"/>
  <c r="N580" i="2"/>
  <c r="O580" i="2"/>
  <c r="B581" i="2"/>
  <c r="C581" i="2"/>
  <c r="D581" i="2"/>
  <c r="E581" i="2"/>
  <c r="F581" i="2"/>
  <c r="G581" i="2"/>
  <c r="H581" i="2"/>
  <c r="I581" i="2"/>
  <c r="J581" i="2"/>
  <c r="K581" i="2"/>
  <c r="L581" i="2"/>
  <c r="M581" i="2"/>
  <c r="N581" i="2"/>
  <c r="O581" i="2"/>
  <c r="B582" i="2"/>
  <c r="C582" i="2"/>
  <c r="D582" i="2"/>
  <c r="E582" i="2"/>
  <c r="F582" i="2"/>
  <c r="G582" i="2"/>
  <c r="H582" i="2"/>
  <c r="I582" i="2"/>
  <c r="J582" i="2"/>
  <c r="K582" i="2"/>
  <c r="L582" i="2"/>
  <c r="M582" i="2"/>
  <c r="N582" i="2"/>
  <c r="O582" i="2"/>
  <c r="B583" i="2"/>
  <c r="C583" i="2"/>
  <c r="D583" i="2"/>
  <c r="E583" i="2"/>
  <c r="F583" i="2"/>
  <c r="G583" i="2"/>
  <c r="H583" i="2"/>
  <c r="I583" i="2"/>
  <c r="J583" i="2"/>
  <c r="K583" i="2"/>
  <c r="L583" i="2"/>
  <c r="M583" i="2"/>
  <c r="N583" i="2"/>
  <c r="O583" i="2"/>
  <c r="B584" i="2"/>
  <c r="C584" i="2"/>
  <c r="D584" i="2"/>
  <c r="E584" i="2"/>
  <c r="F584" i="2"/>
  <c r="G584" i="2"/>
  <c r="H584" i="2"/>
  <c r="I584" i="2"/>
  <c r="J584" i="2"/>
  <c r="K584" i="2"/>
  <c r="L584" i="2"/>
  <c r="M584" i="2"/>
  <c r="N584" i="2"/>
  <c r="O584" i="2"/>
  <c r="B585" i="2"/>
  <c r="C585" i="2"/>
  <c r="D585" i="2"/>
  <c r="E585" i="2"/>
  <c r="F585" i="2"/>
  <c r="G585" i="2"/>
  <c r="H585" i="2"/>
  <c r="I585" i="2"/>
  <c r="J585" i="2"/>
  <c r="K585" i="2"/>
  <c r="L585" i="2"/>
  <c r="M585" i="2"/>
  <c r="N585" i="2"/>
  <c r="O585" i="2"/>
  <c r="B586" i="2"/>
  <c r="C586" i="2"/>
  <c r="D586" i="2"/>
  <c r="E586" i="2"/>
  <c r="F586" i="2"/>
  <c r="G586" i="2"/>
  <c r="H586" i="2"/>
  <c r="I586" i="2"/>
  <c r="J586" i="2"/>
  <c r="K586" i="2"/>
  <c r="L586" i="2"/>
  <c r="M586" i="2"/>
  <c r="N586" i="2"/>
  <c r="O586" i="2"/>
  <c r="B587" i="2"/>
  <c r="C587" i="2"/>
  <c r="D587" i="2"/>
  <c r="E587" i="2"/>
  <c r="F587" i="2"/>
  <c r="G587" i="2"/>
  <c r="H587" i="2"/>
  <c r="I587" i="2"/>
  <c r="J587" i="2"/>
  <c r="K587" i="2"/>
  <c r="L587" i="2"/>
  <c r="M587" i="2"/>
  <c r="N587" i="2"/>
  <c r="O587" i="2"/>
  <c r="B588" i="2"/>
  <c r="C588" i="2"/>
  <c r="D588" i="2"/>
  <c r="E588" i="2"/>
  <c r="F588" i="2"/>
  <c r="G588" i="2"/>
  <c r="H588" i="2"/>
  <c r="I588" i="2"/>
  <c r="J588" i="2"/>
  <c r="K588" i="2"/>
  <c r="L588" i="2"/>
  <c r="M588" i="2"/>
  <c r="N588" i="2"/>
  <c r="O588" i="2"/>
  <c r="B589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B590" i="2"/>
  <c r="C590" i="2"/>
  <c r="D590" i="2"/>
  <c r="E590" i="2"/>
  <c r="F590" i="2"/>
  <c r="G590" i="2"/>
  <c r="H590" i="2"/>
  <c r="H1119" i="2" s="1"/>
  <c r="I590" i="2"/>
  <c r="J590" i="2"/>
  <c r="K590" i="2"/>
  <c r="L590" i="2"/>
  <c r="L1119" i="2" s="1"/>
  <c r="M590" i="2"/>
  <c r="N590" i="2"/>
  <c r="O590" i="2"/>
  <c r="B591" i="2"/>
  <c r="C591" i="2"/>
  <c r="D591" i="2"/>
  <c r="E591" i="2"/>
  <c r="F591" i="2"/>
  <c r="G591" i="2"/>
  <c r="H591" i="2"/>
  <c r="I591" i="2"/>
  <c r="J591" i="2"/>
  <c r="K591" i="2"/>
  <c r="L591" i="2"/>
  <c r="M591" i="2"/>
  <c r="N591" i="2"/>
  <c r="O591" i="2"/>
  <c r="B592" i="2"/>
  <c r="C592" i="2"/>
  <c r="D592" i="2"/>
  <c r="E592" i="2"/>
  <c r="F592" i="2"/>
  <c r="G592" i="2"/>
  <c r="H592" i="2"/>
  <c r="I592" i="2"/>
  <c r="J592" i="2"/>
  <c r="K592" i="2"/>
  <c r="L592" i="2"/>
  <c r="M592" i="2"/>
  <c r="N592" i="2"/>
  <c r="O592" i="2"/>
  <c r="B593" i="2"/>
  <c r="C593" i="2"/>
  <c r="D593" i="2"/>
  <c r="E593" i="2"/>
  <c r="F593" i="2"/>
  <c r="G593" i="2"/>
  <c r="H593" i="2"/>
  <c r="I593" i="2"/>
  <c r="J593" i="2"/>
  <c r="K593" i="2"/>
  <c r="L593" i="2"/>
  <c r="M593" i="2"/>
  <c r="N593" i="2"/>
  <c r="O593" i="2"/>
  <c r="B594" i="2"/>
  <c r="C594" i="2"/>
  <c r="D594" i="2"/>
  <c r="E594" i="2"/>
  <c r="F594" i="2"/>
  <c r="G594" i="2"/>
  <c r="H594" i="2"/>
  <c r="I594" i="2"/>
  <c r="J594" i="2"/>
  <c r="K594" i="2"/>
  <c r="L594" i="2"/>
  <c r="M594" i="2"/>
  <c r="N594" i="2"/>
  <c r="O594" i="2"/>
  <c r="B595" i="2"/>
  <c r="C595" i="2"/>
  <c r="D595" i="2"/>
  <c r="E595" i="2"/>
  <c r="F595" i="2"/>
  <c r="G595" i="2"/>
  <c r="H595" i="2"/>
  <c r="I595" i="2"/>
  <c r="J595" i="2"/>
  <c r="K595" i="2"/>
  <c r="L595" i="2"/>
  <c r="M595" i="2"/>
  <c r="N595" i="2"/>
  <c r="O595" i="2"/>
  <c r="B596" i="2"/>
  <c r="C596" i="2"/>
  <c r="D596" i="2"/>
  <c r="E596" i="2"/>
  <c r="F596" i="2"/>
  <c r="G596" i="2"/>
  <c r="H596" i="2"/>
  <c r="I596" i="2"/>
  <c r="J596" i="2"/>
  <c r="K596" i="2"/>
  <c r="L596" i="2"/>
  <c r="M596" i="2"/>
  <c r="N596" i="2"/>
  <c r="O596" i="2"/>
  <c r="B597" i="2"/>
  <c r="C597" i="2"/>
  <c r="D597" i="2"/>
  <c r="E597" i="2"/>
  <c r="F597" i="2"/>
  <c r="G597" i="2"/>
  <c r="H597" i="2"/>
  <c r="I597" i="2"/>
  <c r="J597" i="2"/>
  <c r="K597" i="2"/>
  <c r="L597" i="2"/>
  <c r="M597" i="2"/>
  <c r="N597" i="2"/>
  <c r="O597" i="2"/>
  <c r="B598" i="2"/>
  <c r="C598" i="2"/>
  <c r="D598" i="2"/>
  <c r="E598" i="2"/>
  <c r="F598" i="2"/>
  <c r="G598" i="2"/>
  <c r="H598" i="2"/>
  <c r="I598" i="2"/>
  <c r="J598" i="2"/>
  <c r="K598" i="2"/>
  <c r="L598" i="2"/>
  <c r="M598" i="2"/>
  <c r="N598" i="2"/>
  <c r="O598" i="2"/>
  <c r="B599" i="2"/>
  <c r="C599" i="2"/>
  <c r="D599" i="2"/>
  <c r="E599" i="2"/>
  <c r="F599" i="2"/>
  <c r="G599" i="2"/>
  <c r="H599" i="2"/>
  <c r="I599" i="2"/>
  <c r="J599" i="2"/>
  <c r="K599" i="2"/>
  <c r="L599" i="2"/>
  <c r="M599" i="2"/>
  <c r="N599" i="2"/>
  <c r="O599" i="2"/>
  <c r="B600" i="2"/>
  <c r="C600" i="2"/>
  <c r="D600" i="2"/>
  <c r="E600" i="2"/>
  <c r="F600" i="2"/>
  <c r="G600" i="2"/>
  <c r="H600" i="2"/>
  <c r="I600" i="2"/>
  <c r="J600" i="2"/>
  <c r="K600" i="2"/>
  <c r="L600" i="2"/>
  <c r="M600" i="2"/>
  <c r="N600" i="2"/>
  <c r="O600" i="2"/>
  <c r="B601" i="2"/>
  <c r="C601" i="2"/>
  <c r="D601" i="2"/>
  <c r="E601" i="2"/>
  <c r="F601" i="2"/>
  <c r="G601" i="2"/>
  <c r="H601" i="2"/>
  <c r="I601" i="2"/>
  <c r="J601" i="2"/>
  <c r="K601" i="2"/>
  <c r="L601" i="2"/>
  <c r="M601" i="2"/>
  <c r="N601" i="2"/>
  <c r="O601" i="2"/>
  <c r="B602" i="2"/>
  <c r="C602" i="2"/>
  <c r="D602" i="2"/>
  <c r="E602" i="2"/>
  <c r="F602" i="2"/>
  <c r="G602" i="2"/>
  <c r="H602" i="2"/>
  <c r="I602" i="2"/>
  <c r="J602" i="2"/>
  <c r="K602" i="2"/>
  <c r="L602" i="2"/>
  <c r="M602" i="2"/>
  <c r="N602" i="2"/>
  <c r="O602" i="2"/>
  <c r="B603" i="2"/>
  <c r="C603" i="2"/>
  <c r="D603" i="2"/>
  <c r="E603" i="2"/>
  <c r="F603" i="2"/>
  <c r="G603" i="2"/>
  <c r="H603" i="2"/>
  <c r="I603" i="2"/>
  <c r="J603" i="2"/>
  <c r="J1120" i="2" s="1"/>
  <c r="K603" i="2"/>
  <c r="L603" i="2"/>
  <c r="M603" i="2"/>
  <c r="N603" i="2"/>
  <c r="N1120" i="2" s="1"/>
  <c r="O603" i="2"/>
  <c r="B604" i="2"/>
  <c r="C604" i="2"/>
  <c r="D604" i="2"/>
  <c r="E604" i="2"/>
  <c r="F604" i="2"/>
  <c r="G604" i="2"/>
  <c r="H604" i="2"/>
  <c r="I604" i="2"/>
  <c r="J604" i="2"/>
  <c r="K604" i="2"/>
  <c r="L604" i="2"/>
  <c r="M604" i="2"/>
  <c r="N604" i="2"/>
  <c r="O604" i="2"/>
  <c r="B605" i="2"/>
  <c r="C605" i="2"/>
  <c r="D605" i="2"/>
  <c r="E605" i="2"/>
  <c r="F605" i="2"/>
  <c r="G605" i="2"/>
  <c r="H605" i="2"/>
  <c r="I605" i="2"/>
  <c r="J605" i="2"/>
  <c r="K605" i="2"/>
  <c r="L605" i="2"/>
  <c r="M605" i="2"/>
  <c r="N605" i="2"/>
  <c r="O605" i="2"/>
  <c r="B606" i="2"/>
  <c r="C606" i="2"/>
  <c r="D606" i="2"/>
  <c r="E606" i="2"/>
  <c r="F606" i="2"/>
  <c r="G606" i="2"/>
  <c r="H606" i="2"/>
  <c r="I606" i="2"/>
  <c r="J606" i="2"/>
  <c r="K606" i="2"/>
  <c r="L606" i="2"/>
  <c r="M606" i="2"/>
  <c r="N606" i="2"/>
  <c r="O606" i="2"/>
  <c r="B607" i="2"/>
  <c r="C607" i="2"/>
  <c r="D607" i="2"/>
  <c r="E607" i="2"/>
  <c r="F607" i="2"/>
  <c r="G607" i="2"/>
  <c r="H607" i="2"/>
  <c r="I607" i="2"/>
  <c r="J607" i="2"/>
  <c r="K607" i="2"/>
  <c r="L607" i="2"/>
  <c r="M607" i="2"/>
  <c r="N607" i="2"/>
  <c r="O607" i="2"/>
  <c r="B608" i="2"/>
  <c r="C608" i="2"/>
  <c r="D608" i="2"/>
  <c r="E608" i="2"/>
  <c r="F608" i="2"/>
  <c r="G608" i="2"/>
  <c r="H608" i="2"/>
  <c r="I608" i="2"/>
  <c r="J608" i="2"/>
  <c r="K608" i="2"/>
  <c r="L608" i="2"/>
  <c r="M608" i="2"/>
  <c r="N608" i="2"/>
  <c r="O608" i="2"/>
  <c r="B609" i="2"/>
  <c r="C609" i="2"/>
  <c r="D609" i="2"/>
  <c r="E609" i="2"/>
  <c r="F609" i="2"/>
  <c r="G609" i="2"/>
  <c r="H609" i="2"/>
  <c r="I609" i="2"/>
  <c r="J609" i="2"/>
  <c r="K609" i="2"/>
  <c r="L609" i="2"/>
  <c r="M609" i="2"/>
  <c r="N609" i="2"/>
  <c r="O609" i="2"/>
  <c r="B610" i="2"/>
  <c r="C610" i="2"/>
  <c r="D610" i="2"/>
  <c r="E610" i="2"/>
  <c r="F610" i="2"/>
  <c r="G610" i="2"/>
  <c r="H610" i="2"/>
  <c r="I610" i="2"/>
  <c r="J610" i="2"/>
  <c r="K610" i="2"/>
  <c r="L610" i="2"/>
  <c r="M610" i="2"/>
  <c r="N610" i="2"/>
  <c r="O610" i="2"/>
  <c r="B611" i="2"/>
  <c r="C611" i="2"/>
  <c r="D611" i="2"/>
  <c r="E611" i="2"/>
  <c r="F611" i="2"/>
  <c r="G611" i="2"/>
  <c r="H611" i="2"/>
  <c r="I611" i="2"/>
  <c r="J611" i="2"/>
  <c r="K611" i="2"/>
  <c r="L611" i="2"/>
  <c r="M611" i="2"/>
  <c r="N611" i="2"/>
  <c r="O611" i="2"/>
  <c r="B612" i="2"/>
  <c r="C612" i="2"/>
  <c r="D612" i="2"/>
  <c r="E612" i="2"/>
  <c r="F612" i="2"/>
  <c r="G612" i="2"/>
  <c r="H612" i="2"/>
  <c r="I612" i="2"/>
  <c r="J612" i="2"/>
  <c r="K612" i="2"/>
  <c r="L612" i="2"/>
  <c r="M612" i="2"/>
  <c r="N612" i="2"/>
  <c r="O612" i="2"/>
  <c r="B613" i="2"/>
  <c r="C613" i="2"/>
  <c r="D613" i="2"/>
  <c r="E613" i="2"/>
  <c r="F613" i="2"/>
  <c r="G613" i="2"/>
  <c r="H613" i="2"/>
  <c r="I613" i="2"/>
  <c r="J613" i="2"/>
  <c r="K613" i="2"/>
  <c r="L613" i="2"/>
  <c r="M613" i="2"/>
  <c r="N613" i="2"/>
  <c r="O613" i="2"/>
  <c r="B614" i="2"/>
  <c r="C614" i="2"/>
  <c r="D614" i="2"/>
  <c r="E614" i="2"/>
  <c r="F614" i="2"/>
  <c r="G614" i="2"/>
  <c r="H614" i="2"/>
  <c r="I614" i="2"/>
  <c r="J614" i="2"/>
  <c r="K614" i="2"/>
  <c r="L614" i="2"/>
  <c r="L1121" i="2" s="1"/>
  <c r="M614" i="2"/>
  <c r="N614" i="2"/>
  <c r="O614" i="2"/>
  <c r="B615" i="2"/>
  <c r="C615" i="2"/>
  <c r="D615" i="2"/>
  <c r="E615" i="2"/>
  <c r="F615" i="2"/>
  <c r="G615" i="2"/>
  <c r="H615" i="2"/>
  <c r="I615" i="2"/>
  <c r="J615" i="2"/>
  <c r="K615" i="2"/>
  <c r="L615" i="2"/>
  <c r="M615" i="2"/>
  <c r="N615" i="2"/>
  <c r="O615" i="2"/>
  <c r="B616" i="2"/>
  <c r="C616" i="2"/>
  <c r="D616" i="2"/>
  <c r="E616" i="2"/>
  <c r="F616" i="2"/>
  <c r="G616" i="2"/>
  <c r="H616" i="2"/>
  <c r="I616" i="2"/>
  <c r="J616" i="2"/>
  <c r="K616" i="2"/>
  <c r="L616" i="2"/>
  <c r="M616" i="2"/>
  <c r="N616" i="2"/>
  <c r="O616" i="2"/>
  <c r="B617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B618" i="2"/>
  <c r="C618" i="2"/>
  <c r="D618" i="2"/>
  <c r="E618" i="2"/>
  <c r="F618" i="2"/>
  <c r="G618" i="2"/>
  <c r="H618" i="2"/>
  <c r="I618" i="2"/>
  <c r="J618" i="2"/>
  <c r="K618" i="2"/>
  <c r="L618" i="2"/>
  <c r="M618" i="2"/>
  <c r="N618" i="2"/>
  <c r="O618" i="2"/>
  <c r="B619" i="2"/>
  <c r="C619" i="2"/>
  <c r="D619" i="2"/>
  <c r="E619" i="2"/>
  <c r="F619" i="2"/>
  <c r="G619" i="2"/>
  <c r="H619" i="2"/>
  <c r="I619" i="2"/>
  <c r="J619" i="2"/>
  <c r="K619" i="2"/>
  <c r="L619" i="2"/>
  <c r="M619" i="2"/>
  <c r="N619" i="2"/>
  <c r="O619" i="2"/>
  <c r="B620" i="2"/>
  <c r="C620" i="2"/>
  <c r="D620" i="2"/>
  <c r="E620" i="2"/>
  <c r="F620" i="2"/>
  <c r="G620" i="2"/>
  <c r="H620" i="2"/>
  <c r="I620" i="2"/>
  <c r="J620" i="2"/>
  <c r="K620" i="2"/>
  <c r="L620" i="2"/>
  <c r="M620" i="2"/>
  <c r="N620" i="2"/>
  <c r="O620" i="2"/>
  <c r="B621" i="2"/>
  <c r="C621" i="2"/>
  <c r="D621" i="2"/>
  <c r="E621" i="2"/>
  <c r="F621" i="2"/>
  <c r="G621" i="2"/>
  <c r="H621" i="2"/>
  <c r="I621" i="2"/>
  <c r="J621" i="2"/>
  <c r="K621" i="2"/>
  <c r="L621" i="2"/>
  <c r="M621" i="2"/>
  <c r="N621" i="2"/>
  <c r="O621" i="2"/>
  <c r="B622" i="2"/>
  <c r="C622" i="2"/>
  <c r="D622" i="2"/>
  <c r="E622" i="2"/>
  <c r="F622" i="2"/>
  <c r="G622" i="2"/>
  <c r="H622" i="2"/>
  <c r="I622" i="2"/>
  <c r="J622" i="2"/>
  <c r="K622" i="2"/>
  <c r="L622" i="2"/>
  <c r="M622" i="2"/>
  <c r="N622" i="2"/>
  <c r="O622" i="2"/>
  <c r="B623" i="2"/>
  <c r="C623" i="2"/>
  <c r="D623" i="2"/>
  <c r="E623" i="2"/>
  <c r="F623" i="2"/>
  <c r="G623" i="2"/>
  <c r="H623" i="2"/>
  <c r="I623" i="2"/>
  <c r="J623" i="2"/>
  <c r="K623" i="2"/>
  <c r="L623" i="2"/>
  <c r="M623" i="2"/>
  <c r="N623" i="2"/>
  <c r="O623" i="2"/>
  <c r="B624" i="2"/>
  <c r="C624" i="2"/>
  <c r="D624" i="2"/>
  <c r="E624" i="2"/>
  <c r="F624" i="2"/>
  <c r="G624" i="2"/>
  <c r="H624" i="2"/>
  <c r="I624" i="2"/>
  <c r="J624" i="2"/>
  <c r="K624" i="2"/>
  <c r="L624" i="2"/>
  <c r="M624" i="2"/>
  <c r="N624" i="2"/>
  <c r="O624" i="2"/>
  <c r="B625" i="2"/>
  <c r="C625" i="2"/>
  <c r="D625" i="2"/>
  <c r="E625" i="2"/>
  <c r="F625" i="2"/>
  <c r="G625" i="2"/>
  <c r="H625" i="2"/>
  <c r="I625" i="2"/>
  <c r="J625" i="2"/>
  <c r="K625" i="2"/>
  <c r="L625" i="2"/>
  <c r="M625" i="2"/>
  <c r="N625" i="2"/>
  <c r="O625" i="2"/>
  <c r="B626" i="2"/>
  <c r="C626" i="2"/>
  <c r="D626" i="2"/>
  <c r="E626" i="2"/>
  <c r="F626" i="2"/>
  <c r="G626" i="2"/>
  <c r="H626" i="2"/>
  <c r="H1122" i="2" s="1"/>
  <c r="I626" i="2"/>
  <c r="J626" i="2"/>
  <c r="K626" i="2"/>
  <c r="L626" i="2"/>
  <c r="M626" i="2"/>
  <c r="N626" i="2"/>
  <c r="O626" i="2"/>
  <c r="B627" i="2"/>
  <c r="B1122" i="2" s="1"/>
  <c r="C627" i="2"/>
  <c r="D627" i="2"/>
  <c r="E627" i="2"/>
  <c r="F627" i="2"/>
  <c r="G627" i="2"/>
  <c r="H627" i="2"/>
  <c r="I627" i="2"/>
  <c r="J627" i="2"/>
  <c r="J1122" i="2" s="1"/>
  <c r="K627" i="2"/>
  <c r="L627" i="2"/>
  <c r="M627" i="2"/>
  <c r="N627" i="2"/>
  <c r="N1122" i="2" s="1"/>
  <c r="O627" i="2"/>
  <c r="B628" i="2"/>
  <c r="C628" i="2"/>
  <c r="D628" i="2"/>
  <c r="E628" i="2"/>
  <c r="F628" i="2"/>
  <c r="G628" i="2"/>
  <c r="H628" i="2"/>
  <c r="I628" i="2"/>
  <c r="J628" i="2"/>
  <c r="K628" i="2"/>
  <c r="L628" i="2"/>
  <c r="M628" i="2"/>
  <c r="N628" i="2"/>
  <c r="O628" i="2"/>
  <c r="B629" i="2"/>
  <c r="C629" i="2"/>
  <c r="D629" i="2"/>
  <c r="E629" i="2"/>
  <c r="F629" i="2"/>
  <c r="G629" i="2"/>
  <c r="H629" i="2"/>
  <c r="I629" i="2"/>
  <c r="J629" i="2"/>
  <c r="K629" i="2"/>
  <c r="L629" i="2"/>
  <c r="M629" i="2"/>
  <c r="N629" i="2"/>
  <c r="O629" i="2"/>
  <c r="B630" i="2"/>
  <c r="C630" i="2"/>
  <c r="D630" i="2"/>
  <c r="E630" i="2"/>
  <c r="F630" i="2"/>
  <c r="G630" i="2"/>
  <c r="H630" i="2"/>
  <c r="I630" i="2"/>
  <c r="J630" i="2"/>
  <c r="K630" i="2"/>
  <c r="L630" i="2"/>
  <c r="M630" i="2"/>
  <c r="N630" i="2"/>
  <c r="O630" i="2"/>
  <c r="B631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B632" i="2"/>
  <c r="C632" i="2"/>
  <c r="D632" i="2"/>
  <c r="E632" i="2"/>
  <c r="F632" i="2"/>
  <c r="G632" i="2"/>
  <c r="H632" i="2"/>
  <c r="I632" i="2"/>
  <c r="J632" i="2"/>
  <c r="K632" i="2"/>
  <c r="L632" i="2"/>
  <c r="M632" i="2"/>
  <c r="N632" i="2"/>
  <c r="O632" i="2"/>
  <c r="B633" i="2"/>
  <c r="C633" i="2"/>
  <c r="D633" i="2"/>
  <c r="E633" i="2"/>
  <c r="F633" i="2"/>
  <c r="G633" i="2"/>
  <c r="H633" i="2"/>
  <c r="I633" i="2"/>
  <c r="J633" i="2"/>
  <c r="K633" i="2"/>
  <c r="L633" i="2"/>
  <c r="M633" i="2"/>
  <c r="N633" i="2"/>
  <c r="O633" i="2"/>
  <c r="B634" i="2"/>
  <c r="C634" i="2"/>
  <c r="D634" i="2"/>
  <c r="E634" i="2"/>
  <c r="F634" i="2"/>
  <c r="G634" i="2"/>
  <c r="H634" i="2"/>
  <c r="I634" i="2"/>
  <c r="J634" i="2"/>
  <c r="K634" i="2"/>
  <c r="L634" i="2"/>
  <c r="M634" i="2"/>
  <c r="N634" i="2"/>
  <c r="O634" i="2"/>
  <c r="B635" i="2"/>
  <c r="C635" i="2"/>
  <c r="D635" i="2"/>
  <c r="E635" i="2"/>
  <c r="F635" i="2"/>
  <c r="G635" i="2"/>
  <c r="H635" i="2"/>
  <c r="I635" i="2"/>
  <c r="J635" i="2"/>
  <c r="K635" i="2"/>
  <c r="L635" i="2"/>
  <c r="M635" i="2"/>
  <c r="N635" i="2"/>
  <c r="O635" i="2"/>
  <c r="B636" i="2"/>
  <c r="C636" i="2"/>
  <c r="D636" i="2"/>
  <c r="E636" i="2"/>
  <c r="F636" i="2"/>
  <c r="G636" i="2"/>
  <c r="H636" i="2"/>
  <c r="I636" i="2"/>
  <c r="J636" i="2"/>
  <c r="K636" i="2"/>
  <c r="L636" i="2"/>
  <c r="M636" i="2"/>
  <c r="N636" i="2"/>
  <c r="O636" i="2"/>
  <c r="B637" i="2"/>
  <c r="C637" i="2"/>
  <c r="D637" i="2"/>
  <c r="E637" i="2"/>
  <c r="F637" i="2"/>
  <c r="G637" i="2"/>
  <c r="H637" i="2"/>
  <c r="I637" i="2"/>
  <c r="J637" i="2"/>
  <c r="K637" i="2"/>
  <c r="L637" i="2"/>
  <c r="M637" i="2"/>
  <c r="N637" i="2"/>
  <c r="O637" i="2"/>
  <c r="B638" i="2"/>
  <c r="C638" i="2"/>
  <c r="D638" i="2"/>
  <c r="D1123" i="2" s="1"/>
  <c r="E638" i="2"/>
  <c r="F638" i="2"/>
  <c r="G638" i="2"/>
  <c r="H638" i="2"/>
  <c r="I638" i="2"/>
  <c r="J638" i="2"/>
  <c r="K638" i="2"/>
  <c r="L638" i="2"/>
  <c r="L1123" i="2" s="1"/>
  <c r="M638" i="2"/>
  <c r="N638" i="2"/>
  <c r="O638" i="2"/>
  <c r="B639" i="2"/>
  <c r="C639" i="2"/>
  <c r="D639" i="2"/>
  <c r="E639" i="2"/>
  <c r="F639" i="2"/>
  <c r="G639" i="2"/>
  <c r="H639" i="2"/>
  <c r="I639" i="2"/>
  <c r="J639" i="2"/>
  <c r="K639" i="2"/>
  <c r="L639" i="2"/>
  <c r="M639" i="2"/>
  <c r="N639" i="2"/>
  <c r="O639" i="2"/>
  <c r="B640" i="2"/>
  <c r="C640" i="2"/>
  <c r="D640" i="2"/>
  <c r="E640" i="2"/>
  <c r="F640" i="2"/>
  <c r="G640" i="2"/>
  <c r="H640" i="2"/>
  <c r="I640" i="2"/>
  <c r="J640" i="2"/>
  <c r="K640" i="2"/>
  <c r="L640" i="2"/>
  <c r="M640" i="2"/>
  <c r="N640" i="2"/>
  <c r="O640" i="2"/>
  <c r="B641" i="2"/>
  <c r="C641" i="2"/>
  <c r="D641" i="2"/>
  <c r="E641" i="2"/>
  <c r="F641" i="2"/>
  <c r="G641" i="2"/>
  <c r="H641" i="2"/>
  <c r="I641" i="2"/>
  <c r="J641" i="2"/>
  <c r="K641" i="2"/>
  <c r="L641" i="2"/>
  <c r="M641" i="2"/>
  <c r="N641" i="2"/>
  <c r="O641" i="2"/>
  <c r="B642" i="2"/>
  <c r="C642" i="2"/>
  <c r="D642" i="2"/>
  <c r="E642" i="2"/>
  <c r="F642" i="2"/>
  <c r="G642" i="2"/>
  <c r="H642" i="2"/>
  <c r="I642" i="2"/>
  <c r="J642" i="2"/>
  <c r="K642" i="2"/>
  <c r="L642" i="2"/>
  <c r="M642" i="2"/>
  <c r="N642" i="2"/>
  <c r="O642" i="2"/>
  <c r="B643" i="2"/>
  <c r="C643" i="2"/>
  <c r="D643" i="2"/>
  <c r="E643" i="2"/>
  <c r="F643" i="2"/>
  <c r="G643" i="2"/>
  <c r="H643" i="2"/>
  <c r="I643" i="2"/>
  <c r="J643" i="2"/>
  <c r="K643" i="2"/>
  <c r="L643" i="2"/>
  <c r="M643" i="2"/>
  <c r="N643" i="2"/>
  <c r="O643" i="2"/>
  <c r="B644" i="2"/>
  <c r="C644" i="2"/>
  <c r="D644" i="2"/>
  <c r="E644" i="2"/>
  <c r="F644" i="2"/>
  <c r="G644" i="2"/>
  <c r="H644" i="2"/>
  <c r="I644" i="2"/>
  <c r="J644" i="2"/>
  <c r="K644" i="2"/>
  <c r="L644" i="2"/>
  <c r="M644" i="2"/>
  <c r="N644" i="2"/>
  <c r="O644" i="2"/>
  <c r="B645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B646" i="2"/>
  <c r="C646" i="2"/>
  <c r="D646" i="2"/>
  <c r="E646" i="2"/>
  <c r="F646" i="2"/>
  <c r="G646" i="2"/>
  <c r="H646" i="2"/>
  <c r="I646" i="2"/>
  <c r="J646" i="2"/>
  <c r="K646" i="2"/>
  <c r="L646" i="2"/>
  <c r="M646" i="2"/>
  <c r="N646" i="2"/>
  <c r="O646" i="2"/>
  <c r="B647" i="2"/>
  <c r="C647" i="2"/>
  <c r="D647" i="2"/>
  <c r="E647" i="2"/>
  <c r="F647" i="2"/>
  <c r="G647" i="2"/>
  <c r="H647" i="2"/>
  <c r="I647" i="2"/>
  <c r="J647" i="2"/>
  <c r="K647" i="2"/>
  <c r="L647" i="2"/>
  <c r="M647" i="2"/>
  <c r="N647" i="2"/>
  <c r="O647" i="2"/>
  <c r="B648" i="2"/>
  <c r="C648" i="2"/>
  <c r="D648" i="2"/>
  <c r="E648" i="2"/>
  <c r="F648" i="2"/>
  <c r="G648" i="2"/>
  <c r="H648" i="2"/>
  <c r="I648" i="2"/>
  <c r="J648" i="2"/>
  <c r="K648" i="2"/>
  <c r="L648" i="2"/>
  <c r="M648" i="2"/>
  <c r="N648" i="2"/>
  <c r="O648" i="2"/>
  <c r="B649" i="2"/>
  <c r="C649" i="2"/>
  <c r="D649" i="2"/>
  <c r="E649" i="2"/>
  <c r="F649" i="2"/>
  <c r="G649" i="2"/>
  <c r="H649" i="2"/>
  <c r="I649" i="2"/>
  <c r="J649" i="2"/>
  <c r="K649" i="2"/>
  <c r="L649" i="2"/>
  <c r="M649" i="2"/>
  <c r="N649" i="2"/>
  <c r="O649" i="2"/>
  <c r="B650" i="2"/>
  <c r="C650" i="2"/>
  <c r="D650" i="2"/>
  <c r="E650" i="2"/>
  <c r="F650" i="2"/>
  <c r="G650" i="2"/>
  <c r="H650" i="2"/>
  <c r="I650" i="2"/>
  <c r="J650" i="2"/>
  <c r="K650" i="2"/>
  <c r="L650" i="2"/>
  <c r="M650" i="2"/>
  <c r="N650" i="2"/>
  <c r="O650" i="2"/>
  <c r="B651" i="2"/>
  <c r="B1124" i="2" s="1"/>
  <c r="C651" i="2"/>
  <c r="D651" i="2"/>
  <c r="E651" i="2"/>
  <c r="F651" i="2"/>
  <c r="F1124" i="2" s="1"/>
  <c r="G651" i="2"/>
  <c r="H651" i="2"/>
  <c r="I651" i="2"/>
  <c r="J651" i="2"/>
  <c r="K651" i="2"/>
  <c r="L651" i="2"/>
  <c r="M651" i="2"/>
  <c r="N651" i="2"/>
  <c r="N1124" i="2" s="1"/>
  <c r="O651" i="2"/>
  <c r="B652" i="2"/>
  <c r="C652" i="2"/>
  <c r="D652" i="2"/>
  <c r="E652" i="2"/>
  <c r="F652" i="2"/>
  <c r="G652" i="2"/>
  <c r="H652" i="2"/>
  <c r="I652" i="2"/>
  <c r="J652" i="2"/>
  <c r="K652" i="2"/>
  <c r="L652" i="2"/>
  <c r="M652" i="2"/>
  <c r="N652" i="2"/>
  <c r="O652" i="2"/>
  <c r="B653" i="2"/>
  <c r="C653" i="2"/>
  <c r="D653" i="2"/>
  <c r="E653" i="2"/>
  <c r="F653" i="2"/>
  <c r="G653" i="2"/>
  <c r="H653" i="2"/>
  <c r="I653" i="2"/>
  <c r="J653" i="2"/>
  <c r="K653" i="2"/>
  <c r="L653" i="2"/>
  <c r="M653" i="2"/>
  <c r="N653" i="2"/>
  <c r="O653" i="2"/>
  <c r="B654" i="2"/>
  <c r="C654" i="2"/>
  <c r="D654" i="2"/>
  <c r="E654" i="2"/>
  <c r="F654" i="2"/>
  <c r="G654" i="2"/>
  <c r="H654" i="2"/>
  <c r="I654" i="2"/>
  <c r="J654" i="2"/>
  <c r="K654" i="2"/>
  <c r="L654" i="2"/>
  <c r="M654" i="2"/>
  <c r="N654" i="2"/>
  <c r="O654" i="2"/>
  <c r="B655" i="2"/>
  <c r="C655" i="2"/>
  <c r="D655" i="2"/>
  <c r="E655" i="2"/>
  <c r="F655" i="2"/>
  <c r="G655" i="2"/>
  <c r="H655" i="2"/>
  <c r="I655" i="2"/>
  <c r="J655" i="2"/>
  <c r="K655" i="2"/>
  <c r="L655" i="2"/>
  <c r="M655" i="2"/>
  <c r="N655" i="2"/>
  <c r="O655" i="2"/>
  <c r="B656" i="2"/>
  <c r="C656" i="2"/>
  <c r="D656" i="2"/>
  <c r="E656" i="2"/>
  <c r="F656" i="2"/>
  <c r="G656" i="2"/>
  <c r="H656" i="2"/>
  <c r="I656" i="2"/>
  <c r="J656" i="2"/>
  <c r="K656" i="2"/>
  <c r="L656" i="2"/>
  <c r="M656" i="2"/>
  <c r="N656" i="2"/>
  <c r="O656" i="2"/>
  <c r="B657" i="2"/>
  <c r="C657" i="2"/>
  <c r="D657" i="2"/>
  <c r="E657" i="2"/>
  <c r="F657" i="2"/>
  <c r="G657" i="2"/>
  <c r="H657" i="2"/>
  <c r="I657" i="2"/>
  <c r="J657" i="2"/>
  <c r="K657" i="2"/>
  <c r="L657" i="2"/>
  <c r="M657" i="2"/>
  <c r="N657" i="2"/>
  <c r="O657" i="2"/>
  <c r="B658" i="2"/>
  <c r="C658" i="2"/>
  <c r="D658" i="2"/>
  <c r="E658" i="2"/>
  <c r="F658" i="2"/>
  <c r="G658" i="2"/>
  <c r="H658" i="2"/>
  <c r="I658" i="2"/>
  <c r="J658" i="2"/>
  <c r="K658" i="2"/>
  <c r="L658" i="2"/>
  <c r="M658" i="2"/>
  <c r="N658" i="2"/>
  <c r="O658" i="2"/>
  <c r="B659" i="2"/>
  <c r="C659" i="2"/>
  <c r="D659" i="2"/>
  <c r="E659" i="2"/>
  <c r="F659" i="2"/>
  <c r="G659" i="2"/>
  <c r="H659" i="2"/>
  <c r="I659" i="2"/>
  <c r="J659" i="2"/>
  <c r="K659" i="2"/>
  <c r="L659" i="2"/>
  <c r="M659" i="2"/>
  <c r="N659" i="2"/>
  <c r="O659" i="2"/>
  <c r="B660" i="2"/>
  <c r="C660" i="2"/>
  <c r="D660" i="2"/>
  <c r="E660" i="2"/>
  <c r="F660" i="2"/>
  <c r="G660" i="2"/>
  <c r="H660" i="2"/>
  <c r="I660" i="2"/>
  <c r="J660" i="2"/>
  <c r="K660" i="2"/>
  <c r="L660" i="2"/>
  <c r="M660" i="2"/>
  <c r="N660" i="2"/>
  <c r="O660" i="2"/>
  <c r="B661" i="2"/>
  <c r="C661" i="2"/>
  <c r="D661" i="2"/>
  <c r="E661" i="2"/>
  <c r="F661" i="2"/>
  <c r="G661" i="2"/>
  <c r="H661" i="2"/>
  <c r="I661" i="2"/>
  <c r="J661" i="2"/>
  <c r="K661" i="2"/>
  <c r="L661" i="2"/>
  <c r="M661" i="2"/>
  <c r="N661" i="2"/>
  <c r="O661" i="2"/>
  <c r="B662" i="2"/>
  <c r="C662" i="2"/>
  <c r="D662" i="2"/>
  <c r="D1125" i="2" s="1"/>
  <c r="E662" i="2"/>
  <c r="F662" i="2"/>
  <c r="G662" i="2"/>
  <c r="H662" i="2"/>
  <c r="H1125" i="2" s="1"/>
  <c r="I662" i="2"/>
  <c r="J662" i="2"/>
  <c r="K662" i="2"/>
  <c r="L662" i="2"/>
  <c r="M662" i="2"/>
  <c r="N662" i="2"/>
  <c r="O662" i="2"/>
  <c r="B663" i="2"/>
  <c r="C663" i="2"/>
  <c r="D663" i="2"/>
  <c r="E663" i="2"/>
  <c r="F663" i="2"/>
  <c r="G663" i="2"/>
  <c r="H663" i="2"/>
  <c r="I663" i="2"/>
  <c r="J663" i="2"/>
  <c r="K663" i="2"/>
  <c r="L663" i="2"/>
  <c r="M663" i="2"/>
  <c r="N663" i="2"/>
  <c r="O663" i="2"/>
  <c r="B664" i="2"/>
  <c r="C664" i="2"/>
  <c r="D664" i="2"/>
  <c r="E664" i="2"/>
  <c r="F664" i="2"/>
  <c r="G664" i="2"/>
  <c r="H664" i="2"/>
  <c r="I664" i="2"/>
  <c r="J664" i="2"/>
  <c r="K664" i="2"/>
  <c r="L664" i="2"/>
  <c r="M664" i="2"/>
  <c r="N664" i="2"/>
  <c r="O664" i="2"/>
  <c r="B665" i="2"/>
  <c r="C665" i="2"/>
  <c r="D665" i="2"/>
  <c r="E665" i="2"/>
  <c r="F665" i="2"/>
  <c r="G665" i="2"/>
  <c r="H665" i="2"/>
  <c r="I665" i="2"/>
  <c r="J665" i="2"/>
  <c r="K665" i="2"/>
  <c r="L665" i="2"/>
  <c r="M665" i="2"/>
  <c r="N665" i="2"/>
  <c r="O665" i="2"/>
  <c r="B666" i="2"/>
  <c r="C666" i="2"/>
  <c r="D666" i="2"/>
  <c r="E666" i="2"/>
  <c r="F666" i="2"/>
  <c r="G666" i="2"/>
  <c r="H666" i="2"/>
  <c r="I666" i="2"/>
  <c r="J666" i="2"/>
  <c r="K666" i="2"/>
  <c r="L666" i="2"/>
  <c r="M666" i="2"/>
  <c r="N666" i="2"/>
  <c r="O666" i="2"/>
  <c r="B667" i="2"/>
  <c r="C667" i="2"/>
  <c r="D667" i="2"/>
  <c r="E667" i="2"/>
  <c r="F667" i="2"/>
  <c r="G667" i="2"/>
  <c r="H667" i="2"/>
  <c r="I667" i="2"/>
  <c r="J667" i="2"/>
  <c r="K667" i="2"/>
  <c r="L667" i="2"/>
  <c r="M667" i="2"/>
  <c r="N667" i="2"/>
  <c r="O667" i="2"/>
  <c r="B668" i="2"/>
  <c r="C668" i="2"/>
  <c r="D668" i="2"/>
  <c r="E668" i="2"/>
  <c r="F668" i="2"/>
  <c r="G668" i="2"/>
  <c r="H668" i="2"/>
  <c r="I668" i="2"/>
  <c r="J668" i="2"/>
  <c r="K668" i="2"/>
  <c r="L668" i="2"/>
  <c r="M668" i="2"/>
  <c r="N668" i="2"/>
  <c r="O668" i="2"/>
  <c r="B669" i="2"/>
  <c r="C669" i="2"/>
  <c r="D669" i="2"/>
  <c r="E669" i="2"/>
  <c r="F669" i="2"/>
  <c r="G669" i="2"/>
  <c r="H669" i="2"/>
  <c r="I669" i="2"/>
  <c r="J669" i="2"/>
  <c r="K669" i="2"/>
  <c r="L669" i="2"/>
  <c r="M669" i="2"/>
  <c r="N669" i="2"/>
  <c r="O669" i="2"/>
  <c r="B670" i="2"/>
  <c r="C670" i="2"/>
  <c r="D670" i="2"/>
  <c r="E670" i="2"/>
  <c r="F670" i="2"/>
  <c r="G670" i="2"/>
  <c r="H670" i="2"/>
  <c r="I670" i="2"/>
  <c r="J670" i="2"/>
  <c r="K670" i="2"/>
  <c r="L670" i="2"/>
  <c r="M670" i="2"/>
  <c r="N670" i="2"/>
  <c r="O670" i="2"/>
  <c r="B671" i="2"/>
  <c r="C671" i="2"/>
  <c r="D671" i="2"/>
  <c r="E671" i="2"/>
  <c r="F671" i="2"/>
  <c r="G671" i="2"/>
  <c r="H671" i="2"/>
  <c r="I671" i="2"/>
  <c r="J671" i="2"/>
  <c r="K671" i="2"/>
  <c r="L671" i="2"/>
  <c r="M671" i="2"/>
  <c r="N671" i="2"/>
  <c r="O671" i="2"/>
  <c r="B672" i="2"/>
  <c r="C672" i="2"/>
  <c r="D672" i="2"/>
  <c r="E672" i="2"/>
  <c r="F672" i="2"/>
  <c r="G672" i="2"/>
  <c r="H672" i="2"/>
  <c r="I672" i="2"/>
  <c r="J672" i="2"/>
  <c r="K672" i="2"/>
  <c r="L672" i="2"/>
  <c r="M672" i="2"/>
  <c r="N672" i="2"/>
  <c r="O672" i="2"/>
  <c r="B673" i="2"/>
  <c r="C673" i="2"/>
  <c r="D673" i="2"/>
  <c r="E673" i="2"/>
  <c r="F673" i="2"/>
  <c r="G673" i="2"/>
  <c r="H673" i="2"/>
  <c r="I673" i="2"/>
  <c r="J673" i="2"/>
  <c r="K673" i="2"/>
  <c r="L673" i="2"/>
  <c r="M673" i="2"/>
  <c r="N673" i="2"/>
  <c r="O673" i="2"/>
  <c r="B674" i="2"/>
  <c r="C674" i="2"/>
  <c r="D674" i="2"/>
  <c r="E674" i="2"/>
  <c r="F674" i="2"/>
  <c r="G674" i="2"/>
  <c r="H674" i="2"/>
  <c r="I674" i="2"/>
  <c r="J674" i="2"/>
  <c r="K674" i="2"/>
  <c r="L674" i="2"/>
  <c r="M674" i="2"/>
  <c r="N674" i="2"/>
  <c r="O674" i="2"/>
  <c r="B675" i="2"/>
  <c r="B1126" i="2" s="1"/>
  <c r="C675" i="2"/>
  <c r="D675" i="2"/>
  <c r="E675" i="2"/>
  <c r="F675" i="2"/>
  <c r="F1126" i="2" s="1"/>
  <c r="G675" i="2"/>
  <c r="H675" i="2"/>
  <c r="I675" i="2"/>
  <c r="J675" i="2"/>
  <c r="J1126" i="2" s="1"/>
  <c r="K675" i="2"/>
  <c r="L675" i="2"/>
  <c r="M675" i="2"/>
  <c r="N675" i="2"/>
  <c r="O675" i="2"/>
  <c r="B676" i="2"/>
  <c r="C676" i="2"/>
  <c r="D676" i="2"/>
  <c r="E676" i="2"/>
  <c r="F676" i="2"/>
  <c r="G676" i="2"/>
  <c r="H676" i="2"/>
  <c r="I676" i="2"/>
  <c r="J676" i="2"/>
  <c r="K676" i="2"/>
  <c r="L676" i="2"/>
  <c r="M676" i="2"/>
  <c r="N676" i="2"/>
  <c r="O676" i="2"/>
  <c r="B677" i="2"/>
  <c r="C677" i="2"/>
  <c r="D677" i="2"/>
  <c r="E677" i="2"/>
  <c r="F677" i="2"/>
  <c r="G677" i="2"/>
  <c r="H677" i="2"/>
  <c r="I677" i="2"/>
  <c r="J677" i="2"/>
  <c r="K677" i="2"/>
  <c r="L677" i="2"/>
  <c r="M677" i="2"/>
  <c r="N677" i="2"/>
  <c r="O677" i="2"/>
  <c r="B678" i="2"/>
  <c r="C678" i="2"/>
  <c r="D678" i="2"/>
  <c r="E678" i="2"/>
  <c r="F678" i="2"/>
  <c r="G678" i="2"/>
  <c r="H678" i="2"/>
  <c r="I678" i="2"/>
  <c r="J678" i="2"/>
  <c r="K678" i="2"/>
  <c r="L678" i="2"/>
  <c r="M678" i="2"/>
  <c r="N678" i="2"/>
  <c r="O678" i="2"/>
  <c r="B679" i="2"/>
  <c r="C679" i="2"/>
  <c r="D679" i="2"/>
  <c r="E679" i="2"/>
  <c r="F679" i="2"/>
  <c r="G679" i="2"/>
  <c r="H679" i="2"/>
  <c r="I679" i="2"/>
  <c r="J679" i="2"/>
  <c r="K679" i="2"/>
  <c r="L679" i="2"/>
  <c r="M679" i="2"/>
  <c r="N679" i="2"/>
  <c r="O679" i="2"/>
  <c r="B680" i="2"/>
  <c r="C680" i="2"/>
  <c r="D680" i="2"/>
  <c r="E680" i="2"/>
  <c r="F680" i="2"/>
  <c r="G680" i="2"/>
  <c r="H680" i="2"/>
  <c r="I680" i="2"/>
  <c r="J680" i="2"/>
  <c r="K680" i="2"/>
  <c r="L680" i="2"/>
  <c r="M680" i="2"/>
  <c r="N680" i="2"/>
  <c r="O680" i="2"/>
  <c r="B681" i="2"/>
  <c r="C681" i="2"/>
  <c r="D681" i="2"/>
  <c r="E681" i="2"/>
  <c r="F681" i="2"/>
  <c r="G681" i="2"/>
  <c r="H681" i="2"/>
  <c r="I681" i="2"/>
  <c r="J681" i="2"/>
  <c r="K681" i="2"/>
  <c r="L681" i="2"/>
  <c r="M681" i="2"/>
  <c r="N681" i="2"/>
  <c r="O681" i="2"/>
  <c r="B682" i="2"/>
  <c r="C682" i="2"/>
  <c r="D682" i="2"/>
  <c r="E682" i="2"/>
  <c r="F682" i="2"/>
  <c r="G682" i="2"/>
  <c r="H682" i="2"/>
  <c r="I682" i="2"/>
  <c r="J682" i="2"/>
  <c r="K682" i="2"/>
  <c r="L682" i="2"/>
  <c r="M682" i="2"/>
  <c r="N682" i="2"/>
  <c r="O682" i="2"/>
  <c r="B683" i="2"/>
  <c r="C683" i="2"/>
  <c r="D683" i="2"/>
  <c r="E683" i="2"/>
  <c r="F683" i="2"/>
  <c r="G683" i="2"/>
  <c r="H683" i="2"/>
  <c r="I683" i="2"/>
  <c r="J683" i="2"/>
  <c r="K683" i="2"/>
  <c r="L683" i="2"/>
  <c r="M683" i="2"/>
  <c r="N683" i="2"/>
  <c r="O683" i="2"/>
  <c r="B684" i="2"/>
  <c r="C684" i="2"/>
  <c r="D684" i="2"/>
  <c r="E684" i="2"/>
  <c r="F684" i="2"/>
  <c r="G684" i="2"/>
  <c r="H684" i="2"/>
  <c r="I684" i="2"/>
  <c r="J684" i="2"/>
  <c r="K684" i="2"/>
  <c r="L684" i="2"/>
  <c r="M684" i="2"/>
  <c r="N684" i="2"/>
  <c r="O684" i="2"/>
  <c r="B685" i="2"/>
  <c r="C685" i="2"/>
  <c r="D685" i="2"/>
  <c r="E685" i="2"/>
  <c r="F685" i="2"/>
  <c r="G685" i="2"/>
  <c r="H685" i="2"/>
  <c r="I685" i="2"/>
  <c r="J685" i="2"/>
  <c r="K685" i="2"/>
  <c r="L685" i="2"/>
  <c r="M685" i="2"/>
  <c r="N685" i="2"/>
  <c r="O685" i="2"/>
  <c r="B686" i="2"/>
  <c r="C686" i="2"/>
  <c r="D686" i="2"/>
  <c r="D1127" i="2" s="1"/>
  <c r="E686" i="2"/>
  <c r="F686" i="2"/>
  <c r="G686" i="2"/>
  <c r="H686" i="2"/>
  <c r="H1127" i="2" s="1"/>
  <c r="I686" i="2"/>
  <c r="J686" i="2"/>
  <c r="K686" i="2"/>
  <c r="L686" i="2"/>
  <c r="L1127" i="2" s="1"/>
  <c r="M686" i="2"/>
  <c r="N686" i="2"/>
  <c r="O686" i="2"/>
  <c r="B687" i="2"/>
  <c r="C687" i="2"/>
  <c r="D687" i="2"/>
  <c r="E687" i="2"/>
  <c r="F687" i="2"/>
  <c r="G687" i="2"/>
  <c r="H687" i="2"/>
  <c r="I687" i="2"/>
  <c r="J687" i="2"/>
  <c r="K687" i="2"/>
  <c r="L687" i="2"/>
  <c r="M687" i="2"/>
  <c r="N687" i="2"/>
  <c r="O687" i="2"/>
  <c r="B688" i="2"/>
  <c r="C688" i="2"/>
  <c r="D688" i="2"/>
  <c r="E688" i="2"/>
  <c r="F688" i="2"/>
  <c r="G688" i="2"/>
  <c r="H688" i="2"/>
  <c r="I688" i="2"/>
  <c r="J688" i="2"/>
  <c r="K688" i="2"/>
  <c r="L688" i="2"/>
  <c r="M688" i="2"/>
  <c r="N688" i="2"/>
  <c r="O688" i="2"/>
  <c r="B689" i="2"/>
  <c r="C689" i="2"/>
  <c r="D689" i="2"/>
  <c r="E689" i="2"/>
  <c r="F689" i="2"/>
  <c r="G689" i="2"/>
  <c r="H689" i="2"/>
  <c r="I689" i="2"/>
  <c r="J689" i="2"/>
  <c r="K689" i="2"/>
  <c r="L689" i="2"/>
  <c r="M689" i="2"/>
  <c r="N689" i="2"/>
  <c r="O689" i="2"/>
  <c r="B690" i="2"/>
  <c r="C690" i="2"/>
  <c r="D690" i="2"/>
  <c r="E690" i="2"/>
  <c r="F690" i="2"/>
  <c r="G690" i="2"/>
  <c r="H690" i="2"/>
  <c r="I690" i="2"/>
  <c r="J690" i="2"/>
  <c r="K690" i="2"/>
  <c r="L690" i="2"/>
  <c r="M690" i="2"/>
  <c r="N690" i="2"/>
  <c r="O690" i="2"/>
  <c r="B691" i="2"/>
  <c r="C691" i="2"/>
  <c r="D691" i="2"/>
  <c r="E691" i="2"/>
  <c r="F691" i="2"/>
  <c r="G691" i="2"/>
  <c r="H691" i="2"/>
  <c r="I691" i="2"/>
  <c r="J691" i="2"/>
  <c r="K691" i="2"/>
  <c r="L691" i="2"/>
  <c r="M691" i="2"/>
  <c r="N691" i="2"/>
  <c r="O691" i="2"/>
  <c r="B692" i="2"/>
  <c r="C692" i="2"/>
  <c r="D692" i="2"/>
  <c r="E692" i="2"/>
  <c r="F692" i="2"/>
  <c r="G692" i="2"/>
  <c r="H692" i="2"/>
  <c r="I692" i="2"/>
  <c r="J692" i="2"/>
  <c r="K692" i="2"/>
  <c r="L692" i="2"/>
  <c r="M692" i="2"/>
  <c r="N692" i="2"/>
  <c r="O692" i="2"/>
  <c r="B693" i="2"/>
  <c r="C693" i="2"/>
  <c r="D693" i="2"/>
  <c r="E693" i="2"/>
  <c r="F693" i="2"/>
  <c r="G693" i="2"/>
  <c r="H693" i="2"/>
  <c r="I693" i="2"/>
  <c r="J693" i="2"/>
  <c r="K693" i="2"/>
  <c r="L693" i="2"/>
  <c r="M693" i="2"/>
  <c r="N693" i="2"/>
  <c r="O693" i="2"/>
  <c r="B694" i="2"/>
  <c r="C694" i="2"/>
  <c r="D694" i="2"/>
  <c r="E694" i="2"/>
  <c r="F694" i="2"/>
  <c r="G694" i="2"/>
  <c r="H694" i="2"/>
  <c r="I694" i="2"/>
  <c r="J694" i="2"/>
  <c r="K694" i="2"/>
  <c r="L694" i="2"/>
  <c r="M694" i="2"/>
  <c r="N694" i="2"/>
  <c r="O694" i="2"/>
  <c r="B695" i="2"/>
  <c r="C695" i="2"/>
  <c r="D695" i="2"/>
  <c r="E695" i="2"/>
  <c r="F695" i="2"/>
  <c r="G695" i="2"/>
  <c r="H695" i="2"/>
  <c r="I695" i="2"/>
  <c r="J695" i="2"/>
  <c r="K695" i="2"/>
  <c r="L695" i="2"/>
  <c r="M695" i="2"/>
  <c r="N695" i="2"/>
  <c r="O695" i="2"/>
  <c r="B696" i="2"/>
  <c r="C696" i="2"/>
  <c r="D696" i="2"/>
  <c r="E696" i="2"/>
  <c r="F696" i="2"/>
  <c r="G696" i="2"/>
  <c r="H696" i="2"/>
  <c r="I696" i="2"/>
  <c r="J696" i="2"/>
  <c r="K696" i="2"/>
  <c r="L696" i="2"/>
  <c r="M696" i="2"/>
  <c r="N696" i="2"/>
  <c r="O696" i="2"/>
  <c r="B697" i="2"/>
  <c r="C697" i="2"/>
  <c r="D697" i="2"/>
  <c r="E697" i="2"/>
  <c r="F697" i="2"/>
  <c r="G697" i="2"/>
  <c r="H697" i="2"/>
  <c r="I697" i="2"/>
  <c r="J697" i="2"/>
  <c r="K697" i="2"/>
  <c r="L697" i="2"/>
  <c r="M697" i="2"/>
  <c r="N697" i="2"/>
  <c r="O697" i="2"/>
  <c r="B698" i="2"/>
  <c r="C698" i="2"/>
  <c r="D698" i="2"/>
  <c r="E698" i="2"/>
  <c r="F698" i="2"/>
  <c r="G698" i="2"/>
  <c r="H698" i="2"/>
  <c r="I698" i="2"/>
  <c r="J698" i="2"/>
  <c r="K698" i="2"/>
  <c r="L698" i="2"/>
  <c r="M698" i="2"/>
  <c r="N698" i="2"/>
  <c r="O698" i="2"/>
  <c r="B699" i="2"/>
  <c r="C699" i="2"/>
  <c r="D699" i="2"/>
  <c r="E699" i="2"/>
  <c r="F699" i="2"/>
  <c r="F1128" i="2" s="1"/>
  <c r="G699" i="2"/>
  <c r="H699" i="2"/>
  <c r="I699" i="2"/>
  <c r="J699" i="2"/>
  <c r="J1128" i="2" s="1"/>
  <c r="K699" i="2"/>
  <c r="L699" i="2"/>
  <c r="M699" i="2"/>
  <c r="N699" i="2"/>
  <c r="N1128" i="2" s="1"/>
  <c r="O699" i="2"/>
  <c r="B700" i="2"/>
  <c r="C700" i="2"/>
  <c r="D700" i="2"/>
  <c r="E700" i="2"/>
  <c r="F700" i="2"/>
  <c r="G700" i="2"/>
  <c r="H700" i="2"/>
  <c r="I700" i="2"/>
  <c r="J700" i="2"/>
  <c r="K700" i="2"/>
  <c r="L700" i="2"/>
  <c r="M700" i="2"/>
  <c r="N700" i="2"/>
  <c r="O700" i="2"/>
  <c r="B701" i="2"/>
  <c r="C701" i="2"/>
  <c r="D701" i="2"/>
  <c r="E701" i="2"/>
  <c r="F701" i="2"/>
  <c r="G701" i="2"/>
  <c r="H701" i="2"/>
  <c r="I701" i="2"/>
  <c r="J701" i="2"/>
  <c r="K701" i="2"/>
  <c r="L701" i="2"/>
  <c r="M701" i="2"/>
  <c r="N701" i="2"/>
  <c r="O701" i="2"/>
  <c r="B702" i="2"/>
  <c r="C702" i="2"/>
  <c r="D702" i="2"/>
  <c r="E702" i="2"/>
  <c r="F702" i="2"/>
  <c r="G702" i="2"/>
  <c r="H702" i="2"/>
  <c r="I702" i="2"/>
  <c r="J702" i="2"/>
  <c r="K702" i="2"/>
  <c r="L702" i="2"/>
  <c r="M702" i="2"/>
  <c r="N702" i="2"/>
  <c r="O702" i="2"/>
  <c r="B703" i="2"/>
  <c r="C703" i="2"/>
  <c r="D703" i="2"/>
  <c r="E703" i="2"/>
  <c r="F703" i="2"/>
  <c r="G703" i="2"/>
  <c r="H703" i="2"/>
  <c r="I703" i="2"/>
  <c r="J703" i="2"/>
  <c r="K703" i="2"/>
  <c r="L703" i="2"/>
  <c r="M703" i="2"/>
  <c r="N703" i="2"/>
  <c r="O703" i="2"/>
  <c r="B704" i="2"/>
  <c r="C704" i="2"/>
  <c r="D704" i="2"/>
  <c r="E704" i="2"/>
  <c r="F704" i="2"/>
  <c r="G704" i="2"/>
  <c r="H704" i="2"/>
  <c r="I704" i="2"/>
  <c r="J704" i="2"/>
  <c r="K704" i="2"/>
  <c r="L704" i="2"/>
  <c r="M704" i="2"/>
  <c r="N704" i="2"/>
  <c r="O704" i="2"/>
  <c r="B705" i="2"/>
  <c r="C705" i="2"/>
  <c r="D705" i="2"/>
  <c r="E705" i="2"/>
  <c r="F705" i="2"/>
  <c r="G705" i="2"/>
  <c r="H705" i="2"/>
  <c r="I705" i="2"/>
  <c r="J705" i="2"/>
  <c r="K705" i="2"/>
  <c r="L705" i="2"/>
  <c r="M705" i="2"/>
  <c r="N705" i="2"/>
  <c r="O705" i="2"/>
  <c r="B706" i="2"/>
  <c r="C706" i="2"/>
  <c r="D706" i="2"/>
  <c r="E706" i="2"/>
  <c r="F706" i="2"/>
  <c r="G706" i="2"/>
  <c r="H706" i="2"/>
  <c r="I706" i="2"/>
  <c r="J706" i="2"/>
  <c r="K706" i="2"/>
  <c r="L706" i="2"/>
  <c r="M706" i="2"/>
  <c r="N706" i="2"/>
  <c r="O706" i="2"/>
  <c r="B707" i="2"/>
  <c r="C707" i="2"/>
  <c r="D707" i="2"/>
  <c r="E707" i="2"/>
  <c r="F707" i="2"/>
  <c r="G707" i="2"/>
  <c r="H707" i="2"/>
  <c r="I707" i="2"/>
  <c r="J707" i="2"/>
  <c r="K707" i="2"/>
  <c r="L707" i="2"/>
  <c r="M707" i="2"/>
  <c r="N707" i="2"/>
  <c r="O707" i="2"/>
  <c r="B708" i="2"/>
  <c r="C708" i="2"/>
  <c r="D708" i="2"/>
  <c r="E708" i="2"/>
  <c r="F708" i="2"/>
  <c r="G708" i="2"/>
  <c r="H708" i="2"/>
  <c r="I708" i="2"/>
  <c r="J708" i="2"/>
  <c r="K708" i="2"/>
  <c r="L708" i="2"/>
  <c r="M708" i="2"/>
  <c r="N708" i="2"/>
  <c r="O708" i="2"/>
  <c r="B709" i="2"/>
  <c r="C709" i="2"/>
  <c r="D709" i="2"/>
  <c r="E709" i="2"/>
  <c r="F709" i="2"/>
  <c r="G709" i="2"/>
  <c r="H709" i="2"/>
  <c r="I709" i="2"/>
  <c r="J709" i="2"/>
  <c r="K709" i="2"/>
  <c r="L709" i="2"/>
  <c r="M709" i="2"/>
  <c r="N709" i="2"/>
  <c r="O709" i="2"/>
  <c r="B710" i="2"/>
  <c r="C710" i="2"/>
  <c r="D710" i="2"/>
  <c r="E710" i="2"/>
  <c r="F710" i="2"/>
  <c r="G710" i="2"/>
  <c r="H710" i="2"/>
  <c r="H1129" i="2" s="1"/>
  <c r="I710" i="2"/>
  <c r="J710" i="2"/>
  <c r="K710" i="2"/>
  <c r="L710" i="2"/>
  <c r="L1129" i="2" s="1"/>
  <c r="M710" i="2"/>
  <c r="N710" i="2"/>
  <c r="O710" i="2"/>
  <c r="B711" i="2"/>
  <c r="C711" i="2"/>
  <c r="D711" i="2"/>
  <c r="E711" i="2"/>
  <c r="F711" i="2"/>
  <c r="G711" i="2"/>
  <c r="H711" i="2"/>
  <c r="I711" i="2"/>
  <c r="J711" i="2"/>
  <c r="K711" i="2"/>
  <c r="L711" i="2"/>
  <c r="M711" i="2"/>
  <c r="N711" i="2"/>
  <c r="O711" i="2"/>
  <c r="B712" i="2"/>
  <c r="C712" i="2"/>
  <c r="D712" i="2"/>
  <c r="E712" i="2"/>
  <c r="F712" i="2"/>
  <c r="G712" i="2"/>
  <c r="H712" i="2"/>
  <c r="I712" i="2"/>
  <c r="J712" i="2"/>
  <c r="K712" i="2"/>
  <c r="L712" i="2"/>
  <c r="M712" i="2"/>
  <c r="N712" i="2"/>
  <c r="O712" i="2"/>
  <c r="B713" i="2"/>
  <c r="C713" i="2"/>
  <c r="D713" i="2"/>
  <c r="E713" i="2"/>
  <c r="F713" i="2"/>
  <c r="G713" i="2"/>
  <c r="H713" i="2"/>
  <c r="I713" i="2"/>
  <c r="J713" i="2"/>
  <c r="K713" i="2"/>
  <c r="L713" i="2"/>
  <c r="M713" i="2"/>
  <c r="N713" i="2"/>
  <c r="O713" i="2"/>
  <c r="B714" i="2"/>
  <c r="C714" i="2"/>
  <c r="D714" i="2"/>
  <c r="E714" i="2"/>
  <c r="F714" i="2"/>
  <c r="G714" i="2"/>
  <c r="H714" i="2"/>
  <c r="I714" i="2"/>
  <c r="J714" i="2"/>
  <c r="K714" i="2"/>
  <c r="L714" i="2"/>
  <c r="M714" i="2"/>
  <c r="N714" i="2"/>
  <c r="O714" i="2"/>
  <c r="B715" i="2"/>
  <c r="C715" i="2"/>
  <c r="D715" i="2"/>
  <c r="E715" i="2"/>
  <c r="F715" i="2"/>
  <c r="G715" i="2"/>
  <c r="H715" i="2"/>
  <c r="I715" i="2"/>
  <c r="J715" i="2"/>
  <c r="K715" i="2"/>
  <c r="L715" i="2"/>
  <c r="M715" i="2"/>
  <c r="N715" i="2"/>
  <c r="O715" i="2"/>
  <c r="B716" i="2"/>
  <c r="C716" i="2"/>
  <c r="D716" i="2"/>
  <c r="E716" i="2"/>
  <c r="F716" i="2"/>
  <c r="G716" i="2"/>
  <c r="H716" i="2"/>
  <c r="I716" i="2"/>
  <c r="J716" i="2"/>
  <c r="K716" i="2"/>
  <c r="L716" i="2"/>
  <c r="M716" i="2"/>
  <c r="N716" i="2"/>
  <c r="O716" i="2"/>
  <c r="B717" i="2"/>
  <c r="C717" i="2"/>
  <c r="D717" i="2"/>
  <c r="E717" i="2"/>
  <c r="F717" i="2"/>
  <c r="G717" i="2"/>
  <c r="H717" i="2"/>
  <c r="I717" i="2"/>
  <c r="J717" i="2"/>
  <c r="K717" i="2"/>
  <c r="L717" i="2"/>
  <c r="M717" i="2"/>
  <c r="N717" i="2"/>
  <c r="O717" i="2"/>
  <c r="B718" i="2"/>
  <c r="C718" i="2"/>
  <c r="D718" i="2"/>
  <c r="E718" i="2"/>
  <c r="F718" i="2"/>
  <c r="G718" i="2"/>
  <c r="H718" i="2"/>
  <c r="I718" i="2"/>
  <c r="J718" i="2"/>
  <c r="K718" i="2"/>
  <c r="L718" i="2"/>
  <c r="M718" i="2"/>
  <c r="N718" i="2"/>
  <c r="O718" i="2"/>
  <c r="B719" i="2"/>
  <c r="C719" i="2"/>
  <c r="D719" i="2"/>
  <c r="E719" i="2"/>
  <c r="F719" i="2"/>
  <c r="G719" i="2"/>
  <c r="H719" i="2"/>
  <c r="I719" i="2"/>
  <c r="J719" i="2"/>
  <c r="K719" i="2"/>
  <c r="L719" i="2"/>
  <c r="M719" i="2"/>
  <c r="N719" i="2"/>
  <c r="O719" i="2"/>
  <c r="B720" i="2"/>
  <c r="C720" i="2"/>
  <c r="D720" i="2"/>
  <c r="E720" i="2"/>
  <c r="F720" i="2"/>
  <c r="G720" i="2"/>
  <c r="H720" i="2"/>
  <c r="I720" i="2"/>
  <c r="J720" i="2"/>
  <c r="K720" i="2"/>
  <c r="L720" i="2"/>
  <c r="M720" i="2"/>
  <c r="N720" i="2"/>
  <c r="O720" i="2"/>
  <c r="B721" i="2"/>
  <c r="C721" i="2"/>
  <c r="D721" i="2"/>
  <c r="E721" i="2"/>
  <c r="F721" i="2"/>
  <c r="G721" i="2"/>
  <c r="H721" i="2"/>
  <c r="I721" i="2"/>
  <c r="J721" i="2"/>
  <c r="K721" i="2"/>
  <c r="L721" i="2"/>
  <c r="M721" i="2"/>
  <c r="N721" i="2"/>
  <c r="O721" i="2"/>
  <c r="B722" i="2"/>
  <c r="C722" i="2"/>
  <c r="D722" i="2"/>
  <c r="E722" i="2"/>
  <c r="F722" i="2"/>
  <c r="G722" i="2"/>
  <c r="H722" i="2"/>
  <c r="I722" i="2"/>
  <c r="J722" i="2"/>
  <c r="K722" i="2"/>
  <c r="L722" i="2"/>
  <c r="M722" i="2"/>
  <c r="N722" i="2"/>
  <c r="O722" i="2"/>
  <c r="B723" i="2"/>
  <c r="B1130" i="2" s="1"/>
  <c r="C723" i="2"/>
  <c r="D723" i="2"/>
  <c r="E723" i="2"/>
  <c r="F723" i="2"/>
  <c r="G723" i="2"/>
  <c r="H723" i="2"/>
  <c r="I723" i="2"/>
  <c r="J723" i="2"/>
  <c r="J1130" i="2" s="1"/>
  <c r="K723" i="2"/>
  <c r="L723" i="2"/>
  <c r="M723" i="2"/>
  <c r="N723" i="2"/>
  <c r="N1130" i="2" s="1"/>
  <c r="O723" i="2"/>
  <c r="B724" i="2"/>
  <c r="C724" i="2"/>
  <c r="D724" i="2"/>
  <c r="E724" i="2"/>
  <c r="F724" i="2"/>
  <c r="G724" i="2"/>
  <c r="H724" i="2"/>
  <c r="I724" i="2"/>
  <c r="J724" i="2"/>
  <c r="K724" i="2"/>
  <c r="L724" i="2"/>
  <c r="M724" i="2"/>
  <c r="N724" i="2"/>
  <c r="O724" i="2"/>
  <c r="B725" i="2"/>
  <c r="C725" i="2"/>
  <c r="D725" i="2"/>
  <c r="E725" i="2"/>
  <c r="F725" i="2"/>
  <c r="G725" i="2"/>
  <c r="H725" i="2"/>
  <c r="I725" i="2"/>
  <c r="J725" i="2"/>
  <c r="K725" i="2"/>
  <c r="L725" i="2"/>
  <c r="M725" i="2"/>
  <c r="N725" i="2"/>
  <c r="O725" i="2"/>
  <c r="B726" i="2"/>
  <c r="C726" i="2"/>
  <c r="D726" i="2"/>
  <c r="E726" i="2"/>
  <c r="F726" i="2"/>
  <c r="G726" i="2"/>
  <c r="H726" i="2"/>
  <c r="I726" i="2"/>
  <c r="J726" i="2"/>
  <c r="K726" i="2"/>
  <c r="L726" i="2"/>
  <c r="M726" i="2"/>
  <c r="N726" i="2"/>
  <c r="O726" i="2"/>
  <c r="B727" i="2"/>
  <c r="C727" i="2"/>
  <c r="D727" i="2"/>
  <c r="E727" i="2"/>
  <c r="F727" i="2"/>
  <c r="G727" i="2"/>
  <c r="H727" i="2"/>
  <c r="I727" i="2"/>
  <c r="J727" i="2"/>
  <c r="K727" i="2"/>
  <c r="L727" i="2"/>
  <c r="M727" i="2"/>
  <c r="N727" i="2"/>
  <c r="O727" i="2"/>
  <c r="B728" i="2"/>
  <c r="C728" i="2"/>
  <c r="D728" i="2"/>
  <c r="E728" i="2"/>
  <c r="F728" i="2"/>
  <c r="G728" i="2"/>
  <c r="H728" i="2"/>
  <c r="I728" i="2"/>
  <c r="J728" i="2"/>
  <c r="K728" i="2"/>
  <c r="L728" i="2"/>
  <c r="M728" i="2"/>
  <c r="N728" i="2"/>
  <c r="O728" i="2"/>
  <c r="B729" i="2"/>
  <c r="C729" i="2"/>
  <c r="D729" i="2"/>
  <c r="E729" i="2"/>
  <c r="F729" i="2"/>
  <c r="G729" i="2"/>
  <c r="H729" i="2"/>
  <c r="I729" i="2"/>
  <c r="J729" i="2"/>
  <c r="K729" i="2"/>
  <c r="L729" i="2"/>
  <c r="M729" i="2"/>
  <c r="N729" i="2"/>
  <c r="O729" i="2"/>
  <c r="B730" i="2"/>
  <c r="C730" i="2"/>
  <c r="D730" i="2"/>
  <c r="E730" i="2"/>
  <c r="F730" i="2"/>
  <c r="G730" i="2"/>
  <c r="H730" i="2"/>
  <c r="I730" i="2"/>
  <c r="J730" i="2"/>
  <c r="K730" i="2"/>
  <c r="L730" i="2"/>
  <c r="M730" i="2"/>
  <c r="N730" i="2"/>
  <c r="O730" i="2"/>
  <c r="B731" i="2"/>
  <c r="C731" i="2"/>
  <c r="D731" i="2"/>
  <c r="E731" i="2"/>
  <c r="F731" i="2"/>
  <c r="G731" i="2"/>
  <c r="H731" i="2"/>
  <c r="I731" i="2"/>
  <c r="J731" i="2"/>
  <c r="K731" i="2"/>
  <c r="L731" i="2"/>
  <c r="M731" i="2"/>
  <c r="N731" i="2"/>
  <c r="O731" i="2"/>
  <c r="B732" i="2"/>
  <c r="C732" i="2"/>
  <c r="D732" i="2"/>
  <c r="E732" i="2"/>
  <c r="F732" i="2"/>
  <c r="G732" i="2"/>
  <c r="H732" i="2"/>
  <c r="I732" i="2"/>
  <c r="J732" i="2"/>
  <c r="K732" i="2"/>
  <c r="L732" i="2"/>
  <c r="M732" i="2"/>
  <c r="N732" i="2"/>
  <c r="O732" i="2"/>
  <c r="B733" i="2"/>
  <c r="C733" i="2"/>
  <c r="D733" i="2"/>
  <c r="E733" i="2"/>
  <c r="F733" i="2"/>
  <c r="G733" i="2"/>
  <c r="H733" i="2"/>
  <c r="I733" i="2"/>
  <c r="J733" i="2"/>
  <c r="K733" i="2"/>
  <c r="L733" i="2"/>
  <c r="M733" i="2"/>
  <c r="N733" i="2"/>
  <c r="O733" i="2"/>
  <c r="B734" i="2"/>
  <c r="C734" i="2"/>
  <c r="D734" i="2"/>
  <c r="D1131" i="2" s="1"/>
  <c r="E734" i="2"/>
  <c r="F734" i="2"/>
  <c r="G734" i="2"/>
  <c r="H734" i="2"/>
  <c r="I734" i="2"/>
  <c r="J734" i="2"/>
  <c r="K734" i="2"/>
  <c r="L734" i="2"/>
  <c r="L1131" i="2" s="1"/>
  <c r="M734" i="2"/>
  <c r="N734" i="2"/>
  <c r="O734" i="2"/>
  <c r="B735" i="2"/>
  <c r="C735" i="2"/>
  <c r="D735" i="2"/>
  <c r="E735" i="2"/>
  <c r="F735" i="2"/>
  <c r="G735" i="2"/>
  <c r="H735" i="2"/>
  <c r="I735" i="2"/>
  <c r="J735" i="2"/>
  <c r="K735" i="2"/>
  <c r="L735" i="2"/>
  <c r="M735" i="2"/>
  <c r="N735" i="2"/>
  <c r="O735" i="2"/>
  <c r="B736" i="2"/>
  <c r="C736" i="2"/>
  <c r="D736" i="2"/>
  <c r="E736" i="2"/>
  <c r="F736" i="2"/>
  <c r="G736" i="2"/>
  <c r="H736" i="2"/>
  <c r="I736" i="2"/>
  <c r="J736" i="2"/>
  <c r="K736" i="2"/>
  <c r="L736" i="2"/>
  <c r="M736" i="2"/>
  <c r="N736" i="2"/>
  <c r="O736" i="2"/>
  <c r="B737" i="2"/>
  <c r="C737" i="2"/>
  <c r="D737" i="2"/>
  <c r="E737" i="2"/>
  <c r="F737" i="2"/>
  <c r="G737" i="2"/>
  <c r="H737" i="2"/>
  <c r="I737" i="2"/>
  <c r="J737" i="2"/>
  <c r="K737" i="2"/>
  <c r="L737" i="2"/>
  <c r="M737" i="2"/>
  <c r="N737" i="2"/>
  <c r="O737" i="2"/>
  <c r="B738" i="2"/>
  <c r="C738" i="2"/>
  <c r="D738" i="2"/>
  <c r="E738" i="2"/>
  <c r="F738" i="2"/>
  <c r="G738" i="2"/>
  <c r="H738" i="2"/>
  <c r="I738" i="2"/>
  <c r="J738" i="2"/>
  <c r="K738" i="2"/>
  <c r="L738" i="2"/>
  <c r="M738" i="2"/>
  <c r="N738" i="2"/>
  <c r="O738" i="2"/>
  <c r="B739" i="2"/>
  <c r="C739" i="2"/>
  <c r="D739" i="2"/>
  <c r="E739" i="2"/>
  <c r="F739" i="2"/>
  <c r="G739" i="2"/>
  <c r="H739" i="2"/>
  <c r="I739" i="2"/>
  <c r="J739" i="2"/>
  <c r="K739" i="2"/>
  <c r="L739" i="2"/>
  <c r="M739" i="2"/>
  <c r="N739" i="2"/>
  <c r="O739" i="2"/>
  <c r="B740" i="2"/>
  <c r="C740" i="2"/>
  <c r="D740" i="2"/>
  <c r="E740" i="2"/>
  <c r="F740" i="2"/>
  <c r="G740" i="2"/>
  <c r="H740" i="2"/>
  <c r="I740" i="2"/>
  <c r="J740" i="2"/>
  <c r="K740" i="2"/>
  <c r="L740" i="2"/>
  <c r="M740" i="2"/>
  <c r="N740" i="2"/>
  <c r="O740" i="2"/>
  <c r="B741" i="2"/>
  <c r="C741" i="2"/>
  <c r="D741" i="2"/>
  <c r="E741" i="2"/>
  <c r="F741" i="2"/>
  <c r="G741" i="2"/>
  <c r="H741" i="2"/>
  <c r="I741" i="2"/>
  <c r="J741" i="2"/>
  <c r="K741" i="2"/>
  <c r="L741" i="2"/>
  <c r="M741" i="2"/>
  <c r="N741" i="2"/>
  <c r="O741" i="2"/>
  <c r="B742" i="2"/>
  <c r="C742" i="2"/>
  <c r="D742" i="2"/>
  <c r="E742" i="2"/>
  <c r="F742" i="2"/>
  <c r="G742" i="2"/>
  <c r="H742" i="2"/>
  <c r="I742" i="2"/>
  <c r="J742" i="2"/>
  <c r="K742" i="2"/>
  <c r="L742" i="2"/>
  <c r="M742" i="2"/>
  <c r="N742" i="2"/>
  <c r="O742" i="2"/>
  <c r="B743" i="2"/>
  <c r="C743" i="2"/>
  <c r="D743" i="2"/>
  <c r="E743" i="2"/>
  <c r="F743" i="2"/>
  <c r="G743" i="2"/>
  <c r="H743" i="2"/>
  <c r="I743" i="2"/>
  <c r="J743" i="2"/>
  <c r="K743" i="2"/>
  <c r="L743" i="2"/>
  <c r="M743" i="2"/>
  <c r="N743" i="2"/>
  <c r="O743" i="2"/>
  <c r="B744" i="2"/>
  <c r="C744" i="2"/>
  <c r="D744" i="2"/>
  <c r="E744" i="2"/>
  <c r="F744" i="2"/>
  <c r="G744" i="2"/>
  <c r="H744" i="2"/>
  <c r="I744" i="2"/>
  <c r="J744" i="2"/>
  <c r="K744" i="2"/>
  <c r="L744" i="2"/>
  <c r="M744" i="2"/>
  <c r="N744" i="2"/>
  <c r="O744" i="2"/>
  <c r="B745" i="2"/>
  <c r="C745" i="2"/>
  <c r="D745" i="2"/>
  <c r="E745" i="2"/>
  <c r="F745" i="2"/>
  <c r="G745" i="2"/>
  <c r="H745" i="2"/>
  <c r="I745" i="2"/>
  <c r="J745" i="2"/>
  <c r="K745" i="2"/>
  <c r="L745" i="2"/>
  <c r="M745" i="2"/>
  <c r="N745" i="2"/>
  <c r="O745" i="2"/>
  <c r="B746" i="2"/>
  <c r="C746" i="2"/>
  <c r="D746" i="2"/>
  <c r="E746" i="2"/>
  <c r="F746" i="2"/>
  <c r="G746" i="2"/>
  <c r="H746" i="2"/>
  <c r="I746" i="2"/>
  <c r="J746" i="2"/>
  <c r="K746" i="2"/>
  <c r="L746" i="2"/>
  <c r="M746" i="2"/>
  <c r="N746" i="2"/>
  <c r="O746" i="2"/>
  <c r="B747" i="2"/>
  <c r="B1132" i="2" s="1"/>
  <c r="C747" i="2"/>
  <c r="D747" i="2"/>
  <c r="E747" i="2"/>
  <c r="F747" i="2"/>
  <c r="F1132" i="2" s="1"/>
  <c r="G747" i="2"/>
  <c r="H747" i="2"/>
  <c r="I747" i="2"/>
  <c r="J747" i="2"/>
  <c r="K747" i="2"/>
  <c r="L747" i="2"/>
  <c r="M747" i="2"/>
  <c r="N747" i="2"/>
  <c r="N1132" i="2" s="1"/>
  <c r="O747" i="2"/>
  <c r="B748" i="2"/>
  <c r="C748" i="2"/>
  <c r="D748" i="2"/>
  <c r="E748" i="2"/>
  <c r="F748" i="2"/>
  <c r="G748" i="2"/>
  <c r="H748" i="2"/>
  <c r="I748" i="2"/>
  <c r="J748" i="2"/>
  <c r="K748" i="2"/>
  <c r="L748" i="2"/>
  <c r="M748" i="2"/>
  <c r="N748" i="2"/>
  <c r="O748" i="2"/>
  <c r="B749" i="2"/>
  <c r="C749" i="2"/>
  <c r="D749" i="2"/>
  <c r="E749" i="2"/>
  <c r="F749" i="2"/>
  <c r="G749" i="2"/>
  <c r="H749" i="2"/>
  <c r="I749" i="2"/>
  <c r="J749" i="2"/>
  <c r="K749" i="2"/>
  <c r="L749" i="2"/>
  <c r="M749" i="2"/>
  <c r="N749" i="2"/>
  <c r="O749" i="2"/>
  <c r="B750" i="2"/>
  <c r="C750" i="2"/>
  <c r="D750" i="2"/>
  <c r="E750" i="2"/>
  <c r="F750" i="2"/>
  <c r="G750" i="2"/>
  <c r="H750" i="2"/>
  <c r="I750" i="2"/>
  <c r="J750" i="2"/>
  <c r="K750" i="2"/>
  <c r="L750" i="2"/>
  <c r="M750" i="2"/>
  <c r="N750" i="2"/>
  <c r="O750" i="2"/>
  <c r="B751" i="2"/>
  <c r="C751" i="2"/>
  <c r="D751" i="2"/>
  <c r="E751" i="2"/>
  <c r="F751" i="2"/>
  <c r="G751" i="2"/>
  <c r="H751" i="2"/>
  <c r="I751" i="2"/>
  <c r="J751" i="2"/>
  <c r="K751" i="2"/>
  <c r="L751" i="2"/>
  <c r="M751" i="2"/>
  <c r="N751" i="2"/>
  <c r="O751" i="2"/>
  <c r="B752" i="2"/>
  <c r="C752" i="2"/>
  <c r="D752" i="2"/>
  <c r="E752" i="2"/>
  <c r="F752" i="2"/>
  <c r="G752" i="2"/>
  <c r="H752" i="2"/>
  <c r="I752" i="2"/>
  <c r="J752" i="2"/>
  <c r="K752" i="2"/>
  <c r="L752" i="2"/>
  <c r="M752" i="2"/>
  <c r="N752" i="2"/>
  <c r="O752" i="2"/>
  <c r="B753" i="2"/>
  <c r="C753" i="2"/>
  <c r="D753" i="2"/>
  <c r="E753" i="2"/>
  <c r="F753" i="2"/>
  <c r="G753" i="2"/>
  <c r="H753" i="2"/>
  <c r="I753" i="2"/>
  <c r="J753" i="2"/>
  <c r="K753" i="2"/>
  <c r="L753" i="2"/>
  <c r="M753" i="2"/>
  <c r="N753" i="2"/>
  <c r="O753" i="2"/>
  <c r="B754" i="2"/>
  <c r="C754" i="2"/>
  <c r="D754" i="2"/>
  <c r="E754" i="2"/>
  <c r="F754" i="2"/>
  <c r="G754" i="2"/>
  <c r="H754" i="2"/>
  <c r="I754" i="2"/>
  <c r="J754" i="2"/>
  <c r="K754" i="2"/>
  <c r="L754" i="2"/>
  <c r="M754" i="2"/>
  <c r="N754" i="2"/>
  <c r="O754" i="2"/>
  <c r="B755" i="2"/>
  <c r="C755" i="2"/>
  <c r="D755" i="2"/>
  <c r="E755" i="2"/>
  <c r="F755" i="2"/>
  <c r="G755" i="2"/>
  <c r="H755" i="2"/>
  <c r="I755" i="2"/>
  <c r="J755" i="2"/>
  <c r="K755" i="2"/>
  <c r="L755" i="2"/>
  <c r="M755" i="2"/>
  <c r="N755" i="2"/>
  <c r="O755" i="2"/>
  <c r="B756" i="2"/>
  <c r="C756" i="2"/>
  <c r="D756" i="2"/>
  <c r="E756" i="2"/>
  <c r="F756" i="2"/>
  <c r="G756" i="2"/>
  <c r="H756" i="2"/>
  <c r="I756" i="2"/>
  <c r="J756" i="2"/>
  <c r="K756" i="2"/>
  <c r="L756" i="2"/>
  <c r="M756" i="2"/>
  <c r="N756" i="2"/>
  <c r="O756" i="2"/>
  <c r="B757" i="2"/>
  <c r="C757" i="2"/>
  <c r="D757" i="2"/>
  <c r="E757" i="2"/>
  <c r="F757" i="2"/>
  <c r="G757" i="2"/>
  <c r="H757" i="2"/>
  <c r="I757" i="2"/>
  <c r="J757" i="2"/>
  <c r="K757" i="2"/>
  <c r="L757" i="2"/>
  <c r="M757" i="2"/>
  <c r="N757" i="2"/>
  <c r="O757" i="2"/>
  <c r="B758" i="2"/>
  <c r="C758" i="2"/>
  <c r="D758" i="2"/>
  <c r="D1133" i="2" s="1"/>
  <c r="E758" i="2"/>
  <c r="F758" i="2"/>
  <c r="G758" i="2"/>
  <c r="H758" i="2"/>
  <c r="H1133" i="2" s="1"/>
  <c r="I758" i="2"/>
  <c r="J758" i="2"/>
  <c r="K758" i="2"/>
  <c r="L758" i="2"/>
  <c r="M758" i="2"/>
  <c r="N758" i="2"/>
  <c r="O758" i="2"/>
  <c r="B759" i="2"/>
  <c r="C759" i="2"/>
  <c r="D759" i="2"/>
  <c r="E759" i="2"/>
  <c r="F759" i="2"/>
  <c r="G759" i="2"/>
  <c r="H759" i="2"/>
  <c r="I759" i="2"/>
  <c r="J759" i="2"/>
  <c r="K759" i="2"/>
  <c r="L759" i="2"/>
  <c r="M759" i="2"/>
  <c r="N759" i="2"/>
  <c r="O759" i="2"/>
  <c r="B760" i="2"/>
  <c r="C760" i="2"/>
  <c r="D760" i="2"/>
  <c r="E760" i="2"/>
  <c r="F760" i="2"/>
  <c r="G760" i="2"/>
  <c r="H760" i="2"/>
  <c r="I760" i="2"/>
  <c r="J760" i="2"/>
  <c r="K760" i="2"/>
  <c r="L760" i="2"/>
  <c r="M760" i="2"/>
  <c r="N760" i="2"/>
  <c r="O760" i="2"/>
  <c r="B761" i="2"/>
  <c r="C761" i="2"/>
  <c r="D761" i="2"/>
  <c r="E761" i="2"/>
  <c r="F761" i="2"/>
  <c r="G761" i="2"/>
  <c r="H761" i="2"/>
  <c r="I761" i="2"/>
  <c r="J761" i="2"/>
  <c r="K761" i="2"/>
  <c r="L761" i="2"/>
  <c r="M761" i="2"/>
  <c r="N761" i="2"/>
  <c r="O761" i="2"/>
  <c r="B762" i="2"/>
  <c r="C762" i="2"/>
  <c r="D762" i="2"/>
  <c r="E762" i="2"/>
  <c r="F762" i="2"/>
  <c r="G762" i="2"/>
  <c r="H762" i="2"/>
  <c r="I762" i="2"/>
  <c r="J762" i="2"/>
  <c r="K762" i="2"/>
  <c r="L762" i="2"/>
  <c r="M762" i="2"/>
  <c r="N762" i="2"/>
  <c r="O762" i="2"/>
  <c r="B763" i="2"/>
  <c r="C763" i="2"/>
  <c r="D763" i="2"/>
  <c r="E763" i="2"/>
  <c r="F763" i="2"/>
  <c r="G763" i="2"/>
  <c r="H763" i="2"/>
  <c r="I763" i="2"/>
  <c r="J763" i="2"/>
  <c r="K763" i="2"/>
  <c r="L763" i="2"/>
  <c r="M763" i="2"/>
  <c r="N763" i="2"/>
  <c r="O763" i="2"/>
  <c r="B764" i="2"/>
  <c r="C764" i="2"/>
  <c r="D764" i="2"/>
  <c r="E764" i="2"/>
  <c r="F764" i="2"/>
  <c r="G764" i="2"/>
  <c r="H764" i="2"/>
  <c r="I764" i="2"/>
  <c r="J764" i="2"/>
  <c r="K764" i="2"/>
  <c r="L764" i="2"/>
  <c r="M764" i="2"/>
  <c r="N764" i="2"/>
  <c r="O764" i="2"/>
  <c r="B765" i="2"/>
  <c r="C765" i="2"/>
  <c r="D765" i="2"/>
  <c r="E765" i="2"/>
  <c r="F765" i="2"/>
  <c r="G765" i="2"/>
  <c r="H765" i="2"/>
  <c r="I765" i="2"/>
  <c r="J765" i="2"/>
  <c r="K765" i="2"/>
  <c r="L765" i="2"/>
  <c r="M765" i="2"/>
  <c r="N765" i="2"/>
  <c r="O765" i="2"/>
  <c r="B766" i="2"/>
  <c r="C766" i="2"/>
  <c r="D766" i="2"/>
  <c r="E766" i="2"/>
  <c r="F766" i="2"/>
  <c r="G766" i="2"/>
  <c r="H766" i="2"/>
  <c r="I766" i="2"/>
  <c r="J766" i="2"/>
  <c r="K766" i="2"/>
  <c r="L766" i="2"/>
  <c r="M766" i="2"/>
  <c r="N766" i="2"/>
  <c r="O766" i="2"/>
  <c r="B767" i="2"/>
  <c r="C767" i="2"/>
  <c r="D767" i="2"/>
  <c r="E767" i="2"/>
  <c r="F767" i="2"/>
  <c r="G767" i="2"/>
  <c r="H767" i="2"/>
  <c r="I767" i="2"/>
  <c r="J767" i="2"/>
  <c r="K767" i="2"/>
  <c r="L767" i="2"/>
  <c r="M767" i="2"/>
  <c r="N767" i="2"/>
  <c r="O767" i="2"/>
  <c r="B768" i="2"/>
  <c r="C768" i="2"/>
  <c r="D768" i="2"/>
  <c r="E768" i="2"/>
  <c r="F768" i="2"/>
  <c r="G768" i="2"/>
  <c r="H768" i="2"/>
  <c r="I768" i="2"/>
  <c r="J768" i="2"/>
  <c r="K768" i="2"/>
  <c r="L768" i="2"/>
  <c r="M768" i="2"/>
  <c r="N768" i="2"/>
  <c r="O768" i="2"/>
  <c r="B769" i="2"/>
  <c r="C769" i="2"/>
  <c r="D769" i="2"/>
  <c r="E769" i="2"/>
  <c r="F769" i="2"/>
  <c r="G769" i="2"/>
  <c r="H769" i="2"/>
  <c r="I769" i="2"/>
  <c r="J769" i="2"/>
  <c r="K769" i="2"/>
  <c r="L769" i="2"/>
  <c r="M769" i="2"/>
  <c r="N769" i="2"/>
  <c r="O769" i="2"/>
  <c r="B770" i="2"/>
  <c r="C770" i="2"/>
  <c r="D770" i="2"/>
  <c r="E770" i="2"/>
  <c r="F770" i="2"/>
  <c r="G770" i="2"/>
  <c r="H770" i="2"/>
  <c r="I770" i="2"/>
  <c r="J770" i="2"/>
  <c r="K770" i="2"/>
  <c r="L770" i="2"/>
  <c r="M770" i="2"/>
  <c r="N770" i="2"/>
  <c r="O770" i="2"/>
  <c r="B771" i="2"/>
  <c r="B1134" i="2" s="1"/>
  <c r="C771" i="2"/>
  <c r="D771" i="2"/>
  <c r="E771" i="2"/>
  <c r="F771" i="2"/>
  <c r="F1134" i="2" s="1"/>
  <c r="G771" i="2"/>
  <c r="H771" i="2"/>
  <c r="I771" i="2"/>
  <c r="J771" i="2"/>
  <c r="J1134" i="2" s="1"/>
  <c r="K771" i="2"/>
  <c r="L771" i="2"/>
  <c r="M771" i="2"/>
  <c r="N771" i="2"/>
  <c r="O771" i="2"/>
  <c r="B772" i="2"/>
  <c r="C772" i="2"/>
  <c r="D772" i="2"/>
  <c r="E772" i="2"/>
  <c r="F772" i="2"/>
  <c r="G772" i="2"/>
  <c r="H772" i="2"/>
  <c r="I772" i="2"/>
  <c r="J772" i="2"/>
  <c r="K772" i="2"/>
  <c r="L772" i="2"/>
  <c r="M772" i="2"/>
  <c r="N772" i="2"/>
  <c r="O772" i="2"/>
  <c r="B773" i="2"/>
  <c r="C773" i="2"/>
  <c r="D773" i="2"/>
  <c r="E773" i="2"/>
  <c r="F773" i="2"/>
  <c r="G773" i="2"/>
  <c r="H773" i="2"/>
  <c r="I773" i="2"/>
  <c r="J773" i="2"/>
  <c r="K773" i="2"/>
  <c r="L773" i="2"/>
  <c r="M773" i="2"/>
  <c r="N773" i="2"/>
  <c r="O773" i="2"/>
  <c r="B774" i="2"/>
  <c r="C774" i="2"/>
  <c r="D774" i="2"/>
  <c r="E774" i="2"/>
  <c r="F774" i="2"/>
  <c r="G774" i="2"/>
  <c r="H774" i="2"/>
  <c r="I774" i="2"/>
  <c r="J774" i="2"/>
  <c r="K774" i="2"/>
  <c r="L774" i="2"/>
  <c r="M774" i="2"/>
  <c r="N774" i="2"/>
  <c r="O774" i="2"/>
  <c r="B775" i="2"/>
  <c r="C775" i="2"/>
  <c r="D775" i="2"/>
  <c r="E775" i="2"/>
  <c r="F775" i="2"/>
  <c r="G775" i="2"/>
  <c r="H775" i="2"/>
  <c r="I775" i="2"/>
  <c r="J775" i="2"/>
  <c r="K775" i="2"/>
  <c r="L775" i="2"/>
  <c r="M775" i="2"/>
  <c r="N775" i="2"/>
  <c r="O775" i="2"/>
  <c r="B776" i="2"/>
  <c r="C776" i="2"/>
  <c r="D776" i="2"/>
  <c r="E776" i="2"/>
  <c r="F776" i="2"/>
  <c r="G776" i="2"/>
  <c r="H776" i="2"/>
  <c r="I776" i="2"/>
  <c r="J776" i="2"/>
  <c r="K776" i="2"/>
  <c r="L776" i="2"/>
  <c r="M776" i="2"/>
  <c r="N776" i="2"/>
  <c r="O776" i="2"/>
  <c r="B777" i="2"/>
  <c r="C777" i="2"/>
  <c r="D777" i="2"/>
  <c r="E777" i="2"/>
  <c r="F777" i="2"/>
  <c r="G777" i="2"/>
  <c r="H777" i="2"/>
  <c r="I777" i="2"/>
  <c r="J777" i="2"/>
  <c r="K777" i="2"/>
  <c r="L777" i="2"/>
  <c r="M777" i="2"/>
  <c r="N777" i="2"/>
  <c r="O777" i="2"/>
  <c r="B778" i="2"/>
  <c r="C778" i="2"/>
  <c r="D778" i="2"/>
  <c r="E778" i="2"/>
  <c r="F778" i="2"/>
  <c r="G778" i="2"/>
  <c r="H778" i="2"/>
  <c r="I778" i="2"/>
  <c r="J778" i="2"/>
  <c r="K778" i="2"/>
  <c r="L778" i="2"/>
  <c r="M778" i="2"/>
  <c r="N778" i="2"/>
  <c r="O778" i="2"/>
  <c r="B779" i="2"/>
  <c r="C779" i="2"/>
  <c r="D779" i="2"/>
  <c r="E779" i="2"/>
  <c r="F779" i="2"/>
  <c r="G779" i="2"/>
  <c r="H779" i="2"/>
  <c r="I779" i="2"/>
  <c r="J779" i="2"/>
  <c r="K779" i="2"/>
  <c r="L779" i="2"/>
  <c r="M779" i="2"/>
  <c r="N779" i="2"/>
  <c r="O779" i="2"/>
  <c r="B780" i="2"/>
  <c r="C780" i="2"/>
  <c r="D780" i="2"/>
  <c r="E780" i="2"/>
  <c r="F780" i="2"/>
  <c r="G780" i="2"/>
  <c r="H780" i="2"/>
  <c r="I780" i="2"/>
  <c r="J780" i="2"/>
  <c r="K780" i="2"/>
  <c r="L780" i="2"/>
  <c r="M780" i="2"/>
  <c r="N780" i="2"/>
  <c r="O780" i="2"/>
  <c r="B781" i="2"/>
  <c r="C781" i="2"/>
  <c r="D781" i="2"/>
  <c r="E781" i="2"/>
  <c r="F781" i="2"/>
  <c r="G781" i="2"/>
  <c r="H781" i="2"/>
  <c r="I781" i="2"/>
  <c r="J781" i="2"/>
  <c r="K781" i="2"/>
  <c r="L781" i="2"/>
  <c r="M781" i="2"/>
  <c r="N781" i="2"/>
  <c r="O781" i="2"/>
  <c r="B782" i="2"/>
  <c r="C782" i="2"/>
  <c r="D782" i="2"/>
  <c r="D1135" i="2" s="1"/>
  <c r="E782" i="2"/>
  <c r="F782" i="2"/>
  <c r="G782" i="2"/>
  <c r="H782" i="2"/>
  <c r="H1135" i="2" s="1"/>
  <c r="I782" i="2"/>
  <c r="J782" i="2"/>
  <c r="K782" i="2"/>
  <c r="L782" i="2"/>
  <c r="L1135" i="2" s="1"/>
  <c r="M782" i="2"/>
  <c r="N782" i="2"/>
  <c r="O782" i="2"/>
  <c r="B783" i="2"/>
  <c r="C783" i="2"/>
  <c r="D783" i="2"/>
  <c r="E783" i="2"/>
  <c r="F783" i="2"/>
  <c r="G783" i="2"/>
  <c r="H783" i="2"/>
  <c r="I783" i="2"/>
  <c r="J783" i="2"/>
  <c r="K783" i="2"/>
  <c r="L783" i="2"/>
  <c r="M783" i="2"/>
  <c r="N783" i="2"/>
  <c r="O783" i="2"/>
  <c r="B784" i="2"/>
  <c r="C784" i="2"/>
  <c r="D784" i="2"/>
  <c r="E784" i="2"/>
  <c r="F784" i="2"/>
  <c r="G784" i="2"/>
  <c r="H784" i="2"/>
  <c r="I784" i="2"/>
  <c r="J784" i="2"/>
  <c r="K784" i="2"/>
  <c r="L784" i="2"/>
  <c r="M784" i="2"/>
  <c r="N784" i="2"/>
  <c r="O784" i="2"/>
  <c r="B785" i="2"/>
  <c r="C785" i="2"/>
  <c r="D785" i="2"/>
  <c r="E785" i="2"/>
  <c r="F785" i="2"/>
  <c r="G785" i="2"/>
  <c r="H785" i="2"/>
  <c r="I785" i="2"/>
  <c r="J785" i="2"/>
  <c r="K785" i="2"/>
  <c r="L785" i="2"/>
  <c r="M785" i="2"/>
  <c r="N785" i="2"/>
  <c r="O785" i="2"/>
  <c r="B786" i="2"/>
  <c r="C786" i="2"/>
  <c r="D786" i="2"/>
  <c r="E786" i="2"/>
  <c r="F786" i="2"/>
  <c r="G786" i="2"/>
  <c r="H786" i="2"/>
  <c r="I786" i="2"/>
  <c r="J786" i="2"/>
  <c r="K786" i="2"/>
  <c r="L786" i="2"/>
  <c r="M786" i="2"/>
  <c r="N786" i="2"/>
  <c r="O786" i="2"/>
  <c r="B787" i="2"/>
  <c r="C787" i="2"/>
  <c r="D787" i="2"/>
  <c r="E787" i="2"/>
  <c r="F787" i="2"/>
  <c r="G787" i="2"/>
  <c r="H787" i="2"/>
  <c r="I787" i="2"/>
  <c r="J787" i="2"/>
  <c r="K787" i="2"/>
  <c r="L787" i="2"/>
  <c r="M787" i="2"/>
  <c r="N787" i="2"/>
  <c r="O787" i="2"/>
  <c r="B788" i="2"/>
  <c r="C788" i="2"/>
  <c r="D788" i="2"/>
  <c r="E788" i="2"/>
  <c r="F788" i="2"/>
  <c r="G788" i="2"/>
  <c r="H788" i="2"/>
  <c r="I788" i="2"/>
  <c r="J788" i="2"/>
  <c r="K788" i="2"/>
  <c r="L788" i="2"/>
  <c r="M788" i="2"/>
  <c r="N788" i="2"/>
  <c r="O788" i="2"/>
  <c r="B789" i="2"/>
  <c r="C789" i="2"/>
  <c r="D789" i="2"/>
  <c r="E789" i="2"/>
  <c r="F789" i="2"/>
  <c r="G789" i="2"/>
  <c r="H789" i="2"/>
  <c r="I789" i="2"/>
  <c r="J789" i="2"/>
  <c r="K789" i="2"/>
  <c r="L789" i="2"/>
  <c r="M789" i="2"/>
  <c r="N789" i="2"/>
  <c r="O789" i="2"/>
  <c r="B790" i="2"/>
  <c r="C790" i="2"/>
  <c r="D790" i="2"/>
  <c r="E790" i="2"/>
  <c r="F790" i="2"/>
  <c r="G790" i="2"/>
  <c r="H790" i="2"/>
  <c r="I790" i="2"/>
  <c r="J790" i="2"/>
  <c r="K790" i="2"/>
  <c r="L790" i="2"/>
  <c r="M790" i="2"/>
  <c r="N790" i="2"/>
  <c r="O790" i="2"/>
  <c r="B791" i="2"/>
  <c r="C791" i="2"/>
  <c r="D791" i="2"/>
  <c r="E791" i="2"/>
  <c r="F791" i="2"/>
  <c r="G791" i="2"/>
  <c r="H791" i="2"/>
  <c r="I791" i="2"/>
  <c r="J791" i="2"/>
  <c r="K791" i="2"/>
  <c r="L791" i="2"/>
  <c r="M791" i="2"/>
  <c r="N791" i="2"/>
  <c r="O791" i="2"/>
  <c r="B792" i="2"/>
  <c r="C792" i="2"/>
  <c r="D792" i="2"/>
  <c r="E792" i="2"/>
  <c r="F792" i="2"/>
  <c r="G792" i="2"/>
  <c r="H792" i="2"/>
  <c r="I792" i="2"/>
  <c r="J792" i="2"/>
  <c r="K792" i="2"/>
  <c r="L792" i="2"/>
  <c r="M792" i="2"/>
  <c r="N792" i="2"/>
  <c r="O792" i="2"/>
  <c r="B793" i="2"/>
  <c r="C793" i="2"/>
  <c r="D793" i="2"/>
  <c r="E793" i="2"/>
  <c r="F793" i="2"/>
  <c r="G793" i="2"/>
  <c r="H793" i="2"/>
  <c r="I793" i="2"/>
  <c r="J793" i="2"/>
  <c r="K793" i="2"/>
  <c r="L793" i="2"/>
  <c r="M793" i="2"/>
  <c r="N793" i="2"/>
  <c r="O793" i="2"/>
  <c r="B794" i="2"/>
  <c r="C794" i="2"/>
  <c r="D794" i="2"/>
  <c r="E794" i="2"/>
  <c r="F794" i="2"/>
  <c r="G794" i="2"/>
  <c r="H794" i="2"/>
  <c r="I794" i="2"/>
  <c r="J794" i="2"/>
  <c r="K794" i="2"/>
  <c r="L794" i="2"/>
  <c r="M794" i="2"/>
  <c r="N794" i="2"/>
  <c r="O794" i="2"/>
  <c r="B795" i="2"/>
  <c r="C795" i="2"/>
  <c r="D795" i="2"/>
  <c r="E795" i="2"/>
  <c r="F795" i="2"/>
  <c r="F1136" i="2" s="1"/>
  <c r="G795" i="2"/>
  <c r="H795" i="2"/>
  <c r="I795" i="2"/>
  <c r="J795" i="2"/>
  <c r="J1136" i="2" s="1"/>
  <c r="K795" i="2"/>
  <c r="L795" i="2"/>
  <c r="M795" i="2"/>
  <c r="N795" i="2"/>
  <c r="N1136" i="2" s="1"/>
  <c r="O795" i="2"/>
  <c r="B796" i="2"/>
  <c r="C796" i="2"/>
  <c r="D796" i="2"/>
  <c r="E796" i="2"/>
  <c r="F796" i="2"/>
  <c r="G796" i="2"/>
  <c r="H796" i="2"/>
  <c r="I796" i="2"/>
  <c r="J796" i="2"/>
  <c r="K796" i="2"/>
  <c r="L796" i="2"/>
  <c r="M796" i="2"/>
  <c r="N796" i="2"/>
  <c r="O796" i="2"/>
  <c r="B797" i="2"/>
  <c r="C797" i="2"/>
  <c r="D797" i="2"/>
  <c r="E797" i="2"/>
  <c r="F797" i="2"/>
  <c r="G797" i="2"/>
  <c r="H797" i="2"/>
  <c r="I797" i="2"/>
  <c r="J797" i="2"/>
  <c r="K797" i="2"/>
  <c r="L797" i="2"/>
  <c r="M797" i="2"/>
  <c r="N797" i="2"/>
  <c r="O797" i="2"/>
  <c r="B798" i="2"/>
  <c r="C798" i="2"/>
  <c r="D798" i="2"/>
  <c r="E798" i="2"/>
  <c r="F798" i="2"/>
  <c r="G798" i="2"/>
  <c r="H798" i="2"/>
  <c r="I798" i="2"/>
  <c r="J798" i="2"/>
  <c r="K798" i="2"/>
  <c r="L798" i="2"/>
  <c r="M798" i="2"/>
  <c r="N798" i="2"/>
  <c r="O798" i="2"/>
  <c r="B799" i="2"/>
  <c r="C799" i="2"/>
  <c r="D799" i="2"/>
  <c r="E799" i="2"/>
  <c r="F799" i="2"/>
  <c r="G799" i="2"/>
  <c r="H799" i="2"/>
  <c r="I799" i="2"/>
  <c r="J799" i="2"/>
  <c r="K799" i="2"/>
  <c r="L799" i="2"/>
  <c r="M799" i="2"/>
  <c r="N799" i="2"/>
  <c r="O799" i="2"/>
  <c r="B800" i="2"/>
  <c r="C800" i="2"/>
  <c r="D800" i="2"/>
  <c r="E800" i="2"/>
  <c r="F800" i="2"/>
  <c r="G800" i="2"/>
  <c r="H800" i="2"/>
  <c r="I800" i="2"/>
  <c r="J800" i="2"/>
  <c r="K800" i="2"/>
  <c r="L800" i="2"/>
  <c r="M800" i="2"/>
  <c r="N800" i="2"/>
  <c r="O800" i="2"/>
  <c r="B801" i="2"/>
  <c r="C801" i="2"/>
  <c r="D801" i="2"/>
  <c r="E801" i="2"/>
  <c r="F801" i="2"/>
  <c r="G801" i="2"/>
  <c r="H801" i="2"/>
  <c r="I801" i="2"/>
  <c r="J801" i="2"/>
  <c r="K801" i="2"/>
  <c r="L801" i="2"/>
  <c r="M801" i="2"/>
  <c r="N801" i="2"/>
  <c r="O801" i="2"/>
  <c r="B802" i="2"/>
  <c r="C802" i="2"/>
  <c r="D802" i="2"/>
  <c r="E802" i="2"/>
  <c r="F802" i="2"/>
  <c r="G802" i="2"/>
  <c r="H802" i="2"/>
  <c r="I802" i="2"/>
  <c r="J802" i="2"/>
  <c r="K802" i="2"/>
  <c r="L802" i="2"/>
  <c r="M802" i="2"/>
  <c r="N802" i="2"/>
  <c r="O802" i="2"/>
  <c r="B803" i="2"/>
  <c r="C803" i="2"/>
  <c r="D803" i="2"/>
  <c r="E803" i="2"/>
  <c r="F803" i="2"/>
  <c r="G803" i="2"/>
  <c r="H803" i="2"/>
  <c r="I803" i="2"/>
  <c r="J803" i="2"/>
  <c r="K803" i="2"/>
  <c r="L803" i="2"/>
  <c r="M803" i="2"/>
  <c r="N803" i="2"/>
  <c r="O803" i="2"/>
  <c r="B804" i="2"/>
  <c r="C804" i="2"/>
  <c r="D804" i="2"/>
  <c r="E804" i="2"/>
  <c r="F804" i="2"/>
  <c r="G804" i="2"/>
  <c r="H804" i="2"/>
  <c r="I804" i="2"/>
  <c r="J804" i="2"/>
  <c r="K804" i="2"/>
  <c r="L804" i="2"/>
  <c r="M804" i="2"/>
  <c r="N804" i="2"/>
  <c r="O804" i="2"/>
  <c r="B805" i="2"/>
  <c r="C805" i="2"/>
  <c r="D805" i="2"/>
  <c r="E805" i="2"/>
  <c r="F805" i="2"/>
  <c r="G805" i="2"/>
  <c r="H805" i="2"/>
  <c r="I805" i="2"/>
  <c r="J805" i="2"/>
  <c r="K805" i="2"/>
  <c r="L805" i="2"/>
  <c r="M805" i="2"/>
  <c r="N805" i="2"/>
  <c r="O805" i="2"/>
  <c r="B806" i="2"/>
  <c r="C806" i="2"/>
  <c r="D806" i="2"/>
  <c r="E806" i="2"/>
  <c r="F806" i="2"/>
  <c r="G806" i="2"/>
  <c r="H806" i="2"/>
  <c r="H1137" i="2" s="1"/>
  <c r="I806" i="2"/>
  <c r="J806" i="2"/>
  <c r="K806" i="2"/>
  <c r="L806" i="2"/>
  <c r="L1137" i="2" s="1"/>
  <c r="M806" i="2"/>
  <c r="N806" i="2"/>
  <c r="O806" i="2"/>
  <c r="B807" i="2"/>
  <c r="C807" i="2"/>
  <c r="D807" i="2"/>
  <c r="E807" i="2"/>
  <c r="F807" i="2"/>
  <c r="G807" i="2"/>
  <c r="H807" i="2"/>
  <c r="I807" i="2"/>
  <c r="J807" i="2"/>
  <c r="K807" i="2"/>
  <c r="L807" i="2"/>
  <c r="M807" i="2"/>
  <c r="N807" i="2"/>
  <c r="O807" i="2"/>
  <c r="B808" i="2"/>
  <c r="C808" i="2"/>
  <c r="D808" i="2"/>
  <c r="E808" i="2"/>
  <c r="F808" i="2"/>
  <c r="G808" i="2"/>
  <c r="H808" i="2"/>
  <c r="I808" i="2"/>
  <c r="J808" i="2"/>
  <c r="K808" i="2"/>
  <c r="L808" i="2"/>
  <c r="M808" i="2"/>
  <c r="N808" i="2"/>
  <c r="O808" i="2"/>
  <c r="B809" i="2"/>
  <c r="C809" i="2"/>
  <c r="D809" i="2"/>
  <c r="E809" i="2"/>
  <c r="F809" i="2"/>
  <c r="G809" i="2"/>
  <c r="H809" i="2"/>
  <c r="I809" i="2"/>
  <c r="J809" i="2"/>
  <c r="K809" i="2"/>
  <c r="L809" i="2"/>
  <c r="M809" i="2"/>
  <c r="N809" i="2"/>
  <c r="O809" i="2"/>
  <c r="B810" i="2"/>
  <c r="C810" i="2"/>
  <c r="D810" i="2"/>
  <c r="E810" i="2"/>
  <c r="F810" i="2"/>
  <c r="G810" i="2"/>
  <c r="H810" i="2"/>
  <c r="I810" i="2"/>
  <c r="J810" i="2"/>
  <c r="K810" i="2"/>
  <c r="L810" i="2"/>
  <c r="M810" i="2"/>
  <c r="N810" i="2"/>
  <c r="O810" i="2"/>
  <c r="B811" i="2"/>
  <c r="C811" i="2"/>
  <c r="D811" i="2"/>
  <c r="E811" i="2"/>
  <c r="F811" i="2"/>
  <c r="G811" i="2"/>
  <c r="H811" i="2"/>
  <c r="I811" i="2"/>
  <c r="J811" i="2"/>
  <c r="K811" i="2"/>
  <c r="L811" i="2"/>
  <c r="M811" i="2"/>
  <c r="N811" i="2"/>
  <c r="O811" i="2"/>
  <c r="B812" i="2"/>
  <c r="C812" i="2"/>
  <c r="D812" i="2"/>
  <c r="E812" i="2"/>
  <c r="F812" i="2"/>
  <c r="G812" i="2"/>
  <c r="H812" i="2"/>
  <c r="I812" i="2"/>
  <c r="J812" i="2"/>
  <c r="K812" i="2"/>
  <c r="L812" i="2"/>
  <c r="M812" i="2"/>
  <c r="N812" i="2"/>
  <c r="O812" i="2"/>
  <c r="B813" i="2"/>
  <c r="C813" i="2"/>
  <c r="D813" i="2"/>
  <c r="E813" i="2"/>
  <c r="F813" i="2"/>
  <c r="G813" i="2"/>
  <c r="H813" i="2"/>
  <c r="I813" i="2"/>
  <c r="J813" i="2"/>
  <c r="K813" i="2"/>
  <c r="L813" i="2"/>
  <c r="M813" i="2"/>
  <c r="N813" i="2"/>
  <c r="O813" i="2"/>
  <c r="B814" i="2"/>
  <c r="C814" i="2"/>
  <c r="D814" i="2"/>
  <c r="E814" i="2"/>
  <c r="F814" i="2"/>
  <c r="G814" i="2"/>
  <c r="H814" i="2"/>
  <c r="I814" i="2"/>
  <c r="J814" i="2"/>
  <c r="K814" i="2"/>
  <c r="L814" i="2"/>
  <c r="M814" i="2"/>
  <c r="N814" i="2"/>
  <c r="O814" i="2"/>
  <c r="B815" i="2"/>
  <c r="C815" i="2"/>
  <c r="D815" i="2"/>
  <c r="E815" i="2"/>
  <c r="F815" i="2"/>
  <c r="G815" i="2"/>
  <c r="H815" i="2"/>
  <c r="I815" i="2"/>
  <c r="J815" i="2"/>
  <c r="K815" i="2"/>
  <c r="L815" i="2"/>
  <c r="M815" i="2"/>
  <c r="N815" i="2"/>
  <c r="O815" i="2"/>
  <c r="B816" i="2"/>
  <c r="C816" i="2"/>
  <c r="D816" i="2"/>
  <c r="E816" i="2"/>
  <c r="F816" i="2"/>
  <c r="G816" i="2"/>
  <c r="H816" i="2"/>
  <c r="I816" i="2"/>
  <c r="J816" i="2"/>
  <c r="K816" i="2"/>
  <c r="L816" i="2"/>
  <c r="M816" i="2"/>
  <c r="N816" i="2"/>
  <c r="O816" i="2"/>
  <c r="B817" i="2"/>
  <c r="C817" i="2"/>
  <c r="D817" i="2"/>
  <c r="E817" i="2"/>
  <c r="F817" i="2"/>
  <c r="G817" i="2"/>
  <c r="H817" i="2"/>
  <c r="I817" i="2"/>
  <c r="J817" i="2"/>
  <c r="K817" i="2"/>
  <c r="L817" i="2"/>
  <c r="M817" i="2"/>
  <c r="N817" i="2"/>
  <c r="O817" i="2"/>
  <c r="B818" i="2"/>
  <c r="C818" i="2"/>
  <c r="D818" i="2"/>
  <c r="E818" i="2"/>
  <c r="F818" i="2"/>
  <c r="G818" i="2"/>
  <c r="H818" i="2"/>
  <c r="I818" i="2"/>
  <c r="J818" i="2"/>
  <c r="K818" i="2"/>
  <c r="L818" i="2"/>
  <c r="M818" i="2"/>
  <c r="N818" i="2"/>
  <c r="O818" i="2"/>
  <c r="B819" i="2"/>
  <c r="B1138" i="2" s="1"/>
  <c r="C819" i="2"/>
  <c r="D819" i="2"/>
  <c r="E819" i="2"/>
  <c r="F819" i="2"/>
  <c r="G819" i="2"/>
  <c r="H819" i="2"/>
  <c r="I819" i="2"/>
  <c r="J819" i="2"/>
  <c r="J1138" i="2" s="1"/>
  <c r="K819" i="2"/>
  <c r="L819" i="2"/>
  <c r="M819" i="2"/>
  <c r="N819" i="2"/>
  <c r="N1138" i="2" s="1"/>
  <c r="O819" i="2"/>
  <c r="B820" i="2"/>
  <c r="C820" i="2"/>
  <c r="D820" i="2"/>
  <c r="E820" i="2"/>
  <c r="F820" i="2"/>
  <c r="G820" i="2"/>
  <c r="H820" i="2"/>
  <c r="I820" i="2"/>
  <c r="J820" i="2"/>
  <c r="K820" i="2"/>
  <c r="L820" i="2"/>
  <c r="M820" i="2"/>
  <c r="N820" i="2"/>
  <c r="O820" i="2"/>
  <c r="B821" i="2"/>
  <c r="C821" i="2"/>
  <c r="D821" i="2"/>
  <c r="E821" i="2"/>
  <c r="F821" i="2"/>
  <c r="G821" i="2"/>
  <c r="H821" i="2"/>
  <c r="I821" i="2"/>
  <c r="J821" i="2"/>
  <c r="K821" i="2"/>
  <c r="L821" i="2"/>
  <c r="M821" i="2"/>
  <c r="N821" i="2"/>
  <c r="O821" i="2"/>
  <c r="B822" i="2"/>
  <c r="C822" i="2"/>
  <c r="D822" i="2"/>
  <c r="E822" i="2"/>
  <c r="F822" i="2"/>
  <c r="G822" i="2"/>
  <c r="H822" i="2"/>
  <c r="I822" i="2"/>
  <c r="J822" i="2"/>
  <c r="K822" i="2"/>
  <c r="L822" i="2"/>
  <c r="M822" i="2"/>
  <c r="N822" i="2"/>
  <c r="O822" i="2"/>
  <c r="B823" i="2"/>
  <c r="C823" i="2"/>
  <c r="D823" i="2"/>
  <c r="E823" i="2"/>
  <c r="F823" i="2"/>
  <c r="G823" i="2"/>
  <c r="H823" i="2"/>
  <c r="I823" i="2"/>
  <c r="J823" i="2"/>
  <c r="K823" i="2"/>
  <c r="L823" i="2"/>
  <c r="M823" i="2"/>
  <c r="N823" i="2"/>
  <c r="O823" i="2"/>
  <c r="B824" i="2"/>
  <c r="C824" i="2"/>
  <c r="D824" i="2"/>
  <c r="E824" i="2"/>
  <c r="F824" i="2"/>
  <c r="G824" i="2"/>
  <c r="H824" i="2"/>
  <c r="I824" i="2"/>
  <c r="J824" i="2"/>
  <c r="K824" i="2"/>
  <c r="L824" i="2"/>
  <c r="M824" i="2"/>
  <c r="N824" i="2"/>
  <c r="O824" i="2"/>
  <c r="B825" i="2"/>
  <c r="C825" i="2"/>
  <c r="D825" i="2"/>
  <c r="E825" i="2"/>
  <c r="F825" i="2"/>
  <c r="G825" i="2"/>
  <c r="H825" i="2"/>
  <c r="I825" i="2"/>
  <c r="J825" i="2"/>
  <c r="K825" i="2"/>
  <c r="L825" i="2"/>
  <c r="M825" i="2"/>
  <c r="N825" i="2"/>
  <c r="O825" i="2"/>
  <c r="B826" i="2"/>
  <c r="C826" i="2"/>
  <c r="D826" i="2"/>
  <c r="E826" i="2"/>
  <c r="F826" i="2"/>
  <c r="G826" i="2"/>
  <c r="H826" i="2"/>
  <c r="I826" i="2"/>
  <c r="J826" i="2"/>
  <c r="K826" i="2"/>
  <c r="L826" i="2"/>
  <c r="M826" i="2"/>
  <c r="N826" i="2"/>
  <c r="O826" i="2"/>
  <c r="B827" i="2"/>
  <c r="C827" i="2"/>
  <c r="D827" i="2"/>
  <c r="E827" i="2"/>
  <c r="F827" i="2"/>
  <c r="G827" i="2"/>
  <c r="H827" i="2"/>
  <c r="I827" i="2"/>
  <c r="J827" i="2"/>
  <c r="K827" i="2"/>
  <c r="L827" i="2"/>
  <c r="M827" i="2"/>
  <c r="N827" i="2"/>
  <c r="O827" i="2"/>
  <c r="B828" i="2"/>
  <c r="C828" i="2"/>
  <c r="D828" i="2"/>
  <c r="E828" i="2"/>
  <c r="F828" i="2"/>
  <c r="G828" i="2"/>
  <c r="H828" i="2"/>
  <c r="I828" i="2"/>
  <c r="J828" i="2"/>
  <c r="K828" i="2"/>
  <c r="L828" i="2"/>
  <c r="M828" i="2"/>
  <c r="N828" i="2"/>
  <c r="O828" i="2"/>
  <c r="B829" i="2"/>
  <c r="C829" i="2"/>
  <c r="D829" i="2"/>
  <c r="E829" i="2"/>
  <c r="F829" i="2"/>
  <c r="G829" i="2"/>
  <c r="H829" i="2"/>
  <c r="I829" i="2"/>
  <c r="J829" i="2"/>
  <c r="K829" i="2"/>
  <c r="L829" i="2"/>
  <c r="M829" i="2"/>
  <c r="N829" i="2"/>
  <c r="O829" i="2"/>
  <c r="B830" i="2"/>
  <c r="C830" i="2"/>
  <c r="D830" i="2"/>
  <c r="D1139" i="2" s="1"/>
  <c r="E830" i="2"/>
  <c r="F830" i="2"/>
  <c r="G830" i="2"/>
  <c r="H830" i="2"/>
  <c r="I830" i="2"/>
  <c r="J830" i="2"/>
  <c r="K830" i="2"/>
  <c r="L830" i="2"/>
  <c r="M830" i="2"/>
  <c r="N830" i="2"/>
  <c r="O830" i="2"/>
  <c r="B831" i="2"/>
  <c r="C831" i="2"/>
  <c r="D831" i="2"/>
  <c r="E831" i="2"/>
  <c r="F831" i="2"/>
  <c r="G831" i="2"/>
  <c r="H831" i="2"/>
  <c r="I831" i="2"/>
  <c r="J831" i="2"/>
  <c r="J1139" i="2" s="1"/>
  <c r="K831" i="2"/>
  <c r="L831" i="2"/>
  <c r="M831" i="2"/>
  <c r="N831" i="2"/>
  <c r="N1139" i="2" s="1"/>
  <c r="O831" i="2"/>
  <c r="B832" i="2"/>
  <c r="C832" i="2"/>
  <c r="D832" i="2"/>
  <c r="E832" i="2"/>
  <c r="F832" i="2"/>
  <c r="G832" i="2"/>
  <c r="H832" i="2"/>
  <c r="I832" i="2"/>
  <c r="J832" i="2"/>
  <c r="K832" i="2"/>
  <c r="L832" i="2"/>
  <c r="M832" i="2"/>
  <c r="N832" i="2"/>
  <c r="O832" i="2"/>
  <c r="B833" i="2"/>
  <c r="C833" i="2"/>
  <c r="D833" i="2"/>
  <c r="E833" i="2"/>
  <c r="F833" i="2"/>
  <c r="G833" i="2"/>
  <c r="H833" i="2"/>
  <c r="I833" i="2"/>
  <c r="J833" i="2"/>
  <c r="K833" i="2"/>
  <c r="L833" i="2"/>
  <c r="M833" i="2"/>
  <c r="N833" i="2"/>
  <c r="O833" i="2"/>
  <c r="B834" i="2"/>
  <c r="C834" i="2"/>
  <c r="D834" i="2"/>
  <c r="E834" i="2"/>
  <c r="F834" i="2"/>
  <c r="G834" i="2"/>
  <c r="H834" i="2"/>
  <c r="I834" i="2"/>
  <c r="J834" i="2"/>
  <c r="K834" i="2"/>
  <c r="L834" i="2"/>
  <c r="M834" i="2"/>
  <c r="N834" i="2"/>
  <c r="O834" i="2"/>
  <c r="B835" i="2"/>
  <c r="C835" i="2"/>
  <c r="D835" i="2"/>
  <c r="E835" i="2"/>
  <c r="F835" i="2"/>
  <c r="G835" i="2"/>
  <c r="H835" i="2"/>
  <c r="I835" i="2"/>
  <c r="J835" i="2"/>
  <c r="K835" i="2"/>
  <c r="L835" i="2"/>
  <c r="M835" i="2"/>
  <c r="N835" i="2"/>
  <c r="O835" i="2"/>
  <c r="B836" i="2"/>
  <c r="C836" i="2"/>
  <c r="D836" i="2"/>
  <c r="E836" i="2"/>
  <c r="F836" i="2"/>
  <c r="G836" i="2"/>
  <c r="H836" i="2"/>
  <c r="I836" i="2"/>
  <c r="J836" i="2"/>
  <c r="K836" i="2"/>
  <c r="L836" i="2"/>
  <c r="M836" i="2"/>
  <c r="N836" i="2"/>
  <c r="O836" i="2"/>
  <c r="B837" i="2"/>
  <c r="C837" i="2"/>
  <c r="D837" i="2"/>
  <c r="E837" i="2"/>
  <c r="F837" i="2"/>
  <c r="G837" i="2"/>
  <c r="H837" i="2"/>
  <c r="I837" i="2"/>
  <c r="J837" i="2"/>
  <c r="K837" i="2"/>
  <c r="L837" i="2"/>
  <c r="M837" i="2"/>
  <c r="N837" i="2"/>
  <c r="O837" i="2"/>
  <c r="B838" i="2"/>
  <c r="C838" i="2"/>
  <c r="D838" i="2"/>
  <c r="E838" i="2"/>
  <c r="F838" i="2"/>
  <c r="G838" i="2"/>
  <c r="H838" i="2"/>
  <c r="I838" i="2"/>
  <c r="J838" i="2"/>
  <c r="K838" i="2"/>
  <c r="L838" i="2"/>
  <c r="M838" i="2"/>
  <c r="N838" i="2"/>
  <c r="O838" i="2"/>
  <c r="B839" i="2"/>
  <c r="C839" i="2"/>
  <c r="D839" i="2"/>
  <c r="E839" i="2"/>
  <c r="F839" i="2"/>
  <c r="G839" i="2"/>
  <c r="H839" i="2"/>
  <c r="I839" i="2"/>
  <c r="J839" i="2"/>
  <c r="K839" i="2"/>
  <c r="L839" i="2"/>
  <c r="M839" i="2"/>
  <c r="N839" i="2"/>
  <c r="O839" i="2"/>
  <c r="B840" i="2"/>
  <c r="C840" i="2"/>
  <c r="D840" i="2"/>
  <c r="E840" i="2"/>
  <c r="F840" i="2"/>
  <c r="G840" i="2"/>
  <c r="H840" i="2"/>
  <c r="I840" i="2"/>
  <c r="J840" i="2"/>
  <c r="K840" i="2"/>
  <c r="L840" i="2"/>
  <c r="M840" i="2"/>
  <c r="N840" i="2"/>
  <c r="O840" i="2"/>
  <c r="B841" i="2"/>
  <c r="C841" i="2"/>
  <c r="D841" i="2"/>
  <c r="E841" i="2"/>
  <c r="F841" i="2"/>
  <c r="G841" i="2"/>
  <c r="H841" i="2"/>
  <c r="I841" i="2"/>
  <c r="J841" i="2"/>
  <c r="K841" i="2"/>
  <c r="L841" i="2"/>
  <c r="M841" i="2"/>
  <c r="N841" i="2"/>
  <c r="O841" i="2"/>
  <c r="B842" i="2"/>
  <c r="C842" i="2"/>
  <c r="D842" i="2"/>
  <c r="D1140" i="2" s="1"/>
  <c r="E842" i="2"/>
  <c r="F842" i="2"/>
  <c r="G842" i="2"/>
  <c r="H842" i="2"/>
  <c r="H1140" i="2" s="1"/>
  <c r="I842" i="2"/>
  <c r="J842" i="2"/>
  <c r="K842" i="2"/>
  <c r="L842" i="2"/>
  <c r="L1140" i="2" s="1"/>
  <c r="M842" i="2"/>
  <c r="N842" i="2"/>
  <c r="O842" i="2"/>
  <c r="B843" i="2"/>
  <c r="C843" i="2"/>
  <c r="D843" i="2"/>
  <c r="E843" i="2"/>
  <c r="F843" i="2"/>
  <c r="G843" i="2"/>
  <c r="H843" i="2"/>
  <c r="I843" i="2"/>
  <c r="J843" i="2"/>
  <c r="K843" i="2"/>
  <c r="L843" i="2"/>
  <c r="M843" i="2"/>
  <c r="N843" i="2"/>
  <c r="O843" i="2"/>
  <c r="B844" i="2"/>
  <c r="C844" i="2"/>
  <c r="D844" i="2"/>
  <c r="E844" i="2"/>
  <c r="F844" i="2"/>
  <c r="G844" i="2"/>
  <c r="H844" i="2"/>
  <c r="I844" i="2"/>
  <c r="J844" i="2"/>
  <c r="K844" i="2"/>
  <c r="L844" i="2"/>
  <c r="M844" i="2"/>
  <c r="N844" i="2"/>
  <c r="O844" i="2"/>
  <c r="B845" i="2"/>
  <c r="C845" i="2"/>
  <c r="D845" i="2"/>
  <c r="E845" i="2"/>
  <c r="F845" i="2"/>
  <c r="G845" i="2"/>
  <c r="H845" i="2"/>
  <c r="I845" i="2"/>
  <c r="J845" i="2"/>
  <c r="K845" i="2"/>
  <c r="L845" i="2"/>
  <c r="M845" i="2"/>
  <c r="N845" i="2"/>
  <c r="O845" i="2"/>
  <c r="B846" i="2"/>
  <c r="C846" i="2"/>
  <c r="D846" i="2"/>
  <c r="E846" i="2"/>
  <c r="F846" i="2"/>
  <c r="G846" i="2"/>
  <c r="H846" i="2"/>
  <c r="I846" i="2"/>
  <c r="J846" i="2"/>
  <c r="K846" i="2"/>
  <c r="L846" i="2"/>
  <c r="M846" i="2"/>
  <c r="N846" i="2"/>
  <c r="O846" i="2"/>
  <c r="B847" i="2"/>
  <c r="C847" i="2"/>
  <c r="D847" i="2"/>
  <c r="E847" i="2"/>
  <c r="F847" i="2"/>
  <c r="G847" i="2"/>
  <c r="H847" i="2"/>
  <c r="I847" i="2"/>
  <c r="J847" i="2"/>
  <c r="K847" i="2"/>
  <c r="L847" i="2"/>
  <c r="M847" i="2"/>
  <c r="N847" i="2"/>
  <c r="O847" i="2"/>
  <c r="B848" i="2"/>
  <c r="C848" i="2"/>
  <c r="D848" i="2"/>
  <c r="E848" i="2"/>
  <c r="F848" i="2"/>
  <c r="G848" i="2"/>
  <c r="H848" i="2"/>
  <c r="I848" i="2"/>
  <c r="J848" i="2"/>
  <c r="K848" i="2"/>
  <c r="L848" i="2"/>
  <c r="M848" i="2"/>
  <c r="N848" i="2"/>
  <c r="O848" i="2"/>
  <c r="B849" i="2"/>
  <c r="C849" i="2"/>
  <c r="D849" i="2"/>
  <c r="E849" i="2"/>
  <c r="F849" i="2"/>
  <c r="G849" i="2"/>
  <c r="H849" i="2"/>
  <c r="I849" i="2"/>
  <c r="J849" i="2"/>
  <c r="K849" i="2"/>
  <c r="L849" i="2"/>
  <c r="M849" i="2"/>
  <c r="N849" i="2"/>
  <c r="O849" i="2"/>
  <c r="B850" i="2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B851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B852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B853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B854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B855" i="2"/>
  <c r="B1141" i="2" s="1"/>
  <c r="C855" i="2"/>
  <c r="D855" i="2"/>
  <c r="E855" i="2"/>
  <c r="F855" i="2"/>
  <c r="F1141" i="2" s="1"/>
  <c r="G855" i="2"/>
  <c r="H855" i="2"/>
  <c r="I855" i="2"/>
  <c r="J855" i="2"/>
  <c r="J1141" i="2" s="1"/>
  <c r="K855" i="2"/>
  <c r="L855" i="2"/>
  <c r="M855" i="2"/>
  <c r="N855" i="2"/>
  <c r="N1141" i="2" s="1"/>
  <c r="O855" i="2"/>
  <c r="B856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B857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B858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B859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B860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B861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B862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B863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B864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B865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B866" i="2"/>
  <c r="C866" i="2"/>
  <c r="D866" i="2"/>
  <c r="D1142" i="2" s="1"/>
  <c r="E866" i="2"/>
  <c r="F866" i="2"/>
  <c r="G866" i="2"/>
  <c r="H866" i="2"/>
  <c r="H1142" i="2" s="1"/>
  <c r="I866" i="2"/>
  <c r="J866" i="2"/>
  <c r="K866" i="2"/>
  <c r="L866" i="2"/>
  <c r="L1142" i="2" s="1"/>
  <c r="M866" i="2"/>
  <c r="N866" i="2"/>
  <c r="O866" i="2"/>
  <c r="B867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B868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B869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B870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B871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B872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B873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B874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B875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B876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B877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B878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B879" i="2"/>
  <c r="B1143" i="2" s="1"/>
  <c r="C879" i="2"/>
  <c r="D879" i="2"/>
  <c r="E879" i="2"/>
  <c r="F879" i="2"/>
  <c r="F1143" i="2" s="1"/>
  <c r="G879" i="2"/>
  <c r="H879" i="2"/>
  <c r="I879" i="2"/>
  <c r="J879" i="2"/>
  <c r="J1143" i="2" s="1"/>
  <c r="K879" i="2"/>
  <c r="L879" i="2"/>
  <c r="M879" i="2"/>
  <c r="N879" i="2"/>
  <c r="N1143" i="2" s="1"/>
  <c r="O879" i="2"/>
  <c r="B880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B881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B882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B883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B884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B885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B886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B887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B888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B889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B890" i="2"/>
  <c r="C890" i="2"/>
  <c r="D890" i="2"/>
  <c r="D1144" i="2" s="1"/>
  <c r="E890" i="2"/>
  <c r="F890" i="2"/>
  <c r="G890" i="2"/>
  <c r="H890" i="2"/>
  <c r="H1144" i="2" s="1"/>
  <c r="I890" i="2"/>
  <c r="J890" i="2"/>
  <c r="K890" i="2"/>
  <c r="L890" i="2"/>
  <c r="L1144" i="2" s="1"/>
  <c r="M890" i="2"/>
  <c r="N890" i="2"/>
  <c r="O890" i="2"/>
  <c r="B891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B892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B893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B894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B895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B896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B897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B898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B899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B900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B901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B902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B903" i="2"/>
  <c r="B1145" i="2" s="1"/>
  <c r="C903" i="2"/>
  <c r="D903" i="2"/>
  <c r="E903" i="2"/>
  <c r="F903" i="2"/>
  <c r="F1145" i="2" s="1"/>
  <c r="G903" i="2"/>
  <c r="H903" i="2"/>
  <c r="I903" i="2"/>
  <c r="J903" i="2"/>
  <c r="J1145" i="2" s="1"/>
  <c r="K903" i="2"/>
  <c r="L903" i="2"/>
  <c r="M903" i="2"/>
  <c r="N903" i="2"/>
  <c r="N1145" i="2" s="1"/>
  <c r="O903" i="2"/>
  <c r="B904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B905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B906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B907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B908" i="2"/>
  <c r="C908" i="2"/>
  <c r="D908" i="2"/>
  <c r="E908" i="2"/>
  <c r="F908" i="2"/>
  <c r="G908" i="2"/>
  <c r="H908" i="2"/>
  <c r="I908" i="2"/>
  <c r="J908" i="2"/>
  <c r="K908" i="2"/>
  <c r="L908" i="2"/>
  <c r="M908" i="2"/>
  <c r="N908" i="2"/>
  <c r="O908" i="2"/>
  <c r="B909" i="2"/>
  <c r="C909" i="2"/>
  <c r="D909" i="2"/>
  <c r="E909" i="2"/>
  <c r="F909" i="2"/>
  <c r="G909" i="2"/>
  <c r="H909" i="2"/>
  <c r="I909" i="2"/>
  <c r="J909" i="2"/>
  <c r="K909" i="2"/>
  <c r="L909" i="2"/>
  <c r="M909" i="2"/>
  <c r="N909" i="2"/>
  <c r="O909" i="2"/>
  <c r="B910" i="2"/>
  <c r="C910" i="2"/>
  <c r="D910" i="2"/>
  <c r="E910" i="2"/>
  <c r="F910" i="2"/>
  <c r="G910" i="2"/>
  <c r="H910" i="2"/>
  <c r="I910" i="2"/>
  <c r="J910" i="2"/>
  <c r="K910" i="2"/>
  <c r="L910" i="2"/>
  <c r="M910" i="2"/>
  <c r="N910" i="2"/>
  <c r="O910" i="2"/>
  <c r="B911" i="2"/>
  <c r="C911" i="2"/>
  <c r="D911" i="2"/>
  <c r="E911" i="2"/>
  <c r="F911" i="2"/>
  <c r="G911" i="2"/>
  <c r="H911" i="2"/>
  <c r="I911" i="2"/>
  <c r="J911" i="2"/>
  <c r="K911" i="2"/>
  <c r="L911" i="2"/>
  <c r="M911" i="2"/>
  <c r="N911" i="2"/>
  <c r="O911" i="2"/>
  <c r="B912" i="2"/>
  <c r="C912" i="2"/>
  <c r="D912" i="2"/>
  <c r="E912" i="2"/>
  <c r="F912" i="2"/>
  <c r="G912" i="2"/>
  <c r="H912" i="2"/>
  <c r="I912" i="2"/>
  <c r="J912" i="2"/>
  <c r="K912" i="2"/>
  <c r="L912" i="2"/>
  <c r="M912" i="2"/>
  <c r="N912" i="2"/>
  <c r="O912" i="2"/>
  <c r="B913" i="2"/>
  <c r="C913" i="2"/>
  <c r="D913" i="2"/>
  <c r="E913" i="2"/>
  <c r="F913" i="2"/>
  <c r="G913" i="2"/>
  <c r="H913" i="2"/>
  <c r="I913" i="2"/>
  <c r="J913" i="2"/>
  <c r="K913" i="2"/>
  <c r="L913" i="2"/>
  <c r="M913" i="2"/>
  <c r="N913" i="2"/>
  <c r="O913" i="2"/>
  <c r="B914" i="2"/>
  <c r="C914" i="2"/>
  <c r="D914" i="2"/>
  <c r="D1146" i="2" s="1"/>
  <c r="E914" i="2"/>
  <c r="F914" i="2"/>
  <c r="G914" i="2"/>
  <c r="H914" i="2"/>
  <c r="H1146" i="2" s="1"/>
  <c r="I914" i="2"/>
  <c r="J914" i="2"/>
  <c r="K914" i="2"/>
  <c r="L914" i="2"/>
  <c r="L1146" i="2" s="1"/>
  <c r="M914" i="2"/>
  <c r="N914" i="2"/>
  <c r="O914" i="2"/>
  <c r="B915" i="2"/>
  <c r="C915" i="2"/>
  <c r="D915" i="2"/>
  <c r="E915" i="2"/>
  <c r="F915" i="2"/>
  <c r="G915" i="2"/>
  <c r="H915" i="2"/>
  <c r="I915" i="2"/>
  <c r="J915" i="2"/>
  <c r="K915" i="2"/>
  <c r="L915" i="2"/>
  <c r="M915" i="2"/>
  <c r="N915" i="2"/>
  <c r="O915" i="2"/>
  <c r="B916" i="2"/>
  <c r="C916" i="2"/>
  <c r="D916" i="2"/>
  <c r="E916" i="2"/>
  <c r="F916" i="2"/>
  <c r="G916" i="2"/>
  <c r="H916" i="2"/>
  <c r="I916" i="2"/>
  <c r="J916" i="2"/>
  <c r="K916" i="2"/>
  <c r="L916" i="2"/>
  <c r="M916" i="2"/>
  <c r="N916" i="2"/>
  <c r="O916" i="2"/>
  <c r="B917" i="2"/>
  <c r="C917" i="2"/>
  <c r="D917" i="2"/>
  <c r="E917" i="2"/>
  <c r="F917" i="2"/>
  <c r="G917" i="2"/>
  <c r="H917" i="2"/>
  <c r="I917" i="2"/>
  <c r="J917" i="2"/>
  <c r="K917" i="2"/>
  <c r="L917" i="2"/>
  <c r="M917" i="2"/>
  <c r="N917" i="2"/>
  <c r="O917" i="2"/>
  <c r="B918" i="2"/>
  <c r="C918" i="2"/>
  <c r="D918" i="2"/>
  <c r="E918" i="2"/>
  <c r="F918" i="2"/>
  <c r="G918" i="2"/>
  <c r="H918" i="2"/>
  <c r="I918" i="2"/>
  <c r="J918" i="2"/>
  <c r="K918" i="2"/>
  <c r="L918" i="2"/>
  <c r="M918" i="2"/>
  <c r="N918" i="2"/>
  <c r="O918" i="2"/>
  <c r="B919" i="2"/>
  <c r="C919" i="2"/>
  <c r="D919" i="2"/>
  <c r="E919" i="2"/>
  <c r="F919" i="2"/>
  <c r="G919" i="2"/>
  <c r="H919" i="2"/>
  <c r="I919" i="2"/>
  <c r="J919" i="2"/>
  <c r="K919" i="2"/>
  <c r="L919" i="2"/>
  <c r="M919" i="2"/>
  <c r="N919" i="2"/>
  <c r="O919" i="2"/>
  <c r="B920" i="2"/>
  <c r="C920" i="2"/>
  <c r="D920" i="2"/>
  <c r="E920" i="2"/>
  <c r="F920" i="2"/>
  <c r="G920" i="2"/>
  <c r="H920" i="2"/>
  <c r="I920" i="2"/>
  <c r="J920" i="2"/>
  <c r="K920" i="2"/>
  <c r="L920" i="2"/>
  <c r="M920" i="2"/>
  <c r="N920" i="2"/>
  <c r="O920" i="2"/>
  <c r="B921" i="2"/>
  <c r="C921" i="2"/>
  <c r="D921" i="2"/>
  <c r="E921" i="2"/>
  <c r="F921" i="2"/>
  <c r="G921" i="2"/>
  <c r="H921" i="2"/>
  <c r="I921" i="2"/>
  <c r="J921" i="2"/>
  <c r="K921" i="2"/>
  <c r="L921" i="2"/>
  <c r="M921" i="2"/>
  <c r="N921" i="2"/>
  <c r="O921" i="2"/>
  <c r="B922" i="2"/>
  <c r="C922" i="2"/>
  <c r="D922" i="2"/>
  <c r="E922" i="2"/>
  <c r="F922" i="2"/>
  <c r="G922" i="2"/>
  <c r="H922" i="2"/>
  <c r="I922" i="2"/>
  <c r="J922" i="2"/>
  <c r="K922" i="2"/>
  <c r="L922" i="2"/>
  <c r="M922" i="2"/>
  <c r="N922" i="2"/>
  <c r="O922" i="2"/>
  <c r="B923" i="2"/>
  <c r="C923" i="2"/>
  <c r="D923" i="2"/>
  <c r="E923" i="2"/>
  <c r="F923" i="2"/>
  <c r="G923" i="2"/>
  <c r="H923" i="2"/>
  <c r="I923" i="2"/>
  <c r="J923" i="2"/>
  <c r="K923" i="2"/>
  <c r="L923" i="2"/>
  <c r="M923" i="2"/>
  <c r="N923" i="2"/>
  <c r="O923" i="2"/>
  <c r="B924" i="2"/>
  <c r="C924" i="2"/>
  <c r="D924" i="2"/>
  <c r="E924" i="2"/>
  <c r="F924" i="2"/>
  <c r="G924" i="2"/>
  <c r="H924" i="2"/>
  <c r="I924" i="2"/>
  <c r="J924" i="2"/>
  <c r="K924" i="2"/>
  <c r="L924" i="2"/>
  <c r="M924" i="2"/>
  <c r="N924" i="2"/>
  <c r="O924" i="2"/>
  <c r="B925" i="2"/>
  <c r="C925" i="2"/>
  <c r="D925" i="2"/>
  <c r="E925" i="2"/>
  <c r="F925" i="2"/>
  <c r="G925" i="2"/>
  <c r="H925" i="2"/>
  <c r="I925" i="2"/>
  <c r="J925" i="2"/>
  <c r="K925" i="2"/>
  <c r="L925" i="2"/>
  <c r="M925" i="2"/>
  <c r="N925" i="2"/>
  <c r="O925" i="2"/>
  <c r="B926" i="2"/>
  <c r="C926" i="2"/>
  <c r="D926" i="2"/>
  <c r="E926" i="2"/>
  <c r="F926" i="2"/>
  <c r="G926" i="2"/>
  <c r="H926" i="2"/>
  <c r="I926" i="2"/>
  <c r="J926" i="2"/>
  <c r="K926" i="2"/>
  <c r="L926" i="2"/>
  <c r="M926" i="2"/>
  <c r="N926" i="2"/>
  <c r="O926" i="2"/>
  <c r="B927" i="2"/>
  <c r="B1147" i="2" s="1"/>
  <c r="C927" i="2"/>
  <c r="D927" i="2"/>
  <c r="E927" i="2"/>
  <c r="F927" i="2"/>
  <c r="F1147" i="2" s="1"/>
  <c r="G927" i="2"/>
  <c r="H927" i="2"/>
  <c r="I927" i="2"/>
  <c r="J927" i="2"/>
  <c r="J1147" i="2" s="1"/>
  <c r="K927" i="2"/>
  <c r="L927" i="2"/>
  <c r="M927" i="2"/>
  <c r="N927" i="2"/>
  <c r="N1147" i="2" s="1"/>
  <c r="O927" i="2"/>
  <c r="B928" i="2"/>
  <c r="C928" i="2"/>
  <c r="D928" i="2"/>
  <c r="E928" i="2"/>
  <c r="F928" i="2"/>
  <c r="G928" i="2"/>
  <c r="H928" i="2"/>
  <c r="I928" i="2"/>
  <c r="J928" i="2"/>
  <c r="K928" i="2"/>
  <c r="L928" i="2"/>
  <c r="M928" i="2"/>
  <c r="N928" i="2"/>
  <c r="O928" i="2"/>
  <c r="B929" i="2"/>
  <c r="C929" i="2"/>
  <c r="D929" i="2"/>
  <c r="E929" i="2"/>
  <c r="F929" i="2"/>
  <c r="G929" i="2"/>
  <c r="H929" i="2"/>
  <c r="I929" i="2"/>
  <c r="J929" i="2"/>
  <c r="K929" i="2"/>
  <c r="L929" i="2"/>
  <c r="M929" i="2"/>
  <c r="N929" i="2"/>
  <c r="O929" i="2"/>
  <c r="B930" i="2"/>
  <c r="C930" i="2"/>
  <c r="D930" i="2"/>
  <c r="E930" i="2"/>
  <c r="F930" i="2"/>
  <c r="G930" i="2"/>
  <c r="H930" i="2"/>
  <c r="I930" i="2"/>
  <c r="J930" i="2"/>
  <c r="K930" i="2"/>
  <c r="L930" i="2"/>
  <c r="M930" i="2"/>
  <c r="N930" i="2"/>
  <c r="O930" i="2"/>
  <c r="B931" i="2"/>
  <c r="C931" i="2"/>
  <c r="D931" i="2"/>
  <c r="E931" i="2"/>
  <c r="F931" i="2"/>
  <c r="G931" i="2"/>
  <c r="H931" i="2"/>
  <c r="I931" i="2"/>
  <c r="J931" i="2"/>
  <c r="K931" i="2"/>
  <c r="L931" i="2"/>
  <c r="M931" i="2"/>
  <c r="N931" i="2"/>
  <c r="O931" i="2"/>
  <c r="B932" i="2"/>
  <c r="C932" i="2"/>
  <c r="D932" i="2"/>
  <c r="E932" i="2"/>
  <c r="F932" i="2"/>
  <c r="G932" i="2"/>
  <c r="H932" i="2"/>
  <c r="I932" i="2"/>
  <c r="J932" i="2"/>
  <c r="K932" i="2"/>
  <c r="L932" i="2"/>
  <c r="M932" i="2"/>
  <c r="N932" i="2"/>
  <c r="O932" i="2"/>
  <c r="B933" i="2"/>
  <c r="C933" i="2"/>
  <c r="D933" i="2"/>
  <c r="E933" i="2"/>
  <c r="F933" i="2"/>
  <c r="G933" i="2"/>
  <c r="H933" i="2"/>
  <c r="I933" i="2"/>
  <c r="J933" i="2"/>
  <c r="K933" i="2"/>
  <c r="L933" i="2"/>
  <c r="M933" i="2"/>
  <c r="N933" i="2"/>
  <c r="O933" i="2"/>
  <c r="B934" i="2"/>
  <c r="C934" i="2"/>
  <c r="D934" i="2"/>
  <c r="E934" i="2"/>
  <c r="F934" i="2"/>
  <c r="G934" i="2"/>
  <c r="H934" i="2"/>
  <c r="I934" i="2"/>
  <c r="J934" i="2"/>
  <c r="K934" i="2"/>
  <c r="L934" i="2"/>
  <c r="M934" i="2"/>
  <c r="N934" i="2"/>
  <c r="O934" i="2"/>
  <c r="B935" i="2"/>
  <c r="C935" i="2"/>
  <c r="D935" i="2"/>
  <c r="E935" i="2"/>
  <c r="F935" i="2"/>
  <c r="G935" i="2"/>
  <c r="H935" i="2"/>
  <c r="I935" i="2"/>
  <c r="J935" i="2"/>
  <c r="K935" i="2"/>
  <c r="L935" i="2"/>
  <c r="M935" i="2"/>
  <c r="N935" i="2"/>
  <c r="O935" i="2"/>
  <c r="B936" i="2"/>
  <c r="C936" i="2"/>
  <c r="D936" i="2"/>
  <c r="E936" i="2"/>
  <c r="F936" i="2"/>
  <c r="G936" i="2"/>
  <c r="H936" i="2"/>
  <c r="I936" i="2"/>
  <c r="J936" i="2"/>
  <c r="K936" i="2"/>
  <c r="L936" i="2"/>
  <c r="M936" i="2"/>
  <c r="N936" i="2"/>
  <c r="O936" i="2"/>
  <c r="B937" i="2"/>
  <c r="C937" i="2"/>
  <c r="D937" i="2"/>
  <c r="E937" i="2"/>
  <c r="F937" i="2"/>
  <c r="G937" i="2"/>
  <c r="H937" i="2"/>
  <c r="I937" i="2"/>
  <c r="J937" i="2"/>
  <c r="K937" i="2"/>
  <c r="L937" i="2"/>
  <c r="M937" i="2"/>
  <c r="N937" i="2"/>
  <c r="O937" i="2"/>
  <c r="B938" i="2"/>
  <c r="C938" i="2"/>
  <c r="D938" i="2"/>
  <c r="D1148" i="2" s="1"/>
  <c r="E938" i="2"/>
  <c r="F938" i="2"/>
  <c r="G938" i="2"/>
  <c r="H938" i="2"/>
  <c r="H1148" i="2" s="1"/>
  <c r="I938" i="2"/>
  <c r="J938" i="2"/>
  <c r="K938" i="2"/>
  <c r="L938" i="2"/>
  <c r="L1148" i="2" s="1"/>
  <c r="M938" i="2"/>
  <c r="N938" i="2"/>
  <c r="O938" i="2"/>
  <c r="B939" i="2"/>
  <c r="C939" i="2"/>
  <c r="D939" i="2"/>
  <c r="E939" i="2"/>
  <c r="F939" i="2"/>
  <c r="G939" i="2"/>
  <c r="H939" i="2"/>
  <c r="I939" i="2"/>
  <c r="J939" i="2"/>
  <c r="K939" i="2"/>
  <c r="L939" i="2"/>
  <c r="M939" i="2"/>
  <c r="N939" i="2"/>
  <c r="O939" i="2"/>
  <c r="B940" i="2"/>
  <c r="C940" i="2"/>
  <c r="D940" i="2"/>
  <c r="E940" i="2"/>
  <c r="F940" i="2"/>
  <c r="G940" i="2"/>
  <c r="H940" i="2"/>
  <c r="I940" i="2"/>
  <c r="J940" i="2"/>
  <c r="K940" i="2"/>
  <c r="L940" i="2"/>
  <c r="M940" i="2"/>
  <c r="N940" i="2"/>
  <c r="O940" i="2"/>
  <c r="B941" i="2"/>
  <c r="C941" i="2"/>
  <c r="D941" i="2"/>
  <c r="E941" i="2"/>
  <c r="F941" i="2"/>
  <c r="G941" i="2"/>
  <c r="H941" i="2"/>
  <c r="I941" i="2"/>
  <c r="J941" i="2"/>
  <c r="K941" i="2"/>
  <c r="L941" i="2"/>
  <c r="M941" i="2"/>
  <c r="N941" i="2"/>
  <c r="O941" i="2"/>
  <c r="B942" i="2"/>
  <c r="C942" i="2"/>
  <c r="D942" i="2"/>
  <c r="E942" i="2"/>
  <c r="F942" i="2"/>
  <c r="G942" i="2"/>
  <c r="H942" i="2"/>
  <c r="I942" i="2"/>
  <c r="J942" i="2"/>
  <c r="K942" i="2"/>
  <c r="L942" i="2"/>
  <c r="M942" i="2"/>
  <c r="N942" i="2"/>
  <c r="O942" i="2"/>
  <c r="B943" i="2"/>
  <c r="C943" i="2"/>
  <c r="D943" i="2"/>
  <c r="E943" i="2"/>
  <c r="F943" i="2"/>
  <c r="G943" i="2"/>
  <c r="H943" i="2"/>
  <c r="I943" i="2"/>
  <c r="J943" i="2"/>
  <c r="K943" i="2"/>
  <c r="L943" i="2"/>
  <c r="M943" i="2"/>
  <c r="N943" i="2"/>
  <c r="O943" i="2"/>
  <c r="B944" i="2"/>
  <c r="C944" i="2"/>
  <c r="D944" i="2"/>
  <c r="E944" i="2"/>
  <c r="F944" i="2"/>
  <c r="G944" i="2"/>
  <c r="H944" i="2"/>
  <c r="I944" i="2"/>
  <c r="J944" i="2"/>
  <c r="K944" i="2"/>
  <c r="L944" i="2"/>
  <c r="M944" i="2"/>
  <c r="N944" i="2"/>
  <c r="O944" i="2"/>
  <c r="B945" i="2"/>
  <c r="C945" i="2"/>
  <c r="D945" i="2"/>
  <c r="E945" i="2"/>
  <c r="F945" i="2"/>
  <c r="G945" i="2"/>
  <c r="H945" i="2"/>
  <c r="I945" i="2"/>
  <c r="J945" i="2"/>
  <c r="K945" i="2"/>
  <c r="L945" i="2"/>
  <c r="M945" i="2"/>
  <c r="N945" i="2"/>
  <c r="O945" i="2"/>
  <c r="B946" i="2"/>
  <c r="C946" i="2"/>
  <c r="D946" i="2"/>
  <c r="E946" i="2"/>
  <c r="F946" i="2"/>
  <c r="G946" i="2"/>
  <c r="H946" i="2"/>
  <c r="I946" i="2"/>
  <c r="J946" i="2"/>
  <c r="K946" i="2"/>
  <c r="L946" i="2"/>
  <c r="M946" i="2"/>
  <c r="N946" i="2"/>
  <c r="O946" i="2"/>
  <c r="B947" i="2"/>
  <c r="C947" i="2"/>
  <c r="D947" i="2"/>
  <c r="E947" i="2"/>
  <c r="F947" i="2"/>
  <c r="G947" i="2"/>
  <c r="H947" i="2"/>
  <c r="I947" i="2"/>
  <c r="J947" i="2"/>
  <c r="K947" i="2"/>
  <c r="L947" i="2"/>
  <c r="M947" i="2"/>
  <c r="N947" i="2"/>
  <c r="O947" i="2"/>
  <c r="B948" i="2"/>
  <c r="C948" i="2"/>
  <c r="D948" i="2"/>
  <c r="E948" i="2"/>
  <c r="F948" i="2"/>
  <c r="G948" i="2"/>
  <c r="H948" i="2"/>
  <c r="I948" i="2"/>
  <c r="J948" i="2"/>
  <c r="K948" i="2"/>
  <c r="L948" i="2"/>
  <c r="M948" i="2"/>
  <c r="N948" i="2"/>
  <c r="O948" i="2"/>
  <c r="B949" i="2"/>
  <c r="C949" i="2"/>
  <c r="D949" i="2"/>
  <c r="E949" i="2"/>
  <c r="F949" i="2"/>
  <c r="G949" i="2"/>
  <c r="H949" i="2"/>
  <c r="I949" i="2"/>
  <c r="J949" i="2"/>
  <c r="K949" i="2"/>
  <c r="L949" i="2"/>
  <c r="M949" i="2"/>
  <c r="N949" i="2"/>
  <c r="O949" i="2"/>
  <c r="B950" i="2"/>
  <c r="C950" i="2"/>
  <c r="D950" i="2"/>
  <c r="E950" i="2"/>
  <c r="F950" i="2"/>
  <c r="G950" i="2"/>
  <c r="H950" i="2"/>
  <c r="I950" i="2"/>
  <c r="J950" i="2"/>
  <c r="K950" i="2"/>
  <c r="L950" i="2"/>
  <c r="M950" i="2"/>
  <c r="N950" i="2"/>
  <c r="O950" i="2"/>
  <c r="B951" i="2"/>
  <c r="B1149" i="2" s="1"/>
  <c r="C951" i="2"/>
  <c r="D951" i="2"/>
  <c r="E951" i="2"/>
  <c r="F951" i="2"/>
  <c r="F1149" i="2" s="1"/>
  <c r="G951" i="2"/>
  <c r="H951" i="2"/>
  <c r="I951" i="2"/>
  <c r="J951" i="2"/>
  <c r="J1149" i="2" s="1"/>
  <c r="K951" i="2"/>
  <c r="L951" i="2"/>
  <c r="M951" i="2"/>
  <c r="N951" i="2"/>
  <c r="N1149" i="2" s="1"/>
  <c r="O951" i="2"/>
  <c r="B952" i="2"/>
  <c r="C952" i="2"/>
  <c r="D952" i="2"/>
  <c r="E952" i="2"/>
  <c r="F952" i="2"/>
  <c r="G952" i="2"/>
  <c r="H952" i="2"/>
  <c r="I952" i="2"/>
  <c r="J952" i="2"/>
  <c r="K952" i="2"/>
  <c r="L952" i="2"/>
  <c r="M952" i="2"/>
  <c r="N952" i="2"/>
  <c r="O952" i="2"/>
  <c r="B953" i="2"/>
  <c r="C953" i="2"/>
  <c r="D953" i="2"/>
  <c r="E953" i="2"/>
  <c r="F953" i="2"/>
  <c r="G953" i="2"/>
  <c r="H953" i="2"/>
  <c r="I953" i="2"/>
  <c r="J953" i="2"/>
  <c r="K953" i="2"/>
  <c r="L953" i="2"/>
  <c r="M953" i="2"/>
  <c r="N953" i="2"/>
  <c r="O953" i="2"/>
  <c r="B954" i="2"/>
  <c r="C954" i="2"/>
  <c r="D954" i="2"/>
  <c r="E954" i="2"/>
  <c r="F954" i="2"/>
  <c r="G954" i="2"/>
  <c r="H954" i="2"/>
  <c r="I954" i="2"/>
  <c r="J954" i="2"/>
  <c r="K954" i="2"/>
  <c r="L954" i="2"/>
  <c r="M954" i="2"/>
  <c r="N954" i="2"/>
  <c r="O954" i="2"/>
  <c r="B955" i="2"/>
  <c r="C955" i="2"/>
  <c r="D955" i="2"/>
  <c r="E955" i="2"/>
  <c r="F955" i="2"/>
  <c r="G955" i="2"/>
  <c r="H955" i="2"/>
  <c r="I955" i="2"/>
  <c r="J955" i="2"/>
  <c r="K955" i="2"/>
  <c r="L955" i="2"/>
  <c r="M955" i="2"/>
  <c r="N955" i="2"/>
  <c r="O955" i="2"/>
  <c r="B956" i="2"/>
  <c r="C956" i="2"/>
  <c r="D956" i="2"/>
  <c r="E956" i="2"/>
  <c r="F956" i="2"/>
  <c r="G956" i="2"/>
  <c r="H956" i="2"/>
  <c r="I956" i="2"/>
  <c r="J956" i="2"/>
  <c r="K956" i="2"/>
  <c r="L956" i="2"/>
  <c r="M956" i="2"/>
  <c r="N956" i="2"/>
  <c r="O956" i="2"/>
  <c r="B957" i="2"/>
  <c r="C957" i="2"/>
  <c r="D957" i="2"/>
  <c r="E957" i="2"/>
  <c r="F957" i="2"/>
  <c r="G957" i="2"/>
  <c r="H957" i="2"/>
  <c r="I957" i="2"/>
  <c r="J957" i="2"/>
  <c r="K957" i="2"/>
  <c r="L957" i="2"/>
  <c r="M957" i="2"/>
  <c r="N957" i="2"/>
  <c r="O957" i="2"/>
  <c r="B958" i="2"/>
  <c r="C958" i="2"/>
  <c r="D958" i="2"/>
  <c r="E958" i="2"/>
  <c r="F958" i="2"/>
  <c r="G958" i="2"/>
  <c r="H958" i="2"/>
  <c r="I958" i="2"/>
  <c r="J958" i="2"/>
  <c r="K958" i="2"/>
  <c r="L958" i="2"/>
  <c r="M958" i="2"/>
  <c r="N958" i="2"/>
  <c r="O958" i="2"/>
  <c r="B959" i="2"/>
  <c r="C959" i="2"/>
  <c r="D959" i="2"/>
  <c r="E959" i="2"/>
  <c r="F959" i="2"/>
  <c r="G959" i="2"/>
  <c r="H959" i="2"/>
  <c r="I959" i="2"/>
  <c r="J959" i="2"/>
  <c r="K959" i="2"/>
  <c r="L959" i="2"/>
  <c r="M959" i="2"/>
  <c r="N959" i="2"/>
  <c r="O959" i="2"/>
  <c r="B960" i="2"/>
  <c r="C960" i="2"/>
  <c r="D960" i="2"/>
  <c r="E960" i="2"/>
  <c r="F960" i="2"/>
  <c r="G960" i="2"/>
  <c r="H960" i="2"/>
  <c r="I960" i="2"/>
  <c r="J960" i="2"/>
  <c r="K960" i="2"/>
  <c r="L960" i="2"/>
  <c r="M960" i="2"/>
  <c r="N960" i="2"/>
  <c r="O960" i="2"/>
  <c r="B961" i="2"/>
  <c r="C961" i="2"/>
  <c r="D961" i="2"/>
  <c r="E961" i="2"/>
  <c r="F961" i="2"/>
  <c r="G961" i="2"/>
  <c r="H961" i="2"/>
  <c r="I961" i="2"/>
  <c r="J961" i="2"/>
  <c r="K961" i="2"/>
  <c r="L961" i="2"/>
  <c r="M961" i="2"/>
  <c r="N961" i="2"/>
  <c r="O961" i="2"/>
  <c r="B962" i="2"/>
  <c r="C962" i="2"/>
  <c r="D962" i="2"/>
  <c r="D1150" i="2" s="1"/>
  <c r="E962" i="2"/>
  <c r="F962" i="2"/>
  <c r="G962" i="2"/>
  <c r="H962" i="2"/>
  <c r="H1150" i="2" s="1"/>
  <c r="I962" i="2"/>
  <c r="J962" i="2"/>
  <c r="K962" i="2"/>
  <c r="L962" i="2"/>
  <c r="L1150" i="2" s="1"/>
  <c r="M962" i="2"/>
  <c r="N962" i="2"/>
  <c r="O962" i="2"/>
  <c r="B963" i="2"/>
  <c r="C963" i="2"/>
  <c r="D963" i="2"/>
  <c r="E963" i="2"/>
  <c r="F963" i="2"/>
  <c r="G963" i="2"/>
  <c r="H963" i="2"/>
  <c r="I963" i="2"/>
  <c r="J963" i="2"/>
  <c r="K963" i="2"/>
  <c r="L963" i="2"/>
  <c r="M963" i="2"/>
  <c r="N963" i="2"/>
  <c r="O963" i="2"/>
  <c r="B964" i="2"/>
  <c r="C964" i="2"/>
  <c r="D964" i="2"/>
  <c r="E964" i="2"/>
  <c r="F964" i="2"/>
  <c r="G964" i="2"/>
  <c r="H964" i="2"/>
  <c r="I964" i="2"/>
  <c r="J964" i="2"/>
  <c r="K964" i="2"/>
  <c r="L964" i="2"/>
  <c r="M964" i="2"/>
  <c r="N964" i="2"/>
  <c r="O964" i="2"/>
  <c r="B965" i="2"/>
  <c r="C965" i="2"/>
  <c r="D965" i="2"/>
  <c r="E965" i="2"/>
  <c r="F965" i="2"/>
  <c r="G965" i="2"/>
  <c r="H965" i="2"/>
  <c r="I965" i="2"/>
  <c r="J965" i="2"/>
  <c r="K965" i="2"/>
  <c r="L965" i="2"/>
  <c r="M965" i="2"/>
  <c r="N965" i="2"/>
  <c r="O965" i="2"/>
  <c r="B966" i="2"/>
  <c r="C966" i="2"/>
  <c r="D966" i="2"/>
  <c r="E966" i="2"/>
  <c r="F966" i="2"/>
  <c r="G966" i="2"/>
  <c r="H966" i="2"/>
  <c r="I966" i="2"/>
  <c r="J966" i="2"/>
  <c r="K966" i="2"/>
  <c r="L966" i="2"/>
  <c r="M966" i="2"/>
  <c r="N966" i="2"/>
  <c r="O966" i="2"/>
  <c r="B967" i="2"/>
  <c r="C967" i="2"/>
  <c r="D967" i="2"/>
  <c r="E967" i="2"/>
  <c r="F967" i="2"/>
  <c r="G967" i="2"/>
  <c r="H967" i="2"/>
  <c r="I967" i="2"/>
  <c r="J967" i="2"/>
  <c r="K967" i="2"/>
  <c r="L967" i="2"/>
  <c r="M967" i="2"/>
  <c r="N967" i="2"/>
  <c r="O967" i="2"/>
  <c r="B968" i="2"/>
  <c r="C968" i="2"/>
  <c r="D968" i="2"/>
  <c r="E968" i="2"/>
  <c r="F968" i="2"/>
  <c r="G968" i="2"/>
  <c r="H968" i="2"/>
  <c r="I968" i="2"/>
  <c r="J968" i="2"/>
  <c r="K968" i="2"/>
  <c r="L968" i="2"/>
  <c r="M968" i="2"/>
  <c r="N968" i="2"/>
  <c r="O968" i="2"/>
  <c r="B969" i="2"/>
  <c r="C969" i="2"/>
  <c r="D969" i="2"/>
  <c r="E969" i="2"/>
  <c r="F969" i="2"/>
  <c r="G969" i="2"/>
  <c r="H969" i="2"/>
  <c r="I969" i="2"/>
  <c r="J969" i="2"/>
  <c r="K969" i="2"/>
  <c r="L969" i="2"/>
  <c r="M969" i="2"/>
  <c r="N969" i="2"/>
  <c r="O969" i="2"/>
  <c r="B970" i="2"/>
  <c r="C970" i="2"/>
  <c r="D970" i="2"/>
  <c r="E970" i="2"/>
  <c r="F970" i="2"/>
  <c r="G970" i="2"/>
  <c r="H970" i="2"/>
  <c r="I970" i="2"/>
  <c r="J970" i="2"/>
  <c r="K970" i="2"/>
  <c r="L970" i="2"/>
  <c r="M970" i="2"/>
  <c r="N970" i="2"/>
  <c r="O970" i="2"/>
  <c r="B971" i="2"/>
  <c r="C971" i="2"/>
  <c r="D971" i="2"/>
  <c r="E971" i="2"/>
  <c r="F971" i="2"/>
  <c r="G971" i="2"/>
  <c r="H971" i="2"/>
  <c r="I971" i="2"/>
  <c r="J971" i="2"/>
  <c r="K971" i="2"/>
  <c r="L971" i="2"/>
  <c r="M971" i="2"/>
  <c r="N971" i="2"/>
  <c r="O971" i="2"/>
  <c r="B972" i="2"/>
  <c r="C972" i="2"/>
  <c r="D972" i="2"/>
  <c r="E972" i="2"/>
  <c r="F972" i="2"/>
  <c r="G972" i="2"/>
  <c r="H972" i="2"/>
  <c r="I972" i="2"/>
  <c r="J972" i="2"/>
  <c r="K972" i="2"/>
  <c r="L972" i="2"/>
  <c r="M972" i="2"/>
  <c r="N972" i="2"/>
  <c r="O972" i="2"/>
  <c r="B973" i="2"/>
  <c r="C973" i="2"/>
  <c r="D973" i="2"/>
  <c r="E973" i="2"/>
  <c r="F973" i="2"/>
  <c r="G973" i="2"/>
  <c r="H973" i="2"/>
  <c r="I973" i="2"/>
  <c r="J973" i="2"/>
  <c r="K973" i="2"/>
  <c r="L973" i="2"/>
  <c r="M973" i="2"/>
  <c r="N973" i="2"/>
  <c r="O973" i="2"/>
  <c r="B974" i="2"/>
  <c r="C974" i="2"/>
  <c r="D974" i="2"/>
  <c r="E974" i="2"/>
  <c r="F974" i="2"/>
  <c r="G974" i="2"/>
  <c r="H974" i="2"/>
  <c r="I974" i="2"/>
  <c r="J974" i="2"/>
  <c r="K974" i="2"/>
  <c r="L974" i="2"/>
  <c r="M974" i="2"/>
  <c r="N974" i="2"/>
  <c r="O974" i="2"/>
  <c r="B975" i="2"/>
  <c r="B1151" i="2" s="1"/>
  <c r="C975" i="2"/>
  <c r="D975" i="2"/>
  <c r="E975" i="2"/>
  <c r="F975" i="2"/>
  <c r="F1151" i="2" s="1"/>
  <c r="G975" i="2"/>
  <c r="H975" i="2"/>
  <c r="I975" i="2"/>
  <c r="J975" i="2"/>
  <c r="J1151" i="2" s="1"/>
  <c r="K975" i="2"/>
  <c r="L975" i="2"/>
  <c r="M975" i="2"/>
  <c r="N975" i="2"/>
  <c r="N1151" i="2" s="1"/>
  <c r="O975" i="2"/>
  <c r="B976" i="2"/>
  <c r="C976" i="2"/>
  <c r="D976" i="2"/>
  <c r="E976" i="2"/>
  <c r="F976" i="2"/>
  <c r="G976" i="2"/>
  <c r="H976" i="2"/>
  <c r="I976" i="2"/>
  <c r="J976" i="2"/>
  <c r="K976" i="2"/>
  <c r="L976" i="2"/>
  <c r="M976" i="2"/>
  <c r="N976" i="2"/>
  <c r="O976" i="2"/>
  <c r="B977" i="2"/>
  <c r="C977" i="2"/>
  <c r="D977" i="2"/>
  <c r="E977" i="2"/>
  <c r="F977" i="2"/>
  <c r="G977" i="2"/>
  <c r="H977" i="2"/>
  <c r="I977" i="2"/>
  <c r="J977" i="2"/>
  <c r="K977" i="2"/>
  <c r="L977" i="2"/>
  <c r="M977" i="2"/>
  <c r="N977" i="2"/>
  <c r="O977" i="2"/>
  <c r="B978" i="2"/>
  <c r="C978" i="2"/>
  <c r="D978" i="2"/>
  <c r="E978" i="2"/>
  <c r="F978" i="2"/>
  <c r="G978" i="2"/>
  <c r="H978" i="2"/>
  <c r="I978" i="2"/>
  <c r="J978" i="2"/>
  <c r="K978" i="2"/>
  <c r="L978" i="2"/>
  <c r="M978" i="2"/>
  <c r="N978" i="2"/>
  <c r="O978" i="2"/>
  <c r="B979" i="2"/>
  <c r="C979" i="2"/>
  <c r="D979" i="2"/>
  <c r="E979" i="2"/>
  <c r="F979" i="2"/>
  <c r="G979" i="2"/>
  <c r="H979" i="2"/>
  <c r="I979" i="2"/>
  <c r="J979" i="2"/>
  <c r="K979" i="2"/>
  <c r="L979" i="2"/>
  <c r="M979" i="2"/>
  <c r="N979" i="2"/>
  <c r="O979" i="2"/>
  <c r="B980" i="2"/>
  <c r="C980" i="2"/>
  <c r="D980" i="2"/>
  <c r="E980" i="2"/>
  <c r="F980" i="2"/>
  <c r="G980" i="2"/>
  <c r="H980" i="2"/>
  <c r="I980" i="2"/>
  <c r="J980" i="2"/>
  <c r="K980" i="2"/>
  <c r="L980" i="2"/>
  <c r="M980" i="2"/>
  <c r="N980" i="2"/>
  <c r="O980" i="2"/>
  <c r="B981" i="2"/>
  <c r="C981" i="2"/>
  <c r="D981" i="2"/>
  <c r="E981" i="2"/>
  <c r="F981" i="2"/>
  <c r="G981" i="2"/>
  <c r="H981" i="2"/>
  <c r="I981" i="2"/>
  <c r="J981" i="2"/>
  <c r="K981" i="2"/>
  <c r="L981" i="2"/>
  <c r="M981" i="2"/>
  <c r="N981" i="2"/>
  <c r="O981" i="2"/>
  <c r="B982" i="2"/>
  <c r="C982" i="2"/>
  <c r="D982" i="2"/>
  <c r="E982" i="2"/>
  <c r="F982" i="2"/>
  <c r="G982" i="2"/>
  <c r="H982" i="2"/>
  <c r="I982" i="2"/>
  <c r="J982" i="2"/>
  <c r="K982" i="2"/>
  <c r="L982" i="2"/>
  <c r="M982" i="2"/>
  <c r="N982" i="2"/>
  <c r="O982" i="2"/>
  <c r="B983" i="2"/>
  <c r="C983" i="2"/>
  <c r="D983" i="2"/>
  <c r="E983" i="2"/>
  <c r="F983" i="2"/>
  <c r="G983" i="2"/>
  <c r="H983" i="2"/>
  <c r="I983" i="2"/>
  <c r="J983" i="2"/>
  <c r="K983" i="2"/>
  <c r="L983" i="2"/>
  <c r="M983" i="2"/>
  <c r="N983" i="2"/>
  <c r="O983" i="2"/>
  <c r="B984" i="2"/>
  <c r="C984" i="2"/>
  <c r="D984" i="2"/>
  <c r="E984" i="2"/>
  <c r="F984" i="2"/>
  <c r="G984" i="2"/>
  <c r="H984" i="2"/>
  <c r="I984" i="2"/>
  <c r="J984" i="2"/>
  <c r="K984" i="2"/>
  <c r="L984" i="2"/>
  <c r="M984" i="2"/>
  <c r="N984" i="2"/>
  <c r="O984" i="2"/>
  <c r="B985" i="2"/>
  <c r="C985" i="2"/>
  <c r="D985" i="2"/>
  <c r="E985" i="2"/>
  <c r="F985" i="2"/>
  <c r="G985" i="2"/>
  <c r="H985" i="2"/>
  <c r="I985" i="2"/>
  <c r="J985" i="2"/>
  <c r="K985" i="2"/>
  <c r="L985" i="2"/>
  <c r="M985" i="2"/>
  <c r="N985" i="2"/>
  <c r="O985" i="2"/>
  <c r="B986" i="2"/>
  <c r="C986" i="2"/>
  <c r="D986" i="2"/>
  <c r="D1152" i="2" s="1"/>
  <c r="E986" i="2"/>
  <c r="F986" i="2"/>
  <c r="G986" i="2"/>
  <c r="H986" i="2"/>
  <c r="H1152" i="2" s="1"/>
  <c r="I986" i="2"/>
  <c r="J986" i="2"/>
  <c r="K986" i="2"/>
  <c r="L986" i="2"/>
  <c r="L1152" i="2" s="1"/>
  <c r="M986" i="2"/>
  <c r="N986" i="2"/>
  <c r="O986" i="2"/>
  <c r="B987" i="2"/>
  <c r="C987" i="2"/>
  <c r="D987" i="2"/>
  <c r="E987" i="2"/>
  <c r="F987" i="2"/>
  <c r="G987" i="2"/>
  <c r="H987" i="2"/>
  <c r="I987" i="2"/>
  <c r="J987" i="2"/>
  <c r="K987" i="2"/>
  <c r="L987" i="2"/>
  <c r="M987" i="2"/>
  <c r="N987" i="2"/>
  <c r="O987" i="2"/>
  <c r="B988" i="2"/>
  <c r="C988" i="2"/>
  <c r="D988" i="2"/>
  <c r="E988" i="2"/>
  <c r="F988" i="2"/>
  <c r="G988" i="2"/>
  <c r="H988" i="2"/>
  <c r="I988" i="2"/>
  <c r="J988" i="2"/>
  <c r="K988" i="2"/>
  <c r="L988" i="2"/>
  <c r="M988" i="2"/>
  <c r="N988" i="2"/>
  <c r="O988" i="2"/>
  <c r="B989" i="2"/>
  <c r="C989" i="2"/>
  <c r="D989" i="2"/>
  <c r="E989" i="2"/>
  <c r="F989" i="2"/>
  <c r="G989" i="2"/>
  <c r="H989" i="2"/>
  <c r="I989" i="2"/>
  <c r="J989" i="2"/>
  <c r="K989" i="2"/>
  <c r="L989" i="2"/>
  <c r="M989" i="2"/>
  <c r="N989" i="2"/>
  <c r="O989" i="2"/>
  <c r="B990" i="2"/>
  <c r="C990" i="2"/>
  <c r="D990" i="2"/>
  <c r="E990" i="2"/>
  <c r="F990" i="2"/>
  <c r="G990" i="2"/>
  <c r="H990" i="2"/>
  <c r="I990" i="2"/>
  <c r="J990" i="2"/>
  <c r="K990" i="2"/>
  <c r="L990" i="2"/>
  <c r="M990" i="2"/>
  <c r="N990" i="2"/>
  <c r="O990" i="2"/>
  <c r="B991" i="2"/>
  <c r="C991" i="2"/>
  <c r="D991" i="2"/>
  <c r="E991" i="2"/>
  <c r="F991" i="2"/>
  <c r="G991" i="2"/>
  <c r="H991" i="2"/>
  <c r="I991" i="2"/>
  <c r="J991" i="2"/>
  <c r="K991" i="2"/>
  <c r="L991" i="2"/>
  <c r="M991" i="2"/>
  <c r="N991" i="2"/>
  <c r="O991" i="2"/>
  <c r="B992" i="2"/>
  <c r="C992" i="2"/>
  <c r="D992" i="2"/>
  <c r="E992" i="2"/>
  <c r="F992" i="2"/>
  <c r="G992" i="2"/>
  <c r="H992" i="2"/>
  <c r="I992" i="2"/>
  <c r="J992" i="2"/>
  <c r="K992" i="2"/>
  <c r="L992" i="2"/>
  <c r="M992" i="2"/>
  <c r="N992" i="2"/>
  <c r="O992" i="2"/>
  <c r="B993" i="2"/>
  <c r="C993" i="2"/>
  <c r="D993" i="2"/>
  <c r="E993" i="2"/>
  <c r="F993" i="2"/>
  <c r="G993" i="2"/>
  <c r="H993" i="2"/>
  <c r="I993" i="2"/>
  <c r="J993" i="2"/>
  <c r="K993" i="2"/>
  <c r="L993" i="2"/>
  <c r="M993" i="2"/>
  <c r="N993" i="2"/>
  <c r="O993" i="2"/>
  <c r="B994" i="2"/>
  <c r="C994" i="2"/>
  <c r="D994" i="2"/>
  <c r="E994" i="2"/>
  <c r="F994" i="2"/>
  <c r="G994" i="2"/>
  <c r="H994" i="2"/>
  <c r="I994" i="2"/>
  <c r="J994" i="2"/>
  <c r="K994" i="2"/>
  <c r="L994" i="2"/>
  <c r="M994" i="2"/>
  <c r="N994" i="2"/>
  <c r="O994" i="2"/>
  <c r="B995" i="2"/>
  <c r="C995" i="2"/>
  <c r="D995" i="2"/>
  <c r="E995" i="2"/>
  <c r="F995" i="2"/>
  <c r="G995" i="2"/>
  <c r="H995" i="2"/>
  <c r="I995" i="2"/>
  <c r="J995" i="2"/>
  <c r="K995" i="2"/>
  <c r="L995" i="2"/>
  <c r="M995" i="2"/>
  <c r="N995" i="2"/>
  <c r="O995" i="2"/>
  <c r="B996" i="2"/>
  <c r="C996" i="2"/>
  <c r="D996" i="2"/>
  <c r="E996" i="2"/>
  <c r="F996" i="2"/>
  <c r="G996" i="2"/>
  <c r="H996" i="2"/>
  <c r="I996" i="2"/>
  <c r="J996" i="2"/>
  <c r="K996" i="2"/>
  <c r="L996" i="2"/>
  <c r="M996" i="2"/>
  <c r="N996" i="2"/>
  <c r="O996" i="2"/>
  <c r="B997" i="2"/>
  <c r="C997" i="2"/>
  <c r="D997" i="2"/>
  <c r="E997" i="2"/>
  <c r="F997" i="2"/>
  <c r="G997" i="2"/>
  <c r="H997" i="2"/>
  <c r="I997" i="2"/>
  <c r="J997" i="2"/>
  <c r="K997" i="2"/>
  <c r="L997" i="2"/>
  <c r="M997" i="2"/>
  <c r="N997" i="2"/>
  <c r="O997" i="2"/>
  <c r="B998" i="2"/>
  <c r="C998" i="2"/>
  <c r="D998" i="2"/>
  <c r="E998" i="2"/>
  <c r="F998" i="2"/>
  <c r="G998" i="2"/>
  <c r="H998" i="2"/>
  <c r="I998" i="2"/>
  <c r="J998" i="2"/>
  <c r="K998" i="2"/>
  <c r="L998" i="2"/>
  <c r="M998" i="2"/>
  <c r="N998" i="2"/>
  <c r="O998" i="2"/>
  <c r="B999" i="2"/>
  <c r="B1153" i="2" s="1"/>
  <c r="C999" i="2"/>
  <c r="D999" i="2"/>
  <c r="E999" i="2"/>
  <c r="F999" i="2"/>
  <c r="F1153" i="2" s="1"/>
  <c r="G999" i="2"/>
  <c r="H999" i="2"/>
  <c r="I999" i="2"/>
  <c r="J999" i="2"/>
  <c r="J1153" i="2" s="1"/>
  <c r="K999" i="2"/>
  <c r="L999" i="2"/>
  <c r="M999" i="2"/>
  <c r="N999" i="2"/>
  <c r="N1153" i="2" s="1"/>
  <c r="O999" i="2"/>
  <c r="B1000" i="2"/>
  <c r="C1000" i="2"/>
  <c r="D1000" i="2"/>
  <c r="E1000" i="2"/>
  <c r="F1000" i="2"/>
  <c r="G1000" i="2"/>
  <c r="H1000" i="2"/>
  <c r="I1000" i="2"/>
  <c r="J1000" i="2"/>
  <c r="K1000" i="2"/>
  <c r="L1000" i="2"/>
  <c r="M1000" i="2"/>
  <c r="N1000" i="2"/>
  <c r="O1000" i="2"/>
  <c r="B1001" i="2"/>
  <c r="C1001" i="2"/>
  <c r="D1001" i="2"/>
  <c r="E1001" i="2"/>
  <c r="F1001" i="2"/>
  <c r="G1001" i="2"/>
  <c r="H1001" i="2"/>
  <c r="I1001" i="2"/>
  <c r="J1001" i="2"/>
  <c r="K1001" i="2"/>
  <c r="L1001" i="2"/>
  <c r="M1001" i="2"/>
  <c r="N1001" i="2"/>
  <c r="O1001" i="2"/>
  <c r="B1002" i="2"/>
  <c r="C1002" i="2"/>
  <c r="D1002" i="2"/>
  <c r="E1002" i="2"/>
  <c r="F1002" i="2"/>
  <c r="G1002" i="2"/>
  <c r="H1002" i="2"/>
  <c r="I1002" i="2"/>
  <c r="J1002" i="2"/>
  <c r="K1002" i="2"/>
  <c r="L1002" i="2"/>
  <c r="M1002" i="2"/>
  <c r="N1002" i="2"/>
  <c r="O1002" i="2"/>
  <c r="B1003" i="2"/>
  <c r="C1003" i="2"/>
  <c r="D1003" i="2"/>
  <c r="E1003" i="2"/>
  <c r="F1003" i="2"/>
  <c r="G1003" i="2"/>
  <c r="H1003" i="2"/>
  <c r="I1003" i="2"/>
  <c r="J1003" i="2"/>
  <c r="K1003" i="2"/>
  <c r="L1003" i="2"/>
  <c r="M1003" i="2"/>
  <c r="N1003" i="2"/>
  <c r="O1003" i="2"/>
  <c r="B1004" i="2"/>
  <c r="C1004" i="2"/>
  <c r="D1004" i="2"/>
  <c r="E1004" i="2"/>
  <c r="F1004" i="2"/>
  <c r="G1004" i="2"/>
  <c r="H1004" i="2"/>
  <c r="I1004" i="2"/>
  <c r="J1004" i="2"/>
  <c r="K1004" i="2"/>
  <c r="L1004" i="2"/>
  <c r="M1004" i="2"/>
  <c r="N1004" i="2"/>
  <c r="O1004" i="2"/>
  <c r="B1005" i="2"/>
  <c r="C1005" i="2"/>
  <c r="D1005" i="2"/>
  <c r="E1005" i="2"/>
  <c r="F1005" i="2"/>
  <c r="G1005" i="2"/>
  <c r="H1005" i="2"/>
  <c r="I1005" i="2"/>
  <c r="J1005" i="2"/>
  <c r="K1005" i="2"/>
  <c r="L1005" i="2"/>
  <c r="M1005" i="2"/>
  <c r="N1005" i="2"/>
  <c r="O1005" i="2"/>
  <c r="B1006" i="2"/>
  <c r="C1006" i="2"/>
  <c r="D1006" i="2"/>
  <c r="E1006" i="2"/>
  <c r="F1006" i="2"/>
  <c r="G1006" i="2"/>
  <c r="H1006" i="2"/>
  <c r="I1006" i="2"/>
  <c r="J1006" i="2"/>
  <c r="K1006" i="2"/>
  <c r="L1006" i="2"/>
  <c r="M1006" i="2"/>
  <c r="N1006" i="2"/>
  <c r="O1006" i="2"/>
  <c r="B1007" i="2"/>
  <c r="C1007" i="2"/>
  <c r="D1007" i="2"/>
  <c r="E1007" i="2"/>
  <c r="F1007" i="2"/>
  <c r="G1007" i="2"/>
  <c r="H1007" i="2"/>
  <c r="I1007" i="2"/>
  <c r="J1007" i="2"/>
  <c r="K1007" i="2"/>
  <c r="L1007" i="2"/>
  <c r="M1007" i="2"/>
  <c r="N1007" i="2"/>
  <c r="O1007" i="2"/>
  <c r="B1008" i="2"/>
  <c r="C1008" i="2"/>
  <c r="D1008" i="2"/>
  <c r="E1008" i="2"/>
  <c r="F1008" i="2"/>
  <c r="G1008" i="2"/>
  <c r="H1008" i="2"/>
  <c r="I1008" i="2"/>
  <c r="J1008" i="2"/>
  <c r="K1008" i="2"/>
  <c r="L1008" i="2"/>
  <c r="M1008" i="2"/>
  <c r="N1008" i="2"/>
  <c r="O1008" i="2"/>
  <c r="B1009" i="2"/>
  <c r="C1009" i="2"/>
  <c r="D1009" i="2"/>
  <c r="E1009" i="2"/>
  <c r="F1009" i="2"/>
  <c r="G1009" i="2"/>
  <c r="H1009" i="2"/>
  <c r="I1009" i="2"/>
  <c r="J1009" i="2"/>
  <c r="K1009" i="2"/>
  <c r="L1009" i="2"/>
  <c r="M1009" i="2"/>
  <c r="N1009" i="2"/>
  <c r="O1009" i="2"/>
  <c r="B1010" i="2"/>
  <c r="C1010" i="2"/>
  <c r="D1010" i="2"/>
  <c r="D1154" i="2" s="1"/>
  <c r="E1010" i="2"/>
  <c r="F1010" i="2"/>
  <c r="G1010" i="2"/>
  <c r="H1010" i="2"/>
  <c r="H1154" i="2" s="1"/>
  <c r="I1010" i="2"/>
  <c r="J1010" i="2"/>
  <c r="K1010" i="2"/>
  <c r="L1010" i="2"/>
  <c r="L1154" i="2" s="1"/>
  <c r="M1010" i="2"/>
  <c r="N1010" i="2"/>
  <c r="O1010" i="2"/>
  <c r="B1011" i="2"/>
  <c r="C1011" i="2"/>
  <c r="D1011" i="2"/>
  <c r="E1011" i="2"/>
  <c r="F1011" i="2"/>
  <c r="G1011" i="2"/>
  <c r="H1011" i="2"/>
  <c r="I1011" i="2"/>
  <c r="J1011" i="2"/>
  <c r="K1011" i="2"/>
  <c r="L1011" i="2"/>
  <c r="M1011" i="2"/>
  <c r="N1011" i="2"/>
  <c r="O1011" i="2"/>
  <c r="B1012" i="2"/>
  <c r="C1012" i="2"/>
  <c r="D1012" i="2"/>
  <c r="E1012" i="2"/>
  <c r="F1012" i="2"/>
  <c r="G1012" i="2"/>
  <c r="H1012" i="2"/>
  <c r="I1012" i="2"/>
  <c r="J1012" i="2"/>
  <c r="K1012" i="2"/>
  <c r="L1012" i="2"/>
  <c r="M1012" i="2"/>
  <c r="N1012" i="2"/>
  <c r="O1012" i="2"/>
  <c r="B1013" i="2"/>
  <c r="C1013" i="2"/>
  <c r="D1013" i="2"/>
  <c r="E1013" i="2"/>
  <c r="F1013" i="2"/>
  <c r="G1013" i="2"/>
  <c r="H1013" i="2"/>
  <c r="I1013" i="2"/>
  <c r="J1013" i="2"/>
  <c r="K1013" i="2"/>
  <c r="L1013" i="2"/>
  <c r="M1013" i="2"/>
  <c r="N1013" i="2"/>
  <c r="O1013" i="2"/>
  <c r="B1014" i="2"/>
  <c r="C1014" i="2"/>
  <c r="D1014" i="2"/>
  <c r="E1014" i="2"/>
  <c r="F1014" i="2"/>
  <c r="G1014" i="2"/>
  <c r="H1014" i="2"/>
  <c r="I1014" i="2"/>
  <c r="J1014" i="2"/>
  <c r="K1014" i="2"/>
  <c r="L1014" i="2"/>
  <c r="M1014" i="2"/>
  <c r="N1014" i="2"/>
  <c r="O1014" i="2"/>
  <c r="B1015" i="2"/>
  <c r="C1015" i="2"/>
  <c r="D1015" i="2"/>
  <c r="E1015" i="2"/>
  <c r="F1015" i="2"/>
  <c r="G1015" i="2"/>
  <c r="H1015" i="2"/>
  <c r="I1015" i="2"/>
  <c r="J1015" i="2"/>
  <c r="K1015" i="2"/>
  <c r="L1015" i="2"/>
  <c r="M1015" i="2"/>
  <c r="N1015" i="2"/>
  <c r="O1015" i="2"/>
  <c r="B1016" i="2"/>
  <c r="C1016" i="2"/>
  <c r="D1016" i="2"/>
  <c r="E1016" i="2"/>
  <c r="F1016" i="2"/>
  <c r="G1016" i="2"/>
  <c r="H1016" i="2"/>
  <c r="I1016" i="2"/>
  <c r="J1016" i="2"/>
  <c r="K1016" i="2"/>
  <c r="L1016" i="2"/>
  <c r="M1016" i="2"/>
  <c r="N1016" i="2"/>
  <c r="O1016" i="2"/>
  <c r="B1017" i="2"/>
  <c r="C1017" i="2"/>
  <c r="D1017" i="2"/>
  <c r="E1017" i="2"/>
  <c r="F1017" i="2"/>
  <c r="G1017" i="2"/>
  <c r="H1017" i="2"/>
  <c r="I1017" i="2"/>
  <c r="J1017" i="2"/>
  <c r="K1017" i="2"/>
  <c r="L1017" i="2"/>
  <c r="M1017" i="2"/>
  <c r="N1017" i="2"/>
  <c r="O1017" i="2"/>
  <c r="B1018" i="2"/>
  <c r="C1018" i="2"/>
  <c r="D1018" i="2"/>
  <c r="E1018" i="2"/>
  <c r="F1018" i="2"/>
  <c r="G1018" i="2"/>
  <c r="H1018" i="2"/>
  <c r="I1018" i="2"/>
  <c r="J1018" i="2"/>
  <c r="K1018" i="2"/>
  <c r="L1018" i="2"/>
  <c r="M1018" i="2"/>
  <c r="N1018" i="2"/>
  <c r="O1018" i="2"/>
  <c r="B1019" i="2"/>
  <c r="C1019" i="2"/>
  <c r="D1019" i="2"/>
  <c r="E1019" i="2"/>
  <c r="F1019" i="2"/>
  <c r="G1019" i="2"/>
  <c r="H1019" i="2"/>
  <c r="I1019" i="2"/>
  <c r="J1019" i="2"/>
  <c r="K1019" i="2"/>
  <c r="L1019" i="2"/>
  <c r="M1019" i="2"/>
  <c r="N1019" i="2"/>
  <c r="O1019" i="2"/>
  <c r="B1020" i="2"/>
  <c r="C1020" i="2"/>
  <c r="D1020" i="2"/>
  <c r="E1020" i="2"/>
  <c r="F1020" i="2"/>
  <c r="G1020" i="2"/>
  <c r="H1020" i="2"/>
  <c r="I1020" i="2"/>
  <c r="J1020" i="2"/>
  <c r="K1020" i="2"/>
  <c r="L1020" i="2"/>
  <c r="M1020" i="2"/>
  <c r="N1020" i="2"/>
  <c r="O1020" i="2"/>
  <c r="B1021" i="2"/>
  <c r="C1021" i="2"/>
  <c r="D1021" i="2"/>
  <c r="E1021" i="2"/>
  <c r="F1021" i="2"/>
  <c r="G1021" i="2"/>
  <c r="H1021" i="2"/>
  <c r="I1021" i="2"/>
  <c r="J1021" i="2"/>
  <c r="K1021" i="2"/>
  <c r="L1021" i="2"/>
  <c r="M1021" i="2"/>
  <c r="N1021" i="2"/>
  <c r="O1021" i="2"/>
  <c r="B1022" i="2"/>
  <c r="C1022" i="2"/>
  <c r="D1022" i="2"/>
  <c r="E1022" i="2"/>
  <c r="F1022" i="2"/>
  <c r="G1022" i="2"/>
  <c r="H1022" i="2"/>
  <c r="I1022" i="2"/>
  <c r="J1022" i="2"/>
  <c r="K1022" i="2"/>
  <c r="L1022" i="2"/>
  <c r="M1022" i="2"/>
  <c r="N1022" i="2"/>
  <c r="O1022" i="2"/>
  <c r="B1023" i="2"/>
  <c r="B1155" i="2" s="1"/>
  <c r="C1023" i="2"/>
  <c r="D1023" i="2"/>
  <c r="E1023" i="2"/>
  <c r="F1023" i="2"/>
  <c r="F1155" i="2" s="1"/>
  <c r="G1023" i="2"/>
  <c r="H1023" i="2"/>
  <c r="I1023" i="2"/>
  <c r="J1023" i="2"/>
  <c r="J1155" i="2" s="1"/>
  <c r="K1023" i="2"/>
  <c r="L1023" i="2"/>
  <c r="M1023" i="2"/>
  <c r="N1023" i="2"/>
  <c r="N1155" i="2" s="1"/>
  <c r="O1023" i="2"/>
  <c r="B1024" i="2"/>
  <c r="C1024" i="2"/>
  <c r="D1024" i="2"/>
  <c r="E1024" i="2"/>
  <c r="F1024" i="2"/>
  <c r="G1024" i="2"/>
  <c r="H1024" i="2"/>
  <c r="I1024" i="2"/>
  <c r="J1024" i="2"/>
  <c r="K1024" i="2"/>
  <c r="L1024" i="2"/>
  <c r="M1024" i="2"/>
  <c r="N1024" i="2"/>
  <c r="O1024" i="2"/>
  <c r="B1025" i="2"/>
  <c r="C1025" i="2"/>
  <c r="D1025" i="2"/>
  <c r="E1025" i="2"/>
  <c r="F1025" i="2"/>
  <c r="G1025" i="2"/>
  <c r="H1025" i="2"/>
  <c r="I1025" i="2"/>
  <c r="J1025" i="2"/>
  <c r="K1025" i="2"/>
  <c r="L1025" i="2"/>
  <c r="M1025" i="2"/>
  <c r="N1025" i="2"/>
  <c r="O1025" i="2"/>
  <c r="B1026" i="2"/>
  <c r="C1026" i="2"/>
  <c r="D1026" i="2"/>
  <c r="E1026" i="2"/>
  <c r="F1026" i="2"/>
  <c r="G1026" i="2"/>
  <c r="H1026" i="2"/>
  <c r="I1026" i="2"/>
  <c r="J1026" i="2"/>
  <c r="K1026" i="2"/>
  <c r="L1026" i="2"/>
  <c r="M1026" i="2"/>
  <c r="N1026" i="2"/>
  <c r="O1026" i="2"/>
  <c r="B1027" i="2"/>
  <c r="C1027" i="2"/>
  <c r="D1027" i="2"/>
  <c r="E1027" i="2"/>
  <c r="F1027" i="2"/>
  <c r="G1027" i="2"/>
  <c r="H1027" i="2"/>
  <c r="I1027" i="2"/>
  <c r="J1027" i="2"/>
  <c r="K1027" i="2"/>
  <c r="L1027" i="2"/>
  <c r="M1027" i="2"/>
  <c r="N1027" i="2"/>
  <c r="O1027" i="2"/>
  <c r="B1028" i="2"/>
  <c r="C1028" i="2"/>
  <c r="D1028" i="2"/>
  <c r="E1028" i="2"/>
  <c r="F1028" i="2"/>
  <c r="G1028" i="2"/>
  <c r="H1028" i="2"/>
  <c r="I1028" i="2"/>
  <c r="J1028" i="2"/>
  <c r="K1028" i="2"/>
  <c r="L1028" i="2"/>
  <c r="M1028" i="2"/>
  <c r="N1028" i="2"/>
  <c r="O1028" i="2"/>
  <c r="B1029" i="2"/>
  <c r="C1029" i="2"/>
  <c r="D1029" i="2"/>
  <c r="E1029" i="2"/>
  <c r="F1029" i="2"/>
  <c r="G1029" i="2"/>
  <c r="H1029" i="2"/>
  <c r="I1029" i="2"/>
  <c r="J1029" i="2"/>
  <c r="K1029" i="2"/>
  <c r="L1029" i="2"/>
  <c r="M1029" i="2"/>
  <c r="N1029" i="2"/>
  <c r="O1029" i="2"/>
  <c r="B1030" i="2"/>
  <c r="C1030" i="2"/>
  <c r="D1030" i="2"/>
  <c r="E1030" i="2"/>
  <c r="F1030" i="2"/>
  <c r="G1030" i="2"/>
  <c r="H1030" i="2"/>
  <c r="I1030" i="2"/>
  <c r="J1030" i="2"/>
  <c r="K1030" i="2"/>
  <c r="L1030" i="2"/>
  <c r="M1030" i="2"/>
  <c r="N1030" i="2"/>
  <c r="O1030" i="2"/>
  <c r="B1031" i="2"/>
  <c r="C1031" i="2"/>
  <c r="D1031" i="2"/>
  <c r="E1031" i="2"/>
  <c r="F1031" i="2"/>
  <c r="G1031" i="2"/>
  <c r="H1031" i="2"/>
  <c r="I1031" i="2"/>
  <c r="J1031" i="2"/>
  <c r="K1031" i="2"/>
  <c r="L1031" i="2"/>
  <c r="M1031" i="2"/>
  <c r="N1031" i="2"/>
  <c r="O1031" i="2"/>
  <c r="B1032" i="2"/>
  <c r="C1032" i="2"/>
  <c r="D1032" i="2"/>
  <c r="E1032" i="2"/>
  <c r="F1032" i="2"/>
  <c r="G1032" i="2"/>
  <c r="H1032" i="2"/>
  <c r="I1032" i="2"/>
  <c r="J1032" i="2"/>
  <c r="K1032" i="2"/>
  <c r="L1032" i="2"/>
  <c r="M1032" i="2"/>
  <c r="N1032" i="2"/>
  <c r="O1032" i="2"/>
  <c r="B1033" i="2"/>
  <c r="C1033" i="2"/>
  <c r="D1033" i="2"/>
  <c r="E1033" i="2"/>
  <c r="F1033" i="2"/>
  <c r="G1033" i="2"/>
  <c r="H1033" i="2"/>
  <c r="I1033" i="2"/>
  <c r="J1033" i="2"/>
  <c r="K1033" i="2"/>
  <c r="L1033" i="2"/>
  <c r="M1033" i="2"/>
  <c r="N1033" i="2"/>
  <c r="O1033" i="2"/>
  <c r="B1034" i="2"/>
  <c r="C1034" i="2"/>
  <c r="D1034" i="2"/>
  <c r="D1156" i="2" s="1"/>
  <c r="E1034" i="2"/>
  <c r="F1034" i="2"/>
  <c r="G1034" i="2"/>
  <c r="H1034" i="2"/>
  <c r="H1156" i="2" s="1"/>
  <c r="I1034" i="2"/>
  <c r="J1034" i="2"/>
  <c r="K1034" i="2"/>
  <c r="L1034" i="2"/>
  <c r="L1156" i="2" s="1"/>
  <c r="M1034" i="2"/>
  <c r="N1034" i="2"/>
  <c r="O1034" i="2"/>
  <c r="B1035" i="2"/>
  <c r="C1035" i="2"/>
  <c r="D1035" i="2"/>
  <c r="E1035" i="2"/>
  <c r="F1035" i="2"/>
  <c r="G1035" i="2"/>
  <c r="H1035" i="2"/>
  <c r="I1035" i="2"/>
  <c r="J1035" i="2"/>
  <c r="K1035" i="2"/>
  <c r="L1035" i="2"/>
  <c r="M1035" i="2"/>
  <c r="N1035" i="2"/>
  <c r="O1035" i="2"/>
  <c r="B1036" i="2"/>
  <c r="C1036" i="2"/>
  <c r="D1036" i="2"/>
  <c r="E1036" i="2"/>
  <c r="F1036" i="2"/>
  <c r="G1036" i="2"/>
  <c r="H1036" i="2"/>
  <c r="I1036" i="2"/>
  <c r="J1036" i="2"/>
  <c r="K1036" i="2"/>
  <c r="L1036" i="2"/>
  <c r="M1036" i="2"/>
  <c r="N1036" i="2"/>
  <c r="O1036" i="2"/>
  <c r="B1037" i="2"/>
  <c r="C1037" i="2"/>
  <c r="D1037" i="2"/>
  <c r="E1037" i="2"/>
  <c r="F1037" i="2"/>
  <c r="G1037" i="2"/>
  <c r="H1037" i="2"/>
  <c r="I1037" i="2"/>
  <c r="J1037" i="2"/>
  <c r="K1037" i="2"/>
  <c r="L1037" i="2"/>
  <c r="M1037" i="2"/>
  <c r="N1037" i="2"/>
  <c r="O1037" i="2"/>
  <c r="B1038" i="2"/>
  <c r="C1038" i="2"/>
  <c r="D1038" i="2"/>
  <c r="E1038" i="2"/>
  <c r="F1038" i="2"/>
  <c r="G1038" i="2"/>
  <c r="H1038" i="2"/>
  <c r="I1038" i="2"/>
  <c r="J1038" i="2"/>
  <c r="K1038" i="2"/>
  <c r="L1038" i="2"/>
  <c r="M1038" i="2"/>
  <c r="N1038" i="2"/>
  <c r="O1038" i="2"/>
  <c r="B1039" i="2"/>
  <c r="C1039" i="2"/>
  <c r="D1039" i="2"/>
  <c r="E1039" i="2"/>
  <c r="F1039" i="2"/>
  <c r="G1039" i="2"/>
  <c r="H1039" i="2"/>
  <c r="I1039" i="2"/>
  <c r="J1039" i="2"/>
  <c r="K1039" i="2"/>
  <c r="L1039" i="2"/>
  <c r="M1039" i="2"/>
  <c r="N1039" i="2"/>
  <c r="O1039" i="2"/>
  <c r="B1040" i="2"/>
  <c r="C1040" i="2"/>
  <c r="D1040" i="2"/>
  <c r="E1040" i="2"/>
  <c r="F1040" i="2"/>
  <c r="G1040" i="2"/>
  <c r="H1040" i="2"/>
  <c r="I1040" i="2"/>
  <c r="J1040" i="2"/>
  <c r="K1040" i="2"/>
  <c r="L1040" i="2"/>
  <c r="M1040" i="2"/>
  <c r="N1040" i="2"/>
  <c r="O1040" i="2"/>
  <c r="B1041" i="2"/>
  <c r="C1041" i="2"/>
  <c r="D1041" i="2"/>
  <c r="E1041" i="2"/>
  <c r="F1041" i="2"/>
  <c r="G1041" i="2"/>
  <c r="H1041" i="2"/>
  <c r="I1041" i="2"/>
  <c r="J1041" i="2"/>
  <c r="K1041" i="2"/>
  <c r="L1041" i="2"/>
  <c r="M1041" i="2"/>
  <c r="N1041" i="2"/>
  <c r="O1041" i="2"/>
  <c r="B1042" i="2"/>
  <c r="C1042" i="2"/>
  <c r="D1042" i="2"/>
  <c r="E1042" i="2"/>
  <c r="F1042" i="2"/>
  <c r="G1042" i="2"/>
  <c r="H1042" i="2"/>
  <c r="I1042" i="2"/>
  <c r="J1042" i="2"/>
  <c r="K1042" i="2"/>
  <c r="L1042" i="2"/>
  <c r="M1042" i="2"/>
  <c r="N1042" i="2"/>
  <c r="O1042" i="2"/>
  <c r="B1043" i="2"/>
  <c r="C1043" i="2"/>
  <c r="D1043" i="2"/>
  <c r="E1043" i="2"/>
  <c r="F1043" i="2"/>
  <c r="G1043" i="2"/>
  <c r="H1043" i="2"/>
  <c r="I1043" i="2"/>
  <c r="J1043" i="2"/>
  <c r="K1043" i="2"/>
  <c r="L1043" i="2"/>
  <c r="M1043" i="2"/>
  <c r="N1043" i="2"/>
  <c r="O1043" i="2"/>
  <c r="B1044" i="2"/>
  <c r="C1044" i="2"/>
  <c r="D1044" i="2"/>
  <c r="E1044" i="2"/>
  <c r="F1044" i="2"/>
  <c r="G1044" i="2"/>
  <c r="H1044" i="2"/>
  <c r="I1044" i="2"/>
  <c r="J1044" i="2"/>
  <c r="K1044" i="2"/>
  <c r="L1044" i="2"/>
  <c r="M1044" i="2"/>
  <c r="N1044" i="2"/>
  <c r="O1044" i="2"/>
  <c r="B1045" i="2"/>
  <c r="C1045" i="2"/>
  <c r="D1045" i="2"/>
  <c r="E1045" i="2"/>
  <c r="F1045" i="2"/>
  <c r="G1045" i="2"/>
  <c r="H1045" i="2"/>
  <c r="I1045" i="2"/>
  <c r="J1045" i="2"/>
  <c r="K1045" i="2"/>
  <c r="L1045" i="2"/>
  <c r="M1045" i="2"/>
  <c r="N1045" i="2"/>
  <c r="O1045" i="2"/>
  <c r="B1046" i="2"/>
  <c r="C1046" i="2"/>
  <c r="D1046" i="2"/>
  <c r="E1046" i="2"/>
  <c r="F1046" i="2"/>
  <c r="G1046" i="2"/>
  <c r="H1046" i="2"/>
  <c r="H1157" i="2" s="1"/>
  <c r="I1046" i="2"/>
  <c r="J1046" i="2"/>
  <c r="K1046" i="2"/>
  <c r="L1046" i="2"/>
  <c r="L1157" i="2" s="1"/>
  <c r="M1046" i="2"/>
  <c r="N1046" i="2"/>
  <c r="O1046" i="2"/>
  <c r="B1047" i="2"/>
  <c r="B1157" i="2" s="1"/>
  <c r="C1047" i="2"/>
  <c r="D1047" i="2"/>
  <c r="E1047" i="2"/>
  <c r="F1047" i="2"/>
  <c r="F1157" i="2" s="1"/>
  <c r="G1047" i="2"/>
  <c r="H1047" i="2"/>
  <c r="I1047" i="2"/>
  <c r="J1047" i="2"/>
  <c r="K1047" i="2"/>
  <c r="L1047" i="2"/>
  <c r="M1047" i="2"/>
  <c r="N1047" i="2"/>
  <c r="O1047" i="2"/>
  <c r="B1048" i="2"/>
  <c r="C1048" i="2"/>
  <c r="D1048" i="2"/>
  <c r="E1048" i="2"/>
  <c r="F1048" i="2"/>
  <c r="G1048" i="2"/>
  <c r="H1048" i="2"/>
  <c r="I1048" i="2"/>
  <c r="J1048" i="2"/>
  <c r="K1048" i="2"/>
  <c r="L1048" i="2"/>
  <c r="M1048" i="2"/>
  <c r="N1048" i="2"/>
  <c r="O1048" i="2"/>
  <c r="B1049" i="2"/>
  <c r="C1049" i="2"/>
  <c r="D1049" i="2"/>
  <c r="E1049" i="2"/>
  <c r="F1049" i="2"/>
  <c r="G1049" i="2"/>
  <c r="H1049" i="2"/>
  <c r="I1049" i="2"/>
  <c r="J1049" i="2"/>
  <c r="K1049" i="2"/>
  <c r="L1049" i="2"/>
  <c r="M1049" i="2"/>
  <c r="N1049" i="2"/>
  <c r="O1049" i="2"/>
  <c r="B1050" i="2"/>
  <c r="C1050" i="2"/>
  <c r="D1050" i="2"/>
  <c r="E1050" i="2"/>
  <c r="F1050" i="2"/>
  <c r="G1050" i="2"/>
  <c r="H1050" i="2"/>
  <c r="I1050" i="2"/>
  <c r="J1050" i="2"/>
  <c r="K1050" i="2"/>
  <c r="L1050" i="2"/>
  <c r="M1050" i="2"/>
  <c r="N1050" i="2"/>
  <c r="O1050" i="2"/>
  <c r="B1051" i="2"/>
  <c r="C1051" i="2"/>
  <c r="D1051" i="2"/>
  <c r="E1051" i="2"/>
  <c r="F1051" i="2"/>
  <c r="G1051" i="2"/>
  <c r="H1051" i="2"/>
  <c r="I1051" i="2"/>
  <c r="J1051" i="2"/>
  <c r="K1051" i="2"/>
  <c r="L1051" i="2"/>
  <c r="M1051" i="2"/>
  <c r="N1051" i="2"/>
  <c r="O1051" i="2"/>
  <c r="B1052" i="2"/>
  <c r="C1052" i="2"/>
  <c r="D1052" i="2"/>
  <c r="E1052" i="2"/>
  <c r="F1052" i="2"/>
  <c r="G1052" i="2"/>
  <c r="H1052" i="2"/>
  <c r="I1052" i="2"/>
  <c r="J1052" i="2"/>
  <c r="K1052" i="2"/>
  <c r="L1052" i="2"/>
  <c r="M1052" i="2"/>
  <c r="N1052" i="2"/>
  <c r="O1052" i="2"/>
  <c r="B1053" i="2"/>
  <c r="C1053" i="2"/>
  <c r="D1053" i="2"/>
  <c r="E1053" i="2"/>
  <c r="F1053" i="2"/>
  <c r="G1053" i="2"/>
  <c r="H1053" i="2"/>
  <c r="I1053" i="2"/>
  <c r="J1053" i="2"/>
  <c r="K1053" i="2"/>
  <c r="L1053" i="2"/>
  <c r="M1053" i="2"/>
  <c r="N1053" i="2"/>
  <c r="O1053" i="2"/>
  <c r="B1054" i="2"/>
  <c r="C1054" i="2"/>
  <c r="D1054" i="2"/>
  <c r="E1054" i="2"/>
  <c r="F1054" i="2"/>
  <c r="G1054" i="2"/>
  <c r="H1054" i="2"/>
  <c r="I1054" i="2"/>
  <c r="J1054" i="2"/>
  <c r="K1054" i="2"/>
  <c r="L1054" i="2"/>
  <c r="M1054" i="2"/>
  <c r="N1054" i="2"/>
  <c r="O1054" i="2"/>
  <c r="B1055" i="2"/>
  <c r="C1055" i="2"/>
  <c r="D1055" i="2"/>
  <c r="E1055" i="2"/>
  <c r="E1157" i="2" s="1"/>
  <c r="F1055" i="2"/>
  <c r="G1055" i="2"/>
  <c r="H1055" i="2"/>
  <c r="I1055" i="2"/>
  <c r="J1055" i="2"/>
  <c r="K1055" i="2"/>
  <c r="L1055" i="2"/>
  <c r="M1055" i="2"/>
  <c r="N1055" i="2"/>
  <c r="O1055" i="2"/>
  <c r="B1056" i="2"/>
  <c r="C1056" i="2"/>
  <c r="D1056" i="2"/>
  <c r="E1056" i="2"/>
  <c r="F1056" i="2"/>
  <c r="G1056" i="2"/>
  <c r="H1056" i="2"/>
  <c r="I1056" i="2"/>
  <c r="J1056" i="2"/>
  <c r="K1056" i="2"/>
  <c r="L1056" i="2"/>
  <c r="M1056" i="2"/>
  <c r="N1056" i="2"/>
  <c r="O1056" i="2"/>
  <c r="B1057" i="2"/>
  <c r="C1057" i="2"/>
  <c r="D1057" i="2"/>
  <c r="E1057" i="2"/>
  <c r="F1057" i="2"/>
  <c r="G1057" i="2"/>
  <c r="H1057" i="2"/>
  <c r="I1057" i="2"/>
  <c r="I1157" i="2" s="1"/>
  <c r="J1057" i="2"/>
  <c r="K1057" i="2"/>
  <c r="L1057" i="2"/>
  <c r="M1057" i="2"/>
  <c r="N1057" i="2"/>
  <c r="O1057" i="2"/>
  <c r="B1058" i="2"/>
  <c r="C1058" i="2"/>
  <c r="D1058" i="2"/>
  <c r="D1158" i="2" s="1"/>
  <c r="E1058" i="2"/>
  <c r="F1058" i="2"/>
  <c r="G1058" i="2"/>
  <c r="H1058" i="2"/>
  <c r="H1158" i="2" s="1"/>
  <c r="I1058" i="2"/>
  <c r="J1058" i="2"/>
  <c r="K1058" i="2"/>
  <c r="L1058" i="2"/>
  <c r="L1158" i="2" s="1"/>
  <c r="M1058" i="2"/>
  <c r="N1058" i="2"/>
  <c r="O1058" i="2"/>
  <c r="B1059" i="2"/>
  <c r="B1158" i="2" s="1"/>
  <c r="C1059" i="2"/>
  <c r="D1059" i="2"/>
  <c r="E1059" i="2"/>
  <c r="F1059" i="2"/>
  <c r="F1158" i="2" s="1"/>
  <c r="G1059" i="2"/>
  <c r="H1059" i="2"/>
  <c r="I1059" i="2"/>
  <c r="J1059" i="2"/>
  <c r="K1059" i="2"/>
  <c r="L1059" i="2"/>
  <c r="M1059" i="2"/>
  <c r="N1059" i="2"/>
  <c r="N1158" i="2" s="1"/>
  <c r="O1059" i="2"/>
  <c r="B1060" i="2"/>
  <c r="C1060" i="2"/>
  <c r="C1158" i="2" s="1"/>
  <c r="D1060" i="2"/>
  <c r="E1060" i="2"/>
  <c r="F1060" i="2"/>
  <c r="G1060" i="2"/>
  <c r="G1158" i="2" s="1"/>
  <c r="H1060" i="2"/>
  <c r="I1060" i="2"/>
  <c r="J1060" i="2"/>
  <c r="K1060" i="2"/>
  <c r="L1060" i="2"/>
  <c r="M1060" i="2"/>
  <c r="N1060" i="2"/>
  <c r="O1060" i="2"/>
  <c r="B1061" i="2"/>
  <c r="C1061" i="2"/>
  <c r="D1061" i="2"/>
  <c r="E1061" i="2"/>
  <c r="F1061" i="2"/>
  <c r="G1061" i="2"/>
  <c r="H1061" i="2"/>
  <c r="I1061" i="2"/>
  <c r="J1061" i="2"/>
  <c r="K1061" i="2"/>
  <c r="L1061" i="2"/>
  <c r="M1061" i="2"/>
  <c r="N1061" i="2"/>
  <c r="O1061" i="2"/>
  <c r="B1062" i="2"/>
  <c r="C1062" i="2"/>
  <c r="D1062" i="2"/>
  <c r="E1062" i="2"/>
  <c r="F1062" i="2"/>
  <c r="G1062" i="2"/>
  <c r="H1062" i="2"/>
  <c r="I1062" i="2"/>
  <c r="J1062" i="2"/>
  <c r="K1062" i="2"/>
  <c r="K1158" i="2" s="1"/>
  <c r="L1062" i="2"/>
  <c r="M1062" i="2"/>
  <c r="N1062" i="2"/>
  <c r="O1062" i="2"/>
  <c r="O1158" i="2" s="1"/>
  <c r="B1063" i="2"/>
  <c r="C1063" i="2"/>
  <c r="D1063" i="2"/>
  <c r="E1063" i="2"/>
  <c r="F1063" i="2"/>
  <c r="G1063" i="2"/>
  <c r="H1063" i="2"/>
  <c r="I1063" i="2"/>
  <c r="J1063" i="2"/>
  <c r="K1063" i="2"/>
  <c r="L1063" i="2"/>
  <c r="M1063" i="2"/>
  <c r="N1063" i="2"/>
  <c r="O1063" i="2"/>
  <c r="B1064" i="2"/>
  <c r="C1064" i="2"/>
  <c r="D1064" i="2"/>
  <c r="E1064" i="2"/>
  <c r="F1064" i="2"/>
  <c r="G1064" i="2"/>
  <c r="H1064" i="2"/>
  <c r="I1064" i="2"/>
  <c r="J1064" i="2"/>
  <c r="K1064" i="2"/>
  <c r="L1064" i="2"/>
  <c r="M1064" i="2"/>
  <c r="N1064" i="2"/>
  <c r="O1064" i="2"/>
  <c r="B1065" i="2"/>
  <c r="C1065" i="2"/>
  <c r="D1065" i="2"/>
  <c r="E1065" i="2"/>
  <c r="F1065" i="2"/>
  <c r="G1065" i="2"/>
  <c r="H1065" i="2"/>
  <c r="I1065" i="2"/>
  <c r="J1065" i="2"/>
  <c r="K1065" i="2"/>
  <c r="L1065" i="2"/>
  <c r="M1065" i="2"/>
  <c r="N1065" i="2"/>
  <c r="O1065" i="2"/>
  <c r="B1066" i="2"/>
  <c r="C1066" i="2"/>
  <c r="D1066" i="2"/>
  <c r="E1066" i="2"/>
  <c r="F1066" i="2"/>
  <c r="G1066" i="2"/>
  <c r="H1066" i="2"/>
  <c r="I1066" i="2"/>
  <c r="J1066" i="2"/>
  <c r="K1066" i="2"/>
  <c r="L1066" i="2"/>
  <c r="M1066" i="2"/>
  <c r="N1066" i="2"/>
  <c r="O1066" i="2"/>
  <c r="B1067" i="2"/>
  <c r="C1067" i="2"/>
  <c r="D1067" i="2"/>
  <c r="E1067" i="2"/>
  <c r="F1067" i="2"/>
  <c r="G1067" i="2"/>
  <c r="H1067" i="2"/>
  <c r="I1067" i="2"/>
  <c r="J1067" i="2"/>
  <c r="K1067" i="2"/>
  <c r="L1067" i="2"/>
  <c r="M1067" i="2"/>
  <c r="N1067" i="2"/>
  <c r="O1067" i="2"/>
  <c r="B1068" i="2"/>
  <c r="C1068" i="2"/>
  <c r="D1068" i="2"/>
  <c r="E1068" i="2"/>
  <c r="F1068" i="2"/>
  <c r="G1068" i="2"/>
  <c r="H1068" i="2"/>
  <c r="I1068" i="2"/>
  <c r="J1068" i="2"/>
  <c r="K1068" i="2"/>
  <c r="L1068" i="2"/>
  <c r="M1068" i="2"/>
  <c r="N1068" i="2"/>
  <c r="O1068" i="2"/>
  <c r="B1069" i="2"/>
  <c r="C1069" i="2"/>
  <c r="D1069" i="2"/>
  <c r="E1069" i="2"/>
  <c r="F1069" i="2"/>
  <c r="G1069" i="2"/>
  <c r="H1069" i="2"/>
  <c r="I1069" i="2"/>
  <c r="J1069" i="2"/>
  <c r="K1069" i="2"/>
  <c r="L1069" i="2"/>
  <c r="M1069" i="2"/>
  <c r="N1069" i="2"/>
  <c r="O1069" i="2"/>
  <c r="B1071" i="2"/>
  <c r="C1071" i="2"/>
  <c r="D1071" i="2"/>
  <c r="E1071" i="2"/>
  <c r="F1071" i="2"/>
  <c r="G1071" i="2"/>
  <c r="H1071" i="2"/>
  <c r="I1071" i="2"/>
  <c r="J1071" i="2"/>
  <c r="K1071" i="2"/>
  <c r="L1071" i="2"/>
  <c r="M1071" i="2"/>
  <c r="N1071" i="2"/>
  <c r="O1071" i="2"/>
  <c r="B1072" i="2"/>
  <c r="C1072" i="2"/>
  <c r="D1072" i="2"/>
  <c r="E1072" i="2"/>
  <c r="F1072" i="2"/>
  <c r="G1072" i="2"/>
  <c r="H1072" i="2"/>
  <c r="I1072" i="2"/>
  <c r="J1072" i="2"/>
  <c r="K1072" i="2"/>
  <c r="L1072" i="2"/>
  <c r="M1072" i="2"/>
  <c r="N1072" i="2"/>
  <c r="O1072" i="2"/>
  <c r="B1073" i="2"/>
  <c r="C1073" i="2"/>
  <c r="D1073" i="2"/>
  <c r="E1073" i="2"/>
  <c r="F1073" i="2"/>
  <c r="G1073" i="2"/>
  <c r="H1073" i="2"/>
  <c r="I1073" i="2"/>
  <c r="J1073" i="2"/>
  <c r="K1073" i="2"/>
  <c r="L1073" i="2"/>
  <c r="M1073" i="2"/>
  <c r="N1073" i="2"/>
  <c r="O1073" i="2"/>
  <c r="B1074" i="2"/>
  <c r="C1074" i="2"/>
  <c r="D1074" i="2"/>
  <c r="E1074" i="2"/>
  <c r="F1074" i="2"/>
  <c r="G1074" i="2"/>
  <c r="H1074" i="2"/>
  <c r="I1074" i="2"/>
  <c r="J1074" i="2"/>
  <c r="K1074" i="2"/>
  <c r="L1074" i="2"/>
  <c r="M1074" i="2"/>
  <c r="N1074" i="2"/>
  <c r="O1074" i="2"/>
  <c r="B1075" i="2"/>
  <c r="C1075" i="2"/>
  <c r="D1075" i="2"/>
  <c r="E1075" i="2"/>
  <c r="F1075" i="2"/>
  <c r="G1075" i="2"/>
  <c r="H1075" i="2"/>
  <c r="I1075" i="2"/>
  <c r="J1075" i="2"/>
  <c r="K1075" i="2"/>
  <c r="L1075" i="2"/>
  <c r="M1075" i="2"/>
  <c r="N1075" i="2"/>
  <c r="O1075" i="2"/>
  <c r="B1076" i="2"/>
  <c r="C1076" i="2"/>
  <c r="D1076" i="2"/>
  <c r="E1076" i="2"/>
  <c r="F1076" i="2"/>
  <c r="G1076" i="2"/>
  <c r="H1076" i="2"/>
  <c r="I1076" i="2"/>
  <c r="J1076" i="2"/>
  <c r="K1076" i="2"/>
  <c r="L1076" i="2"/>
  <c r="M1076" i="2"/>
  <c r="N1076" i="2"/>
  <c r="O1076" i="2"/>
  <c r="B1077" i="2"/>
  <c r="C1077" i="2"/>
  <c r="D1077" i="2"/>
  <c r="E1077" i="2"/>
  <c r="F1077" i="2"/>
  <c r="G1077" i="2"/>
  <c r="H1077" i="2"/>
  <c r="I1077" i="2"/>
  <c r="J1077" i="2"/>
  <c r="K1077" i="2"/>
  <c r="L1077" i="2"/>
  <c r="M1077" i="2"/>
  <c r="N1077" i="2"/>
  <c r="O1077" i="2"/>
  <c r="B1078" i="2"/>
  <c r="C1078" i="2"/>
  <c r="D1078" i="2"/>
  <c r="E1078" i="2"/>
  <c r="F1078" i="2"/>
  <c r="G1078" i="2"/>
  <c r="H1078" i="2"/>
  <c r="I1078" i="2"/>
  <c r="J1078" i="2"/>
  <c r="K1078" i="2"/>
  <c r="L1078" i="2"/>
  <c r="M1078" i="2"/>
  <c r="N1078" i="2"/>
  <c r="O1078" i="2"/>
  <c r="B1079" i="2"/>
  <c r="C1079" i="2"/>
  <c r="D1079" i="2"/>
  <c r="E1079" i="2"/>
  <c r="F1079" i="2"/>
  <c r="G1079" i="2"/>
  <c r="H1079" i="2"/>
  <c r="I1079" i="2"/>
  <c r="J1079" i="2"/>
  <c r="K1079" i="2"/>
  <c r="L1079" i="2"/>
  <c r="M1079" i="2"/>
  <c r="N1079" i="2"/>
  <c r="O1079" i="2"/>
  <c r="B1080" i="2"/>
  <c r="C1080" i="2"/>
  <c r="D1080" i="2"/>
  <c r="E1080" i="2"/>
  <c r="F1080" i="2"/>
  <c r="G1080" i="2"/>
  <c r="H1080" i="2"/>
  <c r="I1080" i="2"/>
  <c r="J1080" i="2"/>
  <c r="K1080" i="2"/>
  <c r="L1080" i="2"/>
  <c r="M1080" i="2"/>
  <c r="N1080" i="2"/>
  <c r="O1080" i="2"/>
  <c r="B1081" i="2"/>
  <c r="C1081" i="2"/>
  <c r="D1081" i="2"/>
  <c r="E1081" i="2"/>
  <c r="F1081" i="2"/>
  <c r="G1081" i="2"/>
  <c r="H1081" i="2"/>
  <c r="I1081" i="2"/>
  <c r="J1081" i="2"/>
  <c r="K1081" i="2"/>
  <c r="L1081" i="2"/>
  <c r="M1081" i="2"/>
  <c r="N1081" i="2"/>
  <c r="O1081" i="2"/>
  <c r="B1082" i="2"/>
  <c r="C1082" i="2"/>
  <c r="D1082" i="2"/>
  <c r="E1082" i="2"/>
  <c r="F1082" i="2"/>
  <c r="G1082" i="2"/>
  <c r="H1082" i="2"/>
  <c r="I1082" i="2"/>
  <c r="J1082" i="2"/>
  <c r="K1082" i="2"/>
  <c r="L1082" i="2"/>
  <c r="M1082" i="2"/>
  <c r="N1082" i="2"/>
  <c r="O1082" i="2"/>
  <c r="B1083" i="2"/>
  <c r="C1083" i="2"/>
  <c r="D1083" i="2"/>
  <c r="E1083" i="2"/>
  <c r="F1083" i="2"/>
  <c r="G1083" i="2"/>
  <c r="H1083" i="2"/>
  <c r="I1083" i="2"/>
  <c r="J1083" i="2"/>
  <c r="K1083" i="2"/>
  <c r="L1083" i="2"/>
  <c r="M1083" i="2"/>
  <c r="N1083" i="2"/>
  <c r="O1083" i="2"/>
  <c r="B1084" i="2"/>
  <c r="C1084" i="2"/>
  <c r="D1084" i="2"/>
  <c r="E1084" i="2"/>
  <c r="F1084" i="2"/>
  <c r="G1084" i="2"/>
  <c r="H1084" i="2"/>
  <c r="I1084" i="2"/>
  <c r="J1084" i="2"/>
  <c r="K1084" i="2"/>
  <c r="L1084" i="2"/>
  <c r="M1084" i="2"/>
  <c r="N1084" i="2"/>
  <c r="O1084" i="2"/>
  <c r="B1085" i="2"/>
  <c r="C1085" i="2"/>
  <c r="D1085" i="2"/>
  <c r="E1085" i="2"/>
  <c r="F1085" i="2"/>
  <c r="G1085" i="2"/>
  <c r="H1085" i="2"/>
  <c r="I1085" i="2"/>
  <c r="J1085" i="2"/>
  <c r="K1085" i="2"/>
  <c r="L1085" i="2"/>
  <c r="M1085" i="2"/>
  <c r="N1085" i="2"/>
  <c r="O1085" i="2"/>
  <c r="B1086" i="2"/>
  <c r="C1086" i="2"/>
  <c r="D1086" i="2"/>
  <c r="E1086" i="2"/>
  <c r="F1086" i="2"/>
  <c r="G1086" i="2"/>
  <c r="H1086" i="2"/>
  <c r="I1086" i="2"/>
  <c r="J1086" i="2"/>
  <c r="K1086" i="2"/>
  <c r="L1086" i="2"/>
  <c r="M1086" i="2"/>
  <c r="N1086" i="2"/>
  <c r="O1086" i="2"/>
  <c r="B1087" i="2"/>
  <c r="C1087" i="2"/>
  <c r="D1087" i="2"/>
  <c r="E1087" i="2"/>
  <c r="F1087" i="2"/>
  <c r="G1087" i="2"/>
  <c r="H1087" i="2"/>
  <c r="I1087" i="2"/>
  <c r="J1087" i="2"/>
  <c r="K1087" i="2"/>
  <c r="L1087" i="2"/>
  <c r="M1087" i="2"/>
  <c r="N1087" i="2"/>
  <c r="O1087" i="2"/>
  <c r="B1088" i="2"/>
  <c r="C1088" i="2"/>
  <c r="D1088" i="2"/>
  <c r="E1088" i="2"/>
  <c r="F1088" i="2"/>
  <c r="G1088" i="2"/>
  <c r="H1088" i="2"/>
  <c r="I1088" i="2"/>
  <c r="J1088" i="2"/>
  <c r="K1088" i="2"/>
  <c r="L1088" i="2"/>
  <c r="M1088" i="2"/>
  <c r="N1088" i="2"/>
  <c r="O1088" i="2"/>
  <c r="B1089" i="2"/>
  <c r="C1089" i="2"/>
  <c r="D1089" i="2"/>
  <c r="E1089" i="2"/>
  <c r="F1089" i="2"/>
  <c r="G1089" i="2"/>
  <c r="H1089" i="2"/>
  <c r="I1089" i="2"/>
  <c r="J1089" i="2"/>
  <c r="K1089" i="2"/>
  <c r="L1089" i="2"/>
  <c r="M1089" i="2"/>
  <c r="N1089" i="2"/>
  <c r="O1089" i="2"/>
  <c r="B1090" i="2"/>
  <c r="C1090" i="2"/>
  <c r="D1090" i="2"/>
  <c r="E1090" i="2"/>
  <c r="F1090" i="2"/>
  <c r="G1090" i="2"/>
  <c r="H1090" i="2"/>
  <c r="I1090" i="2"/>
  <c r="J1090" i="2"/>
  <c r="K1090" i="2"/>
  <c r="L1090" i="2"/>
  <c r="M1090" i="2"/>
  <c r="N1090" i="2"/>
  <c r="O1090" i="2"/>
  <c r="B1091" i="2"/>
  <c r="C1091" i="2"/>
  <c r="D1091" i="2"/>
  <c r="E1091" i="2"/>
  <c r="F1091" i="2"/>
  <c r="G1091" i="2"/>
  <c r="H1091" i="2"/>
  <c r="I1091" i="2"/>
  <c r="J1091" i="2"/>
  <c r="K1091" i="2"/>
  <c r="L1091" i="2"/>
  <c r="M1091" i="2"/>
  <c r="N1091" i="2"/>
  <c r="O1091" i="2"/>
  <c r="B1092" i="2"/>
  <c r="C1092" i="2"/>
  <c r="D1092" i="2"/>
  <c r="E1092" i="2"/>
  <c r="F1092" i="2"/>
  <c r="G1092" i="2"/>
  <c r="H1092" i="2"/>
  <c r="I1092" i="2"/>
  <c r="J1092" i="2"/>
  <c r="K1092" i="2"/>
  <c r="L1092" i="2"/>
  <c r="M1092" i="2"/>
  <c r="N1092" i="2"/>
  <c r="O1092" i="2"/>
  <c r="B1093" i="2"/>
  <c r="C1093" i="2"/>
  <c r="D1093" i="2"/>
  <c r="E1093" i="2"/>
  <c r="F1093" i="2"/>
  <c r="G1093" i="2"/>
  <c r="H1093" i="2"/>
  <c r="I1093" i="2"/>
  <c r="J1093" i="2"/>
  <c r="K1093" i="2"/>
  <c r="L1093" i="2"/>
  <c r="M1093" i="2"/>
  <c r="N1093" i="2"/>
  <c r="O1093" i="2"/>
  <c r="B1094" i="2"/>
  <c r="C1094" i="2"/>
  <c r="D1094" i="2"/>
  <c r="E1094" i="2"/>
  <c r="F1094" i="2"/>
  <c r="G1094" i="2"/>
  <c r="H1094" i="2"/>
  <c r="I1094" i="2"/>
  <c r="J1094" i="2"/>
  <c r="K1094" i="2"/>
  <c r="L1094" i="2"/>
  <c r="M1094" i="2"/>
  <c r="N1094" i="2"/>
  <c r="O1094" i="2"/>
  <c r="B1095" i="2"/>
  <c r="C1095" i="2"/>
  <c r="D1095" i="2"/>
  <c r="E1095" i="2"/>
  <c r="F1095" i="2"/>
  <c r="G1095" i="2"/>
  <c r="H1095" i="2"/>
  <c r="I1095" i="2"/>
  <c r="J1095" i="2"/>
  <c r="K1095" i="2"/>
  <c r="L1095" i="2"/>
  <c r="M1095" i="2"/>
  <c r="N1095" i="2"/>
  <c r="O1095" i="2"/>
  <c r="B1096" i="2"/>
  <c r="C1096" i="2"/>
  <c r="D1096" i="2"/>
  <c r="E1096" i="2"/>
  <c r="F1096" i="2"/>
  <c r="G1096" i="2"/>
  <c r="H1096" i="2"/>
  <c r="I1096" i="2"/>
  <c r="J1096" i="2"/>
  <c r="K1096" i="2"/>
  <c r="L1096" i="2"/>
  <c r="M1096" i="2"/>
  <c r="N1096" i="2"/>
  <c r="O1096" i="2"/>
  <c r="B1097" i="2"/>
  <c r="C1097" i="2"/>
  <c r="D1097" i="2"/>
  <c r="E1097" i="2"/>
  <c r="F1097" i="2"/>
  <c r="G1097" i="2"/>
  <c r="H1097" i="2"/>
  <c r="I1097" i="2"/>
  <c r="J1097" i="2"/>
  <c r="K1097" i="2"/>
  <c r="L1097" i="2"/>
  <c r="M1097" i="2"/>
  <c r="N1097" i="2"/>
  <c r="O1097" i="2"/>
  <c r="B1098" i="2"/>
  <c r="C1098" i="2"/>
  <c r="D1098" i="2"/>
  <c r="E1098" i="2"/>
  <c r="F1098" i="2"/>
  <c r="G1098" i="2"/>
  <c r="H1098" i="2"/>
  <c r="I1098" i="2"/>
  <c r="J1098" i="2"/>
  <c r="K1098" i="2"/>
  <c r="L1098" i="2"/>
  <c r="M1098" i="2"/>
  <c r="N1098" i="2"/>
  <c r="O1098" i="2"/>
  <c r="B1099" i="2"/>
  <c r="C1099" i="2"/>
  <c r="D1099" i="2"/>
  <c r="E1099" i="2"/>
  <c r="F1099" i="2"/>
  <c r="G1099" i="2"/>
  <c r="H1099" i="2"/>
  <c r="I1099" i="2"/>
  <c r="J1099" i="2"/>
  <c r="K1099" i="2"/>
  <c r="L1099" i="2"/>
  <c r="M1099" i="2"/>
  <c r="N1099" i="2"/>
  <c r="O1099" i="2"/>
  <c r="B1100" i="2"/>
  <c r="C1100" i="2"/>
  <c r="D1100" i="2"/>
  <c r="E1100" i="2"/>
  <c r="F1100" i="2"/>
  <c r="G1100" i="2"/>
  <c r="H1100" i="2"/>
  <c r="I1100" i="2"/>
  <c r="J1100" i="2"/>
  <c r="K1100" i="2"/>
  <c r="L1100" i="2"/>
  <c r="M1100" i="2"/>
  <c r="N1100" i="2"/>
  <c r="O1100" i="2"/>
  <c r="B1101" i="2"/>
  <c r="C1101" i="2"/>
  <c r="D1101" i="2"/>
  <c r="E1101" i="2"/>
  <c r="F1101" i="2"/>
  <c r="G1101" i="2"/>
  <c r="H1101" i="2"/>
  <c r="I1101" i="2"/>
  <c r="J1101" i="2"/>
  <c r="K1101" i="2"/>
  <c r="L1101" i="2"/>
  <c r="M1101" i="2"/>
  <c r="N1101" i="2"/>
  <c r="O1101" i="2"/>
  <c r="B1102" i="2"/>
  <c r="C1102" i="2"/>
  <c r="D1102" i="2"/>
  <c r="E1102" i="2"/>
  <c r="F1102" i="2"/>
  <c r="G1102" i="2"/>
  <c r="H1102" i="2"/>
  <c r="I1102" i="2"/>
  <c r="J1102" i="2"/>
  <c r="K1102" i="2"/>
  <c r="L1102" i="2"/>
  <c r="M1102" i="2"/>
  <c r="N1102" i="2"/>
  <c r="O1102" i="2"/>
  <c r="C1103" i="2"/>
  <c r="D1103" i="2"/>
  <c r="E1103" i="2"/>
  <c r="G1103" i="2"/>
  <c r="H1103" i="2"/>
  <c r="I1103" i="2"/>
  <c r="K1103" i="2"/>
  <c r="L1103" i="2"/>
  <c r="M1103" i="2"/>
  <c r="O1103" i="2"/>
  <c r="B1104" i="2"/>
  <c r="C1104" i="2"/>
  <c r="E1104" i="2"/>
  <c r="F1104" i="2"/>
  <c r="G1104" i="2"/>
  <c r="I1104" i="2"/>
  <c r="J1104" i="2"/>
  <c r="K1104" i="2"/>
  <c r="M1104" i="2"/>
  <c r="N1104" i="2"/>
  <c r="O1104" i="2"/>
  <c r="C1105" i="2"/>
  <c r="D1105" i="2"/>
  <c r="E1105" i="2"/>
  <c r="G1105" i="2"/>
  <c r="H1105" i="2"/>
  <c r="I1105" i="2"/>
  <c r="K1105" i="2"/>
  <c r="L1105" i="2"/>
  <c r="M1105" i="2"/>
  <c r="O1105" i="2"/>
  <c r="B1106" i="2"/>
  <c r="C1106" i="2"/>
  <c r="E1106" i="2"/>
  <c r="F1106" i="2"/>
  <c r="G1106" i="2"/>
  <c r="I1106" i="2"/>
  <c r="J1106" i="2"/>
  <c r="K1106" i="2"/>
  <c r="M1106" i="2"/>
  <c r="N1106" i="2"/>
  <c r="O1106" i="2"/>
  <c r="C1107" i="2"/>
  <c r="D1107" i="2"/>
  <c r="E1107" i="2"/>
  <c r="G1107" i="2"/>
  <c r="H1107" i="2"/>
  <c r="I1107" i="2"/>
  <c r="K1107" i="2"/>
  <c r="L1107" i="2"/>
  <c r="M1107" i="2"/>
  <c r="O1107" i="2"/>
  <c r="B1108" i="2"/>
  <c r="C1108" i="2"/>
  <c r="E1108" i="2"/>
  <c r="F1108" i="2"/>
  <c r="G1108" i="2"/>
  <c r="I1108" i="2"/>
  <c r="J1108" i="2"/>
  <c r="K1108" i="2"/>
  <c r="M1108" i="2"/>
  <c r="N1108" i="2"/>
  <c r="O1108" i="2"/>
  <c r="C1109" i="2"/>
  <c r="D1109" i="2"/>
  <c r="E1109" i="2"/>
  <c r="G1109" i="2"/>
  <c r="H1109" i="2"/>
  <c r="I1109" i="2"/>
  <c r="K1109" i="2"/>
  <c r="L1109" i="2"/>
  <c r="M1109" i="2"/>
  <c r="O1109" i="2"/>
  <c r="B1110" i="2"/>
  <c r="C1110" i="2"/>
  <c r="E1110" i="2"/>
  <c r="G1110" i="2"/>
  <c r="I1110" i="2"/>
  <c r="J1110" i="2"/>
  <c r="K1110" i="2"/>
  <c r="M1110" i="2"/>
  <c r="N1110" i="2"/>
  <c r="O1110" i="2"/>
  <c r="C1111" i="2"/>
  <c r="D1111" i="2"/>
  <c r="E1111" i="2"/>
  <c r="G1111" i="2"/>
  <c r="I1111" i="2"/>
  <c r="K1111" i="2"/>
  <c r="L1111" i="2"/>
  <c r="M1111" i="2"/>
  <c r="O1111" i="2"/>
  <c r="B1112" i="2"/>
  <c r="C1112" i="2"/>
  <c r="E1112" i="2"/>
  <c r="F1112" i="2"/>
  <c r="G1112" i="2"/>
  <c r="I1112" i="2"/>
  <c r="K1112" i="2"/>
  <c r="M1112" i="2"/>
  <c r="N1112" i="2"/>
  <c r="O1112" i="2"/>
  <c r="C1113" i="2"/>
  <c r="D1113" i="2"/>
  <c r="E1113" i="2"/>
  <c r="G1113" i="2"/>
  <c r="H1113" i="2"/>
  <c r="I1113" i="2"/>
  <c r="K1113" i="2"/>
  <c r="M1113" i="2"/>
  <c r="O1113" i="2"/>
  <c r="B1114" i="2"/>
  <c r="C1114" i="2"/>
  <c r="E1114" i="2"/>
  <c r="F1114" i="2"/>
  <c r="G1114" i="2"/>
  <c r="I1114" i="2"/>
  <c r="J1114" i="2"/>
  <c r="K1114" i="2"/>
  <c r="M1114" i="2"/>
  <c r="O1114" i="2"/>
  <c r="C1115" i="2"/>
  <c r="D1115" i="2"/>
  <c r="E1115" i="2"/>
  <c r="G1115" i="2"/>
  <c r="H1115" i="2"/>
  <c r="I1115" i="2"/>
  <c r="K1115" i="2"/>
  <c r="L1115" i="2"/>
  <c r="M1115" i="2"/>
  <c r="O1115" i="2"/>
  <c r="C1116" i="2"/>
  <c r="E1116" i="2"/>
  <c r="G1116" i="2"/>
  <c r="I1116" i="2"/>
  <c r="J1116" i="2"/>
  <c r="K1116" i="2"/>
  <c r="M1116" i="2"/>
  <c r="N1116" i="2"/>
  <c r="O1116" i="2"/>
  <c r="C1117" i="2"/>
  <c r="E1117" i="2"/>
  <c r="G1117" i="2"/>
  <c r="I1117" i="2"/>
  <c r="K1117" i="2"/>
  <c r="L1117" i="2"/>
  <c r="M1117" i="2"/>
  <c r="O1117" i="2"/>
  <c r="B1118" i="2"/>
  <c r="C1118" i="2"/>
  <c r="E1118" i="2"/>
  <c r="G1118" i="2"/>
  <c r="I1118" i="2"/>
  <c r="K1118" i="2"/>
  <c r="M1118" i="2"/>
  <c r="N1118" i="2"/>
  <c r="O1118" i="2"/>
  <c r="C1119" i="2"/>
  <c r="D1119" i="2"/>
  <c r="E1119" i="2"/>
  <c r="G1119" i="2"/>
  <c r="I1119" i="2"/>
  <c r="K1119" i="2"/>
  <c r="M1119" i="2"/>
  <c r="O1119" i="2"/>
  <c r="B1120" i="2"/>
  <c r="C1120" i="2"/>
  <c r="E1120" i="2"/>
  <c r="F1120" i="2"/>
  <c r="G1120" i="2"/>
  <c r="I1120" i="2"/>
  <c r="K1120" i="2"/>
  <c r="M1120" i="2"/>
  <c r="O1120" i="2"/>
  <c r="C1121" i="2"/>
  <c r="D1121" i="2"/>
  <c r="E1121" i="2"/>
  <c r="G1121" i="2"/>
  <c r="H1121" i="2"/>
  <c r="I1121" i="2"/>
  <c r="K1121" i="2"/>
  <c r="M1121" i="2"/>
  <c r="O1121" i="2"/>
  <c r="C1122" i="2"/>
  <c r="E1122" i="2"/>
  <c r="F1122" i="2"/>
  <c r="G1122" i="2"/>
  <c r="I1122" i="2"/>
  <c r="K1122" i="2"/>
  <c r="M1122" i="2"/>
  <c r="O1122" i="2"/>
  <c r="C1123" i="2"/>
  <c r="E1123" i="2"/>
  <c r="G1123" i="2"/>
  <c r="H1123" i="2"/>
  <c r="I1123" i="2"/>
  <c r="K1123" i="2"/>
  <c r="M1123" i="2"/>
  <c r="O1123" i="2"/>
  <c r="C1124" i="2"/>
  <c r="E1124" i="2"/>
  <c r="G1124" i="2"/>
  <c r="I1124" i="2"/>
  <c r="J1124" i="2"/>
  <c r="K1124" i="2"/>
  <c r="M1124" i="2"/>
  <c r="O1124" i="2"/>
  <c r="C1125" i="2"/>
  <c r="E1125" i="2"/>
  <c r="G1125" i="2"/>
  <c r="I1125" i="2"/>
  <c r="K1125" i="2"/>
  <c r="L1125" i="2"/>
  <c r="M1125" i="2"/>
  <c r="O1125" i="2"/>
  <c r="C1126" i="2"/>
  <c r="E1126" i="2"/>
  <c r="G1126" i="2"/>
  <c r="I1126" i="2"/>
  <c r="K1126" i="2"/>
  <c r="M1126" i="2"/>
  <c r="N1126" i="2"/>
  <c r="O1126" i="2"/>
  <c r="C1127" i="2"/>
  <c r="E1127" i="2"/>
  <c r="G1127" i="2"/>
  <c r="I1127" i="2"/>
  <c r="K1127" i="2"/>
  <c r="M1127" i="2"/>
  <c r="O1127" i="2"/>
  <c r="B1128" i="2"/>
  <c r="C1128" i="2"/>
  <c r="E1128" i="2"/>
  <c r="G1128" i="2"/>
  <c r="I1128" i="2"/>
  <c r="K1128" i="2"/>
  <c r="M1128" i="2"/>
  <c r="O1128" i="2"/>
  <c r="C1129" i="2"/>
  <c r="D1129" i="2"/>
  <c r="E1129" i="2"/>
  <c r="G1129" i="2"/>
  <c r="I1129" i="2"/>
  <c r="K1129" i="2"/>
  <c r="M1129" i="2"/>
  <c r="O1129" i="2"/>
  <c r="C1130" i="2"/>
  <c r="E1130" i="2"/>
  <c r="F1130" i="2"/>
  <c r="G1130" i="2"/>
  <c r="I1130" i="2"/>
  <c r="K1130" i="2"/>
  <c r="M1130" i="2"/>
  <c r="O1130" i="2"/>
  <c r="C1131" i="2"/>
  <c r="E1131" i="2"/>
  <c r="G1131" i="2"/>
  <c r="H1131" i="2"/>
  <c r="I1131" i="2"/>
  <c r="K1131" i="2"/>
  <c r="M1131" i="2"/>
  <c r="O1131" i="2"/>
  <c r="C1132" i="2"/>
  <c r="E1132" i="2"/>
  <c r="G1132" i="2"/>
  <c r="I1132" i="2"/>
  <c r="J1132" i="2"/>
  <c r="K1132" i="2"/>
  <c r="M1132" i="2"/>
  <c r="O1132" i="2"/>
  <c r="C1133" i="2"/>
  <c r="E1133" i="2"/>
  <c r="G1133" i="2"/>
  <c r="I1133" i="2"/>
  <c r="K1133" i="2"/>
  <c r="L1133" i="2"/>
  <c r="M1133" i="2"/>
  <c r="O1133" i="2"/>
  <c r="C1134" i="2"/>
  <c r="E1134" i="2"/>
  <c r="G1134" i="2"/>
  <c r="I1134" i="2"/>
  <c r="K1134" i="2"/>
  <c r="M1134" i="2"/>
  <c r="N1134" i="2"/>
  <c r="O1134" i="2"/>
  <c r="C1135" i="2"/>
  <c r="E1135" i="2"/>
  <c r="G1135" i="2"/>
  <c r="I1135" i="2"/>
  <c r="K1135" i="2"/>
  <c r="M1135" i="2"/>
  <c r="O1135" i="2"/>
  <c r="B1136" i="2"/>
  <c r="C1136" i="2"/>
  <c r="E1136" i="2"/>
  <c r="G1136" i="2"/>
  <c r="I1136" i="2"/>
  <c r="K1136" i="2"/>
  <c r="M1136" i="2"/>
  <c r="O1136" i="2"/>
  <c r="C1137" i="2"/>
  <c r="D1137" i="2"/>
  <c r="E1137" i="2"/>
  <c r="G1137" i="2"/>
  <c r="I1137" i="2"/>
  <c r="K1137" i="2"/>
  <c r="M1137" i="2"/>
  <c r="O1137" i="2"/>
  <c r="C1138" i="2"/>
  <c r="E1138" i="2"/>
  <c r="F1138" i="2"/>
  <c r="G1138" i="2"/>
  <c r="I1138" i="2"/>
  <c r="K1138" i="2"/>
  <c r="M1138" i="2"/>
  <c r="O1138" i="2"/>
  <c r="C1139" i="2"/>
  <c r="E1139" i="2"/>
  <c r="G1139" i="2"/>
  <c r="H1139" i="2"/>
  <c r="I1139" i="2"/>
  <c r="K1139" i="2"/>
  <c r="L1139" i="2"/>
  <c r="M1139" i="2"/>
  <c r="O1139" i="2"/>
  <c r="B1140" i="2"/>
  <c r="C1140" i="2"/>
  <c r="E1140" i="2"/>
  <c r="F1140" i="2"/>
  <c r="G1140" i="2"/>
  <c r="I1140" i="2"/>
  <c r="J1140" i="2"/>
  <c r="K1140" i="2"/>
  <c r="M1140" i="2"/>
  <c r="N1140" i="2"/>
  <c r="O1140" i="2"/>
  <c r="C1141" i="2"/>
  <c r="D1141" i="2"/>
  <c r="E1141" i="2"/>
  <c r="G1141" i="2"/>
  <c r="H1141" i="2"/>
  <c r="I1141" i="2"/>
  <c r="K1141" i="2"/>
  <c r="L1141" i="2"/>
  <c r="M1141" i="2"/>
  <c r="O1141" i="2"/>
  <c r="B1142" i="2"/>
  <c r="C1142" i="2"/>
  <c r="E1142" i="2"/>
  <c r="F1142" i="2"/>
  <c r="G1142" i="2"/>
  <c r="I1142" i="2"/>
  <c r="J1142" i="2"/>
  <c r="K1142" i="2"/>
  <c r="M1142" i="2"/>
  <c r="N1142" i="2"/>
  <c r="O1142" i="2"/>
  <c r="C1143" i="2"/>
  <c r="D1143" i="2"/>
  <c r="E1143" i="2"/>
  <c r="G1143" i="2"/>
  <c r="H1143" i="2"/>
  <c r="I1143" i="2"/>
  <c r="K1143" i="2"/>
  <c r="L1143" i="2"/>
  <c r="M1143" i="2"/>
  <c r="O1143" i="2"/>
  <c r="B1144" i="2"/>
  <c r="C1144" i="2"/>
  <c r="E1144" i="2"/>
  <c r="F1144" i="2"/>
  <c r="G1144" i="2"/>
  <c r="I1144" i="2"/>
  <c r="J1144" i="2"/>
  <c r="K1144" i="2"/>
  <c r="M1144" i="2"/>
  <c r="N1144" i="2"/>
  <c r="O1144" i="2"/>
  <c r="C1145" i="2"/>
  <c r="D1145" i="2"/>
  <c r="E1145" i="2"/>
  <c r="G1145" i="2"/>
  <c r="H1145" i="2"/>
  <c r="I1145" i="2"/>
  <c r="K1145" i="2"/>
  <c r="L1145" i="2"/>
  <c r="M1145" i="2"/>
  <c r="O1145" i="2"/>
  <c r="B1146" i="2"/>
  <c r="C1146" i="2"/>
  <c r="E1146" i="2"/>
  <c r="F1146" i="2"/>
  <c r="G1146" i="2"/>
  <c r="I1146" i="2"/>
  <c r="J1146" i="2"/>
  <c r="K1146" i="2"/>
  <c r="M1146" i="2"/>
  <c r="N1146" i="2"/>
  <c r="O1146" i="2"/>
  <c r="C1147" i="2"/>
  <c r="D1147" i="2"/>
  <c r="E1147" i="2"/>
  <c r="G1147" i="2"/>
  <c r="H1147" i="2"/>
  <c r="I1147" i="2"/>
  <c r="K1147" i="2"/>
  <c r="L1147" i="2"/>
  <c r="M1147" i="2"/>
  <c r="O1147" i="2"/>
  <c r="B1148" i="2"/>
  <c r="C1148" i="2"/>
  <c r="E1148" i="2"/>
  <c r="F1148" i="2"/>
  <c r="G1148" i="2"/>
  <c r="I1148" i="2"/>
  <c r="J1148" i="2"/>
  <c r="K1148" i="2"/>
  <c r="M1148" i="2"/>
  <c r="N1148" i="2"/>
  <c r="O1148" i="2"/>
  <c r="C1149" i="2"/>
  <c r="D1149" i="2"/>
  <c r="E1149" i="2"/>
  <c r="G1149" i="2"/>
  <c r="H1149" i="2"/>
  <c r="I1149" i="2"/>
  <c r="K1149" i="2"/>
  <c r="L1149" i="2"/>
  <c r="M1149" i="2"/>
  <c r="O1149" i="2"/>
  <c r="B1150" i="2"/>
  <c r="C1150" i="2"/>
  <c r="E1150" i="2"/>
  <c r="F1150" i="2"/>
  <c r="G1150" i="2"/>
  <c r="I1150" i="2"/>
  <c r="J1150" i="2"/>
  <c r="K1150" i="2"/>
  <c r="M1150" i="2"/>
  <c r="N1150" i="2"/>
  <c r="O1150" i="2"/>
  <c r="C1151" i="2"/>
  <c r="D1151" i="2"/>
  <c r="E1151" i="2"/>
  <c r="G1151" i="2"/>
  <c r="H1151" i="2"/>
  <c r="I1151" i="2"/>
  <c r="K1151" i="2"/>
  <c r="L1151" i="2"/>
  <c r="M1151" i="2"/>
  <c r="O1151" i="2"/>
  <c r="B1152" i="2"/>
  <c r="C1152" i="2"/>
  <c r="E1152" i="2"/>
  <c r="F1152" i="2"/>
  <c r="G1152" i="2"/>
  <c r="I1152" i="2"/>
  <c r="J1152" i="2"/>
  <c r="K1152" i="2"/>
  <c r="M1152" i="2"/>
  <c r="N1152" i="2"/>
  <c r="O1152" i="2"/>
  <c r="C1153" i="2"/>
  <c r="D1153" i="2"/>
  <c r="E1153" i="2"/>
  <c r="G1153" i="2"/>
  <c r="H1153" i="2"/>
  <c r="I1153" i="2"/>
  <c r="K1153" i="2"/>
  <c r="L1153" i="2"/>
  <c r="M1153" i="2"/>
  <c r="O1153" i="2"/>
  <c r="B1154" i="2"/>
  <c r="C1154" i="2"/>
  <c r="E1154" i="2"/>
  <c r="F1154" i="2"/>
  <c r="G1154" i="2"/>
  <c r="I1154" i="2"/>
  <c r="J1154" i="2"/>
  <c r="K1154" i="2"/>
  <c r="M1154" i="2"/>
  <c r="N1154" i="2"/>
  <c r="O1154" i="2"/>
  <c r="C1155" i="2"/>
  <c r="D1155" i="2"/>
  <c r="E1155" i="2"/>
  <c r="G1155" i="2"/>
  <c r="H1155" i="2"/>
  <c r="I1155" i="2"/>
  <c r="K1155" i="2"/>
  <c r="L1155" i="2"/>
  <c r="M1155" i="2"/>
  <c r="O1155" i="2"/>
  <c r="B1156" i="2"/>
  <c r="C1156" i="2"/>
  <c r="E1156" i="2"/>
  <c r="F1156" i="2"/>
  <c r="G1156" i="2"/>
  <c r="I1156" i="2"/>
  <c r="J1156" i="2"/>
  <c r="K1156" i="2"/>
  <c r="M1156" i="2"/>
  <c r="N1156" i="2"/>
  <c r="O1156" i="2"/>
  <c r="C1157" i="2"/>
  <c r="D1157" i="2"/>
  <c r="G1157" i="2"/>
  <c r="J1157" i="2"/>
  <c r="K1157" i="2"/>
  <c r="M1157" i="2"/>
  <c r="N1157" i="2"/>
  <c r="O1157" i="2"/>
  <c r="E1158" i="2"/>
  <c r="I1158" i="2"/>
  <c r="J1158" i="2"/>
  <c r="M1158" i="2"/>
  <c r="B1139" i="2" l="1"/>
  <c r="H1138" i="2"/>
  <c r="J1137" i="2"/>
  <c r="L1136" i="2"/>
  <c r="B1135" i="2"/>
  <c r="L1134" i="2"/>
  <c r="N1133" i="2"/>
  <c r="H1132" i="2"/>
  <c r="F1131" i="2"/>
  <c r="D1130" i="2"/>
  <c r="F1129" i="2"/>
  <c r="H1128" i="2"/>
  <c r="N1127" i="2"/>
  <c r="D1126" i="2"/>
  <c r="N1125" i="2"/>
  <c r="L1124" i="2"/>
  <c r="F1139" i="2"/>
  <c r="N1137" i="2"/>
  <c r="D1136" i="2"/>
  <c r="J1135" i="2"/>
  <c r="D1134" i="2"/>
  <c r="J1133" i="2"/>
  <c r="B1131" i="2"/>
  <c r="L1130" i="2"/>
  <c r="J1129" i="2"/>
  <c r="D1128" i="2"/>
  <c r="J1127" i="2"/>
  <c r="L1126" i="2"/>
  <c r="F1125" i="2"/>
  <c r="H1124" i="2"/>
  <c r="D1138" i="2"/>
  <c r="B1137" i="2"/>
  <c r="F1135" i="2"/>
  <c r="F1133" i="2"/>
  <c r="D1132" i="2"/>
  <c r="N1131" i="2"/>
  <c r="N1129" i="2"/>
  <c r="F1127" i="2"/>
  <c r="H1126" i="2"/>
  <c r="B1125" i="2"/>
  <c r="D1124" i="2"/>
  <c r="N1123" i="2"/>
  <c r="J1123" i="2"/>
  <c r="F1123" i="2"/>
  <c r="B1123" i="2"/>
  <c r="L1122" i="2"/>
  <c r="D1122" i="2"/>
  <c r="N1121" i="2"/>
  <c r="J1121" i="2"/>
  <c r="F1121" i="2"/>
  <c r="B1121" i="2"/>
  <c r="L1120" i="2"/>
  <c r="H1120" i="2"/>
  <c r="D1120" i="2"/>
  <c r="N1119" i="2"/>
  <c r="J1119" i="2"/>
  <c r="F1119" i="2"/>
  <c r="B1119" i="2"/>
  <c r="L1118" i="2"/>
  <c r="H1118" i="2"/>
  <c r="D1118" i="2"/>
  <c r="N1117" i="2"/>
  <c r="J1117" i="2"/>
  <c r="F1117" i="2"/>
  <c r="B1117" i="2"/>
  <c r="L1116" i="2"/>
  <c r="H1116" i="2"/>
  <c r="D1116" i="2"/>
  <c r="N1115" i="2"/>
  <c r="J1115" i="2"/>
  <c r="F1115" i="2"/>
  <c r="B1115" i="2"/>
  <c r="L1114" i="2"/>
  <c r="H1114" i="2"/>
  <c r="D1114" i="2"/>
  <c r="L1112" i="2"/>
  <c r="H1112" i="2"/>
  <c r="D1112" i="2"/>
  <c r="N1111" i="2"/>
  <c r="J1111" i="2"/>
  <c r="F1111" i="2"/>
  <c r="B1111" i="2"/>
  <c r="L1110" i="2"/>
  <c r="H1110" i="2"/>
  <c r="D1110" i="2"/>
  <c r="N1109" i="2"/>
  <c r="J1109" i="2"/>
  <c r="F1109" i="2"/>
  <c r="B1109" i="2"/>
  <c r="L1108" i="2"/>
  <c r="H1108" i="2"/>
  <c r="D1108" i="2"/>
  <c r="N1107" i="2"/>
  <c r="J1107" i="2"/>
  <c r="F1107" i="2"/>
  <c r="B1107" i="2"/>
  <c r="L1106" i="2"/>
  <c r="H1106" i="2"/>
  <c r="D1106" i="2"/>
  <c r="N1105" i="2"/>
  <c r="J1105" i="2"/>
  <c r="F1105" i="2"/>
  <c r="B1105" i="2"/>
  <c r="L1138" i="2"/>
  <c r="F1137" i="2"/>
  <c r="H1136" i="2"/>
  <c r="N1135" i="2"/>
  <c r="H1134" i="2"/>
  <c r="B1133" i="2"/>
  <c r="L1132" i="2"/>
  <c r="J1131" i="2"/>
  <c r="H1130" i="2"/>
  <c r="B1129" i="2"/>
  <c r="L1128" i="2"/>
  <c r="B1127" i="2"/>
  <c r="J1125" i="2"/>
  <c r="J1113" i="2"/>
  <c r="F1113" i="2"/>
  <c r="N1113" i="2"/>
  <c r="B1113" i="2"/>
  <c r="AB997" i="5"/>
  <c r="AB993" i="5"/>
  <c r="AB989" i="5"/>
  <c r="AB985" i="5"/>
  <c r="AC981" i="5"/>
  <c r="AB981" i="5"/>
  <c r="AC977" i="5"/>
  <c r="AB977" i="5"/>
  <c r="AC973" i="5"/>
  <c r="AB973" i="5"/>
  <c r="AC969" i="5"/>
  <c r="AB969" i="5"/>
  <c r="AC964" i="5"/>
  <c r="AC956" i="5"/>
  <c r="AC948" i="5"/>
  <c r="AC940" i="5"/>
  <c r="AC932" i="5"/>
  <c r="AC924" i="5"/>
  <c r="AC916" i="5"/>
  <c r="AC908" i="5"/>
  <c r="AC900" i="5"/>
  <c r="AB966" i="5"/>
  <c r="AB964" i="5"/>
  <c r="AB961" i="5"/>
  <c r="AB958" i="5"/>
  <c r="AB956" i="5"/>
  <c r="AB953" i="5"/>
  <c r="AB950" i="5"/>
  <c r="AB948" i="5"/>
  <c r="AB945" i="5"/>
  <c r="AB942" i="5"/>
  <c r="AB940" i="5"/>
  <c r="AB937" i="5"/>
  <c r="AB934" i="5"/>
  <c r="AB932" i="5"/>
  <c r="AB929" i="5"/>
  <c r="AB926" i="5"/>
  <c r="AB924" i="5"/>
  <c r="AB921" i="5"/>
  <c r="AB918" i="5"/>
  <c r="AB916" i="5"/>
  <c r="AB913" i="5"/>
  <c r="AB910" i="5"/>
  <c r="AB908" i="5"/>
  <c r="AB905" i="5"/>
  <c r="AB902" i="5"/>
  <c r="AB900" i="5"/>
  <c r="AB897" i="5"/>
  <c r="AC1001" i="5"/>
  <c r="AC1000" i="5"/>
  <c r="AB998" i="5"/>
  <c r="AC997" i="5"/>
  <c r="AC996" i="5"/>
  <c r="AB994" i="5"/>
  <c r="AC993" i="5"/>
  <c r="AC992" i="5"/>
  <c r="AB990" i="5"/>
  <c r="AC989" i="5"/>
  <c r="AC988" i="5"/>
  <c r="AB986" i="5"/>
  <c r="AC985" i="5"/>
  <c r="AC984" i="5"/>
  <c r="AB982" i="5"/>
  <c r="AC980" i="5"/>
  <c r="AB978" i="5"/>
  <c r="AC976" i="5"/>
  <c r="AB974" i="5"/>
  <c r="AC972" i="5"/>
  <c r="AB970" i="5"/>
  <c r="AC968" i="5"/>
  <c r="AC960" i="5"/>
  <c r="AC952" i="5"/>
  <c r="AC944" i="5"/>
  <c r="AC936" i="5"/>
  <c r="AC928" i="5"/>
  <c r="AC920" i="5"/>
  <c r="AC912" i="5"/>
  <c r="AC904" i="5"/>
  <c r="AC896" i="5"/>
  <c r="AB965" i="5"/>
  <c r="AB962" i="5"/>
  <c r="AB960" i="5"/>
  <c r="AB957" i="5"/>
  <c r="AB954" i="5"/>
  <c r="AB952" i="5"/>
  <c r="AB949" i="5"/>
  <c r="AB946" i="5"/>
  <c r="AB944" i="5"/>
  <c r="AB941" i="5"/>
  <c r="AB938" i="5"/>
  <c r="AC937" i="5"/>
  <c r="AC1147" i="5" s="1"/>
  <c r="AB936" i="5"/>
  <c r="AB933" i="5"/>
  <c r="AB930" i="5"/>
  <c r="AC929" i="5"/>
  <c r="AB928" i="5"/>
  <c r="AB925" i="5"/>
  <c r="AB1146" i="5" s="1"/>
  <c r="AB922" i="5"/>
  <c r="AC921" i="5"/>
  <c r="AB920" i="5"/>
  <c r="AB917" i="5"/>
  <c r="AB914" i="5"/>
  <c r="AC913" i="5"/>
  <c r="AC1145" i="5" s="1"/>
  <c r="AB912" i="5"/>
  <c r="AB909" i="5"/>
  <c r="AB906" i="5"/>
  <c r="AC905" i="5"/>
  <c r="AB904" i="5"/>
  <c r="AB901" i="5"/>
  <c r="AB1144" i="5" s="1"/>
  <c r="AB898" i="5"/>
  <c r="AC897" i="5"/>
  <c r="AB896" i="5"/>
  <c r="AB810" i="5"/>
  <c r="AC808" i="5"/>
  <c r="AB806" i="5"/>
  <c r="AC804" i="5"/>
  <c r="AB802" i="5"/>
  <c r="AC800" i="5"/>
  <c r="AB798" i="5"/>
  <c r="AC796" i="5"/>
  <c r="AB794" i="5"/>
  <c r="AC792" i="5"/>
  <c r="AB790" i="5"/>
  <c r="AC788" i="5"/>
  <c r="AB786" i="5"/>
  <c r="AC784" i="5"/>
  <c r="AB782" i="5"/>
  <c r="AC780" i="5"/>
  <c r="AB778" i="5"/>
  <c r="AC777" i="5"/>
  <c r="AC776" i="5"/>
  <c r="AB774" i="5"/>
  <c r="AC773" i="5"/>
  <c r="AC772" i="5"/>
  <c r="AB770" i="5"/>
  <c r="AC769" i="5"/>
  <c r="AC768" i="5"/>
  <c r="AB766" i="5"/>
  <c r="AC765" i="5"/>
  <c r="AC764" i="5"/>
  <c r="AB762" i="5"/>
  <c r="AC761" i="5"/>
  <c r="AC760" i="5"/>
  <c r="AB758" i="5"/>
  <c r="AC757" i="5"/>
  <c r="AC756" i="5"/>
  <c r="AB754" i="5"/>
  <c r="AC753" i="5"/>
  <c r="AC752" i="5"/>
  <c r="AB750" i="5"/>
  <c r="AC749" i="5"/>
  <c r="AC748" i="5"/>
  <c r="AC741" i="5"/>
  <c r="AC733" i="5"/>
  <c r="AC725" i="5"/>
  <c r="AC717" i="5"/>
  <c r="AC709" i="5"/>
  <c r="AC701" i="5"/>
  <c r="AC693" i="5"/>
  <c r="AC685" i="5"/>
  <c r="AC677" i="5"/>
  <c r="AC669" i="5"/>
  <c r="AC661" i="5"/>
  <c r="AC1124" i="5" s="1"/>
  <c r="AC653" i="5"/>
  <c r="AC645" i="5"/>
  <c r="AB634" i="5"/>
  <c r="AB743" i="5"/>
  <c r="AB735" i="5"/>
  <c r="AB727" i="5"/>
  <c r="AB719" i="5"/>
  <c r="AB711" i="5"/>
  <c r="AB703" i="5"/>
  <c r="AB695" i="5"/>
  <c r="AB687" i="5"/>
  <c r="AB679" i="5"/>
  <c r="AB671" i="5"/>
  <c r="AB663" i="5"/>
  <c r="AB655" i="5"/>
  <c r="AB647" i="5"/>
  <c r="AB630" i="5"/>
  <c r="AC809" i="5"/>
  <c r="AB809" i="5"/>
  <c r="AC805" i="5"/>
  <c r="AC1136" i="5" s="1"/>
  <c r="AB805" i="5"/>
  <c r="AB1136" i="5" s="1"/>
  <c r="AC801" i="5"/>
  <c r="AB801" i="5"/>
  <c r="AC797" i="5"/>
  <c r="AB797" i="5"/>
  <c r="AC793" i="5"/>
  <c r="AB793" i="5"/>
  <c r="AC789" i="5"/>
  <c r="AB789" i="5"/>
  <c r="AC785" i="5"/>
  <c r="AB785" i="5"/>
  <c r="AC781" i="5"/>
  <c r="AC1134" i="5" s="1"/>
  <c r="AB781" i="5"/>
  <c r="AB1134" i="5" s="1"/>
  <c r="AB777" i="5"/>
  <c r="AB773" i="5"/>
  <c r="AB769" i="5"/>
  <c r="AB1133" i="5" s="1"/>
  <c r="AB765" i="5"/>
  <c r="AB761" i="5"/>
  <c r="AB757" i="5"/>
  <c r="AB753" i="5"/>
  <c r="AB749" i="5"/>
  <c r="AB746" i="5"/>
  <c r="AC745" i="5"/>
  <c r="AC1131" i="5" s="1"/>
  <c r="AB741" i="5"/>
  <c r="AB738" i="5"/>
  <c r="AC737" i="5"/>
  <c r="AB733" i="5"/>
  <c r="AB730" i="5"/>
  <c r="AC729" i="5"/>
  <c r="AB725" i="5"/>
  <c r="AB722" i="5"/>
  <c r="AC721" i="5"/>
  <c r="AC1129" i="5" s="1"/>
  <c r="AB717" i="5"/>
  <c r="AB714" i="5"/>
  <c r="AC713" i="5"/>
  <c r="AB709" i="5"/>
  <c r="AB706" i="5"/>
  <c r="AC705" i="5"/>
  <c r="AB701" i="5"/>
  <c r="AB698" i="5"/>
  <c r="AB1127" i="5" s="1"/>
  <c r="AC697" i="5"/>
  <c r="AC1127" i="5" s="1"/>
  <c r="AB693" i="5"/>
  <c r="AB690" i="5"/>
  <c r="AC689" i="5"/>
  <c r="AB685" i="5"/>
  <c r="AB682" i="5"/>
  <c r="AC681" i="5"/>
  <c r="AB677" i="5"/>
  <c r="AB674" i="5"/>
  <c r="AC673" i="5"/>
  <c r="AC1125" i="5" s="1"/>
  <c r="AB669" i="5"/>
  <c r="AB666" i="5"/>
  <c r="AC665" i="5"/>
  <c r="AB661" i="5"/>
  <c r="AB658" i="5"/>
  <c r="AC657" i="5"/>
  <c r="AB653" i="5"/>
  <c r="AB650" i="5"/>
  <c r="AB645" i="5"/>
  <c r="AB747" i="5"/>
  <c r="AB739" i="5"/>
  <c r="AB731" i="5"/>
  <c r="AB723" i="5"/>
  <c r="AB715" i="5"/>
  <c r="AB707" i="5"/>
  <c r="AB699" i="5"/>
  <c r="AB691" i="5"/>
  <c r="AB683" i="5"/>
  <c r="AB675" i="5"/>
  <c r="AB667" i="5"/>
  <c r="AB659" i="5"/>
  <c r="AB651" i="5"/>
  <c r="AB632" i="5"/>
  <c r="AC629" i="5"/>
  <c r="AB627" i="5"/>
  <c r="AB625" i="5"/>
  <c r="AB623" i="5"/>
  <c r="AB621" i="5"/>
  <c r="AB619" i="5"/>
  <c r="AB617" i="5"/>
  <c r="AB615" i="5"/>
  <c r="AB613" i="5"/>
  <c r="AB611" i="5"/>
  <c r="AB609" i="5"/>
  <c r="AB607" i="5"/>
  <c r="AB605" i="5"/>
  <c r="AB603" i="5"/>
  <c r="AB601" i="5"/>
  <c r="AB1119" i="5" s="1"/>
  <c r="AB599" i="5"/>
  <c r="AB597" i="5"/>
  <c r="AB595" i="5"/>
  <c r="AB593" i="5"/>
  <c r="AB591" i="5"/>
  <c r="AB589" i="5"/>
  <c r="AB587" i="5"/>
  <c r="AB585" i="5"/>
  <c r="AB583" i="5"/>
  <c r="AB581" i="5"/>
  <c r="AB579" i="5"/>
  <c r="AB577" i="5"/>
  <c r="AB1117" i="5" s="1"/>
  <c r="AB575" i="5"/>
  <c r="AB573" i="5"/>
  <c r="AB571" i="5"/>
  <c r="AB569" i="5"/>
  <c r="AB567" i="5"/>
  <c r="AB565" i="5"/>
  <c r="AB563" i="5"/>
  <c r="AB561" i="5"/>
  <c r="AB559" i="5"/>
  <c r="AB557" i="5"/>
  <c r="AB555" i="5"/>
  <c r="AB553" i="5"/>
  <c r="AB1115" i="5" s="1"/>
  <c r="AB551" i="5"/>
  <c r="AB549" i="5"/>
  <c r="AB547" i="5"/>
  <c r="AB545" i="5"/>
  <c r="AB543" i="5"/>
  <c r="AB541" i="5"/>
  <c r="AB539" i="5"/>
  <c r="AB537" i="5"/>
  <c r="AB535" i="5"/>
  <c r="AB533" i="5"/>
  <c r="AB531" i="5"/>
  <c r="AB529" i="5"/>
  <c r="AB1113" i="5" s="1"/>
  <c r="AB527" i="5"/>
  <c r="AB525" i="5"/>
  <c r="AB523" i="5"/>
  <c r="AB521" i="5"/>
  <c r="AB519" i="5"/>
  <c r="AB517" i="5"/>
  <c r="AB515" i="5"/>
  <c r="AB513" i="5"/>
  <c r="AB511" i="5"/>
  <c r="AB509" i="5"/>
  <c r="AB507" i="5"/>
  <c r="AB505" i="5"/>
  <c r="AB1111" i="5" s="1"/>
  <c r="AB503" i="5"/>
  <c r="AB501" i="5"/>
  <c r="AC633" i="5"/>
  <c r="AB499" i="5"/>
  <c r="AB497" i="5"/>
  <c r="AB495" i="5"/>
  <c r="AB493" i="5"/>
  <c r="AB491" i="5"/>
  <c r="AB489" i="5"/>
  <c r="AB487" i="5"/>
  <c r="AB485" i="5"/>
  <c r="AB483" i="5"/>
  <c r="AB481" i="5"/>
  <c r="AB479" i="5"/>
  <c r="AB477" i="5"/>
  <c r="AB475" i="5"/>
  <c r="AB473" i="5"/>
  <c r="AB471" i="5"/>
  <c r="AB469" i="5"/>
  <c r="AB467" i="5"/>
  <c r="AB465" i="5"/>
  <c r="AB463" i="5"/>
  <c r="AB461" i="5"/>
  <c r="AB459" i="5"/>
  <c r="AB457" i="5"/>
  <c r="AB455" i="5"/>
  <c r="AB453" i="5"/>
  <c r="AB451" i="5"/>
  <c r="AB449" i="5"/>
  <c r="AB447" i="5"/>
  <c r="AB445" i="5"/>
  <c r="AB443" i="5"/>
  <c r="AB441" i="5"/>
  <c r="AB439" i="5"/>
  <c r="AB437" i="5"/>
  <c r="AB435" i="5"/>
  <c r="AB433" i="5"/>
  <c r="AB431" i="5"/>
  <c r="AB429" i="5"/>
  <c r="AB427" i="5"/>
  <c r="AB425" i="5"/>
  <c r="AB423" i="5"/>
  <c r="AB421" i="5"/>
  <c r="AB419" i="5"/>
  <c r="AB417" i="5"/>
  <c r="AB415" i="5"/>
  <c r="AB413" i="5"/>
  <c r="AB411" i="5"/>
  <c r="AB409" i="5"/>
  <c r="AB407" i="5"/>
  <c r="AB405" i="5"/>
  <c r="AB403" i="5"/>
  <c r="AB401" i="5"/>
  <c r="AB399" i="5"/>
  <c r="AB397" i="5"/>
  <c r="AB395" i="5"/>
  <c r="AB393" i="5"/>
  <c r="AB391" i="5"/>
  <c r="AB389" i="5"/>
  <c r="AB387" i="5"/>
  <c r="AB385" i="5"/>
  <c r="AB383" i="5"/>
  <c r="AB381" i="5"/>
  <c r="AB379" i="5"/>
  <c r="AB377" i="5"/>
  <c r="AB375" i="5"/>
  <c r="AB373" i="5"/>
  <c r="AB371" i="5"/>
  <c r="AB369" i="5"/>
  <c r="AB367" i="5"/>
  <c r="AB365" i="5"/>
  <c r="AB363" i="5"/>
  <c r="AB361" i="5"/>
  <c r="AB359" i="5"/>
  <c r="AB357" i="5"/>
  <c r="AB355" i="5"/>
  <c r="AB353" i="5"/>
  <c r="AB351" i="5"/>
  <c r="AB349" i="5"/>
  <c r="AB347" i="5"/>
  <c r="AB345" i="5"/>
  <c r="AB343" i="5"/>
  <c r="AB341" i="5"/>
  <c r="AB339" i="5"/>
  <c r="AB337" i="5"/>
  <c r="AB335" i="5"/>
  <c r="AB333" i="5"/>
  <c r="AB331" i="5"/>
  <c r="AB329" i="5"/>
  <c r="AB327" i="5"/>
  <c r="AB325" i="5"/>
  <c r="AB323" i="5"/>
  <c r="AB321" i="5"/>
  <c r="AB319" i="5"/>
  <c r="AB317" i="5"/>
  <c r="AB315" i="5"/>
  <c r="AB313" i="5"/>
  <c r="AB311" i="5"/>
  <c r="AB309" i="5"/>
  <c r="AB307" i="5"/>
  <c r="AB305" i="5"/>
  <c r="AB303" i="5"/>
  <c r="AB301" i="5"/>
  <c r="AB299" i="5"/>
  <c r="AB297" i="5"/>
  <c r="AB295" i="5"/>
  <c r="AB293" i="5"/>
  <c r="AB291" i="5"/>
  <c r="AB289" i="5"/>
  <c r="AB287" i="5"/>
  <c r="AB285" i="5"/>
  <c r="AB283" i="5"/>
  <c r="AB281" i="5"/>
  <c r="AB279" i="5"/>
  <c r="AB277" i="5"/>
  <c r="AB275" i="5"/>
  <c r="AB273" i="5"/>
  <c r="AB271" i="5"/>
  <c r="AB269" i="5"/>
  <c r="AB267" i="5"/>
  <c r="AB265" i="5"/>
  <c r="AB263" i="5"/>
  <c r="AB261" i="5"/>
  <c r="AB259" i="5"/>
  <c r="AB257" i="5"/>
  <c r="AB255" i="5"/>
  <c r="AB253" i="5"/>
  <c r="AB251" i="5"/>
  <c r="AB249" i="5"/>
  <c r="AB247" i="5"/>
  <c r="AB245" i="5"/>
  <c r="AB243" i="5"/>
  <c r="AB241" i="5"/>
  <c r="AB239" i="5"/>
  <c r="AB237" i="5"/>
  <c r="AB235" i="5"/>
  <c r="AB233" i="5"/>
  <c r="AB231" i="5"/>
  <c r="AB229" i="5"/>
  <c r="AB227" i="5"/>
  <c r="AB225" i="5"/>
  <c r="AB223" i="5"/>
  <c r="AB221" i="5"/>
  <c r="AB219" i="5"/>
  <c r="AB217" i="5"/>
  <c r="AB215" i="5"/>
  <c r="AB213" i="5"/>
  <c r="AB211" i="5"/>
  <c r="AB209" i="5"/>
  <c r="AB207" i="5"/>
  <c r="AB205" i="5"/>
  <c r="AB203" i="5"/>
  <c r="AB201" i="5"/>
  <c r="AB199" i="5"/>
  <c r="AB197" i="5"/>
  <c r="AB195" i="5"/>
  <c r="AB193" i="5"/>
  <c r="AB191" i="5"/>
  <c r="AB189" i="5"/>
  <c r="AB187" i="5"/>
  <c r="AB185" i="5"/>
  <c r="AB183" i="5"/>
  <c r="AB181" i="5"/>
  <c r="AB179" i="5"/>
  <c r="AB177" i="5"/>
  <c r="AB175" i="5"/>
  <c r="AB173" i="5"/>
  <c r="AB171" i="5"/>
  <c r="AB169" i="5"/>
  <c r="AB167" i="5"/>
  <c r="AB165" i="5"/>
  <c r="AB163" i="5"/>
  <c r="AB158" i="5"/>
  <c r="AB156" i="5"/>
  <c r="AB102" i="5"/>
  <c r="AB98" i="5"/>
  <c r="AB161" i="5"/>
  <c r="AB159" i="5"/>
  <c r="AB157" i="5"/>
  <c r="AB155" i="5"/>
  <c r="AB153" i="5"/>
  <c r="AB151" i="5"/>
  <c r="AB149" i="5"/>
  <c r="AB147" i="5"/>
  <c r="AB145" i="5"/>
  <c r="AB143" i="5"/>
  <c r="AB141" i="5"/>
  <c r="AB139" i="5"/>
  <c r="AB137" i="5"/>
  <c r="AB135" i="5"/>
  <c r="AB133" i="5"/>
  <c r="AB131" i="5"/>
  <c r="AB129" i="5"/>
  <c r="AB127" i="5"/>
  <c r="AB125" i="5"/>
  <c r="AB123" i="5"/>
  <c r="AB121" i="5"/>
  <c r="AB119" i="5"/>
  <c r="AB117" i="5"/>
  <c r="AB115" i="5"/>
  <c r="AB113" i="5"/>
  <c r="AB111" i="5"/>
  <c r="AB109" i="5"/>
  <c r="AB107" i="5"/>
  <c r="AC160" i="5"/>
  <c r="AC158" i="5"/>
  <c r="AC156" i="5"/>
  <c r="AC154" i="5"/>
  <c r="AC152" i="5"/>
  <c r="AC150" i="5"/>
  <c r="AC148" i="5"/>
  <c r="AC146" i="5"/>
  <c r="AC1081" i="5" s="1"/>
  <c r="AC144" i="5"/>
  <c r="AC142" i="5"/>
  <c r="AC140" i="5"/>
  <c r="AC138" i="5"/>
  <c r="AC136" i="5"/>
  <c r="AC134" i="5"/>
  <c r="AC132" i="5"/>
  <c r="AC130" i="5"/>
  <c r="AC128" i="5"/>
  <c r="AC126" i="5"/>
  <c r="AC124" i="5"/>
  <c r="AC122" i="5"/>
  <c r="AC1079" i="5" s="1"/>
  <c r="AC120" i="5"/>
  <c r="AC118" i="5"/>
  <c r="AC116" i="5"/>
  <c r="AC114" i="5"/>
  <c r="AC112" i="5"/>
  <c r="AC110" i="5"/>
  <c r="AC108" i="5"/>
  <c r="AC106" i="5"/>
  <c r="AB104" i="5"/>
  <c r="AB100" i="5"/>
  <c r="AC104" i="5"/>
  <c r="AC102" i="5"/>
  <c r="AC100" i="5"/>
  <c r="AC98" i="5"/>
  <c r="AC96" i="5"/>
  <c r="AC94" i="5"/>
  <c r="AC92" i="5"/>
  <c r="AC90" i="5"/>
  <c r="AC88" i="5"/>
  <c r="AC86" i="5"/>
  <c r="AC1076" i="5" s="1"/>
  <c r="AC84" i="5"/>
  <c r="AC82" i="5"/>
  <c r="AC80" i="5"/>
  <c r="AC78" i="5"/>
  <c r="AC76" i="5"/>
  <c r="AC74" i="5"/>
  <c r="AC72" i="5"/>
  <c r="AC70" i="5"/>
  <c r="AC68" i="5"/>
  <c r="AC66" i="5"/>
  <c r="AC64" i="5"/>
  <c r="AC62" i="5"/>
  <c r="AC60" i="5"/>
  <c r="AC56" i="5"/>
  <c r="AC52" i="5"/>
  <c r="AC46" i="5"/>
  <c r="AC42" i="5"/>
  <c r="AB38" i="5"/>
  <c r="AB1072" i="5" s="1"/>
  <c r="AB36" i="5"/>
  <c r="AB34" i="5"/>
  <c r="AB30" i="5"/>
  <c r="AB26" i="5"/>
  <c r="AC35" i="5"/>
  <c r="AC1071" i="5" s="1"/>
  <c r="AB33" i="5"/>
  <c r="AB29" i="5"/>
  <c r="AB25" i="5"/>
  <c r="AC58" i="5"/>
  <c r="AC54" i="5"/>
  <c r="AC50" i="5"/>
  <c r="AC48" i="5"/>
  <c r="AC44" i="5"/>
  <c r="AC40" i="5"/>
  <c r="AC1072" i="5" s="1"/>
  <c r="AB32" i="5"/>
  <c r="AB28" i="5"/>
  <c r="AB24" i="5"/>
  <c r="AB105" i="5"/>
  <c r="AB103" i="5"/>
  <c r="AB101" i="5"/>
  <c r="AB99" i="5"/>
  <c r="AB97" i="5"/>
  <c r="AB1077" i="5" s="1"/>
  <c r="AB95" i="5"/>
  <c r="AB93" i="5"/>
  <c r="AB91" i="5"/>
  <c r="AB89" i="5"/>
  <c r="AB87" i="5"/>
  <c r="AB85" i="5"/>
  <c r="AB83" i="5"/>
  <c r="AB81" i="5"/>
  <c r="AB79" i="5"/>
  <c r="AB77" i="5"/>
  <c r="AB75" i="5"/>
  <c r="AB73" i="5"/>
  <c r="AB1075" i="5" s="1"/>
  <c r="AB71" i="5"/>
  <c r="AB69" i="5"/>
  <c r="AB67" i="5"/>
  <c r="AB65" i="5"/>
  <c r="AB63" i="5"/>
  <c r="AB61" i="5"/>
  <c r="AC59" i="5"/>
  <c r="AC55" i="5"/>
  <c r="AC51" i="5"/>
  <c r="AC47" i="5"/>
  <c r="AC43" i="5"/>
  <c r="AB31" i="5"/>
  <c r="AB27" i="5"/>
  <c r="AB23" i="5"/>
  <c r="AB1070" i="5" s="1"/>
  <c r="AC642" i="5"/>
  <c r="AC640" i="5"/>
  <c r="AC638" i="5"/>
  <c r="AC636" i="5"/>
  <c r="AC634" i="5"/>
  <c r="AC632" i="5"/>
  <c r="AC630" i="5"/>
  <c r="S1056" i="6"/>
  <c r="S1156" i="6" s="1"/>
  <c r="Q1156" i="6"/>
  <c r="L1156" i="6"/>
  <c r="S1044" i="6"/>
  <c r="S1155" i="6" s="1"/>
  <c r="Q1155" i="6"/>
  <c r="L1155" i="6"/>
  <c r="S1032" i="6"/>
  <c r="S1154" i="6" s="1"/>
  <c r="Q1154" i="6"/>
  <c r="L1154" i="6"/>
  <c r="AB643" i="5"/>
  <c r="AB641" i="5"/>
  <c r="AB639" i="5"/>
  <c r="AB637" i="5"/>
  <c r="AB635" i="5"/>
  <c r="AB633" i="5"/>
  <c r="AB631" i="5"/>
  <c r="AB629" i="5"/>
  <c r="L1031" i="6"/>
  <c r="L1029" i="6"/>
  <c r="L1153" i="6" s="1"/>
  <c r="L802" i="6"/>
  <c r="L1134" i="6" s="1"/>
  <c r="L804" i="6"/>
  <c r="L1135" i="6" s="1"/>
  <c r="L691" i="6"/>
  <c r="L687" i="6"/>
  <c r="L683" i="6"/>
  <c r="L1124" i="6" s="1"/>
  <c r="L693" i="6"/>
  <c r="L689" i="6"/>
  <c r="L685" i="6"/>
  <c r="L1125" i="6" s="1"/>
  <c r="L642" i="6"/>
  <c r="L638" i="6"/>
  <c r="L634" i="6"/>
  <c r="L630" i="6"/>
  <c r="L626" i="6"/>
  <c r="L622" i="6"/>
  <c r="L618" i="6"/>
  <c r="L614" i="6"/>
  <c r="L610" i="6"/>
  <c r="L606" i="6"/>
  <c r="L602" i="6"/>
  <c r="L644" i="6"/>
  <c r="L640" i="6"/>
  <c r="L636" i="6"/>
  <c r="L1121" i="6" s="1"/>
  <c r="L632" i="6"/>
  <c r="L628" i="6"/>
  <c r="L624" i="6"/>
  <c r="L620" i="6"/>
  <c r="L616" i="6"/>
  <c r="L612" i="6"/>
  <c r="L1119" i="6" s="1"/>
  <c r="L608" i="6"/>
  <c r="L604" i="6"/>
  <c r="L600" i="6"/>
  <c r="S33" i="6"/>
  <c r="S29" i="6"/>
  <c r="S27" i="6"/>
  <c r="S1070" i="6" s="1"/>
  <c r="AC1121" i="5" l="1"/>
  <c r="AC1122" i="5"/>
  <c r="AC1073" i="5"/>
  <c r="AB1079" i="5"/>
  <c r="AB1081" i="5"/>
  <c r="AB1083" i="5"/>
  <c r="AB1085" i="5"/>
  <c r="AB1087" i="5"/>
  <c r="AB1089" i="5"/>
  <c r="AB1091" i="5"/>
  <c r="AB1093" i="5"/>
  <c r="AB1095" i="5"/>
  <c r="AB1097" i="5"/>
  <c r="AB1099" i="5"/>
  <c r="AB1101" i="5"/>
  <c r="AB1103" i="5"/>
  <c r="AB1105" i="5"/>
  <c r="AB1107" i="5"/>
  <c r="AB1109" i="5"/>
  <c r="AB1125" i="5"/>
  <c r="AB1126" i="5"/>
  <c r="AC1123" i="5"/>
  <c r="AC1126" i="5"/>
  <c r="AC1133" i="5"/>
  <c r="AB1143" i="5"/>
  <c r="AC1148" i="5"/>
  <c r="AC1152" i="5"/>
  <c r="AB1149" i="5"/>
  <c r="AB1151" i="5"/>
  <c r="AC1074" i="5"/>
  <c r="AB1128" i="5"/>
  <c r="AC1143" i="5"/>
  <c r="AC1146" i="5"/>
  <c r="AB1078" i="5"/>
  <c r="AB1080" i="5"/>
  <c r="AB1082" i="5"/>
  <c r="AB1084" i="5"/>
  <c r="AB1086" i="5"/>
  <c r="AB1088" i="5"/>
  <c r="AB1090" i="5"/>
  <c r="AB1092" i="5"/>
  <c r="AB1094" i="5"/>
  <c r="AB1096" i="5"/>
  <c r="AB1098" i="5"/>
  <c r="AB1100" i="5"/>
  <c r="AB1102" i="5"/>
  <c r="AB1104" i="5"/>
  <c r="AB1106" i="5"/>
  <c r="AB1108" i="5"/>
  <c r="AB1110" i="5"/>
  <c r="AB1129" i="5"/>
  <c r="AB1130" i="5"/>
  <c r="AB1132" i="5"/>
  <c r="AB1135" i="5"/>
  <c r="AC1130" i="5"/>
  <c r="AB1148" i="5"/>
  <c r="AC1144" i="5"/>
  <c r="AB1145" i="5"/>
  <c r="AB1150" i="5"/>
  <c r="AB1121" i="5"/>
  <c r="AB1122" i="5"/>
  <c r="AB1074" i="5"/>
  <c r="AB1076" i="5"/>
  <c r="AB1071" i="5"/>
  <c r="AC1075" i="5"/>
  <c r="AC1077" i="5"/>
  <c r="AC1078" i="5"/>
  <c r="AC1080" i="5"/>
  <c r="AC1082" i="5"/>
  <c r="AB1112" i="5"/>
  <c r="AB1114" i="5"/>
  <c r="AB1116" i="5"/>
  <c r="AB1118" i="5"/>
  <c r="AB1120" i="5"/>
  <c r="AB1123" i="5"/>
  <c r="AB1124" i="5"/>
  <c r="AB1131" i="5"/>
  <c r="AC1135" i="5"/>
  <c r="AC1128" i="5"/>
  <c r="AC1132" i="5"/>
  <c r="AC1151" i="5"/>
  <c r="AB1147" i="5"/>
  <c r="AC1149" i="5"/>
  <c r="AC1150" i="5"/>
  <c r="AB1152" i="5"/>
  <c r="L1118" i="6"/>
  <c r="L1120" i="6"/>
</calcChain>
</file>

<file path=xl/sharedStrings.xml><?xml version="1.0" encoding="utf-8"?>
<sst xmlns="http://schemas.openxmlformats.org/spreadsheetml/2006/main" count="254" uniqueCount="102">
  <si>
    <t>WITHOUT NOx</t>
  </si>
  <si>
    <t>WITH NOx</t>
  </si>
  <si>
    <t>Selection</t>
  </si>
  <si>
    <t>Natural Gas</t>
  </si>
  <si>
    <t>WITHOUT SO2 &amp; NOx</t>
  </si>
  <si>
    <t>WITH SO2 &amp; NOx</t>
  </si>
  <si>
    <t>Heavy Oil SO2</t>
  </si>
  <si>
    <t>HIGH PRICES</t>
  </si>
  <si>
    <t>MEDIUM PRICES</t>
  </si>
  <si>
    <t>LOW PRICES</t>
  </si>
  <si>
    <t>Coal</t>
  </si>
  <si>
    <t>Light Oil SO2</t>
  </si>
  <si>
    <t>Heavy Oil</t>
  </si>
  <si>
    <t>Light Oil</t>
  </si>
  <si>
    <t>$/MMBTU</t>
  </si>
  <si>
    <t>MONTH</t>
  </si>
  <si>
    <t>DISPATCH PRICE WITH SO2 &amp; NOx</t>
  </si>
  <si>
    <t>DISPATCH PRICE WITHOUT SO2 &amp; NOx</t>
  </si>
  <si>
    <t>WEIGHTED AVERAGE WITH SO2 &amp; NOx</t>
  </si>
  <si>
    <t>WEIGHTED AVERAGE WITHOUT SO2 &amp; NOx</t>
  </si>
  <si>
    <t>CEDAR BAY</t>
  </si>
  <si>
    <t>ICL</t>
  </si>
  <si>
    <t>ST. JOHNS RIVER POWER PARK</t>
  </si>
  <si>
    <t>PLANT SCHERER UNIT 4</t>
  </si>
  <si>
    <t>HIGH</t>
  </si>
  <si>
    <t>LOW</t>
  </si>
  <si>
    <t xml:space="preserve"> </t>
  </si>
  <si>
    <t>October 07, 2013 - Lystra Loutan</t>
  </si>
  <si>
    <t>RIVIERA</t>
  </si>
  <si>
    <t>CANAVERAL</t>
  </si>
  <si>
    <t>MARTIN</t>
  </si>
  <si>
    <t>PUTNAM</t>
  </si>
  <si>
    <t>FT MYERS</t>
  </si>
  <si>
    <t>LAUDERDALE</t>
  </si>
  <si>
    <t>PORT EVERGLADES</t>
  </si>
  <si>
    <t>OLEANDER</t>
  </si>
  <si>
    <t>WCEC</t>
  </si>
  <si>
    <t>TURKEY POINT</t>
  </si>
  <si>
    <t>$/BBL.</t>
  </si>
  <si>
    <t>WTI</t>
  </si>
  <si>
    <t>RIVIERA 1%</t>
  </si>
  <si>
    <t>SANFORD 1%</t>
  </si>
  <si>
    <t>INDIAN RIVER &amp; CANAVERAL 1%</t>
  </si>
  <si>
    <r>
      <t>TURKEY POINT 1%</t>
    </r>
    <r>
      <rPr>
        <b/>
        <sz val="14"/>
        <rFont val="Arial"/>
        <family val="2"/>
      </rPr>
      <t>/</t>
    </r>
    <r>
      <rPr>
        <b/>
        <sz val="14"/>
        <color indexed="17"/>
        <rFont val="Arial"/>
        <family val="2"/>
      </rPr>
      <t>0.7%</t>
    </r>
  </si>
  <si>
    <t>MANATEE 1%/0.7%</t>
  </si>
  <si>
    <t>PORT EVERGLADES 1%</t>
  </si>
  <si>
    <t>MARTIN 1%</t>
  </si>
  <si>
    <t>MARTIN 0.7%</t>
  </si>
  <si>
    <t>MM$</t>
  </si>
  <si>
    <t>WEIGHTED AVERAGE GULFSTREAM FIRM</t>
  </si>
  <si>
    <t>WEIGHTED AVERAGE FGT FIRM</t>
  </si>
  <si>
    <t>UPS REPLACEMENT SUNK DEMAND CHARGE</t>
  </si>
  <si>
    <t>UPS REPLACEMENT DISPATCH PRICE</t>
  </si>
  <si>
    <t>BAY GAS STORAGE DEMAND CHARGE</t>
  </si>
  <si>
    <t>GULF SOUTH</t>
  </si>
  <si>
    <t>TRANSCO 4A</t>
  </si>
  <si>
    <t>SESH</t>
  </si>
  <si>
    <t>GULFSTREAM</t>
  </si>
  <si>
    <t>FGT</t>
  </si>
  <si>
    <t>HENRY HUB</t>
  </si>
  <si>
    <t>GULFSTREAM NON-FIRM BACKHAUL</t>
  </si>
  <si>
    <t>GULFSTREAM NON-FIRM</t>
  </si>
  <si>
    <r>
      <t xml:space="preserve">GULFSTREAM FIRM </t>
    </r>
    <r>
      <rPr>
        <b/>
        <sz val="12"/>
        <color indexed="10"/>
        <rFont val="Arial"/>
        <family val="2"/>
      </rPr>
      <t>TRANSNCO 4A</t>
    </r>
    <r>
      <rPr>
        <b/>
        <sz val="12"/>
        <rFont val="Arial"/>
        <family val="2"/>
      </rPr>
      <t xml:space="preserve"> VOLUMES</t>
    </r>
  </si>
  <si>
    <t>GULFSTREAM FIRM CONTRACTUAL DISPATCH PRICE</t>
  </si>
  <si>
    <r>
      <t xml:space="preserve">GULFSTREAM FIRM </t>
    </r>
    <r>
      <rPr>
        <b/>
        <sz val="12"/>
        <color indexed="12"/>
        <rFont val="Arial"/>
        <family val="2"/>
      </rPr>
      <t xml:space="preserve">GULF SOUTH </t>
    </r>
    <r>
      <rPr>
        <b/>
        <sz val="12"/>
        <rFont val="Arial"/>
        <family val="2"/>
      </rPr>
      <t>DISPATCH PRICE</t>
    </r>
  </si>
  <si>
    <r>
      <t xml:space="preserve">GULFSTREAM FIRM </t>
    </r>
    <r>
      <rPr>
        <b/>
        <sz val="12"/>
        <color indexed="17"/>
        <rFont val="Arial"/>
        <family val="2"/>
      </rPr>
      <t>SESH</t>
    </r>
    <r>
      <rPr>
        <b/>
        <sz val="12"/>
        <rFont val="Arial"/>
        <family val="2"/>
      </rPr>
      <t xml:space="preserve"> DISPATCH PRICE</t>
    </r>
  </si>
  <si>
    <t>FGT NON-FIRM</t>
  </si>
  <si>
    <t>FUTURE GAS PIPELINE</t>
  </si>
  <si>
    <r>
      <t xml:space="preserve">PHASE VIII FGT FIRM FROM </t>
    </r>
    <r>
      <rPr>
        <b/>
        <sz val="12"/>
        <color indexed="17"/>
        <rFont val="Arial"/>
        <family val="2"/>
      </rPr>
      <t>SESH</t>
    </r>
  </si>
  <si>
    <r>
      <t xml:space="preserve">PHASE VIII FGT FIRM FROM </t>
    </r>
    <r>
      <rPr>
        <b/>
        <sz val="12"/>
        <color indexed="10"/>
        <rFont val="Arial"/>
        <family val="2"/>
      </rPr>
      <t>TRANSCO 4A</t>
    </r>
  </si>
  <si>
    <t>PHASE VIII ZONE 3 MOBILE BAY/DESTIN FGT FIRM</t>
  </si>
  <si>
    <r>
      <t xml:space="preserve">ZONE 3 MOBILE BAY/DESTIN FGT FIRM </t>
    </r>
    <r>
      <rPr>
        <b/>
        <sz val="12"/>
        <color indexed="12"/>
        <rFont val="Arial"/>
        <family val="2"/>
      </rPr>
      <t>GULF SOUTH</t>
    </r>
  </si>
  <si>
    <r>
      <t xml:space="preserve">ZONE 3 MOBILE BAY/DESTIN FGT FIRM </t>
    </r>
    <r>
      <rPr>
        <b/>
        <sz val="12"/>
        <color indexed="17"/>
        <rFont val="Arial"/>
        <family val="2"/>
      </rPr>
      <t>SESH</t>
    </r>
  </si>
  <si>
    <t>ZONE 3 MOBILE BAY/DESTIN FGT FIRM</t>
  </si>
  <si>
    <t>ZONE 3 FGT FIRM</t>
  </si>
  <si>
    <t>ZONE 2 FGT FIRM</t>
  </si>
  <si>
    <t>ZONE 1 FGT FIRM</t>
  </si>
  <si>
    <t>ESTMATED SUNK DEMAND CHARGE(S) FOR THE NEW PIPELINE WILL BE PROVIDED UPON REQUEST</t>
  </si>
  <si>
    <t>FIRM TRANSPORT AND STORAGE CONTRACTS THROUGH FGT PHASE VIII</t>
  </si>
  <si>
    <t>SUNK DEMAND CHARGE FOR ALL CURRENT</t>
  </si>
  <si>
    <t>MMCF/DAY</t>
  </si>
  <si>
    <t>DAYS</t>
  </si>
  <si>
    <t>GULFSTREAM NON-FIRM &amp; NON-FIRM BACKHAUL</t>
  </si>
  <si>
    <t>TOTAL GULFSTREAM FIRM</t>
  </si>
  <si>
    <r>
      <t xml:space="preserve">GULFSTREAM FIRN </t>
    </r>
    <r>
      <rPr>
        <b/>
        <sz val="12"/>
        <color indexed="10"/>
        <rFont val="Arial"/>
        <family val="2"/>
      </rPr>
      <t>TRANSNCO 4A</t>
    </r>
    <r>
      <rPr>
        <b/>
        <sz val="12"/>
        <rFont val="Arial"/>
        <family val="2"/>
      </rPr>
      <t xml:space="preserve"> VOLUMES</t>
    </r>
  </si>
  <si>
    <t>GULFSTREAM FIRM CONTRACTUAL BALANCE</t>
  </si>
  <si>
    <r>
      <t xml:space="preserve">GULFSTREAM FIRM </t>
    </r>
    <r>
      <rPr>
        <b/>
        <sz val="12"/>
        <color indexed="12"/>
        <rFont val="Arial"/>
        <family val="2"/>
      </rPr>
      <t>GULF SOUTH</t>
    </r>
    <r>
      <rPr>
        <b/>
        <sz val="12"/>
        <rFont val="Arial"/>
        <family val="2"/>
      </rPr>
      <t xml:space="preserve"> VOLUMES</t>
    </r>
  </si>
  <si>
    <r>
      <t xml:space="preserve">GULFSTREAM FIRM </t>
    </r>
    <r>
      <rPr>
        <b/>
        <sz val="12"/>
        <color indexed="17"/>
        <rFont val="Arial"/>
        <family val="2"/>
      </rPr>
      <t>SESH</t>
    </r>
    <r>
      <rPr>
        <b/>
        <sz val="12"/>
        <rFont val="Arial"/>
        <family val="2"/>
      </rPr>
      <t xml:space="preserve"> VOLUMES</t>
    </r>
  </si>
  <si>
    <t>TOTAL FGT FIRM</t>
  </si>
  <si>
    <t>PHASE VIII FTS 3</t>
  </si>
  <si>
    <t>FGT FIRM BY ZONE</t>
  </si>
  <si>
    <t>Florida Power &amp; Light Company</t>
  </si>
  <si>
    <t>Docket No. 160154-EI</t>
  </si>
  <si>
    <t>Staff's First Set of Interrogatories</t>
  </si>
  <si>
    <t>Interrogatory No. 2</t>
  </si>
  <si>
    <t>Tab 1 of 6</t>
  </si>
  <si>
    <t>Attachment No. 21</t>
  </si>
  <si>
    <t>Tab 2 of 6</t>
  </si>
  <si>
    <t>Tab 3 of 6</t>
  </si>
  <si>
    <t>Tab 4 of 6</t>
  </si>
  <si>
    <t>Tab 5 of 6</t>
  </si>
  <si>
    <t>Tab 6 of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</si>
</sst>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164" formatCode="0.000000"/>
    <numFmt numFmtId="165" formatCode="0_)"/>
    <numFmt numFmtId="166" formatCode="&quot;$&quot;#,##0.00"/>
    <numFmt numFmtId="167" formatCode="[$-409]mmm\-yy;@"/>
    <numFmt numFmtId="168" formatCode="&quot;$&quot;#,##0.0"/>
    <numFmt numFmtId="169" formatCode="&quot;$&quot;#,##0.0_);[Red]\(&quot;$&quot;#,##0.0\)"/>
    <numFmt numFmtId="170" formatCode="0.0"/>
  </numFmts>
  <fonts count="21" x14ac:knownFonts="1">
    <font>
      <sz val="12"/>
      <name val="Helv"/>
    </font>
    <font>
      <sz val="11"/>
      <color theme="1"/>
      <name val="Calibri"/>
      <family val="2"/>
      <scheme val="minor"/>
    </font>
    <font>
      <sz val="12"/>
      <name val="Helv"/>
    </font>
    <font>
      <sz val="12"/>
      <color indexed="12"/>
      <name val="Helv"/>
    </font>
    <font>
      <b/>
      <sz val="12"/>
      <name val="Helv"/>
    </font>
    <font>
      <sz val="10"/>
      <name val="Arial"/>
      <family val="2"/>
    </font>
    <font>
      <sz val="12"/>
      <name val="Arial"/>
      <family val="2"/>
    </font>
    <font>
      <b/>
      <u val="singleAccounting"/>
      <sz val="12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b/>
      <sz val="12"/>
      <color indexed="12"/>
      <name val="Arial"/>
      <family val="2"/>
    </font>
    <font>
      <b/>
      <sz val="14"/>
      <name val="Arial"/>
      <family val="2"/>
    </font>
    <font>
      <b/>
      <sz val="14"/>
      <color indexed="17"/>
      <name val="Arial"/>
      <family val="2"/>
    </font>
    <font>
      <sz val="12"/>
      <color indexed="12"/>
      <name val="Arial"/>
      <family val="2"/>
    </font>
    <font>
      <sz val="12"/>
      <color theme="3"/>
      <name val="Arial"/>
      <family val="2"/>
    </font>
    <font>
      <b/>
      <sz val="12"/>
      <color theme="3"/>
      <name val="Arial"/>
      <family val="2"/>
    </font>
    <font>
      <b/>
      <sz val="12"/>
      <color indexed="10"/>
      <name val="Arial"/>
      <family val="2"/>
    </font>
    <font>
      <b/>
      <sz val="12"/>
      <color indexed="17"/>
      <name val="Arial"/>
      <family val="2"/>
    </font>
    <font>
      <b/>
      <sz val="16"/>
      <color rgb="FFFF0000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66FFFF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</borders>
  <cellStyleXfs count="25">
    <xf numFmtId="164" fontId="0" fillId="0" borderId="0">
      <alignment horizontal="left" wrapText="1"/>
    </xf>
    <xf numFmtId="44" fontId="5" fillId="0" borderId="0" applyFont="0" applyFill="0" applyBorder="0" applyAlignment="0" applyProtection="0"/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164" fontId="5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5" fillId="0" borderId="0"/>
  </cellStyleXfs>
  <cellXfs count="123">
    <xf numFmtId="164" fontId="0" fillId="0" borderId="0" xfId="0">
      <alignment horizontal="left" wrapText="1"/>
    </xf>
    <xf numFmtId="165" fontId="0" fillId="0" borderId="0" xfId="0" applyNumberFormat="1" applyAlignment="1"/>
    <xf numFmtId="165" fontId="3" fillId="0" borderId="1" xfId="0" quotePrefix="1" applyNumberFormat="1" applyFont="1" applyBorder="1" applyAlignment="1">
      <alignment horizontal="left"/>
    </xf>
    <xf numFmtId="165" fontId="3" fillId="0" borderId="3" xfId="0" quotePrefix="1" applyNumberFormat="1" applyFont="1" applyBorder="1" applyAlignment="1">
      <alignment horizontal="left"/>
    </xf>
    <xf numFmtId="165" fontId="4" fillId="0" borderId="4" xfId="0" applyNumberFormat="1" applyFont="1" applyBorder="1" applyAlignment="1"/>
    <xf numFmtId="165" fontId="3" fillId="0" borderId="1" xfId="0" applyNumberFormat="1" applyFont="1" applyBorder="1" applyAlignment="1"/>
    <xf numFmtId="165" fontId="3" fillId="0" borderId="3" xfId="0" applyNumberFormat="1" applyFont="1" applyBorder="1" applyAlignment="1"/>
    <xf numFmtId="165" fontId="4" fillId="0" borderId="4" xfId="0" quotePrefix="1" applyNumberFormat="1" applyFont="1" applyBorder="1" applyAlignment="1">
      <alignment horizontal="left"/>
    </xf>
    <xf numFmtId="0" fontId="5" fillId="0" borderId="0" xfId="24"/>
    <xf numFmtId="166" fontId="6" fillId="0" borderId="0" xfId="0" applyNumberFormat="1" applyFont="1" applyAlignment="1">
      <alignment horizontal="center"/>
    </xf>
    <xf numFmtId="165" fontId="6" fillId="0" borderId="0" xfId="0" applyNumberFormat="1" applyFont="1" applyAlignment="1">
      <alignment horizontal="center"/>
    </xf>
    <xf numFmtId="166" fontId="6" fillId="0" borderId="0" xfId="1" applyNumberFormat="1" applyFont="1" applyAlignment="1">
      <alignment horizontal="center"/>
    </xf>
    <xf numFmtId="165" fontId="6" fillId="0" borderId="0" xfId="0" applyNumberFormat="1" applyFont="1" applyAlignment="1"/>
    <xf numFmtId="17" fontId="6" fillId="0" borderId="0" xfId="0" applyNumberFormat="1" applyFont="1" applyAlignment="1">
      <alignment horizontal="center"/>
    </xf>
    <xf numFmtId="166" fontId="6" fillId="0" borderId="0" xfId="24" applyNumberFormat="1" applyFont="1" applyAlignment="1">
      <alignment horizontal="center"/>
    </xf>
    <xf numFmtId="44" fontId="7" fillId="0" borderId="0" xfId="1" applyFont="1" applyAlignment="1">
      <alignment horizontal="center"/>
    </xf>
    <xf numFmtId="0" fontId="8" fillId="0" borderId="0" xfId="24" applyFont="1" applyAlignment="1">
      <alignment horizontal="center"/>
    </xf>
    <xf numFmtId="165" fontId="9" fillId="0" borderId="0" xfId="0" quotePrefix="1" applyNumberFormat="1" applyFont="1" applyFill="1" applyAlignment="1">
      <alignment horizontal="center"/>
    </xf>
    <xf numFmtId="165" fontId="9" fillId="0" borderId="0" xfId="0" applyNumberFormat="1" applyFont="1" applyFill="1" applyAlignment="1">
      <alignment horizontal="center"/>
    </xf>
    <xf numFmtId="165" fontId="9" fillId="2" borderId="0" xfId="0" quotePrefix="1" applyNumberFormat="1" applyFont="1" applyFill="1" applyAlignment="1">
      <alignment horizontal="center"/>
    </xf>
    <xf numFmtId="165" fontId="9" fillId="3" borderId="0" xfId="0" quotePrefix="1" applyNumberFormat="1" applyFont="1" applyFill="1" applyAlignment="1">
      <alignment horizontal="center"/>
    </xf>
    <xf numFmtId="165" fontId="9" fillId="4" borderId="0" xfId="0" quotePrefix="1" applyNumberFormat="1" applyFont="1" applyFill="1" applyAlignment="1">
      <alignment horizontal="center"/>
    </xf>
    <xf numFmtId="0" fontId="5" fillId="0" borderId="0" xfId="24" applyFill="1"/>
    <xf numFmtId="165" fontId="9" fillId="2" borderId="0" xfId="0" quotePrefix="1" applyNumberFormat="1" applyFont="1" applyFill="1" applyAlignment="1">
      <alignment horizontal="center" vertical="center" wrapText="1"/>
    </xf>
    <xf numFmtId="165" fontId="9" fillId="3" borderId="0" xfId="0" quotePrefix="1" applyNumberFormat="1" applyFont="1" applyFill="1" applyAlignment="1">
      <alignment horizontal="center" vertical="center" wrapText="1"/>
    </xf>
    <xf numFmtId="165" fontId="9" fillId="4" borderId="0" xfId="0" quotePrefix="1" applyNumberFormat="1" applyFont="1" applyFill="1" applyAlignment="1">
      <alignment horizontal="center" vertical="center" wrapText="1"/>
    </xf>
    <xf numFmtId="0" fontId="10" fillId="0" borderId="0" xfId="24" applyFont="1"/>
    <xf numFmtId="10" fontId="9" fillId="7" borderId="0" xfId="24" quotePrefix="1" applyNumberFormat="1" applyFont="1" applyFill="1" applyAlignment="1">
      <alignment horizontal="center"/>
    </xf>
    <xf numFmtId="15" fontId="9" fillId="7" borderId="0" xfId="24" applyNumberFormat="1" applyFont="1" applyFill="1" applyAlignment="1">
      <alignment horizontal="left"/>
    </xf>
    <xf numFmtId="15" fontId="9" fillId="0" borderId="0" xfId="24" quotePrefix="1" applyNumberFormat="1" applyFont="1" applyAlignment="1">
      <alignment horizontal="left"/>
    </xf>
    <xf numFmtId="0" fontId="11" fillId="0" borderId="0" xfId="24" applyFont="1"/>
    <xf numFmtId="0" fontId="5" fillId="0" borderId="0" xfId="24" applyAlignment="1">
      <alignment horizontal="center"/>
    </xf>
    <xf numFmtId="17" fontId="2" fillId="0" borderId="0" xfId="0" applyNumberFormat="1" applyFont="1" applyAlignment="1">
      <alignment horizontal="center"/>
    </xf>
    <xf numFmtId="17" fontId="0" fillId="0" borderId="0" xfId="0" applyNumberFormat="1" applyAlignment="1">
      <alignment horizontal="center"/>
    </xf>
    <xf numFmtId="167" fontId="6" fillId="0" borderId="0" xfId="0" applyNumberFormat="1" applyFont="1" applyAlignment="1">
      <alignment horizontal="center"/>
    </xf>
    <xf numFmtId="8" fontId="5" fillId="0" borderId="0" xfId="24" applyNumberFormat="1"/>
    <xf numFmtId="0" fontId="5" fillId="0" borderId="0" xfId="24" applyAlignment="1">
      <alignment horizontal="center" wrapText="1"/>
    </xf>
    <xf numFmtId="0" fontId="9" fillId="0" borderId="0" xfId="24" applyFont="1" applyAlignment="1">
      <alignment horizontal="center" wrapText="1"/>
    </xf>
    <xf numFmtId="0" fontId="8" fillId="0" borderId="0" xfId="24" applyFont="1" applyAlignment="1">
      <alignment horizontal="center" wrapText="1"/>
    </xf>
    <xf numFmtId="0" fontId="9" fillId="0" borderId="0" xfId="24" quotePrefix="1" applyFont="1" applyAlignment="1">
      <alignment horizontal="center" wrapText="1"/>
    </xf>
    <xf numFmtId="10" fontId="12" fillId="7" borderId="0" xfId="24" applyNumberFormat="1" applyFont="1" applyFill="1" applyAlignment="1">
      <alignment horizontal="center"/>
    </xf>
    <xf numFmtId="0" fontId="9" fillId="7" borderId="0" xfId="24" applyFont="1" applyFill="1" applyAlignment="1">
      <alignment horizontal="center"/>
    </xf>
    <xf numFmtId="166" fontId="9" fillId="0" borderId="0" xfId="24" applyNumberFormat="1" applyFont="1" applyFill="1" applyAlignment="1">
      <alignment horizontal="center"/>
    </xf>
    <xf numFmtId="15" fontId="9" fillId="0" borderId="0" xfId="24" applyNumberFormat="1" applyFont="1" applyAlignment="1">
      <alignment horizontal="left"/>
    </xf>
    <xf numFmtId="8" fontId="6" fillId="0" borderId="0" xfId="24" applyNumberFormat="1" applyFont="1" applyAlignment="1">
      <alignment horizontal="center"/>
    </xf>
    <xf numFmtId="166" fontId="6" fillId="6" borderId="0" xfId="24" applyNumberFormat="1" applyFont="1" applyFill="1" applyAlignment="1">
      <alignment horizontal="center"/>
    </xf>
    <xf numFmtId="166" fontId="6" fillId="8" borderId="0" xfId="24" applyNumberFormat="1" applyFont="1" applyFill="1" applyAlignment="1">
      <alignment horizontal="center"/>
    </xf>
    <xf numFmtId="15" fontId="9" fillId="0" borderId="0" xfId="24" applyNumberFormat="1" applyFont="1" applyFill="1" applyAlignment="1">
      <alignment horizontal="left"/>
    </xf>
    <xf numFmtId="0" fontId="5" fillId="0" borderId="0" xfId="24" applyFill="1" applyAlignment="1">
      <alignment horizontal="center"/>
    </xf>
    <xf numFmtId="168" fontId="6" fillId="0" borderId="0" xfId="24" applyNumberFormat="1" applyFont="1" applyAlignment="1">
      <alignment horizontal="center"/>
    </xf>
    <xf numFmtId="166" fontId="6" fillId="3" borderId="0" xfId="24" applyNumberFormat="1" applyFont="1" applyFill="1" applyAlignment="1">
      <alignment horizontal="center"/>
    </xf>
    <xf numFmtId="168" fontId="5" fillId="0" borderId="0" xfId="24" applyNumberFormat="1"/>
    <xf numFmtId="166" fontId="5" fillId="0" borderId="0" xfId="24" applyNumberFormat="1"/>
    <xf numFmtId="166" fontId="9" fillId="5" borderId="0" xfId="24" applyNumberFormat="1" applyFont="1" applyFill="1" applyAlignment="1">
      <alignment horizontal="center"/>
    </xf>
    <xf numFmtId="168" fontId="6" fillId="0" borderId="0" xfId="24" applyNumberFormat="1" applyFont="1"/>
    <xf numFmtId="166" fontId="6" fillId="0" borderId="0" xfId="24" applyNumberFormat="1" applyFont="1"/>
    <xf numFmtId="168" fontId="15" fillId="0" borderId="0" xfId="24" applyNumberFormat="1" applyFont="1" applyAlignment="1">
      <alignment horizontal="center"/>
    </xf>
    <xf numFmtId="169" fontId="6" fillId="0" borderId="0" xfId="24" applyNumberFormat="1" applyFont="1" applyAlignment="1">
      <alignment horizontal="center"/>
    </xf>
    <xf numFmtId="168" fontId="15" fillId="9" borderId="0" xfId="24" applyNumberFormat="1" applyFont="1" applyFill="1" applyAlignment="1">
      <alignment horizontal="center"/>
    </xf>
    <xf numFmtId="169" fontId="6" fillId="5" borderId="0" xfId="24" applyNumberFormat="1" applyFont="1" applyFill="1" applyAlignment="1">
      <alignment horizontal="center"/>
    </xf>
    <xf numFmtId="168" fontId="15" fillId="10" borderId="0" xfId="24" applyNumberFormat="1" applyFont="1" applyFill="1" applyAlignment="1">
      <alignment horizontal="center"/>
    </xf>
    <xf numFmtId="168" fontId="15" fillId="11" borderId="0" xfId="24" applyNumberFormat="1" applyFont="1" applyFill="1" applyAlignment="1">
      <alignment horizontal="center"/>
    </xf>
    <xf numFmtId="166" fontId="6" fillId="5" borderId="0" xfId="24" applyNumberFormat="1" applyFont="1" applyFill="1" applyAlignment="1">
      <alignment horizontal="center"/>
    </xf>
    <xf numFmtId="168" fontId="15" fillId="12" borderId="0" xfId="24" applyNumberFormat="1" applyFont="1" applyFill="1" applyAlignment="1">
      <alignment horizontal="center"/>
    </xf>
    <xf numFmtId="168" fontId="15" fillId="13" borderId="0" xfId="24" applyNumberFormat="1" applyFont="1" applyFill="1" applyAlignment="1">
      <alignment horizontal="center"/>
    </xf>
    <xf numFmtId="168" fontId="15" fillId="14" borderId="0" xfId="24" applyNumberFormat="1" applyFont="1" applyFill="1" applyAlignment="1">
      <alignment horizontal="center"/>
    </xf>
    <xf numFmtId="166" fontId="16" fillId="6" borderId="0" xfId="24" applyNumberFormat="1" applyFont="1" applyFill="1" applyAlignment="1">
      <alignment horizontal="center"/>
    </xf>
    <xf numFmtId="166" fontId="16" fillId="3" borderId="0" xfId="24" applyNumberFormat="1" applyFont="1" applyFill="1" applyAlignment="1">
      <alignment horizontal="center"/>
    </xf>
    <xf numFmtId="168" fontId="16" fillId="0" borderId="0" xfId="24" applyNumberFormat="1" applyFont="1" applyAlignment="1">
      <alignment horizontal="center"/>
    </xf>
    <xf numFmtId="166" fontId="16" fillId="0" borderId="0" xfId="24" applyNumberFormat="1" applyFont="1" applyAlignment="1">
      <alignment horizontal="center"/>
    </xf>
    <xf numFmtId="169" fontId="16" fillId="0" borderId="0" xfId="24" applyNumberFormat="1" applyFont="1" applyAlignment="1">
      <alignment horizontal="center"/>
    </xf>
    <xf numFmtId="166" fontId="17" fillId="5" borderId="0" xfId="24" applyNumberFormat="1" applyFont="1" applyFill="1" applyAlignment="1">
      <alignment horizontal="center"/>
    </xf>
    <xf numFmtId="0" fontId="9" fillId="6" borderId="0" xfId="24" applyFont="1" applyFill="1" applyAlignment="1">
      <alignment horizontal="center" wrapText="1"/>
    </xf>
    <xf numFmtId="0" fontId="9" fillId="3" borderId="0" xfId="24" applyFont="1" applyFill="1" applyAlignment="1">
      <alignment horizontal="center" wrapText="1"/>
    </xf>
    <xf numFmtId="0" fontId="9" fillId="5" borderId="0" xfId="24" applyFont="1" applyFill="1" applyAlignment="1">
      <alignment horizontal="center" wrapText="1"/>
    </xf>
    <xf numFmtId="0" fontId="9" fillId="6" borderId="0" xfId="24" quotePrefix="1" applyFont="1" applyFill="1" applyAlignment="1">
      <alignment horizontal="center" wrapText="1"/>
    </xf>
    <xf numFmtId="0" fontId="9" fillId="2" borderId="0" xfId="24" quotePrefix="1" applyFont="1" applyFill="1" applyAlignment="1">
      <alignment horizontal="center" wrapText="1"/>
    </xf>
    <xf numFmtId="0" fontId="9" fillId="3" borderId="0" xfId="24" quotePrefix="1" applyFont="1" applyFill="1" applyAlignment="1">
      <alignment horizontal="center" wrapText="1"/>
    </xf>
    <xf numFmtId="0" fontId="9" fillId="0" borderId="0" xfId="24" applyFont="1" applyAlignment="1">
      <alignment horizontal="center"/>
    </xf>
    <xf numFmtId="10" fontId="9" fillId="0" borderId="0" xfId="24" applyNumberFormat="1" applyFont="1" applyFill="1" applyAlignment="1">
      <alignment horizontal="center"/>
    </xf>
    <xf numFmtId="0" fontId="9" fillId="0" borderId="0" xfId="24" applyFont="1" applyFill="1" applyAlignment="1">
      <alignment horizontal="center"/>
    </xf>
    <xf numFmtId="10" fontId="9" fillId="7" borderId="0" xfId="24" applyNumberFormat="1" applyFont="1" applyFill="1" applyAlignment="1">
      <alignment horizontal="center"/>
    </xf>
    <xf numFmtId="0" fontId="9" fillId="0" borderId="0" xfId="24" quotePrefix="1" applyFont="1" applyAlignment="1">
      <alignment horizontal="center"/>
    </xf>
    <xf numFmtId="1" fontId="6" fillId="0" borderId="0" xfId="24" applyNumberFormat="1" applyFont="1" applyAlignment="1">
      <alignment horizontal="center"/>
    </xf>
    <xf numFmtId="1" fontId="5" fillId="0" borderId="0" xfId="24" applyNumberFormat="1" applyAlignment="1">
      <alignment horizontal="center"/>
    </xf>
    <xf numFmtId="1" fontId="6" fillId="15" borderId="0" xfId="24" applyNumberFormat="1" applyFont="1" applyFill="1" applyAlignment="1">
      <alignment horizontal="center"/>
    </xf>
    <xf numFmtId="1" fontId="6" fillId="0" borderId="0" xfId="24" applyNumberFormat="1" applyFont="1" applyFill="1" applyAlignment="1">
      <alignment horizontal="center"/>
    </xf>
    <xf numFmtId="3" fontId="6" fillId="0" borderId="0" xfId="24" applyNumberFormat="1" applyFont="1" applyAlignment="1">
      <alignment horizontal="center"/>
    </xf>
    <xf numFmtId="3" fontId="6" fillId="0" borderId="0" xfId="24" applyNumberFormat="1" applyFont="1" applyFill="1" applyAlignment="1">
      <alignment horizontal="center"/>
    </xf>
    <xf numFmtId="3" fontId="6" fillId="15" borderId="0" xfId="24" applyNumberFormat="1" applyFont="1" applyFill="1" applyAlignment="1">
      <alignment horizontal="center"/>
    </xf>
    <xf numFmtId="170" fontId="9" fillId="5" borderId="0" xfId="24" applyNumberFormat="1" applyFont="1" applyFill="1" applyAlignment="1">
      <alignment horizontal="center"/>
    </xf>
    <xf numFmtId="3" fontId="6" fillId="5" borderId="0" xfId="24" applyNumberFormat="1" applyFont="1" applyFill="1" applyAlignment="1">
      <alignment horizontal="center"/>
    </xf>
    <xf numFmtId="3" fontId="6" fillId="0" borderId="0" xfId="0" applyNumberFormat="1" applyFont="1" applyAlignment="1">
      <alignment horizontal="center"/>
    </xf>
    <xf numFmtId="1" fontId="6" fillId="0" borderId="0" xfId="0" applyNumberFormat="1" applyFont="1" applyAlignment="1"/>
    <xf numFmtId="1" fontId="9" fillId="5" borderId="0" xfId="24" applyNumberFormat="1" applyFont="1" applyFill="1" applyAlignment="1">
      <alignment horizontal="center"/>
    </xf>
    <xf numFmtId="1" fontId="2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6" fillId="0" borderId="0" xfId="0" applyNumberFormat="1" applyFont="1" applyAlignment="1">
      <alignment horizontal="center"/>
    </xf>
    <xf numFmtId="1" fontId="6" fillId="5" borderId="0" xfId="24" applyNumberFormat="1" applyFont="1" applyFill="1" applyAlignment="1">
      <alignment horizontal="center"/>
    </xf>
    <xf numFmtId="0" fontId="8" fillId="5" borderId="0" xfId="24" applyFont="1" applyFill="1" applyAlignment="1">
      <alignment horizontal="center" wrapText="1"/>
    </xf>
    <xf numFmtId="0" fontId="9" fillId="2" borderId="0" xfId="24" applyFont="1" applyFill="1" applyAlignment="1">
      <alignment horizontal="center" wrapText="1"/>
    </xf>
    <xf numFmtId="0" fontId="6" fillId="0" borderId="0" xfId="24" applyFont="1" applyAlignment="1">
      <alignment horizontal="center" wrapText="1"/>
    </xf>
    <xf numFmtId="0" fontId="9" fillId="0" borderId="0" xfId="24" quotePrefix="1" applyFont="1" applyFill="1" applyAlignment="1">
      <alignment horizontal="center"/>
    </xf>
    <xf numFmtId="0" fontId="9" fillId="0" borderId="0" xfId="24" applyFont="1" applyFill="1" applyAlignment="1"/>
    <xf numFmtId="0" fontId="9" fillId="4" borderId="0" xfId="24" applyFont="1" applyFill="1" applyAlignment="1">
      <alignment horizontal="center"/>
    </xf>
    <xf numFmtId="0" fontId="9" fillId="6" borderId="0" xfId="24" quotePrefix="1" applyFont="1" applyFill="1" applyAlignment="1">
      <alignment horizontal="center"/>
    </xf>
    <xf numFmtId="0" fontId="9" fillId="0" borderId="0" xfId="24" applyFont="1"/>
    <xf numFmtId="165" fontId="4" fillId="0" borderId="0" xfId="0" applyNumberFormat="1" applyFont="1" applyAlignment="1">
      <alignment horizontal="left"/>
    </xf>
    <xf numFmtId="165" fontId="3" fillId="0" borderId="2" xfId="0" applyNumberFormat="1" applyFont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3" fillId="0" borderId="3" xfId="0" applyNumberFormat="1" applyFont="1" applyBorder="1" applyAlignment="1">
      <alignment horizontal="center" vertical="center"/>
    </xf>
    <xf numFmtId="165" fontId="9" fillId="6" borderId="0" xfId="0" quotePrefix="1" applyNumberFormat="1" applyFont="1" applyFill="1" applyAlignment="1">
      <alignment horizontal="center"/>
    </xf>
    <xf numFmtId="0" fontId="9" fillId="0" borderId="0" xfId="24" applyFont="1" applyAlignment="1">
      <alignment horizontal="center"/>
    </xf>
    <xf numFmtId="0" fontId="9" fillId="5" borderId="0" xfId="24" quotePrefix="1" applyFont="1" applyFill="1" applyAlignment="1">
      <alignment horizontal="center"/>
    </xf>
    <xf numFmtId="0" fontId="9" fillId="5" borderId="0" xfId="24" applyFont="1" applyFill="1" applyAlignment="1">
      <alignment horizontal="center"/>
    </xf>
    <xf numFmtId="0" fontId="9" fillId="6" borderId="0" xfId="24" applyFont="1" applyFill="1" applyAlignment="1">
      <alignment horizontal="center"/>
    </xf>
    <xf numFmtId="0" fontId="9" fillId="6" borderId="0" xfId="24" quotePrefix="1" applyFont="1" applyFill="1" applyAlignment="1">
      <alignment horizontal="center"/>
    </xf>
    <xf numFmtId="0" fontId="20" fillId="6" borderId="7" xfId="24" quotePrefix="1" applyFont="1" applyFill="1" applyBorder="1" applyAlignment="1">
      <alignment horizontal="center"/>
    </xf>
    <xf numFmtId="0" fontId="20" fillId="6" borderId="6" xfId="24" quotePrefix="1" applyFont="1" applyFill="1" applyBorder="1" applyAlignment="1">
      <alignment horizontal="center"/>
    </xf>
    <xf numFmtId="0" fontId="20" fillId="6" borderId="5" xfId="24" quotePrefix="1" applyFont="1" applyFill="1" applyBorder="1" applyAlignment="1">
      <alignment horizontal="center"/>
    </xf>
    <xf numFmtId="0" fontId="9" fillId="0" borderId="0" xfId="24" quotePrefix="1" applyFont="1" applyFill="1" applyAlignment="1">
      <alignment horizontal="center"/>
    </xf>
    <xf numFmtId="0" fontId="9" fillId="4" borderId="0" xfId="24" quotePrefix="1" applyFont="1" applyFill="1" applyAlignment="1">
      <alignment horizontal="center"/>
    </xf>
    <xf numFmtId="0" fontId="9" fillId="4" borderId="0" xfId="24" applyFont="1" applyFill="1" applyAlignment="1">
      <alignment horizontal="center"/>
    </xf>
  </cellXfs>
  <cellStyles count="25">
    <cellStyle name="_CC Oil" xfId="2"/>
    <cellStyle name="_DSO Oil" xfId="3"/>
    <cellStyle name="_FLCC Oil" xfId="4"/>
    <cellStyle name="_FLPEGT Oil" xfId="5"/>
    <cellStyle name="_FMCT Oil" xfId="6"/>
    <cellStyle name="_GTDW_DataTemplate" xfId="7"/>
    <cellStyle name="_Gulfstream Gas" xfId="8"/>
    <cellStyle name="_MR .7 Oil" xfId="9"/>
    <cellStyle name="_MR 1 Oil" xfId="10"/>
    <cellStyle name="_MRCT Oil" xfId="11"/>
    <cellStyle name="_MT Gulfstream Gas" xfId="12"/>
    <cellStyle name="_MT Oil" xfId="13"/>
    <cellStyle name="_OLCT Oil" xfId="14"/>
    <cellStyle name="_PE Oil" xfId="15"/>
    <cellStyle name="_PN Oil" xfId="16"/>
    <cellStyle name="_RV Oil" xfId="17"/>
    <cellStyle name="_SHCT Oil" xfId="18"/>
    <cellStyle name="_SN Oil" xfId="19"/>
    <cellStyle name="_TP Oil" xfId="20"/>
    <cellStyle name="Currency" xfId="1" builtinId="4"/>
    <cellStyle name="Normal" xfId="0" builtinId="0"/>
    <cellStyle name="Normal 2" xfId="21"/>
    <cellStyle name="Normal 2 2" xfId="22"/>
    <cellStyle name="Normal 2 3" xfId="23"/>
    <cellStyle name="Normal_060415 RAP Fuel Price Forecast Template - Case 1 (Historical Spread)" xfId="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3" dropStyle="combo" dx="18" fmlaLink="CONTROL!$C$32" fmlaRange="CONTROL!$B$32:$B$34" sel="2" val="0"/>
</file>

<file path=xl/ctrlProps/ctrlProp2.xml><?xml version="1.0" encoding="utf-8"?>
<formControlPr xmlns="http://schemas.microsoft.com/office/spreadsheetml/2009/9/main" objectType="Drop" dropLines="3" dropStyle="combo" dx="18" fmlaLink="CONTROL!$C$9" fmlaRange="CONTROL!$B$9:$B$11" sel="2" val="0"/>
</file>

<file path=xl/ctrlProps/ctrlProp3.xml><?xml version="1.0" encoding="utf-8"?>
<formControlPr xmlns="http://schemas.microsoft.com/office/spreadsheetml/2009/9/main" objectType="Drop" dropLines="2" dropStyle="combo" dx="18" fmlaLink="CONTROL!$C$27" fmlaRange="CONTROL!$B$27:$B$28" val="0"/>
</file>

<file path=xl/ctrlProps/ctrlProp4.xml><?xml version="1.0" encoding="utf-8"?>
<formControlPr xmlns="http://schemas.microsoft.com/office/spreadsheetml/2009/9/main" objectType="Drop" dropLines="3" dropStyle="combo" dx="18" fmlaLink="CONTROL!$C$15" fmlaRange="CONTROL!$B$15:$B$17" sel="2" val="0"/>
</file>

<file path=xl/ctrlProps/ctrlProp5.xml><?xml version="1.0" encoding="utf-8"?>
<formControlPr xmlns="http://schemas.microsoft.com/office/spreadsheetml/2009/9/main" objectType="Drop" dropLines="2" dropStyle="combo" dx="18" fmlaLink="CONTROL!$C$38" fmlaRange="CONTROL!$B$38:$B$39" val="0"/>
</file>

<file path=xl/ctrlProps/ctrlProp6.xml><?xml version="1.0" encoding="utf-8"?>
<formControlPr xmlns="http://schemas.microsoft.com/office/spreadsheetml/2009/9/main" objectType="Drop" dropLines="3" dropStyle="combo" dx="18" fmlaLink="CONTROL!$C$21" fmlaRange="CONTROL!$B$21:$B$23" sel="2" val="0"/>
</file>

<file path=xl/ctrlProps/ctrlProp7.xml><?xml version="1.0" encoding="utf-8"?>
<formControlPr xmlns="http://schemas.microsoft.com/office/spreadsheetml/2009/9/main" objectType="Drop" dropLines="2" dropStyle="combo" dx="18" fmlaLink="CONTROL!$C$42" fmlaRange="CONTROL!$B$42:$B$43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7</xdr:row>
          <xdr:rowOff>38100</xdr:rowOff>
        </xdr:from>
        <xdr:to>
          <xdr:col>6</xdr:col>
          <xdr:colOff>381000</xdr:colOff>
          <xdr:row>8</xdr:row>
          <xdr:rowOff>95250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7</xdr:row>
          <xdr:rowOff>28575</xdr:rowOff>
        </xdr:from>
        <xdr:to>
          <xdr:col>7</xdr:col>
          <xdr:colOff>123825</xdr:colOff>
          <xdr:row>8</xdr:row>
          <xdr:rowOff>114300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295275</xdr:colOff>
          <xdr:row>7</xdr:row>
          <xdr:rowOff>57150</xdr:rowOff>
        </xdr:from>
        <xdr:to>
          <xdr:col>8</xdr:col>
          <xdr:colOff>314325</xdr:colOff>
          <xdr:row>8</xdr:row>
          <xdr:rowOff>133350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7</xdr:row>
          <xdr:rowOff>133350</xdr:rowOff>
        </xdr:from>
        <xdr:to>
          <xdr:col>8</xdr:col>
          <xdr:colOff>304800</xdr:colOff>
          <xdr:row>9</xdr:row>
          <xdr:rowOff>19050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438150</xdr:colOff>
          <xdr:row>7</xdr:row>
          <xdr:rowOff>133350</xdr:rowOff>
        </xdr:from>
        <xdr:to>
          <xdr:col>9</xdr:col>
          <xdr:colOff>571500</xdr:colOff>
          <xdr:row>9</xdr:row>
          <xdr:rowOff>19050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285750</xdr:colOff>
          <xdr:row>7</xdr:row>
          <xdr:rowOff>28575</xdr:rowOff>
        </xdr:from>
        <xdr:to>
          <xdr:col>8</xdr:col>
          <xdr:colOff>552450</xdr:colOff>
          <xdr:row>8</xdr:row>
          <xdr:rowOff>114300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0</xdr:colOff>
          <xdr:row>7</xdr:row>
          <xdr:rowOff>133350</xdr:rowOff>
        </xdr:from>
        <xdr:to>
          <xdr:col>12</xdr:col>
          <xdr:colOff>266700</xdr:colOff>
          <xdr:row>9</xdr:row>
          <xdr:rowOff>9525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exu0ocl\040609%20FUEL%20COST%20RECOVERY%20-%20IRP%20SHORT%20&amp;%20LONG-TERM%20FOSSIL%20FUEL%20PRICE%20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XD0FJ7\AppData\Local\Temp\Temp1_2013.zip\2013\10.%20October\131007%202013%20-%202100%20LONG-TERM%20FORECAST%20FPL%20METHODOLOGY%20-%20To%20Delete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ndex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REG\GenTrader%20Data\Weekly%20Long%20Run\040914\Inputs\GTDW_Data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 OIL BACKUP 2"/>
      <sheetName val="GRAPH DATA"/>
      <sheetName val="CURRENT FPL VS. FCR FORECAST"/>
      <sheetName val="CURRENT VS. PREVIOUS FPL FORE."/>
      <sheetName val="CURRENT FPL VS. PIRA FORECAST"/>
      <sheetName val="FPL FORECAST VS. FORWARD CURVE"/>
      <sheetName val="FPL MOST LIKELY OIL BACKUP 1"/>
      <sheetName val="COMPARISON OF DISPATCH PRICES"/>
      <sheetName val="FOSSIL FUEL GRAPH"/>
      <sheetName val="MOST LIKELY OIL FORECAST UPDATE"/>
      <sheetName val="MOST LIKELY OIL PRICE FORECAST"/>
      <sheetName val="LOW PRICE OIL FORECAST"/>
      <sheetName val="HIGH PRICE OIL FORECAST"/>
      <sheetName val="WEEKLY GAS FORECAST UPDATE"/>
      <sheetName val="MOST LIKELY GAS PRICE &amp; AVAIL"/>
      <sheetName val="MOST LIKELY COAL &amp; PET COKE"/>
      <sheetName val="FPL MOST LIKELY GAS BACKUP 2"/>
      <sheetName val="FPL MOST LIKELY GAS BACKUP 1"/>
      <sheetName val="FPL LOW PRICE GAS BACKUP 1"/>
      <sheetName val="FPL HIGH PRICE GAS BACKUP 1"/>
      <sheetName val="LOW PRICE GAS &amp; AVAILABILITY"/>
      <sheetName val="HIGH PRICE GAS &amp; AVAILA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W Curves"/>
      <sheetName val="_Setup_"/>
      <sheetName val="PIRA - LONG TERM OIL BACKUP"/>
      <sheetName val="PIRA - LONG TERM GAS BACKUP"/>
      <sheetName val="OIL &amp; GAS SEASONALITY"/>
      <sheetName val="DISTILLATE &amp; RESIDUAL FUEL OIL"/>
      <sheetName val="FGT NON-FIRM"/>
      <sheetName val="FGT PRIMARY FIRM ZONE 1"/>
      <sheetName val="FGT PRIMARY FIRM ZONE 2"/>
      <sheetName val="FGT PRIMARY FIRM ZONE 3"/>
      <sheetName val="FGT FIRM ZONE 3 MOBILE BAY-DES"/>
      <sheetName val="FTS 3  FIRM ZONE 3 MOBILE BAY-D"/>
      <sheetName val="TRANSCO 4A LATERAL TO FTS 3"/>
      <sheetName val="TRANSCO 4 LATERAL TO GULFSTREAM"/>
      <sheetName val="SESH TO FGT FIRM ZONE 3 MOB BAY"/>
      <sheetName val="SESH TO FTS 3"/>
      <sheetName val="SESH TO GULFSTREAM"/>
      <sheetName val="GULFSTREAM FIRM "/>
      <sheetName val="GULFSTREAM NON-FIRM"/>
      <sheetName val="GULFSTREAM NON-FIRM  BACKHAUL "/>
      <sheetName val="UPS REPLACEMENT"/>
      <sheetName val="FUTURE GAS PIPELINE"/>
      <sheetName val="Upload"/>
      <sheetName val="MOST LIKELY COAL &amp; PET COKE"/>
      <sheetName val="GULF SOUTH TO FGT Z3 MOBILE BAY"/>
      <sheetName val="GULF SOUTH TO GULFSTREA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-Data"/>
      <sheetName val="Misc-Data"/>
      <sheetName val="IndexAnalysis"/>
      <sheetName val="Nat Gas Strips "/>
      <sheetName val="Module2"/>
      <sheetName val="FeedLiveData"/>
    </sheetNames>
    <sheetDataSet>
      <sheetData sheetId="0" refreshError="1">
        <row r="2">
          <cell r="A2" t="str">
            <v>INDEX PRICE LOG</v>
          </cell>
        </row>
        <row r="3">
          <cell r="C3">
            <v>11</v>
          </cell>
          <cell r="D3">
            <v>12</v>
          </cell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</v>
          </cell>
          <cell r="R3">
            <v>2</v>
          </cell>
          <cell r="S3">
            <v>3</v>
          </cell>
          <cell r="T3">
            <v>4</v>
          </cell>
          <cell r="U3">
            <v>5</v>
          </cell>
          <cell r="V3">
            <v>6</v>
          </cell>
          <cell r="W3">
            <v>7</v>
          </cell>
          <cell r="X3">
            <v>8</v>
          </cell>
          <cell r="Y3">
            <v>9</v>
          </cell>
          <cell r="Z3">
            <v>10</v>
          </cell>
          <cell r="AA3">
            <v>11</v>
          </cell>
          <cell r="AB3">
            <v>12</v>
          </cell>
          <cell r="AC3">
            <v>1</v>
          </cell>
          <cell r="AD3">
            <v>2</v>
          </cell>
          <cell r="AE3">
            <v>3</v>
          </cell>
          <cell r="AF3">
            <v>4</v>
          </cell>
          <cell r="AG3">
            <v>5</v>
          </cell>
          <cell r="AH3">
            <v>6</v>
          </cell>
          <cell r="AI3">
            <v>7</v>
          </cell>
          <cell r="AJ3">
            <v>8</v>
          </cell>
          <cell r="AK3">
            <v>9</v>
          </cell>
          <cell r="AL3">
            <v>10</v>
          </cell>
          <cell r="AM3">
            <v>11</v>
          </cell>
          <cell r="AN3">
            <v>12</v>
          </cell>
          <cell r="AO3">
            <v>1</v>
          </cell>
          <cell r="AP3">
            <v>2</v>
          </cell>
          <cell r="AQ3">
            <v>3</v>
          </cell>
          <cell r="AR3">
            <v>4</v>
          </cell>
          <cell r="AS3">
            <v>5</v>
          </cell>
          <cell r="AT3">
            <v>6</v>
          </cell>
          <cell r="AU3">
            <v>7</v>
          </cell>
          <cell r="AV3">
            <v>8</v>
          </cell>
          <cell r="AW3">
            <v>9</v>
          </cell>
          <cell r="AX3">
            <v>10</v>
          </cell>
          <cell r="AY3">
            <v>11</v>
          </cell>
          <cell r="AZ3">
            <v>12</v>
          </cell>
          <cell r="BA3">
            <v>1</v>
          </cell>
          <cell r="BB3">
            <v>2</v>
          </cell>
          <cell r="BC3">
            <v>3</v>
          </cell>
          <cell r="BD3">
            <v>4</v>
          </cell>
          <cell r="BE3">
            <v>5</v>
          </cell>
          <cell r="BF3">
            <v>6</v>
          </cell>
          <cell r="BG3">
            <v>7</v>
          </cell>
          <cell r="BH3">
            <v>8</v>
          </cell>
          <cell r="BI3">
            <v>9</v>
          </cell>
          <cell r="BJ3">
            <v>10</v>
          </cell>
          <cell r="BK3">
            <v>11</v>
          </cell>
          <cell r="BL3">
            <v>12</v>
          </cell>
          <cell r="BM3">
            <v>1</v>
          </cell>
          <cell r="BN3">
            <v>2</v>
          </cell>
          <cell r="BO3">
            <v>3</v>
          </cell>
          <cell r="BP3">
            <v>4</v>
          </cell>
          <cell r="BQ3">
            <v>5</v>
          </cell>
          <cell r="BR3">
            <v>6</v>
          </cell>
          <cell r="BS3">
            <v>7</v>
          </cell>
          <cell r="BT3">
            <v>8</v>
          </cell>
          <cell r="BU3">
            <v>9</v>
          </cell>
          <cell r="BV3">
            <v>10</v>
          </cell>
          <cell r="BW3">
            <v>11</v>
          </cell>
          <cell r="BX3">
            <v>12</v>
          </cell>
          <cell r="BY3">
            <v>1</v>
          </cell>
          <cell r="BZ3">
            <v>2</v>
          </cell>
          <cell r="CA3">
            <v>3</v>
          </cell>
          <cell r="CB3">
            <v>4</v>
          </cell>
          <cell r="CC3">
            <v>5</v>
          </cell>
          <cell r="CD3">
            <v>6</v>
          </cell>
          <cell r="CE3">
            <v>7</v>
          </cell>
          <cell r="CF3">
            <v>8</v>
          </cell>
          <cell r="CG3">
            <v>9</v>
          </cell>
        </row>
        <row r="4">
          <cell r="C4">
            <v>33909</v>
          </cell>
          <cell r="D4">
            <v>33939</v>
          </cell>
          <cell r="E4">
            <v>33970</v>
          </cell>
          <cell r="F4">
            <v>34001</v>
          </cell>
          <cell r="G4">
            <v>34029</v>
          </cell>
          <cell r="H4">
            <v>34060</v>
          </cell>
          <cell r="I4">
            <v>34090</v>
          </cell>
          <cell r="J4">
            <v>34121</v>
          </cell>
          <cell r="K4">
            <v>34151</v>
          </cell>
          <cell r="L4">
            <v>34182</v>
          </cell>
          <cell r="M4">
            <v>34213</v>
          </cell>
          <cell r="N4">
            <v>34243</v>
          </cell>
          <cell r="O4">
            <v>34274</v>
          </cell>
          <cell r="P4">
            <v>34304</v>
          </cell>
          <cell r="Q4">
            <v>34335</v>
          </cell>
          <cell r="R4">
            <v>34366</v>
          </cell>
          <cell r="S4">
            <v>34394</v>
          </cell>
          <cell r="T4">
            <v>34425</v>
          </cell>
          <cell r="U4">
            <v>34455</v>
          </cell>
          <cell r="V4">
            <v>34486</v>
          </cell>
          <cell r="W4">
            <v>34516</v>
          </cell>
          <cell r="X4">
            <v>34547</v>
          </cell>
          <cell r="Y4">
            <v>34578</v>
          </cell>
          <cell r="Z4">
            <v>34608</v>
          </cell>
          <cell r="AA4">
            <v>34639</v>
          </cell>
          <cell r="AB4">
            <v>34669</v>
          </cell>
          <cell r="AC4">
            <v>34700</v>
          </cell>
          <cell r="AD4">
            <v>34731</v>
          </cell>
          <cell r="AE4">
            <v>34759</v>
          </cell>
          <cell r="AF4">
            <v>34790</v>
          </cell>
          <cell r="AG4">
            <v>34820</v>
          </cell>
          <cell r="AH4">
            <v>34851</v>
          </cell>
          <cell r="AI4">
            <v>34881</v>
          </cell>
          <cell r="AJ4">
            <v>34912</v>
          </cell>
          <cell r="AK4">
            <v>34943</v>
          </cell>
          <cell r="AL4">
            <v>34973</v>
          </cell>
          <cell r="AM4">
            <v>35004</v>
          </cell>
          <cell r="AN4">
            <v>35034</v>
          </cell>
          <cell r="AO4">
            <v>35065</v>
          </cell>
          <cell r="AP4">
            <v>35096</v>
          </cell>
          <cell r="AQ4">
            <v>35125</v>
          </cell>
          <cell r="AR4">
            <v>35156</v>
          </cell>
          <cell r="AS4">
            <v>35186</v>
          </cell>
          <cell r="AT4">
            <v>35217</v>
          </cell>
          <cell r="AU4">
            <v>35247</v>
          </cell>
          <cell r="AV4">
            <v>35278</v>
          </cell>
          <cell r="AW4">
            <v>35309</v>
          </cell>
          <cell r="AX4">
            <v>35339</v>
          </cell>
          <cell r="AY4">
            <v>35370</v>
          </cell>
          <cell r="AZ4">
            <v>35400</v>
          </cell>
          <cell r="BA4">
            <v>35431</v>
          </cell>
          <cell r="BB4">
            <v>35462</v>
          </cell>
          <cell r="BC4">
            <v>35490</v>
          </cell>
          <cell r="BD4">
            <v>35521</v>
          </cell>
          <cell r="BE4">
            <v>35551</v>
          </cell>
          <cell r="BF4">
            <v>35582</v>
          </cell>
          <cell r="BG4">
            <v>35612</v>
          </cell>
          <cell r="BH4">
            <v>35643</v>
          </cell>
          <cell r="BI4">
            <v>35674</v>
          </cell>
          <cell r="BJ4">
            <v>35704</v>
          </cell>
          <cell r="BK4">
            <v>35735</v>
          </cell>
          <cell r="BL4">
            <v>35765</v>
          </cell>
          <cell r="BM4">
            <v>35796</v>
          </cell>
          <cell r="BN4">
            <v>35827</v>
          </cell>
          <cell r="BO4">
            <v>35855</v>
          </cell>
          <cell r="BP4">
            <v>35886</v>
          </cell>
          <cell r="BQ4">
            <v>35916</v>
          </cell>
          <cell r="BR4">
            <v>35947</v>
          </cell>
          <cell r="BS4">
            <v>35977</v>
          </cell>
          <cell r="BT4">
            <v>36008</v>
          </cell>
          <cell r="BU4">
            <v>36039</v>
          </cell>
          <cell r="BV4">
            <v>36069</v>
          </cell>
          <cell r="BW4">
            <v>36100</v>
          </cell>
          <cell r="BX4">
            <v>36130</v>
          </cell>
          <cell r="BY4">
            <v>36161</v>
          </cell>
          <cell r="BZ4">
            <v>36192</v>
          </cell>
          <cell r="CA4">
            <v>36220</v>
          </cell>
          <cell r="CB4">
            <v>36251</v>
          </cell>
          <cell r="CC4">
            <v>36281</v>
          </cell>
          <cell r="CD4">
            <v>36312</v>
          </cell>
          <cell r="CE4">
            <v>36342</v>
          </cell>
          <cell r="CF4">
            <v>36373</v>
          </cell>
          <cell r="CG4">
            <v>36404</v>
          </cell>
        </row>
        <row r="5">
          <cell r="A5" t="str">
            <v>3D</v>
          </cell>
          <cell r="B5">
            <v>2</v>
          </cell>
          <cell r="C5">
            <v>2.46</v>
          </cell>
          <cell r="D5">
            <v>2.3719999999999999</v>
          </cell>
          <cell r="E5">
            <v>2.0419999999999998</v>
          </cell>
          <cell r="F5">
            <v>1.647</v>
          </cell>
          <cell r="G5">
            <v>1.859</v>
          </cell>
          <cell r="H5">
            <v>2.1280000000000001</v>
          </cell>
          <cell r="I5">
            <v>2.706</v>
          </cell>
          <cell r="J5">
            <v>2.2519999999999998</v>
          </cell>
          <cell r="K5">
            <v>2.06633333333333</v>
          </cell>
          <cell r="L5">
            <v>2.1040000000000001</v>
          </cell>
          <cell r="M5">
            <v>2.4263333333333299</v>
          </cell>
          <cell r="N5">
            <v>2.1539999999999999</v>
          </cell>
          <cell r="O5">
            <v>2.1323333333333334</v>
          </cell>
          <cell r="P5">
            <v>2.3386666666666667</v>
          </cell>
          <cell r="Q5">
            <v>2.0653333333333332</v>
          </cell>
          <cell r="R5">
            <v>2.3416666666666668</v>
          </cell>
          <cell r="S5">
            <v>2.3826666666666667</v>
          </cell>
          <cell r="T5">
            <v>2.0550000000000002</v>
          </cell>
          <cell r="U5">
            <v>2.1156666666666668</v>
          </cell>
          <cell r="V5">
            <v>1.9039999999999999</v>
          </cell>
          <cell r="W5">
            <v>2.0226666666666668</v>
          </cell>
          <cell r="X5">
            <v>1.8333333333333333</v>
          </cell>
          <cell r="Y5">
            <v>1.5403333333333333</v>
          </cell>
          <cell r="Z5">
            <v>1.4453333333333334</v>
          </cell>
          <cell r="AA5">
            <v>1.61</v>
          </cell>
          <cell r="AB5">
            <v>1.6546666666666667</v>
          </cell>
          <cell r="AC5">
            <v>1.6013333333333333</v>
          </cell>
          <cell r="AD5">
            <v>1.41</v>
          </cell>
          <cell r="AE5">
            <v>1.4153333333333333</v>
          </cell>
          <cell r="AF5">
            <v>1.56</v>
          </cell>
          <cell r="AG5">
            <v>1.6943333333333332</v>
          </cell>
          <cell r="AH5">
            <v>1.7423333333333333</v>
          </cell>
          <cell r="AI5">
            <v>1.554</v>
          </cell>
          <cell r="AJ5">
            <v>1.429</v>
          </cell>
          <cell r="AK5">
            <v>1.57</v>
          </cell>
          <cell r="AL5">
            <v>1.6180000000000001</v>
          </cell>
          <cell r="AM5">
            <v>1.7629999999999999</v>
          </cell>
          <cell r="AN5">
            <v>2.141</v>
          </cell>
          <cell r="AO5">
            <v>3.129</v>
          </cell>
          <cell r="AP5">
            <v>2.4260000000000002</v>
          </cell>
          <cell r="AQ5">
            <v>2.6053000000000002</v>
          </cell>
          <cell r="AR5">
            <v>2.794</v>
          </cell>
          <cell r="AS5">
            <v>2.2839999999999998</v>
          </cell>
          <cell r="AT5">
            <v>2.3422999999999998</v>
          </cell>
          <cell r="AU5">
            <v>2.6343000000000001</v>
          </cell>
          <cell r="AV5">
            <v>2.3570000000000002</v>
          </cell>
          <cell r="AW5">
            <v>1.9079999999999999</v>
          </cell>
          <cell r="AX5">
            <v>1.887</v>
          </cell>
          <cell r="AY5">
            <v>2.5710000000000002</v>
          </cell>
          <cell r="AZ5">
            <v>3.6110000000000002</v>
          </cell>
          <cell r="BA5">
            <v>4.2539999999999996</v>
          </cell>
          <cell r="BB5">
            <v>2.8679999999999999</v>
          </cell>
          <cell r="BC5">
            <v>1.879</v>
          </cell>
          <cell r="BD5">
            <v>1.8460000000000001</v>
          </cell>
          <cell r="BE5">
            <v>2.0979999999999999</v>
          </cell>
          <cell r="BF5">
            <v>2.331</v>
          </cell>
          <cell r="BG5">
            <v>2.2189999999999999</v>
          </cell>
          <cell r="BH5">
            <v>2.1629999999999998</v>
          </cell>
          <cell r="BI5">
            <v>2.5059999999999998</v>
          </cell>
          <cell r="BJ5">
            <v>3.2210000000000001</v>
          </cell>
          <cell r="BK5">
            <v>3.5059999999999998</v>
          </cell>
          <cell r="BL5">
            <v>2.6819999999999999</v>
          </cell>
          <cell r="BM5">
            <v>2.2690000000000001</v>
          </cell>
          <cell r="BN5">
            <v>2.036</v>
          </cell>
          <cell r="BO5">
            <v>2.2270000000000003</v>
          </cell>
          <cell r="BP5">
            <v>2.3340000000000001</v>
          </cell>
          <cell r="BQ5">
            <v>2.2900000000000005</v>
          </cell>
          <cell r="BR5">
            <v>2.0686666666666667</v>
          </cell>
          <cell r="BS5">
            <v>2.3525999999999998</v>
          </cell>
          <cell r="BT5">
            <v>1.9530000000000001</v>
          </cell>
          <cell r="BU5">
            <v>1.754</v>
          </cell>
          <cell r="BV5">
            <v>2.13</v>
          </cell>
          <cell r="BW5">
            <v>2.1259999999999999</v>
          </cell>
          <cell r="BX5">
            <v>2.1360000000000001</v>
          </cell>
          <cell r="BY5">
            <v>1.8109999999999999</v>
          </cell>
          <cell r="BZ5">
            <v>1.746</v>
          </cell>
          <cell r="CA5">
            <v>1.6933333333333334</v>
          </cell>
          <cell r="CB5">
            <v>1.8470000000000002</v>
          </cell>
          <cell r="CC5">
            <v>2.3260000000000001</v>
          </cell>
          <cell r="CD5">
            <v>2.2010000000000001</v>
          </cell>
          <cell r="CE5">
            <v>2.2719999999999998</v>
          </cell>
          <cell r="CF5">
            <v>2.5720000000000001</v>
          </cell>
          <cell r="CG5">
            <v>2.9630000000000001</v>
          </cell>
        </row>
        <row r="6">
          <cell r="A6" t="str">
            <v>FD</v>
          </cell>
          <cell r="B6">
            <v>3</v>
          </cell>
          <cell r="C6">
            <v>2.4990000000000001</v>
          </cell>
          <cell r="D6">
            <v>2.3319999999999999</v>
          </cell>
          <cell r="E6">
            <v>2.0030000000000001</v>
          </cell>
          <cell r="F6">
            <v>1.6339999999999999</v>
          </cell>
          <cell r="G6">
            <v>1.9059999999999999</v>
          </cell>
          <cell r="H6">
            <v>2.2240000000000002</v>
          </cell>
          <cell r="I6">
            <v>2.758</v>
          </cell>
          <cell r="J6">
            <v>2.1190000000000002</v>
          </cell>
          <cell r="K6">
            <v>1.9179999999999999</v>
          </cell>
          <cell r="L6">
            <v>2.121</v>
          </cell>
          <cell r="M6">
            <v>2.4009999999999998</v>
          </cell>
          <cell r="N6">
            <v>2.0659999999999998</v>
          </cell>
          <cell r="O6">
            <v>2.1549999999999998</v>
          </cell>
          <cell r="P6">
            <v>2.3849999999999998</v>
          </cell>
          <cell r="Q6">
            <v>2.0219999999999998</v>
          </cell>
          <cell r="R6">
            <v>2.4700000000000002</v>
          </cell>
          <cell r="S6">
            <v>2.4180000000000001</v>
          </cell>
          <cell r="T6">
            <v>1.9810000000000001</v>
          </cell>
          <cell r="U6">
            <v>2.0760000000000001</v>
          </cell>
          <cell r="V6">
            <v>1.851</v>
          </cell>
          <cell r="W6">
            <v>1.966</v>
          </cell>
          <cell r="X6">
            <v>1.7889999999999999</v>
          </cell>
          <cell r="Y6">
            <v>1.484</v>
          </cell>
          <cell r="Z6">
            <v>1.4059999999999999</v>
          </cell>
          <cell r="AA6">
            <v>1.6830000000000001</v>
          </cell>
          <cell r="AB6">
            <v>1.661</v>
          </cell>
          <cell r="AC6">
            <v>1.639</v>
          </cell>
          <cell r="AD6">
            <v>1.4159999999999999</v>
          </cell>
          <cell r="AE6">
            <v>1.4279999999999999</v>
          </cell>
          <cell r="AF6">
            <v>1.5660000000000001</v>
          </cell>
          <cell r="AG6">
            <v>1.6719999999999999</v>
          </cell>
          <cell r="AH6">
            <v>1.7569999999999999</v>
          </cell>
          <cell r="AI6">
            <v>1.532</v>
          </cell>
          <cell r="AJ6">
            <v>1.385</v>
          </cell>
          <cell r="AK6">
            <v>1.575</v>
          </cell>
          <cell r="AL6">
            <v>1.6439999999999999</v>
          </cell>
          <cell r="AM6">
            <v>1.772</v>
          </cell>
          <cell r="AN6">
            <v>2.2410000000000001</v>
          </cell>
          <cell r="AO6">
            <v>3.448</v>
          </cell>
          <cell r="AP6">
            <v>2.34</v>
          </cell>
          <cell r="AQ6">
            <v>2.746</v>
          </cell>
          <cell r="AR6">
            <v>2.7789999999999999</v>
          </cell>
          <cell r="AS6">
            <v>2.2410000000000001</v>
          </cell>
          <cell r="AT6">
            <v>2.3610000000000002</v>
          </cell>
          <cell r="AU6">
            <v>2.6459999999999999</v>
          </cell>
          <cell r="AV6">
            <v>2.3220000000000001</v>
          </cell>
          <cell r="AW6">
            <v>1.853</v>
          </cell>
          <cell r="AX6">
            <v>1.8280000000000001</v>
          </cell>
          <cell r="AY6">
            <v>2.6520000000000001</v>
          </cell>
          <cell r="AZ6">
            <v>3.9009999999999998</v>
          </cell>
          <cell r="BA6">
            <v>3.9980000000000002</v>
          </cell>
          <cell r="BB6">
            <v>2.9860000000000002</v>
          </cell>
          <cell r="BC6">
            <v>1.78</v>
          </cell>
          <cell r="BD6">
            <v>1.8069999999999999</v>
          </cell>
          <cell r="BE6">
            <v>2.1219999999999999</v>
          </cell>
          <cell r="BF6">
            <v>2.3460000000000001</v>
          </cell>
          <cell r="BG6">
            <v>2.145</v>
          </cell>
          <cell r="BH6">
            <v>2.161</v>
          </cell>
          <cell r="BI6">
            <v>2.5150000000000001</v>
          </cell>
          <cell r="BJ6">
            <v>3.3460000000000001</v>
          </cell>
          <cell r="BK6">
            <v>3.266</v>
          </cell>
          <cell r="BL6">
            <v>2.577</v>
          </cell>
          <cell r="BM6">
            <v>2.3090000000000002</v>
          </cell>
          <cell r="BN6">
            <v>2.0009999999999999</v>
          </cell>
          <cell r="BO6">
            <v>2.286</v>
          </cell>
          <cell r="BP6">
            <v>2.2999999999999998</v>
          </cell>
          <cell r="BQ6">
            <v>2.262</v>
          </cell>
          <cell r="BR6">
            <v>2.0169999999999999</v>
          </cell>
          <cell r="BS6">
            <v>2.3580000000000001</v>
          </cell>
          <cell r="BT6">
            <v>1.9419999999999999</v>
          </cell>
          <cell r="BU6">
            <v>1.6719999999999999</v>
          </cell>
          <cell r="BV6">
            <v>2.0310000000000001</v>
          </cell>
          <cell r="BW6">
            <v>1.972</v>
          </cell>
          <cell r="BX6">
            <v>2.149</v>
          </cell>
          <cell r="BY6">
            <v>1.7649999999999999</v>
          </cell>
          <cell r="BZ6">
            <v>1.81</v>
          </cell>
          <cell r="CA6">
            <v>1.6659999999999999</v>
          </cell>
          <cell r="CB6">
            <v>1.8520000000000001</v>
          </cell>
          <cell r="CC6">
            <v>2.3479999999999999</v>
          </cell>
          <cell r="CD6">
            <v>2.226</v>
          </cell>
          <cell r="CE6">
            <v>2.262</v>
          </cell>
          <cell r="CF6">
            <v>2.601</v>
          </cell>
          <cell r="CG6">
            <v>2.9119999999999999</v>
          </cell>
        </row>
        <row r="7">
          <cell r="A7" t="str">
            <v>AECO-NT</v>
          </cell>
          <cell r="B7">
            <v>4</v>
          </cell>
          <cell r="C7">
            <v>1.1599999999999999</v>
          </cell>
          <cell r="D7">
            <v>1.48</v>
          </cell>
          <cell r="E7">
            <v>2.44</v>
          </cell>
          <cell r="F7">
            <v>1.46</v>
          </cell>
          <cell r="G7">
            <v>1.84</v>
          </cell>
          <cell r="H7">
            <v>1.77</v>
          </cell>
          <cell r="I7">
            <v>2.58</v>
          </cell>
          <cell r="J7">
            <v>1.35</v>
          </cell>
          <cell r="K7">
            <v>1.46</v>
          </cell>
          <cell r="L7">
            <v>1.23</v>
          </cell>
          <cell r="M7">
            <v>1.5</v>
          </cell>
          <cell r="N7">
            <v>1.39</v>
          </cell>
          <cell r="O7">
            <v>1.7927</v>
          </cell>
          <cell r="P7">
            <v>2.3016999999999999</v>
          </cell>
          <cell r="Q7">
            <v>1.9076</v>
          </cell>
          <cell r="R7">
            <v>1.6994</v>
          </cell>
          <cell r="S7">
            <v>1.9172</v>
          </cell>
          <cell r="T7">
            <v>1.5564</v>
          </cell>
          <cell r="U7">
            <v>1.5331999999999999</v>
          </cell>
          <cell r="V7">
            <v>1.4004000000000001</v>
          </cell>
          <cell r="W7">
            <v>1.4108000000000001</v>
          </cell>
          <cell r="X7">
            <v>1.3223100000000001</v>
          </cell>
          <cell r="Y7">
            <v>1.2150000000000001</v>
          </cell>
          <cell r="Z7">
            <v>1.1120000000000001</v>
          </cell>
          <cell r="AA7">
            <v>1.3184</v>
          </cell>
          <cell r="AB7">
            <v>1.3363</v>
          </cell>
          <cell r="AC7">
            <v>0.96619999999999995</v>
          </cell>
          <cell r="AD7">
            <v>0.72240000000000004</v>
          </cell>
          <cell r="AE7">
            <v>0.68799999999999994</v>
          </cell>
          <cell r="AF7">
            <v>0.76910000000000001</v>
          </cell>
          <cell r="AG7">
            <v>0.92100000000000004</v>
          </cell>
          <cell r="AH7">
            <v>0.94450000000000001</v>
          </cell>
          <cell r="AI7">
            <v>0.8347</v>
          </cell>
          <cell r="AJ7">
            <v>0.75749999999999995</v>
          </cell>
          <cell r="AK7">
            <v>0.81489999999999996</v>
          </cell>
          <cell r="AL7">
            <v>0.85150000000000003</v>
          </cell>
          <cell r="AM7">
            <v>0.94089999999999996</v>
          </cell>
          <cell r="AN7">
            <v>0.95679999999999998</v>
          </cell>
          <cell r="AO7">
            <v>1.0471999999999999</v>
          </cell>
          <cell r="AP7">
            <v>1.1489</v>
          </cell>
          <cell r="AQ7">
            <v>1.1039000000000001</v>
          </cell>
          <cell r="AR7">
            <v>1.0159</v>
          </cell>
          <cell r="AS7">
            <v>0.91900000000000004</v>
          </cell>
          <cell r="AT7">
            <v>0.82889999999999997</v>
          </cell>
          <cell r="AU7">
            <v>0.84</v>
          </cell>
          <cell r="AV7">
            <v>0.89829999999999999</v>
          </cell>
          <cell r="AW7">
            <v>0.87909999999999999</v>
          </cell>
          <cell r="AX7">
            <v>0.90549999999999997</v>
          </cell>
          <cell r="AY7">
            <v>1.1100000000000001</v>
          </cell>
          <cell r="AZ7">
            <v>1.58</v>
          </cell>
          <cell r="BA7">
            <v>1.68</v>
          </cell>
          <cell r="BC7">
            <v>1.78</v>
          </cell>
        </row>
        <row r="8">
          <cell r="A8" t="str">
            <v>ANR-LA</v>
          </cell>
          <cell r="B8">
            <v>5</v>
          </cell>
          <cell r="C8">
            <v>2.31</v>
          </cell>
          <cell r="D8">
            <v>2.2799999999999998</v>
          </cell>
          <cell r="E8">
            <v>1.9</v>
          </cell>
          <cell r="F8">
            <v>1.62</v>
          </cell>
          <cell r="G8">
            <v>1.85</v>
          </cell>
          <cell r="H8">
            <v>2.13</v>
          </cell>
          <cell r="I8">
            <v>2.7</v>
          </cell>
          <cell r="J8">
            <v>2.08</v>
          </cell>
          <cell r="K8">
            <v>1.95</v>
          </cell>
          <cell r="L8">
            <v>2.0299999999999998</v>
          </cell>
          <cell r="M8">
            <v>2.37</v>
          </cell>
          <cell r="N8">
            <v>2.06</v>
          </cell>
          <cell r="O8">
            <v>2.09</v>
          </cell>
          <cell r="P8">
            <v>2.31</v>
          </cell>
          <cell r="Q8">
            <v>2.04</v>
          </cell>
          <cell r="R8">
            <v>2.33</v>
          </cell>
          <cell r="S8">
            <v>2.3199999999999998</v>
          </cell>
          <cell r="T8">
            <v>1.93</v>
          </cell>
          <cell r="U8">
            <v>2.0099999999999998</v>
          </cell>
          <cell r="V8">
            <v>1.74</v>
          </cell>
          <cell r="W8">
            <v>1.85</v>
          </cell>
          <cell r="X8">
            <v>1.7</v>
          </cell>
          <cell r="Y8">
            <v>1.4</v>
          </cell>
          <cell r="Z8">
            <v>1.35</v>
          </cell>
          <cell r="AA8">
            <v>1.61</v>
          </cell>
          <cell r="AB8">
            <v>1.6</v>
          </cell>
          <cell r="AC8">
            <v>1.54</v>
          </cell>
          <cell r="AD8">
            <v>1.35</v>
          </cell>
          <cell r="AE8">
            <v>1.37</v>
          </cell>
          <cell r="AF8">
            <v>1.48</v>
          </cell>
          <cell r="AG8">
            <v>1.61</v>
          </cell>
          <cell r="AH8">
            <v>1.66</v>
          </cell>
          <cell r="AI8">
            <v>1.45</v>
          </cell>
          <cell r="AJ8">
            <v>1.3</v>
          </cell>
          <cell r="AK8">
            <v>1.51</v>
          </cell>
          <cell r="AL8">
            <v>1.6</v>
          </cell>
          <cell r="AM8">
            <v>1.76</v>
          </cell>
          <cell r="AN8">
            <v>2.1800000000000002</v>
          </cell>
          <cell r="AO8">
            <v>3.25</v>
          </cell>
          <cell r="AP8">
            <v>2.2999999999999998</v>
          </cell>
          <cell r="AQ8">
            <v>2.73</v>
          </cell>
          <cell r="AR8">
            <v>2.66</v>
          </cell>
          <cell r="AS8">
            <v>2.12</v>
          </cell>
          <cell r="AT8">
            <v>2.25</v>
          </cell>
          <cell r="AU8">
            <v>2.5499999999999998</v>
          </cell>
          <cell r="AV8">
            <v>2.2200000000000002</v>
          </cell>
          <cell r="AW8">
            <v>1.74</v>
          </cell>
          <cell r="AX8">
            <v>1.75</v>
          </cell>
          <cell r="AY8">
            <v>2.63</v>
          </cell>
          <cell r="AZ8">
            <v>3.74</v>
          </cell>
          <cell r="BA8">
            <v>3.85</v>
          </cell>
          <cell r="BB8">
            <v>2.81</v>
          </cell>
          <cell r="BC8">
            <v>1.78</v>
          </cell>
          <cell r="BD8">
            <v>1.75</v>
          </cell>
          <cell r="BE8">
            <v>2.06</v>
          </cell>
          <cell r="BF8">
            <v>2.2400000000000002</v>
          </cell>
          <cell r="BG8">
            <v>2.08</v>
          </cell>
          <cell r="BH8">
            <v>2.12</v>
          </cell>
          <cell r="BI8">
            <v>2.4900000000000002</v>
          </cell>
          <cell r="BJ8">
            <v>3.06</v>
          </cell>
          <cell r="BK8">
            <v>3.18</v>
          </cell>
          <cell r="BL8">
            <v>2.4300000000000002</v>
          </cell>
          <cell r="BM8">
            <v>2.17</v>
          </cell>
          <cell r="BN8">
            <v>1.91</v>
          </cell>
          <cell r="BO8">
            <v>2.1800000000000002</v>
          </cell>
          <cell r="BP8">
            <v>2.2200000000000002</v>
          </cell>
          <cell r="BQ8">
            <v>2.19</v>
          </cell>
          <cell r="BR8">
            <v>1.95</v>
          </cell>
          <cell r="BS8">
            <v>2.27</v>
          </cell>
          <cell r="BT8">
            <v>1.83</v>
          </cell>
          <cell r="BU8">
            <v>1.51</v>
          </cell>
          <cell r="BV8">
            <v>1.94</v>
          </cell>
          <cell r="BW8">
            <v>1.91</v>
          </cell>
          <cell r="BX8">
            <v>2.06</v>
          </cell>
          <cell r="BY8">
            <v>1.71</v>
          </cell>
          <cell r="BZ8">
            <v>1.75</v>
          </cell>
          <cell r="CA8">
            <v>1.58</v>
          </cell>
          <cell r="CB8">
            <v>1.83</v>
          </cell>
          <cell r="CC8">
            <v>2.2999999999999998</v>
          </cell>
          <cell r="CD8">
            <v>2.16</v>
          </cell>
          <cell r="CE8">
            <v>2.2000000000000002</v>
          </cell>
          <cell r="CF8">
            <v>2.5499999999999998</v>
          </cell>
          <cell r="CG8">
            <v>2.83</v>
          </cell>
        </row>
        <row r="9">
          <cell r="A9" t="str">
            <v>ANR-OK</v>
          </cell>
          <cell r="B9">
            <v>6</v>
          </cell>
          <cell r="C9">
            <v>2.15</v>
          </cell>
          <cell r="D9">
            <v>2.0499999999999998</v>
          </cell>
          <cell r="E9">
            <v>1.9</v>
          </cell>
          <cell r="F9">
            <v>1.6</v>
          </cell>
          <cell r="G9">
            <v>1.82</v>
          </cell>
          <cell r="H9">
            <v>2.08</v>
          </cell>
          <cell r="I9">
            <v>2.62</v>
          </cell>
          <cell r="J9">
            <v>1.95</v>
          </cell>
          <cell r="K9">
            <v>1.79</v>
          </cell>
          <cell r="L9">
            <v>1.91</v>
          </cell>
          <cell r="M9">
            <v>2.2000000000000002</v>
          </cell>
          <cell r="N9">
            <v>1.9</v>
          </cell>
          <cell r="O9">
            <v>1.9</v>
          </cell>
          <cell r="P9">
            <v>2.23</v>
          </cell>
          <cell r="Q9">
            <v>1.96</v>
          </cell>
          <cell r="R9">
            <v>2.12</v>
          </cell>
          <cell r="S9">
            <v>2.14</v>
          </cell>
          <cell r="T9">
            <v>1.81</v>
          </cell>
          <cell r="U9">
            <v>1.84</v>
          </cell>
          <cell r="V9">
            <v>1.59</v>
          </cell>
          <cell r="W9">
            <v>1.67</v>
          </cell>
          <cell r="X9">
            <v>1.57</v>
          </cell>
          <cell r="Y9">
            <v>1.4</v>
          </cell>
          <cell r="Z9">
            <v>1.3</v>
          </cell>
          <cell r="AA9">
            <v>1.51</v>
          </cell>
          <cell r="AB9">
            <v>1.6</v>
          </cell>
          <cell r="AC9">
            <v>1.51</v>
          </cell>
          <cell r="AD9">
            <v>1.27</v>
          </cell>
          <cell r="AE9">
            <v>1.26</v>
          </cell>
          <cell r="AF9">
            <v>1.34</v>
          </cell>
          <cell r="AG9">
            <v>1.45</v>
          </cell>
          <cell r="AH9">
            <v>1.46</v>
          </cell>
          <cell r="AI9">
            <v>1.25</v>
          </cell>
          <cell r="AJ9">
            <v>1.19</v>
          </cell>
          <cell r="AK9">
            <v>1.41</v>
          </cell>
          <cell r="AL9">
            <v>1.5</v>
          </cell>
          <cell r="AM9">
            <v>1.61</v>
          </cell>
          <cell r="AN9">
            <v>1.88</v>
          </cell>
          <cell r="AO9">
            <v>2.02</v>
          </cell>
          <cell r="AP9">
            <v>1.79</v>
          </cell>
          <cell r="AQ9">
            <v>1.9</v>
          </cell>
          <cell r="AR9">
            <v>2.14</v>
          </cell>
          <cell r="AS9">
            <v>2.0099999999999998</v>
          </cell>
          <cell r="AT9">
            <v>2.0499999999999998</v>
          </cell>
          <cell r="AU9">
            <v>2.1800000000000002</v>
          </cell>
          <cell r="AV9">
            <v>2.14</v>
          </cell>
          <cell r="AW9">
            <v>1.67</v>
          </cell>
          <cell r="AX9">
            <v>1.69</v>
          </cell>
          <cell r="AY9">
            <v>2.5</v>
          </cell>
          <cell r="AZ9">
            <v>3.6</v>
          </cell>
          <cell r="BA9">
            <v>4.2</v>
          </cell>
          <cell r="BB9">
            <v>2.77</v>
          </cell>
          <cell r="BC9">
            <v>1.63</v>
          </cell>
          <cell r="BD9">
            <v>1.71</v>
          </cell>
          <cell r="BE9">
            <v>1.96</v>
          </cell>
          <cell r="BF9">
            <v>2.13</v>
          </cell>
          <cell r="BG9">
            <v>2.0099999999999998</v>
          </cell>
          <cell r="BH9">
            <v>2.06</v>
          </cell>
          <cell r="BI9">
            <v>2.42</v>
          </cell>
          <cell r="BJ9">
            <v>3</v>
          </cell>
          <cell r="BK9">
            <v>3.16</v>
          </cell>
          <cell r="BL9">
            <v>2.35</v>
          </cell>
          <cell r="BM9">
            <v>2.16</v>
          </cell>
          <cell r="BN9">
            <v>1.92</v>
          </cell>
          <cell r="BO9">
            <v>2.15</v>
          </cell>
          <cell r="BP9">
            <v>2.19</v>
          </cell>
          <cell r="BQ9">
            <v>2.1800000000000002</v>
          </cell>
          <cell r="BR9">
            <v>1.95</v>
          </cell>
          <cell r="BS9">
            <v>2.27</v>
          </cell>
          <cell r="BT9">
            <v>1.84</v>
          </cell>
          <cell r="BU9">
            <v>1.56</v>
          </cell>
          <cell r="BV9">
            <v>1.92</v>
          </cell>
          <cell r="BW9">
            <v>1.96</v>
          </cell>
          <cell r="BX9">
            <v>2.06</v>
          </cell>
          <cell r="BY9">
            <v>1.78</v>
          </cell>
          <cell r="BZ9">
            <v>1.76</v>
          </cell>
          <cell r="CA9">
            <v>1.57</v>
          </cell>
          <cell r="CB9">
            <v>1.75</v>
          </cell>
          <cell r="CC9">
            <v>2.23</v>
          </cell>
          <cell r="CD9">
            <v>2.12</v>
          </cell>
          <cell r="CE9">
            <v>2.1800000000000002</v>
          </cell>
          <cell r="CF9">
            <v>2.5099999999999998</v>
          </cell>
          <cell r="CG9">
            <v>2.77</v>
          </cell>
        </row>
        <row r="10">
          <cell r="A10" t="str">
            <v>CG-APP</v>
          </cell>
          <cell r="B10">
            <v>7</v>
          </cell>
          <cell r="C10">
            <v>2.62</v>
          </cell>
          <cell r="D10">
            <v>2.7</v>
          </cell>
          <cell r="E10">
            <v>2.4300000000000002</v>
          </cell>
          <cell r="F10">
            <v>1.95</v>
          </cell>
          <cell r="G10">
            <v>2.17</v>
          </cell>
          <cell r="H10">
            <v>2.34</v>
          </cell>
          <cell r="I10">
            <v>2.93</v>
          </cell>
          <cell r="J10">
            <v>2.2999999999999998</v>
          </cell>
          <cell r="K10">
            <v>2.1</v>
          </cell>
          <cell r="L10">
            <v>2.2000000000000002</v>
          </cell>
          <cell r="M10">
            <v>2.52</v>
          </cell>
          <cell r="N10">
            <v>2.2000000000000002</v>
          </cell>
          <cell r="O10">
            <v>2.31</v>
          </cell>
          <cell r="P10">
            <v>2.63</v>
          </cell>
          <cell r="Q10">
            <v>2.2999999999999998</v>
          </cell>
          <cell r="R10">
            <v>2.68</v>
          </cell>
          <cell r="S10">
            <v>2.78</v>
          </cell>
          <cell r="T10">
            <v>2.2400000000000002</v>
          </cell>
          <cell r="U10">
            <v>2.2799999999999998</v>
          </cell>
          <cell r="V10">
            <v>1.98</v>
          </cell>
          <cell r="W10">
            <v>2.06</v>
          </cell>
          <cell r="X10">
            <v>1.88</v>
          </cell>
          <cell r="Y10">
            <v>1.56</v>
          </cell>
          <cell r="Z10">
            <v>1.51</v>
          </cell>
          <cell r="AA10">
            <v>1.84</v>
          </cell>
          <cell r="AB10">
            <v>1.93</v>
          </cell>
          <cell r="AC10">
            <v>1.88</v>
          </cell>
          <cell r="AD10">
            <v>1.64</v>
          </cell>
          <cell r="AE10">
            <v>1.6</v>
          </cell>
          <cell r="AF10">
            <v>1.67</v>
          </cell>
          <cell r="AG10">
            <v>1.81</v>
          </cell>
          <cell r="AH10">
            <v>1.84</v>
          </cell>
          <cell r="AI10">
            <v>1.6</v>
          </cell>
          <cell r="AJ10">
            <v>1.46</v>
          </cell>
          <cell r="AK10">
            <v>1.67</v>
          </cell>
          <cell r="AL10">
            <v>1.76</v>
          </cell>
          <cell r="AM10">
            <v>1.95</v>
          </cell>
          <cell r="AN10">
            <v>2.5</v>
          </cell>
          <cell r="AO10">
            <v>3.7</v>
          </cell>
          <cell r="AP10">
            <v>3.67</v>
          </cell>
          <cell r="AQ10">
            <v>4.5599999999999996</v>
          </cell>
          <cell r="AR10">
            <v>3.06</v>
          </cell>
          <cell r="AS10">
            <v>2.4300000000000002</v>
          </cell>
          <cell r="AT10">
            <v>2.5299999999999998</v>
          </cell>
          <cell r="AU10">
            <v>2.86</v>
          </cell>
          <cell r="AV10">
            <v>2.5</v>
          </cell>
          <cell r="AW10">
            <v>1.93</v>
          </cell>
          <cell r="AX10">
            <v>1.99</v>
          </cell>
          <cell r="AY10">
            <v>2.94</v>
          </cell>
          <cell r="AZ10">
            <v>4.2300000000000004</v>
          </cell>
          <cell r="BA10">
            <v>4.3</v>
          </cell>
          <cell r="BB10">
            <v>3.06</v>
          </cell>
          <cell r="BC10">
            <v>1.87</v>
          </cell>
          <cell r="BD10">
            <v>2</v>
          </cell>
          <cell r="BE10">
            <v>2.31</v>
          </cell>
          <cell r="BF10">
            <v>2.46</v>
          </cell>
          <cell r="BG10">
            <v>2.29</v>
          </cell>
          <cell r="BH10">
            <v>2.31</v>
          </cell>
          <cell r="BI10">
            <v>2.69</v>
          </cell>
          <cell r="BJ10">
            <v>3.29</v>
          </cell>
          <cell r="BK10">
            <v>3.52</v>
          </cell>
          <cell r="BL10">
            <v>2.66</v>
          </cell>
          <cell r="BM10">
            <v>2.38</v>
          </cell>
          <cell r="BN10">
            <v>2.12</v>
          </cell>
          <cell r="BO10">
            <v>2.37</v>
          </cell>
          <cell r="BP10">
            <v>2.4500000000000002</v>
          </cell>
          <cell r="BQ10">
            <v>2.42</v>
          </cell>
          <cell r="BR10">
            <v>2.16</v>
          </cell>
          <cell r="BS10">
            <v>2.4700000000000002</v>
          </cell>
          <cell r="BT10">
            <v>2.0499999999999998</v>
          </cell>
          <cell r="BU10">
            <v>1.77</v>
          </cell>
          <cell r="BV10">
            <v>2.2000000000000002</v>
          </cell>
          <cell r="BW10">
            <v>2.2400000000000002</v>
          </cell>
          <cell r="BX10">
            <v>2.25</v>
          </cell>
          <cell r="BY10">
            <v>1.92</v>
          </cell>
          <cell r="BZ10">
            <v>1.92</v>
          </cell>
          <cell r="CA10">
            <v>1.73</v>
          </cell>
          <cell r="CB10">
            <v>2.0499999999999998</v>
          </cell>
          <cell r="CC10">
            <v>2.5</v>
          </cell>
          <cell r="CD10">
            <v>2.35</v>
          </cell>
          <cell r="CE10">
            <v>2.39</v>
          </cell>
          <cell r="CF10">
            <v>2.78</v>
          </cell>
          <cell r="CG10">
            <v>3.03</v>
          </cell>
        </row>
        <row r="11">
          <cell r="A11" t="str">
            <v>CGLF-LA</v>
          </cell>
          <cell r="B11">
            <v>8</v>
          </cell>
          <cell r="C11">
            <v>2.36</v>
          </cell>
          <cell r="D11">
            <v>2.2999999999999998</v>
          </cell>
          <cell r="E11">
            <v>1.93</v>
          </cell>
          <cell r="F11">
            <v>1.62</v>
          </cell>
          <cell r="G11">
            <v>1.88</v>
          </cell>
          <cell r="H11">
            <v>2.2000000000000002</v>
          </cell>
          <cell r="I11">
            <v>2.7</v>
          </cell>
          <cell r="J11">
            <v>2.1</v>
          </cell>
          <cell r="K11">
            <v>1.95</v>
          </cell>
          <cell r="L11">
            <v>2.0699999999999998</v>
          </cell>
          <cell r="M11">
            <v>2.37</v>
          </cell>
          <cell r="N11">
            <v>2.0499999999999998</v>
          </cell>
          <cell r="O11">
            <v>2.12</v>
          </cell>
          <cell r="P11">
            <v>2.38</v>
          </cell>
          <cell r="Q11">
            <v>2.0499999999999998</v>
          </cell>
          <cell r="R11">
            <v>2.36</v>
          </cell>
          <cell r="S11">
            <v>2.35</v>
          </cell>
          <cell r="T11">
            <v>1.99</v>
          </cell>
          <cell r="U11">
            <v>2.0499999999999998</v>
          </cell>
          <cell r="V11">
            <v>1.81</v>
          </cell>
          <cell r="W11">
            <v>1.94</v>
          </cell>
          <cell r="X11">
            <v>1.77</v>
          </cell>
          <cell r="Y11">
            <v>1.45</v>
          </cell>
          <cell r="Z11">
            <v>1.39</v>
          </cell>
          <cell r="AA11">
            <v>1.67</v>
          </cell>
          <cell r="AB11">
            <v>1.65</v>
          </cell>
          <cell r="AC11">
            <v>1.59</v>
          </cell>
          <cell r="AD11">
            <v>1.38</v>
          </cell>
          <cell r="AE11">
            <v>1.42</v>
          </cell>
          <cell r="AF11">
            <v>1.53</v>
          </cell>
          <cell r="AG11">
            <v>1.64</v>
          </cell>
          <cell r="AH11">
            <v>1.69</v>
          </cell>
          <cell r="AI11">
            <v>1.46</v>
          </cell>
          <cell r="AJ11">
            <v>1.34</v>
          </cell>
          <cell r="AK11">
            <v>1.54</v>
          </cell>
          <cell r="AL11">
            <v>1.62</v>
          </cell>
          <cell r="AM11">
            <v>1.75</v>
          </cell>
          <cell r="AN11">
            <v>2.2400000000000002</v>
          </cell>
          <cell r="AO11">
            <v>3.35</v>
          </cell>
          <cell r="AP11">
            <v>2.34</v>
          </cell>
          <cell r="AQ11">
            <v>2.85</v>
          </cell>
          <cell r="AR11">
            <v>2.62</v>
          </cell>
          <cell r="AS11">
            <v>2.2000000000000002</v>
          </cell>
          <cell r="AT11">
            <v>2.33</v>
          </cell>
          <cell r="AU11">
            <v>2.62</v>
          </cell>
          <cell r="AV11">
            <v>2.27</v>
          </cell>
          <cell r="AW11">
            <v>1.77</v>
          </cell>
          <cell r="AX11">
            <v>1.81</v>
          </cell>
          <cell r="AY11">
            <v>2.65</v>
          </cell>
          <cell r="AZ11">
            <v>3.82</v>
          </cell>
          <cell r="BA11">
            <v>3.94</v>
          </cell>
          <cell r="BB11">
            <v>2.89</v>
          </cell>
          <cell r="BC11">
            <v>1.74</v>
          </cell>
          <cell r="BD11">
            <v>1.8</v>
          </cell>
          <cell r="BE11">
            <v>2.1</v>
          </cell>
          <cell r="BF11">
            <v>2.27</v>
          </cell>
          <cell r="BG11">
            <v>2.13</v>
          </cell>
          <cell r="BH11">
            <v>2.15</v>
          </cell>
          <cell r="BI11">
            <v>2.5099999999999998</v>
          </cell>
          <cell r="BJ11">
            <v>3.09</v>
          </cell>
          <cell r="BK11">
            <v>3.26</v>
          </cell>
          <cell r="BL11">
            <v>2.5</v>
          </cell>
          <cell r="BM11">
            <v>2.2400000000000002</v>
          </cell>
          <cell r="BN11">
            <v>1.99</v>
          </cell>
          <cell r="BO11">
            <v>2.2200000000000002</v>
          </cell>
          <cell r="BP11">
            <v>2.29</v>
          </cell>
          <cell r="BQ11">
            <v>2.25</v>
          </cell>
          <cell r="BR11">
            <v>2</v>
          </cell>
          <cell r="BS11">
            <v>2.33</v>
          </cell>
          <cell r="BT11">
            <v>1.9</v>
          </cell>
          <cell r="BU11">
            <v>1.58</v>
          </cell>
          <cell r="BV11">
            <v>2.02</v>
          </cell>
          <cell r="BW11">
            <v>1.96</v>
          </cell>
          <cell r="BX11">
            <v>2.08</v>
          </cell>
          <cell r="BY11">
            <v>1.75</v>
          </cell>
          <cell r="BZ11">
            <v>1.77</v>
          </cell>
          <cell r="CA11">
            <v>1.6</v>
          </cell>
          <cell r="CB11">
            <v>1.86</v>
          </cell>
          <cell r="CC11">
            <v>2.33</v>
          </cell>
          <cell r="CD11">
            <v>2.2000000000000002</v>
          </cell>
          <cell r="CE11">
            <v>2.2400000000000002</v>
          </cell>
          <cell r="CF11">
            <v>2.58</v>
          </cell>
          <cell r="CG11">
            <v>2.86</v>
          </cell>
        </row>
        <row r="12">
          <cell r="A12" t="str">
            <v>CGLF-OFS</v>
          </cell>
          <cell r="B12">
            <v>9</v>
          </cell>
          <cell r="C12">
            <v>2.23</v>
          </cell>
          <cell r="E12">
            <v>1.83</v>
          </cell>
          <cell r="F12">
            <v>1.54</v>
          </cell>
          <cell r="G12">
            <v>1.79</v>
          </cell>
          <cell r="H12">
            <v>2.1</v>
          </cell>
          <cell r="I12">
            <v>2.6</v>
          </cell>
          <cell r="J12">
            <v>2.0299999999999998</v>
          </cell>
          <cell r="K12">
            <v>1.86</v>
          </cell>
          <cell r="L12">
            <v>1.98</v>
          </cell>
          <cell r="M12">
            <v>2.2799999999999998</v>
          </cell>
          <cell r="N12">
            <v>1.97</v>
          </cell>
          <cell r="O12">
            <v>2.0299999999999998</v>
          </cell>
          <cell r="P12">
            <v>2.2999999999999998</v>
          </cell>
          <cell r="Q12">
            <v>2.02</v>
          </cell>
          <cell r="S12">
            <v>2.2799999999999998</v>
          </cell>
          <cell r="T12">
            <v>1.91</v>
          </cell>
          <cell r="V12">
            <v>1.73</v>
          </cell>
          <cell r="W12">
            <v>1.87</v>
          </cell>
          <cell r="X12">
            <v>1.71</v>
          </cell>
          <cell r="Z12">
            <v>1.29</v>
          </cell>
          <cell r="AB12">
            <v>1.56</v>
          </cell>
          <cell r="AC12">
            <v>1.49</v>
          </cell>
          <cell r="AD12">
            <v>1.3</v>
          </cell>
          <cell r="AE12">
            <v>1.35</v>
          </cell>
          <cell r="AF12">
            <v>1.44</v>
          </cell>
          <cell r="AG12">
            <v>1.58</v>
          </cell>
          <cell r="AH12">
            <v>1.6</v>
          </cell>
          <cell r="BB12">
            <v>2.79</v>
          </cell>
          <cell r="BC12">
            <v>1.66</v>
          </cell>
          <cell r="BD12">
            <v>1.81</v>
          </cell>
          <cell r="BE12">
            <v>2.0299999999999998</v>
          </cell>
          <cell r="BF12">
            <v>2.17</v>
          </cell>
          <cell r="BG12">
            <v>2.1800000000000002</v>
          </cell>
          <cell r="BH12">
            <v>2.19</v>
          </cell>
        </row>
        <row r="13">
          <cell r="A13" t="str">
            <v>CHIC</v>
          </cell>
          <cell r="B13">
            <v>10</v>
          </cell>
          <cell r="C13">
            <v>2.46</v>
          </cell>
          <cell r="D13">
            <v>2.4</v>
          </cell>
          <cell r="E13">
            <v>2.2200000000000002</v>
          </cell>
          <cell r="F13">
            <v>1.83</v>
          </cell>
          <cell r="G13">
            <v>2.11</v>
          </cell>
          <cell r="H13">
            <v>2.41</v>
          </cell>
          <cell r="I13">
            <v>2.92</v>
          </cell>
          <cell r="J13">
            <v>2.15</v>
          </cell>
          <cell r="K13">
            <v>2.14</v>
          </cell>
          <cell r="L13">
            <v>2.2799999999999998</v>
          </cell>
          <cell r="M13">
            <v>2.5299999999999998</v>
          </cell>
          <cell r="N13">
            <v>2.31</v>
          </cell>
          <cell r="O13">
            <v>2.29</v>
          </cell>
          <cell r="P13">
            <v>2.5299999999999998</v>
          </cell>
          <cell r="Q13">
            <v>2.21</v>
          </cell>
          <cell r="R13">
            <v>2.5499999999999998</v>
          </cell>
          <cell r="S13">
            <v>2.61</v>
          </cell>
          <cell r="T13">
            <v>2.17</v>
          </cell>
          <cell r="U13">
            <v>2.1800000000000002</v>
          </cell>
          <cell r="V13">
            <v>1.92</v>
          </cell>
          <cell r="W13">
            <v>2.0299999999999998</v>
          </cell>
          <cell r="X13">
            <v>1.87</v>
          </cell>
          <cell r="Y13">
            <v>1.59</v>
          </cell>
          <cell r="Z13">
            <v>1.51</v>
          </cell>
          <cell r="AA13">
            <v>1.81</v>
          </cell>
          <cell r="AB13">
            <v>1.81</v>
          </cell>
          <cell r="AC13">
            <v>1.73</v>
          </cell>
          <cell r="AD13">
            <v>1.5</v>
          </cell>
          <cell r="AE13">
            <v>1.47</v>
          </cell>
          <cell r="AF13">
            <v>1.56</v>
          </cell>
          <cell r="AG13">
            <v>1.7</v>
          </cell>
          <cell r="AH13">
            <v>1.75</v>
          </cell>
          <cell r="AI13">
            <v>1.55</v>
          </cell>
          <cell r="AJ13">
            <v>1.41</v>
          </cell>
          <cell r="AK13">
            <v>1.61</v>
          </cell>
          <cell r="AL13">
            <v>1.72</v>
          </cell>
          <cell r="AM13">
            <v>1.91</v>
          </cell>
          <cell r="AN13">
            <v>2.41</v>
          </cell>
          <cell r="AO13">
            <v>3.31</v>
          </cell>
          <cell r="AP13">
            <v>2.64</v>
          </cell>
          <cell r="AQ13">
            <v>3.2</v>
          </cell>
          <cell r="AR13">
            <v>2.81</v>
          </cell>
          <cell r="AS13">
            <v>2.2999999999999998</v>
          </cell>
          <cell r="AT13">
            <v>2.4</v>
          </cell>
          <cell r="AU13">
            <v>2.64</v>
          </cell>
          <cell r="AV13">
            <v>2.36</v>
          </cell>
          <cell r="AW13">
            <v>1.94</v>
          </cell>
          <cell r="AX13">
            <v>1.98</v>
          </cell>
          <cell r="AY13">
            <v>2.95</v>
          </cell>
          <cell r="AZ13">
            <v>4.25</v>
          </cell>
          <cell r="BA13">
            <v>4.53</v>
          </cell>
          <cell r="BB13">
            <v>3.36</v>
          </cell>
          <cell r="BC13">
            <v>1.91</v>
          </cell>
          <cell r="BD13">
            <v>1.95</v>
          </cell>
          <cell r="BE13">
            <v>2.19</v>
          </cell>
          <cell r="BF13">
            <v>2.38</v>
          </cell>
          <cell r="BG13">
            <v>2.2400000000000002</v>
          </cell>
          <cell r="BH13">
            <v>2.23</v>
          </cell>
          <cell r="BI13">
            <v>2.63</v>
          </cell>
          <cell r="BJ13">
            <v>3.34</v>
          </cell>
          <cell r="BK13">
            <v>3.55</v>
          </cell>
          <cell r="BL13">
            <v>3.55</v>
          </cell>
          <cell r="BM13">
            <v>2.37</v>
          </cell>
          <cell r="BN13">
            <v>2.09</v>
          </cell>
          <cell r="BO13">
            <v>2.2999999999999998</v>
          </cell>
          <cell r="BP13">
            <v>2.38</v>
          </cell>
          <cell r="BQ13">
            <v>2.36</v>
          </cell>
          <cell r="BR13">
            <v>2.13</v>
          </cell>
          <cell r="BS13">
            <v>2.42</v>
          </cell>
          <cell r="CG13">
            <v>2.96</v>
          </cell>
        </row>
        <row r="14">
          <cell r="A14" t="str">
            <v>CIG-ROCK</v>
          </cell>
          <cell r="B14">
            <v>11</v>
          </cell>
          <cell r="C14">
            <v>1.83</v>
          </cell>
          <cell r="D14">
            <v>1.88</v>
          </cell>
          <cell r="E14">
            <v>2.15</v>
          </cell>
          <cell r="F14">
            <v>1.6</v>
          </cell>
          <cell r="G14">
            <v>1.73</v>
          </cell>
          <cell r="H14">
            <v>1.8</v>
          </cell>
          <cell r="I14">
            <v>2.2000000000000002</v>
          </cell>
          <cell r="J14">
            <v>1.56</v>
          </cell>
          <cell r="K14">
            <v>1.5</v>
          </cell>
          <cell r="L14">
            <v>1.65</v>
          </cell>
          <cell r="M14">
            <v>1.88</v>
          </cell>
          <cell r="N14">
            <v>1.71</v>
          </cell>
          <cell r="O14">
            <v>1.7</v>
          </cell>
          <cell r="P14">
            <v>2.23</v>
          </cell>
          <cell r="Q14">
            <v>1.88</v>
          </cell>
          <cell r="R14">
            <v>1.76</v>
          </cell>
          <cell r="S14">
            <v>1.86</v>
          </cell>
          <cell r="T14">
            <v>1.52</v>
          </cell>
          <cell r="U14">
            <v>1.55</v>
          </cell>
          <cell r="V14">
            <v>1.32</v>
          </cell>
          <cell r="W14">
            <v>1.39</v>
          </cell>
          <cell r="X14">
            <v>1.39</v>
          </cell>
          <cell r="Y14">
            <v>1.33</v>
          </cell>
          <cell r="Z14">
            <v>1.1599999999999999</v>
          </cell>
          <cell r="AA14">
            <v>1.44</v>
          </cell>
          <cell r="AB14">
            <v>1.57</v>
          </cell>
          <cell r="AC14">
            <v>1.35</v>
          </cell>
          <cell r="AD14">
            <v>1.06</v>
          </cell>
          <cell r="AE14">
            <v>1.05</v>
          </cell>
          <cell r="AF14">
            <v>1.05</v>
          </cell>
          <cell r="AG14">
            <v>1.07</v>
          </cell>
          <cell r="AH14">
            <v>1.1399999999999999</v>
          </cell>
          <cell r="AI14">
            <v>0.98</v>
          </cell>
          <cell r="AJ14">
            <v>0.84</v>
          </cell>
          <cell r="AK14">
            <v>0.95</v>
          </cell>
          <cell r="AL14">
            <v>1.04</v>
          </cell>
          <cell r="AM14">
            <v>1.25</v>
          </cell>
          <cell r="AN14">
            <v>1.31</v>
          </cell>
          <cell r="AO14">
            <v>1.26</v>
          </cell>
          <cell r="AP14">
            <v>1.1599999999999999</v>
          </cell>
          <cell r="AQ14">
            <v>1.1599999999999999</v>
          </cell>
          <cell r="AR14">
            <v>1.06</v>
          </cell>
          <cell r="AS14">
            <v>1.06</v>
          </cell>
          <cell r="AT14">
            <v>1.06</v>
          </cell>
          <cell r="AU14">
            <v>1.18</v>
          </cell>
          <cell r="AV14">
            <v>1.21</v>
          </cell>
          <cell r="AW14">
            <v>1.19</v>
          </cell>
          <cell r="AX14">
            <v>1.25</v>
          </cell>
          <cell r="AY14">
            <v>2.25</v>
          </cell>
          <cell r="AZ14">
            <v>3.5</v>
          </cell>
          <cell r="BA14">
            <v>4.18</v>
          </cell>
          <cell r="BB14">
            <v>2.5299999999999998</v>
          </cell>
          <cell r="BC14">
            <v>1.39</v>
          </cell>
          <cell r="BD14">
            <v>1.45</v>
          </cell>
          <cell r="BE14">
            <v>1.63</v>
          </cell>
          <cell r="BF14">
            <v>1.43</v>
          </cell>
          <cell r="BG14">
            <v>1.44</v>
          </cell>
          <cell r="BH14">
            <v>1.38</v>
          </cell>
          <cell r="BI14">
            <v>1.47</v>
          </cell>
          <cell r="BJ14">
            <v>2.1</v>
          </cell>
          <cell r="BK14">
            <v>2.99</v>
          </cell>
          <cell r="BL14">
            <v>1.94</v>
          </cell>
          <cell r="BM14">
            <v>2.04</v>
          </cell>
          <cell r="BN14">
            <v>1.7</v>
          </cell>
          <cell r="BO14">
            <v>1.88</v>
          </cell>
          <cell r="BP14">
            <v>1.9</v>
          </cell>
          <cell r="BQ14">
            <v>1.96</v>
          </cell>
          <cell r="BR14">
            <v>1.64</v>
          </cell>
          <cell r="BS14">
            <v>1.61</v>
          </cell>
          <cell r="BT14">
            <v>1.73</v>
          </cell>
          <cell r="BU14">
            <v>1.55</v>
          </cell>
          <cell r="BV14">
            <v>1.65</v>
          </cell>
          <cell r="BW14">
            <v>1.97</v>
          </cell>
          <cell r="BX14">
            <v>1.96</v>
          </cell>
          <cell r="BY14">
            <v>1.75</v>
          </cell>
          <cell r="BZ14">
            <v>1.61</v>
          </cell>
          <cell r="CA14">
            <v>1.49</v>
          </cell>
          <cell r="CB14">
            <v>1.53</v>
          </cell>
          <cell r="CC14">
            <v>1.98</v>
          </cell>
          <cell r="CD14">
            <v>1.93</v>
          </cell>
          <cell r="CE14">
            <v>1.97</v>
          </cell>
          <cell r="CF14">
            <v>2.16</v>
          </cell>
          <cell r="CG14">
            <v>2.52</v>
          </cell>
        </row>
        <row r="15">
          <cell r="A15" t="str">
            <v>CNG</v>
          </cell>
          <cell r="B15">
            <v>12</v>
          </cell>
          <cell r="H15">
            <v>2.54</v>
          </cell>
          <cell r="I15">
            <v>3</v>
          </cell>
          <cell r="J15">
            <v>2.25</v>
          </cell>
          <cell r="K15">
            <v>2.13</v>
          </cell>
          <cell r="L15">
            <v>2.23</v>
          </cell>
          <cell r="M15">
            <v>2.5299999999999998</v>
          </cell>
          <cell r="N15">
            <v>2.23</v>
          </cell>
          <cell r="O15">
            <v>2.36</v>
          </cell>
          <cell r="P15">
            <v>2.68</v>
          </cell>
          <cell r="Q15">
            <v>2.33</v>
          </cell>
          <cell r="R15">
            <v>2.75</v>
          </cell>
          <cell r="S15">
            <v>2.78</v>
          </cell>
          <cell r="T15">
            <v>2.23</v>
          </cell>
          <cell r="U15">
            <v>2.29</v>
          </cell>
          <cell r="V15">
            <v>1.99</v>
          </cell>
          <cell r="W15">
            <v>2.1</v>
          </cell>
          <cell r="X15">
            <v>1.9</v>
          </cell>
          <cell r="Y15">
            <v>1.55</v>
          </cell>
          <cell r="Z15">
            <v>1.5</v>
          </cell>
          <cell r="AA15">
            <v>1.83</v>
          </cell>
          <cell r="AB15">
            <v>1.93</v>
          </cell>
          <cell r="AC15">
            <v>1.87</v>
          </cell>
          <cell r="AD15">
            <v>1.65</v>
          </cell>
          <cell r="AE15">
            <v>1.62</v>
          </cell>
          <cell r="AF15">
            <v>1.68</v>
          </cell>
          <cell r="AG15">
            <v>1.83</v>
          </cell>
          <cell r="AH15">
            <v>1.86</v>
          </cell>
          <cell r="AI15">
            <v>1.62</v>
          </cell>
          <cell r="AJ15">
            <v>1.49</v>
          </cell>
          <cell r="AK15">
            <v>1.68</v>
          </cell>
          <cell r="AL15">
            <v>1.77</v>
          </cell>
          <cell r="AM15">
            <v>1.97</v>
          </cell>
          <cell r="AN15">
            <v>2.5299999999999998</v>
          </cell>
          <cell r="AO15">
            <v>3.8</v>
          </cell>
          <cell r="AP15">
            <v>3.67</v>
          </cell>
          <cell r="AQ15">
            <v>4.95</v>
          </cell>
          <cell r="AR15">
            <v>3.21</v>
          </cell>
          <cell r="AS15">
            <v>2.4300000000000002</v>
          </cell>
          <cell r="AT15">
            <v>2.54</v>
          </cell>
          <cell r="AU15">
            <v>2.86</v>
          </cell>
          <cell r="AV15">
            <v>2.5</v>
          </cell>
          <cell r="AW15">
            <v>1.94</v>
          </cell>
          <cell r="AX15">
            <v>1.99</v>
          </cell>
          <cell r="AY15">
            <v>3.05</v>
          </cell>
          <cell r="AZ15">
            <v>4.5</v>
          </cell>
          <cell r="BA15">
            <v>4.5</v>
          </cell>
          <cell r="BB15">
            <v>3.2</v>
          </cell>
          <cell r="BC15">
            <v>1.93</v>
          </cell>
          <cell r="BD15">
            <v>2.02</v>
          </cell>
          <cell r="BE15">
            <v>2.33</v>
          </cell>
          <cell r="BF15">
            <v>2.46</v>
          </cell>
          <cell r="BG15">
            <v>2.31</v>
          </cell>
          <cell r="BH15">
            <v>2.33</v>
          </cell>
          <cell r="BI15">
            <v>2.71</v>
          </cell>
          <cell r="BJ15">
            <v>3.32</v>
          </cell>
          <cell r="BK15">
            <v>3.59</v>
          </cell>
          <cell r="BL15">
            <v>2.7</v>
          </cell>
          <cell r="BM15">
            <v>2.44</v>
          </cell>
          <cell r="BN15">
            <v>2.15</v>
          </cell>
          <cell r="BO15">
            <v>2.4</v>
          </cell>
          <cell r="BP15">
            <v>2.5</v>
          </cell>
          <cell r="BQ15">
            <v>2.46</v>
          </cell>
          <cell r="BR15">
            <v>2.19</v>
          </cell>
          <cell r="BS15">
            <v>2.4700000000000002</v>
          </cell>
          <cell r="BT15">
            <v>2.06</v>
          </cell>
          <cell r="BU15">
            <v>1.79</v>
          </cell>
          <cell r="BV15">
            <v>2.2200000000000002</v>
          </cell>
          <cell r="BW15">
            <v>2.25</v>
          </cell>
          <cell r="BX15">
            <v>2.23</v>
          </cell>
          <cell r="BY15">
            <v>1.95</v>
          </cell>
          <cell r="BZ15">
            <v>1.95</v>
          </cell>
          <cell r="CA15">
            <v>1.78</v>
          </cell>
          <cell r="CB15">
            <v>2.09</v>
          </cell>
          <cell r="CC15">
            <v>2.5099999999999998</v>
          </cell>
          <cell r="CD15">
            <v>2.35</v>
          </cell>
          <cell r="CE15">
            <v>2.42</v>
          </cell>
          <cell r="CF15">
            <v>2.8</v>
          </cell>
          <cell r="CG15">
            <v>3.07</v>
          </cell>
        </row>
        <row r="16">
          <cell r="A16" t="str">
            <v>EPNG-PERM</v>
          </cell>
          <cell r="B16">
            <v>13</v>
          </cell>
          <cell r="C16">
            <v>2.12</v>
          </cell>
          <cell r="D16">
            <v>2.04</v>
          </cell>
          <cell r="E16">
            <v>2.04</v>
          </cell>
          <cell r="F16">
            <v>1.57</v>
          </cell>
          <cell r="G16">
            <v>1.83</v>
          </cell>
          <cell r="H16">
            <v>1.89</v>
          </cell>
          <cell r="I16">
            <v>2.2000000000000002</v>
          </cell>
          <cell r="J16">
            <v>1.65</v>
          </cell>
          <cell r="K16">
            <v>1.78</v>
          </cell>
          <cell r="L16">
            <v>1.88</v>
          </cell>
          <cell r="M16">
            <v>2.0299999999999998</v>
          </cell>
          <cell r="N16">
            <v>1.77</v>
          </cell>
          <cell r="O16">
            <v>1.77</v>
          </cell>
          <cell r="P16">
            <v>2.25</v>
          </cell>
          <cell r="Q16">
            <v>1.93</v>
          </cell>
          <cell r="R16">
            <v>1.88</v>
          </cell>
          <cell r="S16">
            <v>2</v>
          </cell>
          <cell r="T16">
            <v>1.75</v>
          </cell>
          <cell r="U16">
            <v>1.75</v>
          </cell>
          <cell r="V16">
            <v>1.5</v>
          </cell>
          <cell r="W16">
            <v>1.65</v>
          </cell>
          <cell r="X16">
            <v>1.57</v>
          </cell>
          <cell r="Y16">
            <v>1.44</v>
          </cell>
          <cell r="Z16">
            <v>1.22</v>
          </cell>
          <cell r="AA16">
            <v>1.47</v>
          </cell>
          <cell r="AB16">
            <v>1.64</v>
          </cell>
          <cell r="AC16">
            <v>1.46</v>
          </cell>
          <cell r="AD16">
            <v>1.17</v>
          </cell>
          <cell r="AE16">
            <v>1.17</v>
          </cell>
          <cell r="AF16">
            <v>1.25</v>
          </cell>
          <cell r="AG16">
            <v>1.35</v>
          </cell>
          <cell r="AH16">
            <v>1.38</v>
          </cell>
          <cell r="AI16">
            <v>1.19</v>
          </cell>
          <cell r="AJ16">
            <v>1.18</v>
          </cell>
          <cell r="AK16">
            <v>1.36</v>
          </cell>
          <cell r="AL16">
            <v>1.41</v>
          </cell>
          <cell r="AM16">
            <v>1.54</v>
          </cell>
          <cell r="AN16">
            <v>1.74</v>
          </cell>
          <cell r="AO16">
            <v>1.92</v>
          </cell>
          <cell r="AP16">
            <v>1.68</v>
          </cell>
          <cell r="AQ16">
            <v>1.75</v>
          </cell>
          <cell r="AR16">
            <v>2.0099999999999998</v>
          </cell>
          <cell r="AS16">
            <v>1.95</v>
          </cell>
          <cell r="AT16">
            <v>2.0099999999999998</v>
          </cell>
          <cell r="AU16">
            <v>2.09</v>
          </cell>
          <cell r="AV16">
            <v>2.0699999999999998</v>
          </cell>
          <cell r="AW16">
            <v>1.59</v>
          </cell>
          <cell r="AX16">
            <v>1.64</v>
          </cell>
          <cell r="AY16">
            <v>2.48</v>
          </cell>
          <cell r="AZ16">
            <v>3.59</v>
          </cell>
          <cell r="BA16">
            <v>4.0999999999999996</v>
          </cell>
          <cell r="BB16">
            <v>2.5499999999999998</v>
          </cell>
          <cell r="BC16">
            <v>1.54</v>
          </cell>
          <cell r="BD16">
            <v>1.63</v>
          </cell>
          <cell r="BE16">
            <v>1.91</v>
          </cell>
          <cell r="BF16">
            <v>2.0699999999999998</v>
          </cell>
          <cell r="BG16">
            <v>2</v>
          </cell>
          <cell r="BH16">
            <v>2.0499999999999998</v>
          </cell>
          <cell r="BI16">
            <v>2.36</v>
          </cell>
          <cell r="BJ16">
            <v>2.9</v>
          </cell>
          <cell r="BK16">
            <v>3.18</v>
          </cell>
          <cell r="BL16">
            <v>2.21</v>
          </cell>
          <cell r="BM16">
            <v>2.08</v>
          </cell>
          <cell r="BN16">
            <v>1.84</v>
          </cell>
          <cell r="BO16">
            <v>2.04</v>
          </cell>
          <cell r="BP16">
            <v>2.12</v>
          </cell>
          <cell r="BQ16">
            <v>2.1</v>
          </cell>
          <cell r="BR16">
            <v>1.86</v>
          </cell>
          <cell r="BS16">
            <v>2.1800000000000002</v>
          </cell>
          <cell r="BT16">
            <v>1.9</v>
          </cell>
          <cell r="BU16">
            <v>1.59</v>
          </cell>
          <cell r="BV16">
            <v>1.82</v>
          </cell>
          <cell r="BW16">
            <v>1.92</v>
          </cell>
          <cell r="BX16">
            <v>1.99</v>
          </cell>
          <cell r="BY16">
            <v>1.73</v>
          </cell>
          <cell r="BZ16">
            <v>1.66</v>
          </cell>
          <cell r="CA16">
            <v>1.54</v>
          </cell>
          <cell r="CB16">
            <v>1.66</v>
          </cell>
          <cell r="CC16">
            <v>2.16</v>
          </cell>
          <cell r="CD16">
            <v>2.08</v>
          </cell>
          <cell r="CE16">
            <v>2.17</v>
          </cell>
          <cell r="CF16">
            <v>2.46</v>
          </cell>
          <cell r="CG16">
            <v>2.78</v>
          </cell>
        </row>
        <row r="17">
          <cell r="A17" t="str">
            <v>EPNG-SJ</v>
          </cell>
          <cell r="B17">
            <v>14</v>
          </cell>
          <cell r="C17">
            <v>2.11</v>
          </cell>
          <cell r="D17">
            <v>2.04</v>
          </cell>
          <cell r="E17">
            <v>2.1</v>
          </cell>
          <cell r="F17">
            <v>1.58</v>
          </cell>
          <cell r="G17">
            <v>1.84</v>
          </cell>
          <cell r="H17">
            <v>1.89</v>
          </cell>
          <cell r="I17">
            <v>2.2000000000000002</v>
          </cell>
          <cell r="J17">
            <v>1.65</v>
          </cell>
          <cell r="K17">
            <v>1.76</v>
          </cell>
          <cell r="L17">
            <v>1.84</v>
          </cell>
          <cell r="M17">
            <v>2.0099999999999998</v>
          </cell>
          <cell r="N17">
            <v>1.76</v>
          </cell>
          <cell r="O17">
            <v>1.76</v>
          </cell>
          <cell r="P17">
            <v>2.2400000000000002</v>
          </cell>
          <cell r="Q17">
            <v>1.94</v>
          </cell>
          <cell r="R17">
            <v>1.82</v>
          </cell>
          <cell r="S17">
            <v>1.98</v>
          </cell>
          <cell r="T17">
            <v>1.73</v>
          </cell>
          <cell r="U17">
            <v>1.74</v>
          </cell>
          <cell r="V17">
            <v>1.48</v>
          </cell>
          <cell r="W17">
            <v>1.58</v>
          </cell>
          <cell r="X17">
            <v>1.54</v>
          </cell>
          <cell r="Y17">
            <v>1.43</v>
          </cell>
          <cell r="Z17">
            <v>1.2</v>
          </cell>
          <cell r="AA17">
            <v>1.46</v>
          </cell>
          <cell r="AB17">
            <v>1.63</v>
          </cell>
          <cell r="AC17">
            <v>1.45</v>
          </cell>
          <cell r="AD17">
            <v>1.0900000000000001</v>
          </cell>
          <cell r="AE17">
            <v>1.08</v>
          </cell>
          <cell r="AF17">
            <v>1.0900000000000001</v>
          </cell>
          <cell r="AG17">
            <v>1.17</v>
          </cell>
          <cell r="AH17">
            <v>1.17</v>
          </cell>
          <cell r="AI17">
            <v>1.05</v>
          </cell>
          <cell r="AJ17">
            <v>1.02</v>
          </cell>
          <cell r="AK17">
            <v>1.19</v>
          </cell>
          <cell r="AL17">
            <v>1.24</v>
          </cell>
          <cell r="AM17">
            <v>1.25</v>
          </cell>
          <cell r="AN17">
            <v>1.34</v>
          </cell>
          <cell r="AO17">
            <v>1.39</v>
          </cell>
          <cell r="AP17">
            <v>1.26</v>
          </cell>
          <cell r="AQ17">
            <v>1.18</v>
          </cell>
          <cell r="AR17">
            <v>1.1200000000000001</v>
          </cell>
          <cell r="AS17">
            <v>1.1200000000000001</v>
          </cell>
          <cell r="AT17">
            <v>1.18</v>
          </cell>
          <cell r="AU17">
            <v>1.47</v>
          </cell>
          <cell r="AV17">
            <v>2</v>
          </cell>
          <cell r="AW17">
            <v>1.55</v>
          </cell>
          <cell r="AX17">
            <v>1.59</v>
          </cell>
          <cell r="AY17">
            <v>2.4500000000000002</v>
          </cell>
          <cell r="AZ17">
            <v>3.55</v>
          </cell>
          <cell r="BA17">
            <v>4.05</v>
          </cell>
          <cell r="BB17">
            <v>2.48</v>
          </cell>
          <cell r="BC17">
            <v>1.46</v>
          </cell>
          <cell r="BD17">
            <v>1.59</v>
          </cell>
          <cell r="BE17">
            <v>1.87</v>
          </cell>
          <cell r="BF17">
            <v>2.02</v>
          </cell>
          <cell r="BG17">
            <v>1.97</v>
          </cell>
          <cell r="BH17">
            <v>2</v>
          </cell>
          <cell r="BI17">
            <v>2.2799999999999998</v>
          </cell>
          <cell r="BJ17">
            <v>2.83</v>
          </cell>
          <cell r="BK17">
            <v>3.11</v>
          </cell>
          <cell r="BL17">
            <v>2.16</v>
          </cell>
          <cell r="BM17">
            <v>2.06</v>
          </cell>
          <cell r="BN17">
            <v>1.76</v>
          </cell>
          <cell r="BO17">
            <v>2.0099999999999998</v>
          </cell>
          <cell r="BP17">
            <v>2.06</v>
          </cell>
          <cell r="BQ17">
            <v>2</v>
          </cell>
          <cell r="BR17">
            <v>1.75</v>
          </cell>
          <cell r="BS17">
            <v>1.86</v>
          </cell>
          <cell r="BT17">
            <v>1.81</v>
          </cell>
          <cell r="BU17">
            <v>1.55</v>
          </cell>
          <cell r="BV17">
            <v>1.67</v>
          </cell>
          <cell r="BW17">
            <v>1.88</v>
          </cell>
          <cell r="BX17">
            <v>1.96</v>
          </cell>
          <cell r="BY17">
            <v>1.72</v>
          </cell>
          <cell r="BZ17">
            <v>1.63</v>
          </cell>
          <cell r="CA17">
            <v>1.51</v>
          </cell>
          <cell r="CB17">
            <v>1.59</v>
          </cell>
          <cell r="CC17">
            <v>2.0299999999999998</v>
          </cell>
          <cell r="CD17">
            <v>1.96</v>
          </cell>
          <cell r="CE17">
            <v>2.0499999999999998</v>
          </cell>
          <cell r="CF17">
            <v>2.2599999999999998</v>
          </cell>
          <cell r="CG17">
            <v>2.63</v>
          </cell>
        </row>
        <row r="18">
          <cell r="A18" t="str">
            <v>FGT-Z1</v>
          </cell>
          <cell r="B18">
            <v>15</v>
          </cell>
          <cell r="C18">
            <v>2.36</v>
          </cell>
          <cell r="D18">
            <v>2.2000000000000002</v>
          </cell>
          <cell r="E18">
            <v>1.9</v>
          </cell>
          <cell r="F18">
            <v>1.59</v>
          </cell>
          <cell r="G18">
            <v>1.85</v>
          </cell>
          <cell r="H18">
            <v>2.15</v>
          </cell>
          <cell r="I18">
            <v>2.68</v>
          </cell>
          <cell r="J18">
            <v>2.13</v>
          </cell>
          <cell r="K18">
            <v>1.89</v>
          </cell>
          <cell r="L18">
            <v>2.0299999999999998</v>
          </cell>
          <cell r="M18">
            <v>2.34</v>
          </cell>
          <cell r="N18">
            <v>2</v>
          </cell>
          <cell r="O18">
            <v>2.0499999999999998</v>
          </cell>
          <cell r="P18">
            <v>2.2999999999999998</v>
          </cell>
          <cell r="Q18">
            <v>2.0299999999999998</v>
          </cell>
          <cell r="R18">
            <v>2.25</v>
          </cell>
          <cell r="S18">
            <v>2.2000000000000002</v>
          </cell>
          <cell r="T18">
            <v>1.88</v>
          </cell>
          <cell r="U18">
            <v>1.98</v>
          </cell>
          <cell r="V18">
            <v>1.74</v>
          </cell>
          <cell r="W18">
            <v>1.88</v>
          </cell>
          <cell r="X18">
            <v>1.71</v>
          </cell>
          <cell r="Y18">
            <v>1.54</v>
          </cell>
          <cell r="Z18">
            <v>1.36</v>
          </cell>
          <cell r="AA18">
            <v>1.57</v>
          </cell>
          <cell r="AB18">
            <v>1.61</v>
          </cell>
          <cell r="AC18">
            <v>1.54</v>
          </cell>
          <cell r="AD18">
            <v>1.34</v>
          </cell>
          <cell r="AE18">
            <v>1.36</v>
          </cell>
          <cell r="AF18">
            <v>1.49</v>
          </cell>
          <cell r="AG18">
            <v>1.6</v>
          </cell>
          <cell r="AH18">
            <v>1.65</v>
          </cell>
          <cell r="AI18">
            <v>1.44</v>
          </cell>
          <cell r="AJ18">
            <v>1.31</v>
          </cell>
          <cell r="AK18">
            <v>1.48</v>
          </cell>
          <cell r="AL18">
            <v>1.56</v>
          </cell>
          <cell r="AM18">
            <v>1.7</v>
          </cell>
          <cell r="AN18">
            <v>2.1</v>
          </cell>
          <cell r="AO18">
            <v>2.1800000000000002</v>
          </cell>
          <cell r="AP18">
            <v>1.87</v>
          </cell>
          <cell r="AQ18">
            <v>2.0299999999999998</v>
          </cell>
          <cell r="AR18">
            <v>2.2599999999999998</v>
          </cell>
          <cell r="AS18">
            <v>2.15</v>
          </cell>
          <cell r="AT18">
            <v>2.25</v>
          </cell>
          <cell r="AU18">
            <v>2.5299999999999998</v>
          </cell>
          <cell r="AV18">
            <v>2.25</v>
          </cell>
          <cell r="AW18">
            <v>1.75</v>
          </cell>
          <cell r="AX18">
            <v>1.75</v>
          </cell>
          <cell r="AY18">
            <v>2.54</v>
          </cell>
          <cell r="AZ18">
            <v>3.72</v>
          </cell>
          <cell r="BA18">
            <v>3.98</v>
          </cell>
          <cell r="BB18">
            <v>2.8</v>
          </cell>
          <cell r="BC18">
            <v>1.69</v>
          </cell>
          <cell r="BD18">
            <v>1.74</v>
          </cell>
          <cell r="BE18">
            <v>2.06</v>
          </cell>
          <cell r="BF18">
            <v>2.21</v>
          </cell>
          <cell r="BG18">
            <v>2.12</v>
          </cell>
          <cell r="BH18">
            <v>2.14</v>
          </cell>
          <cell r="BI18">
            <v>2.5099999999999998</v>
          </cell>
          <cell r="BJ18">
            <v>3.1</v>
          </cell>
          <cell r="BK18">
            <v>3.2</v>
          </cell>
          <cell r="BL18">
            <v>2.4500000000000002</v>
          </cell>
          <cell r="BM18">
            <v>2.21</v>
          </cell>
          <cell r="BN18">
            <v>1.94</v>
          </cell>
          <cell r="BO18">
            <v>2.19</v>
          </cell>
          <cell r="BP18">
            <v>2.25</v>
          </cell>
          <cell r="BQ18">
            <v>2.2000000000000002</v>
          </cell>
          <cell r="BR18">
            <v>1.98</v>
          </cell>
          <cell r="BS18">
            <v>2.31</v>
          </cell>
          <cell r="BT18">
            <v>1.86</v>
          </cell>
          <cell r="BU18">
            <v>1.57</v>
          </cell>
          <cell r="BV18">
            <v>1.98</v>
          </cell>
          <cell r="BW18">
            <v>1.92</v>
          </cell>
          <cell r="BX18">
            <v>2.0699999999999998</v>
          </cell>
          <cell r="BY18">
            <v>1.73</v>
          </cell>
          <cell r="BZ18">
            <v>1.74</v>
          </cell>
          <cell r="CA18">
            <v>1.59</v>
          </cell>
          <cell r="CB18">
            <v>1.84</v>
          </cell>
          <cell r="CC18">
            <v>2.2999999999999998</v>
          </cell>
          <cell r="CD18">
            <v>2.2000000000000002</v>
          </cell>
          <cell r="CE18">
            <v>2.2400000000000002</v>
          </cell>
          <cell r="CF18">
            <v>2.57</v>
          </cell>
          <cell r="CG18">
            <v>2.86</v>
          </cell>
        </row>
        <row r="19">
          <cell r="A19" t="str">
            <v>FGT-Z2</v>
          </cell>
          <cell r="B19">
            <v>16</v>
          </cell>
          <cell r="C19">
            <v>2.4</v>
          </cell>
          <cell r="D19">
            <v>2.25</v>
          </cell>
          <cell r="E19">
            <v>2.02</v>
          </cell>
          <cell r="F19">
            <v>1.64</v>
          </cell>
          <cell r="G19">
            <v>1.88</v>
          </cell>
          <cell r="H19">
            <v>2.2200000000000002</v>
          </cell>
          <cell r="I19">
            <v>2.73</v>
          </cell>
          <cell r="J19">
            <v>2.15</v>
          </cell>
          <cell r="K19">
            <v>1.95</v>
          </cell>
          <cell r="L19">
            <v>2.0699999999999998</v>
          </cell>
          <cell r="M19">
            <v>2.37</v>
          </cell>
          <cell r="N19">
            <v>2.0499999999999998</v>
          </cell>
          <cell r="O19">
            <v>2.11</v>
          </cell>
          <cell r="P19">
            <v>2.35</v>
          </cell>
          <cell r="Q19">
            <v>2.08</v>
          </cell>
          <cell r="R19">
            <v>2.34</v>
          </cell>
          <cell r="S19">
            <v>2.33</v>
          </cell>
          <cell r="T19">
            <v>1.93</v>
          </cell>
          <cell r="U19">
            <v>2.0499999999999998</v>
          </cell>
          <cell r="V19">
            <v>1.83</v>
          </cell>
          <cell r="W19">
            <v>1.94</v>
          </cell>
          <cell r="X19">
            <v>1.78</v>
          </cell>
          <cell r="Y19">
            <v>1.47</v>
          </cell>
          <cell r="Z19">
            <v>1.41</v>
          </cell>
          <cell r="AA19">
            <v>1.68</v>
          </cell>
          <cell r="AB19">
            <v>1.67</v>
          </cell>
          <cell r="AC19">
            <v>1.58</v>
          </cell>
          <cell r="AD19">
            <v>1.4</v>
          </cell>
          <cell r="AE19">
            <v>1.43</v>
          </cell>
          <cell r="AF19">
            <v>1.54</v>
          </cell>
          <cell r="AG19">
            <v>1.66</v>
          </cell>
          <cell r="AH19">
            <v>1.71</v>
          </cell>
          <cell r="AI19">
            <v>1.5</v>
          </cell>
          <cell r="AJ19">
            <v>1.37</v>
          </cell>
          <cell r="AK19">
            <v>1.54</v>
          </cell>
          <cell r="AL19">
            <v>1.62</v>
          </cell>
          <cell r="AM19">
            <v>1.76</v>
          </cell>
          <cell r="AN19">
            <v>2.23</v>
          </cell>
          <cell r="AO19">
            <v>3.4</v>
          </cell>
          <cell r="AP19">
            <v>2.35</v>
          </cell>
          <cell r="AQ19">
            <v>2.85</v>
          </cell>
          <cell r="AR19">
            <v>2.69</v>
          </cell>
          <cell r="AS19">
            <v>2.21</v>
          </cell>
          <cell r="AT19">
            <v>2.34</v>
          </cell>
          <cell r="AU19">
            <v>2.62</v>
          </cell>
          <cell r="AV19">
            <v>2.3199999999999998</v>
          </cell>
          <cell r="AW19">
            <v>1.81</v>
          </cell>
          <cell r="AX19">
            <v>1.82</v>
          </cell>
          <cell r="AY19">
            <v>2.56</v>
          </cell>
          <cell r="AZ19">
            <v>3.85</v>
          </cell>
          <cell r="BA19">
            <v>4.0999999999999996</v>
          </cell>
          <cell r="BB19">
            <v>2.92</v>
          </cell>
          <cell r="BC19">
            <v>1.84</v>
          </cell>
          <cell r="BD19">
            <v>1.81</v>
          </cell>
          <cell r="BE19">
            <v>2.13</v>
          </cell>
          <cell r="BF19">
            <v>2.2999999999999998</v>
          </cell>
          <cell r="BG19">
            <v>2.17</v>
          </cell>
          <cell r="BH19">
            <v>2.1800000000000002</v>
          </cell>
          <cell r="BI19">
            <v>2.54</v>
          </cell>
          <cell r="BJ19">
            <v>3.13</v>
          </cell>
          <cell r="BK19">
            <v>3.26</v>
          </cell>
          <cell r="BL19">
            <v>2.5499999999999998</v>
          </cell>
          <cell r="BM19">
            <v>2.2799999999999998</v>
          </cell>
          <cell r="BN19">
            <v>2.02</v>
          </cell>
          <cell r="BO19">
            <v>2.25</v>
          </cell>
          <cell r="BP19">
            <v>2.29</v>
          </cell>
          <cell r="BQ19">
            <v>2.25</v>
          </cell>
          <cell r="BR19">
            <v>2.0299999999999998</v>
          </cell>
          <cell r="BS19">
            <v>2.36</v>
          </cell>
          <cell r="BT19">
            <v>1.92</v>
          </cell>
          <cell r="BU19">
            <v>1.61</v>
          </cell>
          <cell r="BV19">
            <v>2.0299999999999998</v>
          </cell>
          <cell r="BW19">
            <v>1.99</v>
          </cell>
          <cell r="BX19">
            <v>2.12</v>
          </cell>
          <cell r="BY19">
            <v>1.78</v>
          </cell>
          <cell r="BZ19">
            <v>1.77</v>
          </cell>
          <cell r="CA19">
            <v>1.63</v>
          </cell>
          <cell r="CB19">
            <v>1.88</v>
          </cell>
          <cell r="CC19">
            <v>2.35</v>
          </cell>
          <cell r="CD19">
            <v>2.23</v>
          </cell>
          <cell r="CE19">
            <v>2.27</v>
          </cell>
          <cell r="CF19">
            <v>2.61</v>
          </cell>
          <cell r="CG19">
            <v>2.9</v>
          </cell>
        </row>
        <row r="20">
          <cell r="A20" t="str">
            <v>FGT-Z3</v>
          </cell>
          <cell r="B20">
            <v>17</v>
          </cell>
          <cell r="C20">
            <v>2.4700000000000002</v>
          </cell>
          <cell r="D20">
            <v>2.36</v>
          </cell>
          <cell r="E20">
            <v>2.0699999999999998</v>
          </cell>
          <cell r="F20">
            <v>1.65</v>
          </cell>
          <cell r="G20">
            <v>1.94</v>
          </cell>
          <cell r="H20">
            <v>2.2200000000000002</v>
          </cell>
          <cell r="I20">
            <v>2.8</v>
          </cell>
          <cell r="J20">
            <v>2.1800000000000002</v>
          </cell>
          <cell r="K20">
            <v>1.98</v>
          </cell>
          <cell r="L20">
            <v>2.11</v>
          </cell>
          <cell r="M20">
            <v>2.38</v>
          </cell>
          <cell r="N20">
            <v>2.1</v>
          </cell>
          <cell r="O20">
            <v>2.15</v>
          </cell>
          <cell r="P20">
            <v>2.41</v>
          </cell>
          <cell r="Q20">
            <v>2.13</v>
          </cell>
          <cell r="R20">
            <v>2.39</v>
          </cell>
          <cell r="S20">
            <v>2.39</v>
          </cell>
          <cell r="T20">
            <v>1.96</v>
          </cell>
          <cell r="U20">
            <v>2.1</v>
          </cell>
          <cell r="V20">
            <v>1.89</v>
          </cell>
          <cell r="W20">
            <v>1.98</v>
          </cell>
          <cell r="X20">
            <v>1.84</v>
          </cell>
          <cell r="Y20">
            <v>1.52</v>
          </cell>
          <cell r="Z20">
            <v>1.45</v>
          </cell>
          <cell r="AA20">
            <v>1.72</v>
          </cell>
          <cell r="AB20">
            <v>1.71</v>
          </cell>
          <cell r="AC20">
            <v>1.62</v>
          </cell>
          <cell r="AD20">
            <v>1.47</v>
          </cell>
          <cell r="AE20">
            <v>1.46</v>
          </cell>
          <cell r="AF20">
            <v>1.56</v>
          </cell>
          <cell r="AG20">
            <v>1.67</v>
          </cell>
          <cell r="AH20">
            <v>1.72</v>
          </cell>
          <cell r="AI20">
            <v>1.49</v>
          </cell>
          <cell r="AJ20">
            <v>1.37</v>
          </cell>
          <cell r="AK20">
            <v>1.55</v>
          </cell>
          <cell r="AL20">
            <v>1.62</v>
          </cell>
          <cell r="AM20">
            <v>1.76</v>
          </cell>
          <cell r="AN20">
            <v>2.2400000000000002</v>
          </cell>
          <cell r="AO20">
            <v>3.37</v>
          </cell>
          <cell r="AP20">
            <v>2.35</v>
          </cell>
          <cell r="AQ20">
            <v>2.82</v>
          </cell>
          <cell r="AR20">
            <v>2.69</v>
          </cell>
          <cell r="AS20">
            <v>2.2000000000000002</v>
          </cell>
          <cell r="AT20">
            <v>2.33</v>
          </cell>
          <cell r="AU20">
            <v>2.61</v>
          </cell>
          <cell r="AV20">
            <v>2.2999999999999998</v>
          </cell>
          <cell r="AW20">
            <v>1.79</v>
          </cell>
          <cell r="AX20">
            <v>1.8</v>
          </cell>
          <cell r="AY20">
            <v>2.6</v>
          </cell>
          <cell r="AZ20">
            <v>3.81</v>
          </cell>
          <cell r="BA20">
            <v>3.95</v>
          </cell>
          <cell r="BB20">
            <v>2.87</v>
          </cell>
          <cell r="BC20">
            <v>1.79</v>
          </cell>
          <cell r="BD20">
            <v>1.76</v>
          </cell>
          <cell r="BE20">
            <v>2.1</v>
          </cell>
          <cell r="BF20">
            <v>2.25</v>
          </cell>
          <cell r="BG20">
            <v>2.12</v>
          </cell>
          <cell r="BH20">
            <v>2.13</v>
          </cell>
          <cell r="BI20">
            <v>2.4700000000000002</v>
          </cell>
          <cell r="BJ20">
            <v>3.05</v>
          </cell>
          <cell r="BK20">
            <v>3.2</v>
          </cell>
          <cell r="BL20">
            <v>2.4900000000000002</v>
          </cell>
          <cell r="BM20">
            <v>2.23</v>
          </cell>
          <cell r="BN20">
            <v>1.96</v>
          </cell>
          <cell r="BO20">
            <v>2.19</v>
          </cell>
          <cell r="BP20">
            <v>2.27</v>
          </cell>
          <cell r="BQ20">
            <v>2.2200000000000002</v>
          </cell>
          <cell r="BR20">
            <v>1.98</v>
          </cell>
          <cell r="BS20">
            <v>2.29</v>
          </cell>
          <cell r="BT20">
            <v>1.86</v>
          </cell>
          <cell r="BU20">
            <v>1.57</v>
          </cell>
          <cell r="BV20">
            <v>1.97</v>
          </cell>
          <cell r="BW20">
            <v>1.91</v>
          </cell>
          <cell r="BX20">
            <v>2.0699999999999998</v>
          </cell>
          <cell r="BY20">
            <v>1.73</v>
          </cell>
          <cell r="BZ20">
            <v>1.74</v>
          </cell>
          <cell r="CA20">
            <v>1.6</v>
          </cell>
          <cell r="CB20">
            <v>1.85</v>
          </cell>
          <cell r="CC20">
            <v>2.2999999999999998</v>
          </cell>
          <cell r="CD20">
            <v>2.21</v>
          </cell>
          <cell r="CE20">
            <v>2.2400000000000002</v>
          </cell>
          <cell r="CF20">
            <v>2.57</v>
          </cell>
          <cell r="CG20">
            <v>2.86</v>
          </cell>
        </row>
        <row r="21">
          <cell r="A21" t="str">
            <v>HSC</v>
          </cell>
          <cell r="B21">
            <v>18</v>
          </cell>
          <cell r="C21">
            <v>2.2400000000000002</v>
          </cell>
          <cell r="D21">
            <v>2.1800000000000002</v>
          </cell>
          <cell r="E21">
            <v>1.98</v>
          </cell>
          <cell r="F21">
            <v>1.64</v>
          </cell>
          <cell r="G21">
            <v>1.93</v>
          </cell>
          <cell r="H21">
            <v>2.23</v>
          </cell>
          <cell r="I21">
            <v>2.6</v>
          </cell>
          <cell r="J21">
            <v>1.93</v>
          </cell>
          <cell r="K21">
            <v>1.97</v>
          </cell>
          <cell r="L21">
            <v>2.19</v>
          </cell>
          <cell r="M21">
            <v>2.36</v>
          </cell>
          <cell r="N21">
            <v>2.02</v>
          </cell>
          <cell r="O21">
            <v>2.12</v>
          </cell>
          <cell r="P21">
            <v>2.4</v>
          </cell>
          <cell r="Q21">
            <v>2.04</v>
          </cell>
          <cell r="R21">
            <v>2.19</v>
          </cell>
          <cell r="S21">
            <v>2.2599999999999998</v>
          </cell>
          <cell r="T21">
            <v>1.98</v>
          </cell>
          <cell r="U21">
            <v>2.0499999999999998</v>
          </cell>
          <cell r="V21">
            <v>1.77</v>
          </cell>
          <cell r="W21">
            <v>1.98</v>
          </cell>
          <cell r="X21">
            <v>1.78</v>
          </cell>
          <cell r="Y21">
            <v>1.5</v>
          </cell>
          <cell r="Z21">
            <v>1.39</v>
          </cell>
          <cell r="AA21">
            <v>1.66</v>
          </cell>
          <cell r="AB21">
            <v>1.67</v>
          </cell>
          <cell r="AC21">
            <v>1.56</v>
          </cell>
          <cell r="AD21">
            <v>1.36</v>
          </cell>
          <cell r="AE21">
            <v>1.39</v>
          </cell>
          <cell r="AF21">
            <v>1.52</v>
          </cell>
          <cell r="AG21">
            <v>1.63</v>
          </cell>
          <cell r="AH21">
            <v>1.67</v>
          </cell>
          <cell r="AI21">
            <v>1.48</v>
          </cell>
          <cell r="AJ21">
            <v>1.37</v>
          </cell>
          <cell r="AK21">
            <v>1.54</v>
          </cell>
          <cell r="AL21">
            <v>1.6</v>
          </cell>
          <cell r="AM21">
            <v>1.73</v>
          </cell>
          <cell r="AN21">
            <v>2.08</v>
          </cell>
          <cell r="AO21">
            <v>2.17</v>
          </cell>
          <cell r="AP21">
            <v>1.86</v>
          </cell>
          <cell r="AQ21">
            <v>1.99</v>
          </cell>
          <cell r="AR21">
            <v>2.29</v>
          </cell>
          <cell r="AS21">
            <v>2.19</v>
          </cell>
          <cell r="AT21">
            <v>2.31</v>
          </cell>
          <cell r="AU21">
            <v>2.58</v>
          </cell>
          <cell r="AV21">
            <v>2.2999999999999998</v>
          </cell>
          <cell r="AW21">
            <v>1.85</v>
          </cell>
          <cell r="AX21">
            <v>1.83</v>
          </cell>
          <cell r="AY21">
            <v>2.61</v>
          </cell>
          <cell r="AZ21">
            <v>3.7</v>
          </cell>
          <cell r="BA21">
            <v>3.9</v>
          </cell>
          <cell r="BB21">
            <v>2.82</v>
          </cell>
          <cell r="BC21">
            <v>1.74</v>
          </cell>
          <cell r="BD21">
            <v>1.81</v>
          </cell>
          <cell r="BE21">
            <v>2.09</v>
          </cell>
          <cell r="BF21">
            <v>2.29</v>
          </cell>
          <cell r="BG21">
            <v>2.16</v>
          </cell>
          <cell r="BH21">
            <v>2.1800000000000002</v>
          </cell>
          <cell r="BI21">
            <v>2.5</v>
          </cell>
          <cell r="BJ21">
            <v>3.11</v>
          </cell>
          <cell r="BK21">
            <v>3.27</v>
          </cell>
          <cell r="BL21">
            <v>2.4500000000000002</v>
          </cell>
          <cell r="BM21">
            <v>2.2200000000000002</v>
          </cell>
          <cell r="BN21">
            <v>2.0099999999999998</v>
          </cell>
          <cell r="BO21">
            <v>2.23</v>
          </cell>
          <cell r="BP21">
            <v>2.29</v>
          </cell>
          <cell r="BQ21">
            <v>2.27</v>
          </cell>
          <cell r="BR21">
            <v>2.0499999999999998</v>
          </cell>
          <cell r="BS21">
            <v>2.38</v>
          </cell>
          <cell r="BT21">
            <v>1.96</v>
          </cell>
          <cell r="BU21">
            <v>1.66</v>
          </cell>
          <cell r="BV21">
            <v>2.04</v>
          </cell>
          <cell r="BW21">
            <v>1.99</v>
          </cell>
          <cell r="BX21">
            <v>2.08</v>
          </cell>
          <cell r="BY21">
            <v>1.78</v>
          </cell>
          <cell r="BZ21">
            <v>1.78</v>
          </cell>
          <cell r="CA21">
            <v>1.65</v>
          </cell>
          <cell r="CB21">
            <v>1.86</v>
          </cell>
          <cell r="CC21">
            <v>2.35</v>
          </cell>
          <cell r="CD21">
            <v>2.2400000000000002</v>
          </cell>
          <cell r="CE21">
            <v>2.2799999999999998</v>
          </cell>
          <cell r="CF21">
            <v>2.62</v>
          </cell>
          <cell r="CG21">
            <v>2.91</v>
          </cell>
        </row>
        <row r="22">
          <cell r="A22" t="str">
            <v>HUB</v>
          </cell>
          <cell r="B22">
            <v>19</v>
          </cell>
          <cell r="C22">
            <v>2.2999999999999998</v>
          </cell>
          <cell r="D22">
            <v>2.2999999999999998</v>
          </cell>
          <cell r="E22">
            <v>1.95</v>
          </cell>
          <cell r="F22">
            <v>1.62</v>
          </cell>
          <cell r="G22">
            <v>1.89</v>
          </cell>
          <cell r="H22">
            <v>2.23</v>
          </cell>
          <cell r="I22">
            <v>2.69</v>
          </cell>
          <cell r="J22">
            <v>1.98</v>
          </cell>
          <cell r="K22">
            <v>1.92</v>
          </cell>
          <cell r="L22">
            <v>2.11</v>
          </cell>
          <cell r="M22">
            <v>2.37</v>
          </cell>
          <cell r="N22">
            <v>2.0099999999999998</v>
          </cell>
          <cell r="O22">
            <v>2.12</v>
          </cell>
          <cell r="P22">
            <v>2.4</v>
          </cell>
          <cell r="Q22">
            <v>2.02</v>
          </cell>
          <cell r="R22">
            <v>2.39</v>
          </cell>
          <cell r="S22">
            <v>2.38</v>
          </cell>
          <cell r="T22">
            <v>1.98</v>
          </cell>
          <cell r="U22">
            <v>2.06</v>
          </cell>
          <cell r="V22">
            <v>1.82</v>
          </cell>
          <cell r="W22">
            <v>1.97</v>
          </cell>
          <cell r="X22">
            <v>1.8</v>
          </cell>
          <cell r="Y22">
            <v>1.48</v>
          </cell>
          <cell r="Z22">
            <v>1.41</v>
          </cell>
          <cell r="AA22">
            <v>1.69</v>
          </cell>
          <cell r="AB22">
            <v>1.69</v>
          </cell>
          <cell r="AC22">
            <v>1.62</v>
          </cell>
          <cell r="AD22">
            <v>1.42</v>
          </cell>
          <cell r="AE22">
            <v>1.44</v>
          </cell>
          <cell r="AF22">
            <v>1.57</v>
          </cell>
          <cell r="AG22">
            <v>1.68</v>
          </cell>
          <cell r="AH22">
            <v>1.75</v>
          </cell>
          <cell r="AI22">
            <v>1.51</v>
          </cell>
          <cell r="AJ22">
            <v>1.38</v>
          </cell>
          <cell r="AK22">
            <v>1.58</v>
          </cell>
          <cell r="AL22">
            <v>1.65</v>
          </cell>
          <cell r="AM22">
            <v>1.78</v>
          </cell>
          <cell r="AN22">
            <v>2.2599999999999998</v>
          </cell>
          <cell r="AO22">
            <v>3.42</v>
          </cell>
          <cell r="AP22">
            <v>2.4</v>
          </cell>
          <cell r="AQ22">
            <v>2.94</v>
          </cell>
          <cell r="AR22">
            <v>2.7</v>
          </cell>
          <cell r="AS22">
            <v>2.21</v>
          </cell>
          <cell r="AT22">
            <v>2.38</v>
          </cell>
          <cell r="AU22">
            <v>2.66</v>
          </cell>
          <cell r="AV22">
            <v>2.2999999999999998</v>
          </cell>
          <cell r="AW22">
            <v>1.83</v>
          </cell>
          <cell r="AX22">
            <v>1.85</v>
          </cell>
          <cell r="AY22">
            <v>2.72</v>
          </cell>
          <cell r="AZ22">
            <v>3.9</v>
          </cell>
          <cell r="BA22">
            <v>4.09</v>
          </cell>
          <cell r="BB22">
            <v>2.96</v>
          </cell>
          <cell r="BC22">
            <v>1.78</v>
          </cell>
          <cell r="BD22">
            <v>1.85</v>
          </cell>
          <cell r="BE22">
            <v>2.15</v>
          </cell>
          <cell r="BF22">
            <v>2.31</v>
          </cell>
          <cell r="BG22">
            <v>2.16</v>
          </cell>
          <cell r="BH22">
            <v>2.19</v>
          </cell>
          <cell r="BI22">
            <v>2.57</v>
          </cell>
          <cell r="BJ22">
            <v>3.16</v>
          </cell>
          <cell r="BK22">
            <v>3.3</v>
          </cell>
          <cell r="BL22">
            <v>2.5499999999999998</v>
          </cell>
          <cell r="BM22">
            <v>2.27</v>
          </cell>
          <cell r="BN22">
            <v>2.04</v>
          </cell>
          <cell r="BO22">
            <v>2.2599999999999998</v>
          </cell>
          <cell r="BP22">
            <v>2.3199999999999998</v>
          </cell>
          <cell r="BQ22">
            <v>2.27</v>
          </cell>
          <cell r="BR22">
            <v>2.0299999999999998</v>
          </cell>
          <cell r="BS22">
            <v>2.37</v>
          </cell>
          <cell r="BT22">
            <v>1.93</v>
          </cell>
          <cell r="BU22">
            <v>1.63</v>
          </cell>
          <cell r="BV22">
            <v>2.0699999999999998</v>
          </cell>
          <cell r="BW22">
            <v>2</v>
          </cell>
          <cell r="BX22">
            <v>2.12</v>
          </cell>
          <cell r="BY22">
            <v>1.8</v>
          </cell>
          <cell r="BZ22">
            <v>1.81</v>
          </cell>
          <cell r="CA22">
            <v>1.64</v>
          </cell>
          <cell r="CB22">
            <v>1.88</v>
          </cell>
          <cell r="CC22">
            <v>2.35</v>
          </cell>
          <cell r="CD22">
            <v>2.23</v>
          </cell>
          <cell r="CE22">
            <v>2.2799999999999998</v>
          </cell>
          <cell r="CF22">
            <v>2.62</v>
          </cell>
          <cell r="CG22">
            <v>2.9</v>
          </cell>
        </row>
        <row r="23">
          <cell r="A23" t="str">
            <v>KERN</v>
          </cell>
          <cell r="B23">
            <v>20</v>
          </cell>
          <cell r="C23">
            <v>1.85</v>
          </cell>
          <cell r="D23">
            <v>1.9</v>
          </cell>
          <cell r="E23">
            <v>2.3199999999999998</v>
          </cell>
          <cell r="F23">
            <v>1.6</v>
          </cell>
          <cell r="G23">
            <v>1.78</v>
          </cell>
          <cell r="H23">
            <v>1.82</v>
          </cell>
          <cell r="I23">
            <v>2.2999999999999998</v>
          </cell>
          <cell r="J23">
            <v>1.68</v>
          </cell>
          <cell r="K23">
            <v>1.64</v>
          </cell>
          <cell r="L23">
            <v>1.69</v>
          </cell>
          <cell r="M23">
            <v>1.96</v>
          </cell>
          <cell r="N23">
            <v>1.78</v>
          </cell>
          <cell r="O23">
            <v>1.8</v>
          </cell>
          <cell r="P23">
            <v>2.33</v>
          </cell>
          <cell r="Q23">
            <v>1.97</v>
          </cell>
          <cell r="R23">
            <v>1.78</v>
          </cell>
          <cell r="S23">
            <v>1.94</v>
          </cell>
          <cell r="T23">
            <v>1.63</v>
          </cell>
          <cell r="U23">
            <v>1.64</v>
          </cell>
          <cell r="V23">
            <v>1.38</v>
          </cell>
          <cell r="W23">
            <v>1.5</v>
          </cell>
          <cell r="X23">
            <v>1.46</v>
          </cell>
          <cell r="Y23">
            <v>1.36</v>
          </cell>
          <cell r="Z23">
            <v>1.18</v>
          </cell>
          <cell r="AA23">
            <v>1.5</v>
          </cell>
          <cell r="AB23">
            <v>1.63</v>
          </cell>
          <cell r="AC23">
            <v>1.39</v>
          </cell>
          <cell r="AD23">
            <v>1.07</v>
          </cell>
          <cell r="AE23">
            <v>1.07</v>
          </cell>
          <cell r="AF23">
            <v>1.06</v>
          </cell>
          <cell r="AG23">
            <v>1.07</v>
          </cell>
          <cell r="AH23">
            <v>1.1499999999999999</v>
          </cell>
          <cell r="AI23">
            <v>1</v>
          </cell>
          <cell r="AJ23">
            <v>0.84</v>
          </cell>
          <cell r="AK23">
            <v>0.95</v>
          </cell>
          <cell r="AL23">
            <v>1.04</v>
          </cell>
          <cell r="AM23">
            <v>1.25</v>
          </cell>
          <cell r="AN23">
            <v>1.31</v>
          </cell>
          <cell r="AO23">
            <v>1.27</v>
          </cell>
          <cell r="AP23">
            <v>1.17</v>
          </cell>
          <cell r="AQ23">
            <v>1.17</v>
          </cell>
          <cell r="AR23">
            <v>1.06</v>
          </cell>
          <cell r="AS23">
            <v>1.06</v>
          </cell>
          <cell r="AT23">
            <v>1.07</v>
          </cell>
          <cell r="AU23">
            <v>1.19</v>
          </cell>
          <cell r="AV23">
            <v>1.23</v>
          </cell>
          <cell r="AW23">
            <v>1.2</v>
          </cell>
          <cell r="AX23">
            <v>1.26</v>
          </cell>
          <cell r="AY23">
            <v>2.23</v>
          </cell>
          <cell r="AZ23">
            <v>3.48</v>
          </cell>
          <cell r="BA23">
            <v>4.2300000000000004</v>
          </cell>
          <cell r="BB23">
            <v>2.5</v>
          </cell>
          <cell r="BC23">
            <v>1.39</v>
          </cell>
          <cell r="BD23">
            <v>1.44</v>
          </cell>
          <cell r="BE23">
            <v>1.64</v>
          </cell>
          <cell r="BF23">
            <v>1.47</v>
          </cell>
          <cell r="BG23">
            <v>1.43</v>
          </cell>
          <cell r="BH23">
            <v>1.37</v>
          </cell>
          <cell r="BI23">
            <v>1.48</v>
          </cell>
          <cell r="BJ23">
            <v>2.09</v>
          </cell>
          <cell r="BK23">
            <v>3</v>
          </cell>
          <cell r="BL23">
            <v>1.93</v>
          </cell>
          <cell r="BM23">
            <v>2.04</v>
          </cell>
          <cell r="BN23">
            <v>1.69</v>
          </cell>
          <cell r="BO23">
            <v>1.88</v>
          </cell>
          <cell r="BP23">
            <v>1.9</v>
          </cell>
          <cell r="BQ23">
            <v>1.97</v>
          </cell>
          <cell r="BR23">
            <v>1.65</v>
          </cell>
          <cell r="BS23">
            <v>1.62</v>
          </cell>
          <cell r="BT23">
            <v>1.73</v>
          </cell>
          <cell r="BU23">
            <v>1.59</v>
          </cell>
          <cell r="BV23">
            <v>1.64</v>
          </cell>
          <cell r="BW23">
            <v>2.0099999999999998</v>
          </cell>
          <cell r="BX23">
            <v>2</v>
          </cell>
          <cell r="BY23">
            <v>1.8</v>
          </cell>
          <cell r="BZ23">
            <v>1.64</v>
          </cell>
          <cell r="CA23">
            <v>1.51</v>
          </cell>
          <cell r="CB23">
            <v>1.54</v>
          </cell>
          <cell r="CC23">
            <v>1.99</v>
          </cell>
          <cell r="CD23">
            <v>1.94</v>
          </cell>
          <cell r="CE23">
            <v>2</v>
          </cell>
          <cell r="CF23">
            <v>2.1800000000000002</v>
          </cell>
          <cell r="CG23">
            <v>2.56</v>
          </cell>
        </row>
        <row r="24">
          <cell r="A24" t="str">
            <v>KRS (SOCAL)-NGI</v>
          </cell>
          <cell r="B24">
            <v>21</v>
          </cell>
          <cell r="AD24">
            <v>1.23</v>
          </cell>
          <cell r="AE24">
            <v>1.21</v>
          </cell>
          <cell r="AF24">
            <v>1.23</v>
          </cell>
          <cell r="AG24">
            <v>1.32</v>
          </cell>
          <cell r="AH24">
            <v>1.32</v>
          </cell>
          <cell r="AI24">
            <v>1.24</v>
          </cell>
          <cell r="AJ24">
            <v>1.23</v>
          </cell>
          <cell r="AK24">
            <v>1.44</v>
          </cell>
          <cell r="AL24">
            <v>1.46</v>
          </cell>
          <cell r="AM24">
            <v>1.56</v>
          </cell>
          <cell r="AN24">
            <v>1.62</v>
          </cell>
          <cell r="AO24">
            <v>1.49</v>
          </cell>
          <cell r="AP24">
            <v>1.42</v>
          </cell>
          <cell r="AQ24">
            <v>1.39</v>
          </cell>
          <cell r="AR24">
            <v>1.28</v>
          </cell>
          <cell r="AS24">
            <v>1.28</v>
          </cell>
          <cell r="AT24">
            <v>1.37</v>
          </cell>
          <cell r="AU24">
            <v>1.68</v>
          </cell>
          <cell r="AV24">
            <v>2.15</v>
          </cell>
          <cell r="AW24">
            <v>1.71</v>
          </cell>
          <cell r="AX24">
            <v>1.72</v>
          </cell>
          <cell r="AY24">
            <v>2.61</v>
          </cell>
          <cell r="AZ24">
            <v>3.68</v>
          </cell>
          <cell r="BA24">
            <v>4.25</v>
          </cell>
          <cell r="BB24">
            <v>2.64</v>
          </cell>
          <cell r="BC24">
            <v>1.6</v>
          </cell>
          <cell r="BD24">
            <v>1.72</v>
          </cell>
          <cell r="BE24">
            <v>2.0299999999999998</v>
          </cell>
          <cell r="BF24">
            <v>2.1800000000000002</v>
          </cell>
          <cell r="BG24">
            <v>2.17</v>
          </cell>
          <cell r="BH24">
            <v>2.19</v>
          </cell>
          <cell r="BI24">
            <v>2.4900000000000002</v>
          </cell>
          <cell r="BJ24">
            <v>3.04</v>
          </cell>
          <cell r="BK24">
            <v>3.27</v>
          </cell>
          <cell r="BL24">
            <v>2.3199999999999998</v>
          </cell>
          <cell r="BM24">
            <v>2.2799999999999998</v>
          </cell>
          <cell r="BN24">
            <v>2.1</v>
          </cell>
        </row>
        <row r="25">
          <cell r="A25" t="str">
            <v>KOCH-LA</v>
          </cell>
          <cell r="B25">
            <v>22</v>
          </cell>
          <cell r="C25">
            <v>2.2200000000000002</v>
          </cell>
          <cell r="D25">
            <v>2.15</v>
          </cell>
          <cell r="E25">
            <v>1.85</v>
          </cell>
          <cell r="F25">
            <v>1.54</v>
          </cell>
          <cell r="G25">
            <v>1.85</v>
          </cell>
          <cell r="H25">
            <v>2.1</v>
          </cell>
          <cell r="I25">
            <v>2.56</v>
          </cell>
          <cell r="J25">
            <v>1.92</v>
          </cell>
          <cell r="K25">
            <v>1.85</v>
          </cell>
          <cell r="L25">
            <v>2.04</v>
          </cell>
          <cell r="M25">
            <v>2.27</v>
          </cell>
          <cell r="N25">
            <v>1.9</v>
          </cell>
          <cell r="O25">
            <v>1.98</v>
          </cell>
          <cell r="P25">
            <v>2.2999999999999998</v>
          </cell>
          <cell r="Q25">
            <v>1.92</v>
          </cell>
          <cell r="R25">
            <v>2.14</v>
          </cell>
          <cell r="S25">
            <v>2.19</v>
          </cell>
          <cell r="T25">
            <v>1.89</v>
          </cell>
          <cell r="U25">
            <v>1.94</v>
          </cell>
          <cell r="V25">
            <v>1.7</v>
          </cell>
          <cell r="W25">
            <v>1.85</v>
          </cell>
          <cell r="X25">
            <v>1.68</v>
          </cell>
          <cell r="Y25">
            <v>1.39</v>
          </cell>
          <cell r="Z25">
            <v>1.31</v>
          </cell>
          <cell r="AA25">
            <v>1.57</v>
          </cell>
          <cell r="AB25">
            <v>1.58</v>
          </cell>
          <cell r="AC25">
            <v>1.52</v>
          </cell>
          <cell r="AD25">
            <v>1.36</v>
          </cell>
          <cell r="AE25">
            <v>1.35</v>
          </cell>
          <cell r="AF25">
            <v>1.46</v>
          </cell>
          <cell r="AG25">
            <v>1.57</v>
          </cell>
          <cell r="AH25">
            <v>1.62</v>
          </cell>
          <cell r="AI25">
            <v>1.43</v>
          </cell>
          <cell r="AJ25">
            <v>1.28</v>
          </cell>
          <cell r="AK25">
            <v>1.48</v>
          </cell>
          <cell r="AL25">
            <v>1.56</v>
          </cell>
          <cell r="AM25">
            <v>1.69</v>
          </cell>
          <cell r="AN25">
            <v>2.12</v>
          </cell>
          <cell r="AO25">
            <v>2.52</v>
          </cell>
          <cell r="AP25">
            <v>2.11</v>
          </cell>
          <cell r="AQ25">
            <v>2.57</v>
          </cell>
          <cell r="AR25">
            <v>2.4500000000000002</v>
          </cell>
          <cell r="AS25">
            <v>2.1</v>
          </cell>
          <cell r="AT25">
            <v>2.2200000000000002</v>
          </cell>
          <cell r="AU25">
            <v>2.52</v>
          </cell>
          <cell r="AV25">
            <v>2.23</v>
          </cell>
          <cell r="AW25">
            <v>1.7</v>
          </cell>
          <cell r="AX25">
            <v>1.74</v>
          </cell>
          <cell r="AY25">
            <v>2.6</v>
          </cell>
          <cell r="AZ25">
            <v>3.82</v>
          </cell>
          <cell r="BA25">
            <v>3.85</v>
          </cell>
          <cell r="BB25">
            <v>2.85</v>
          </cell>
          <cell r="BC25">
            <v>1.72</v>
          </cell>
          <cell r="BD25">
            <v>1.77</v>
          </cell>
          <cell r="BE25">
            <v>2.0099999999999998</v>
          </cell>
          <cell r="BF25">
            <v>2.2599999999999998</v>
          </cell>
          <cell r="BG25">
            <v>2.09</v>
          </cell>
          <cell r="BH25">
            <v>2.12</v>
          </cell>
          <cell r="BI25">
            <v>2.4700000000000002</v>
          </cell>
          <cell r="BJ25">
            <v>3.03</v>
          </cell>
          <cell r="BK25">
            <v>3.2</v>
          </cell>
          <cell r="BL25">
            <v>2.4700000000000002</v>
          </cell>
          <cell r="BM25">
            <v>2.17</v>
          </cell>
          <cell r="BN25">
            <v>1.92</v>
          </cell>
          <cell r="BO25">
            <v>2.15</v>
          </cell>
          <cell r="BP25">
            <v>2.2200000000000002</v>
          </cell>
          <cell r="BQ25">
            <v>2.17</v>
          </cell>
          <cell r="BR25">
            <v>1.94</v>
          </cell>
          <cell r="BS25">
            <v>2.2599999999999998</v>
          </cell>
          <cell r="BT25">
            <v>1.85</v>
          </cell>
          <cell r="BU25">
            <v>1.54</v>
          </cell>
          <cell r="BV25">
            <v>1.95</v>
          </cell>
          <cell r="BW25">
            <v>1.89</v>
          </cell>
          <cell r="BX25">
            <v>2.0099999999999998</v>
          </cell>
          <cell r="BY25">
            <v>1.65</v>
          </cell>
          <cell r="BZ25">
            <v>1.7</v>
          </cell>
          <cell r="CA25">
            <v>1.52</v>
          </cell>
          <cell r="CB25">
            <v>1.76</v>
          </cell>
          <cell r="CC25">
            <v>2.2400000000000002</v>
          </cell>
          <cell r="CD25">
            <v>2.11</v>
          </cell>
          <cell r="CE25">
            <v>2.16</v>
          </cell>
          <cell r="CF25">
            <v>2.4900000000000002</v>
          </cell>
          <cell r="CG25">
            <v>2.78</v>
          </cell>
        </row>
        <row r="26">
          <cell r="A26" t="str">
            <v>KOCH-TX</v>
          </cell>
          <cell r="B26">
            <v>23</v>
          </cell>
          <cell r="C26">
            <v>2.17</v>
          </cell>
          <cell r="D26">
            <v>2.1</v>
          </cell>
          <cell r="E26">
            <v>1.82</v>
          </cell>
          <cell r="F26">
            <v>1.53</v>
          </cell>
          <cell r="G26">
            <v>1.78</v>
          </cell>
          <cell r="H26">
            <v>2.1</v>
          </cell>
          <cell r="I26">
            <v>2.56</v>
          </cell>
          <cell r="J26">
            <v>1.89</v>
          </cell>
          <cell r="K26">
            <v>1.85</v>
          </cell>
          <cell r="L26">
            <v>2</v>
          </cell>
          <cell r="M26">
            <v>2.25</v>
          </cell>
          <cell r="N26">
            <v>1.88</v>
          </cell>
          <cell r="O26">
            <v>1.95</v>
          </cell>
          <cell r="P26">
            <v>2.2599999999999998</v>
          </cell>
          <cell r="Q26">
            <v>1.87</v>
          </cell>
          <cell r="R26">
            <v>2.1</v>
          </cell>
          <cell r="S26">
            <v>2.09</v>
          </cell>
          <cell r="T26">
            <v>1.83</v>
          </cell>
          <cell r="U26">
            <v>1.9</v>
          </cell>
          <cell r="V26">
            <v>1.65</v>
          </cell>
          <cell r="W26">
            <v>1.8</v>
          </cell>
          <cell r="X26">
            <v>1.64</v>
          </cell>
          <cell r="Y26">
            <v>1.37</v>
          </cell>
          <cell r="Z26">
            <v>1.3</v>
          </cell>
          <cell r="AA26">
            <v>1.53</v>
          </cell>
          <cell r="AB26">
            <v>1.54</v>
          </cell>
          <cell r="AC26">
            <v>1.46</v>
          </cell>
          <cell r="AD26">
            <v>1.27</v>
          </cell>
          <cell r="AE26">
            <v>1.3</v>
          </cell>
          <cell r="AF26">
            <v>1.44</v>
          </cell>
          <cell r="AG26">
            <v>1.52</v>
          </cell>
          <cell r="AH26">
            <v>1.58</v>
          </cell>
          <cell r="AI26">
            <v>1.37</v>
          </cell>
          <cell r="AJ26">
            <v>1.26</v>
          </cell>
          <cell r="AK26">
            <v>1.44</v>
          </cell>
          <cell r="AL26">
            <v>1.53</v>
          </cell>
          <cell r="AM26">
            <v>1.65</v>
          </cell>
          <cell r="AN26">
            <v>2.06</v>
          </cell>
          <cell r="AO26">
            <v>2.06</v>
          </cell>
          <cell r="AP26">
            <v>1.78</v>
          </cell>
          <cell r="AQ26">
            <v>1.92</v>
          </cell>
          <cell r="AR26">
            <v>2.2400000000000002</v>
          </cell>
          <cell r="AS26">
            <v>2.0499999999999998</v>
          </cell>
          <cell r="AT26">
            <v>2.21</v>
          </cell>
          <cell r="AU26">
            <v>2.48</v>
          </cell>
          <cell r="AV26">
            <v>2.19</v>
          </cell>
          <cell r="AW26">
            <v>1.69</v>
          </cell>
          <cell r="AX26">
            <v>1.72</v>
          </cell>
          <cell r="AY26">
            <v>2.58</v>
          </cell>
          <cell r="AZ26">
            <v>3.59</v>
          </cell>
          <cell r="BA26">
            <v>3.6</v>
          </cell>
          <cell r="BB26">
            <v>2.64</v>
          </cell>
          <cell r="BC26">
            <v>1.63</v>
          </cell>
          <cell r="BD26">
            <v>1.68</v>
          </cell>
          <cell r="BE26">
            <v>2.0099999999999998</v>
          </cell>
          <cell r="BF26">
            <v>2.17</v>
          </cell>
          <cell r="BG26">
            <v>2.02</v>
          </cell>
          <cell r="BH26">
            <v>2.04</v>
          </cell>
          <cell r="BI26">
            <v>2.4</v>
          </cell>
          <cell r="BJ26">
            <v>2.88</v>
          </cell>
          <cell r="BK26">
            <v>3.04</v>
          </cell>
          <cell r="BL26">
            <v>2.25</v>
          </cell>
          <cell r="BM26">
            <v>2.04</v>
          </cell>
          <cell r="BN26">
            <v>1.82</v>
          </cell>
          <cell r="BO26">
            <v>2.0699999999999998</v>
          </cell>
          <cell r="BP26">
            <v>2.15</v>
          </cell>
          <cell r="BQ26">
            <v>2.09</v>
          </cell>
          <cell r="BR26">
            <v>1.89</v>
          </cell>
          <cell r="BS26">
            <v>2.2000000000000002</v>
          </cell>
          <cell r="BT26">
            <v>1.79</v>
          </cell>
          <cell r="BU26">
            <v>1.47</v>
          </cell>
          <cell r="BV26">
            <v>1.87</v>
          </cell>
          <cell r="BW26">
            <v>1.84</v>
          </cell>
          <cell r="BX26">
            <v>1.96</v>
          </cell>
          <cell r="BY26">
            <v>1.61</v>
          </cell>
          <cell r="BZ26">
            <v>1.63</v>
          </cell>
          <cell r="CA26">
            <v>1.47</v>
          </cell>
          <cell r="CB26">
            <v>1.7</v>
          </cell>
          <cell r="CC26">
            <v>2.1800000000000002</v>
          </cell>
          <cell r="CD26">
            <v>2.06</v>
          </cell>
          <cell r="CE26">
            <v>2.1</v>
          </cell>
          <cell r="CF26">
            <v>2.4500000000000002</v>
          </cell>
          <cell r="CG26">
            <v>2.73</v>
          </cell>
        </row>
        <row r="27">
          <cell r="A27" t="str">
            <v>MALIN-400</v>
          </cell>
          <cell r="B27">
            <v>24</v>
          </cell>
          <cell r="AA27">
            <v>1.63</v>
          </cell>
          <cell r="AB27">
            <v>1.76</v>
          </cell>
          <cell r="AC27">
            <v>1.37</v>
          </cell>
          <cell r="AD27">
            <v>1.1000000000000001</v>
          </cell>
          <cell r="AE27">
            <v>1.0900000000000001</v>
          </cell>
          <cell r="AF27">
            <v>1.1100000000000001</v>
          </cell>
          <cell r="AG27">
            <v>1.2</v>
          </cell>
          <cell r="AH27">
            <v>1.21</v>
          </cell>
          <cell r="AI27">
            <v>1.05</v>
          </cell>
          <cell r="AJ27">
            <v>1.02</v>
          </cell>
          <cell r="AK27">
            <v>1.17</v>
          </cell>
          <cell r="AL27">
            <v>1.23</v>
          </cell>
          <cell r="AM27">
            <v>1.32</v>
          </cell>
          <cell r="AN27">
            <v>1.39</v>
          </cell>
          <cell r="AO27">
            <v>1.38</v>
          </cell>
          <cell r="AP27">
            <v>1.39</v>
          </cell>
          <cell r="AQ27">
            <v>1.32</v>
          </cell>
          <cell r="AR27">
            <v>1.23</v>
          </cell>
          <cell r="AS27">
            <v>1.1499999999999999</v>
          </cell>
          <cell r="AT27">
            <v>1.07</v>
          </cell>
          <cell r="AU27">
            <v>1.19</v>
          </cell>
          <cell r="AV27">
            <v>1.58</v>
          </cell>
          <cell r="AW27">
            <v>1.29</v>
          </cell>
          <cell r="AX27">
            <v>1.34</v>
          </cell>
          <cell r="AY27">
            <v>2.33</v>
          </cell>
          <cell r="AZ27">
            <v>3.62</v>
          </cell>
          <cell r="BA27">
            <v>4.1100000000000003</v>
          </cell>
          <cell r="BB27">
            <v>2.5</v>
          </cell>
          <cell r="BC27">
            <v>1.33</v>
          </cell>
          <cell r="BD27">
            <v>1.46</v>
          </cell>
          <cell r="BE27">
            <v>1.73</v>
          </cell>
          <cell r="BF27">
            <v>1.72</v>
          </cell>
          <cell r="BG27">
            <v>1.59</v>
          </cell>
          <cell r="BH27">
            <v>1.54</v>
          </cell>
          <cell r="BI27">
            <v>1.72</v>
          </cell>
          <cell r="BJ27">
            <v>2.2799999999999998</v>
          </cell>
          <cell r="BK27">
            <v>3.05</v>
          </cell>
          <cell r="BL27">
            <v>1.92</v>
          </cell>
          <cell r="BM27">
            <v>2.1</v>
          </cell>
          <cell r="BN27">
            <v>1.76</v>
          </cell>
          <cell r="BO27">
            <v>1.88</v>
          </cell>
          <cell r="BZ27">
            <v>1.74</v>
          </cell>
          <cell r="CA27">
            <v>1.62</v>
          </cell>
          <cell r="CB27">
            <v>1.64</v>
          </cell>
        </row>
        <row r="28">
          <cell r="A28" t="str">
            <v>MALIN-401</v>
          </cell>
          <cell r="B28">
            <v>25</v>
          </cell>
          <cell r="AC28">
            <v>1.1399999999999999</v>
          </cell>
          <cell r="AD28">
            <v>0.89</v>
          </cell>
          <cell r="AE28">
            <v>0.92</v>
          </cell>
          <cell r="AF28">
            <v>0.95</v>
          </cell>
          <cell r="AG28">
            <v>1.04</v>
          </cell>
          <cell r="AH28">
            <v>1.1000000000000001</v>
          </cell>
          <cell r="AI28">
            <v>0.91</v>
          </cell>
          <cell r="AJ28">
            <v>0.91</v>
          </cell>
          <cell r="AK28">
            <v>1.05</v>
          </cell>
          <cell r="AL28">
            <v>1.1100000000000001</v>
          </cell>
          <cell r="AM28">
            <v>1.17</v>
          </cell>
          <cell r="AN28">
            <v>1.27</v>
          </cell>
          <cell r="AO28">
            <v>1.23</v>
          </cell>
          <cell r="AP28">
            <v>1.24</v>
          </cell>
          <cell r="AQ28">
            <v>1.18</v>
          </cell>
          <cell r="AR28">
            <v>1.1000000000000001</v>
          </cell>
          <cell r="AS28">
            <v>1.03</v>
          </cell>
          <cell r="AT28">
            <v>1</v>
          </cell>
          <cell r="AU28">
            <v>1.19</v>
          </cell>
          <cell r="AV28">
            <v>1.56</v>
          </cell>
          <cell r="AW28">
            <v>1.25</v>
          </cell>
          <cell r="AX28">
            <v>1.29</v>
          </cell>
          <cell r="AY28">
            <v>2.2400000000000002</v>
          </cell>
          <cell r="AZ28">
            <v>3.52</v>
          </cell>
          <cell r="BA28">
            <v>4.0599999999999996</v>
          </cell>
          <cell r="BB28">
            <v>2.44</v>
          </cell>
          <cell r="BC28">
            <v>1.28</v>
          </cell>
          <cell r="BD28">
            <v>1.39</v>
          </cell>
          <cell r="BE28">
            <v>1.67</v>
          </cell>
          <cell r="BF28">
            <v>1.68</v>
          </cell>
          <cell r="BG28">
            <v>1.49</v>
          </cell>
          <cell r="BH28">
            <v>1.5</v>
          </cell>
          <cell r="BI28">
            <v>1.69</v>
          </cell>
          <cell r="BJ28">
            <v>2.25</v>
          </cell>
          <cell r="BK28">
            <v>2.88</v>
          </cell>
          <cell r="BL28">
            <v>1.8</v>
          </cell>
          <cell r="BM28">
            <v>1.96</v>
          </cell>
          <cell r="BN28">
            <v>1.7</v>
          </cell>
          <cell r="BO28">
            <v>2.3199999999999998</v>
          </cell>
        </row>
        <row r="29">
          <cell r="A29" t="str">
            <v>MICH</v>
          </cell>
          <cell r="B29">
            <v>26</v>
          </cell>
          <cell r="D29">
            <v>2.5</v>
          </cell>
          <cell r="E29">
            <v>2.29</v>
          </cell>
          <cell r="F29">
            <v>1.98</v>
          </cell>
          <cell r="G29">
            <v>2.12</v>
          </cell>
          <cell r="H29">
            <v>2.4900000000000002</v>
          </cell>
          <cell r="I29">
            <v>3.03</v>
          </cell>
          <cell r="J29">
            <v>2.36</v>
          </cell>
          <cell r="K29">
            <v>2.2200000000000002</v>
          </cell>
          <cell r="L29">
            <v>2.29</v>
          </cell>
          <cell r="M29">
            <v>2.61</v>
          </cell>
          <cell r="N29">
            <v>2.2000000000000002</v>
          </cell>
          <cell r="O29">
            <v>2.23</v>
          </cell>
          <cell r="P29">
            <v>2.54</v>
          </cell>
          <cell r="Q29">
            <v>2.25</v>
          </cell>
          <cell r="R29">
            <v>2.64</v>
          </cell>
          <cell r="S29">
            <v>2.77</v>
          </cell>
          <cell r="T29">
            <v>2.23</v>
          </cell>
          <cell r="U29">
            <v>2.23</v>
          </cell>
          <cell r="V29">
            <v>1.97</v>
          </cell>
          <cell r="W29">
            <v>2.0699999999999998</v>
          </cell>
          <cell r="X29">
            <v>1.91</v>
          </cell>
          <cell r="Y29">
            <v>1.61</v>
          </cell>
          <cell r="Z29">
            <v>1.49</v>
          </cell>
          <cell r="AA29">
            <v>1.85</v>
          </cell>
          <cell r="AB29">
            <v>1.86</v>
          </cell>
          <cell r="AC29">
            <v>1.75</v>
          </cell>
          <cell r="AD29">
            <v>1.52</v>
          </cell>
          <cell r="AE29">
            <v>1.5</v>
          </cell>
          <cell r="AF29">
            <v>1.64</v>
          </cell>
          <cell r="AG29">
            <v>1.76</v>
          </cell>
          <cell r="AH29">
            <v>1.82</v>
          </cell>
          <cell r="AI29">
            <v>1.59</v>
          </cell>
          <cell r="AJ29">
            <v>1.46</v>
          </cell>
          <cell r="AK29">
            <v>1.68</v>
          </cell>
          <cell r="AL29">
            <v>1.75</v>
          </cell>
          <cell r="AM29">
            <v>1.92</v>
          </cell>
          <cell r="AN29">
            <v>2.35</v>
          </cell>
          <cell r="AO29">
            <v>3.43</v>
          </cell>
          <cell r="AP29">
            <v>3.06</v>
          </cell>
          <cell r="AQ29">
            <v>4.8</v>
          </cell>
          <cell r="AR29">
            <v>3.01</v>
          </cell>
          <cell r="AS29">
            <v>2.38</v>
          </cell>
          <cell r="AT29">
            <v>2.6</v>
          </cell>
          <cell r="AU29">
            <v>2.9</v>
          </cell>
          <cell r="AV29">
            <v>2.5</v>
          </cell>
          <cell r="AW29">
            <v>2.0299999999999998</v>
          </cell>
          <cell r="AX29">
            <v>2.16</v>
          </cell>
          <cell r="AY29">
            <v>3.05</v>
          </cell>
          <cell r="AZ29">
            <v>4.08</v>
          </cell>
          <cell r="BA29">
            <v>4.38</v>
          </cell>
          <cell r="BB29">
            <v>3.36</v>
          </cell>
          <cell r="BC29">
            <v>1.94</v>
          </cell>
          <cell r="BD29">
            <v>2.12</v>
          </cell>
          <cell r="BE29">
            <v>2.2999999999999998</v>
          </cell>
          <cell r="BF29">
            <v>2.5299999999999998</v>
          </cell>
          <cell r="BG29">
            <v>2.3199999999999998</v>
          </cell>
          <cell r="BH29">
            <v>2.31</v>
          </cell>
          <cell r="BI29">
            <v>2.71</v>
          </cell>
          <cell r="BJ29">
            <v>3.37</v>
          </cell>
          <cell r="BK29">
            <v>3.54</v>
          </cell>
          <cell r="BL29">
            <v>3.54</v>
          </cell>
          <cell r="BM29">
            <v>2.38</v>
          </cell>
          <cell r="BN29">
            <v>2.1800000000000002</v>
          </cell>
          <cell r="BO29">
            <v>2.37</v>
          </cell>
          <cell r="BP29">
            <v>2.4700000000000002</v>
          </cell>
          <cell r="BQ29">
            <v>2.41</v>
          </cell>
          <cell r="BR29">
            <v>2.17</v>
          </cell>
          <cell r="BS29">
            <v>2.4300000000000002</v>
          </cell>
          <cell r="CE29">
            <v>2.34</v>
          </cell>
          <cell r="CF29">
            <v>2.7</v>
          </cell>
          <cell r="CG29">
            <v>2.98</v>
          </cell>
        </row>
        <row r="30">
          <cell r="A30" t="str">
            <v>MRC</v>
          </cell>
          <cell r="B30">
            <v>27</v>
          </cell>
          <cell r="C30">
            <v>2.36</v>
          </cell>
          <cell r="D30">
            <v>2.31</v>
          </cell>
          <cell r="E30">
            <v>2.04</v>
          </cell>
          <cell r="F30">
            <v>1.66</v>
          </cell>
          <cell r="G30">
            <v>1.99</v>
          </cell>
          <cell r="H30">
            <v>2.2799999999999998</v>
          </cell>
          <cell r="I30">
            <v>2.7</v>
          </cell>
          <cell r="J30">
            <v>2</v>
          </cell>
          <cell r="K30">
            <v>2.0299999999999998</v>
          </cell>
          <cell r="L30">
            <v>2.1800000000000002</v>
          </cell>
          <cell r="M30">
            <v>2.42</v>
          </cell>
          <cell r="N30">
            <v>2.08</v>
          </cell>
          <cell r="O30">
            <v>2.16</v>
          </cell>
          <cell r="P30">
            <v>2.4700000000000002</v>
          </cell>
          <cell r="Q30">
            <v>2.08</v>
          </cell>
          <cell r="R30">
            <v>2.4</v>
          </cell>
          <cell r="S30">
            <v>2.4300000000000002</v>
          </cell>
          <cell r="T30">
            <v>2.04</v>
          </cell>
          <cell r="U30">
            <v>2.1</v>
          </cell>
          <cell r="V30">
            <v>1.86</v>
          </cell>
          <cell r="W30">
            <v>1.99</v>
          </cell>
          <cell r="X30">
            <v>1.82</v>
          </cell>
          <cell r="Y30">
            <v>1.52</v>
          </cell>
          <cell r="Z30">
            <v>1.45</v>
          </cell>
          <cell r="AA30">
            <v>1.71</v>
          </cell>
          <cell r="AB30">
            <v>1.7</v>
          </cell>
          <cell r="AC30">
            <v>1.65</v>
          </cell>
          <cell r="AD30">
            <v>1.44</v>
          </cell>
          <cell r="AE30">
            <v>1.51</v>
          </cell>
          <cell r="AF30">
            <v>1.61</v>
          </cell>
          <cell r="AG30">
            <v>1.69</v>
          </cell>
          <cell r="AH30">
            <v>1.75</v>
          </cell>
          <cell r="AI30">
            <v>1.55</v>
          </cell>
          <cell r="AJ30">
            <v>1.41</v>
          </cell>
          <cell r="AK30">
            <v>1.59</v>
          </cell>
          <cell r="AL30">
            <v>1.67</v>
          </cell>
          <cell r="AM30">
            <v>1.82</v>
          </cell>
          <cell r="AN30">
            <v>2.31</v>
          </cell>
          <cell r="AO30">
            <v>3.47</v>
          </cell>
          <cell r="AP30">
            <v>2.4300000000000002</v>
          </cell>
          <cell r="AQ30">
            <v>2.86</v>
          </cell>
          <cell r="AR30">
            <v>2.74</v>
          </cell>
          <cell r="AS30">
            <v>2.25</v>
          </cell>
          <cell r="AT30">
            <v>2.42</v>
          </cell>
          <cell r="AU30">
            <v>2.69</v>
          </cell>
          <cell r="AV30">
            <v>2.37</v>
          </cell>
          <cell r="AW30">
            <v>1.87</v>
          </cell>
          <cell r="AX30">
            <v>1.9</v>
          </cell>
          <cell r="AY30">
            <v>2.75</v>
          </cell>
          <cell r="AZ30">
            <v>3.94</v>
          </cell>
          <cell r="BA30">
            <v>4.1500000000000004</v>
          </cell>
          <cell r="BB30">
            <v>2.99</v>
          </cell>
          <cell r="BC30">
            <v>1.76</v>
          </cell>
          <cell r="BD30">
            <v>1.87</v>
          </cell>
          <cell r="BE30">
            <v>2.16</v>
          </cell>
          <cell r="BF30">
            <v>2.36</v>
          </cell>
          <cell r="BG30">
            <v>2.21</v>
          </cell>
          <cell r="BH30">
            <v>2.23</v>
          </cell>
          <cell r="BI30">
            <v>2.58</v>
          </cell>
          <cell r="BJ30">
            <v>3.15</v>
          </cell>
          <cell r="BK30">
            <v>3.32</v>
          </cell>
          <cell r="BL30">
            <v>2.58</v>
          </cell>
          <cell r="BM30">
            <v>2.3199999999999998</v>
          </cell>
          <cell r="BN30">
            <v>2.06</v>
          </cell>
        </row>
        <row r="31">
          <cell r="A31" t="str">
            <v>NGPL-LA</v>
          </cell>
          <cell r="B31">
            <v>28</v>
          </cell>
          <cell r="C31">
            <v>2.2999999999999998</v>
          </cell>
          <cell r="D31">
            <v>2.2000000000000002</v>
          </cell>
          <cell r="E31">
            <v>1.92</v>
          </cell>
          <cell r="F31">
            <v>1.62</v>
          </cell>
          <cell r="G31">
            <v>1.86</v>
          </cell>
          <cell r="H31">
            <v>2.16</v>
          </cell>
          <cell r="I31">
            <v>2.67</v>
          </cell>
          <cell r="J31">
            <v>1.98</v>
          </cell>
          <cell r="K31">
            <v>1.9</v>
          </cell>
          <cell r="L31">
            <v>2.04</v>
          </cell>
          <cell r="M31">
            <v>2.33</v>
          </cell>
          <cell r="N31">
            <v>1.97</v>
          </cell>
          <cell r="O31">
            <v>2.08</v>
          </cell>
          <cell r="P31">
            <v>2.33</v>
          </cell>
          <cell r="Q31">
            <v>1.98</v>
          </cell>
          <cell r="R31">
            <v>2.2799999999999998</v>
          </cell>
          <cell r="S31">
            <v>2.25</v>
          </cell>
          <cell r="T31">
            <v>1.92</v>
          </cell>
          <cell r="U31">
            <v>2</v>
          </cell>
          <cell r="V31">
            <v>1.74</v>
          </cell>
          <cell r="W31">
            <v>1.86</v>
          </cell>
          <cell r="X31">
            <v>1.72</v>
          </cell>
          <cell r="Y31">
            <v>1.43</v>
          </cell>
          <cell r="Z31">
            <v>1.36</v>
          </cell>
          <cell r="AA31">
            <v>1.61</v>
          </cell>
          <cell r="AB31">
            <v>1.61</v>
          </cell>
          <cell r="AC31">
            <v>1.55</v>
          </cell>
          <cell r="AD31">
            <v>1.35</v>
          </cell>
          <cell r="AE31">
            <v>1.37</v>
          </cell>
          <cell r="AF31">
            <v>1.49</v>
          </cell>
          <cell r="AG31">
            <v>1.61</v>
          </cell>
          <cell r="AH31">
            <v>1.65</v>
          </cell>
          <cell r="AI31">
            <v>1.44</v>
          </cell>
          <cell r="AJ31">
            <v>1.31</v>
          </cell>
          <cell r="AK31">
            <v>1.51</v>
          </cell>
          <cell r="AL31">
            <v>1.59</v>
          </cell>
          <cell r="AM31">
            <v>1.72</v>
          </cell>
          <cell r="AN31">
            <v>2.15</v>
          </cell>
          <cell r="AO31">
            <v>2.13</v>
          </cell>
          <cell r="AP31">
            <v>1.9</v>
          </cell>
          <cell r="AQ31">
            <v>2.15</v>
          </cell>
          <cell r="AR31">
            <v>2.4</v>
          </cell>
          <cell r="AS31">
            <v>2.12</v>
          </cell>
          <cell r="AT31">
            <v>2.25</v>
          </cell>
          <cell r="AU31">
            <v>2.57</v>
          </cell>
          <cell r="AV31">
            <v>2.2200000000000002</v>
          </cell>
          <cell r="AW31">
            <v>1.74</v>
          </cell>
          <cell r="AX31">
            <v>1.78</v>
          </cell>
          <cell r="AY31">
            <v>2.61</v>
          </cell>
          <cell r="AZ31">
            <v>3.72</v>
          </cell>
          <cell r="BA31">
            <v>4</v>
          </cell>
          <cell r="BB31">
            <v>2.82</v>
          </cell>
          <cell r="BC31">
            <v>1.69</v>
          </cell>
          <cell r="BD31">
            <v>1.74</v>
          </cell>
          <cell r="BE31">
            <v>2.04</v>
          </cell>
          <cell r="BF31">
            <v>2.23</v>
          </cell>
          <cell r="BG31">
            <v>2.09</v>
          </cell>
          <cell r="BH31">
            <v>2.11</v>
          </cell>
          <cell r="BI31">
            <v>2.4700000000000002</v>
          </cell>
          <cell r="BJ31">
            <v>3.05</v>
          </cell>
          <cell r="BK31">
            <v>3.17</v>
          </cell>
          <cell r="BL31">
            <v>2.37</v>
          </cell>
          <cell r="BM31">
            <v>2.15</v>
          </cell>
          <cell r="BN31">
            <v>1.92</v>
          </cell>
          <cell r="BO31">
            <v>2.1800000000000002</v>
          </cell>
          <cell r="BP31">
            <v>2.23</v>
          </cell>
          <cell r="BQ31">
            <v>2.2000000000000002</v>
          </cell>
          <cell r="BR31">
            <v>1.97</v>
          </cell>
          <cell r="BS31">
            <v>2.31</v>
          </cell>
          <cell r="BT31">
            <v>1.86</v>
          </cell>
          <cell r="BU31">
            <v>1.56</v>
          </cell>
          <cell r="BV31">
            <v>1.96</v>
          </cell>
          <cell r="BW31">
            <v>1.95</v>
          </cell>
          <cell r="BX31">
            <v>2.08</v>
          </cell>
          <cell r="BY31">
            <v>1.72</v>
          </cell>
          <cell r="BZ31">
            <v>1.75</v>
          </cell>
          <cell r="CA31">
            <v>1.58</v>
          </cell>
          <cell r="CB31">
            <v>1.83</v>
          </cell>
          <cell r="CC31">
            <v>2.2999999999999998</v>
          </cell>
          <cell r="CD31">
            <v>2.1800000000000002</v>
          </cell>
          <cell r="CE31">
            <v>2.21</v>
          </cell>
          <cell r="CF31">
            <v>2.57</v>
          </cell>
          <cell r="CG31">
            <v>2.84</v>
          </cell>
        </row>
        <row r="32">
          <cell r="A32" t="str">
            <v>NGPL-MC</v>
          </cell>
          <cell r="B32">
            <v>29</v>
          </cell>
          <cell r="AQ32">
            <v>1.9</v>
          </cell>
          <cell r="AR32">
            <v>2.14</v>
          </cell>
          <cell r="AS32">
            <v>2.0099999999999998</v>
          </cell>
          <cell r="AT32">
            <v>2.0499999999999998</v>
          </cell>
          <cell r="AU32">
            <v>2.1800000000000002</v>
          </cell>
          <cell r="AV32">
            <v>2.14</v>
          </cell>
          <cell r="AW32">
            <v>1.67</v>
          </cell>
          <cell r="AX32">
            <v>1.69</v>
          </cell>
          <cell r="AY32">
            <v>2.4900000000000002</v>
          </cell>
          <cell r="AZ32">
            <v>3.62</v>
          </cell>
          <cell r="BA32">
            <v>3.95</v>
          </cell>
          <cell r="BB32">
            <v>2.76</v>
          </cell>
          <cell r="BC32">
            <v>1.62</v>
          </cell>
          <cell r="BD32">
            <v>1.71</v>
          </cell>
          <cell r="BE32">
            <v>1.95</v>
          </cell>
          <cell r="BF32">
            <v>2.13</v>
          </cell>
          <cell r="BG32">
            <v>2.0099999999999998</v>
          </cell>
          <cell r="BH32">
            <v>2.06</v>
          </cell>
          <cell r="BI32">
            <v>2.41</v>
          </cell>
          <cell r="BJ32">
            <v>3</v>
          </cell>
          <cell r="BK32">
            <v>3.12</v>
          </cell>
          <cell r="BL32">
            <v>2.3199999999999998</v>
          </cell>
          <cell r="BM32">
            <v>2.14</v>
          </cell>
          <cell r="BN32">
            <v>1.92</v>
          </cell>
          <cell r="BO32">
            <v>2.15</v>
          </cell>
          <cell r="BP32">
            <v>2.19</v>
          </cell>
          <cell r="BQ32">
            <v>2.17</v>
          </cell>
          <cell r="BR32">
            <v>1.94</v>
          </cell>
          <cell r="BS32">
            <v>2.27</v>
          </cell>
          <cell r="BT32">
            <v>1.84</v>
          </cell>
          <cell r="BU32">
            <v>1.56</v>
          </cell>
          <cell r="BV32">
            <v>1.9</v>
          </cell>
          <cell r="BW32">
            <v>1.95</v>
          </cell>
          <cell r="BX32">
            <v>2.0499999999999998</v>
          </cell>
          <cell r="BY32">
            <v>1.74</v>
          </cell>
          <cell r="BZ32">
            <v>1.73</v>
          </cell>
          <cell r="CA32">
            <v>1.55</v>
          </cell>
          <cell r="CB32">
            <v>1.74</v>
          </cell>
          <cell r="CC32">
            <v>2.21</v>
          </cell>
          <cell r="CD32">
            <v>2.11</v>
          </cell>
          <cell r="CE32">
            <v>2.16</v>
          </cell>
          <cell r="CF32">
            <v>2.5</v>
          </cell>
          <cell r="CG32">
            <v>2.76</v>
          </cell>
        </row>
        <row r="33">
          <cell r="A33" t="str">
            <v>NGPL-OK</v>
          </cell>
          <cell r="B33">
            <v>30</v>
          </cell>
          <cell r="C33">
            <v>2.0499999999999998</v>
          </cell>
          <cell r="D33">
            <v>2.02</v>
          </cell>
          <cell r="E33">
            <v>1.91</v>
          </cell>
          <cell r="F33">
            <v>1.6</v>
          </cell>
          <cell r="G33">
            <v>1.84</v>
          </cell>
          <cell r="H33">
            <v>2.08</v>
          </cell>
          <cell r="I33">
            <v>2.58</v>
          </cell>
          <cell r="J33">
            <v>1.8</v>
          </cell>
          <cell r="K33">
            <v>1.8</v>
          </cell>
          <cell r="L33">
            <v>1.93</v>
          </cell>
          <cell r="M33">
            <v>2.17</v>
          </cell>
          <cell r="N33">
            <v>1.85</v>
          </cell>
          <cell r="O33">
            <v>1.88</v>
          </cell>
          <cell r="P33">
            <v>2.2200000000000002</v>
          </cell>
          <cell r="Q33">
            <v>1.93</v>
          </cell>
          <cell r="R33">
            <v>2.09</v>
          </cell>
          <cell r="S33">
            <v>2.14</v>
          </cell>
          <cell r="T33">
            <v>1.8</v>
          </cell>
          <cell r="U33">
            <v>1.84</v>
          </cell>
          <cell r="V33">
            <v>1.56</v>
          </cell>
          <cell r="W33">
            <v>1.68</v>
          </cell>
          <cell r="X33">
            <v>1.59</v>
          </cell>
          <cell r="Y33">
            <v>1.4</v>
          </cell>
          <cell r="Z33">
            <v>1.3</v>
          </cell>
          <cell r="AA33">
            <v>1.52</v>
          </cell>
          <cell r="AB33">
            <v>1.6</v>
          </cell>
          <cell r="AC33">
            <v>1.5</v>
          </cell>
          <cell r="AD33">
            <v>1.26</v>
          </cell>
          <cell r="AE33">
            <v>1.27</v>
          </cell>
          <cell r="AF33">
            <v>1.34</v>
          </cell>
          <cell r="AG33">
            <v>1.44</v>
          </cell>
          <cell r="AH33">
            <v>1.45</v>
          </cell>
          <cell r="AI33">
            <v>1.24</v>
          </cell>
          <cell r="AJ33">
            <v>1.2</v>
          </cell>
          <cell r="AK33">
            <v>1.41</v>
          </cell>
          <cell r="AL33">
            <v>1.5</v>
          </cell>
          <cell r="AM33">
            <v>1.7</v>
          </cell>
          <cell r="AN33">
            <v>1.88</v>
          </cell>
          <cell r="AO33">
            <v>2</v>
          </cell>
          <cell r="AP33">
            <v>1.79</v>
          </cell>
          <cell r="BB33">
            <v>2.83</v>
          </cell>
          <cell r="BC33">
            <v>1.65</v>
          </cell>
          <cell r="BD33">
            <v>1.74</v>
          </cell>
          <cell r="BE33">
            <v>1.96</v>
          </cell>
          <cell r="BF33">
            <v>2.13</v>
          </cell>
          <cell r="BG33">
            <v>2.02</v>
          </cell>
          <cell r="BH33">
            <v>2.08</v>
          </cell>
          <cell r="BI33">
            <v>2.4300000000000002</v>
          </cell>
        </row>
        <row r="34">
          <cell r="A34" t="str">
            <v>NGPL-TOK</v>
          </cell>
          <cell r="B34">
            <v>31</v>
          </cell>
          <cell r="AQ34">
            <v>1.97</v>
          </cell>
          <cell r="AR34">
            <v>2.23</v>
          </cell>
          <cell r="AS34">
            <v>2.14</v>
          </cell>
          <cell r="AT34">
            <v>2.2400000000000002</v>
          </cell>
          <cell r="AU34">
            <v>2.5099999999999998</v>
          </cell>
          <cell r="AV34">
            <v>2.23</v>
          </cell>
          <cell r="AW34">
            <v>1.75</v>
          </cell>
          <cell r="AX34">
            <v>1.76</v>
          </cell>
          <cell r="AY34">
            <v>2.57</v>
          </cell>
          <cell r="AZ34">
            <v>3.69</v>
          </cell>
          <cell r="BA34">
            <v>3.8</v>
          </cell>
          <cell r="BB34">
            <v>2.75</v>
          </cell>
          <cell r="BC34">
            <v>1.64</v>
          </cell>
          <cell r="BD34">
            <v>1.74</v>
          </cell>
          <cell r="BE34">
            <v>2.0299999999999998</v>
          </cell>
          <cell r="BF34">
            <v>2.2400000000000002</v>
          </cell>
          <cell r="BG34">
            <v>2.08</v>
          </cell>
          <cell r="BH34">
            <v>2.12</v>
          </cell>
          <cell r="BI34">
            <v>2.46</v>
          </cell>
          <cell r="BJ34">
            <v>3.07</v>
          </cell>
          <cell r="BK34">
            <v>3.18</v>
          </cell>
          <cell r="BL34">
            <v>2.35</v>
          </cell>
          <cell r="BM34">
            <v>2.16</v>
          </cell>
          <cell r="BN34">
            <v>1.96</v>
          </cell>
          <cell r="BO34">
            <v>2.19</v>
          </cell>
          <cell r="BP34">
            <v>2.23</v>
          </cell>
          <cell r="BQ34">
            <v>2.2200000000000002</v>
          </cell>
          <cell r="BR34">
            <v>1.98</v>
          </cell>
          <cell r="BS34">
            <v>2.31</v>
          </cell>
          <cell r="BT34">
            <v>1.88</v>
          </cell>
          <cell r="BU34">
            <v>1.58</v>
          </cell>
          <cell r="BV34">
            <v>1.95</v>
          </cell>
          <cell r="BW34">
            <v>1.96</v>
          </cell>
          <cell r="BX34">
            <v>2.06</v>
          </cell>
          <cell r="BY34">
            <v>1.74</v>
          </cell>
          <cell r="BZ34">
            <v>1.75</v>
          </cell>
          <cell r="CA34">
            <v>1.57</v>
          </cell>
          <cell r="CB34">
            <v>1.8</v>
          </cell>
          <cell r="CC34">
            <v>2.2799999999999998</v>
          </cell>
          <cell r="CD34">
            <v>2.1800000000000002</v>
          </cell>
          <cell r="CE34">
            <v>2.2200000000000002</v>
          </cell>
          <cell r="CF34">
            <v>2.5499999999999998</v>
          </cell>
          <cell r="CG34">
            <v>2.83</v>
          </cell>
        </row>
        <row r="35">
          <cell r="A35" t="str">
            <v>NGPL-STX</v>
          </cell>
          <cell r="B35">
            <v>32</v>
          </cell>
          <cell r="C35">
            <v>2.2000000000000002</v>
          </cell>
          <cell r="D35">
            <v>2.1</v>
          </cell>
          <cell r="E35">
            <v>1.92</v>
          </cell>
          <cell r="F35">
            <v>1.58</v>
          </cell>
          <cell r="G35">
            <v>1.85</v>
          </cell>
          <cell r="H35">
            <v>2.15</v>
          </cell>
          <cell r="I35">
            <v>2.6</v>
          </cell>
          <cell r="J35">
            <v>1.9</v>
          </cell>
          <cell r="K35">
            <v>1.89</v>
          </cell>
          <cell r="L35">
            <v>2.02</v>
          </cell>
          <cell r="M35">
            <v>2.3199999999999998</v>
          </cell>
          <cell r="N35">
            <v>1.95</v>
          </cell>
          <cell r="O35">
            <v>2.04</v>
          </cell>
          <cell r="P35">
            <v>2.2999999999999998</v>
          </cell>
          <cell r="Q35">
            <v>1.97</v>
          </cell>
          <cell r="R35">
            <v>2.23</v>
          </cell>
          <cell r="S35">
            <v>2.2400000000000002</v>
          </cell>
          <cell r="T35">
            <v>1.86</v>
          </cell>
          <cell r="U35">
            <v>1.97</v>
          </cell>
          <cell r="V35">
            <v>1.72</v>
          </cell>
          <cell r="W35">
            <v>1.88</v>
          </cell>
          <cell r="X35">
            <v>1.72</v>
          </cell>
          <cell r="Y35">
            <v>1.41</v>
          </cell>
          <cell r="Z35">
            <v>1.34</v>
          </cell>
          <cell r="AA35">
            <v>1.6</v>
          </cell>
          <cell r="AB35">
            <v>1.61</v>
          </cell>
          <cell r="AC35">
            <v>1.52</v>
          </cell>
          <cell r="AD35">
            <v>1.32</v>
          </cell>
          <cell r="AE35">
            <v>1.34</v>
          </cell>
          <cell r="AF35">
            <v>1.48</v>
          </cell>
          <cell r="AG35">
            <v>1.59</v>
          </cell>
          <cell r="AH35">
            <v>1.63</v>
          </cell>
          <cell r="AI35">
            <v>1.41</v>
          </cell>
          <cell r="AJ35">
            <v>1.3</v>
          </cell>
          <cell r="AK35">
            <v>1.51</v>
          </cell>
          <cell r="AL35">
            <v>1.58</v>
          </cell>
          <cell r="AM35">
            <v>1.7</v>
          </cell>
          <cell r="AN35">
            <v>2.1</v>
          </cell>
          <cell r="AO35">
            <v>2.0499999999999998</v>
          </cell>
          <cell r="AP35">
            <v>1.8</v>
          </cell>
          <cell r="AQ35">
            <v>1.97</v>
          </cell>
          <cell r="AR35">
            <v>2.25</v>
          </cell>
          <cell r="AS35">
            <v>2.11</v>
          </cell>
          <cell r="AT35">
            <v>2.2400000000000002</v>
          </cell>
          <cell r="AU35">
            <v>2.52</v>
          </cell>
          <cell r="AV35">
            <v>2.23</v>
          </cell>
          <cell r="AW35">
            <v>1.73</v>
          </cell>
          <cell r="AX35">
            <v>1.75</v>
          </cell>
          <cell r="AY35">
            <v>2.61</v>
          </cell>
          <cell r="AZ35">
            <v>3.66</v>
          </cell>
          <cell r="BA35">
            <v>3.85</v>
          </cell>
          <cell r="BB35">
            <v>2.73</v>
          </cell>
          <cell r="BC35">
            <v>1.64</v>
          </cell>
          <cell r="BD35">
            <v>1.75</v>
          </cell>
          <cell r="BE35">
            <v>2.04</v>
          </cell>
          <cell r="BF35">
            <v>2.2200000000000002</v>
          </cell>
          <cell r="BG35">
            <v>2.09</v>
          </cell>
          <cell r="BH35">
            <v>2.1</v>
          </cell>
          <cell r="BI35">
            <v>2.4500000000000002</v>
          </cell>
          <cell r="BJ35">
            <v>3.05</v>
          </cell>
          <cell r="BK35">
            <v>3.18</v>
          </cell>
          <cell r="BL35">
            <v>2.35</v>
          </cell>
          <cell r="BM35">
            <v>2.16</v>
          </cell>
          <cell r="BN35">
            <v>1.93</v>
          </cell>
          <cell r="BO35">
            <v>2.17</v>
          </cell>
          <cell r="BP35">
            <v>2.23</v>
          </cell>
          <cell r="BQ35">
            <v>2.2000000000000002</v>
          </cell>
          <cell r="BR35">
            <v>1.96</v>
          </cell>
          <cell r="BS35">
            <v>2.29</v>
          </cell>
          <cell r="BT35">
            <v>1.85</v>
          </cell>
          <cell r="BU35">
            <v>1.53</v>
          </cell>
          <cell r="BV35">
            <v>1.93</v>
          </cell>
          <cell r="BW35">
            <v>1.88</v>
          </cell>
          <cell r="BX35">
            <v>2.02</v>
          </cell>
          <cell r="BY35">
            <v>1.69</v>
          </cell>
          <cell r="BZ35">
            <v>1.73</v>
          </cell>
          <cell r="CA35">
            <v>1.56</v>
          </cell>
          <cell r="CB35">
            <v>1.8</v>
          </cell>
          <cell r="CC35">
            <v>2.2799999999999998</v>
          </cell>
          <cell r="CD35">
            <v>2.15</v>
          </cell>
          <cell r="CE35">
            <v>2.19</v>
          </cell>
          <cell r="CF35">
            <v>2.5499999999999998</v>
          </cell>
          <cell r="CG35">
            <v>2.82</v>
          </cell>
        </row>
        <row r="36">
          <cell r="A36" t="str">
            <v>NNG-DEMARC</v>
          </cell>
          <cell r="B36">
            <v>33</v>
          </cell>
          <cell r="M36">
            <v>2.1</v>
          </cell>
          <cell r="N36">
            <v>1.9</v>
          </cell>
          <cell r="O36">
            <v>1.89</v>
          </cell>
          <cell r="Q36">
            <v>1.95</v>
          </cell>
          <cell r="R36">
            <v>2.0499999999999998</v>
          </cell>
          <cell r="S36">
            <v>2.14</v>
          </cell>
          <cell r="T36">
            <v>1.77</v>
          </cell>
          <cell r="U36">
            <v>1.77</v>
          </cell>
          <cell r="V36">
            <v>1.5</v>
          </cell>
          <cell r="W36">
            <v>1.61</v>
          </cell>
          <cell r="X36">
            <v>1.55</v>
          </cell>
          <cell r="Y36">
            <v>1.39</v>
          </cell>
          <cell r="Z36">
            <v>1.39</v>
          </cell>
          <cell r="AA36">
            <v>1.47</v>
          </cell>
          <cell r="AB36">
            <v>1.6</v>
          </cell>
          <cell r="AC36">
            <v>1.5</v>
          </cell>
          <cell r="AD36">
            <v>1.25</v>
          </cell>
          <cell r="AE36">
            <v>1.24</v>
          </cell>
          <cell r="AF36">
            <v>1.28</v>
          </cell>
          <cell r="AG36">
            <v>1.41</v>
          </cell>
          <cell r="AH36">
            <v>1.42</v>
          </cell>
          <cell r="AI36">
            <v>1.23</v>
          </cell>
          <cell r="AJ36">
            <v>1.19</v>
          </cell>
          <cell r="AK36">
            <v>1.41</v>
          </cell>
          <cell r="AL36">
            <v>1.5</v>
          </cell>
          <cell r="AM36">
            <v>1.63</v>
          </cell>
          <cell r="AN36">
            <v>1.9</v>
          </cell>
          <cell r="AO36">
            <v>2.0499999999999998</v>
          </cell>
          <cell r="AP36">
            <v>1.86</v>
          </cell>
          <cell r="AQ36">
            <v>1.98</v>
          </cell>
          <cell r="AR36">
            <v>2.16</v>
          </cell>
          <cell r="AS36">
            <v>1.99</v>
          </cell>
          <cell r="AT36">
            <v>2.0299999999999998</v>
          </cell>
          <cell r="AU36">
            <v>2.17</v>
          </cell>
          <cell r="AV36">
            <v>2.08</v>
          </cell>
          <cell r="AW36">
            <v>1.63</v>
          </cell>
          <cell r="AX36">
            <v>1.71</v>
          </cell>
          <cell r="AY36">
            <v>2.59</v>
          </cell>
          <cell r="AZ36">
            <v>3.62</v>
          </cell>
          <cell r="BA36">
            <v>4.22</v>
          </cell>
          <cell r="BB36">
            <v>2.87</v>
          </cell>
          <cell r="BC36">
            <v>1.65</v>
          </cell>
          <cell r="BD36">
            <v>1.73</v>
          </cell>
          <cell r="BE36">
            <v>1.94</v>
          </cell>
          <cell r="BF36">
            <v>2.11</v>
          </cell>
          <cell r="BG36">
            <v>2.0099999999999998</v>
          </cell>
          <cell r="BH36">
            <v>2.0499999999999998</v>
          </cell>
          <cell r="BI36">
            <v>2.42</v>
          </cell>
          <cell r="BJ36">
            <v>3.02</v>
          </cell>
          <cell r="BK36">
            <v>3.29</v>
          </cell>
          <cell r="BL36">
            <v>2.4500000000000002</v>
          </cell>
          <cell r="BM36">
            <v>2.1800000000000002</v>
          </cell>
          <cell r="BN36">
            <v>1.95</v>
          </cell>
          <cell r="BO36">
            <v>2.16</v>
          </cell>
          <cell r="BP36">
            <v>2.1800000000000002</v>
          </cell>
          <cell r="BQ36">
            <v>2.16</v>
          </cell>
          <cell r="BR36">
            <v>1.93</v>
          </cell>
          <cell r="BS36">
            <v>2.27</v>
          </cell>
          <cell r="BT36">
            <v>1.86</v>
          </cell>
          <cell r="BU36">
            <v>1.57</v>
          </cell>
          <cell r="BV36">
            <v>1.92</v>
          </cell>
          <cell r="BW36">
            <v>2</v>
          </cell>
          <cell r="BX36">
            <v>2.12</v>
          </cell>
          <cell r="BY36">
            <v>1.83</v>
          </cell>
          <cell r="BZ36">
            <v>1.8</v>
          </cell>
          <cell r="CA36">
            <v>1.59</v>
          </cell>
          <cell r="CB36">
            <v>1.76</v>
          </cell>
          <cell r="CC36">
            <v>2.21</v>
          </cell>
          <cell r="CD36">
            <v>2.14</v>
          </cell>
          <cell r="CE36">
            <v>2.19</v>
          </cell>
          <cell r="CF36">
            <v>2.5299999999999998</v>
          </cell>
          <cell r="CG36">
            <v>2.78</v>
          </cell>
        </row>
        <row r="37">
          <cell r="A37" t="str">
            <v>NNG-TOK</v>
          </cell>
          <cell r="B37">
            <v>34</v>
          </cell>
          <cell r="C37">
            <v>1.96</v>
          </cell>
          <cell r="D37">
            <v>1.92</v>
          </cell>
          <cell r="E37">
            <v>1.9</v>
          </cell>
          <cell r="F37">
            <v>1.5</v>
          </cell>
          <cell r="G37">
            <v>1.75</v>
          </cell>
          <cell r="H37">
            <v>1.95</v>
          </cell>
          <cell r="I37">
            <v>2.4500000000000002</v>
          </cell>
          <cell r="J37">
            <v>1.71</v>
          </cell>
          <cell r="K37">
            <v>1.71</v>
          </cell>
          <cell r="L37">
            <v>1.81</v>
          </cell>
          <cell r="M37">
            <v>2.0499999999999998</v>
          </cell>
          <cell r="N37">
            <v>1.8</v>
          </cell>
          <cell r="O37">
            <v>1.81</v>
          </cell>
          <cell r="P37">
            <v>2.2599999999999998</v>
          </cell>
          <cell r="Q37">
            <v>1.89</v>
          </cell>
          <cell r="R37">
            <v>1.97</v>
          </cell>
          <cell r="S37">
            <v>2.0299999999999998</v>
          </cell>
          <cell r="T37">
            <v>1.73</v>
          </cell>
          <cell r="U37">
            <v>1.73</v>
          </cell>
          <cell r="V37">
            <v>1.47</v>
          </cell>
          <cell r="W37">
            <v>1.6</v>
          </cell>
          <cell r="X37">
            <v>1.53</v>
          </cell>
          <cell r="Y37">
            <v>1.36</v>
          </cell>
          <cell r="Z37">
            <v>1.22</v>
          </cell>
          <cell r="AA37">
            <v>1.44</v>
          </cell>
          <cell r="AB37">
            <v>1.57</v>
          </cell>
          <cell r="AC37">
            <v>1.46</v>
          </cell>
          <cell r="AD37">
            <v>1.21</v>
          </cell>
          <cell r="AE37">
            <v>1.2</v>
          </cell>
          <cell r="AF37">
            <v>1.26</v>
          </cell>
          <cell r="AG37">
            <v>1.37</v>
          </cell>
          <cell r="AH37">
            <v>1.39</v>
          </cell>
          <cell r="AI37">
            <v>1.2</v>
          </cell>
          <cell r="AJ37">
            <v>1.17</v>
          </cell>
          <cell r="AK37">
            <v>1.38</v>
          </cell>
          <cell r="AL37">
            <v>1.46</v>
          </cell>
          <cell r="AM37">
            <v>1.57</v>
          </cell>
          <cell r="AN37">
            <v>1.84</v>
          </cell>
          <cell r="AO37">
            <v>1.93</v>
          </cell>
          <cell r="AP37">
            <v>1.73</v>
          </cell>
          <cell r="AQ37">
            <v>1.87</v>
          </cell>
          <cell r="AR37">
            <v>2.06</v>
          </cell>
          <cell r="AS37">
            <v>1.95</v>
          </cell>
          <cell r="AT37">
            <v>1.98</v>
          </cell>
          <cell r="AU37">
            <v>2.1</v>
          </cell>
          <cell r="AV37">
            <v>2.0299999999999998</v>
          </cell>
          <cell r="AW37">
            <v>1.57</v>
          </cell>
          <cell r="AX37">
            <v>1.64</v>
          </cell>
          <cell r="AY37">
            <v>2.48</v>
          </cell>
          <cell r="AZ37">
            <v>3.52</v>
          </cell>
          <cell r="BA37">
            <v>3.8</v>
          </cell>
          <cell r="BB37">
            <v>2.73</v>
          </cell>
          <cell r="BC37">
            <v>1.56</v>
          </cell>
          <cell r="BD37">
            <v>1.63</v>
          </cell>
          <cell r="BE37">
            <v>1.85</v>
          </cell>
          <cell r="BF37">
            <v>2.04</v>
          </cell>
          <cell r="BG37">
            <v>1.91</v>
          </cell>
          <cell r="BH37">
            <v>1.96</v>
          </cell>
          <cell r="BI37">
            <v>2.33</v>
          </cell>
          <cell r="BJ37">
            <v>2.86</v>
          </cell>
          <cell r="BK37">
            <v>3.09</v>
          </cell>
          <cell r="BL37">
            <v>2.2799999999999998</v>
          </cell>
          <cell r="BM37">
            <v>2.0499999999999998</v>
          </cell>
          <cell r="BN37">
            <v>1.86</v>
          </cell>
          <cell r="BO37">
            <v>2.06</v>
          </cell>
          <cell r="BP37">
            <v>2.06</v>
          </cell>
          <cell r="BQ37">
            <v>2.0499999999999998</v>
          </cell>
          <cell r="BR37">
            <v>1.84</v>
          </cell>
          <cell r="BS37">
            <v>2.15</v>
          </cell>
          <cell r="BT37">
            <v>1.79</v>
          </cell>
          <cell r="BU37">
            <v>1.5</v>
          </cell>
          <cell r="BV37">
            <v>1.78</v>
          </cell>
          <cell r="BW37">
            <v>1.86</v>
          </cell>
          <cell r="BX37">
            <v>1.98</v>
          </cell>
          <cell r="BY37">
            <v>1.74</v>
          </cell>
          <cell r="BZ37">
            <v>1.72</v>
          </cell>
          <cell r="CA37">
            <v>1.48</v>
          </cell>
          <cell r="CB37">
            <v>1.67</v>
          </cell>
          <cell r="CC37">
            <v>2.13</v>
          </cell>
          <cell r="CD37">
            <v>2.06</v>
          </cell>
          <cell r="CE37">
            <v>2.1</v>
          </cell>
          <cell r="CF37">
            <v>2.44</v>
          </cell>
          <cell r="CG37">
            <v>2.7</v>
          </cell>
        </row>
        <row r="38">
          <cell r="A38" t="str">
            <v>NNG-VENT</v>
          </cell>
          <cell r="B38">
            <v>35</v>
          </cell>
          <cell r="C38">
            <v>2.0499999999999998</v>
          </cell>
          <cell r="D38">
            <v>2.0499999999999998</v>
          </cell>
          <cell r="E38">
            <v>1.96</v>
          </cell>
          <cell r="F38">
            <v>1.6</v>
          </cell>
          <cell r="G38">
            <v>1.86</v>
          </cell>
          <cell r="H38">
            <v>2.09</v>
          </cell>
          <cell r="I38">
            <v>2.59</v>
          </cell>
          <cell r="J38">
            <v>1.8</v>
          </cell>
          <cell r="K38">
            <v>1.78</v>
          </cell>
          <cell r="L38">
            <v>1.8</v>
          </cell>
          <cell r="M38">
            <v>2.15</v>
          </cell>
          <cell r="N38">
            <v>1.9</v>
          </cell>
          <cell r="O38">
            <v>1.88</v>
          </cell>
          <cell r="P38">
            <v>2.3199999999999998</v>
          </cell>
          <cell r="Q38">
            <v>1.93</v>
          </cell>
          <cell r="R38">
            <v>2.0499999999999998</v>
          </cell>
          <cell r="S38">
            <v>2.14</v>
          </cell>
          <cell r="T38">
            <v>1.75</v>
          </cell>
          <cell r="U38">
            <v>1.8</v>
          </cell>
          <cell r="V38">
            <v>1.5</v>
          </cell>
          <cell r="W38">
            <v>1.61</v>
          </cell>
          <cell r="X38">
            <v>1.54</v>
          </cell>
          <cell r="Y38">
            <v>1.39</v>
          </cell>
          <cell r="Z38">
            <v>1.27</v>
          </cell>
          <cell r="AA38">
            <v>1.48</v>
          </cell>
          <cell r="AB38">
            <v>1.62</v>
          </cell>
          <cell r="AC38">
            <v>1.49</v>
          </cell>
          <cell r="AD38">
            <v>1.25</v>
          </cell>
          <cell r="AE38">
            <v>1.23</v>
          </cell>
          <cell r="AF38">
            <v>1.28</v>
          </cell>
          <cell r="AG38">
            <v>1.39</v>
          </cell>
          <cell r="AH38">
            <v>1.41</v>
          </cell>
          <cell r="AI38">
            <v>1.18</v>
          </cell>
          <cell r="AJ38">
            <v>1.0900000000000001</v>
          </cell>
          <cell r="AK38">
            <v>1.33</v>
          </cell>
          <cell r="AL38">
            <v>1.48</v>
          </cell>
          <cell r="AM38">
            <v>1.61</v>
          </cell>
          <cell r="AN38">
            <v>1.84</v>
          </cell>
          <cell r="AO38">
            <v>2</v>
          </cell>
          <cell r="AP38">
            <v>1.84</v>
          </cell>
          <cell r="AQ38">
            <v>1.94</v>
          </cell>
          <cell r="AR38">
            <v>2.11</v>
          </cell>
          <cell r="AS38">
            <v>1.91</v>
          </cell>
          <cell r="AT38">
            <v>1.96</v>
          </cell>
          <cell r="AU38">
            <v>2.0699999999999998</v>
          </cell>
          <cell r="AV38">
            <v>2.0699999999999998</v>
          </cell>
          <cell r="AW38">
            <v>1.62</v>
          </cell>
          <cell r="AX38">
            <v>1.71</v>
          </cell>
          <cell r="AY38">
            <v>2.5499999999999998</v>
          </cell>
          <cell r="AZ38">
            <v>3.61</v>
          </cell>
          <cell r="BA38">
            <v>4.2</v>
          </cell>
          <cell r="BB38">
            <v>2.85</v>
          </cell>
          <cell r="BC38">
            <v>1.63</v>
          </cell>
          <cell r="BD38">
            <v>1.71</v>
          </cell>
          <cell r="BE38">
            <v>1.94</v>
          </cell>
          <cell r="BF38">
            <v>2.1</v>
          </cell>
          <cell r="BG38">
            <v>1.97</v>
          </cell>
          <cell r="BH38">
            <v>2.0499999999999998</v>
          </cell>
          <cell r="BI38">
            <v>2.41</v>
          </cell>
          <cell r="BJ38">
            <v>3.03</v>
          </cell>
          <cell r="BK38">
            <v>3.29</v>
          </cell>
          <cell r="BL38">
            <v>2.44</v>
          </cell>
          <cell r="BM38">
            <v>2.17</v>
          </cell>
          <cell r="BN38">
            <v>1.96</v>
          </cell>
          <cell r="BO38">
            <v>2.15</v>
          </cell>
          <cell r="BP38">
            <v>2.1800000000000002</v>
          </cell>
          <cell r="BQ38">
            <v>2.15</v>
          </cell>
          <cell r="BR38">
            <v>1.92</v>
          </cell>
          <cell r="BS38">
            <v>2.2599999999999998</v>
          </cell>
          <cell r="BT38">
            <v>1.84</v>
          </cell>
          <cell r="BU38">
            <v>1.56</v>
          </cell>
          <cell r="BV38">
            <v>1.91</v>
          </cell>
          <cell r="BW38">
            <v>2</v>
          </cell>
          <cell r="BX38">
            <v>2.13</v>
          </cell>
          <cell r="BY38">
            <v>1.84</v>
          </cell>
          <cell r="BZ38">
            <v>1.8</v>
          </cell>
          <cell r="CA38">
            <v>1.6</v>
          </cell>
          <cell r="CB38">
            <v>1.75</v>
          </cell>
          <cell r="CC38">
            <v>2.2000000000000002</v>
          </cell>
          <cell r="CD38">
            <v>2.12</v>
          </cell>
          <cell r="CE38">
            <v>2.1800000000000002</v>
          </cell>
          <cell r="CF38">
            <v>2.5</v>
          </cell>
          <cell r="CG38">
            <v>2.76</v>
          </cell>
        </row>
        <row r="39">
          <cell r="A39" t="str">
            <v>NOR-EAST</v>
          </cell>
          <cell r="B39">
            <v>36</v>
          </cell>
          <cell r="AE39">
            <v>1.33</v>
          </cell>
          <cell r="AF39">
            <v>1.44</v>
          </cell>
          <cell r="AG39">
            <v>1.57</v>
          </cell>
          <cell r="AH39">
            <v>1.61</v>
          </cell>
          <cell r="AI39">
            <v>1.4</v>
          </cell>
          <cell r="AJ39">
            <v>1.3</v>
          </cell>
          <cell r="AK39">
            <v>1.5</v>
          </cell>
          <cell r="AL39">
            <v>1.54</v>
          </cell>
          <cell r="AM39">
            <v>1.68</v>
          </cell>
          <cell r="AN39">
            <v>2.02</v>
          </cell>
          <cell r="AO39">
            <v>2.09</v>
          </cell>
          <cell r="AP39">
            <v>1.89</v>
          </cell>
          <cell r="AQ39">
            <v>1.93</v>
          </cell>
          <cell r="AR39">
            <v>2.23</v>
          </cell>
          <cell r="AS39">
            <v>2.12</v>
          </cell>
          <cell r="AT39">
            <v>2.1800000000000002</v>
          </cell>
          <cell r="AU39">
            <v>2.31</v>
          </cell>
          <cell r="AV39">
            <v>2.25</v>
          </cell>
          <cell r="AW39">
            <v>1.75</v>
          </cell>
          <cell r="AX39">
            <v>1.74</v>
          </cell>
          <cell r="AY39">
            <v>2.4700000000000002</v>
          </cell>
          <cell r="AZ39">
            <v>3.61</v>
          </cell>
          <cell r="BA39">
            <v>4.1500000000000004</v>
          </cell>
          <cell r="BB39">
            <v>2.78</v>
          </cell>
          <cell r="BC39">
            <v>1.65</v>
          </cell>
          <cell r="BD39">
            <v>1.74</v>
          </cell>
          <cell r="BE39">
            <v>2.0099999999999998</v>
          </cell>
          <cell r="BF39">
            <v>2.19</v>
          </cell>
          <cell r="BG39">
            <v>2.0699999999999998</v>
          </cell>
          <cell r="BH39">
            <v>2.11</v>
          </cell>
          <cell r="BI39">
            <v>2.44</v>
          </cell>
          <cell r="BJ39">
            <v>3.05</v>
          </cell>
          <cell r="BK39">
            <v>3.17</v>
          </cell>
          <cell r="BL39">
            <v>2.37</v>
          </cell>
          <cell r="BM39">
            <v>2.16</v>
          </cell>
          <cell r="BN39">
            <v>1.94</v>
          </cell>
          <cell r="BO39">
            <v>2.16</v>
          </cell>
          <cell r="BP39">
            <v>2.2000000000000002</v>
          </cell>
          <cell r="BQ39">
            <v>2.1800000000000002</v>
          </cell>
          <cell r="BR39">
            <v>1.96</v>
          </cell>
          <cell r="BS39">
            <v>2.2999999999999998</v>
          </cell>
          <cell r="BT39">
            <v>1.86</v>
          </cell>
          <cell r="BU39">
            <v>1.57</v>
          </cell>
          <cell r="BV39">
            <v>1.94</v>
          </cell>
          <cell r="BW39">
            <v>1.93</v>
          </cell>
          <cell r="BX39">
            <v>2.0299999999999998</v>
          </cell>
          <cell r="BY39">
            <v>1.74</v>
          </cell>
          <cell r="BZ39">
            <v>1.74</v>
          </cell>
          <cell r="CA39">
            <v>1.56</v>
          </cell>
          <cell r="CB39">
            <v>1.77</v>
          </cell>
          <cell r="CC39">
            <v>2.27</v>
          </cell>
          <cell r="CD39">
            <v>2.17</v>
          </cell>
          <cell r="CE39">
            <v>2.21</v>
          </cell>
          <cell r="CF39">
            <v>2.5499999999999998</v>
          </cell>
          <cell r="CG39">
            <v>2.82</v>
          </cell>
        </row>
        <row r="40">
          <cell r="A40" t="str">
            <v>NOR-WEST</v>
          </cell>
          <cell r="B40">
            <v>37</v>
          </cell>
          <cell r="AE40">
            <v>1.28</v>
          </cell>
          <cell r="AF40">
            <v>1.35</v>
          </cell>
          <cell r="AG40">
            <v>1.46</v>
          </cell>
          <cell r="AH40">
            <v>1.48</v>
          </cell>
          <cell r="AI40">
            <v>1.28</v>
          </cell>
          <cell r="AJ40">
            <v>1.22</v>
          </cell>
          <cell r="AK40">
            <v>1.43</v>
          </cell>
          <cell r="AL40">
            <v>1.5</v>
          </cell>
          <cell r="AM40">
            <v>1.62</v>
          </cell>
          <cell r="AN40">
            <v>1.89</v>
          </cell>
          <cell r="AO40">
            <v>2.0099999999999998</v>
          </cell>
          <cell r="AP40">
            <v>1.83</v>
          </cell>
          <cell r="AQ40">
            <v>1.9</v>
          </cell>
          <cell r="AR40">
            <v>2.15</v>
          </cell>
          <cell r="AS40">
            <v>2.02</v>
          </cell>
          <cell r="AT40">
            <v>2.0699999999999998</v>
          </cell>
          <cell r="AU40">
            <v>2.2000000000000002</v>
          </cell>
          <cell r="AV40">
            <v>2.16</v>
          </cell>
          <cell r="AW40">
            <v>1.68</v>
          </cell>
          <cell r="AX40">
            <v>1.69</v>
          </cell>
          <cell r="AY40">
            <v>2.4300000000000002</v>
          </cell>
          <cell r="AZ40">
            <v>3.55</v>
          </cell>
          <cell r="BA40">
            <v>4.1100000000000003</v>
          </cell>
          <cell r="BB40">
            <v>2.73</v>
          </cell>
          <cell r="BC40">
            <v>1.61</v>
          </cell>
          <cell r="BD40">
            <v>1.72</v>
          </cell>
          <cell r="BE40">
            <v>1.96</v>
          </cell>
          <cell r="BF40">
            <v>2.15</v>
          </cell>
          <cell r="BG40">
            <v>2.0099999999999998</v>
          </cell>
          <cell r="BH40">
            <v>2.0699999999999998</v>
          </cell>
          <cell r="BI40">
            <v>2.41</v>
          </cell>
          <cell r="BJ40">
            <v>2.98</v>
          </cell>
          <cell r="BK40">
            <v>3.1</v>
          </cell>
          <cell r="BL40">
            <v>2.3199999999999998</v>
          </cell>
          <cell r="BM40">
            <v>2.15</v>
          </cell>
          <cell r="BN40">
            <v>1.92</v>
          </cell>
          <cell r="BO40">
            <v>2.14</v>
          </cell>
          <cell r="BP40">
            <v>2.17</v>
          </cell>
          <cell r="BQ40">
            <v>2.15</v>
          </cell>
          <cell r="BR40">
            <v>1.92</v>
          </cell>
          <cell r="BS40">
            <v>2.2599999999999998</v>
          </cell>
          <cell r="BT40">
            <v>1.83</v>
          </cell>
          <cell r="BU40">
            <v>1.52</v>
          </cell>
          <cell r="BV40">
            <v>1.89</v>
          </cell>
          <cell r="BW40">
            <v>1.9</v>
          </cell>
          <cell r="BX40">
            <v>2.0099999999999998</v>
          </cell>
          <cell r="BY40">
            <v>1.73</v>
          </cell>
          <cell r="BZ40">
            <v>1.73</v>
          </cell>
          <cell r="CA40">
            <v>1.54</v>
          </cell>
          <cell r="CB40">
            <v>1.74</v>
          </cell>
          <cell r="CC40">
            <v>2.2200000000000002</v>
          </cell>
          <cell r="CD40">
            <v>2.12</v>
          </cell>
          <cell r="CE40">
            <v>2.1800000000000002</v>
          </cell>
          <cell r="CF40">
            <v>2.5099999999999998</v>
          </cell>
          <cell r="CG40">
            <v>2.77</v>
          </cell>
        </row>
        <row r="41">
          <cell r="A41" t="str">
            <v>NWPL-CAN</v>
          </cell>
          <cell r="B41">
            <v>38</v>
          </cell>
          <cell r="C41">
            <v>1.5</v>
          </cell>
          <cell r="D41">
            <v>1.74</v>
          </cell>
          <cell r="E41">
            <v>2.25</v>
          </cell>
          <cell r="F41">
            <v>1.74</v>
          </cell>
          <cell r="G41">
            <v>1.8</v>
          </cell>
          <cell r="H41">
            <v>1.8</v>
          </cell>
          <cell r="I41">
            <v>2.25</v>
          </cell>
          <cell r="J41">
            <v>1.58</v>
          </cell>
          <cell r="K41">
            <v>1.55</v>
          </cell>
          <cell r="L41">
            <v>1.65</v>
          </cell>
          <cell r="M41">
            <v>1.92</v>
          </cell>
          <cell r="N41">
            <v>1.75</v>
          </cell>
          <cell r="O41">
            <v>1.8</v>
          </cell>
          <cell r="P41">
            <v>2.4</v>
          </cell>
          <cell r="Q41">
            <v>2.1800000000000002</v>
          </cell>
          <cell r="R41">
            <v>1.79</v>
          </cell>
          <cell r="S41">
            <v>1.98</v>
          </cell>
          <cell r="T41">
            <v>1.62</v>
          </cell>
          <cell r="U41">
            <v>1.6</v>
          </cell>
          <cell r="V41">
            <v>1.39</v>
          </cell>
          <cell r="W41">
            <v>1.48</v>
          </cell>
          <cell r="X41">
            <v>1.45</v>
          </cell>
          <cell r="Y41">
            <v>1.36</v>
          </cell>
          <cell r="Z41">
            <v>1.18</v>
          </cell>
          <cell r="AA41">
            <v>1.52</v>
          </cell>
          <cell r="AB41">
            <v>1.63</v>
          </cell>
          <cell r="AC41">
            <v>1.4</v>
          </cell>
          <cell r="AD41">
            <v>1.03</v>
          </cell>
          <cell r="AE41">
            <v>1</v>
          </cell>
          <cell r="AF41">
            <v>0.97</v>
          </cell>
          <cell r="AG41">
            <v>0.99</v>
          </cell>
          <cell r="AH41">
            <v>0.97</v>
          </cell>
          <cell r="AI41">
            <v>0.85</v>
          </cell>
          <cell r="AJ41">
            <v>0.75</v>
          </cell>
          <cell r="AK41">
            <v>0.85</v>
          </cell>
          <cell r="AL41">
            <v>0.96</v>
          </cell>
          <cell r="AM41">
            <v>1.26</v>
          </cell>
          <cell r="AN41">
            <v>1.29</v>
          </cell>
          <cell r="AO41">
            <v>1.24</v>
          </cell>
          <cell r="AP41">
            <v>1.2</v>
          </cell>
          <cell r="AQ41">
            <v>1.1499999999999999</v>
          </cell>
          <cell r="AR41">
            <v>0.93</v>
          </cell>
          <cell r="AS41">
            <v>0.93</v>
          </cell>
          <cell r="AT41">
            <v>0.9</v>
          </cell>
          <cell r="AU41">
            <v>0.96</v>
          </cell>
          <cell r="AV41">
            <v>1.01</v>
          </cell>
          <cell r="AW41">
            <v>1.01</v>
          </cell>
          <cell r="AX41">
            <v>1.1000000000000001</v>
          </cell>
          <cell r="AY41">
            <v>2.17</v>
          </cell>
          <cell r="AZ41">
            <v>3.55</v>
          </cell>
          <cell r="BA41">
            <v>4.1500000000000004</v>
          </cell>
          <cell r="BB41">
            <v>2.37</v>
          </cell>
          <cell r="BC41">
            <v>1.05</v>
          </cell>
          <cell r="BD41">
            <v>1.1100000000000001</v>
          </cell>
          <cell r="BE41">
            <v>1.33</v>
          </cell>
          <cell r="BF41">
            <v>1.38</v>
          </cell>
          <cell r="BG41">
            <v>1.22</v>
          </cell>
          <cell r="BH41">
            <v>1.08</v>
          </cell>
          <cell r="BI41">
            <v>1.19</v>
          </cell>
          <cell r="BJ41">
            <v>1.48</v>
          </cell>
          <cell r="BK41">
            <v>2.7</v>
          </cell>
          <cell r="BL41">
            <v>1.4</v>
          </cell>
          <cell r="BM41">
            <v>1.85</v>
          </cell>
          <cell r="BN41">
            <v>1.43</v>
          </cell>
          <cell r="BO41">
            <v>1.1200000000000001</v>
          </cell>
          <cell r="BP41">
            <v>1.43</v>
          </cell>
          <cell r="BQ41">
            <v>1.7</v>
          </cell>
          <cell r="BR41">
            <v>1.38</v>
          </cell>
          <cell r="BS41">
            <v>1.45</v>
          </cell>
          <cell r="BT41">
            <v>1.57</v>
          </cell>
          <cell r="BU41">
            <v>1.46</v>
          </cell>
          <cell r="BV41">
            <v>1.67</v>
          </cell>
          <cell r="BW41">
            <v>2.14</v>
          </cell>
          <cell r="BX41">
            <v>2.09</v>
          </cell>
          <cell r="BY41">
            <v>2.88</v>
          </cell>
          <cell r="BZ41">
            <v>1.77</v>
          </cell>
          <cell r="CA41">
            <v>1.5</v>
          </cell>
          <cell r="CB41">
            <v>1.51</v>
          </cell>
          <cell r="CC41">
            <v>1.95</v>
          </cell>
          <cell r="CD41">
            <v>1.91</v>
          </cell>
          <cell r="CE41">
            <v>1.94</v>
          </cell>
          <cell r="CF41">
            <v>2.21</v>
          </cell>
          <cell r="CG41">
            <v>2.5</v>
          </cell>
        </row>
        <row r="42">
          <cell r="A42" t="str">
            <v>NWPL-ROCK</v>
          </cell>
          <cell r="B42">
            <v>39</v>
          </cell>
          <cell r="C42">
            <v>1.79</v>
          </cell>
          <cell r="D42">
            <v>1.95</v>
          </cell>
          <cell r="E42">
            <v>2.2999999999999998</v>
          </cell>
          <cell r="F42">
            <v>1.61</v>
          </cell>
          <cell r="G42">
            <v>1.78</v>
          </cell>
          <cell r="H42">
            <v>1.79</v>
          </cell>
          <cell r="I42">
            <v>2.25</v>
          </cell>
          <cell r="J42">
            <v>1.58</v>
          </cell>
          <cell r="K42">
            <v>1.55</v>
          </cell>
          <cell r="L42">
            <v>1.65</v>
          </cell>
          <cell r="M42">
            <v>1.92</v>
          </cell>
          <cell r="N42">
            <v>1.75</v>
          </cell>
          <cell r="O42">
            <v>1.74</v>
          </cell>
          <cell r="P42">
            <v>2.35</v>
          </cell>
          <cell r="Q42">
            <v>1.92</v>
          </cell>
          <cell r="R42">
            <v>1.78</v>
          </cell>
          <cell r="S42">
            <v>1.95</v>
          </cell>
          <cell r="T42">
            <v>1.61</v>
          </cell>
          <cell r="U42">
            <v>1.6</v>
          </cell>
          <cell r="V42">
            <v>1.37</v>
          </cell>
          <cell r="W42">
            <v>1.46</v>
          </cell>
          <cell r="X42">
            <v>1.45</v>
          </cell>
          <cell r="Y42">
            <v>1.36</v>
          </cell>
          <cell r="Z42">
            <v>1.18</v>
          </cell>
          <cell r="AA42">
            <v>1.48</v>
          </cell>
          <cell r="AB42">
            <v>1.61</v>
          </cell>
          <cell r="AC42">
            <v>1.37</v>
          </cell>
          <cell r="AD42">
            <v>1.06</v>
          </cell>
          <cell r="AE42">
            <v>1.05</v>
          </cell>
          <cell r="AF42">
            <v>1.05</v>
          </cell>
          <cell r="AG42">
            <v>1.06</v>
          </cell>
          <cell r="AH42">
            <v>1.1399999999999999</v>
          </cell>
          <cell r="AI42">
            <v>0.98</v>
          </cell>
          <cell r="AJ42">
            <v>0.84</v>
          </cell>
          <cell r="AK42">
            <v>0.96</v>
          </cell>
          <cell r="AL42">
            <v>1.05</v>
          </cell>
          <cell r="AM42">
            <v>1.25</v>
          </cell>
          <cell r="AN42">
            <v>1.31</v>
          </cell>
          <cell r="AO42">
            <v>1.25</v>
          </cell>
          <cell r="AP42">
            <v>1.19</v>
          </cell>
          <cell r="AQ42">
            <v>1.17</v>
          </cell>
          <cell r="AR42">
            <v>1.06</v>
          </cell>
          <cell r="AS42">
            <v>1.05</v>
          </cell>
          <cell r="AT42">
            <v>1.07</v>
          </cell>
          <cell r="AU42">
            <v>1.19</v>
          </cell>
          <cell r="AV42">
            <v>1.23</v>
          </cell>
          <cell r="AW42">
            <v>1.18</v>
          </cell>
          <cell r="AX42">
            <v>1.26</v>
          </cell>
          <cell r="AY42">
            <v>2.29</v>
          </cell>
          <cell r="AZ42">
            <v>3.52</v>
          </cell>
          <cell r="BA42">
            <v>4.2</v>
          </cell>
          <cell r="BB42">
            <v>2.48</v>
          </cell>
          <cell r="BC42">
            <v>1.39</v>
          </cell>
          <cell r="BD42">
            <v>1.44</v>
          </cell>
          <cell r="BE42">
            <v>1.64</v>
          </cell>
          <cell r="BF42">
            <v>1.48</v>
          </cell>
          <cell r="BG42">
            <v>1.44</v>
          </cell>
          <cell r="BH42">
            <v>1.38</v>
          </cell>
          <cell r="BI42">
            <v>1.48</v>
          </cell>
          <cell r="BJ42">
            <v>2.12</v>
          </cell>
          <cell r="BK42">
            <v>3</v>
          </cell>
          <cell r="BL42">
            <v>1.94</v>
          </cell>
          <cell r="BM42">
            <v>2.06</v>
          </cell>
          <cell r="BN42">
            <v>1.69</v>
          </cell>
          <cell r="BO42">
            <v>1.87</v>
          </cell>
          <cell r="BP42">
            <v>1.9</v>
          </cell>
          <cell r="BQ42">
            <v>1.98</v>
          </cell>
          <cell r="BR42">
            <v>1.64</v>
          </cell>
          <cell r="BS42">
            <v>1.62</v>
          </cell>
          <cell r="BT42">
            <v>1.73</v>
          </cell>
          <cell r="BU42">
            <v>1.57</v>
          </cell>
          <cell r="BV42">
            <v>1.65</v>
          </cell>
          <cell r="BW42">
            <v>2.02</v>
          </cell>
          <cell r="BX42">
            <v>2</v>
          </cell>
          <cell r="BY42">
            <v>1.82</v>
          </cell>
          <cell r="BZ42">
            <v>1.63</v>
          </cell>
          <cell r="CA42">
            <v>1.51</v>
          </cell>
          <cell r="CB42">
            <v>1.54</v>
          </cell>
          <cell r="CC42">
            <v>2</v>
          </cell>
          <cell r="CD42">
            <v>1.94</v>
          </cell>
          <cell r="CE42">
            <v>1.99</v>
          </cell>
          <cell r="CF42">
            <v>2.1800000000000002</v>
          </cell>
          <cell r="CG42">
            <v>2.56</v>
          </cell>
        </row>
        <row r="43">
          <cell r="A43" t="str">
            <v>ONG-OKL</v>
          </cell>
          <cell r="B43">
            <v>40</v>
          </cell>
          <cell r="C43">
            <v>1.97</v>
          </cell>
          <cell r="D43">
            <v>1.98</v>
          </cell>
          <cell r="E43">
            <v>1.92</v>
          </cell>
          <cell r="F43">
            <v>1.62</v>
          </cell>
          <cell r="G43">
            <v>1.81</v>
          </cell>
          <cell r="H43">
            <v>2.0699999999999998</v>
          </cell>
          <cell r="I43">
            <v>2.4</v>
          </cell>
          <cell r="J43">
            <v>1.78</v>
          </cell>
          <cell r="K43">
            <v>1.76</v>
          </cell>
          <cell r="L43">
            <v>1.91</v>
          </cell>
          <cell r="M43">
            <v>2.16</v>
          </cell>
          <cell r="N43">
            <v>1.85</v>
          </cell>
          <cell r="O43">
            <v>1.88</v>
          </cell>
          <cell r="P43">
            <v>2.2400000000000002</v>
          </cell>
          <cell r="Q43">
            <v>1.92</v>
          </cell>
          <cell r="R43">
            <v>2.1</v>
          </cell>
          <cell r="S43">
            <v>2.12</v>
          </cell>
          <cell r="T43">
            <v>1.78</v>
          </cell>
          <cell r="U43">
            <v>1.83</v>
          </cell>
          <cell r="V43">
            <v>1.58</v>
          </cell>
          <cell r="W43">
            <v>1.68</v>
          </cell>
          <cell r="X43">
            <v>1.59</v>
          </cell>
          <cell r="Y43">
            <v>1.39</v>
          </cell>
          <cell r="Z43">
            <v>1.3</v>
          </cell>
          <cell r="AA43">
            <v>1.49</v>
          </cell>
          <cell r="AB43">
            <v>1.59</v>
          </cell>
          <cell r="AC43">
            <v>1.51</v>
          </cell>
          <cell r="AD43">
            <v>1.29</v>
          </cell>
          <cell r="AE43">
            <v>1.29</v>
          </cell>
          <cell r="AF43">
            <v>1.35</v>
          </cell>
          <cell r="AG43">
            <v>1.45</v>
          </cell>
          <cell r="AH43">
            <v>1.48</v>
          </cell>
          <cell r="AI43">
            <v>1.28</v>
          </cell>
          <cell r="AJ43">
            <v>1.22</v>
          </cell>
          <cell r="AK43">
            <v>1.44</v>
          </cell>
          <cell r="AL43">
            <v>1.5</v>
          </cell>
          <cell r="AM43">
            <v>1.61</v>
          </cell>
          <cell r="AN43">
            <v>1.89</v>
          </cell>
          <cell r="AO43">
            <v>2.02</v>
          </cell>
          <cell r="AP43">
            <v>1.81</v>
          </cell>
          <cell r="AQ43">
            <v>1.91</v>
          </cell>
          <cell r="AR43">
            <v>2.15</v>
          </cell>
          <cell r="AS43">
            <v>2.02</v>
          </cell>
          <cell r="AT43">
            <v>2.06</v>
          </cell>
          <cell r="AU43">
            <v>2.2000000000000002</v>
          </cell>
          <cell r="AV43">
            <v>2.17</v>
          </cell>
          <cell r="AW43">
            <v>1.68</v>
          </cell>
          <cell r="AX43">
            <v>1.7</v>
          </cell>
          <cell r="AY43">
            <v>2.5099999999999998</v>
          </cell>
          <cell r="AZ43">
            <v>3.61</v>
          </cell>
          <cell r="BA43">
            <v>4.3</v>
          </cell>
          <cell r="BB43">
            <v>2.77</v>
          </cell>
          <cell r="BC43">
            <v>1.65</v>
          </cell>
          <cell r="BD43">
            <v>1.71</v>
          </cell>
          <cell r="BE43">
            <v>1.95</v>
          </cell>
          <cell r="BF43">
            <v>2.14</v>
          </cell>
          <cell r="BG43">
            <v>2.06</v>
          </cell>
          <cell r="BH43">
            <v>2.06</v>
          </cell>
          <cell r="BI43">
            <v>2.39</v>
          </cell>
          <cell r="BJ43">
            <v>3.01</v>
          </cell>
          <cell r="BK43">
            <v>3.16</v>
          </cell>
          <cell r="BL43">
            <v>2.36</v>
          </cell>
          <cell r="BM43">
            <v>2.15</v>
          </cell>
          <cell r="BN43">
            <v>1.93</v>
          </cell>
          <cell r="BO43">
            <v>2.16</v>
          </cell>
          <cell r="BP43">
            <v>2.19</v>
          </cell>
          <cell r="BQ43">
            <v>2.17</v>
          </cell>
          <cell r="BR43">
            <v>1.95</v>
          </cell>
          <cell r="BS43">
            <v>2.29</v>
          </cell>
          <cell r="BT43">
            <v>1.86</v>
          </cell>
          <cell r="BU43">
            <v>1.58</v>
          </cell>
          <cell r="BV43">
            <v>1.93</v>
          </cell>
          <cell r="BW43">
            <v>1.95</v>
          </cell>
          <cell r="BX43">
            <v>2.06</v>
          </cell>
          <cell r="BY43">
            <v>1.77</v>
          </cell>
          <cell r="BZ43">
            <v>1.75</v>
          </cell>
          <cell r="CA43">
            <v>1.58</v>
          </cell>
          <cell r="CB43">
            <v>1.76</v>
          </cell>
          <cell r="CC43">
            <v>2.23</v>
          </cell>
          <cell r="CD43">
            <v>2.13</v>
          </cell>
          <cell r="CE43">
            <v>2.1800000000000002</v>
          </cell>
          <cell r="CF43">
            <v>2.5099999999999998</v>
          </cell>
          <cell r="CG43">
            <v>2.78</v>
          </cell>
        </row>
        <row r="44">
          <cell r="A44" t="str">
            <v>PEPL-FZ</v>
          </cell>
          <cell r="B44">
            <v>41</v>
          </cell>
          <cell r="C44">
            <v>2.0699999999999998</v>
          </cell>
          <cell r="D44">
            <v>2.0299999999999998</v>
          </cell>
          <cell r="E44">
            <v>1.95</v>
          </cell>
          <cell r="F44">
            <v>1.61</v>
          </cell>
          <cell r="G44">
            <v>1.83</v>
          </cell>
          <cell r="H44">
            <v>2.1</v>
          </cell>
          <cell r="I44">
            <v>2.5499999999999998</v>
          </cell>
          <cell r="J44">
            <v>1.85</v>
          </cell>
          <cell r="K44">
            <v>1.79</v>
          </cell>
          <cell r="L44">
            <v>1.93</v>
          </cell>
          <cell r="M44">
            <v>2.1800000000000002</v>
          </cell>
          <cell r="N44">
            <v>1.9</v>
          </cell>
          <cell r="O44">
            <v>1.9</v>
          </cell>
          <cell r="P44">
            <v>2.23</v>
          </cell>
          <cell r="Q44">
            <v>1.97</v>
          </cell>
          <cell r="R44">
            <v>2.12</v>
          </cell>
          <cell r="S44">
            <v>2.14</v>
          </cell>
          <cell r="T44">
            <v>1.8</v>
          </cell>
          <cell r="U44">
            <v>1.84</v>
          </cell>
          <cell r="V44">
            <v>1.57</v>
          </cell>
          <cell r="W44">
            <v>1.65</v>
          </cell>
          <cell r="X44">
            <v>1.57</v>
          </cell>
          <cell r="Y44">
            <v>1.41</v>
          </cell>
          <cell r="Z44">
            <v>1.31</v>
          </cell>
          <cell r="AA44">
            <v>1.52</v>
          </cell>
          <cell r="AB44">
            <v>1.6</v>
          </cell>
          <cell r="AC44">
            <v>1.51</v>
          </cell>
          <cell r="AD44">
            <v>1.27</v>
          </cell>
          <cell r="AE44">
            <v>1.27</v>
          </cell>
          <cell r="AF44">
            <v>1.34</v>
          </cell>
          <cell r="AG44">
            <v>1.45</v>
          </cell>
          <cell r="AH44">
            <v>1.47</v>
          </cell>
          <cell r="AI44">
            <v>1.25</v>
          </cell>
          <cell r="AJ44">
            <v>1.2</v>
          </cell>
          <cell r="AK44">
            <v>1.41</v>
          </cell>
          <cell r="AL44">
            <v>1.5</v>
          </cell>
          <cell r="AM44">
            <v>1.61</v>
          </cell>
          <cell r="AN44">
            <v>1.89</v>
          </cell>
          <cell r="AO44">
            <v>2</v>
          </cell>
          <cell r="AP44">
            <v>1.81</v>
          </cell>
          <cell r="AQ44">
            <v>1.9</v>
          </cell>
          <cell r="AR44">
            <v>2.14</v>
          </cell>
          <cell r="AS44">
            <v>2</v>
          </cell>
          <cell r="AT44">
            <v>2.0499999999999998</v>
          </cell>
          <cell r="AU44">
            <v>2.1800000000000002</v>
          </cell>
          <cell r="AV44">
            <v>2.13</v>
          </cell>
          <cell r="AW44">
            <v>1.67</v>
          </cell>
          <cell r="AX44">
            <v>1.69</v>
          </cell>
          <cell r="AY44">
            <v>2.5099999999999998</v>
          </cell>
          <cell r="AZ44">
            <v>3.61</v>
          </cell>
          <cell r="BA44">
            <v>4.0999999999999996</v>
          </cell>
          <cell r="BB44">
            <v>2.84</v>
          </cell>
          <cell r="BC44">
            <v>1.64</v>
          </cell>
          <cell r="BD44">
            <v>1.73</v>
          </cell>
          <cell r="BE44">
            <v>1.95</v>
          </cell>
          <cell r="BF44">
            <v>2.13</v>
          </cell>
          <cell r="BG44">
            <v>2.0099999999999998</v>
          </cell>
          <cell r="BH44">
            <v>2.06</v>
          </cell>
          <cell r="BI44">
            <v>2.42</v>
          </cell>
          <cell r="BJ44">
            <v>3.01</v>
          </cell>
          <cell r="BK44">
            <v>3.16</v>
          </cell>
          <cell r="BL44">
            <v>2.35</v>
          </cell>
          <cell r="BM44">
            <v>2.15</v>
          </cell>
          <cell r="BN44">
            <v>1.93</v>
          </cell>
          <cell r="BO44">
            <v>2.15</v>
          </cell>
          <cell r="BP44">
            <v>2.19</v>
          </cell>
          <cell r="BQ44">
            <v>2.1800000000000002</v>
          </cell>
          <cell r="BR44">
            <v>1.94</v>
          </cell>
          <cell r="BS44">
            <v>2.27</v>
          </cell>
          <cell r="BT44">
            <v>1.84</v>
          </cell>
          <cell r="BU44">
            <v>1.56</v>
          </cell>
          <cell r="BV44">
            <v>1.9</v>
          </cell>
          <cell r="BW44">
            <v>1.95</v>
          </cell>
          <cell r="BX44">
            <v>2.06</v>
          </cell>
          <cell r="BY44">
            <v>1.78</v>
          </cell>
          <cell r="BZ44">
            <v>1.76</v>
          </cell>
          <cell r="CA44">
            <v>1.58</v>
          </cell>
          <cell r="CB44">
            <v>1.76</v>
          </cell>
          <cell r="CC44">
            <v>2.2200000000000002</v>
          </cell>
          <cell r="CD44">
            <v>2.12</v>
          </cell>
          <cell r="CE44">
            <v>2.17</v>
          </cell>
          <cell r="CF44">
            <v>2.5099999999999998</v>
          </cell>
          <cell r="CG44">
            <v>2.77</v>
          </cell>
        </row>
        <row r="45">
          <cell r="A45" t="str">
            <v>QUEST</v>
          </cell>
          <cell r="B45">
            <v>42</v>
          </cell>
          <cell r="C45">
            <v>1.87</v>
          </cell>
          <cell r="D45">
            <v>1.88</v>
          </cell>
          <cell r="E45">
            <v>2.2599999999999998</v>
          </cell>
          <cell r="F45">
            <v>1.59</v>
          </cell>
          <cell r="G45">
            <v>1.7</v>
          </cell>
          <cell r="H45">
            <v>1.75</v>
          </cell>
          <cell r="I45">
            <v>2.2000000000000002</v>
          </cell>
          <cell r="J45">
            <v>1.58</v>
          </cell>
          <cell r="K45">
            <v>1.56</v>
          </cell>
          <cell r="L45">
            <v>1.65</v>
          </cell>
          <cell r="M45">
            <v>1.88</v>
          </cell>
          <cell r="N45">
            <v>1.72</v>
          </cell>
          <cell r="O45">
            <v>1.71</v>
          </cell>
          <cell r="P45">
            <v>2.2599999999999998</v>
          </cell>
          <cell r="Q45">
            <v>1.86</v>
          </cell>
          <cell r="R45">
            <v>1.77</v>
          </cell>
          <cell r="S45">
            <v>1.88</v>
          </cell>
          <cell r="T45">
            <v>1.55</v>
          </cell>
          <cell r="U45">
            <v>1.55</v>
          </cell>
          <cell r="V45">
            <v>1.31</v>
          </cell>
          <cell r="W45">
            <v>1.42</v>
          </cell>
          <cell r="X45">
            <v>1.41</v>
          </cell>
          <cell r="Y45">
            <v>1.34</v>
          </cell>
          <cell r="Z45">
            <v>1.1499999999999999</v>
          </cell>
          <cell r="AA45">
            <v>1.45</v>
          </cell>
          <cell r="AB45">
            <v>1.57</v>
          </cell>
          <cell r="AC45">
            <v>1.35</v>
          </cell>
          <cell r="AD45">
            <v>1.06</v>
          </cell>
          <cell r="AE45">
            <v>1.05</v>
          </cell>
          <cell r="AF45">
            <v>1.05</v>
          </cell>
          <cell r="AG45">
            <v>1.07</v>
          </cell>
          <cell r="AH45">
            <v>1.1299999999999999</v>
          </cell>
          <cell r="AI45">
            <v>0.98</v>
          </cell>
          <cell r="AJ45">
            <v>0.85</v>
          </cell>
          <cell r="AK45">
            <v>0.95</v>
          </cell>
          <cell r="AL45">
            <v>1.04</v>
          </cell>
          <cell r="AM45">
            <v>1.23</v>
          </cell>
          <cell r="AN45">
            <v>1.31</v>
          </cell>
          <cell r="AO45">
            <v>1.26</v>
          </cell>
          <cell r="AP45">
            <v>1.17</v>
          </cell>
          <cell r="AQ45">
            <v>1.1599999999999999</v>
          </cell>
          <cell r="AR45">
            <v>1.05</v>
          </cell>
          <cell r="AS45">
            <v>1.05</v>
          </cell>
          <cell r="AT45">
            <v>1.06</v>
          </cell>
          <cell r="AU45">
            <v>1.17</v>
          </cell>
          <cell r="AV45">
            <v>1.19</v>
          </cell>
          <cell r="AW45">
            <v>1.18</v>
          </cell>
          <cell r="AX45">
            <v>1.25</v>
          </cell>
          <cell r="AY45">
            <v>2.2000000000000002</v>
          </cell>
          <cell r="AZ45">
            <v>3.36</v>
          </cell>
          <cell r="BA45">
            <v>4.2</v>
          </cell>
          <cell r="BB45">
            <v>2.4500000000000002</v>
          </cell>
          <cell r="BC45">
            <v>1.38</v>
          </cell>
          <cell r="BD45">
            <v>1.42</v>
          </cell>
          <cell r="BE45">
            <v>1.61</v>
          </cell>
          <cell r="BF45">
            <v>1.45</v>
          </cell>
          <cell r="BG45">
            <v>1.42</v>
          </cell>
          <cell r="BH45">
            <v>1.38</v>
          </cell>
          <cell r="BI45">
            <v>1.47</v>
          </cell>
          <cell r="BJ45">
            <v>2.1</v>
          </cell>
          <cell r="BK45">
            <v>2.99</v>
          </cell>
          <cell r="BL45">
            <v>1.93</v>
          </cell>
          <cell r="BM45">
            <v>2.04</v>
          </cell>
          <cell r="BN45">
            <v>1.68</v>
          </cell>
          <cell r="BO45">
            <v>1.86</v>
          </cell>
          <cell r="BP45">
            <v>1.89</v>
          </cell>
          <cell r="BQ45">
            <v>1.97</v>
          </cell>
          <cell r="BR45">
            <v>1.62</v>
          </cell>
          <cell r="BS45">
            <v>1.61</v>
          </cell>
          <cell r="BT45">
            <v>1.73</v>
          </cell>
          <cell r="BU45">
            <v>1.53</v>
          </cell>
          <cell r="BV45">
            <v>1.64</v>
          </cell>
          <cell r="BW45">
            <v>1.91</v>
          </cell>
          <cell r="BX45">
            <v>2</v>
          </cell>
          <cell r="BY45">
            <v>1.73</v>
          </cell>
          <cell r="BZ45">
            <v>1.58</v>
          </cell>
          <cell r="CA45">
            <v>1.45</v>
          </cell>
          <cell r="CB45">
            <v>1.43</v>
          </cell>
          <cell r="CC45">
            <v>1.9</v>
          </cell>
          <cell r="CD45">
            <v>1.85</v>
          </cell>
          <cell r="CE45">
            <v>1.92</v>
          </cell>
          <cell r="CF45">
            <v>2.12</v>
          </cell>
          <cell r="CG45">
            <v>2.48</v>
          </cell>
        </row>
        <row r="46">
          <cell r="A46" t="str">
            <v>NGI-SOCAL</v>
          </cell>
          <cell r="B46">
            <v>43</v>
          </cell>
          <cell r="C46">
            <v>2.42</v>
          </cell>
          <cell r="D46">
            <v>2.3199999999999998</v>
          </cell>
          <cell r="E46">
            <v>2.33</v>
          </cell>
          <cell r="F46">
            <v>1.82</v>
          </cell>
          <cell r="G46">
            <v>2.04</v>
          </cell>
          <cell r="H46">
            <v>2.1800000000000002</v>
          </cell>
          <cell r="I46">
            <v>2.58</v>
          </cell>
          <cell r="J46">
            <v>1.92</v>
          </cell>
          <cell r="K46">
            <v>2.04</v>
          </cell>
          <cell r="L46">
            <v>2.29</v>
          </cell>
          <cell r="M46">
            <v>2.4300000000000002</v>
          </cell>
          <cell r="N46">
            <v>2.2000000000000002</v>
          </cell>
          <cell r="O46">
            <v>2.0699999999999998</v>
          </cell>
          <cell r="P46">
            <v>2.5499999999999998</v>
          </cell>
          <cell r="Q46">
            <v>2.23</v>
          </cell>
          <cell r="R46">
            <v>2</v>
          </cell>
          <cell r="S46">
            <v>2.19</v>
          </cell>
          <cell r="T46">
            <v>1.93</v>
          </cell>
          <cell r="U46">
            <v>1.92</v>
          </cell>
          <cell r="V46">
            <v>1.66</v>
          </cell>
          <cell r="W46">
            <v>1.76</v>
          </cell>
          <cell r="X46">
            <v>1.74</v>
          </cell>
          <cell r="Y46">
            <v>1.64</v>
          </cell>
          <cell r="Z46">
            <v>1.4</v>
          </cell>
          <cell r="AA46">
            <v>1.69</v>
          </cell>
          <cell r="AB46">
            <v>1.85</v>
          </cell>
          <cell r="AC46">
            <v>1.66</v>
          </cell>
          <cell r="AD46">
            <v>1.27</v>
          </cell>
          <cell r="AE46">
            <v>1.23</v>
          </cell>
          <cell r="AF46">
            <v>1.25</v>
          </cell>
          <cell r="AG46">
            <v>1.34</v>
          </cell>
          <cell r="AH46">
            <v>1.38</v>
          </cell>
          <cell r="AI46">
            <v>1.25</v>
          </cell>
          <cell r="AJ46">
            <v>1.24</v>
          </cell>
          <cell r="AK46">
            <v>1.46</v>
          </cell>
          <cell r="AL46">
            <v>1.53</v>
          </cell>
          <cell r="AM46">
            <v>1.56</v>
          </cell>
          <cell r="AN46">
            <v>1.63</v>
          </cell>
          <cell r="AO46">
            <v>1.48</v>
          </cell>
          <cell r="AP46">
            <v>1.42</v>
          </cell>
          <cell r="AQ46">
            <v>1.39</v>
          </cell>
          <cell r="AR46">
            <v>1.29</v>
          </cell>
          <cell r="AS46">
            <v>1.29</v>
          </cell>
          <cell r="AT46">
            <v>1.37</v>
          </cell>
          <cell r="AU46">
            <v>1.69</v>
          </cell>
          <cell r="AV46">
            <v>2.16</v>
          </cell>
          <cell r="AW46">
            <v>1.72</v>
          </cell>
          <cell r="AX46">
            <v>1.73</v>
          </cell>
          <cell r="AY46">
            <v>2.62</v>
          </cell>
          <cell r="AZ46">
            <v>3.7</v>
          </cell>
          <cell r="BA46">
            <v>4.2699999999999996</v>
          </cell>
          <cell r="BB46">
            <v>2.65</v>
          </cell>
          <cell r="BC46">
            <v>1.61</v>
          </cell>
          <cell r="BD46">
            <v>1.74</v>
          </cell>
          <cell r="BE46">
            <v>2.0499999999999998</v>
          </cell>
          <cell r="BF46">
            <v>2.2000000000000002</v>
          </cell>
          <cell r="BG46">
            <v>2.19</v>
          </cell>
          <cell r="BH46">
            <v>2.2200000000000002</v>
          </cell>
          <cell r="BI46">
            <v>2.5</v>
          </cell>
          <cell r="BJ46">
            <v>3.08</v>
          </cell>
          <cell r="BK46">
            <v>3.34</v>
          </cell>
          <cell r="BL46">
            <v>2.36</v>
          </cell>
          <cell r="BM46">
            <v>2.2799999999999998</v>
          </cell>
          <cell r="BN46">
            <v>2.11</v>
          </cell>
        </row>
        <row r="47">
          <cell r="A47" t="str">
            <v>SONAT-LA</v>
          </cell>
          <cell r="B47">
            <v>44</v>
          </cell>
          <cell r="C47">
            <v>2.2599999999999998</v>
          </cell>
          <cell r="D47">
            <v>2.2000000000000002</v>
          </cell>
          <cell r="E47">
            <v>1.91</v>
          </cell>
          <cell r="F47">
            <v>1.61</v>
          </cell>
          <cell r="G47">
            <v>1.9</v>
          </cell>
          <cell r="H47">
            <v>2.1800000000000002</v>
          </cell>
          <cell r="I47">
            <v>2.6</v>
          </cell>
          <cell r="J47">
            <v>1.95</v>
          </cell>
          <cell r="K47">
            <v>1.9</v>
          </cell>
          <cell r="L47">
            <v>2.0499999999999998</v>
          </cell>
          <cell r="M47">
            <v>2.31</v>
          </cell>
          <cell r="N47">
            <v>1.95</v>
          </cell>
          <cell r="O47">
            <v>2.0499999999999998</v>
          </cell>
          <cell r="P47">
            <v>2.2999999999999998</v>
          </cell>
          <cell r="Q47">
            <v>2.0099999999999998</v>
          </cell>
          <cell r="R47">
            <v>2.31</v>
          </cell>
          <cell r="S47">
            <v>2.3199999999999998</v>
          </cell>
          <cell r="T47">
            <v>1.91</v>
          </cell>
          <cell r="U47">
            <v>1.92</v>
          </cell>
          <cell r="V47">
            <v>1.75</v>
          </cell>
          <cell r="W47">
            <v>1.85</v>
          </cell>
          <cell r="X47">
            <v>1.73</v>
          </cell>
          <cell r="Y47">
            <v>1.44</v>
          </cell>
          <cell r="Z47">
            <v>1.38</v>
          </cell>
          <cell r="AA47">
            <v>1.62</v>
          </cell>
          <cell r="AB47">
            <v>1.65</v>
          </cell>
          <cell r="AC47">
            <v>1.57</v>
          </cell>
          <cell r="AD47">
            <v>1.38</v>
          </cell>
          <cell r="AE47">
            <v>1.41</v>
          </cell>
          <cell r="AF47">
            <v>1.53</v>
          </cell>
          <cell r="AG47">
            <v>1.64</v>
          </cell>
          <cell r="AH47">
            <v>1.66</v>
          </cell>
          <cell r="AI47">
            <v>1.46</v>
          </cell>
          <cell r="AJ47">
            <v>1.34</v>
          </cell>
          <cell r="AK47">
            <v>1.54</v>
          </cell>
          <cell r="AL47">
            <v>1.61</v>
          </cell>
          <cell r="AM47">
            <v>1.76</v>
          </cell>
          <cell r="AN47">
            <v>2.2400000000000002</v>
          </cell>
          <cell r="AO47">
            <v>3.38</v>
          </cell>
          <cell r="AP47">
            <v>2.34</v>
          </cell>
          <cell r="AQ47">
            <v>2.84</v>
          </cell>
          <cell r="AR47">
            <v>2.65</v>
          </cell>
          <cell r="AS47">
            <v>2.17</v>
          </cell>
          <cell r="AT47">
            <v>2.2999999999999998</v>
          </cell>
          <cell r="AU47">
            <v>2.61</v>
          </cell>
          <cell r="AV47">
            <v>2.2599999999999998</v>
          </cell>
          <cell r="AW47">
            <v>1.74</v>
          </cell>
          <cell r="AX47">
            <v>1.78</v>
          </cell>
          <cell r="AY47">
            <v>2.66</v>
          </cell>
          <cell r="AZ47">
            <v>3.84</v>
          </cell>
          <cell r="BA47">
            <v>3.95</v>
          </cell>
          <cell r="BB47">
            <v>2.88</v>
          </cell>
          <cell r="BC47">
            <v>1.74</v>
          </cell>
          <cell r="BD47">
            <v>1.78</v>
          </cell>
          <cell r="BE47">
            <v>2.08</v>
          </cell>
          <cell r="BF47">
            <v>2.2799999999999998</v>
          </cell>
          <cell r="BG47">
            <v>2.1</v>
          </cell>
          <cell r="BH47">
            <v>2.14</v>
          </cell>
          <cell r="BI47">
            <v>2.5</v>
          </cell>
          <cell r="BJ47">
            <v>3.05</v>
          </cell>
          <cell r="BK47">
            <v>3.25</v>
          </cell>
          <cell r="BL47">
            <v>2.52</v>
          </cell>
          <cell r="BM47">
            <v>2.27</v>
          </cell>
          <cell r="BN47">
            <v>2.02</v>
          </cell>
          <cell r="BO47">
            <v>2.23</v>
          </cell>
          <cell r="BP47">
            <v>2.2799999999999998</v>
          </cell>
          <cell r="BQ47">
            <v>2.25</v>
          </cell>
          <cell r="BR47">
            <v>2.0099999999999998</v>
          </cell>
          <cell r="BS47">
            <v>2.35</v>
          </cell>
          <cell r="BT47">
            <v>1.91</v>
          </cell>
          <cell r="BU47">
            <v>1.6</v>
          </cell>
          <cell r="BV47">
            <v>2.02</v>
          </cell>
          <cell r="BW47">
            <v>1.96</v>
          </cell>
          <cell r="BX47">
            <v>2.09</v>
          </cell>
          <cell r="BY47">
            <v>1.76</v>
          </cell>
          <cell r="BZ47">
            <v>1.78</v>
          </cell>
          <cell r="CA47">
            <v>1.62</v>
          </cell>
          <cell r="CB47">
            <v>1.87</v>
          </cell>
          <cell r="CC47">
            <v>2.2999999999999998</v>
          </cell>
          <cell r="CD47">
            <v>2.21</v>
          </cell>
          <cell r="CE47">
            <v>2.2599999999999998</v>
          </cell>
          <cell r="CF47">
            <v>2.6</v>
          </cell>
          <cell r="CG47">
            <v>2.87</v>
          </cell>
        </row>
        <row r="48">
          <cell r="A48" t="str">
            <v>TANG</v>
          </cell>
          <cell r="B48">
            <v>45</v>
          </cell>
          <cell r="C48">
            <v>2.2090000000000001</v>
          </cell>
          <cell r="D48">
            <v>2.1240000000000001</v>
          </cell>
          <cell r="E48">
            <v>1.85</v>
          </cell>
          <cell r="F48">
            <v>1.5489999999999999</v>
          </cell>
          <cell r="G48">
            <v>1.806</v>
          </cell>
          <cell r="H48">
            <v>2.109</v>
          </cell>
          <cell r="I48">
            <v>2.581</v>
          </cell>
          <cell r="J48">
            <v>1.927</v>
          </cell>
          <cell r="K48">
            <v>1.8540000000000001</v>
          </cell>
          <cell r="L48">
            <v>2.0030000000000001</v>
          </cell>
          <cell r="M48">
            <v>2.2959999999999998</v>
          </cell>
          <cell r="N48">
            <v>1.9379999999999999</v>
          </cell>
          <cell r="O48">
            <v>2.0230000000000001</v>
          </cell>
          <cell r="P48">
            <v>2.3010000000000002</v>
          </cell>
          <cell r="Q48">
            <v>1.9690000000000001</v>
          </cell>
          <cell r="R48">
            <v>2.1930000000000001</v>
          </cell>
          <cell r="S48">
            <v>2.198</v>
          </cell>
          <cell r="T48">
            <v>1.871</v>
          </cell>
          <cell r="U48">
            <v>1.9670000000000001</v>
          </cell>
          <cell r="V48">
            <v>1.7090000000000001</v>
          </cell>
          <cell r="W48">
            <v>1.86</v>
          </cell>
          <cell r="X48">
            <v>1.7</v>
          </cell>
          <cell r="Y48">
            <v>1.397</v>
          </cell>
          <cell r="Z48">
            <v>1.333</v>
          </cell>
          <cell r="AA48">
            <v>1.5920000000000001</v>
          </cell>
          <cell r="AB48">
            <v>1.601</v>
          </cell>
          <cell r="AC48">
            <v>1.514</v>
          </cell>
          <cell r="AD48">
            <v>1.3120000000000001</v>
          </cell>
          <cell r="AE48">
            <v>1.3380000000000001</v>
          </cell>
          <cell r="AF48">
            <v>1.4610000000000001</v>
          </cell>
          <cell r="AG48">
            <v>1.577</v>
          </cell>
          <cell r="AH48">
            <v>1.6180000000000001</v>
          </cell>
          <cell r="AI48">
            <v>1.399</v>
          </cell>
          <cell r="AJ48">
            <v>1.288</v>
          </cell>
          <cell r="AK48">
            <v>1.4810000000000001</v>
          </cell>
          <cell r="AL48">
            <v>1.544</v>
          </cell>
          <cell r="AM48">
            <v>1.6779999999999999</v>
          </cell>
          <cell r="AN48">
            <v>2.0640000000000001</v>
          </cell>
          <cell r="AO48">
            <v>2.0859999999999999</v>
          </cell>
          <cell r="AP48">
            <v>1.806</v>
          </cell>
          <cell r="AQ48">
            <v>1.92</v>
          </cell>
          <cell r="AR48">
            <v>2.2050000000000001</v>
          </cell>
          <cell r="AS48">
            <v>2.1040000000000001</v>
          </cell>
          <cell r="AT48">
            <v>2.2410000000000001</v>
          </cell>
          <cell r="AU48">
            <v>2.5099999999999998</v>
          </cell>
          <cell r="AV48">
            <v>2.1619999999999999</v>
          </cell>
          <cell r="AW48">
            <v>1.6859999999999999</v>
          </cell>
          <cell r="AX48">
            <v>1.7270000000000001</v>
          </cell>
          <cell r="AY48">
            <v>2.5539999999999998</v>
          </cell>
          <cell r="AZ48">
            <v>3.6459999999999999</v>
          </cell>
          <cell r="BA48">
            <v>3.7229999999999999</v>
          </cell>
          <cell r="BB48">
            <v>2.706</v>
          </cell>
          <cell r="BC48">
            <v>1.62</v>
          </cell>
          <cell r="BD48">
            <v>1.716</v>
          </cell>
          <cell r="BE48">
            <v>2.0179999999999998</v>
          </cell>
        </row>
        <row r="49">
          <cell r="A49" t="str">
            <v>TENN-Z0</v>
          </cell>
          <cell r="B49">
            <v>46</v>
          </cell>
          <cell r="C49">
            <v>2.2799999999999998</v>
          </cell>
          <cell r="D49">
            <v>2.12</v>
          </cell>
          <cell r="E49">
            <v>1.82</v>
          </cell>
          <cell r="F49">
            <v>1.54</v>
          </cell>
          <cell r="G49">
            <v>1.8</v>
          </cell>
          <cell r="H49">
            <v>2.1</v>
          </cell>
          <cell r="I49">
            <v>2.58</v>
          </cell>
          <cell r="J49">
            <v>1.83</v>
          </cell>
          <cell r="K49">
            <v>1.73</v>
          </cell>
          <cell r="L49">
            <v>1.89</v>
          </cell>
          <cell r="M49">
            <v>2.23</v>
          </cell>
          <cell r="N49">
            <v>1.88</v>
          </cell>
          <cell r="O49">
            <v>2.02</v>
          </cell>
          <cell r="P49">
            <v>2.29</v>
          </cell>
          <cell r="Q49">
            <v>1.94</v>
          </cell>
          <cell r="R49">
            <v>2.1800000000000002</v>
          </cell>
          <cell r="S49">
            <v>2.17</v>
          </cell>
          <cell r="T49">
            <v>1.85</v>
          </cell>
          <cell r="U49">
            <v>1.98</v>
          </cell>
          <cell r="V49">
            <v>1.7</v>
          </cell>
          <cell r="W49">
            <v>1.84</v>
          </cell>
          <cell r="X49">
            <v>1.68</v>
          </cell>
          <cell r="Y49">
            <v>1.38</v>
          </cell>
          <cell r="Z49">
            <v>1.33</v>
          </cell>
          <cell r="AA49">
            <v>1.62</v>
          </cell>
          <cell r="AB49">
            <v>1.6</v>
          </cell>
          <cell r="AC49">
            <v>1.5</v>
          </cell>
          <cell r="AD49">
            <v>1.32</v>
          </cell>
          <cell r="AE49">
            <v>1.35</v>
          </cell>
          <cell r="AF49">
            <v>1.47</v>
          </cell>
          <cell r="AG49">
            <v>1.58</v>
          </cell>
          <cell r="AH49">
            <v>1.63</v>
          </cell>
          <cell r="AI49">
            <v>1.4</v>
          </cell>
          <cell r="AJ49">
            <v>1.28</v>
          </cell>
          <cell r="AK49">
            <v>1.48</v>
          </cell>
          <cell r="AL49">
            <v>1.56</v>
          </cell>
          <cell r="AM49">
            <v>1.7</v>
          </cell>
          <cell r="AN49">
            <v>2.08</v>
          </cell>
          <cell r="AO49">
            <v>2.11</v>
          </cell>
          <cell r="AP49">
            <v>1.8</v>
          </cell>
          <cell r="AQ49">
            <v>1.97</v>
          </cell>
          <cell r="AR49">
            <v>2.2200000000000002</v>
          </cell>
          <cell r="AS49">
            <v>2.11</v>
          </cell>
          <cell r="AT49">
            <v>2.2599999999999998</v>
          </cell>
          <cell r="AU49">
            <v>2.5299999999999998</v>
          </cell>
          <cell r="AV49">
            <v>2.19</v>
          </cell>
          <cell r="AW49">
            <v>1.69</v>
          </cell>
          <cell r="AX49">
            <v>1.73</v>
          </cell>
          <cell r="AY49">
            <v>2.59</v>
          </cell>
          <cell r="AZ49">
            <v>3.68</v>
          </cell>
          <cell r="BA49">
            <v>3.82</v>
          </cell>
          <cell r="BB49">
            <v>2.73</v>
          </cell>
          <cell r="BC49">
            <v>1.62</v>
          </cell>
          <cell r="BD49">
            <v>1.74</v>
          </cell>
          <cell r="BE49">
            <v>2.02</v>
          </cell>
          <cell r="BF49">
            <v>2.23</v>
          </cell>
          <cell r="BG49">
            <v>2.06</v>
          </cell>
          <cell r="BH49">
            <v>2.1</v>
          </cell>
          <cell r="BI49">
            <v>2.4300000000000002</v>
          </cell>
          <cell r="BJ49">
            <v>2.99</v>
          </cell>
          <cell r="BK49">
            <v>3.17</v>
          </cell>
          <cell r="BL49">
            <v>2.36</v>
          </cell>
          <cell r="BM49">
            <v>2.14</v>
          </cell>
          <cell r="BN49">
            <v>1.92</v>
          </cell>
          <cell r="BO49">
            <v>2.16</v>
          </cell>
          <cell r="BP49">
            <v>2.2200000000000002</v>
          </cell>
          <cell r="BQ49">
            <v>2.2000000000000002</v>
          </cell>
          <cell r="BR49">
            <v>1.95</v>
          </cell>
          <cell r="BS49">
            <v>2.27</v>
          </cell>
          <cell r="BT49">
            <v>1.83</v>
          </cell>
          <cell r="BU49">
            <v>1.53</v>
          </cell>
          <cell r="BV49">
            <v>1.92</v>
          </cell>
          <cell r="BW49">
            <v>1.89</v>
          </cell>
          <cell r="BX49">
            <v>2.02</v>
          </cell>
          <cell r="BY49">
            <v>1.69</v>
          </cell>
          <cell r="BZ49">
            <v>1.74</v>
          </cell>
          <cell r="CA49">
            <v>1.56</v>
          </cell>
          <cell r="CB49">
            <v>1.83</v>
          </cell>
          <cell r="CC49">
            <v>2.2799999999999998</v>
          </cell>
          <cell r="CD49">
            <v>2.14</v>
          </cell>
          <cell r="CE49">
            <v>2.19</v>
          </cell>
          <cell r="CF49">
            <v>2.5299999999999998</v>
          </cell>
          <cell r="CG49">
            <v>2.8</v>
          </cell>
        </row>
        <row r="50">
          <cell r="A50" t="str">
            <v>TENN-Z1</v>
          </cell>
          <cell r="B50">
            <v>47</v>
          </cell>
          <cell r="C50">
            <v>2.2999999999999998</v>
          </cell>
          <cell r="D50">
            <v>2.1800000000000002</v>
          </cell>
          <cell r="E50">
            <v>1.88</v>
          </cell>
          <cell r="F50">
            <v>1.59</v>
          </cell>
          <cell r="G50">
            <v>1.84</v>
          </cell>
          <cell r="H50">
            <v>2.14</v>
          </cell>
          <cell r="I50">
            <v>2.6</v>
          </cell>
          <cell r="J50">
            <v>1.86</v>
          </cell>
          <cell r="K50">
            <v>1.81</v>
          </cell>
          <cell r="L50">
            <v>1.95</v>
          </cell>
          <cell r="M50">
            <v>2.27</v>
          </cell>
          <cell r="N50">
            <v>1.92</v>
          </cell>
          <cell r="O50">
            <v>2.0499999999999998</v>
          </cell>
          <cell r="P50">
            <v>2.33</v>
          </cell>
          <cell r="Q50">
            <v>1.98</v>
          </cell>
          <cell r="R50">
            <v>2.31</v>
          </cell>
          <cell r="S50">
            <v>2.3199999999999998</v>
          </cell>
          <cell r="T50">
            <v>1.92</v>
          </cell>
          <cell r="U50">
            <v>2</v>
          </cell>
          <cell r="V50">
            <v>1.73</v>
          </cell>
          <cell r="W50">
            <v>1.87</v>
          </cell>
          <cell r="X50">
            <v>1.7</v>
          </cell>
          <cell r="Y50">
            <v>1.4</v>
          </cell>
          <cell r="Z50">
            <v>1.35</v>
          </cell>
          <cell r="AA50">
            <v>1.62</v>
          </cell>
          <cell r="AB50">
            <v>1.64</v>
          </cell>
          <cell r="AC50">
            <v>1.57</v>
          </cell>
          <cell r="AD50">
            <v>1.37</v>
          </cell>
          <cell r="AE50">
            <v>1.42</v>
          </cell>
          <cell r="AF50">
            <v>1.5</v>
          </cell>
          <cell r="AG50">
            <v>1.6</v>
          </cell>
          <cell r="AH50">
            <v>1.64</v>
          </cell>
          <cell r="AI50">
            <v>1.42</v>
          </cell>
          <cell r="AJ50">
            <v>1.3</v>
          </cell>
          <cell r="AK50">
            <v>1.5</v>
          </cell>
          <cell r="AL50">
            <v>1.58</v>
          </cell>
          <cell r="AM50">
            <v>1.73</v>
          </cell>
          <cell r="AN50">
            <v>2.2400000000000002</v>
          </cell>
          <cell r="AO50">
            <v>3.25</v>
          </cell>
          <cell r="AP50">
            <v>2.33</v>
          </cell>
          <cell r="AQ50">
            <v>2.81</v>
          </cell>
          <cell r="AR50">
            <v>2.58</v>
          </cell>
          <cell r="AS50">
            <v>2.1</v>
          </cell>
          <cell r="AT50">
            <v>2.2799999999999998</v>
          </cell>
          <cell r="AU50">
            <v>2.57</v>
          </cell>
          <cell r="AV50">
            <v>2.2200000000000002</v>
          </cell>
          <cell r="AW50">
            <v>1.72</v>
          </cell>
          <cell r="AX50">
            <v>1.75</v>
          </cell>
          <cell r="AY50">
            <v>2.63</v>
          </cell>
          <cell r="AZ50">
            <v>3.73</v>
          </cell>
          <cell r="BA50">
            <v>3.84</v>
          </cell>
          <cell r="BB50">
            <v>2.79</v>
          </cell>
          <cell r="BC50">
            <v>1.66</v>
          </cell>
          <cell r="BD50">
            <v>1.76</v>
          </cell>
          <cell r="BE50">
            <v>2.04</v>
          </cell>
          <cell r="BF50">
            <v>2.2400000000000002</v>
          </cell>
          <cell r="BG50">
            <v>2.0699999999999998</v>
          </cell>
          <cell r="BH50">
            <v>2.11</v>
          </cell>
          <cell r="BI50">
            <v>2.46</v>
          </cell>
          <cell r="BJ50">
            <v>3.02</v>
          </cell>
          <cell r="BK50">
            <v>3.2</v>
          </cell>
          <cell r="BL50">
            <v>2.4500000000000002</v>
          </cell>
          <cell r="BM50">
            <v>2.19</v>
          </cell>
          <cell r="BN50">
            <v>1.93</v>
          </cell>
          <cell r="BO50">
            <v>2.19</v>
          </cell>
          <cell r="BP50">
            <v>2.2400000000000002</v>
          </cell>
          <cell r="BQ50">
            <v>2.21</v>
          </cell>
          <cell r="BR50">
            <v>1.96</v>
          </cell>
          <cell r="BS50">
            <v>2.29</v>
          </cell>
          <cell r="BT50">
            <v>1.85</v>
          </cell>
          <cell r="BU50">
            <v>1.53</v>
          </cell>
          <cell r="BV50">
            <v>1.95</v>
          </cell>
          <cell r="BW50">
            <v>1.93</v>
          </cell>
          <cell r="BX50">
            <v>2.0499999999999998</v>
          </cell>
          <cell r="BY50">
            <v>1.71</v>
          </cell>
          <cell r="BZ50">
            <v>1.75</v>
          </cell>
          <cell r="CA50">
            <v>1.57</v>
          </cell>
          <cell r="CB50">
            <v>1.84</v>
          </cell>
          <cell r="CC50">
            <v>2.2999999999999998</v>
          </cell>
          <cell r="CD50">
            <v>2.16</v>
          </cell>
          <cell r="CE50">
            <v>2.21</v>
          </cell>
          <cell r="CF50">
            <v>2.54</v>
          </cell>
          <cell r="CG50">
            <v>2.83</v>
          </cell>
        </row>
        <row r="51">
          <cell r="A51" t="str">
            <v>TET-ELA</v>
          </cell>
          <cell r="B51">
            <v>48</v>
          </cell>
          <cell r="L51">
            <v>2.0499999999999998</v>
          </cell>
          <cell r="M51">
            <v>2.35</v>
          </cell>
          <cell r="N51">
            <v>2</v>
          </cell>
          <cell r="O51">
            <v>2.1</v>
          </cell>
          <cell r="P51">
            <v>2.35</v>
          </cell>
          <cell r="Q51">
            <v>2</v>
          </cell>
          <cell r="R51">
            <v>2.35</v>
          </cell>
          <cell r="S51">
            <v>2.35</v>
          </cell>
          <cell r="T51">
            <v>1.96</v>
          </cell>
          <cell r="U51">
            <v>2.0499999999999998</v>
          </cell>
          <cell r="V51">
            <v>1.81</v>
          </cell>
          <cell r="W51">
            <v>1.93</v>
          </cell>
          <cell r="X51">
            <v>1.76</v>
          </cell>
          <cell r="Y51">
            <v>1.45</v>
          </cell>
          <cell r="Z51">
            <v>1.38</v>
          </cell>
          <cell r="AA51">
            <v>1.66</v>
          </cell>
          <cell r="AB51">
            <v>1.65</v>
          </cell>
          <cell r="AC51">
            <v>1.59</v>
          </cell>
          <cell r="AD51">
            <v>1.4</v>
          </cell>
          <cell r="AE51">
            <v>1.43</v>
          </cell>
          <cell r="AF51">
            <v>1.54</v>
          </cell>
          <cell r="AG51">
            <v>1.65</v>
          </cell>
          <cell r="AH51">
            <v>1.69</v>
          </cell>
          <cell r="AI51">
            <v>1.46</v>
          </cell>
          <cell r="AJ51">
            <v>1.34</v>
          </cell>
          <cell r="AK51">
            <v>1.54</v>
          </cell>
          <cell r="AL51">
            <v>1.61</v>
          </cell>
          <cell r="AM51">
            <v>1.76</v>
          </cell>
          <cell r="AN51">
            <v>2.2599999999999998</v>
          </cell>
          <cell r="AO51">
            <v>3.5</v>
          </cell>
          <cell r="AP51">
            <v>2.5</v>
          </cell>
          <cell r="AQ51">
            <v>2.92</v>
          </cell>
          <cell r="AR51">
            <v>2.65</v>
          </cell>
          <cell r="AS51">
            <v>2.1800000000000002</v>
          </cell>
          <cell r="AT51">
            <v>2.34</v>
          </cell>
          <cell r="AU51">
            <v>2.61</v>
          </cell>
          <cell r="AV51">
            <v>2.25</v>
          </cell>
          <cell r="AW51">
            <v>1.73</v>
          </cell>
          <cell r="AX51">
            <v>1.78</v>
          </cell>
          <cell r="AY51">
            <v>2.65</v>
          </cell>
          <cell r="AZ51">
            <v>3.83</v>
          </cell>
          <cell r="BA51">
            <v>3.9</v>
          </cell>
          <cell r="BB51">
            <v>2.85</v>
          </cell>
          <cell r="BC51">
            <v>1.7</v>
          </cell>
          <cell r="BD51">
            <v>1.78</v>
          </cell>
          <cell r="BE51">
            <v>2.0699999999999998</v>
          </cell>
          <cell r="BF51">
            <v>2.2400000000000002</v>
          </cell>
          <cell r="BG51">
            <v>2.1</v>
          </cell>
          <cell r="BH51">
            <v>2.13</v>
          </cell>
          <cell r="BI51">
            <v>2.48</v>
          </cell>
          <cell r="BJ51">
            <v>3.04</v>
          </cell>
          <cell r="BK51">
            <v>3.23</v>
          </cell>
          <cell r="BL51">
            <v>2.48</v>
          </cell>
          <cell r="BM51">
            <v>2.2200000000000002</v>
          </cell>
          <cell r="BN51">
            <v>1.97</v>
          </cell>
          <cell r="BO51">
            <v>2.2000000000000002</v>
          </cell>
          <cell r="BP51">
            <v>2.2599999999999998</v>
          </cell>
          <cell r="BQ51">
            <v>2.23</v>
          </cell>
          <cell r="BR51">
            <v>1.98</v>
          </cell>
          <cell r="BS51">
            <v>2.31</v>
          </cell>
          <cell r="BT51">
            <v>1.87</v>
          </cell>
          <cell r="BU51">
            <v>1.56</v>
          </cell>
          <cell r="BV51">
            <v>1.98</v>
          </cell>
          <cell r="BW51">
            <v>1.96</v>
          </cell>
          <cell r="BX51">
            <v>2.0499999999999998</v>
          </cell>
          <cell r="BY51">
            <v>1.72</v>
          </cell>
          <cell r="BZ51">
            <v>1.77</v>
          </cell>
          <cell r="CA51">
            <v>1.58</v>
          </cell>
          <cell r="CB51">
            <v>1.86</v>
          </cell>
          <cell r="CC51">
            <v>2.3199999999999998</v>
          </cell>
          <cell r="CD51">
            <v>2.1800000000000002</v>
          </cell>
          <cell r="CE51">
            <v>2.23</v>
          </cell>
          <cell r="CF51">
            <v>2.57</v>
          </cell>
          <cell r="CG51">
            <v>2.82</v>
          </cell>
        </row>
        <row r="52">
          <cell r="A52" t="str">
            <v>TET-ETX</v>
          </cell>
          <cell r="B52">
            <v>49</v>
          </cell>
          <cell r="L52">
            <v>2.02</v>
          </cell>
          <cell r="M52">
            <v>2.31</v>
          </cell>
          <cell r="N52">
            <v>1.96</v>
          </cell>
          <cell r="O52">
            <v>2.0499999999999998</v>
          </cell>
          <cell r="P52">
            <v>2.3199999999999998</v>
          </cell>
          <cell r="Q52">
            <v>1.95</v>
          </cell>
          <cell r="R52">
            <v>2.25</v>
          </cell>
          <cell r="S52">
            <v>2.2400000000000002</v>
          </cell>
          <cell r="T52">
            <v>1.9</v>
          </cell>
          <cell r="U52">
            <v>1.98</v>
          </cell>
          <cell r="V52">
            <v>1.74</v>
          </cell>
          <cell r="W52">
            <v>1.88</v>
          </cell>
          <cell r="X52">
            <v>1.73</v>
          </cell>
          <cell r="Y52">
            <v>1.41</v>
          </cell>
          <cell r="Z52">
            <v>1.34</v>
          </cell>
          <cell r="AA52">
            <v>1.6</v>
          </cell>
          <cell r="AB52">
            <v>1.6</v>
          </cell>
          <cell r="AC52">
            <v>1.54</v>
          </cell>
          <cell r="AD52">
            <v>1.33</v>
          </cell>
          <cell r="AE52">
            <v>1.35</v>
          </cell>
          <cell r="AF52">
            <v>1.48</v>
          </cell>
          <cell r="AG52">
            <v>1.6</v>
          </cell>
          <cell r="AH52">
            <v>1.64</v>
          </cell>
          <cell r="AI52">
            <v>1.41</v>
          </cell>
          <cell r="AJ52">
            <v>1.3</v>
          </cell>
          <cell r="AK52">
            <v>1.5</v>
          </cell>
          <cell r="AL52">
            <v>1.58</v>
          </cell>
          <cell r="AM52">
            <v>1.7</v>
          </cell>
          <cell r="AN52">
            <v>2.11</v>
          </cell>
          <cell r="AO52">
            <v>2.0499999999999998</v>
          </cell>
          <cell r="AP52">
            <v>1.82</v>
          </cell>
          <cell r="AQ52">
            <v>1.96</v>
          </cell>
          <cell r="AR52">
            <v>2.23</v>
          </cell>
          <cell r="AS52">
            <v>2.13</v>
          </cell>
          <cell r="AT52">
            <v>2.25</v>
          </cell>
          <cell r="AU52">
            <v>2.56</v>
          </cell>
          <cell r="AV52">
            <v>2.19</v>
          </cell>
          <cell r="AW52">
            <v>1.69</v>
          </cell>
          <cell r="AX52">
            <v>1.73</v>
          </cell>
          <cell r="AY52">
            <v>2.61</v>
          </cell>
          <cell r="AZ52">
            <v>3.69</v>
          </cell>
          <cell r="BA52">
            <v>3.92</v>
          </cell>
          <cell r="BB52">
            <v>2.75</v>
          </cell>
          <cell r="BC52">
            <v>1.63</v>
          </cell>
          <cell r="BD52">
            <v>1.73</v>
          </cell>
          <cell r="BE52">
            <v>2.0299999999999998</v>
          </cell>
          <cell r="BF52">
            <v>2.2000000000000002</v>
          </cell>
          <cell r="BG52">
            <v>2.06</v>
          </cell>
          <cell r="BH52">
            <v>2.1</v>
          </cell>
          <cell r="BI52">
            <v>2.4500000000000002</v>
          </cell>
          <cell r="BJ52">
            <v>2.93</v>
          </cell>
          <cell r="BK52">
            <v>3.17</v>
          </cell>
          <cell r="BL52">
            <v>2.38</v>
          </cell>
          <cell r="BM52">
            <v>2.16</v>
          </cell>
          <cell r="BN52">
            <v>1.92</v>
          </cell>
          <cell r="BO52">
            <v>2.16</v>
          </cell>
          <cell r="BP52">
            <v>2.2200000000000002</v>
          </cell>
          <cell r="BQ52">
            <v>2.2200000000000002</v>
          </cell>
          <cell r="BR52">
            <v>1.95</v>
          </cell>
          <cell r="BS52">
            <v>2.2799999999999998</v>
          </cell>
          <cell r="BT52">
            <v>1.88</v>
          </cell>
          <cell r="BU52">
            <v>1.54</v>
          </cell>
          <cell r="BV52">
            <v>1.95</v>
          </cell>
          <cell r="BW52">
            <v>1.91</v>
          </cell>
          <cell r="BX52">
            <v>2.0299999999999998</v>
          </cell>
          <cell r="BY52">
            <v>1.68</v>
          </cell>
          <cell r="BZ52">
            <v>1.74</v>
          </cell>
          <cell r="CA52">
            <v>1.56</v>
          </cell>
          <cell r="CB52">
            <v>1.81</v>
          </cell>
          <cell r="CC52">
            <v>2.29</v>
          </cell>
          <cell r="CD52">
            <v>2.15</v>
          </cell>
          <cell r="CE52">
            <v>2.2000000000000002</v>
          </cell>
          <cell r="CF52">
            <v>2.5299999999999998</v>
          </cell>
          <cell r="CG52">
            <v>2.79</v>
          </cell>
        </row>
        <row r="53">
          <cell r="A53" t="str">
            <v>TET-STX</v>
          </cell>
          <cell r="B53">
            <v>50</v>
          </cell>
          <cell r="L53">
            <v>2.04</v>
          </cell>
          <cell r="M53">
            <v>2.31</v>
          </cell>
          <cell r="N53">
            <v>1.96</v>
          </cell>
          <cell r="O53">
            <v>2.0699999999999998</v>
          </cell>
          <cell r="P53">
            <v>2.3199999999999998</v>
          </cell>
          <cell r="Q53">
            <v>1.94</v>
          </cell>
          <cell r="R53">
            <v>2.2000000000000002</v>
          </cell>
          <cell r="S53">
            <v>2.1800000000000002</v>
          </cell>
          <cell r="T53">
            <v>1.87</v>
          </cell>
          <cell r="U53">
            <v>1.99</v>
          </cell>
          <cell r="V53">
            <v>1.73</v>
          </cell>
          <cell r="W53">
            <v>1.88</v>
          </cell>
          <cell r="X53">
            <v>1.71</v>
          </cell>
          <cell r="Y53">
            <v>1.41</v>
          </cell>
          <cell r="Z53">
            <v>1.34</v>
          </cell>
          <cell r="AA53">
            <v>1.6</v>
          </cell>
          <cell r="AB53">
            <v>1.61</v>
          </cell>
          <cell r="AC53">
            <v>1.53</v>
          </cell>
          <cell r="AD53">
            <v>1.32</v>
          </cell>
          <cell r="AE53">
            <v>1.36</v>
          </cell>
          <cell r="AF53">
            <v>1.47</v>
          </cell>
          <cell r="AG53">
            <v>1.58</v>
          </cell>
          <cell r="AH53">
            <v>1.62</v>
          </cell>
          <cell r="AI53">
            <v>1.41</v>
          </cell>
          <cell r="AJ53">
            <v>1.29</v>
          </cell>
          <cell r="AK53">
            <v>1.48</v>
          </cell>
          <cell r="AL53">
            <v>1.56</v>
          </cell>
          <cell r="AM53">
            <v>1.69</v>
          </cell>
          <cell r="AN53">
            <v>2.09</v>
          </cell>
          <cell r="AO53">
            <v>2.1</v>
          </cell>
          <cell r="AP53">
            <v>1.78</v>
          </cell>
          <cell r="AQ53">
            <v>1.95</v>
          </cell>
          <cell r="AR53">
            <v>2.2200000000000002</v>
          </cell>
          <cell r="AS53">
            <v>2.12</v>
          </cell>
          <cell r="AT53">
            <v>2.2400000000000002</v>
          </cell>
          <cell r="AU53">
            <v>2.54</v>
          </cell>
          <cell r="AV53">
            <v>2.2000000000000002</v>
          </cell>
          <cell r="AW53">
            <v>1.69</v>
          </cell>
          <cell r="AX53">
            <v>1.73</v>
          </cell>
          <cell r="AY53">
            <v>2.6</v>
          </cell>
          <cell r="AZ53">
            <v>3.68</v>
          </cell>
          <cell r="BA53">
            <v>3.8</v>
          </cell>
          <cell r="BB53">
            <v>2.73</v>
          </cell>
          <cell r="BC53">
            <v>1.62</v>
          </cell>
          <cell r="BD53">
            <v>1.75</v>
          </cell>
          <cell r="BE53">
            <v>2.0299999999999998</v>
          </cell>
          <cell r="BF53">
            <v>2.21</v>
          </cell>
          <cell r="BG53">
            <v>2.0699999999999998</v>
          </cell>
          <cell r="BH53">
            <v>2.1</v>
          </cell>
          <cell r="BI53">
            <v>2.44</v>
          </cell>
          <cell r="BJ53">
            <v>2.96</v>
          </cell>
          <cell r="BK53">
            <v>3.16</v>
          </cell>
          <cell r="BL53">
            <v>2.33</v>
          </cell>
          <cell r="BM53">
            <v>2.15</v>
          </cell>
          <cell r="BN53">
            <v>1.92</v>
          </cell>
          <cell r="BO53">
            <v>2.15</v>
          </cell>
          <cell r="BP53">
            <v>2.21</v>
          </cell>
          <cell r="BQ53">
            <v>2.19</v>
          </cell>
          <cell r="BR53">
            <v>1.95</v>
          </cell>
          <cell r="BS53">
            <v>2.2799999999999998</v>
          </cell>
          <cell r="BT53">
            <v>1.85</v>
          </cell>
          <cell r="BU53">
            <v>1.52</v>
          </cell>
          <cell r="BV53">
            <v>1.94</v>
          </cell>
          <cell r="BW53">
            <v>1.92</v>
          </cell>
          <cell r="BX53">
            <v>2.02</v>
          </cell>
          <cell r="BY53">
            <v>1.69</v>
          </cell>
          <cell r="BZ53">
            <v>1.74</v>
          </cell>
          <cell r="CA53">
            <v>1.556</v>
          </cell>
          <cell r="CB53">
            <v>1.81</v>
          </cell>
          <cell r="CC53">
            <v>2.2799999999999998</v>
          </cell>
          <cell r="CD53">
            <v>2.14</v>
          </cell>
          <cell r="CE53">
            <v>2.1800000000000002</v>
          </cell>
          <cell r="CF53">
            <v>2.52</v>
          </cell>
          <cell r="CG53">
            <v>2.8</v>
          </cell>
        </row>
        <row r="54">
          <cell r="A54" t="str">
            <v>TET-WLA</v>
          </cell>
          <cell r="B54">
            <v>51</v>
          </cell>
          <cell r="L54">
            <v>2.0499999999999998</v>
          </cell>
          <cell r="M54">
            <v>2.33</v>
          </cell>
          <cell r="N54">
            <v>2</v>
          </cell>
          <cell r="O54">
            <v>2.09</v>
          </cell>
          <cell r="P54">
            <v>2.34</v>
          </cell>
          <cell r="Q54">
            <v>2</v>
          </cell>
          <cell r="R54">
            <v>2.3199999999999998</v>
          </cell>
          <cell r="S54">
            <v>2.3199999999999998</v>
          </cell>
          <cell r="T54">
            <v>1.94</v>
          </cell>
          <cell r="U54">
            <v>2.04</v>
          </cell>
          <cell r="V54">
            <v>1.8</v>
          </cell>
          <cell r="W54">
            <v>1.92</v>
          </cell>
          <cell r="X54">
            <v>1.75</v>
          </cell>
          <cell r="Y54">
            <v>1.44</v>
          </cell>
          <cell r="Z54">
            <v>1.37</v>
          </cell>
          <cell r="AA54">
            <v>1.65</v>
          </cell>
          <cell r="AB54">
            <v>1.63</v>
          </cell>
          <cell r="AC54">
            <v>1.56</v>
          </cell>
          <cell r="AD54">
            <v>1.36</v>
          </cell>
          <cell r="AE54">
            <v>1.4</v>
          </cell>
          <cell r="AF54">
            <v>1.51</v>
          </cell>
          <cell r="AG54">
            <v>1.63</v>
          </cell>
          <cell r="AH54">
            <v>1.68</v>
          </cell>
          <cell r="AI54">
            <v>1.44</v>
          </cell>
          <cell r="AJ54">
            <v>1.33</v>
          </cell>
          <cell r="AK54">
            <v>1.52</v>
          </cell>
          <cell r="AL54">
            <v>1.59</v>
          </cell>
          <cell r="AM54">
            <v>1.74</v>
          </cell>
          <cell r="AN54">
            <v>2.2200000000000002</v>
          </cell>
          <cell r="AO54">
            <v>2.85</v>
          </cell>
          <cell r="AP54">
            <v>2.2000000000000002</v>
          </cell>
          <cell r="AQ54">
            <v>2.73</v>
          </cell>
          <cell r="AR54">
            <v>2.56</v>
          </cell>
          <cell r="AS54">
            <v>2.16</v>
          </cell>
          <cell r="AT54">
            <v>2.31</v>
          </cell>
          <cell r="AU54">
            <v>2.58</v>
          </cell>
          <cell r="AV54">
            <v>2.2200000000000002</v>
          </cell>
          <cell r="AW54">
            <v>1.72</v>
          </cell>
          <cell r="AX54">
            <v>1.77</v>
          </cell>
          <cell r="AY54">
            <v>2.64</v>
          </cell>
          <cell r="AZ54">
            <v>3.81</v>
          </cell>
          <cell r="BA54">
            <v>3.87</v>
          </cell>
          <cell r="BB54">
            <v>2.83</v>
          </cell>
          <cell r="BC54">
            <v>1.68</v>
          </cell>
          <cell r="BD54">
            <v>1.75</v>
          </cell>
          <cell r="BE54">
            <v>2.0499999999999998</v>
          </cell>
          <cell r="BF54">
            <v>2.23</v>
          </cell>
          <cell r="BG54">
            <v>2.08</v>
          </cell>
          <cell r="BH54">
            <v>2.12</v>
          </cell>
          <cell r="BI54">
            <v>2.46</v>
          </cell>
          <cell r="BJ54">
            <v>3.02</v>
          </cell>
          <cell r="BK54">
            <v>3.21</v>
          </cell>
          <cell r="BL54">
            <v>2.46</v>
          </cell>
          <cell r="BM54">
            <v>2.2000000000000002</v>
          </cell>
          <cell r="BN54">
            <v>1.94</v>
          </cell>
          <cell r="BO54">
            <v>2.19</v>
          </cell>
          <cell r="BP54">
            <v>2.2400000000000002</v>
          </cell>
          <cell r="BQ54">
            <v>2.2200000000000002</v>
          </cell>
          <cell r="BR54">
            <v>1.96</v>
          </cell>
          <cell r="BS54">
            <v>2.2999999999999998</v>
          </cell>
          <cell r="BT54">
            <v>1.86</v>
          </cell>
          <cell r="BU54">
            <v>1.54</v>
          </cell>
          <cell r="BV54">
            <v>1.97</v>
          </cell>
          <cell r="BW54">
            <v>1.93</v>
          </cell>
          <cell r="BX54">
            <v>2.0499999999999998</v>
          </cell>
          <cell r="BY54">
            <v>1.72</v>
          </cell>
          <cell r="BZ54">
            <v>1.75</v>
          </cell>
          <cell r="CA54">
            <v>1.57</v>
          </cell>
          <cell r="CB54">
            <v>1.85</v>
          </cell>
          <cell r="CC54">
            <v>2.31</v>
          </cell>
          <cell r="CD54">
            <v>2.16</v>
          </cell>
          <cell r="CE54">
            <v>2.2200000000000002</v>
          </cell>
          <cell r="CF54">
            <v>2.5499999999999998</v>
          </cell>
          <cell r="CG54">
            <v>2.81</v>
          </cell>
        </row>
        <row r="55">
          <cell r="A55" t="str">
            <v>TET-M3</v>
          </cell>
          <cell r="B55">
            <v>52</v>
          </cell>
          <cell r="AU55">
            <v>2.93</v>
          </cell>
          <cell r="AV55">
            <v>2.5499999999999998</v>
          </cell>
          <cell r="AW55">
            <v>2.04</v>
          </cell>
          <cell r="AX55">
            <v>2.08</v>
          </cell>
          <cell r="AY55">
            <v>3.26</v>
          </cell>
          <cell r="AZ55">
            <v>4.9800000000000004</v>
          </cell>
          <cell r="BA55">
            <v>5.15</v>
          </cell>
          <cell r="BB55">
            <v>3.58</v>
          </cell>
          <cell r="BC55">
            <v>2.1</v>
          </cell>
          <cell r="BD55">
            <v>2.13</v>
          </cell>
          <cell r="BE55">
            <v>2.41</v>
          </cell>
          <cell r="BF55">
            <v>2.57</v>
          </cell>
          <cell r="BG55">
            <v>2.41</v>
          </cell>
          <cell r="BH55">
            <v>2.4</v>
          </cell>
          <cell r="BI55">
            <v>2.75</v>
          </cell>
          <cell r="BJ55">
            <v>3.45</v>
          </cell>
          <cell r="BK55">
            <v>3.75</v>
          </cell>
          <cell r="BL55">
            <v>3.24</v>
          </cell>
          <cell r="BM55">
            <v>2.83</v>
          </cell>
          <cell r="BN55">
            <v>2.33</v>
          </cell>
          <cell r="BO55">
            <v>2.4700000000000002</v>
          </cell>
          <cell r="BP55">
            <v>2.57</v>
          </cell>
          <cell r="BQ55">
            <v>2.52</v>
          </cell>
          <cell r="BR55">
            <v>2.25</v>
          </cell>
          <cell r="BS55">
            <v>2.58</v>
          </cell>
          <cell r="BT55">
            <v>2.15</v>
          </cell>
          <cell r="BU55">
            <v>1.78</v>
          </cell>
          <cell r="BV55">
            <v>2.27</v>
          </cell>
          <cell r="BW55">
            <v>2.38</v>
          </cell>
          <cell r="BX55">
            <v>2.4300000000000002</v>
          </cell>
          <cell r="BY55">
            <v>2.19</v>
          </cell>
          <cell r="BZ55">
            <v>2.16</v>
          </cell>
          <cell r="CA55">
            <v>1.84</v>
          </cell>
          <cell r="CB55">
            <v>2.11</v>
          </cell>
          <cell r="CC55">
            <v>2.54</v>
          </cell>
          <cell r="CD55">
            <v>2.42</v>
          </cell>
          <cell r="CE55">
            <v>2.4900000000000002</v>
          </cell>
          <cell r="CF55">
            <v>2.86</v>
          </cell>
          <cell r="CG55">
            <v>3.12</v>
          </cell>
        </row>
        <row r="56">
          <cell r="A56" t="str">
            <v>TRAN-Z1</v>
          </cell>
          <cell r="B56">
            <v>53</v>
          </cell>
          <cell r="C56">
            <v>2.35</v>
          </cell>
          <cell r="D56">
            <v>2.25</v>
          </cell>
          <cell r="E56">
            <v>1.86</v>
          </cell>
          <cell r="F56">
            <v>1.56</v>
          </cell>
          <cell r="G56">
            <v>1.847</v>
          </cell>
          <cell r="H56">
            <v>2.15</v>
          </cell>
          <cell r="I56">
            <v>2.68</v>
          </cell>
          <cell r="J56">
            <v>2.08</v>
          </cell>
          <cell r="K56">
            <v>1.89</v>
          </cell>
          <cell r="L56">
            <v>2.02</v>
          </cell>
          <cell r="M56">
            <v>2.33</v>
          </cell>
          <cell r="N56">
            <v>2.04</v>
          </cell>
          <cell r="O56">
            <v>2.09</v>
          </cell>
          <cell r="P56">
            <v>2.34</v>
          </cell>
          <cell r="Q56">
            <v>2.02</v>
          </cell>
          <cell r="R56">
            <v>2.3199999999999998</v>
          </cell>
          <cell r="S56">
            <v>2.3199999999999998</v>
          </cell>
          <cell r="T56">
            <v>1.93</v>
          </cell>
          <cell r="U56">
            <v>2.02</v>
          </cell>
          <cell r="V56">
            <v>1.81</v>
          </cell>
          <cell r="W56">
            <v>1.92</v>
          </cell>
          <cell r="X56">
            <v>1.76</v>
          </cell>
          <cell r="Y56">
            <v>1.43</v>
          </cell>
          <cell r="Z56">
            <v>1.35</v>
          </cell>
          <cell r="AA56">
            <v>1.61</v>
          </cell>
          <cell r="AB56">
            <v>1.65</v>
          </cell>
          <cell r="AC56">
            <v>1.56</v>
          </cell>
          <cell r="AD56">
            <v>1.36</v>
          </cell>
          <cell r="AE56">
            <v>1.38</v>
          </cell>
          <cell r="AF56">
            <v>1.49</v>
          </cell>
          <cell r="AG56">
            <v>1.6</v>
          </cell>
          <cell r="AH56">
            <v>1.65</v>
          </cell>
          <cell r="AI56">
            <v>1.43</v>
          </cell>
          <cell r="AJ56">
            <v>1.29</v>
          </cell>
          <cell r="AK56">
            <v>1.49</v>
          </cell>
          <cell r="AL56">
            <v>1.56</v>
          </cell>
          <cell r="AM56">
            <v>1.72</v>
          </cell>
          <cell r="AN56">
            <v>2.12</v>
          </cell>
          <cell r="AO56">
            <v>2.15</v>
          </cell>
          <cell r="AP56">
            <v>1.8</v>
          </cell>
          <cell r="AQ56">
            <v>1.96</v>
          </cell>
          <cell r="AR56">
            <v>2.25</v>
          </cell>
          <cell r="AS56">
            <v>2.12</v>
          </cell>
          <cell r="AT56">
            <v>2.27</v>
          </cell>
          <cell r="AU56">
            <v>2.54</v>
          </cell>
          <cell r="AV56">
            <v>2.2200000000000002</v>
          </cell>
          <cell r="AW56">
            <v>1.7</v>
          </cell>
          <cell r="AX56">
            <v>1.73</v>
          </cell>
          <cell r="AY56">
            <v>2.57</v>
          </cell>
          <cell r="AZ56">
            <v>3.67</v>
          </cell>
          <cell r="BA56">
            <v>3.81</v>
          </cell>
          <cell r="BB56">
            <v>2.77</v>
          </cell>
          <cell r="BC56">
            <v>1.62</v>
          </cell>
          <cell r="BD56">
            <v>1.74</v>
          </cell>
          <cell r="BE56">
            <v>2.02</v>
          </cell>
          <cell r="BF56">
            <v>2.2000000000000002</v>
          </cell>
          <cell r="BG56">
            <v>2.06</v>
          </cell>
          <cell r="BH56">
            <v>2.1</v>
          </cell>
          <cell r="BI56">
            <v>2.4500000000000002</v>
          </cell>
          <cell r="BJ56">
            <v>2.97</v>
          </cell>
          <cell r="BK56">
            <v>3.17</v>
          </cell>
          <cell r="BL56">
            <v>2.4</v>
          </cell>
          <cell r="BM56">
            <v>2.17</v>
          </cell>
          <cell r="BN56">
            <v>1.91</v>
          </cell>
          <cell r="BO56">
            <v>2.16</v>
          </cell>
          <cell r="BP56">
            <v>2.23</v>
          </cell>
          <cell r="BQ56">
            <v>2.2000000000000002</v>
          </cell>
          <cell r="BR56">
            <v>1.95</v>
          </cell>
          <cell r="BS56">
            <v>2.29</v>
          </cell>
          <cell r="BT56">
            <v>1.85</v>
          </cell>
          <cell r="BU56">
            <v>1.53</v>
          </cell>
          <cell r="BV56">
            <v>1.96</v>
          </cell>
          <cell r="BW56">
            <v>1.91</v>
          </cell>
          <cell r="BX56">
            <v>2.04</v>
          </cell>
          <cell r="BY56">
            <v>1.71</v>
          </cell>
          <cell r="BZ56">
            <v>1.75</v>
          </cell>
          <cell r="CA56">
            <v>1.58</v>
          </cell>
          <cell r="CB56">
            <v>1.81</v>
          </cell>
          <cell r="CC56">
            <v>2.29</v>
          </cell>
          <cell r="CD56">
            <v>2.16</v>
          </cell>
          <cell r="CE56">
            <v>2.21</v>
          </cell>
          <cell r="CF56">
            <v>2.56</v>
          </cell>
          <cell r="CG56">
            <v>2.83</v>
          </cell>
        </row>
        <row r="57">
          <cell r="A57" t="str">
            <v>TRAN-Z2</v>
          </cell>
          <cell r="B57">
            <v>54</v>
          </cell>
          <cell r="C57">
            <v>2.36</v>
          </cell>
          <cell r="D57">
            <v>2.2799999999999998</v>
          </cell>
          <cell r="E57">
            <v>1.88</v>
          </cell>
          <cell r="F57">
            <v>1.6</v>
          </cell>
          <cell r="G57">
            <v>1.86</v>
          </cell>
          <cell r="H57">
            <v>2.16</v>
          </cell>
          <cell r="I57">
            <v>2.69</v>
          </cell>
          <cell r="J57">
            <v>2.11</v>
          </cell>
          <cell r="K57">
            <v>1.93</v>
          </cell>
          <cell r="L57">
            <v>2.0499999999999998</v>
          </cell>
          <cell r="M57">
            <v>2.36</v>
          </cell>
          <cell r="N57">
            <v>2.06</v>
          </cell>
          <cell r="O57">
            <v>2.11</v>
          </cell>
          <cell r="P57">
            <v>2.37</v>
          </cell>
          <cell r="Q57">
            <v>2.0299999999999998</v>
          </cell>
          <cell r="R57">
            <v>2.36</v>
          </cell>
          <cell r="S57">
            <v>2.36</v>
          </cell>
          <cell r="T57">
            <v>1.97</v>
          </cell>
          <cell r="U57">
            <v>2.04</v>
          </cell>
          <cell r="V57">
            <v>1.83</v>
          </cell>
          <cell r="W57">
            <v>1.93</v>
          </cell>
          <cell r="X57">
            <v>1.8</v>
          </cell>
          <cell r="Y57">
            <v>1.47</v>
          </cell>
          <cell r="Z57">
            <v>1.39</v>
          </cell>
          <cell r="AA57">
            <v>1.66</v>
          </cell>
          <cell r="AB57">
            <v>1.66</v>
          </cell>
          <cell r="AC57">
            <v>1.59</v>
          </cell>
          <cell r="AD57">
            <v>1.4</v>
          </cell>
          <cell r="AE57">
            <v>1.42</v>
          </cell>
          <cell r="AF57">
            <v>1.53</v>
          </cell>
          <cell r="AG57">
            <v>1.64</v>
          </cell>
          <cell r="AH57">
            <v>1.7</v>
          </cell>
          <cell r="AI57">
            <v>1.48</v>
          </cell>
          <cell r="AJ57">
            <v>1.33</v>
          </cell>
          <cell r="AK57">
            <v>1.55</v>
          </cell>
          <cell r="AL57">
            <v>1.61</v>
          </cell>
          <cell r="AM57">
            <v>1.77</v>
          </cell>
          <cell r="AN57">
            <v>2.23</v>
          </cell>
          <cell r="AO57">
            <v>3.29</v>
          </cell>
          <cell r="AP57">
            <v>2.2999999999999998</v>
          </cell>
          <cell r="AQ57">
            <v>2.7</v>
          </cell>
          <cell r="AR57">
            <v>2.58</v>
          </cell>
          <cell r="AS57">
            <v>2.16</v>
          </cell>
          <cell r="AT57">
            <v>2.31</v>
          </cell>
          <cell r="AU57">
            <v>2.6</v>
          </cell>
          <cell r="AV57">
            <v>2.27</v>
          </cell>
          <cell r="AW57">
            <v>1.77</v>
          </cell>
          <cell r="AX57">
            <v>1.8</v>
          </cell>
          <cell r="AY57">
            <v>2.64</v>
          </cell>
          <cell r="AZ57">
            <v>3.77</v>
          </cell>
          <cell r="BA57">
            <v>3.9</v>
          </cell>
          <cell r="BB57">
            <v>2.87</v>
          </cell>
          <cell r="BC57">
            <v>1.71</v>
          </cell>
          <cell r="BD57">
            <v>1.77</v>
          </cell>
          <cell r="BE57">
            <v>2.09</v>
          </cell>
          <cell r="BF57">
            <v>2.25</v>
          </cell>
          <cell r="BG57">
            <v>2.1</v>
          </cell>
          <cell r="BH57">
            <v>2.13</v>
          </cell>
          <cell r="BI57">
            <v>2.48</v>
          </cell>
          <cell r="BJ57">
            <v>3.02</v>
          </cell>
          <cell r="BK57">
            <v>3.21</v>
          </cell>
          <cell r="BL57">
            <v>2.4900000000000002</v>
          </cell>
          <cell r="BM57">
            <v>2.2200000000000002</v>
          </cell>
          <cell r="BN57">
            <v>1.97</v>
          </cell>
          <cell r="BO57">
            <v>2.2200000000000002</v>
          </cell>
          <cell r="BP57">
            <v>2.2799999999999998</v>
          </cell>
          <cell r="BQ57">
            <v>2.25</v>
          </cell>
          <cell r="BR57">
            <v>2</v>
          </cell>
          <cell r="BS57">
            <v>2.33</v>
          </cell>
          <cell r="BT57">
            <v>1.89</v>
          </cell>
          <cell r="BU57">
            <v>1.6</v>
          </cell>
          <cell r="BV57">
            <v>2.04</v>
          </cell>
          <cell r="BW57">
            <v>1.95</v>
          </cell>
          <cell r="BX57">
            <v>2.08</v>
          </cell>
          <cell r="BY57">
            <v>1.74</v>
          </cell>
          <cell r="BZ57">
            <v>1.78</v>
          </cell>
          <cell r="CA57">
            <v>1.61</v>
          </cell>
          <cell r="CB57">
            <v>1.84</v>
          </cell>
          <cell r="CC57">
            <v>2.3199999999999998</v>
          </cell>
          <cell r="CD57">
            <v>2.19</v>
          </cell>
          <cell r="CE57">
            <v>2.2400000000000002</v>
          </cell>
          <cell r="CF57">
            <v>2.58</v>
          </cell>
          <cell r="CG57">
            <v>2.86</v>
          </cell>
        </row>
        <row r="58">
          <cell r="A58" t="str">
            <v>TRAN-Z3</v>
          </cell>
          <cell r="B58">
            <v>55</v>
          </cell>
          <cell r="C58">
            <v>2.38</v>
          </cell>
          <cell r="D58">
            <v>2.29</v>
          </cell>
          <cell r="E58">
            <v>1.9</v>
          </cell>
          <cell r="F58">
            <v>1.62</v>
          </cell>
          <cell r="G58">
            <v>1.86</v>
          </cell>
          <cell r="H58">
            <v>2.19</v>
          </cell>
          <cell r="I58">
            <v>2.7</v>
          </cell>
          <cell r="J58">
            <v>2.16</v>
          </cell>
          <cell r="K58">
            <v>1.95</v>
          </cell>
          <cell r="L58">
            <v>2.0699999999999998</v>
          </cell>
          <cell r="M58">
            <v>2.37</v>
          </cell>
          <cell r="N58">
            <v>2.08</v>
          </cell>
          <cell r="O58">
            <v>2.15</v>
          </cell>
          <cell r="P58">
            <v>2.38</v>
          </cell>
          <cell r="Q58">
            <v>2.0499999999999998</v>
          </cell>
          <cell r="R58">
            <v>2.38</v>
          </cell>
          <cell r="S58">
            <v>2.38</v>
          </cell>
          <cell r="T58">
            <v>2</v>
          </cell>
          <cell r="U58">
            <v>2.06</v>
          </cell>
          <cell r="V58">
            <v>1.86</v>
          </cell>
          <cell r="W58">
            <v>1.96</v>
          </cell>
          <cell r="X58">
            <v>1.82</v>
          </cell>
          <cell r="Y58">
            <v>1.48</v>
          </cell>
          <cell r="Z58">
            <v>1.42</v>
          </cell>
          <cell r="AA58">
            <v>1.7</v>
          </cell>
          <cell r="AB58">
            <v>1.69</v>
          </cell>
          <cell r="AC58">
            <v>1.62</v>
          </cell>
          <cell r="AD58">
            <v>1.43</v>
          </cell>
          <cell r="AE58">
            <v>1.46</v>
          </cell>
          <cell r="AF58">
            <v>1.56</v>
          </cell>
          <cell r="AG58">
            <v>1.67</v>
          </cell>
          <cell r="AH58">
            <v>1.73</v>
          </cell>
          <cell r="AI58">
            <v>1.5</v>
          </cell>
          <cell r="AJ58">
            <v>1.36</v>
          </cell>
          <cell r="AK58">
            <v>1.59</v>
          </cell>
          <cell r="AL58">
            <v>1.64</v>
          </cell>
          <cell r="AM58">
            <v>1.8</v>
          </cell>
          <cell r="AN58">
            <v>2.27</v>
          </cell>
          <cell r="AO58">
            <v>3.38</v>
          </cell>
          <cell r="AP58">
            <v>2.36</v>
          </cell>
          <cell r="AQ58">
            <v>2.81</v>
          </cell>
          <cell r="AR58">
            <v>2.69</v>
          </cell>
          <cell r="AS58">
            <v>2.2000000000000002</v>
          </cell>
          <cell r="AT58">
            <v>2.37</v>
          </cell>
          <cell r="AU58">
            <v>2.65</v>
          </cell>
          <cell r="AV58">
            <v>2.2999999999999998</v>
          </cell>
          <cell r="AW58">
            <v>1.81</v>
          </cell>
          <cell r="AX58">
            <v>1.85</v>
          </cell>
          <cell r="AY58">
            <v>2.69</v>
          </cell>
          <cell r="AZ58">
            <v>3.82</v>
          </cell>
          <cell r="BA58">
            <v>3.98</v>
          </cell>
          <cell r="BB58">
            <v>2.9</v>
          </cell>
          <cell r="BC58">
            <v>1.77</v>
          </cell>
          <cell r="BD58">
            <v>1.81</v>
          </cell>
          <cell r="BE58">
            <v>2.15</v>
          </cell>
          <cell r="BF58">
            <v>2.2999999999999998</v>
          </cell>
          <cell r="BG58">
            <v>2.15</v>
          </cell>
          <cell r="BH58">
            <v>2.17</v>
          </cell>
          <cell r="BI58">
            <v>2.5299999999999998</v>
          </cell>
          <cell r="BJ58">
            <v>3.1</v>
          </cell>
          <cell r="BK58">
            <v>3.27</v>
          </cell>
          <cell r="BL58">
            <v>2.54</v>
          </cell>
          <cell r="BM58">
            <v>2.2799999999999998</v>
          </cell>
          <cell r="BN58">
            <v>2.0299999999999998</v>
          </cell>
          <cell r="BO58">
            <v>2.27</v>
          </cell>
          <cell r="BP58">
            <v>2.3199999999999998</v>
          </cell>
          <cell r="BQ58">
            <v>2.29</v>
          </cell>
          <cell r="BR58">
            <v>2.0299999999999998</v>
          </cell>
          <cell r="BS58">
            <v>2.37</v>
          </cell>
          <cell r="BT58">
            <v>1.93</v>
          </cell>
          <cell r="BU58">
            <v>1.63</v>
          </cell>
          <cell r="BV58">
            <v>2.08</v>
          </cell>
          <cell r="BW58">
            <v>2.0099999999999998</v>
          </cell>
          <cell r="BX58">
            <v>2.11</v>
          </cell>
          <cell r="BY58">
            <v>1.78</v>
          </cell>
          <cell r="BZ58">
            <v>1.81</v>
          </cell>
          <cell r="CA58">
            <v>1.63</v>
          </cell>
          <cell r="CB58">
            <v>1.88</v>
          </cell>
          <cell r="CC58">
            <v>2.36</v>
          </cell>
          <cell r="CD58">
            <v>2.23</v>
          </cell>
          <cell r="CE58">
            <v>2.2599999999999998</v>
          </cell>
          <cell r="CF58">
            <v>2.61</v>
          </cell>
          <cell r="CG58">
            <v>2.89</v>
          </cell>
        </row>
        <row r="59">
          <cell r="A59" t="str">
            <v>TRAN-Z4</v>
          </cell>
          <cell r="B59">
            <v>56</v>
          </cell>
          <cell r="C59">
            <v>2.44</v>
          </cell>
          <cell r="D59">
            <v>2.3199999999999998</v>
          </cell>
          <cell r="E59">
            <v>1.91</v>
          </cell>
          <cell r="F59">
            <v>1.66</v>
          </cell>
          <cell r="G59">
            <v>1.92</v>
          </cell>
          <cell r="H59">
            <v>2.23</v>
          </cell>
          <cell r="I59">
            <v>2.72</v>
          </cell>
          <cell r="J59">
            <v>2.1</v>
          </cell>
          <cell r="K59">
            <v>1.94</v>
          </cell>
          <cell r="L59">
            <v>2.11</v>
          </cell>
          <cell r="M59">
            <v>2.39</v>
          </cell>
          <cell r="N59">
            <v>2.09</v>
          </cell>
          <cell r="O59">
            <v>2.17</v>
          </cell>
          <cell r="P59">
            <v>2.42</v>
          </cell>
          <cell r="Q59">
            <v>2.0699999999999998</v>
          </cell>
          <cell r="R59">
            <v>2.41</v>
          </cell>
          <cell r="S59">
            <v>2.4</v>
          </cell>
          <cell r="T59">
            <v>2</v>
          </cell>
          <cell r="U59">
            <v>2.08</v>
          </cell>
          <cell r="V59">
            <v>1.85</v>
          </cell>
          <cell r="W59">
            <v>1.98</v>
          </cell>
          <cell r="X59">
            <v>1.82</v>
          </cell>
          <cell r="Y59">
            <v>1.49</v>
          </cell>
          <cell r="Z59">
            <v>1.44</v>
          </cell>
          <cell r="AA59">
            <v>1.71</v>
          </cell>
          <cell r="AB59">
            <v>1.69</v>
          </cell>
          <cell r="AC59">
            <v>1.62</v>
          </cell>
          <cell r="AD59">
            <v>1.45</v>
          </cell>
          <cell r="AE59">
            <v>1.45</v>
          </cell>
          <cell r="AF59">
            <v>1.58</v>
          </cell>
          <cell r="AG59">
            <v>1.68</v>
          </cell>
          <cell r="AH59">
            <v>1.74</v>
          </cell>
          <cell r="AI59">
            <v>1.51</v>
          </cell>
          <cell r="AJ59">
            <v>1.39</v>
          </cell>
          <cell r="AK59">
            <v>1.59</v>
          </cell>
          <cell r="AL59">
            <v>1.65</v>
          </cell>
          <cell r="AM59">
            <v>1.82</v>
          </cell>
          <cell r="AN59">
            <v>2.29</v>
          </cell>
          <cell r="AO59">
            <v>3.44</v>
          </cell>
          <cell r="AP59">
            <v>2.41</v>
          </cell>
          <cell r="AQ59">
            <v>2.82</v>
          </cell>
          <cell r="AR59">
            <v>2.74</v>
          </cell>
          <cell r="AS59">
            <v>2.2000000000000002</v>
          </cell>
          <cell r="AT59">
            <v>2.38</v>
          </cell>
          <cell r="AU59">
            <v>2.66</v>
          </cell>
          <cell r="AV59">
            <v>2.34</v>
          </cell>
          <cell r="AW59">
            <v>1.8</v>
          </cell>
          <cell r="AX59">
            <v>1.83</v>
          </cell>
          <cell r="AY59">
            <v>2.69</v>
          </cell>
          <cell r="AZ59">
            <v>3.84</v>
          </cell>
          <cell r="BA59">
            <v>3.8</v>
          </cell>
          <cell r="BB59">
            <v>2.9</v>
          </cell>
          <cell r="BC59">
            <v>1.76</v>
          </cell>
          <cell r="BD59">
            <v>1.81</v>
          </cell>
          <cell r="BE59">
            <v>2.15</v>
          </cell>
          <cell r="BF59">
            <v>2.31</v>
          </cell>
          <cell r="BG59">
            <v>2.15</v>
          </cell>
          <cell r="BH59">
            <v>2.1800000000000002</v>
          </cell>
          <cell r="BI59">
            <v>2.5</v>
          </cell>
          <cell r="BJ59">
            <v>3.01</v>
          </cell>
          <cell r="BK59">
            <v>3.27</v>
          </cell>
          <cell r="BL59">
            <v>2.58</v>
          </cell>
          <cell r="BM59">
            <v>2.34</v>
          </cell>
          <cell r="BN59">
            <v>2.08</v>
          </cell>
          <cell r="BO59">
            <v>2.2999999999999998</v>
          </cell>
          <cell r="BP59">
            <v>2.33</v>
          </cell>
          <cell r="BQ59">
            <v>2.29</v>
          </cell>
          <cell r="BR59">
            <v>2.02</v>
          </cell>
          <cell r="BS59">
            <v>2.37</v>
          </cell>
          <cell r="BT59">
            <v>1.94</v>
          </cell>
          <cell r="BU59">
            <v>1.63</v>
          </cell>
          <cell r="BV59">
            <v>2.09</v>
          </cell>
          <cell r="BW59">
            <v>2.02</v>
          </cell>
          <cell r="BX59">
            <v>2.12</v>
          </cell>
          <cell r="BY59">
            <v>1.81</v>
          </cell>
          <cell r="BZ59">
            <v>1.84</v>
          </cell>
          <cell r="CA59">
            <v>1.66</v>
          </cell>
          <cell r="CB59">
            <v>1.88</v>
          </cell>
          <cell r="CC59">
            <v>2.37</v>
          </cell>
          <cell r="CD59">
            <v>2.2400000000000002</v>
          </cell>
          <cell r="CE59">
            <v>2.27</v>
          </cell>
          <cell r="CF59">
            <v>2.62</v>
          </cell>
          <cell r="CG59">
            <v>2.9</v>
          </cell>
        </row>
        <row r="60">
          <cell r="A60" t="str">
            <v>TRAN-Z6</v>
          </cell>
          <cell r="B60">
            <v>57</v>
          </cell>
          <cell r="AU60">
            <v>2.93</v>
          </cell>
          <cell r="AV60">
            <v>2.58</v>
          </cell>
          <cell r="AW60">
            <v>2.0499999999999998</v>
          </cell>
          <cell r="AX60">
            <v>2.1</v>
          </cell>
          <cell r="AY60">
            <v>3.33</v>
          </cell>
          <cell r="AZ60">
            <v>5.14</v>
          </cell>
          <cell r="BA60">
            <v>5.25</v>
          </cell>
          <cell r="BB60">
            <v>3.65</v>
          </cell>
          <cell r="BC60">
            <v>2.15</v>
          </cell>
          <cell r="BD60">
            <v>2.15</v>
          </cell>
          <cell r="BE60">
            <v>2.42</v>
          </cell>
          <cell r="BF60">
            <v>2.59</v>
          </cell>
          <cell r="BG60">
            <v>2.4300000000000002</v>
          </cell>
          <cell r="BH60">
            <v>2.42</v>
          </cell>
          <cell r="BI60">
            <v>2.75</v>
          </cell>
          <cell r="BJ60">
            <v>3.47</v>
          </cell>
          <cell r="BK60">
            <v>3.76</v>
          </cell>
          <cell r="BL60">
            <v>3.29</v>
          </cell>
          <cell r="BM60">
            <v>2.95</v>
          </cell>
          <cell r="BN60">
            <v>2.4</v>
          </cell>
          <cell r="BO60">
            <v>2.4900000000000002</v>
          </cell>
          <cell r="BP60">
            <v>2.56</v>
          </cell>
          <cell r="BQ60">
            <v>2.5299999999999998</v>
          </cell>
          <cell r="BR60">
            <v>2.2599999999999998</v>
          </cell>
          <cell r="BS60">
            <v>2.59</v>
          </cell>
          <cell r="BT60">
            <v>2.17</v>
          </cell>
          <cell r="BU60">
            <v>1.8</v>
          </cell>
          <cell r="BV60">
            <v>2.2999999999999998</v>
          </cell>
          <cell r="BW60">
            <v>2.41</v>
          </cell>
          <cell r="BX60">
            <v>2.5</v>
          </cell>
          <cell r="BY60">
            <v>2.36</v>
          </cell>
          <cell r="BZ60">
            <v>2.31</v>
          </cell>
          <cell r="CA60">
            <v>1.96</v>
          </cell>
          <cell r="CB60">
            <v>2.15</v>
          </cell>
          <cell r="CC60">
            <v>2.56</v>
          </cell>
          <cell r="CD60">
            <v>2.42</v>
          </cell>
          <cell r="CE60">
            <v>2.5</v>
          </cell>
          <cell r="CF60">
            <v>2.9</v>
          </cell>
          <cell r="CG60">
            <v>3.14</v>
          </cell>
        </row>
        <row r="61">
          <cell r="A61" t="str">
            <v>TRUNK-FZ</v>
          </cell>
          <cell r="B61">
            <v>58</v>
          </cell>
          <cell r="C61">
            <v>2.2599999999999998</v>
          </cell>
          <cell r="D61">
            <v>2.2000000000000002</v>
          </cell>
          <cell r="E61">
            <v>1.9</v>
          </cell>
          <cell r="F61">
            <v>1.6</v>
          </cell>
          <cell r="G61">
            <v>1.85</v>
          </cell>
          <cell r="H61">
            <v>2.15</v>
          </cell>
          <cell r="I61">
            <v>2.67</v>
          </cell>
          <cell r="J61">
            <v>1.95</v>
          </cell>
          <cell r="K61">
            <v>1.92</v>
          </cell>
          <cell r="L61">
            <v>2.0299999999999998</v>
          </cell>
          <cell r="M61">
            <v>2.2999999999999998</v>
          </cell>
          <cell r="N61">
            <v>2</v>
          </cell>
          <cell r="O61">
            <v>2.08</v>
          </cell>
          <cell r="P61">
            <v>2.35</v>
          </cell>
          <cell r="Q61">
            <v>1.99</v>
          </cell>
          <cell r="R61">
            <v>2.2799999999999998</v>
          </cell>
          <cell r="S61">
            <v>2.2999999999999998</v>
          </cell>
          <cell r="T61">
            <v>1.94</v>
          </cell>
          <cell r="U61">
            <v>2.0099999999999998</v>
          </cell>
          <cell r="V61">
            <v>1.75</v>
          </cell>
          <cell r="W61">
            <v>1.87</v>
          </cell>
          <cell r="X61">
            <v>1.71</v>
          </cell>
          <cell r="Y61">
            <v>1.41</v>
          </cell>
          <cell r="Z61">
            <v>1.37</v>
          </cell>
          <cell r="AA61">
            <v>1.6</v>
          </cell>
          <cell r="AB61">
            <v>1.6</v>
          </cell>
          <cell r="AC61">
            <v>1.53</v>
          </cell>
          <cell r="AD61">
            <v>1.33</v>
          </cell>
          <cell r="AE61">
            <v>1.35</v>
          </cell>
          <cell r="AF61">
            <v>1.5</v>
          </cell>
          <cell r="AG61">
            <v>1.61</v>
          </cell>
          <cell r="AH61">
            <v>1.65</v>
          </cell>
          <cell r="AI61">
            <v>1.44</v>
          </cell>
          <cell r="AJ61">
            <v>1.3</v>
          </cell>
          <cell r="AK61">
            <v>1.5</v>
          </cell>
          <cell r="AL61">
            <v>1.59</v>
          </cell>
          <cell r="AM61">
            <v>1.73</v>
          </cell>
          <cell r="AN61">
            <v>2.2000000000000002</v>
          </cell>
          <cell r="AO61">
            <v>3.15</v>
          </cell>
          <cell r="AP61">
            <v>2.27</v>
          </cell>
          <cell r="AQ61">
            <v>2.68</v>
          </cell>
          <cell r="BB61">
            <v>2.83</v>
          </cell>
          <cell r="BD61">
            <v>1.73</v>
          </cell>
          <cell r="BE61">
            <v>2.02</v>
          </cell>
          <cell r="BF61">
            <v>2.23</v>
          </cell>
          <cell r="BG61">
            <v>2.08</v>
          </cell>
          <cell r="BH61">
            <v>2.11</v>
          </cell>
          <cell r="BI61">
            <v>2.46</v>
          </cell>
        </row>
        <row r="62">
          <cell r="A62" t="str">
            <v>TRUNK-LA</v>
          </cell>
          <cell r="B62">
            <v>59</v>
          </cell>
          <cell r="AO62">
            <v>3.2</v>
          </cell>
          <cell r="AP62">
            <v>2.3199999999999998</v>
          </cell>
          <cell r="AQ62">
            <v>2.74</v>
          </cell>
          <cell r="AR62">
            <v>2.6</v>
          </cell>
          <cell r="AS62">
            <v>2.16</v>
          </cell>
          <cell r="AT62">
            <v>2.2999999999999998</v>
          </cell>
          <cell r="AU62">
            <v>2.6</v>
          </cell>
          <cell r="AV62">
            <v>2.2599999999999998</v>
          </cell>
          <cell r="AW62">
            <v>1.76</v>
          </cell>
          <cell r="AX62">
            <v>1.77</v>
          </cell>
          <cell r="AY62">
            <v>2.63</v>
          </cell>
          <cell r="AZ62">
            <v>3.74</v>
          </cell>
          <cell r="BA62">
            <v>3.8</v>
          </cell>
          <cell r="BB62">
            <v>2.76</v>
          </cell>
          <cell r="BC62">
            <v>1.67</v>
          </cell>
          <cell r="BD62">
            <v>1.76</v>
          </cell>
          <cell r="BE62">
            <v>2.06</v>
          </cell>
          <cell r="BF62">
            <v>2.2400000000000002</v>
          </cell>
          <cell r="BG62">
            <v>2.08</v>
          </cell>
          <cell r="BH62">
            <v>2.13</v>
          </cell>
          <cell r="BI62">
            <v>2.4700000000000002</v>
          </cell>
          <cell r="BJ62">
            <v>3.07</v>
          </cell>
          <cell r="BK62">
            <v>3.18</v>
          </cell>
          <cell r="BL62">
            <v>2.44</v>
          </cell>
          <cell r="BM62">
            <v>2.16</v>
          </cell>
          <cell r="BN62">
            <v>1.93</v>
          </cell>
          <cell r="BO62">
            <v>2.1800000000000002</v>
          </cell>
          <cell r="BP62">
            <v>2.2200000000000002</v>
          </cell>
          <cell r="BQ62">
            <v>2.19</v>
          </cell>
          <cell r="BR62">
            <v>1.94</v>
          </cell>
          <cell r="BS62">
            <v>2.2799999999999998</v>
          </cell>
          <cell r="BT62">
            <v>1.84</v>
          </cell>
          <cell r="BU62">
            <v>1.53</v>
          </cell>
          <cell r="BV62">
            <v>1.94</v>
          </cell>
          <cell r="BW62">
            <v>1.91</v>
          </cell>
          <cell r="BX62">
            <v>2.0499999999999998</v>
          </cell>
          <cell r="BY62">
            <v>1.71</v>
          </cell>
          <cell r="BZ62">
            <v>1.75</v>
          </cell>
          <cell r="CA62">
            <v>1.56</v>
          </cell>
          <cell r="CB62">
            <v>1.83</v>
          </cell>
          <cell r="CC62">
            <v>2.2999999999999998</v>
          </cell>
          <cell r="CD62">
            <v>2.16</v>
          </cell>
          <cell r="CE62">
            <v>2.2200000000000002</v>
          </cell>
          <cell r="CF62">
            <v>2.56</v>
          </cell>
          <cell r="CG62">
            <v>2.85</v>
          </cell>
        </row>
        <row r="63">
          <cell r="A63" t="str">
            <v>TRUNK-TX</v>
          </cell>
          <cell r="B63">
            <v>60</v>
          </cell>
          <cell r="AO63">
            <v>2.0499999999999998</v>
          </cell>
          <cell r="AP63">
            <v>1.78</v>
          </cell>
          <cell r="AQ63">
            <v>1.92</v>
          </cell>
          <cell r="AR63">
            <v>2.23</v>
          </cell>
          <cell r="AS63">
            <v>2.11</v>
          </cell>
          <cell r="AT63">
            <v>2.2599999999999998</v>
          </cell>
          <cell r="AU63">
            <v>2.5299999999999998</v>
          </cell>
          <cell r="AV63">
            <v>2.21</v>
          </cell>
          <cell r="AW63">
            <v>1.7</v>
          </cell>
          <cell r="AX63">
            <v>1.74</v>
          </cell>
          <cell r="AY63">
            <v>2.61</v>
          </cell>
          <cell r="AZ63">
            <v>3.68</v>
          </cell>
          <cell r="BA63">
            <v>3.59</v>
          </cell>
          <cell r="BB63">
            <v>2.7</v>
          </cell>
          <cell r="BC63">
            <v>1.64</v>
          </cell>
          <cell r="BD63">
            <v>1.73</v>
          </cell>
          <cell r="BE63">
            <v>2.02</v>
          </cell>
          <cell r="BF63">
            <v>2.2200000000000002</v>
          </cell>
          <cell r="BG63">
            <v>2.0699999999999998</v>
          </cell>
          <cell r="BH63">
            <v>2.11</v>
          </cell>
          <cell r="BI63">
            <v>2.46</v>
          </cell>
          <cell r="BJ63">
            <v>3</v>
          </cell>
          <cell r="BK63">
            <v>3.16</v>
          </cell>
          <cell r="BL63">
            <v>2.35</v>
          </cell>
          <cell r="BM63">
            <v>2.15</v>
          </cell>
          <cell r="BN63">
            <v>1.92</v>
          </cell>
          <cell r="BO63">
            <v>2.17</v>
          </cell>
          <cell r="BP63">
            <v>2.2200000000000002</v>
          </cell>
          <cell r="BQ63">
            <v>2.2000000000000002</v>
          </cell>
          <cell r="BR63">
            <v>1.95</v>
          </cell>
          <cell r="BS63">
            <v>2.2799999999999998</v>
          </cell>
          <cell r="BT63">
            <v>1.83</v>
          </cell>
          <cell r="BU63">
            <v>1.54</v>
          </cell>
          <cell r="BV63">
            <v>1.94</v>
          </cell>
          <cell r="BW63">
            <v>1.89</v>
          </cell>
          <cell r="BX63">
            <v>2.0299999999999998</v>
          </cell>
          <cell r="BY63">
            <v>1.69</v>
          </cell>
          <cell r="BZ63">
            <v>1.74</v>
          </cell>
          <cell r="CA63">
            <v>1.56</v>
          </cell>
          <cell r="CB63">
            <v>1.82</v>
          </cell>
          <cell r="CC63">
            <v>2.2799999999999998</v>
          </cell>
          <cell r="CD63">
            <v>2.14</v>
          </cell>
          <cell r="CE63">
            <v>2.2000000000000002</v>
          </cell>
          <cell r="CF63">
            <v>2.5299999999999998</v>
          </cell>
          <cell r="CG63">
            <v>2.81</v>
          </cell>
        </row>
        <row r="64">
          <cell r="A64" t="str">
            <v>TW-PERM</v>
          </cell>
          <cell r="B64">
            <v>61</v>
          </cell>
          <cell r="C64">
            <v>2.11</v>
          </cell>
          <cell r="D64">
            <v>2.0299999999999998</v>
          </cell>
          <cell r="E64">
            <v>2.0299999999999998</v>
          </cell>
          <cell r="F64">
            <v>1.57</v>
          </cell>
          <cell r="G64">
            <v>1.84</v>
          </cell>
          <cell r="H64">
            <v>1.9</v>
          </cell>
          <cell r="I64">
            <v>2.21</v>
          </cell>
          <cell r="J64">
            <v>1.65</v>
          </cell>
          <cell r="K64">
            <v>1.76</v>
          </cell>
          <cell r="L64">
            <v>1.88</v>
          </cell>
          <cell r="M64">
            <v>2.0299999999999998</v>
          </cell>
          <cell r="N64">
            <v>1.73</v>
          </cell>
          <cell r="O64">
            <v>1.76</v>
          </cell>
          <cell r="P64">
            <v>2.27</v>
          </cell>
          <cell r="Q64">
            <v>1.91</v>
          </cell>
          <cell r="R64">
            <v>1.88</v>
          </cell>
          <cell r="S64">
            <v>2.0099999999999998</v>
          </cell>
          <cell r="T64">
            <v>1.73</v>
          </cell>
          <cell r="U64">
            <v>1.73</v>
          </cell>
          <cell r="V64">
            <v>1.48</v>
          </cell>
          <cell r="W64">
            <v>1.64</v>
          </cell>
          <cell r="X64">
            <v>1.56</v>
          </cell>
          <cell r="Y64">
            <v>1.38</v>
          </cell>
          <cell r="Z64">
            <v>1.21</v>
          </cell>
          <cell r="AA64">
            <v>1.47</v>
          </cell>
          <cell r="AB64">
            <v>1.63</v>
          </cell>
          <cell r="AC64">
            <v>1.44</v>
          </cell>
          <cell r="AD64">
            <v>1.1599999999999999</v>
          </cell>
          <cell r="AE64">
            <v>1.18</v>
          </cell>
          <cell r="AF64">
            <v>1.26</v>
          </cell>
          <cell r="AG64">
            <v>1.35</v>
          </cell>
          <cell r="AH64">
            <v>1.38</v>
          </cell>
          <cell r="AI64">
            <v>1.19</v>
          </cell>
          <cell r="AJ64">
            <v>1.18</v>
          </cell>
          <cell r="AK64">
            <v>1.36</v>
          </cell>
          <cell r="AL64">
            <v>1.42</v>
          </cell>
          <cell r="AM64">
            <v>1.53</v>
          </cell>
          <cell r="AN64">
            <v>1.74</v>
          </cell>
          <cell r="AO64">
            <v>1.89</v>
          </cell>
          <cell r="AP64">
            <v>1.66</v>
          </cell>
          <cell r="AQ64">
            <v>1.76</v>
          </cell>
          <cell r="AR64">
            <v>1.96</v>
          </cell>
          <cell r="AS64">
            <v>1.89</v>
          </cell>
          <cell r="AT64">
            <v>1.95</v>
          </cell>
          <cell r="AU64">
            <v>2.02</v>
          </cell>
          <cell r="AV64">
            <v>2.0099999999999998</v>
          </cell>
          <cell r="AW64">
            <v>1.55</v>
          </cell>
          <cell r="AX64">
            <v>1.62</v>
          </cell>
          <cell r="AY64">
            <v>2.44</v>
          </cell>
          <cell r="AZ64">
            <v>3.5</v>
          </cell>
          <cell r="BA64">
            <v>4.0999999999999996</v>
          </cell>
          <cell r="BB64">
            <v>2.5</v>
          </cell>
          <cell r="BC64">
            <v>1.52</v>
          </cell>
          <cell r="BD64">
            <v>1.61</v>
          </cell>
          <cell r="BE64">
            <v>1.89</v>
          </cell>
          <cell r="BF64">
            <v>2.0499999999999998</v>
          </cell>
          <cell r="BG64">
            <v>1.99</v>
          </cell>
          <cell r="BH64">
            <v>2.0499999999999998</v>
          </cell>
          <cell r="BI64">
            <v>2.35</v>
          </cell>
          <cell r="BJ64">
            <v>2.84</v>
          </cell>
          <cell r="BK64">
            <v>3.06</v>
          </cell>
          <cell r="BL64">
            <v>2.2000000000000002</v>
          </cell>
          <cell r="BM64">
            <v>2.09</v>
          </cell>
          <cell r="BN64">
            <v>1.87</v>
          </cell>
          <cell r="BO64">
            <v>2.0699999999999998</v>
          </cell>
          <cell r="BP64">
            <v>2.15</v>
          </cell>
          <cell r="BQ64">
            <v>2.12</v>
          </cell>
          <cell r="BR64">
            <v>1.89</v>
          </cell>
          <cell r="BS64">
            <v>2.17</v>
          </cell>
          <cell r="BT64">
            <v>1.94</v>
          </cell>
          <cell r="BU64">
            <v>1.59</v>
          </cell>
          <cell r="BV64">
            <v>1.83</v>
          </cell>
          <cell r="BW64">
            <v>1.99</v>
          </cell>
          <cell r="BX64">
            <v>1.99</v>
          </cell>
          <cell r="BY64">
            <v>1.74</v>
          </cell>
          <cell r="BZ64">
            <v>1.67</v>
          </cell>
          <cell r="CA64">
            <v>1.57</v>
          </cell>
          <cell r="CB64">
            <v>1.66</v>
          </cell>
          <cell r="CC64">
            <v>2.16</v>
          </cell>
          <cell r="CD64">
            <v>2.08</v>
          </cell>
          <cell r="CE64">
            <v>2.17</v>
          </cell>
          <cell r="CF64">
            <v>2.4500000000000002</v>
          </cell>
          <cell r="CG64">
            <v>2.77</v>
          </cell>
        </row>
        <row r="65">
          <cell r="A65" t="str">
            <v>TXG-Z1</v>
          </cell>
          <cell r="B65">
            <v>62</v>
          </cell>
          <cell r="C65">
            <v>2.33</v>
          </cell>
          <cell r="D65">
            <v>2.25</v>
          </cell>
          <cell r="E65">
            <v>1.92</v>
          </cell>
          <cell r="F65">
            <v>1.61</v>
          </cell>
          <cell r="G65">
            <v>1.85</v>
          </cell>
          <cell r="H65">
            <v>2.16</v>
          </cell>
          <cell r="I65">
            <v>2.65</v>
          </cell>
          <cell r="J65">
            <v>2</v>
          </cell>
          <cell r="K65">
            <v>1.89</v>
          </cell>
          <cell r="L65">
            <v>2.04</v>
          </cell>
          <cell r="M65">
            <v>2.2999999999999998</v>
          </cell>
          <cell r="N65">
            <v>1.98</v>
          </cell>
          <cell r="O65">
            <v>2.09</v>
          </cell>
          <cell r="P65">
            <v>2.2999999999999998</v>
          </cell>
          <cell r="Q65">
            <v>2.02</v>
          </cell>
          <cell r="R65">
            <v>2.2999999999999998</v>
          </cell>
          <cell r="S65">
            <v>2.33</v>
          </cell>
          <cell r="T65">
            <v>1.94</v>
          </cell>
          <cell r="U65">
            <v>2.02</v>
          </cell>
          <cell r="V65">
            <v>1.78</v>
          </cell>
          <cell r="W65">
            <v>1.91</v>
          </cell>
          <cell r="X65">
            <v>1.76</v>
          </cell>
          <cell r="Y65">
            <v>1.44</v>
          </cell>
          <cell r="Z65">
            <v>1.39</v>
          </cell>
          <cell r="AA65">
            <v>1.63</v>
          </cell>
          <cell r="AB65">
            <v>1.64</v>
          </cell>
          <cell r="AC65">
            <v>1.58</v>
          </cell>
          <cell r="AD65">
            <v>1.38</v>
          </cell>
          <cell r="AE65">
            <v>1.41</v>
          </cell>
          <cell r="AF65">
            <v>1.51</v>
          </cell>
          <cell r="AG65">
            <v>1.62</v>
          </cell>
          <cell r="AH65">
            <v>1.66</v>
          </cell>
          <cell r="AI65">
            <v>1.46</v>
          </cell>
          <cell r="AJ65">
            <v>1.33</v>
          </cell>
          <cell r="AK65">
            <v>1.53</v>
          </cell>
          <cell r="AL65">
            <v>1.62</v>
          </cell>
          <cell r="AM65">
            <v>1.76</v>
          </cell>
          <cell r="AN65">
            <v>2.25</v>
          </cell>
          <cell r="AO65">
            <v>3.32</v>
          </cell>
          <cell r="AP65">
            <v>2.35</v>
          </cell>
          <cell r="AQ65">
            <v>2.74</v>
          </cell>
          <cell r="AR65">
            <v>2.7</v>
          </cell>
          <cell r="AS65">
            <v>2.17</v>
          </cell>
          <cell r="AT65">
            <v>2.2999999999999998</v>
          </cell>
          <cell r="AU65">
            <v>2.61</v>
          </cell>
          <cell r="AV65">
            <v>2.2799999999999998</v>
          </cell>
          <cell r="AW65">
            <v>1.81</v>
          </cell>
          <cell r="AX65">
            <v>1.8</v>
          </cell>
          <cell r="AY65">
            <v>2.62</v>
          </cell>
          <cell r="AZ65">
            <v>3.81</v>
          </cell>
          <cell r="BA65">
            <v>4.01</v>
          </cell>
          <cell r="BB65">
            <v>2.88</v>
          </cell>
          <cell r="BC65">
            <v>1.76</v>
          </cell>
          <cell r="BD65">
            <v>1.78</v>
          </cell>
          <cell r="BE65">
            <v>2.08</v>
          </cell>
          <cell r="BF65">
            <v>2.2999999999999998</v>
          </cell>
          <cell r="BG65">
            <v>2.13</v>
          </cell>
          <cell r="BH65">
            <v>2.17</v>
          </cell>
          <cell r="BI65">
            <v>2.54</v>
          </cell>
          <cell r="BJ65">
            <v>3.08</v>
          </cell>
          <cell r="BK65">
            <v>3.24</v>
          </cell>
          <cell r="BL65">
            <v>2.4700000000000002</v>
          </cell>
          <cell r="BM65">
            <v>2.2400000000000002</v>
          </cell>
          <cell r="BN65">
            <v>1.99</v>
          </cell>
          <cell r="BO65">
            <v>2.2200000000000002</v>
          </cell>
          <cell r="BP65">
            <v>2.2400000000000002</v>
          </cell>
          <cell r="BQ65">
            <v>2.25</v>
          </cell>
          <cell r="BR65">
            <v>2</v>
          </cell>
          <cell r="BS65">
            <v>2.33</v>
          </cell>
          <cell r="BT65">
            <v>1.91</v>
          </cell>
          <cell r="BU65">
            <v>1.59</v>
          </cell>
          <cell r="BV65">
            <v>2.0299999999999998</v>
          </cell>
          <cell r="BW65">
            <v>1.98</v>
          </cell>
          <cell r="BX65">
            <v>2.09</v>
          </cell>
          <cell r="BY65">
            <v>1.74</v>
          </cell>
          <cell r="BZ65">
            <v>1.81</v>
          </cell>
          <cell r="CA65">
            <v>1.62</v>
          </cell>
          <cell r="CB65">
            <v>1.87</v>
          </cell>
          <cell r="CC65">
            <v>2.35</v>
          </cell>
          <cell r="CD65">
            <v>2.21</v>
          </cell>
          <cell r="CE65">
            <v>2.25</v>
          </cell>
          <cell r="CF65">
            <v>2.6</v>
          </cell>
          <cell r="CG65">
            <v>2.88</v>
          </cell>
        </row>
        <row r="66">
          <cell r="A66" t="str">
            <v>TXG-ZSL</v>
          </cell>
          <cell r="B66">
            <v>63</v>
          </cell>
          <cell r="C66">
            <v>2.3199999999999998</v>
          </cell>
          <cell r="D66">
            <v>2.2400000000000002</v>
          </cell>
          <cell r="E66">
            <v>1.9</v>
          </cell>
          <cell r="F66">
            <v>1.6</v>
          </cell>
          <cell r="G66">
            <v>1.85</v>
          </cell>
          <cell r="H66">
            <v>2.15</v>
          </cell>
          <cell r="I66">
            <v>2.65</v>
          </cell>
          <cell r="J66">
            <v>1.98</v>
          </cell>
          <cell r="K66">
            <v>1.87</v>
          </cell>
          <cell r="L66">
            <v>2.0499999999999998</v>
          </cell>
          <cell r="M66">
            <v>2.3199999999999998</v>
          </cell>
          <cell r="N66">
            <v>1.98</v>
          </cell>
          <cell r="O66">
            <v>2.09</v>
          </cell>
          <cell r="P66">
            <v>2.3199999999999998</v>
          </cell>
          <cell r="Q66">
            <v>2.0299999999999998</v>
          </cell>
          <cell r="R66">
            <v>2.3199999999999998</v>
          </cell>
          <cell r="S66">
            <v>2.3199999999999998</v>
          </cell>
          <cell r="T66">
            <v>1.93</v>
          </cell>
          <cell r="U66">
            <v>2.0299999999999998</v>
          </cell>
          <cell r="V66">
            <v>1.77</v>
          </cell>
          <cell r="W66">
            <v>1.91</v>
          </cell>
          <cell r="X66">
            <v>1.75</v>
          </cell>
          <cell r="Y66">
            <v>1.44</v>
          </cell>
          <cell r="Z66">
            <v>1.37</v>
          </cell>
          <cell r="AA66">
            <v>1.63</v>
          </cell>
          <cell r="AB66">
            <v>1.64</v>
          </cell>
          <cell r="AC66">
            <v>1.57</v>
          </cell>
          <cell r="AD66">
            <v>1.38</v>
          </cell>
          <cell r="AE66">
            <v>1.4</v>
          </cell>
          <cell r="AF66">
            <v>1.51</v>
          </cell>
          <cell r="AG66">
            <v>1.62</v>
          </cell>
          <cell r="AH66">
            <v>1.67</v>
          </cell>
          <cell r="AI66">
            <v>1.46</v>
          </cell>
          <cell r="AJ66">
            <v>1.32</v>
          </cell>
          <cell r="AK66">
            <v>1.53</v>
          </cell>
          <cell r="AL66">
            <v>1.61</v>
          </cell>
          <cell r="AM66">
            <v>1.76</v>
          </cell>
          <cell r="AN66">
            <v>2.2400000000000002</v>
          </cell>
          <cell r="AO66">
            <v>3.35</v>
          </cell>
          <cell r="AP66">
            <v>2.35</v>
          </cell>
          <cell r="AQ66">
            <v>2.8</v>
          </cell>
          <cell r="AR66">
            <v>2.72</v>
          </cell>
          <cell r="AS66">
            <v>2.19</v>
          </cell>
          <cell r="AT66">
            <v>2.3199999999999998</v>
          </cell>
          <cell r="AU66">
            <v>2.62</v>
          </cell>
          <cell r="AV66">
            <v>2.2999999999999998</v>
          </cell>
          <cell r="AW66">
            <v>1.79</v>
          </cell>
          <cell r="AX66">
            <v>1.81</v>
          </cell>
          <cell r="AY66">
            <v>2.64</v>
          </cell>
          <cell r="AZ66">
            <v>3.84</v>
          </cell>
          <cell r="BA66">
            <v>4.0199999999999996</v>
          </cell>
          <cell r="BB66">
            <v>2.88</v>
          </cell>
          <cell r="BC66">
            <v>1.77</v>
          </cell>
          <cell r="BD66">
            <v>1.79</v>
          </cell>
          <cell r="BE66">
            <v>2.1</v>
          </cell>
          <cell r="BF66">
            <v>2.31</v>
          </cell>
          <cell r="BG66">
            <v>2.13</v>
          </cell>
          <cell r="BH66">
            <v>2.16</v>
          </cell>
          <cell r="BI66">
            <v>2.5299999999999998</v>
          </cell>
          <cell r="BJ66">
            <v>3.08</v>
          </cell>
          <cell r="BK66">
            <v>3.26</v>
          </cell>
          <cell r="BL66">
            <v>2.5099999999999998</v>
          </cell>
          <cell r="BM66">
            <v>2.25</v>
          </cell>
          <cell r="BN66">
            <v>1.99</v>
          </cell>
          <cell r="BO66">
            <v>2.23</v>
          </cell>
          <cell r="BP66">
            <v>2.2200000000000002</v>
          </cell>
          <cell r="BQ66">
            <v>2.25</v>
          </cell>
          <cell r="BR66">
            <v>2</v>
          </cell>
          <cell r="BS66">
            <v>2.33</v>
          </cell>
          <cell r="BT66">
            <v>1.91</v>
          </cell>
          <cell r="BU66">
            <v>1.58</v>
          </cell>
          <cell r="BV66">
            <v>2.02</v>
          </cell>
          <cell r="BW66">
            <v>1.96</v>
          </cell>
          <cell r="BX66">
            <v>2.0699999999999998</v>
          </cell>
          <cell r="BY66">
            <v>1.74</v>
          </cell>
          <cell r="BZ66">
            <v>1.79</v>
          </cell>
          <cell r="CA66">
            <v>1.61</v>
          </cell>
          <cell r="CB66">
            <v>1.87</v>
          </cell>
          <cell r="CC66">
            <v>2.34</v>
          </cell>
          <cell r="CD66">
            <v>2.2000000000000002</v>
          </cell>
          <cell r="CE66">
            <v>2.2400000000000002</v>
          </cell>
          <cell r="CF66">
            <v>2.59</v>
          </cell>
          <cell r="CG66">
            <v>2.87</v>
          </cell>
        </row>
        <row r="67">
          <cell r="A67" t="str">
            <v>VAL-TX</v>
          </cell>
          <cell r="B67">
            <v>64</v>
          </cell>
          <cell r="C67">
            <v>2.04</v>
          </cell>
          <cell r="D67">
            <v>2.0499999999999998</v>
          </cell>
          <cell r="E67">
            <v>1.9</v>
          </cell>
          <cell r="F67">
            <v>1.56</v>
          </cell>
          <cell r="G67">
            <v>1.8</v>
          </cell>
          <cell r="H67">
            <v>2.15</v>
          </cell>
          <cell r="I67">
            <v>2.5</v>
          </cell>
          <cell r="J67">
            <v>1.81</v>
          </cell>
          <cell r="K67">
            <v>1.82</v>
          </cell>
          <cell r="L67">
            <v>2.02</v>
          </cell>
          <cell r="M67">
            <v>2.2400000000000002</v>
          </cell>
          <cell r="N67">
            <v>1.85</v>
          </cell>
          <cell r="O67">
            <v>1.95</v>
          </cell>
          <cell r="P67">
            <v>2.2999999999999998</v>
          </cell>
          <cell r="Q67">
            <v>1.91</v>
          </cell>
          <cell r="R67">
            <v>2</v>
          </cell>
          <cell r="S67">
            <v>2.09</v>
          </cell>
          <cell r="T67">
            <v>1.84</v>
          </cell>
          <cell r="U67">
            <v>1.9</v>
          </cell>
          <cell r="V67">
            <v>1.64</v>
          </cell>
          <cell r="W67">
            <v>1.85</v>
          </cell>
          <cell r="X67">
            <v>1.65</v>
          </cell>
          <cell r="Y67">
            <v>1.39</v>
          </cell>
          <cell r="Z67">
            <v>1.29</v>
          </cell>
          <cell r="AA67">
            <v>1.56</v>
          </cell>
          <cell r="AB67">
            <v>1.58</v>
          </cell>
          <cell r="AC67">
            <v>1.45</v>
          </cell>
          <cell r="AD67">
            <v>1.26</v>
          </cell>
          <cell r="AE67">
            <v>1.28</v>
          </cell>
          <cell r="AF67">
            <v>1.38</v>
          </cell>
          <cell r="AG67">
            <v>1.5</v>
          </cell>
          <cell r="AH67">
            <v>1.53</v>
          </cell>
          <cell r="AI67">
            <v>1.36</v>
          </cell>
          <cell r="AJ67">
            <v>1.26</v>
          </cell>
          <cell r="AK67">
            <v>1.43</v>
          </cell>
          <cell r="AL67">
            <v>1.5</v>
          </cell>
          <cell r="AM67">
            <v>1.61</v>
          </cell>
          <cell r="AN67">
            <v>1.97</v>
          </cell>
          <cell r="AO67">
            <v>2.04</v>
          </cell>
          <cell r="AP67">
            <v>1.77</v>
          </cell>
          <cell r="AQ67">
            <v>1.89</v>
          </cell>
          <cell r="AR67">
            <v>2.1800000000000002</v>
          </cell>
          <cell r="AS67">
            <v>2.06</v>
          </cell>
          <cell r="AT67">
            <v>2.1800000000000002</v>
          </cell>
          <cell r="AU67">
            <v>2.37</v>
          </cell>
          <cell r="AV67">
            <v>2.16</v>
          </cell>
          <cell r="AW67">
            <v>1.74</v>
          </cell>
          <cell r="AX67">
            <v>1.71</v>
          </cell>
          <cell r="AY67">
            <v>2.4900000000000002</v>
          </cell>
          <cell r="AZ67">
            <v>3.55</v>
          </cell>
          <cell r="BA67">
            <v>3.76</v>
          </cell>
          <cell r="BB67">
            <v>2.64</v>
          </cell>
          <cell r="BC67">
            <v>1.6</v>
          </cell>
          <cell r="BD67">
            <v>1.69</v>
          </cell>
          <cell r="BE67">
            <v>1.96</v>
          </cell>
          <cell r="BF67">
            <v>2.17</v>
          </cell>
          <cell r="BG67">
            <v>2.0299999999999998</v>
          </cell>
          <cell r="BH67">
            <v>2.0699999999999998</v>
          </cell>
          <cell r="BI67">
            <v>2.38</v>
          </cell>
          <cell r="BJ67">
            <v>3</v>
          </cell>
          <cell r="BK67">
            <v>3.15</v>
          </cell>
          <cell r="BL67">
            <v>2.31</v>
          </cell>
          <cell r="BM67">
            <v>2.09</v>
          </cell>
          <cell r="BN67">
            <v>1.88</v>
          </cell>
          <cell r="BO67">
            <v>2.11</v>
          </cell>
          <cell r="BP67">
            <v>2.1800000000000002</v>
          </cell>
          <cell r="BQ67">
            <v>2.17</v>
          </cell>
          <cell r="BR67">
            <v>1.93</v>
          </cell>
        </row>
        <row r="68">
          <cell r="A68" t="str">
            <v>WILL-TOK</v>
          </cell>
          <cell r="B68">
            <v>65</v>
          </cell>
          <cell r="C68">
            <v>1.98</v>
          </cell>
          <cell r="D68">
            <v>2</v>
          </cell>
          <cell r="E68">
            <v>2.0299999999999998</v>
          </cell>
          <cell r="F68">
            <v>1.65</v>
          </cell>
          <cell r="G68">
            <v>1.85</v>
          </cell>
          <cell r="H68">
            <v>2.0699999999999998</v>
          </cell>
          <cell r="I68">
            <v>2.57</v>
          </cell>
          <cell r="J68">
            <v>1.75</v>
          </cell>
          <cell r="K68">
            <v>1.73</v>
          </cell>
          <cell r="L68">
            <v>1.86</v>
          </cell>
          <cell r="M68">
            <v>2.1</v>
          </cell>
          <cell r="N68">
            <v>1.83</v>
          </cell>
          <cell r="O68">
            <v>1.83</v>
          </cell>
          <cell r="P68">
            <v>2.25</v>
          </cell>
          <cell r="Q68">
            <v>1.94</v>
          </cell>
          <cell r="R68">
            <v>2.1</v>
          </cell>
          <cell r="S68">
            <v>2.11</v>
          </cell>
          <cell r="T68">
            <v>1.76</v>
          </cell>
          <cell r="U68">
            <v>1.77</v>
          </cell>
          <cell r="V68">
            <v>1.53</v>
          </cell>
          <cell r="W68">
            <v>1.61</v>
          </cell>
          <cell r="X68">
            <v>1.55</v>
          </cell>
          <cell r="Y68">
            <v>1.33</v>
          </cell>
          <cell r="Z68">
            <v>1.24</v>
          </cell>
          <cell r="AA68">
            <v>1.45</v>
          </cell>
          <cell r="AB68">
            <v>1.6</v>
          </cell>
          <cell r="AC68">
            <v>1.51</v>
          </cell>
          <cell r="AD68">
            <v>1.23</v>
          </cell>
          <cell r="AE68">
            <v>1.24</v>
          </cell>
          <cell r="AF68">
            <v>1.27</v>
          </cell>
          <cell r="AG68">
            <v>1.4</v>
          </cell>
          <cell r="AH68">
            <v>1.44</v>
          </cell>
          <cell r="AI68">
            <v>1.23</v>
          </cell>
          <cell r="AJ68">
            <v>1.18</v>
          </cell>
          <cell r="AK68">
            <v>1.42</v>
          </cell>
          <cell r="AL68">
            <v>1.49</v>
          </cell>
          <cell r="AM68">
            <v>1.6</v>
          </cell>
          <cell r="AN68">
            <v>1.88</v>
          </cell>
          <cell r="AO68">
            <v>2.0299999999999998</v>
          </cell>
          <cell r="AP68">
            <v>1.84</v>
          </cell>
          <cell r="AQ68">
            <v>1.9</v>
          </cell>
          <cell r="AR68">
            <v>2.15</v>
          </cell>
          <cell r="AS68">
            <v>2</v>
          </cell>
          <cell r="AT68">
            <v>2.0299999999999998</v>
          </cell>
          <cell r="AU68">
            <v>2.1800000000000002</v>
          </cell>
          <cell r="AV68">
            <v>2.14</v>
          </cell>
          <cell r="AW68">
            <v>1.67</v>
          </cell>
          <cell r="AX68">
            <v>1.68</v>
          </cell>
          <cell r="AY68">
            <v>2.5</v>
          </cell>
          <cell r="AZ68">
            <v>3.68</v>
          </cell>
          <cell r="BA68">
            <v>4.3</v>
          </cell>
          <cell r="BB68">
            <v>2.81</v>
          </cell>
          <cell r="BC68">
            <v>2.81</v>
          </cell>
          <cell r="BD68">
            <v>1.7</v>
          </cell>
          <cell r="BE68">
            <v>1.92</v>
          </cell>
          <cell r="BG68">
            <v>2.04</v>
          </cell>
          <cell r="BH68">
            <v>2.0499999999999998</v>
          </cell>
          <cell r="BI68">
            <v>2.38</v>
          </cell>
          <cell r="BJ68">
            <v>2.98</v>
          </cell>
          <cell r="BK68">
            <v>3.15</v>
          </cell>
          <cell r="BL68">
            <v>2.37</v>
          </cell>
          <cell r="BM68">
            <v>2.15</v>
          </cell>
          <cell r="BN68">
            <v>1.92</v>
          </cell>
          <cell r="BO68">
            <v>2.15</v>
          </cell>
          <cell r="BP68">
            <v>2.1800000000000002</v>
          </cell>
          <cell r="BQ68">
            <v>2.16</v>
          </cell>
          <cell r="BR68">
            <v>1.93</v>
          </cell>
          <cell r="BS68">
            <v>2.27</v>
          </cell>
          <cell r="BT68">
            <v>1.85</v>
          </cell>
          <cell r="BU68">
            <v>1.56</v>
          </cell>
          <cell r="BV68">
            <v>1.9</v>
          </cell>
          <cell r="BW68">
            <v>1.94</v>
          </cell>
          <cell r="BX68">
            <v>2.0499999999999998</v>
          </cell>
          <cell r="BY68">
            <v>1.78</v>
          </cell>
          <cell r="BZ68">
            <v>1.75</v>
          </cell>
          <cell r="CA68">
            <v>1.57</v>
          </cell>
          <cell r="CB68">
            <v>1.74</v>
          </cell>
          <cell r="CC68">
            <v>2.2200000000000002</v>
          </cell>
          <cell r="CD68">
            <v>2.12</v>
          </cell>
          <cell r="CE68">
            <v>2.17</v>
          </cell>
          <cell r="CF68">
            <v>2.5</v>
          </cell>
          <cell r="CG68">
            <v>2.77</v>
          </cell>
        </row>
      </sheetData>
      <sheetData sheetId="1" refreshError="1">
        <row r="2">
          <cell r="A2">
            <v>33909</v>
          </cell>
          <cell r="B2">
            <v>3</v>
          </cell>
          <cell r="D2" t="str">
            <v>3D</v>
          </cell>
          <cell r="E2" t="str">
            <v>3D Avg</v>
          </cell>
          <cell r="F2">
            <v>2</v>
          </cell>
        </row>
        <row r="3">
          <cell r="A3">
            <v>33939</v>
          </cell>
          <cell r="B3">
            <v>4</v>
          </cell>
          <cell r="D3" t="str">
            <v>2D</v>
          </cell>
          <cell r="E3" t="str">
            <v>2D Avg</v>
          </cell>
          <cell r="F3">
            <v>3</v>
          </cell>
        </row>
        <row r="4">
          <cell r="A4">
            <v>33970</v>
          </cell>
          <cell r="B4">
            <v>5</v>
          </cell>
          <cell r="D4" t="str">
            <v>FD</v>
          </cell>
          <cell r="E4" t="str">
            <v>Settle</v>
          </cell>
          <cell r="F4">
            <v>4</v>
          </cell>
        </row>
        <row r="5">
          <cell r="A5">
            <v>34001</v>
          </cell>
          <cell r="B5">
            <v>6</v>
          </cell>
          <cell r="D5" t="str">
            <v>AECO-NT</v>
          </cell>
          <cell r="E5" t="str">
            <v>AECO Hub</v>
          </cell>
          <cell r="F5">
            <v>5</v>
          </cell>
        </row>
        <row r="6">
          <cell r="A6">
            <v>34029</v>
          </cell>
          <cell r="B6">
            <v>7</v>
          </cell>
          <cell r="D6" t="str">
            <v>ANR-LA</v>
          </cell>
          <cell r="E6" t="str">
            <v>ANR-Louisiana</v>
          </cell>
          <cell r="F6">
            <v>6</v>
          </cell>
        </row>
        <row r="7">
          <cell r="A7">
            <v>34060</v>
          </cell>
          <cell r="B7">
            <v>8</v>
          </cell>
          <cell r="D7" t="str">
            <v>ANR-OFF</v>
          </cell>
          <cell r="E7" t="str">
            <v>ANR-Offshore</v>
          </cell>
          <cell r="F7">
            <v>7</v>
          </cell>
        </row>
        <row r="8">
          <cell r="A8">
            <v>34090</v>
          </cell>
          <cell r="B8">
            <v>9</v>
          </cell>
          <cell r="D8" t="str">
            <v>ANR-OK</v>
          </cell>
          <cell r="E8" t="str">
            <v>ANR-Oklahoma</v>
          </cell>
          <cell r="F8">
            <v>8</v>
          </cell>
        </row>
        <row r="9">
          <cell r="A9">
            <v>34121</v>
          </cell>
          <cell r="B9">
            <v>10</v>
          </cell>
          <cell r="D9" t="str">
            <v>CG-APP</v>
          </cell>
          <cell r="E9" t="str">
            <v>Columbia Gas-App</v>
          </cell>
          <cell r="F9">
            <v>9</v>
          </cell>
        </row>
        <row r="10">
          <cell r="A10">
            <v>34151</v>
          </cell>
          <cell r="B10">
            <v>11</v>
          </cell>
          <cell r="D10" t="str">
            <v>CGLF-LA</v>
          </cell>
          <cell r="E10" t="str">
            <v>Columbia Gulf-Louisiana</v>
          </cell>
          <cell r="F10">
            <v>10</v>
          </cell>
        </row>
        <row r="11">
          <cell r="A11">
            <v>34182</v>
          </cell>
          <cell r="B11">
            <v>12</v>
          </cell>
          <cell r="D11" t="str">
            <v>CGLF-OFS</v>
          </cell>
          <cell r="E11" t="str">
            <v>Columbia Gulf-Offshore</v>
          </cell>
          <cell r="F11">
            <v>11</v>
          </cell>
        </row>
        <row r="12">
          <cell r="A12">
            <v>34213</v>
          </cell>
          <cell r="B12">
            <v>13</v>
          </cell>
          <cell r="D12" t="str">
            <v>CHIC</v>
          </cell>
          <cell r="E12" t="str">
            <v>Chicago City Gate</v>
          </cell>
          <cell r="F12">
            <v>12</v>
          </cell>
        </row>
        <row r="13">
          <cell r="A13">
            <v>34243</v>
          </cell>
          <cell r="B13">
            <v>14</v>
          </cell>
          <cell r="D13" t="str">
            <v>CIG-ROCK</v>
          </cell>
          <cell r="E13" t="str">
            <v>CIG-Rocky Mtn</v>
          </cell>
          <cell r="F13">
            <v>13</v>
          </cell>
        </row>
        <row r="14">
          <cell r="A14">
            <v>34274</v>
          </cell>
          <cell r="B14">
            <v>15</v>
          </cell>
          <cell r="D14" t="str">
            <v>CNG</v>
          </cell>
          <cell r="E14" t="str">
            <v>CNG-Appalacian</v>
          </cell>
          <cell r="F14">
            <v>14</v>
          </cell>
        </row>
        <row r="15">
          <cell r="A15">
            <v>34304</v>
          </cell>
          <cell r="B15">
            <v>16</v>
          </cell>
          <cell r="D15" t="str">
            <v>EPNG-ANAD</v>
          </cell>
          <cell r="E15" t="str">
            <v>El Paso-Anadarko</v>
          </cell>
          <cell r="F15">
            <v>15</v>
          </cell>
        </row>
        <row r="16">
          <cell r="A16">
            <v>34335</v>
          </cell>
          <cell r="B16">
            <v>17</v>
          </cell>
          <cell r="D16" t="str">
            <v>EPNG-PERM</v>
          </cell>
          <cell r="E16" t="str">
            <v>El Paso-Permian</v>
          </cell>
          <cell r="F16">
            <v>16</v>
          </cell>
        </row>
        <row r="17">
          <cell r="A17">
            <v>34366</v>
          </cell>
          <cell r="B17">
            <v>18</v>
          </cell>
          <cell r="D17" t="str">
            <v>EPNG-SJ</v>
          </cell>
          <cell r="E17" t="str">
            <v>El Paso-San Juan</v>
          </cell>
          <cell r="F17">
            <v>17</v>
          </cell>
        </row>
        <row r="18">
          <cell r="A18">
            <v>34394</v>
          </cell>
          <cell r="B18">
            <v>19</v>
          </cell>
          <cell r="D18" t="str">
            <v>FGT-Z1</v>
          </cell>
          <cell r="E18" t="str">
            <v>Florida-Zone 1</v>
          </cell>
          <cell r="F18">
            <v>18</v>
          </cell>
        </row>
        <row r="19">
          <cell r="A19">
            <v>34425</v>
          </cell>
          <cell r="B19">
            <v>20</v>
          </cell>
          <cell r="D19" t="str">
            <v>FGT-Z2</v>
          </cell>
          <cell r="E19" t="str">
            <v>Florida-Zone 2</v>
          </cell>
          <cell r="F19">
            <v>19</v>
          </cell>
        </row>
        <row r="20">
          <cell r="A20">
            <v>34455</v>
          </cell>
          <cell r="B20">
            <v>21</v>
          </cell>
          <cell r="D20" t="str">
            <v>FGT-Z3</v>
          </cell>
          <cell r="E20" t="str">
            <v>Florida-Zone 3</v>
          </cell>
          <cell r="F20">
            <v>20</v>
          </cell>
        </row>
        <row r="21">
          <cell r="A21">
            <v>34486</v>
          </cell>
          <cell r="B21">
            <v>22</v>
          </cell>
          <cell r="D21" t="str">
            <v>HSC</v>
          </cell>
          <cell r="E21" t="str">
            <v>Hous Ship Chan</v>
          </cell>
          <cell r="F21">
            <v>21</v>
          </cell>
        </row>
        <row r="22">
          <cell r="A22">
            <v>34516</v>
          </cell>
          <cell r="B22">
            <v>23</v>
          </cell>
          <cell r="D22" t="str">
            <v>HUB</v>
          </cell>
          <cell r="E22" t="str">
            <v>Henry Hub</v>
          </cell>
          <cell r="F22">
            <v>22</v>
          </cell>
        </row>
        <row r="23">
          <cell r="A23">
            <v>34547</v>
          </cell>
          <cell r="B23">
            <v>24</v>
          </cell>
          <cell r="D23" t="str">
            <v>KERN</v>
          </cell>
          <cell r="E23" t="str">
            <v>Kern River</v>
          </cell>
          <cell r="F23">
            <v>23</v>
          </cell>
        </row>
        <row r="24">
          <cell r="A24">
            <v>34578</v>
          </cell>
          <cell r="B24">
            <v>25</v>
          </cell>
          <cell r="D24" t="str">
            <v>KERN-NGI</v>
          </cell>
          <cell r="E24" t="str">
            <v>Kern River-NGI</v>
          </cell>
          <cell r="F24">
            <v>24</v>
          </cell>
        </row>
        <row r="25">
          <cell r="A25">
            <v>34608</v>
          </cell>
          <cell r="B25">
            <v>26</v>
          </cell>
          <cell r="D25" t="str">
            <v>KOCH-LA</v>
          </cell>
          <cell r="E25" t="str">
            <v>Koch Gateway-LA</v>
          </cell>
          <cell r="F25">
            <v>25</v>
          </cell>
        </row>
        <row r="26">
          <cell r="A26">
            <v>34639</v>
          </cell>
          <cell r="B26">
            <v>27</v>
          </cell>
          <cell r="D26" t="str">
            <v>KOCH-TX</v>
          </cell>
          <cell r="E26" t="str">
            <v>Koch Gateway-TX</v>
          </cell>
          <cell r="F26">
            <v>26</v>
          </cell>
        </row>
        <row r="27">
          <cell r="A27">
            <v>34669</v>
          </cell>
          <cell r="B27">
            <v>28</v>
          </cell>
          <cell r="D27" t="str">
            <v>MALIN-400</v>
          </cell>
          <cell r="E27" t="str">
            <v>Malin-400 Border</v>
          </cell>
          <cell r="F27">
            <v>27</v>
          </cell>
        </row>
        <row r="28">
          <cell r="A28">
            <v>34700</v>
          </cell>
          <cell r="B28">
            <v>29</v>
          </cell>
          <cell r="D28" t="str">
            <v>MALIN-401</v>
          </cell>
          <cell r="E28" t="str">
            <v>Malin-401 Border</v>
          </cell>
          <cell r="F28">
            <v>28</v>
          </cell>
        </row>
        <row r="29">
          <cell r="A29">
            <v>34731</v>
          </cell>
          <cell r="B29">
            <v>30</v>
          </cell>
          <cell r="D29" t="str">
            <v>MICH</v>
          </cell>
          <cell r="E29" t="str">
            <v>MichCon</v>
          </cell>
          <cell r="F29">
            <v>29</v>
          </cell>
        </row>
        <row r="30">
          <cell r="A30">
            <v>34759</v>
          </cell>
          <cell r="B30">
            <v>31</v>
          </cell>
          <cell r="D30" t="str">
            <v>MRC</v>
          </cell>
          <cell r="E30" t="str">
            <v>Miss River Corr</v>
          </cell>
          <cell r="F30">
            <v>30</v>
          </cell>
        </row>
        <row r="31">
          <cell r="A31">
            <v>34790</v>
          </cell>
          <cell r="B31">
            <v>32</v>
          </cell>
          <cell r="D31" t="str">
            <v>NGPL-LA</v>
          </cell>
          <cell r="E31" t="str">
            <v>NGPL-Louisiana</v>
          </cell>
          <cell r="F31">
            <v>31</v>
          </cell>
        </row>
        <row r="32">
          <cell r="A32">
            <v>34820</v>
          </cell>
          <cell r="B32">
            <v>33</v>
          </cell>
          <cell r="D32" t="str">
            <v>NGPL-MC</v>
          </cell>
          <cell r="E32" t="str">
            <v>NGPL-MidContinent</v>
          </cell>
          <cell r="F32">
            <v>32</v>
          </cell>
        </row>
        <row r="33">
          <cell r="A33">
            <v>34851</v>
          </cell>
          <cell r="B33">
            <v>34</v>
          </cell>
          <cell r="D33" t="str">
            <v>NGPL-OK</v>
          </cell>
          <cell r="E33" t="str">
            <v>NGPL-Oklahoma</v>
          </cell>
          <cell r="F33">
            <v>33</v>
          </cell>
        </row>
        <row r="34">
          <cell r="A34">
            <v>34881</v>
          </cell>
          <cell r="B34">
            <v>35</v>
          </cell>
          <cell r="D34" t="str">
            <v>NGPL-STX</v>
          </cell>
          <cell r="E34" t="str">
            <v>NGPL-Texas</v>
          </cell>
          <cell r="F34">
            <v>34</v>
          </cell>
        </row>
        <row r="35">
          <cell r="A35">
            <v>34912</v>
          </cell>
          <cell r="B35">
            <v>36</v>
          </cell>
          <cell r="D35" t="str">
            <v>NNG-DEMARC</v>
          </cell>
          <cell r="E35" t="str">
            <v>Northern-Demarc</v>
          </cell>
          <cell r="F35">
            <v>35</v>
          </cell>
        </row>
        <row r="36">
          <cell r="A36">
            <v>34943</v>
          </cell>
          <cell r="B36">
            <v>37</v>
          </cell>
          <cell r="D36" t="str">
            <v>NNG-TOK</v>
          </cell>
          <cell r="E36" t="str">
            <v>Northern-TOK</v>
          </cell>
          <cell r="F36">
            <v>36</v>
          </cell>
        </row>
        <row r="37">
          <cell r="A37">
            <v>34973</v>
          </cell>
          <cell r="B37">
            <v>38</v>
          </cell>
          <cell r="D37" t="str">
            <v>NNG-VENT</v>
          </cell>
          <cell r="E37" t="str">
            <v>Northern-Ventura</v>
          </cell>
          <cell r="F37">
            <v>37</v>
          </cell>
        </row>
        <row r="38">
          <cell r="A38">
            <v>35004</v>
          </cell>
          <cell r="B38">
            <v>39</v>
          </cell>
          <cell r="D38" t="str">
            <v>NOR-AM</v>
          </cell>
          <cell r="E38" t="str">
            <v>Noram</v>
          </cell>
          <cell r="F38">
            <v>38</v>
          </cell>
        </row>
        <row r="39">
          <cell r="A39">
            <v>35034</v>
          </cell>
          <cell r="B39">
            <v>40</v>
          </cell>
          <cell r="D39" t="str">
            <v>NOR-EAST</v>
          </cell>
          <cell r="E39" t="str">
            <v>Noram East</v>
          </cell>
          <cell r="F39">
            <v>39</v>
          </cell>
        </row>
        <row r="40">
          <cell r="A40">
            <v>35065</v>
          </cell>
          <cell r="B40">
            <v>41</v>
          </cell>
          <cell r="D40" t="str">
            <v>NOR-WEST</v>
          </cell>
          <cell r="E40" t="str">
            <v>Noram West</v>
          </cell>
          <cell r="F40">
            <v>40</v>
          </cell>
        </row>
        <row r="41">
          <cell r="A41">
            <v>35096</v>
          </cell>
          <cell r="B41">
            <v>42</v>
          </cell>
          <cell r="D41" t="str">
            <v>NWPL-CAN</v>
          </cell>
          <cell r="E41" t="str">
            <v>Northwest-Canada</v>
          </cell>
          <cell r="F41">
            <v>41</v>
          </cell>
        </row>
        <row r="42">
          <cell r="A42">
            <v>35125</v>
          </cell>
          <cell r="B42">
            <v>43</v>
          </cell>
          <cell r="D42" t="str">
            <v>NWPL-ROCK</v>
          </cell>
          <cell r="E42" t="str">
            <v>Northwest-Rock Mtn</v>
          </cell>
          <cell r="F42">
            <v>42</v>
          </cell>
        </row>
        <row r="43">
          <cell r="A43">
            <v>35156</v>
          </cell>
          <cell r="B43">
            <v>44</v>
          </cell>
          <cell r="D43" t="str">
            <v>ONG-OKL</v>
          </cell>
          <cell r="E43" t="str">
            <v>ONG-Oklahoma</v>
          </cell>
          <cell r="F43">
            <v>43</v>
          </cell>
        </row>
        <row r="44">
          <cell r="A44">
            <v>35186</v>
          </cell>
          <cell r="B44">
            <v>45</v>
          </cell>
          <cell r="D44" t="str">
            <v>PEPL-FZ</v>
          </cell>
          <cell r="E44" t="str">
            <v>Panhandle-Field Zone</v>
          </cell>
          <cell r="F44">
            <v>44</v>
          </cell>
        </row>
        <row r="45">
          <cell r="A45">
            <v>35217</v>
          </cell>
          <cell r="B45">
            <v>46</v>
          </cell>
          <cell r="D45" t="str">
            <v>QUEST</v>
          </cell>
          <cell r="E45" t="str">
            <v>Questar</v>
          </cell>
          <cell r="F45">
            <v>45</v>
          </cell>
        </row>
        <row r="46">
          <cell r="A46">
            <v>35247</v>
          </cell>
          <cell r="B46">
            <v>47</v>
          </cell>
          <cell r="D46" t="str">
            <v>NGI-Socal</v>
          </cell>
          <cell r="E46" t="str">
            <v>So Cal Border</v>
          </cell>
          <cell r="F46">
            <v>46</v>
          </cell>
        </row>
        <row r="47">
          <cell r="A47">
            <v>35278</v>
          </cell>
          <cell r="B47">
            <v>48</v>
          </cell>
          <cell r="D47" t="str">
            <v>SONAT-LA</v>
          </cell>
          <cell r="E47" t="str">
            <v>Southern-Louisiana</v>
          </cell>
          <cell r="F47">
            <v>47</v>
          </cell>
        </row>
        <row r="48">
          <cell r="A48">
            <v>35309</v>
          </cell>
          <cell r="B48">
            <v>49</v>
          </cell>
          <cell r="D48" t="str">
            <v>TANG</v>
          </cell>
          <cell r="E48" t="str">
            <v>Transamerican</v>
          </cell>
          <cell r="F48">
            <v>48</v>
          </cell>
        </row>
        <row r="49">
          <cell r="A49">
            <v>35339</v>
          </cell>
          <cell r="B49">
            <v>50</v>
          </cell>
          <cell r="D49" t="str">
            <v>TENN-Z0</v>
          </cell>
          <cell r="E49" t="str">
            <v>Tennessee-Zone 0</v>
          </cell>
          <cell r="F49">
            <v>49</v>
          </cell>
        </row>
        <row r="50">
          <cell r="A50">
            <v>35370</v>
          </cell>
          <cell r="B50">
            <v>51</v>
          </cell>
          <cell r="D50" t="str">
            <v>TENN-Z1</v>
          </cell>
          <cell r="E50" t="str">
            <v>Tennessee-Zone 1</v>
          </cell>
          <cell r="F50">
            <v>50</v>
          </cell>
        </row>
        <row r="51">
          <cell r="A51">
            <v>35400</v>
          </cell>
          <cell r="B51">
            <v>52</v>
          </cell>
          <cell r="D51" t="str">
            <v>TET-ELA</v>
          </cell>
          <cell r="E51" t="str">
            <v>Texas Eastern-ELA</v>
          </cell>
          <cell r="F51">
            <v>51</v>
          </cell>
        </row>
        <row r="52">
          <cell r="A52">
            <v>35431</v>
          </cell>
          <cell r="B52">
            <v>53</v>
          </cell>
          <cell r="D52" t="str">
            <v>TET-ETX</v>
          </cell>
          <cell r="E52" t="str">
            <v>Texas Eastern-ETX</v>
          </cell>
          <cell r="F52">
            <v>52</v>
          </cell>
        </row>
        <row r="53">
          <cell r="A53">
            <v>35462</v>
          </cell>
          <cell r="B53">
            <v>54</v>
          </cell>
          <cell r="D53" t="str">
            <v>TET-M3</v>
          </cell>
          <cell r="E53" t="str">
            <v>Texas Eastern-M3</v>
          </cell>
          <cell r="F53">
            <v>53</v>
          </cell>
        </row>
        <row r="54">
          <cell r="A54">
            <v>35490</v>
          </cell>
          <cell r="B54">
            <v>55</v>
          </cell>
          <cell r="D54" t="str">
            <v>TET-STX</v>
          </cell>
          <cell r="E54" t="str">
            <v>Texas Eastern-STX</v>
          </cell>
          <cell r="F54">
            <v>54</v>
          </cell>
        </row>
        <row r="55">
          <cell r="A55">
            <v>35521</v>
          </cell>
          <cell r="B55">
            <v>56</v>
          </cell>
          <cell r="D55" t="str">
            <v>TET-WLA</v>
          </cell>
          <cell r="E55" t="str">
            <v>Texas Eastern-WLA</v>
          </cell>
          <cell r="F55">
            <v>55</v>
          </cell>
        </row>
        <row r="56">
          <cell r="A56">
            <v>35551</v>
          </cell>
          <cell r="B56">
            <v>57</v>
          </cell>
          <cell r="D56" t="str">
            <v>TRAN-Z1</v>
          </cell>
          <cell r="E56" t="str">
            <v>Transco-Zone 1</v>
          </cell>
          <cell r="F56">
            <v>56</v>
          </cell>
        </row>
        <row r="57">
          <cell r="A57">
            <v>35582</v>
          </cell>
          <cell r="B57">
            <v>58</v>
          </cell>
          <cell r="D57" t="str">
            <v>TRAN-Z2</v>
          </cell>
          <cell r="E57" t="str">
            <v>Transco-Zone 2</v>
          </cell>
          <cell r="F57">
            <v>57</v>
          </cell>
        </row>
        <row r="58">
          <cell r="A58">
            <v>35612</v>
          </cell>
          <cell r="B58">
            <v>59</v>
          </cell>
          <cell r="D58" t="str">
            <v>TRAN-Z3</v>
          </cell>
          <cell r="E58" t="str">
            <v>Transco-Zone 3</v>
          </cell>
          <cell r="F58">
            <v>58</v>
          </cell>
        </row>
        <row r="59">
          <cell r="A59">
            <v>35643</v>
          </cell>
          <cell r="B59">
            <v>60</v>
          </cell>
          <cell r="D59" t="str">
            <v>TRAN-Z4</v>
          </cell>
          <cell r="E59" t="str">
            <v>Transco-Zone 4</v>
          </cell>
          <cell r="F59">
            <v>59</v>
          </cell>
        </row>
        <row r="60">
          <cell r="A60">
            <v>35674</v>
          </cell>
          <cell r="B60">
            <v>61</v>
          </cell>
          <cell r="D60" t="str">
            <v>TRAN-Z6</v>
          </cell>
          <cell r="E60" t="str">
            <v>Transco-Zone 6</v>
          </cell>
          <cell r="F60">
            <v>60</v>
          </cell>
        </row>
        <row r="61">
          <cell r="A61">
            <v>35704</v>
          </cell>
          <cell r="B61">
            <v>62</v>
          </cell>
          <cell r="D61" t="str">
            <v>TRUNK-FZ</v>
          </cell>
          <cell r="E61" t="str">
            <v>Trunkline-Field Zone</v>
          </cell>
          <cell r="F61">
            <v>61</v>
          </cell>
        </row>
        <row r="62">
          <cell r="A62">
            <v>35735</v>
          </cell>
          <cell r="B62">
            <v>63</v>
          </cell>
          <cell r="D62" t="str">
            <v>TRUNK-LA</v>
          </cell>
          <cell r="E62" t="str">
            <v>Trunkline-Louisiana</v>
          </cell>
          <cell r="F62">
            <v>62</v>
          </cell>
        </row>
        <row r="63">
          <cell r="A63">
            <v>35765</v>
          </cell>
          <cell r="B63">
            <v>64</v>
          </cell>
          <cell r="D63" t="str">
            <v>TRUNK-TX</v>
          </cell>
          <cell r="E63" t="str">
            <v>Trunkline-Texas</v>
          </cell>
          <cell r="F63">
            <v>63</v>
          </cell>
        </row>
        <row r="64">
          <cell r="A64">
            <v>35796</v>
          </cell>
          <cell r="B64">
            <v>65</v>
          </cell>
          <cell r="D64" t="str">
            <v>TW-PERM</v>
          </cell>
          <cell r="E64" t="str">
            <v>Transwestern-Permian</v>
          </cell>
          <cell r="F64">
            <v>64</v>
          </cell>
        </row>
        <row r="65">
          <cell r="A65">
            <v>35827</v>
          </cell>
          <cell r="B65">
            <v>66</v>
          </cell>
          <cell r="D65" t="str">
            <v>TXG-Z1</v>
          </cell>
          <cell r="E65" t="str">
            <v>Texas Gas-Zone 1</v>
          </cell>
          <cell r="F65">
            <v>65</v>
          </cell>
        </row>
        <row r="66">
          <cell r="A66">
            <v>35855</v>
          </cell>
          <cell r="B66">
            <v>67</v>
          </cell>
          <cell r="D66" t="str">
            <v>TXG-ZSL</v>
          </cell>
          <cell r="E66" t="str">
            <v>Texas Gas-Zone SL</v>
          </cell>
          <cell r="F66">
            <v>66</v>
          </cell>
        </row>
        <row r="67">
          <cell r="A67">
            <v>35886</v>
          </cell>
          <cell r="B67">
            <v>68</v>
          </cell>
          <cell r="D67" t="str">
            <v>VAL-TX</v>
          </cell>
          <cell r="E67" t="str">
            <v>Valero-TX</v>
          </cell>
          <cell r="F67">
            <v>67</v>
          </cell>
        </row>
        <row r="68">
          <cell r="A68">
            <v>35916</v>
          </cell>
          <cell r="B68">
            <v>69</v>
          </cell>
          <cell r="D68" t="str">
            <v>KRS (SOCAL)-NGI</v>
          </cell>
          <cell r="E68" t="str">
            <v>Kern River Station</v>
          </cell>
          <cell r="F68">
            <v>68</v>
          </cell>
        </row>
        <row r="69">
          <cell r="A69">
            <v>35947</v>
          </cell>
          <cell r="B69">
            <v>70</v>
          </cell>
        </row>
        <row r="70">
          <cell r="A70">
            <v>35977</v>
          </cell>
          <cell r="B70">
            <v>71</v>
          </cell>
        </row>
        <row r="71">
          <cell r="A71">
            <v>36008</v>
          </cell>
          <cell r="B71">
            <v>72</v>
          </cell>
        </row>
        <row r="72">
          <cell r="A72">
            <v>36039</v>
          </cell>
          <cell r="B72">
            <v>73</v>
          </cell>
        </row>
        <row r="73">
          <cell r="A73">
            <v>36069</v>
          </cell>
          <cell r="B73">
            <v>74</v>
          </cell>
        </row>
        <row r="74">
          <cell r="A74">
            <v>36100</v>
          </cell>
          <cell r="B74">
            <v>75</v>
          </cell>
        </row>
        <row r="75">
          <cell r="A75">
            <v>36130</v>
          </cell>
          <cell r="B75">
            <v>76</v>
          </cell>
        </row>
        <row r="76">
          <cell r="A76">
            <v>36161</v>
          </cell>
          <cell r="B76">
            <v>77</v>
          </cell>
        </row>
        <row r="77">
          <cell r="A77">
            <v>36192</v>
          </cell>
          <cell r="B77">
            <v>78</v>
          </cell>
        </row>
        <row r="78">
          <cell r="A78">
            <v>36220</v>
          </cell>
          <cell r="B78">
            <v>79</v>
          </cell>
        </row>
        <row r="79">
          <cell r="A79">
            <v>36251</v>
          </cell>
          <cell r="B79">
            <v>80</v>
          </cell>
        </row>
        <row r="80">
          <cell r="A80">
            <v>36281</v>
          </cell>
          <cell r="B80">
            <v>81</v>
          </cell>
        </row>
        <row r="81">
          <cell r="A81">
            <v>36312</v>
          </cell>
          <cell r="B81">
            <v>82</v>
          </cell>
        </row>
        <row r="82">
          <cell r="A82">
            <v>36342</v>
          </cell>
          <cell r="B82">
            <v>83</v>
          </cell>
        </row>
        <row r="83">
          <cell r="A83">
            <v>36373</v>
          </cell>
          <cell r="B83">
            <v>84</v>
          </cell>
        </row>
        <row r="84">
          <cell r="A84">
            <v>36404</v>
          </cell>
          <cell r="B84">
            <v>85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DWtoGTdirectSetup_"/>
      <sheetName val="_UnregulatedCurves_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C43"/>
  <sheetViews>
    <sheetView showGridLines="0" tabSelected="1" zoomScale="70" zoomScaleNormal="70" workbookViewId="0">
      <selection sqref="A1:A6"/>
    </sheetView>
  </sheetViews>
  <sheetFormatPr defaultColWidth="8.88671875" defaultRowHeight="15.75" x14ac:dyDescent="0.25"/>
  <cols>
    <col min="1" max="1" width="8.88671875" style="1"/>
    <col min="2" max="2" width="15.5546875" style="1" bestFit="1" customWidth="1"/>
    <col min="3" max="3" width="9.5546875" style="1" bestFit="1" customWidth="1"/>
    <col min="4" max="16384" width="8.88671875" style="1"/>
  </cols>
  <sheetData>
    <row r="1" spans="1:3" x14ac:dyDescent="0.25">
      <c r="A1" s="107" t="s">
        <v>91</v>
      </c>
    </row>
    <row r="2" spans="1:3" x14ac:dyDescent="0.25">
      <c r="A2" s="107" t="s">
        <v>92</v>
      </c>
    </row>
    <row r="3" spans="1:3" x14ac:dyDescent="0.25">
      <c r="A3" s="107" t="s">
        <v>93</v>
      </c>
    </row>
    <row r="4" spans="1:3" x14ac:dyDescent="0.25">
      <c r="A4" s="107" t="s">
        <v>94</v>
      </c>
    </row>
    <row r="5" spans="1:3" x14ac:dyDescent="0.25">
      <c r="A5" s="107" t="s">
        <v>96</v>
      </c>
    </row>
    <row r="6" spans="1:3" x14ac:dyDescent="0.25">
      <c r="A6" s="107" t="s">
        <v>95</v>
      </c>
    </row>
    <row r="8" spans="1:3" x14ac:dyDescent="0.25">
      <c r="B8" s="4" t="s">
        <v>13</v>
      </c>
      <c r="C8" s="4" t="s">
        <v>2</v>
      </c>
    </row>
    <row r="9" spans="1:3" x14ac:dyDescent="0.25">
      <c r="B9" s="6" t="s">
        <v>9</v>
      </c>
      <c r="C9" s="108">
        <v>2</v>
      </c>
    </row>
    <row r="10" spans="1:3" x14ac:dyDescent="0.25">
      <c r="B10" s="6" t="s">
        <v>8</v>
      </c>
      <c r="C10" s="110"/>
    </row>
    <row r="11" spans="1:3" x14ac:dyDescent="0.25">
      <c r="B11" s="5" t="s">
        <v>7</v>
      </c>
      <c r="C11" s="109"/>
    </row>
    <row r="14" spans="1:3" x14ac:dyDescent="0.25">
      <c r="B14" s="4" t="s">
        <v>12</v>
      </c>
      <c r="C14" s="4" t="s">
        <v>2</v>
      </c>
    </row>
    <row r="15" spans="1:3" x14ac:dyDescent="0.25">
      <c r="B15" s="6" t="s">
        <v>9</v>
      </c>
      <c r="C15" s="108">
        <v>2</v>
      </c>
    </row>
    <row r="16" spans="1:3" x14ac:dyDescent="0.25">
      <c r="B16" s="6" t="s">
        <v>8</v>
      </c>
      <c r="C16" s="110"/>
    </row>
    <row r="17" spans="2:3" x14ac:dyDescent="0.25">
      <c r="B17" s="5" t="s">
        <v>7</v>
      </c>
      <c r="C17" s="109"/>
    </row>
    <row r="20" spans="2:3" x14ac:dyDescent="0.25">
      <c r="B20" s="4" t="s">
        <v>3</v>
      </c>
      <c r="C20" s="4" t="s">
        <v>2</v>
      </c>
    </row>
    <row r="21" spans="2:3" x14ac:dyDescent="0.25">
      <c r="B21" s="6" t="s">
        <v>9</v>
      </c>
      <c r="C21" s="108">
        <v>2</v>
      </c>
    </row>
    <row r="22" spans="2:3" x14ac:dyDescent="0.25">
      <c r="B22" s="6" t="s">
        <v>8</v>
      </c>
      <c r="C22" s="110"/>
    </row>
    <row r="23" spans="2:3" x14ac:dyDescent="0.25">
      <c r="B23" s="5" t="s">
        <v>7</v>
      </c>
      <c r="C23" s="109"/>
    </row>
    <row r="26" spans="2:3" x14ac:dyDescent="0.25">
      <c r="B26" s="7" t="s">
        <v>11</v>
      </c>
      <c r="C26" s="7" t="s">
        <v>2</v>
      </c>
    </row>
    <row r="27" spans="2:3" x14ac:dyDescent="0.25">
      <c r="B27" s="3" t="s">
        <v>5</v>
      </c>
      <c r="C27" s="108">
        <v>1</v>
      </c>
    </row>
    <row r="28" spans="2:3" x14ac:dyDescent="0.25">
      <c r="B28" s="2" t="s">
        <v>4</v>
      </c>
      <c r="C28" s="109"/>
    </row>
    <row r="31" spans="2:3" x14ac:dyDescent="0.25">
      <c r="B31" s="4" t="s">
        <v>10</v>
      </c>
      <c r="C31" s="4" t="s">
        <v>2</v>
      </c>
    </row>
    <row r="32" spans="2:3" x14ac:dyDescent="0.25">
      <c r="B32" s="6" t="s">
        <v>9</v>
      </c>
      <c r="C32" s="108">
        <v>2</v>
      </c>
    </row>
    <row r="33" spans="2:3" x14ac:dyDescent="0.25">
      <c r="B33" s="6" t="s">
        <v>8</v>
      </c>
      <c r="C33" s="110"/>
    </row>
    <row r="34" spans="2:3" x14ac:dyDescent="0.25">
      <c r="B34" s="5" t="s">
        <v>7</v>
      </c>
      <c r="C34" s="109"/>
    </row>
    <row r="37" spans="2:3" x14ac:dyDescent="0.25">
      <c r="B37" s="4" t="s">
        <v>6</v>
      </c>
      <c r="C37" s="4" t="s">
        <v>2</v>
      </c>
    </row>
    <row r="38" spans="2:3" x14ac:dyDescent="0.25">
      <c r="B38" s="3" t="s">
        <v>5</v>
      </c>
      <c r="C38" s="108">
        <v>1</v>
      </c>
    </row>
    <row r="39" spans="2:3" x14ac:dyDescent="0.25">
      <c r="B39" s="2" t="s">
        <v>4</v>
      </c>
      <c r="C39" s="109"/>
    </row>
    <row r="41" spans="2:3" x14ac:dyDescent="0.25">
      <c r="B41" s="4" t="s">
        <v>3</v>
      </c>
      <c r="C41" s="4" t="s">
        <v>2</v>
      </c>
    </row>
    <row r="42" spans="2:3" x14ac:dyDescent="0.25">
      <c r="B42" s="3" t="s">
        <v>1</v>
      </c>
      <c r="C42" s="108">
        <v>1</v>
      </c>
    </row>
    <row r="43" spans="2:3" x14ac:dyDescent="0.25">
      <c r="B43" s="2" t="s">
        <v>0</v>
      </c>
      <c r="C43" s="109"/>
    </row>
  </sheetData>
  <mergeCells count="7">
    <mergeCell ref="C42:C43"/>
    <mergeCell ref="C32:C34"/>
    <mergeCell ref="C38:C39"/>
    <mergeCell ref="C9:C11"/>
    <mergeCell ref="C15:C17"/>
    <mergeCell ref="C21:C23"/>
    <mergeCell ref="C27:C28"/>
  </mergeCells>
  <pageMargins left="0.25" right="0.25" top="0.5" bottom="0.5" header="0.25" footer="0.25"/>
  <pageSetup scale="70" orientation="landscape" r:id="rId1"/>
  <headerFooter alignWithMargins="0">
    <oddFooter>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S1158"/>
  <sheetViews>
    <sheetView zoomScale="70" zoomScaleNormal="70" workbookViewId="0">
      <pane xSplit="1" ySplit="13" topLeftCell="B14" activePane="bottomRight" state="frozen"/>
      <selection activeCell="A7" sqref="A7"/>
      <selection pane="topRight" activeCell="A7" sqref="A7"/>
      <selection pane="bottomLeft" activeCell="A7" sqref="A7"/>
      <selection pane="bottomRight" activeCell="B14" sqref="B14"/>
    </sheetView>
  </sheetViews>
  <sheetFormatPr defaultColWidth="7.109375" defaultRowHeight="12.75" x14ac:dyDescent="0.2"/>
  <cols>
    <col min="1" max="1" width="14.5546875" style="8" customWidth="1"/>
    <col min="2" max="2" width="19" style="8" customWidth="1"/>
    <col min="3" max="3" width="16.109375" style="8" customWidth="1"/>
    <col min="4" max="4" width="20.21875" style="8" customWidth="1"/>
    <col min="5" max="5" width="20.6640625" style="8" customWidth="1"/>
    <col min="6" max="6" width="16.109375" style="8" customWidth="1"/>
    <col min="7" max="9" width="20" style="8" customWidth="1"/>
    <col min="10" max="10" width="16.109375" style="8" customWidth="1"/>
    <col min="11" max="13" width="19.109375" style="8" customWidth="1"/>
    <col min="14" max="14" width="16.109375" style="8" customWidth="1"/>
    <col min="15" max="15" width="19.77734375" style="8" customWidth="1"/>
    <col min="16" max="16" width="16.109375" style="8" customWidth="1"/>
    <col min="17" max="19" width="17.6640625" style="8" customWidth="1"/>
    <col min="20" max="16384" width="7.109375" style="8"/>
  </cols>
  <sheetData>
    <row r="1" spans="1:19" ht="15.75" x14ac:dyDescent="0.25">
      <c r="A1" s="107" t="s">
        <v>91</v>
      </c>
    </row>
    <row r="2" spans="1:19" ht="15.75" x14ac:dyDescent="0.25">
      <c r="A2" s="107" t="s">
        <v>92</v>
      </c>
    </row>
    <row r="3" spans="1:19" ht="15.75" x14ac:dyDescent="0.25">
      <c r="A3" s="107" t="s">
        <v>93</v>
      </c>
    </row>
    <row r="4" spans="1:19" ht="15.75" x14ac:dyDescent="0.25">
      <c r="A4" s="107" t="s">
        <v>94</v>
      </c>
    </row>
    <row r="5" spans="1:19" ht="15.75" x14ac:dyDescent="0.25">
      <c r="A5" s="107" t="s">
        <v>96</v>
      </c>
    </row>
    <row r="6" spans="1:19" ht="15.75" x14ac:dyDescent="0.25">
      <c r="A6" s="107" t="s">
        <v>97</v>
      </c>
    </row>
    <row r="7" spans="1:19" ht="20.25" x14ac:dyDescent="0.3">
      <c r="A7" s="30"/>
    </row>
    <row r="8" spans="1:19" ht="18" x14ac:dyDescent="0.25">
      <c r="A8" s="29" t="s">
        <v>27</v>
      </c>
      <c r="B8" s="29"/>
      <c r="H8" s="26" t="s">
        <v>26</v>
      </c>
    </row>
    <row r="9" spans="1:19" ht="18" x14ac:dyDescent="0.25">
      <c r="A9" s="29"/>
      <c r="B9" s="28" t="s">
        <v>25</v>
      </c>
      <c r="C9" s="27">
        <f>1-0.154</f>
        <v>0.84599999999999997</v>
      </c>
      <c r="D9" s="28" t="s">
        <v>24</v>
      </c>
      <c r="E9" s="27">
        <f>1+0.154</f>
        <v>1.1539999999999999</v>
      </c>
      <c r="H9" s="26"/>
      <c r="P9" s="112"/>
      <c r="Q9" s="112"/>
      <c r="R9" s="112"/>
      <c r="S9" s="112"/>
    </row>
    <row r="10" spans="1:19" ht="15.75" x14ac:dyDescent="0.25">
      <c r="B10" s="111" t="s">
        <v>23</v>
      </c>
      <c r="C10" s="111"/>
      <c r="D10" s="111"/>
      <c r="E10" s="113" t="s">
        <v>22</v>
      </c>
      <c r="F10" s="113"/>
      <c r="G10" s="114"/>
      <c r="H10" s="115" t="s">
        <v>21</v>
      </c>
      <c r="I10" s="115"/>
      <c r="J10" s="115"/>
      <c r="K10" s="115"/>
      <c r="L10" s="114" t="s">
        <v>20</v>
      </c>
      <c r="M10" s="114"/>
      <c r="N10" s="114"/>
      <c r="O10" s="114"/>
      <c r="P10" s="112"/>
      <c r="Q10" s="112"/>
      <c r="R10" s="112"/>
      <c r="S10" s="112"/>
    </row>
    <row r="11" spans="1:19" ht="63" x14ac:dyDescent="0.25">
      <c r="B11" s="25" t="s">
        <v>19</v>
      </c>
      <c r="C11" s="24" t="s">
        <v>17</v>
      </c>
      <c r="D11" s="23" t="s">
        <v>16</v>
      </c>
      <c r="E11" s="25" t="s">
        <v>19</v>
      </c>
      <c r="F11" s="24" t="s">
        <v>17</v>
      </c>
      <c r="G11" s="23" t="s">
        <v>16</v>
      </c>
      <c r="H11" s="25" t="s">
        <v>19</v>
      </c>
      <c r="I11" s="25" t="s">
        <v>18</v>
      </c>
      <c r="J11" s="24" t="s">
        <v>17</v>
      </c>
      <c r="K11" s="23" t="s">
        <v>16</v>
      </c>
      <c r="L11" s="25" t="s">
        <v>19</v>
      </c>
      <c r="M11" s="25" t="s">
        <v>18</v>
      </c>
      <c r="N11" s="24" t="s">
        <v>17</v>
      </c>
      <c r="O11" s="23" t="s">
        <v>16</v>
      </c>
      <c r="P11" s="22"/>
      <c r="Q11" s="18"/>
      <c r="R11" s="18"/>
      <c r="S11" s="18"/>
    </row>
    <row r="12" spans="1:19" ht="13.5" customHeight="1" x14ac:dyDescent="0.25">
      <c r="B12" s="21"/>
      <c r="C12" s="20"/>
      <c r="D12" s="19"/>
      <c r="E12" s="21"/>
      <c r="F12" s="20"/>
      <c r="G12" s="19"/>
      <c r="H12" s="21"/>
      <c r="I12" s="21"/>
      <c r="J12" s="20"/>
      <c r="K12" s="19"/>
      <c r="L12" s="21"/>
      <c r="M12" s="21"/>
      <c r="N12" s="20"/>
      <c r="O12" s="19"/>
      <c r="P12" s="18"/>
      <c r="Q12" s="17"/>
      <c r="R12" s="17"/>
      <c r="S12" s="17"/>
    </row>
    <row r="13" spans="1:19" ht="20.25" x14ac:dyDescent="0.55000000000000004">
      <c r="A13" s="16" t="s">
        <v>15</v>
      </c>
      <c r="B13" s="15" t="s">
        <v>14</v>
      </c>
      <c r="C13" s="15" t="s">
        <v>14</v>
      </c>
      <c r="D13" s="15" t="s">
        <v>14</v>
      </c>
      <c r="E13" s="15" t="s">
        <v>14</v>
      </c>
      <c r="F13" s="15" t="s">
        <v>14</v>
      </c>
      <c r="G13" s="15" t="s">
        <v>14</v>
      </c>
      <c r="H13" s="15" t="s">
        <v>14</v>
      </c>
      <c r="I13" s="15" t="s">
        <v>14</v>
      </c>
      <c r="J13" s="15" t="s">
        <v>14</v>
      </c>
      <c r="K13" s="15" t="s">
        <v>14</v>
      </c>
      <c r="L13" s="15" t="s">
        <v>14</v>
      </c>
      <c r="M13" s="15" t="s">
        <v>14</v>
      </c>
      <c r="N13" s="15" t="s">
        <v>14</v>
      </c>
      <c r="O13" s="15" t="s">
        <v>14</v>
      </c>
      <c r="P13" s="15"/>
      <c r="Q13" s="15"/>
      <c r="R13" s="15"/>
      <c r="S13" s="15"/>
    </row>
    <row r="14" spans="1:19" ht="15" x14ac:dyDescent="0.2">
      <c r="A14" s="13">
        <v>41275</v>
      </c>
      <c r="B14" s="9">
        <f>2.2699 * CHOOSE(CONTROL!$C$32, $C$9, 100%, $E$9)</f>
        <v>2.2698999999999998</v>
      </c>
      <c r="C14" s="9">
        <f>2.2008 * CHOOSE(CONTROL!$C$32, $C$9, 100%, $E$9)</f>
        <v>2.2008000000000001</v>
      </c>
      <c r="D14" s="9">
        <f>2.2397 * CHOOSE(CONTROL!$C$32, $C$9, 100%, $E$9)</f>
        <v>2.2397</v>
      </c>
      <c r="E14" s="11">
        <f>3.5217 * CHOOSE(CONTROL!$C$32, $C$9, 100%, $E$9)</f>
        <v>3.5217000000000001</v>
      </c>
      <c r="F14" s="11">
        <f>3.0912 * CHOOSE(CONTROL!$C$32, $C$9, 100%, $E$9)</f>
        <v>3.0912000000000002</v>
      </c>
      <c r="G14" s="11">
        <f>3.1041 * CHOOSE(CONTROL!$C$32, $C$9, 100%, $E$9)</f>
        <v>3.1040999999999999</v>
      </c>
      <c r="H14" s="11">
        <f>5.79 * CHOOSE(CONTROL!$C$32, $C$9, 100%, $E$9)</f>
        <v>5.79</v>
      </c>
      <c r="I14" s="11">
        <f>5.8029 * CHOOSE(CONTROL!$C$32, $C$9, 100%, $E$9)</f>
        <v>5.8029000000000002</v>
      </c>
      <c r="J14" s="11">
        <f>5.79 * CHOOSE(CONTROL!$C$32, $C$9, 100%, $E$9)</f>
        <v>5.79</v>
      </c>
      <c r="K14" s="11">
        <f>5.8029 * CHOOSE(CONTROL!$C$32, $C$9, 100%, $E$9)</f>
        <v>5.8029000000000002</v>
      </c>
      <c r="L14" s="11">
        <f>3.5217 * CHOOSE(CONTROL!$C$32, $C$9, 100%, $E$9)</f>
        <v>3.5217000000000001</v>
      </c>
      <c r="M14" s="11">
        <f>3.5347 * CHOOSE(CONTROL!$C$32, $C$9, 100%, $E$9)</f>
        <v>3.5347</v>
      </c>
      <c r="N14" s="11">
        <f>3.5217 * CHOOSE(CONTROL!$C$32, $C$9, 100%, $E$9)</f>
        <v>3.5217000000000001</v>
      </c>
      <c r="O14" s="11">
        <f>3.5347 * CHOOSE(CONTROL!$C$32, $C$9, 100%, $E$9)</f>
        <v>3.5347</v>
      </c>
      <c r="P14" s="14"/>
      <c r="Q14" s="11"/>
      <c r="R14" s="11"/>
    </row>
    <row r="15" spans="1:19" ht="15" x14ac:dyDescent="0.2">
      <c r="A15" s="13">
        <v>41306</v>
      </c>
      <c r="B15" s="9">
        <f>2.2758 * CHOOSE(CONTROL!$C$32, $C$9, 100%, $E$9)</f>
        <v>2.2757999999999998</v>
      </c>
      <c r="C15" s="9">
        <f>2.2117 * CHOOSE(CONTROL!$C$32, $C$9, 100%, $E$9)</f>
        <v>2.2117</v>
      </c>
      <c r="D15" s="9">
        <f>2.2506 * CHOOSE(CONTROL!$C$32, $C$9, 100%, $E$9)</f>
        <v>2.2505999999999999</v>
      </c>
      <c r="E15" s="11">
        <f>3.4548 * CHOOSE(CONTROL!$C$32, $C$9, 100%, $E$9)</f>
        <v>3.4548000000000001</v>
      </c>
      <c r="F15" s="11">
        <f>3.0912 * CHOOSE(CONTROL!$C$32, $C$9, 100%, $E$9)</f>
        <v>3.0912000000000002</v>
      </c>
      <c r="G15" s="11">
        <f>3.1041 * CHOOSE(CONTROL!$C$32, $C$9, 100%, $E$9)</f>
        <v>3.1040999999999999</v>
      </c>
      <c r="H15" s="11">
        <f>5.79 * CHOOSE(CONTROL!$C$32, $C$9, 100%, $E$9)</f>
        <v>5.79</v>
      </c>
      <c r="I15" s="11">
        <f>5.8029 * CHOOSE(CONTROL!$C$32, $C$9, 100%, $E$9)</f>
        <v>5.8029000000000002</v>
      </c>
      <c r="J15" s="11">
        <f>5.79 * CHOOSE(CONTROL!$C$32, $C$9, 100%, $E$9)</f>
        <v>5.79</v>
      </c>
      <c r="K15" s="11">
        <f>5.8029 * CHOOSE(CONTROL!$C$32, $C$9, 100%, $E$9)</f>
        <v>5.8029000000000002</v>
      </c>
      <c r="L15" s="11">
        <f>3.4548 * CHOOSE(CONTROL!$C$32, $C$9, 100%, $E$9)</f>
        <v>3.4548000000000001</v>
      </c>
      <c r="M15" s="11">
        <f>3.4678 * CHOOSE(CONTROL!$C$32, $C$9, 100%, $E$9)</f>
        <v>3.4678</v>
      </c>
      <c r="N15" s="11">
        <f>3.4548 * CHOOSE(CONTROL!$C$32, $C$9, 100%, $E$9)</f>
        <v>3.4548000000000001</v>
      </c>
      <c r="O15" s="11">
        <f>3.4678 * CHOOSE(CONTROL!$C$32, $C$9, 100%, $E$9)</f>
        <v>3.4678</v>
      </c>
      <c r="P15" s="14"/>
      <c r="Q15" s="11"/>
      <c r="R15" s="11"/>
    </row>
    <row r="16" spans="1:19" ht="15" x14ac:dyDescent="0.2">
      <c r="A16" s="13">
        <v>41334</v>
      </c>
      <c r="B16" s="9">
        <f>2.2895 * CHOOSE(CONTROL!$C$32, $C$9, 100%, $E$9)</f>
        <v>2.2894999999999999</v>
      </c>
      <c r="C16" s="9">
        <f>2.2178 * CHOOSE(CONTROL!$C$32, $C$9, 100%, $E$9)</f>
        <v>2.2178</v>
      </c>
      <c r="D16" s="9">
        <f>2.2567 * CHOOSE(CONTROL!$C$32, $C$9, 100%, $E$9)</f>
        <v>2.2566999999999999</v>
      </c>
      <c r="E16" s="11">
        <f>3.4548 * CHOOSE(CONTROL!$C$32, $C$9, 100%, $E$9)</f>
        <v>3.4548000000000001</v>
      </c>
      <c r="F16" s="11">
        <f>3.0866 * CHOOSE(CONTROL!$C$32, $C$9, 100%, $E$9)</f>
        <v>3.0865999999999998</v>
      </c>
      <c r="G16" s="11">
        <f>3.0996 * CHOOSE(CONTROL!$C$32, $C$9, 100%, $E$9)</f>
        <v>3.0996000000000001</v>
      </c>
      <c r="H16" s="11">
        <f>5.79 * CHOOSE(CONTROL!$C$32, $C$9, 100%, $E$9)</f>
        <v>5.79</v>
      </c>
      <c r="I16" s="11">
        <f>5.8029 * CHOOSE(CONTROL!$C$32, $C$9, 100%, $E$9)</f>
        <v>5.8029000000000002</v>
      </c>
      <c r="J16" s="11">
        <f>5.79 * CHOOSE(CONTROL!$C$32, $C$9, 100%, $E$9)</f>
        <v>5.79</v>
      </c>
      <c r="K16" s="11">
        <f>5.8029 * CHOOSE(CONTROL!$C$32, $C$9, 100%, $E$9)</f>
        <v>5.8029000000000002</v>
      </c>
      <c r="L16" s="11">
        <f>3.4548 * CHOOSE(CONTROL!$C$32, $C$9, 100%, $E$9)</f>
        <v>3.4548000000000001</v>
      </c>
      <c r="M16" s="11">
        <f>3.4678 * CHOOSE(CONTROL!$C$32, $C$9, 100%, $E$9)</f>
        <v>3.4678</v>
      </c>
      <c r="N16" s="11">
        <f>3.4548 * CHOOSE(CONTROL!$C$32, $C$9, 100%, $E$9)</f>
        <v>3.4548000000000001</v>
      </c>
      <c r="O16" s="11">
        <f>3.4678 * CHOOSE(CONTROL!$C$32, $C$9, 100%, $E$9)</f>
        <v>3.4678</v>
      </c>
      <c r="P16" s="14"/>
      <c r="Q16" s="11"/>
      <c r="R16" s="11"/>
    </row>
    <row r="17" spans="1:18" ht="15" x14ac:dyDescent="0.2">
      <c r="A17" s="13">
        <v>41365</v>
      </c>
      <c r="B17" s="9">
        <f>2.2879 * CHOOSE(CONTROL!$C$32, $C$9, 100%, $E$9)</f>
        <v>2.2879</v>
      </c>
      <c r="C17" s="9">
        <f>2.1959 * CHOOSE(CONTROL!$C$32, $C$9, 100%, $E$9)</f>
        <v>2.1959</v>
      </c>
      <c r="D17" s="9">
        <f>2.2348 * CHOOSE(CONTROL!$C$32, $C$9, 100%, $E$9)</f>
        <v>2.2347999999999999</v>
      </c>
      <c r="E17" s="11">
        <f>3.4508 * CHOOSE(CONTROL!$C$32, $C$9, 100%, $E$9)</f>
        <v>3.4508000000000001</v>
      </c>
      <c r="F17" s="11">
        <f>3.0772 * CHOOSE(CONTROL!$C$32, $C$9, 100%, $E$9)</f>
        <v>3.0771999999999999</v>
      </c>
      <c r="G17" s="11">
        <f>3.0901 * CHOOSE(CONTROL!$C$32, $C$9, 100%, $E$9)</f>
        <v>3.0901000000000001</v>
      </c>
      <c r="H17" s="11">
        <f>5.829 * CHOOSE(CONTROL!$C$32, $C$9, 100%, $E$9)</f>
        <v>5.8289999999999997</v>
      </c>
      <c r="I17" s="11">
        <f>5.8419 * CHOOSE(CONTROL!$C$32, $C$9, 100%, $E$9)</f>
        <v>5.8418999999999999</v>
      </c>
      <c r="J17" s="11">
        <f>5.829 * CHOOSE(CONTROL!$C$32, $C$9, 100%, $E$9)</f>
        <v>5.8289999999999997</v>
      </c>
      <c r="K17" s="11">
        <f>5.8419 * CHOOSE(CONTROL!$C$32, $C$9, 100%, $E$9)</f>
        <v>5.8418999999999999</v>
      </c>
      <c r="L17" s="11">
        <f>3.4508 * CHOOSE(CONTROL!$C$32, $C$9, 100%, $E$9)</f>
        <v>3.4508000000000001</v>
      </c>
      <c r="M17" s="11">
        <f>3.4638 * CHOOSE(CONTROL!$C$32, $C$9, 100%, $E$9)</f>
        <v>3.4638</v>
      </c>
      <c r="N17" s="11">
        <f>3.4508 * CHOOSE(CONTROL!$C$32, $C$9, 100%, $E$9)</f>
        <v>3.4508000000000001</v>
      </c>
      <c r="O17" s="11">
        <f>3.4638 * CHOOSE(CONTROL!$C$32, $C$9, 100%, $E$9)</f>
        <v>3.4638</v>
      </c>
      <c r="P17" s="14"/>
      <c r="Q17" s="11"/>
      <c r="R17" s="11"/>
    </row>
    <row r="18" spans="1:18" ht="15" x14ac:dyDescent="0.2">
      <c r="A18" s="13">
        <v>41395</v>
      </c>
      <c r="B18" s="9">
        <f>2.2947 * CHOOSE(CONTROL!$C$32, $C$9, 100%, $E$9)</f>
        <v>2.2947000000000002</v>
      </c>
      <c r="C18" s="9">
        <f>2.19 * CHOOSE(CONTROL!$C$32, $C$9, 100%, $E$9)</f>
        <v>2.19</v>
      </c>
      <c r="D18" s="9">
        <f>2.2475 * CHOOSE(CONTROL!$C$32, $C$9, 100%, $E$9)</f>
        <v>2.2475000000000001</v>
      </c>
      <c r="E18" s="11">
        <f>3.4702 * CHOOSE(CONTROL!$C$32, $C$9, 100%, $E$9)</f>
        <v>3.4702000000000002</v>
      </c>
      <c r="F18" s="11">
        <f>3.084 * CHOOSE(CONTROL!$C$32, $C$9, 100%, $E$9)</f>
        <v>3.0840000000000001</v>
      </c>
      <c r="G18" s="11">
        <f>3.1031 * CHOOSE(CONTROL!$C$32, $C$9, 100%, $E$9)</f>
        <v>3.1031</v>
      </c>
      <c r="H18" s="11">
        <f>5.829 * CHOOSE(CONTROL!$C$32, $C$9, 100%, $E$9)</f>
        <v>5.8289999999999997</v>
      </c>
      <c r="I18" s="11">
        <f>5.8481 * CHOOSE(CONTROL!$C$32, $C$9, 100%, $E$9)</f>
        <v>5.8480999999999996</v>
      </c>
      <c r="J18" s="11">
        <f>5.829 * CHOOSE(CONTROL!$C$32, $C$9, 100%, $E$9)</f>
        <v>5.8289999999999997</v>
      </c>
      <c r="K18" s="11">
        <f>5.8481 * CHOOSE(CONTROL!$C$32, $C$9, 100%, $E$9)</f>
        <v>5.8480999999999996</v>
      </c>
      <c r="L18" s="11">
        <f>3.4702 * CHOOSE(CONTROL!$C$32, $C$9, 100%, $E$9)</f>
        <v>3.4702000000000002</v>
      </c>
      <c r="M18" s="11">
        <f>3.4892 * CHOOSE(CONTROL!$C$32, $C$9, 100%, $E$9)</f>
        <v>3.4891999999999999</v>
      </c>
      <c r="N18" s="11">
        <f>3.4702 * CHOOSE(CONTROL!$C$32, $C$9, 100%, $E$9)</f>
        <v>3.4702000000000002</v>
      </c>
      <c r="O18" s="11">
        <f>3.4892 * CHOOSE(CONTROL!$C$32, $C$9, 100%, $E$9)</f>
        <v>3.4891999999999999</v>
      </c>
      <c r="P18" s="14"/>
      <c r="Q18" s="11"/>
      <c r="R18" s="11"/>
    </row>
    <row r="19" spans="1:18" ht="15" x14ac:dyDescent="0.2">
      <c r="A19" s="13">
        <v>41426</v>
      </c>
      <c r="B19" s="9">
        <f>2.296 * CHOOSE(CONTROL!$C$32, $C$9, 100%, $E$9)</f>
        <v>2.2959999999999998</v>
      </c>
      <c r="C19" s="9">
        <f>2.1989 * CHOOSE(CONTROL!$C$32, $C$9, 100%, $E$9)</f>
        <v>2.1989000000000001</v>
      </c>
      <c r="D19" s="9">
        <f>2.2564 * CHOOSE(CONTROL!$C$32, $C$9, 100%, $E$9)</f>
        <v>2.2564000000000002</v>
      </c>
      <c r="E19" s="11">
        <f>3.4782 * CHOOSE(CONTROL!$C$32, $C$9, 100%, $E$9)</f>
        <v>3.4782000000000002</v>
      </c>
      <c r="F19" s="11">
        <f>3.109 * CHOOSE(CONTROL!$C$32, $C$9, 100%, $E$9)</f>
        <v>3.109</v>
      </c>
      <c r="G19" s="11">
        <f>3.1281 * CHOOSE(CONTROL!$C$32, $C$9, 100%, $E$9)</f>
        <v>3.1280999999999999</v>
      </c>
      <c r="H19" s="11">
        <f>5.829 * CHOOSE(CONTROL!$C$32, $C$9, 100%, $E$9)</f>
        <v>5.8289999999999997</v>
      </c>
      <c r="I19" s="11">
        <f>5.8481 * CHOOSE(CONTROL!$C$32, $C$9, 100%, $E$9)</f>
        <v>5.8480999999999996</v>
      </c>
      <c r="J19" s="11">
        <f>5.829 * CHOOSE(CONTROL!$C$32, $C$9, 100%, $E$9)</f>
        <v>5.8289999999999997</v>
      </c>
      <c r="K19" s="11">
        <f>5.8481 * CHOOSE(CONTROL!$C$32, $C$9, 100%, $E$9)</f>
        <v>5.8480999999999996</v>
      </c>
      <c r="L19" s="11">
        <f>3.4782 * CHOOSE(CONTROL!$C$32, $C$9, 100%, $E$9)</f>
        <v>3.4782000000000002</v>
      </c>
      <c r="M19" s="11">
        <f>3.4973 * CHOOSE(CONTROL!$C$32, $C$9, 100%, $E$9)</f>
        <v>3.4973000000000001</v>
      </c>
      <c r="N19" s="11">
        <f>3.4782 * CHOOSE(CONTROL!$C$32, $C$9, 100%, $E$9)</f>
        <v>3.4782000000000002</v>
      </c>
      <c r="O19" s="11">
        <f>3.4973 * CHOOSE(CONTROL!$C$32, $C$9, 100%, $E$9)</f>
        <v>3.4973000000000001</v>
      </c>
      <c r="P19" s="14"/>
      <c r="Q19" s="11"/>
      <c r="R19" s="11"/>
    </row>
    <row r="20" spans="1:18" ht="15" x14ac:dyDescent="0.2">
      <c r="A20" s="13">
        <v>41456</v>
      </c>
      <c r="B20" s="9">
        <f>2.3 * CHOOSE(CONTROL!$C$32, $C$9, 100%, $E$9)</f>
        <v>2.2999999999999998</v>
      </c>
      <c r="C20" s="9">
        <f>2.2233 * CHOOSE(CONTROL!$C$32, $C$9, 100%, $E$9)</f>
        <v>2.2233000000000001</v>
      </c>
      <c r="D20" s="9">
        <f>2.2808 * CHOOSE(CONTROL!$C$32, $C$9, 100%, $E$9)</f>
        <v>2.2808000000000002</v>
      </c>
      <c r="E20" s="11">
        <f>3.4973 * CHOOSE(CONTROL!$C$32, $C$9, 100%, $E$9)</f>
        <v>3.4973000000000001</v>
      </c>
      <c r="F20" s="11">
        <f>3.1418 * CHOOSE(CONTROL!$C$32, $C$9, 100%, $E$9)</f>
        <v>3.1417999999999999</v>
      </c>
      <c r="G20" s="11">
        <f>3.1609 * CHOOSE(CONTROL!$C$32, $C$9, 100%, $E$9)</f>
        <v>3.1608999999999998</v>
      </c>
      <c r="H20" s="11">
        <f>5.638 * CHOOSE(CONTROL!$C$32, $C$9, 100%, $E$9)</f>
        <v>5.6379999999999999</v>
      </c>
      <c r="I20" s="11">
        <f>5.6571 * CHOOSE(CONTROL!$C$32, $C$9, 100%, $E$9)</f>
        <v>5.6570999999999998</v>
      </c>
      <c r="J20" s="11">
        <f>5.638 * CHOOSE(CONTROL!$C$32, $C$9, 100%, $E$9)</f>
        <v>5.6379999999999999</v>
      </c>
      <c r="K20" s="11">
        <f>5.6571 * CHOOSE(CONTROL!$C$32, $C$9, 100%, $E$9)</f>
        <v>5.6570999999999998</v>
      </c>
      <c r="L20" s="11">
        <f>3.4973 * CHOOSE(CONTROL!$C$32, $C$9, 100%, $E$9)</f>
        <v>3.4973000000000001</v>
      </c>
      <c r="M20" s="11">
        <f>3.5163 * CHOOSE(CONTROL!$C$32, $C$9, 100%, $E$9)</f>
        <v>3.5163000000000002</v>
      </c>
      <c r="N20" s="11">
        <f>3.4973 * CHOOSE(CONTROL!$C$32, $C$9, 100%, $E$9)</f>
        <v>3.4973000000000001</v>
      </c>
      <c r="O20" s="11">
        <f>3.5163 * CHOOSE(CONTROL!$C$32, $C$9, 100%, $E$9)</f>
        <v>3.5163000000000002</v>
      </c>
      <c r="P20" s="14"/>
      <c r="Q20" s="11"/>
      <c r="R20" s="11"/>
    </row>
    <row r="21" spans="1:18" ht="15" x14ac:dyDescent="0.2">
      <c r="A21" s="13">
        <v>41487</v>
      </c>
      <c r="B21" s="9">
        <f>2.3085 * CHOOSE(CONTROL!$C$32, $C$9, 100%, $E$9)</f>
        <v>2.3085</v>
      </c>
      <c r="C21" s="9">
        <f>2.2521 * CHOOSE(CONTROL!$C$32, $C$9, 100%, $E$9)</f>
        <v>2.2521</v>
      </c>
      <c r="D21" s="9">
        <f>2.3096 * CHOOSE(CONTROL!$C$32, $C$9, 100%, $E$9)</f>
        <v>2.3096000000000001</v>
      </c>
      <c r="E21" s="11">
        <f>3.499 * CHOOSE(CONTROL!$C$32, $C$9, 100%, $E$9)</f>
        <v>3.4990000000000001</v>
      </c>
      <c r="F21" s="11">
        <f>3.1759 * CHOOSE(CONTROL!$C$32, $C$9, 100%, $E$9)</f>
        <v>3.1758999999999999</v>
      </c>
      <c r="G21" s="11">
        <f>3.195 * CHOOSE(CONTROL!$C$32, $C$9, 100%, $E$9)</f>
        <v>3.1949999999999998</v>
      </c>
      <c r="H21" s="11">
        <f>5.638 * CHOOSE(CONTROL!$C$32, $C$9, 100%, $E$9)</f>
        <v>5.6379999999999999</v>
      </c>
      <c r="I21" s="11">
        <f>5.6571 * CHOOSE(CONTROL!$C$32, $C$9, 100%, $E$9)</f>
        <v>5.6570999999999998</v>
      </c>
      <c r="J21" s="11">
        <f>5.638 * CHOOSE(CONTROL!$C$32, $C$9, 100%, $E$9)</f>
        <v>5.6379999999999999</v>
      </c>
      <c r="K21" s="11">
        <f>5.6571 * CHOOSE(CONTROL!$C$32, $C$9, 100%, $E$9)</f>
        <v>5.6570999999999998</v>
      </c>
      <c r="L21" s="11">
        <f>3.499 * CHOOSE(CONTROL!$C$32, $C$9, 100%, $E$9)</f>
        <v>3.4990000000000001</v>
      </c>
      <c r="M21" s="11">
        <f>3.518 * CHOOSE(CONTROL!$C$32, $C$9, 100%, $E$9)</f>
        <v>3.5179999999999998</v>
      </c>
      <c r="N21" s="11">
        <f>3.499 * CHOOSE(CONTROL!$C$32, $C$9, 100%, $E$9)</f>
        <v>3.4990000000000001</v>
      </c>
      <c r="O21" s="11">
        <f>3.518 * CHOOSE(CONTROL!$C$32, $C$9, 100%, $E$9)</f>
        <v>3.5179999999999998</v>
      </c>
      <c r="P21" s="14"/>
      <c r="Q21" s="11"/>
      <c r="R21" s="11"/>
    </row>
    <row r="22" spans="1:18" ht="15" x14ac:dyDescent="0.2">
      <c r="A22" s="13">
        <v>41518</v>
      </c>
      <c r="B22" s="9">
        <f>2.3073 * CHOOSE(CONTROL!$C$32, $C$9, 100%, $E$9)</f>
        <v>2.3073000000000001</v>
      </c>
      <c r="C22" s="9">
        <f>2.2458 * CHOOSE(CONTROL!$C$32, $C$9, 100%, $E$9)</f>
        <v>2.2458</v>
      </c>
      <c r="D22" s="9">
        <f>2.3033 * CHOOSE(CONTROL!$C$32, $C$9, 100%, $E$9)</f>
        <v>2.3033000000000001</v>
      </c>
      <c r="E22" s="11">
        <f>3.4957 * CHOOSE(CONTROL!$C$32, $C$9, 100%, $E$9)</f>
        <v>3.4956999999999998</v>
      </c>
      <c r="F22" s="11">
        <f>3.1918 * CHOOSE(CONTROL!$C$32, $C$9, 100%, $E$9)</f>
        <v>3.1918000000000002</v>
      </c>
      <c r="G22" s="11">
        <f>3.2109 * CHOOSE(CONTROL!$C$32, $C$9, 100%, $E$9)</f>
        <v>3.2109000000000001</v>
      </c>
      <c r="H22" s="11">
        <f>5.638 * CHOOSE(CONTROL!$C$32, $C$9, 100%, $E$9)</f>
        <v>5.6379999999999999</v>
      </c>
      <c r="I22" s="11">
        <f>5.6571 * CHOOSE(CONTROL!$C$32, $C$9, 100%, $E$9)</f>
        <v>5.6570999999999998</v>
      </c>
      <c r="J22" s="11">
        <f>5.638 * CHOOSE(CONTROL!$C$32, $C$9, 100%, $E$9)</f>
        <v>5.6379999999999999</v>
      </c>
      <c r="K22" s="11">
        <f>5.6571 * CHOOSE(CONTROL!$C$32, $C$9, 100%, $E$9)</f>
        <v>5.6570999999999998</v>
      </c>
      <c r="L22" s="11">
        <f>3.4957 * CHOOSE(CONTROL!$C$32, $C$9, 100%, $E$9)</f>
        <v>3.4956999999999998</v>
      </c>
      <c r="M22" s="11">
        <f>3.5147 * CHOOSE(CONTROL!$C$32, $C$9, 100%, $E$9)</f>
        <v>3.5146999999999999</v>
      </c>
      <c r="N22" s="11">
        <f>3.4957 * CHOOSE(CONTROL!$C$32, $C$9, 100%, $E$9)</f>
        <v>3.4956999999999998</v>
      </c>
      <c r="O22" s="11">
        <f>3.5147 * CHOOSE(CONTROL!$C$32, $C$9, 100%, $E$9)</f>
        <v>3.5146999999999999</v>
      </c>
      <c r="P22" s="14"/>
      <c r="Q22" s="11"/>
      <c r="R22" s="11"/>
    </row>
    <row r="23" spans="1:18" ht="15" x14ac:dyDescent="0.2">
      <c r="A23" s="13">
        <v>41548</v>
      </c>
      <c r="B23" s="9">
        <f>2.3058 * CHOOSE(CONTROL!$C$32, $C$9, 100%, $E$9)</f>
        <v>2.3058000000000001</v>
      </c>
      <c r="C23" s="9">
        <f>2.2367 * CHOOSE(CONTROL!$C$32, $C$9, 100%, $E$9)</f>
        <v>2.2366999999999999</v>
      </c>
      <c r="D23" s="9">
        <f>2.2756 * CHOOSE(CONTROL!$C$32, $C$9, 100%, $E$9)</f>
        <v>2.2755999999999998</v>
      </c>
      <c r="E23" s="11">
        <f>3.5106 * CHOOSE(CONTROL!$C$32, $C$9, 100%, $E$9)</f>
        <v>3.5106000000000002</v>
      </c>
      <c r="F23" s="11">
        <f>3.2177 * CHOOSE(CONTROL!$C$32, $C$9, 100%, $E$9)</f>
        <v>3.2176999999999998</v>
      </c>
      <c r="G23" s="11">
        <f>3.2307 * CHOOSE(CONTROL!$C$32, $C$9, 100%, $E$9)</f>
        <v>3.2307000000000001</v>
      </c>
      <c r="H23" s="11">
        <f>5.6497 * CHOOSE(CONTROL!$C$32, $C$9, 100%, $E$9)</f>
        <v>5.6497000000000002</v>
      </c>
      <c r="I23" s="11">
        <f>5.6627 * CHOOSE(CONTROL!$C$32, $C$9, 100%, $E$9)</f>
        <v>5.6627000000000001</v>
      </c>
      <c r="J23" s="11">
        <f>5.6497 * CHOOSE(CONTROL!$C$32, $C$9, 100%, $E$9)</f>
        <v>5.6497000000000002</v>
      </c>
      <c r="K23" s="11">
        <f>5.6627 * CHOOSE(CONTROL!$C$32, $C$9, 100%, $E$9)</f>
        <v>5.6627000000000001</v>
      </c>
      <c r="L23" s="11">
        <f>3.5106 * CHOOSE(CONTROL!$C$32, $C$9, 100%, $E$9)</f>
        <v>3.5106000000000002</v>
      </c>
      <c r="M23" s="11">
        <f>3.5235 * CHOOSE(CONTROL!$C$32, $C$9, 100%, $E$9)</f>
        <v>3.5234999999999999</v>
      </c>
      <c r="N23" s="11">
        <f>3.5106 * CHOOSE(CONTROL!$C$32, $C$9, 100%, $E$9)</f>
        <v>3.5106000000000002</v>
      </c>
      <c r="O23" s="11">
        <f>3.5235 * CHOOSE(CONTROL!$C$32, $C$9, 100%, $E$9)</f>
        <v>3.5234999999999999</v>
      </c>
      <c r="P23" s="14"/>
      <c r="Q23" s="11"/>
      <c r="R23" s="11"/>
    </row>
    <row r="24" spans="1:18" ht="15" x14ac:dyDescent="0.2">
      <c r="A24" s="13">
        <v>41579</v>
      </c>
      <c r="B24" s="9">
        <f>2.3113 * CHOOSE(CONTROL!$C$32, $C$9, 100%, $E$9)</f>
        <v>2.3113000000000001</v>
      </c>
      <c r="C24" s="9">
        <f>2.2472 * CHOOSE(CONTROL!$C$32, $C$9, 100%, $E$9)</f>
        <v>2.2471999999999999</v>
      </c>
      <c r="D24" s="9">
        <f>2.2862 * CHOOSE(CONTROL!$C$32, $C$9, 100%, $E$9)</f>
        <v>2.2862</v>
      </c>
      <c r="E24" s="11">
        <f>3.5106 * CHOOSE(CONTROL!$C$32, $C$9, 100%, $E$9)</f>
        <v>3.5106000000000002</v>
      </c>
      <c r="F24" s="11">
        <f>3.245 * CHOOSE(CONTROL!$C$32, $C$9, 100%, $E$9)</f>
        <v>3.2450000000000001</v>
      </c>
      <c r="G24" s="11">
        <f>3.258 * CHOOSE(CONTROL!$C$32, $C$9, 100%, $E$9)</f>
        <v>3.258</v>
      </c>
      <c r="H24" s="11">
        <f>5.6615 * CHOOSE(CONTROL!$C$32, $C$9, 100%, $E$9)</f>
        <v>5.6615000000000002</v>
      </c>
      <c r="I24" s="11">
        <f>5.6745 * CHOOSE(CONTROL!$C$32, $C$9, 100%, $E$9)</f>
        <v>5.6745000000000001</v>
      </c>
      <c r="J24" s="11">
        <f>5.6615 * CHOOSE(CONTROL!$C$32, $C$9, 100%, $E$9)</f>
        <v>5.6615000000000002</v>
      </c>
      <c r="K24" s="11">
        <f>5.6745 * CHOOSE(CONTROL!$C$32, $C$9, 100%, $E$9)</f>
        <v>5.6745000000000001</v>
      </c>
      <c r="L24" s="11">
        <f>3.5106 * CHOOSE(CONTROL!$C$32, $C$9, 100%, $E$9)</f>
        <v>3.5106000000000002</v>
      </c>
      <c r="M24" s="11">
        <f>3.5235 * CHOOSE(CONTROL!$C$32, $C$9, 100%, $E$9)</f>
        <v>3.5234999999999999</v>
      </c>
      <c r="N24" s="11">
        <f>3.5106 * CHOOSE(CONTROL!$C$32, $C$9, 100%, $E$9)</f>
        <v>3.5106000000000002</v>
      </c>
      <c r="O24" s="11">
        <f>3.5235 * CHOOSE(CONTROL!$C$32, $C$9, 100%, $E$9)</f>
        <v>3.5234999999999999</v>
      </c>
      <c r="P24" s="14"/>
      <c r="Q24" s="11"/>
      <c r="R24" s="11"/>
    </row>
    <row r="25" spans="1:18" ht="15" x14ac:dyDescent="0.2">
      <c r="A25" s="13">
        <v>41609</v>
      </c>
      <c r="B25" s="9">
        <f>2.3131 * CHOOSE(CONTROL!$C$32, $C$9, 100%, $E$9)</f>
        <v>2.3130999999999999</v>
      </c>
      <c r="C25" s="9">
        <f>2.2592 * CHOOSE(CONTROL!$C$32, $C$9, 100%, $E$9)</f>
        <v>2.2591999999999999</v>
      </c>
      <c r="D25" s="9">
        <f>2.2981 * CHOOSE(CONTROL!$C$32, $C$9, 100%, $E$9)</f>
        <v>2.2980999999999998</v>
      </c>
      <c r="E25" s="11">
        <f>3.5079 * CHOOSE(CONTROL!$C$32, $C$9, 100%, $E$9)</f>
        <v>3.5078999999999998</v>
      </c>
      <c r="F25" s="11">
        <f>3.2814 * CHOOSE(CONTROL!$C$32, $C$9, 100%, $E$9)</f>
        <v>3.2814000000000001</v>
      </c>
      <c r="G25" s="11">
        <f>3.2943 * CHOOSE(CONTROL!$C$32, $C$9, 100%, $E$9)</f>
        <v>3.2942999999999998</v>
      </c>
      <c r="H25" s="11">
        <f>5.6733 * CHOOSE(CONTROL!$C$32, $C$9, 100%, $E$9)</f>
        <v>5.6733000000000002</v>
      </c>
      <c r="I25" s="11">
        <f>5.6863 * CHOOSE(CONTROL!$C$32, $C$9, 100%, $E$9)</f>
        <v>5.6863000000000001</v>
      </c>
      <c r="J25" s="11">
        <f>5.6733 * CHOOSE(CONTROL!$C$32, $C$9, 100%, $E$9)</f>
        <v>5.6733000000000002</v>
      </c>
      <c r="K25" s="11">
        <f>5.6863 * CHOOSE(CONTROL!$C$32, $C$9, 100%, $E$9)</f>
        <v>5.6863000000000001</v>
      </c>
      <c r="L25" s="11">
        <f>3.5079 * CHOOSE(CONTROL!$C$32, $C$9, 100%, $E$9)</f>
        <v>3.5078999999999998</v>
      </c>
      <c r="M25" s="11">
        <f>3.5208 * CHOOSE(CONTROL!$C$32, $C$9, 100%, $E$9)</f>
        <v>3.5207999999999999</v>
      </c>
      <c r="N25" s="11">
        <f>3.5079 * CHOOSE(CONTROL!$C$32, $C$9, 100%, $E$9)</f>
        <v>3.5078999999999998</v>
      </c>
      <c r="O25" s="11">
        <f>3.5208 * CHOOSE(CONTROL!$C$32, $C$9, 100%, $E$9)</f>
        <v>3.5207999999999999</v>
      </c>
      <c r="P25" s="14"/>
      <c r="Q25" s="11"/>
      <c r="R25" s="11"/>
    </row>
    <row r="26" spans="1:18" ht="15" x14ac:dyDescent="0.2">
      <c r="A26" s="13">
        <v>41640</v>
      </c>
      <c r="B26" s="9">
        <f>2.326 * CHOOSE(CONTROL!$C$32, $C$9, 100%, $E$9)</f>
        <v>2.3260000000000001</v>
      </c>
      <c r="C26" s="9">
        <f>2.2882 * CHOOSE(CONTROL!$C$32, $C$9, 100%, $E$9)</f>
        <v>2.2881999999999998</v>
      </c>
      <c r="D26" s="9">
        <f>2.3271 * CHOOSE(CONTROL!$C$32, $C$9, 100%, $E$9)</f>
        <v>2.3271000000000002</v>
      </c>
      <c r="E26" s="11">
        <f>3.4998 * CHOOSE(CONTROL!$C$32, $C$9, 100%, $E$9)</f>
        <v>3.4998</v>
      </c>
      <c r="F26" s="11">
        <f>3.2737 * CHOOSE(CONTROL!$C$32, $C$9, 100%, $E$9)</f>
        <v>3.2736999999999998</v>
      </c>
      <c r="G26" s="11">
        <f>3.2867 * CHOOSE(CONTROL!$C$32, $C$9, 100%, $E$9)</f>
        <v>3.2867000000000002</v>
      </c>
      <c r="H26" s="11">
        <f>5.6851 * CHOOSE(CONTROL!$C$32, $C$9, 100%, $E$9)</f>
        <v>5.6851000000000003</v>
      </c>
      <c r="I26" s="11">
        <f>5.6981 * CHOOSE(CONTROL!$C$32, $C$9, 100%, $E$9)</f>
        <v>5.6981000000000002</v>
      </c>
      <c r="J26" s="11">
        <f>5.6851 * CHOOSE(CONTROL!$C$32, $C$9, 100%, $E$9)</f>
        <v>5.6851000000000003</v>
      </c>
      <c r="K26" s="11">
        <f>5.6981 * CHOOSE(CONTROL!$C$32, $C$9, 100%, $E$9)</f>
        <v>5.6981000000000002</v>
      </c>
      <c r="L26" s="11">
        <f>3.4998 * CHOOSE(CONTROL!$C$32, $C$9, 100%, $E$9)</f>
        <v>3.4998</v>
      </c>
      <c r="M26" s="11">
        <f>3.5127 * CHOOSE(CONTROL!$C$32, $C$9, 100%, $E$9)</f>
        <v>3.5127000000000002</v>
      </c>
      <c r="N26" s="11">
        <f>3.4998 * CHOOSE(CONTROL!$C$32, $C$9, 100%, $E$9)</f>
        <v>3.4998</v>
      </c>
      <c r="O26" s="11">
        <f>3.5127 * CHOOSE(CONTROL!$C$32, $C$9, 100%, $E$9)</f>
        <v>3.5127000000000002</v>
      </c>
      <c r="P26" s="14"/>
      <c r="Q26" s="11"/>
      <c r="R26" s="11"/>
    </row>
    <row r="27" spans="1:18" ht="15" x14ac:dyDescent="0.2">
      <c r="A27" s="13">
        <v>41671</v>
      </c>
      <c r="B27" s="9">
        <f>2.338 * CHOOSE(CONTROL!$C$32, $C$9, 100%, $E$9)</f>
        <v>2.3380000000000001</v>
      </c>
      <c r="C27" s="9">
        <f>2.3077 * CHOOSE(CONTROL!$C$32, $C$9, 100%, $E$9)</f>
        <v>2.3077000000000001</v>
      </c>
      <c r="D27" s="9">
        <f>2.3467 * CHOOSE(CONTROL!$C$32, $C$9, 100%, $E$9)</f>
        <v>2.3466999999999998</v>
      </c>
      <c r="E27" s="11">
        <f>3.5012 * CHOOSE(CONTROL!$C$32, $C$9, 100%, $E$9)</f>
        <v>3.5011999999999999</v>
      </c>
      <c r="F27" s="11">
        <f>3.2886 * CHOOSE(CONTROL!$C$32, $C$9, 100%, $E$9)</f>
        <v>3.2886000000000002</v>
      </c>
      <c r="G27" s="11">
        <f>3.3015 * CHOOSE(CONTROL!$C$32, $C$9, 100%, $E$9)</f>
        <v>3.3014999999999999</v>
      </c>
      <c r="H27" s="11">
        <f>5.697 * CHOOSE(CONTROL!$C$32, $C$9, 100%, $E$9)</f>
        <v>5.6970000000000001</v>
      </c>
      <c r="I27" s="11">
        <f>5.7099 * CHOOSE(CONTROL!$C$32, $C$9, 100%, $E$9)</f>
        <v>5.7099000000000002</v>
      </c>
      <c r="J27" s="11">
        <f>5.697 * CHOOSE(CONTROL!$C$32, $C$9, 100%, $E$9)</f>
        <v>5.6970000000000001</v>
      </c>
      <c r="K27" s="11">
        <f>5.7099 * CHOOSE(CONTROL!$C$32, $C$9, 100%, $E$9)</f>
        <v>5.7099000000000002</v>
      </c>
      <c r="L27" s="11">
        <f>3.5012 * CHOOSE(CONTROL!$C$32, $C$9, 100%, $E$9)</f>
        <v>3.5011999999999999</v>
      </c>
      <c r="M27" s="11">
        <f>3.5142 * CHOOSE(CONTROL!$C$32, $C$9, 100%, $E$9)</f>
        <v>3.5142000000000002</v>
      </c>
      <c r="N27" s="11">
        <f>3.5012 * CHOOSE(CONTROL!$C$32, $C$9, 100%, $E$9)</f>
        <v>3.5011999999999999</v>
      </c>
      <c r="O27" s="11">
        <f>3.5142 * CHOOSE(CONTROL!$C$32, $C$9, 100%, $E$9)</f>
        <v>3.5142000000000002</v>
      </c>
      <c r="P27" s="14"/>
      <c r="Q27" s="11"/>
      <c r="R27" s="11"/>
    </row>
    <row r="28" spans="1:18" ht="15" x14ac:dyDescent="0.2">
      <c r="A28" s="13">
        <v>41699</v>
      </c>
      <c r="B28" s="9">
        <f>2.3423 * CHOOSE(CONTROL!$C$32, $C$9, 100%, $E$9)</f>
        <v>2.3422999999999998</v>
      </c>
      <c r="C28" s="9">
        <f>2.3166 * CHOOSE(CONTROL!$C$32, $C$9, 100%, $E$9)</f>
        <v>2.3166000000000002</v>
      </c>
      <c r="D28" s="9">
        <f>2.3555 * CHOOSE(CONTROL!$C$32, $C$9, 100%, $E$9)</f>
        <v>2.3555000000000001</v>
      </c>
      <c r="E28" s="11">
        <f>3.4055 * CHOOSE(CONTROL!$C$32, $C$9, 100%, $E$9)</f>
        <v>3.4055</v>
      </c>
      <c r="F28" s="11">
        <f>3.2949 * CHOOSE(CONTROL!$C$32, $C$9, 100%, $E$9)</f>
        <v>3.2949000000000002</v>
      </c>
      <c r="G28" s="11">
        <f>3.3079 * CHOOSE(CONTROL!$C$32, $C$9, 100%, $E$9)</f>
        <v>3.3079000000000001</v>
      </c>
      <c r="H28" s="11">
        <f>5.7088 * CHOOSE(CONTROL!$C$32, $C$9, 100%, $E$9)</f>
        <v>5.7088000000000001</v>
      </c>
      <c r="I28" s="11">
        <f>5.7218 * CHOOSE(CONTROL!$C$32, $C$9, 100%, $E$9)</f>
        <v>5.7218</v>
      </c>
      <c r="J28" s="11">
        <f>5.7088 * CHOOSE(CONTROL!$C$32, $C$9, 100%, $E$9)</f>
        <v>5.7088000000000001</v>
      </c>
      <c r="K28" s="11">
        <f>5.7218 * CHOOSE(CONTROL!$C$32, $C$9, 100%, $E$9)</f>
        <v>5.7218</v>
      </c>
      <c r="L28" s="11">
        <f>3.4055 * CHOOSE(CONTROL!$C$32, $C$9, 100%, $E$9)</f>
        <v>3.4055</v>
      </c>
      <c r="M28" s="11">
        <f>3.4184 * CHOOSE(CONTROL!$C$32, $C$9, 100%, $E$9)</f>
        <v>3.4184000000000001</v>
      </c>
      <c r="N28" s="11">
        <f>3.4055 * CHOOSE(CONTROL!$C$32, $C$9, 100%, $E$9)</f>
        <v>3.4055</v>
      </c>
      <c r="O28" s="11">
        <f>3.4184 * CHOOSE(CONTROL!$C$32, $C$9, 100%, $E$9)</f>
        <v>3.4184000000000001</v>
      </c>
      <c r="P28" s="14"/>
      <c r="Q28" s="11"/>
      <c r="R28" s="11"/>
    </row>
    <row r="29" spans="1:18" ht="15" x14ac:dyDescent="0.2">
      <c r="A29" s="13">
        <v>41730</v>
      </c>
      <c r="B29" s="9">
        <f>2.3408 * CHOOSE(CONTROL!$C$32, $C$9, 100%, $E$9)</f>
        <v>2.3408000000000002</v>
      </c>
      <c r="C29" s="9">
        <f>2.3136 * CHOOSE(CONTROL!$C$32, $C$9, 100%, $E$9)</f>
        <v>2.3136000000000001</v>
      </c>
      <c r="D29" s="9">
        <f>2.3525 * CHOOSE(CONTROL!$C$32, $C$9, 100%, $E$9)</f>
        <v>2.3525</v>
      </c>
      <c r="E29" s="11">
        <f>3.4026 * CHOOSE(CONTROL!$C$32, $C$9, 100%, $E$9)</f>
        <v>3.4026000000000001</v>
      </c>
      <c r="F29" s="11">
        <f>3.3055 * CHOOSE(CONTROL!$C$32, $C$9, 100%, $E$9)</f>
        <v>3.3054999999999999</v>
      </c>
      <c r="G29" s="11">
        <f>3.3185 * CHOOSE(CONTROL!$C$32, $C$9, 100%, $E$9)</f>
        <v>3.3184999999999998</v>
      </c>
      <c r="H29" s="11">
        <f>5.7207 * CHOOSE(CONTROL!$C$32, $C$9, 100%, $E$9)</f>
        <v>5.7206999999999999</v>
      </c>
      <c r="I29" s="11">
        <f>5.7337 * CHOOSE(CONTROL!$C$32, $C$9, 100%, $E$9)</f>
        <v>5.7336999999999998</v>
      </c>
      <c r="J29" s="11">
        <f>5.7207 * CHOOSE(CONTROL!$C$32, $C$9, 100%, $E$9)</f>
        <v>5.7206999999999999</v>
      </c>
      <c r="K29" s="11">
        <f>5.7337 * CHOOSE(CONTROL!$C$32, $C$9, 100%, $E$9)</f>
        <v>5.7336999999999998</v>
      </c>
      <c r="L29" s="11">
        <f>3.4026 * CHOOSE(CONTROL!$C$32, $C$9, 100%, $E$9)</f>
        <v>3.4026000000000001</v>
      </c>
      <c r="M29" s="11">
        <f>3.4156 * CHOOSE(CONTROL!$C$32, $C$9, 100%, $E$9)</f>
        <v>3.4156</v>
      </c>
      <c r="N29" s="11">
        <f>3.4026 * CHOOSE(CONTROL!$C$32, $C$9, 100%, $E$9)</f>
        <v>3.4026000000000001</v>
      </c>
      <c r="O29" s="11">
        <f>3.4156 * CHOOSE(CONTROL!$C$32, $C$9, 100%, $E$9)</f>
        <v>3.4156</v>
      </c>
      <c r="P29" s="14"/>
      <c r="Q29" s="11"/>
      <c r="R29" s="11"/>
    </row>
    <row r="30" spans="1:18" ht="15" x14ac:dyDescent="0.2">
      <c r="A30" s="13">
        <v>41760</v>
      </c>
      <c r="B30" s="9">
        <f>2.3438 * CHOOSE(CONTROL!$C$32, $C$9, 100%, $E$9)</f>
        <v>2.3437999999999999</v>
      </c>
      <c r="C30" s="9">
        <f>2.3151 * CHOOSE(CONTROL!$C$32, $C$9, 100%, $E$9)</f>
        <v>2.3151000000000002</v>
      </c>
      <c r="D30" s="9">
        <f>2.3726 * CHOOSE(CONTROL!$C$32, $C$9, 100%, $E$9)</f>
        <v>2.3725999999999998</v>
      </c>
      <c r="E30" s="11">
        <f>3.4085 * CHOOSE(CONTROL!$C$32, $C$9, 100%, $E$9)</f>
        <v>3.4085000000000001</v>
      </c>
      <c r="F30" s="11">
        <f>3.3161 * CHOOSE(CONTROL!$C$32, $C$9, 100%, $E$9)</f>
        <v>3.3161</v>
      </c>
      <c r="G30" s="11">
        <f>3.3352 * CHOOSE(CONTROL!$C$32, $C$9, 100%, $E$9)</f>
        <v>3.3351999999999999</v>
      </c>
      <c r="H30" s="11">
        <f>5.7327 * CHOOSE(CONTROL!$C$32, $C$9, 100%, $E$9)</f>
        <v>5.7327000000000004</v>
      </c>
      <c r="I30" s="11">
        <f>5.7517 * CHOOSE(CONTROL!$C$32, $C$9, 100%, $E$9)</f>
        <v>5.7516999999999996</v>
      </c>
      <c r="J30" s="11">
        <f>5.7327 * CHOOSE(CONTROL!$C$32, $C$9, 100%, $E$9)</f>
        <v>5.7327000000000004</v>
      </c>
      <c r="K30" s="11">
        <f>5.7517 * CHOOSE(CONTROL!$C$32, $C$9, 100%, $E$9)</f>
        <v>5.7516999999999996</v>
      </c>
      <c r="L30" s="11">
        <f>3.4085 * CHOOSE(CONTROL!$C$32, $C$9, 100%, $E$9)</f>
        <v>3.4085000000000001</v>
      </c>
      <c r="M30" s="11">
        <f>3.4276 * CHOOSE(CONTROL!$C$32, $C$9, 100%, $E$9)</f>
        <v>3.4276</v>
      </c>
      <c r="N30" s="11">
        <f>3.4085 * CHOOSE(CONTROL!$C$32, $C$9, 100%, $E$9)</f>
        <v>3.4085000000000001</v>
      </c>
      <c r="O30" s="11">
        <f>3.4276 * CHOOSE(CONTROL!$C$32, $C$9, 100%, $E$9)</f>
        <v>3.4276</v>
      </c>
      <c r="P30" s="14"/>
      <c r="Q30" s="11"/>
      <c r="R30" s="11"/>
    </row>
    <row r="31" spans="1:18" ht="15" x14ac:dyDescent="0.2">
      <c r="A31" s="13">
        <v>41791</v>
      </c>
      <c r="B31" s="9">
        <f>2.3496 * CHOOSE(CONTROL!$C$32, $C$9, 100%, $E$9)</f>
        <v>2.3496000000000001</v>
      </c>
      <c r="C31" s="9">
        <f>2.327 * CHOOSE(CONTROL!$C$32, $C$9, 100%, $E$9)</f>
        <v>2.327</v>
      </c>
      <c r="D31" s="9">
        <f>2.3845 * CHOOSE(CONTROL!$C$32, $C$9, 100%, $E$9)</f>
        <v>2.3845000000000001</v>
      </c>
      <c r="E31" s="11">
        <f>3.4321 * CHOOSE(CONTROL!$C$32, $C$9, 100%, $E$9)</f>
        <v>3.4321000000000002</v>
      </c>
      <c r="F31" s="11">
        <f>3.3585 * CHOOSE(CONTROL!$C$32, $C$9, 100%, $E$9)</f>
        <v>3.3584999999999998</v>
      </c>
      <c r="G31" s="11">
        <f>3.3775 * CHOOSE(CONTROL!$C$32, $C$9, 100%, $E$9)</f>
        <v>3.3774999999999999</v>
      </c>
      <c r="H31" s="11">
        <f>5.7446 * CHOOSE(CONTROL!$C$32, $C$9, 100%, $E$9)</f>
        <v>5.7446000000000002</v>
      </c>
      <c r="I31" s="11">
        <f>5.7636 * CHOOSE(CONTROL!$C$32, $C$9, 100%, $E$9)</f>
        <v>5.7636000000000003</v>
      </c>
      <c r="J31" s="11">
        <f>5.7446 * CHOOSE(CONTROL!$C$32, $C$9, 100%, $E$9)</f>
        <v>5.7446000000000002</v>
      </c>
      <c r="K31" s="11">
        <f>5.7636 * CHOOSE(CONTROL!$C$32, $C$9, 100%, $E$9)</f>
        <v>5.7636000000000003</v>
      </c>
      <c r="L31" s="11">
        <f>3.4321 * CHOOSE(CONTROL!$C$32, $C$9, 100%, $E$9)</f>
        <v>3.4321000000000002</v>
      </c>
      <c r="M31" s="11">
        <f>3.4511 * CHOOSE(CONTROL!$C$32, $C$9, 100%, $E$9)</f>
        <v>3.4510999999999998</v>
      </c>
      <c r="N31" s="11">
        <f>3.4321 * CHOOSE(CONTROL!$C$32, $C$9, 100%, $E$9)</f>
        <v>3.4321000000000002</v>
      </c>
      <c r="O31" s="11">
        <f>3.4511 * CHOOSE(CONTROL!$C$32, $C$9, 100%, $E$9)</f>
        <v>3.4510999999999998</v>
      </c>
      <c r="P31" s="14"/>
      <c r="Q31" s="11"/>
      <c r="R31" s="11"/>
    </row>
    <row r="32" spans="1:18" ht="15" x14ac:dyDescent="0.2">
      <c r="A32" s="13">
        <v>41821</v>
      </c>
      <c r="B32" s="9">
        <f>2.3649 * CHOOSE(CONTROL!$C$32, $C$9, 100%, $E$9)</f>
        <v>2.3649</v>
      </c>
      <c r="C32" s="9">
        <f>2.3574 * CHOOSE(CONTROL!$C$32, $C$9, 100%, $E$9)</f>
        <v>2.3574000000000002</v>
      </c>
      <c r="D32" s="9">
        <f>2.4149 * CHOOSE(CONTROL!$C$32, $C$9, 100%, $E$9)</f>
        <v>2.4148999999999998</v>
      </c>
      <c r="E32" s="11">
        <f>3.4478 * CHOOSE(CONTROL!$C$32, $C$9, 100%, $E$9)</f>
        <v>3.4478</v>
      </c>
      <c r="F32" s="11">
        <f>3.4008 * CHOOSE(CONTROL!$C$32, $C$9, 100%, $E$9)</f>
        <v>3.4007999999999998</v>
      </c>
      <c r="G32" s="11">
        <f>3.4199 * CHOOSE(CONTROL!$C$32, $C$9, 100%, $E$9)</f>
        <v>3.4199000000000002</v>
      </c>
      <c r="H32" s="11">
        <f>5.7566 * CHOOSE(CONTROL!$C$32, $C$9, 100%, $E$9)</f>
        <v>5.7565999999999997</v>
      </c>
      <c r="I32" s="11">
        <f>5.7756 * CHOOSE(CONTROL!$C$32, $C$9, 100%, $E$9)</f>
        <v>5.7755999999999998</v>
      </c>
      <c r="J32" s="11">
        <f>5.7566 * CHOOSE(CONTROL!$C$32, $C$9, 100%, $E$9)</f>
        <v>5.7565999999999997</v>
      </c>
      <c r="K32" s="11">
        <f>5.7756 * CHOOSE(CONTROL!$C$32, $C$9, 100%, $E$9)</f>
        <v>5.7755999999999998</v>
      </c>
      <c r="L32" s="11">
        <f>3.4478 * CHOOSE(CONTROL!$C$32, $C$9, 100%, $E$9)</f>
        <v>3.4478</v>
      </c>
      <c r="M32" s="11">
        <f>3.4668 * CHOOSE(CONTROL!$C$32, $C$9, 100%, $E$9)</f>
        <v>3.4668000000000001</v>
      </c>
      <c r="N32" s="11">
        <f>3.4478 * CHOOSE(CONTROL!$C$32, $C$9, 100%, $E$9)</f>
        <v>3.4478</v>
      </c>
      <c r="O32" s="11">
        <f>3.4668 * CHOOSE(CONTROL!$C$32, $C$9, 100%, $E$9)</f>
        <v>3.4668000000000001</v>
      </c>
      <c r="P32" s="14"/>
      <c r="Q32" s="11"/>
      <c r="R32" s="11"/>
    </row>
    <row r="33" spans="1:18" ht="15" x14ac:dyDescent="0.2">
      <c r="A33" s="13">
        <v>41852</v>
      </c>
      <c r="B33" s="9">
        <f>2.3848 * CHOOSE(CONTROL!$C$32, $C$9, 100%, $E$9)</f>
        <v>2.3847999999999998</v>
      </c>
      <c r="C33" s="9">
        <f>2.3923 * CHOOSE(CONTROL!$C$32, $C$9, 100%, $E$9)</f>
        <v>2.3923000000000001</v>
      </c>
      <c r="D33" s="9">
        <f>2.4498 * CHOOSE(CONTROL!$C$32, $C$9, 100%, $E$9)</f>
        <v>2.4498000000000002</v>
      </c>
      <c r="E33" s="11">
        <f>3.4793 * CHOOSE(CONTROL!$C$32, $C$9, 100%, $E$9)</f>
        <v>3.4792999999999998</v>
      </c>
      <c r="F33" s="11">
        <f>3.4517 * CHOOSE(CONTROL!$C$32, $C$9, 100%, $E$9)</f>
        <v>3.4517000000000002</v>
      </c>
      <c r="G33" s="11">
        <f>3.4707 * CHOOSE(CONTROL!$C$32, $C$9, 100%, $E$9)</f>
        <v>3.4706999999999999</v>
      </c>
      <c r="H33" s="11">
        <f>5.7686 * CHOOSE(CONTROL!$C$32, $C$9, 100%, $E$9)</f>
        <v>5.7686000000000002</v>
      </c>
      <c r="I33" s="11">
        <f>5.7876 * CHOOSE(CONTROL!$C$32, $C$9, 100%, $E$9)</f>
        <v>5.7876000000000003</v>
      </c>
      <c r="J33" s="11">
        <f>5.7686 * CHOOSE(CONTROL!$C$32, $C$9, 100%, $E$9)</f>
        <v>5.7686000000000002</v>
      </c>
      <c r="K33" s="11">
        <f>5.7876 * CHOOSE(CONTROL!$C$32, $C$9, 100%, $E$9)</f>
        <v>5.7876000000000003</v>
      </c>
      <c r="L33" s="11">
        <f>3.4793 * CHOOSE(CONTROL!$C$32, $C$9, 100%, $E$9)</f>
        <v>3.4792999999999998</v>
      </c>
      <c r="M33" s="11">
        <f>3.4983 * CHOOSE(CONTROL!$C$32, $C$9, 100%, $E$9)</f>
        <v>3.4983</v>
      </c>
      <c r="N33" s="11">
        <f>3.4793 * CHOOSE(CONTROL!$C$32, $C$9, 100%, $E$9)</f>
        <v>3.4792999999999998</v>
      </c>
      <c r="O33" s="11">
        <f>3.4983 * CHOOSE(CONTROL!$C$32, $C$9, 100%, $E$9)</f>
        <v>3.4983</v>
      </c>
      <c r="P33" s="14"/>
      <c r="Q33" s="11"/>
      <c r="R33" s="11"/>
    </row>
    <row r="34" spans="1:18" ht="15" x14ac:dyDescent="0.2">
      <c r="A34" s="13">
        <v>41883</v>
      </c>
      <c r="B34" s="9">
        <f>2.3937 * CHOOSE(CONTROL!$C$32, $C$9, 100%, $E$9)</f>
        <v>2.3936999999999999</v>
      </c>
      <c r="C34" s="9">
        <f>2.4103 * CHOOSE(CONTROL!$C$32, $C$9, 100%, $E$9)</f>
        <v>2.4102999999999999</v>
      </c>
      <c r="D34" s="9">
        <f>2.4678 * CHOOSE(CONTROL!$C$32, $C$9, 100%, $E$9)</f>
        <v>2.4678</v>
      </c>
      <c r="E34" s="11">
        <f>3.4806 * CHOOSE(CONTROL!$C$32, $C$9, 100%, $E$9)</f>
        <v>3.4805999999999999</v>
      </c>
      <c r="F34" s="11">
        <f>3.4538 * CHOOSE(CONTROL!$C$32, $C$9, 100%, $E$9)</f>
        <v>3.4538000000000002</v>
      </c>
      <c r="G34" s="11">
        <f>3.4729 * CHOOSE(CONTROL!$C$32, $C$9, 100%, $E$9)</f>
        <v>3.4729000000000001</v>
      </c>
      <c r="H34" s="11">
        <f>5.7806 * CHOOSE(CONTROL!$C$32, $C$9, 100%, $E$9)</f>
        <v>5.7805999999999997</v>
      </c>
      <c r="I34" s="11">
        <f>5.7996 * CHOOSE(CONTROL!$C$32, $C$9, 100%, $E$9)</f>
        <v>5.7995999999999999</v>
      </c>
      <c r="J34" s="11">
        <f>5.7806 * CHOOSE(CONTROL!$C$32, $C$9, 100%, $E$9)</f>
        <v>5.7805999999999997</v>
      </c>
      <c r="K34" s="11">
        <f>5.7996 * CHOOSE(CONTROL!$C$32, $C$9, 100%, $E$9)</f>
        <v>5.7995999999999999</v>
      </c>
      <c r="L34" s="11">
        <f>3.4806 * CHOOSE(CONTROL!$C$32, $C$9, 100%, $E$9)</f>
        <v>3.4805999999999999</v>
      </c>
      <c r="M34" s="11">
        <f>3.4996 * CHOOSE(CONTROL!$C$32, $C$9, 100%, $E$9)</f>
        <v>3.4996</v>
      </c>
      <c r="N34" s="11">
        <f>3.4806 * CHOOSE(CONTROL!$C$32, $C$9, 100%, $E$9)</f>
        <v>3.4805999999999999</v>
      </c>
      <c r="O34" s="11">
        <f>3.4996 * CHOOSE(CONTROL!$C$32, $C$9, 100%, $E$9)</f>
        <v>3.4996</v>
      </c>
      <c r="P34" s="14"/>
      <c r="Q34" s="11"/>
      <c r="R34" s="11"/>
    </row>
    <row r="35" spans="1:18" ht="15" x14ac:dyDescent="0.2">
      <c r="A35" s="13">
        <v>41913</v>
      </c>
      <c r="B35" s="9">
        <f>2.3937 * CHOOSE(CONTROL!$C$32, $C$9, 100%, $E$9)</f>
        <v>2.3936999999999999</v>
      </c>
      <c r="C35" s="9">
        <f>2.4103 * CHOOSE(CONTROL!$C$32, $C$9, 100%, $E$9)</f>
        <v>2.4102999999999999</v>
      </c>
      <c r="D35" s="9">
        <f>2.4492 * CHOOSE(CONTROL!$C$32, $C$9, 100%, $E$9)</f>
        <v>2.4491999999999998</v>
      </c>
      <c r="E35" s="11">
        <f>3.4819 * CHOOSE(CONTROL!$C$32, $C$9, 100%, $E$9)</f>
        <v>3.4819</v>
      </c>
      <c r="F35" s="11">
        <f>3.4559 * CHOOSE(CONTROL!$C$32, $C$9, 100%, $E$9)</f>
        <v>3.4559000000000002</v>
      </c>
      <c r="G35" s="11">
        <f>3.4689 * CHOOSE(CONTROL!$C$32, $C$9, 100%, $E$9)</f>
        <v>3.4689000000000001</v>
      </c>
      <c r="H35" s="11">
        <f>5.7926 * CHOOSE(CONTROL!$C$32, $C$9, 100%, $E$9)</f>
        <v>5.7926000000000002</v>
      </c>
      <c r="I35" s="11">
        <f>5.8056 * CHOOSE(CONTROL!$C$32, $C$9, 100%, $E$9)</f>
        <v>5.8056000000000001</v>
      </c>
      <c r="J35" s="11">
        <f>5.7926 * CHOOSE(CONTROL!$C$32, $C$9, 100%, $E$9)</f>
        <v>5.7926000000000002</v>
      </c>
      <c r="K35" s="11">
        <f>5.8056 * CHOOSE(CONTROL!$C$32, $C$9, 100%, $E$9)</f>
        <v>5.8056000000000001</v>
      </c>
      <c r="L35" s="11">
        <f>3.4819 * CHOOSE(CONTROL!$C$32, $C$9, 100%, $E$9)</f>
        <v>3.4819</v>
      </c>
      <c r="M35" s="11">
        <f>3.4948 * CHOOSE(CONTROL!$C$32, $C$9, 100%, $E$9)</f>
        <v>3.4948000000000001</v>
      </c>
      <c r="N35" s="11">
        <f>3.4819 * CHOOSE(CONTROL!$C$32, $C$9, 100%, $E$9)</f>
        <v>3.4819</v>
      </c>
      <c r="O35" s="11">
        <f>3.4948 * CHOOSE(CONTROL!$C$32, $C$9, 100%, $E$9)</f>
        <v>3.4948000000000001</v>
      </c>
      <c r="P35" s="14"/>
      <c r="Q35" s="11"/>
      <c r="R35" s="11"/>
    </row>
    <row r="36" spans="1:18" ht="15" x14ac:dyDescent="0.2">
      <c r="A36" s="13">
        <v>41944</v>
      </c>
      <c r="B36" s="9">
        <f>2.4013 * CHOOSE(CONTROL!$C$32, $C$9, 100%, $E$9)</f>
        <v>2.4013</v>
      </c>
      <c r="C36" s="9">
        <f>2.421 * CHOOSE(CONTROL!$C$32, $C$9, 100%, $E$9)</f>
        <v>2.4209999999999998</v>
      </c>
      <c r="D36" s="9">
        <f>2.4599 * CHOOSE(CONTROL!$C$32, $C$9, 100%, $E$9)</f>
        <v>2.4599000000000002</v>
      </c>
      <c r="E36" s="11">
        <f>3.4897 * CHOOSE(CONTROL!$C$32, $C$9, 100%, $E$9)</f>
        <v>3.4897</v>
      </c>
      <c r="F36" s="11">
        <f>3.4623 * CHOOSE(CONTROL!$C$32, $C$9, 100%, $E$9)</f>
        <v>3.4622999999999999</v>
      </c>
      <c r="G36" s="11">
        <f>3.4752 * CHOOSE(CONTROL!$C$32, $C$9, 100%, $E$9)</f>
        <v>3.4752000000000001</v>
      </c>
      <c r="H36" s="11">
        <f>5.8047 * CHOOSE(CONTROL!$C$32, $C$9, 100%, $E$9)</f>
        <v>5.8047000000000004</v>
      </c>
      <c r="I36" s="11">
        <f>5.8176 * CHOOSE(CONTROL!$C$32, $C$9, 100%, $E$9)</f>
        <v>5.8175999999999997</v>
      </c>
      <c r="J36" s="11">
        <f>5.8047 * CHOOSE(CONTROL!$C$32, $C$9, 100%, $E$9)</f>
        <v>5.8047000000000004</v>
      </c>
      <c r="K36" s="11">
        <f>5.8176 * CHOOSE(CONTROL!$C$32, $C$9, 100%, $E$9)</f>
        <v>5.8175999999999997</v>
      </c>
      <c r="L36" s="11">
        <f>3.4897 * CHOOSE(CONTROL!$C$32, $C$9, 100%, $E$9)</f>
        <v>3.4897</v>
      </c>
      <c r="M36" s="11">
        <f>3.5027 * CHOOSE(CONTROL!$C$32, $C$9, 100%, $E$9)</f>
        <v>3.5026999999999999</v>
      </c>
      <c r="N36" s="11">
        <f>3.4897 * CHOOSE(CONTROL!$C$32, $C$9, 100%, $E$9)</f>
        <v>3.4897</v>
      </c>
      <c r="O36" s="11">
        <f>3.5027 * CHOOSE(CONTROL!$C$32, $C$9, 100%, $E$9)</f>
        <v>3.5026999999999999</v>
      </c>
      <c r="P36" s="14"/>
      <c r="Q36" s="11"/>
      <c r="R36" s="11"/>
    </row>
    <row r="37" spans="1:18" ht="15" x14ac:dyDescent="0.2">
      <c r="A37" s="13">
        <v>41974</v>
      </c>
      <c r="B37" s="9">
        <f>2.4071 * CHOOSE(CONTROL!$C$32, $C$9, 100%, $E$9)</f>
        <v>2.4070999999999998</v>
      </c>
      <c r="C37" s="9">
        <f>2.4328 * CHOOSE(CONTROL!$C$32, $C$9, 100%, $E$9)</f>
        <v>2.4327999999999999</v>
      </c>
      <c r="D37" s="9">
        <f>2.4717 * CHOOSE(CONTROL!$C$32, $C$9, 100%, $E$9)</f>
        <v>2.4716999999999998</v>
      </c>
      <c r="E37" s="11">
        <f>3.4979 * CHOOSE(CONTROL!$C$32, $C$9, 100%, $E$9)</f>
        <v>3.4979</v>
      </c>
      <c r="F37" s="11">
        <f>3.475 * CHOOSE(CONTROL!$C$32, $C$9, 100%, $E$9)</f>
        <v>3.4750000000000001</v>
      </c>
      <c r="G37" s="11">
        <f>3.4879 * CHOOSE(CONTROL!$C$32, $C$9, 100%, $E$9)</f>
        <v>3.4878999999999998</v>
      </c>
      <c r="H37" s="11">
        <f>5.8168 * CHOOSE(CONTROL!$C$32, $C$9, 100%, $E$9)</f>
        <v>5.8167999999999997</v>
      </c>
      <c r="I37" s="11">
        <f>5.8297 * CHOOSE(CONTROL!$C$32, $C$9, 100%, $E$9)</f>
        <v>5.8296999999999999</v>
      </c>
      <c r="J37" s="11">
        <f>5.8168 * CHOOSE(CONTROL!$C$32, $C$9, 100%, $E$9)</f>
        <v>5.8167999999999997</v>
      </c>
      <c r="K37" s="11">
        <f>5.8297 * CHOOSE(CONTROL!$C$32, $C$9, 100%, $E$9)</f>
        <v>5.8296999999999999</v>
      </c>
      <c r="L37" s="11">
        <f>3.4979 * CHOOSE(CONTROL!$C$32, $C$9, 100%, $E$9)</f>
        <v>3.4979</v>
      </c>
      <c r="M37" s="11">
        <f>3.5108 * CHOOSE(CONTROL!$C$32, $C$9, 100%, $E$9)</f>
        <v>3.5108000000000001</v>
      </c>
      <c r="N37" s="11">
        <f>3.4979 * CHOOSE(CONTROL!$C$32, $C$9, 100%, $E$9)</f>
        <v>3.4979</v>
      </c>
      <c r="O37" s="11">
        <f>3.5108 * CHOOSE(CONTROL!$C$32, $C$9, 100%, $E$9)</f>
        <v>3.5108000000000001</v>
      </c>
      <c r="P37" s="14"/>
      <c r="Q37" s="11"/>
      <c r="R37" s="11"/>
    </row>
    <row r="38" spans="1:18" ht="15" x14ac:dyDescent="0.2">
      <c r="A38" s="13">
        <v>42005</v>
      </c>
      <c r="B38" s="9">
        <f>2.4532 * CHOOSE(CONTROL!$C$32, $C$9, 100%, $E$9)</f>
        <v>2.4531999999999998</v>
      </c>
      <c r="C38" s="9">
        <f>2.4532 * CHOOSE(CONTROL!$C$32, $C$9, 100%, $E$9)</f>
        <v>2.4531999999999998</v>
      </c>
      <c r="D38" s="9">
        <f>2.4542 * CHOOSE(CONTROL!$C$32, $C$9, 100%, $E$9)</f>
        <v>2.4542000000000002</v>
      </c>
      <c r="E38" s="11">
        <f>3.8055 * CHOOSE(CONTROL!$C$32, $C$9, 100%, $E$9)</f>
        <v>3.8054999999999999</v>
      </c>
      <c r="F38" s="11">
        <f>3.5836 * CHOOSE(CONTROL!$C$32, $C$9, 100%, $E$9)</f>
        <v>3.5836000000000001</v>
      </c>
      <c r="G38" s="11">
        <f>3.5872 * CHOOSE(CONTROL!$C$32, $C$9, 100%, $E$9)</f>
        <v>3.5872000000000002</v>
      </c>
      <c r="H38" s="11">
        <f>5.8289 * CHOOSE(CONTROL!$C$32, $C$9, 100%, $E$9)</f>
        <v>5.8289</v>
      </c>
      <c r="I38" s="11">
        <f>5.8325 * CHOOSE(CONTROL!$C$32, $C$9, 100%, $E$9)</f>
        <v>5.8324999999999996</v>
      </c>
      <c r="J38" s="11">
        <f>5.8289 * CHOOSE(CONTROL!$C$32, $C$9, 100%, $E$9)</f>
        <v>5.8289</v>
      </c>
      <c r="K38" s="11">
        <f>5.8325 * CHOOSE(CONTROL!$C$32, $C$9, 100%, $E$9)</f>
        <v>5.8324999999999996</v>
      </c>
      <c r="L38" s="11">
        <f>3.8055 * CHOOSE(CONTROL!$C$32, $C$9, 100%, $E$9)</f>
        <v>3.8054999999999999</v>
      </c>
      <c r="M38" s="11">
        <f>3.8091 * CHOOSE(CONTROL!$C$32, $C$9, 100%, $E$9)</f>
        <v>3.8090999999999999</v>
      </c>
      <c r="N38" s="11">
        <f>3.8055 * CHOOSE(CONTROL!$C$32, $C$9, 100%, $E$9)</f>
        <v>3.8054999999999999</v>
      </c>
      <c r="O38" s="11">
        <f>3.8091 * CHOOSE(CONTROL!$C$32, $C$9, 100%, $E$9)</f>
        <v>3.8090999999999999</v>
      </c>
      <c r="P38" s="14"/>
      <c r="Q38" s="11"/>
      <c r="R38" s="11"/>
    </row>
    <row r="39" spans="1:18" ht="15" x14ac:dyDescent="0.2">
      <c r="A39" s="13">
        <v>42036</v>
      </c>
      <c r="B39" s="9">
        <f>2.4638 * CHOOSE(CONTROL!$C$32, $C$9, 100%, $E$9)</f>
        <v>2.4638</v>
      </c>
      <c r="C39" s="9">
        <f>2.4638 * CHOOSE(CONTROL!$C$32, $C$9, 100%, $E$9)</f>
        <v>2.4638</v>
      </c>
      <c r="D39" s="9">
        <f>2.4648 * CHOOSE(CONTROL!$C$32, $C$9, 100%, $E$9)</f>
        <v>2.4647999999999999</v>
      </c>
      <c r="E39" s="11">
        <f>3.7577 * CHOOSE(CONTROL!$C$32, $C$9, 100%, $E$9)</f>
        <v>3.7576999999999998</v>
      </c>
      <c r="F39" s="11">
        <f>3.5836 * CHOOSE(CONTROL!$C$32, $C$9, 100%, $E$9)</f>
        <v>3.5836000000000001</v>
      </c>
      <c r="G39" s="11">
        <f>3.5872 * CHOOSE(CONTROL!$C$32, $C$9, 100%, $E$9)</f>
        <v>3.5872000000000002</v>
      </c>
      <c r="H39" s="11">
        <f>5.841 * CHOOSE(CONTROL!$C$32, $C$9, 100%, $E$9)</f>
        <v>5.8410000000000002</v>
      </c>
      <c r="I39" s="11">
        <f>5.8447 * CHOOSE(CONTROL!$C$32, $C$9, 100%, $E$9)</f>
        <v>5.8446999999999996</v>
      </c>
      <c r="J39" s="11">
        <f>5.841 * CHOOSE(CONTROL!$C$32, $C$9, 100%, $E$9)</f>
        <v>5.8410000000000002</v>
      </c>
      <c r="K39" s="11">
        <f>5.8447 * CHOOSE(CONTROL!$C$32, $C$9, 100%, $E$9)</f>
        <v>5.8446999999999996</v>
      </c>
      <c r="L39" s="11">
        <f>3.7577 * CHOOSE(CONTROL!$C$32, $C$9, 100%, $E$9)</f>
        <v>3.7576999999999998</v>
      </c>
      <c r="M39" s="11">
        <f>3.7613 * CHOOSE(CONTROL!$C$32, $C$9, 100%, $E$9)</f>
        <v>3.7612999999999999</v>
      </c>
      <c r="N39" s="11">
        <f>3.7577 * CHOOSE(CONTROL!$C$32, $C$9, 100%, $E$9)</f>
        <v>3.7576999999999998</v>
      </c>
      <c r="O39" s="11">
        <f>3.7613 * CHOOSE(CONTROL!$C$32, $C$9, 100%, $E$9)</f>
        <v>3.7612999999999999</v>
      </c>
      <c r="P39" s="14"/>
      <c r="Q39" s="11"/>
      <c r="R39" s="11"/>
    </row>
    <row r="40" spans="1:18" ht="15" x14ac:dyDescent="0.2">
      <c r="A40" s="13">
        <v>42064</v>
      </c>
      <c r="B40" s="9">
        <f>2.4574 * CHOOSE(CONTROL!$C$32, $C$9, 100%, $E$9)</f>
        <v>2.4573999999999998</v>
      </c>
      <c r="C40" s="9">
        <f>2.4574 * CHOOSE(CONTROL!$C$32, $C$9, 100%, $E$9)</f>
        <v>2.4573999999999998</v>
      </c>
      <c r="D40" s="9">
        <f>2.4584 * CHOOSE(CONTROL!$C$32, $C$9, 100%, $E$9)</f>
        <v>2.4584000000000001</v>
      </c>
      <c r="E40" s="11">
        <f>3.686 * CHOOSE(CONTROL!$C$32, $C$9, 100%, $E$9)</f>
        <v>3.6859999999999999</v>
      </c>
      <c r="F40" s="11">
        <f>3.5836 * CHOOSE(CONTROL!$C$32, $C$9, 100%, $E$9)</f>
        <v>3.5836000000000001</v>
      </c>
      <c r="G40" s="11">
        <f>3.5872 * CHOOSE(CONTROL!$C$32, $C$9, 100%, $E$9)</f>
        <v>3.5872000000000002</v>
      </c>
      <c r="H40" s="11">
        <f>5.8532 * CHOOSE(CONTROL!$C$32, $C$9, 100%, $E$9)</f>
        <v>5.8532000000000002</v>
      </c>
      <c r="I40" s="11">
        <f>5.8568 * CHOOSE(CONTROL!$C$32, $C$9, 100%, $E$9)</f>
        <v>5.8567999999999998</v>
      </c>
      <c r="J40" s="11">
        <f>5.8532 * CHOOSE(CONTROL!$C$32, $C$9, 100%, $E$9)</f>
        <v>5.8532000000000002</v>
      </c>
      <c r="K40" s="11">
        <f>5.8568 * CHOOSE(CONTROL!$C$32, $C$9, 100%, $E$9)</f>
        <v>5.8567999999999998</v>
      </c>
      <c r="L40" s="11">
        <f>3.686 * CHOOSE(CONTROL!$C$32, $C$9, 100%, $E$9)</f>
        <v>3.6859999999999999</v>
      </c>
      <c r="M40" s="11">
        <f>3.6896 * CHOOSE(CONTROL!$C$32, $C$9, 100%, $E$9)</f>
        <v>3.6896</v>
      </c>
      <c r="N40" s="11">
        <f>3.686 * CHOOSE(CONTROL!$C$32, $C$9, 100%, $E$9)</f>
        <v>3.6859999999999999</v>
      </c>
      <c r="O40" s="11">
        <f>3.6896 * CHOOSE(CONTROL!$C$32, $C$9, 100%, $E$9)</f>
        <v>3.6896</v>
      </c>
      <c r="P40" s="14"/>
      <c r="Q40" s="11"/>
      <c r="R40" s="11"/>
    </row>
    <row r="41" spans="1:18" ht="15" x14ac:dyDescent="0.2">
      <c r="A41" s="13">
        <v>42095</v>
      </c>
      <c r="B41" s="9">
        <f>2.4574 * CHOOSE(CONTROL!$C$32, $C$9, 100%, $E$9)</f>
        <v>2.4573999999999998</v>
      </c>
      <c r="C41" s="9">
        <f>2.4574 * CHOOSE(CONTROL!$C$32, $C$9, 100%, $E$9)</f>
        <v>2.4573999999999998</v>
      </c>
      <c r="D41" s="9">
        <f>2.4584 * CHOOSE(CONTROL!$C$32, $C$9, 100%, $E$9)</f>
        <v>2.4584000000000001</v>
      </c>
      <c r="E41" s="11">
        <f>3.6986 * CHOOSE(CONTROL!$C$32, $C$9, 100%, $E$9)</f>
        <v>3.6985999999999999</v>
      </c>
      <c r="F41" s="11">
        <f>3.5836 * CHOOSE(CONTROL!$C$32, $C$9, 100%, $E$9)</f>
        <v>3.5836000000000001</v>
      </c>
      <c r="G41" s="11">
        <f>3.5872 * CHOOSE(CONTROL!$C$32, $C$9, 100%, $E$9)</f>
        <v>3.5872000000000002</v>
      </c>
      <c r="H41" s="11">
        <f>5.8654 * CHOOSE(CONTROL!$C$32, $C$9, 100%, $E$9)</f>
        <v>5.8654000000000002</v>
      </c>
      <c r="I41" s="11">
        <f>5.869 * CHOOSE(CONTROL!$C$32, $C$9, 100%, $E$9)</f>
        <v>5.8689999999999998</v>
      </c>
      <c r="J41" s="11">
        <f>5.8654 * CHOOSE(CONTROL!$C$32, $C$9, 100%, $E$9)</f>
        <v>5.8654000000000002</v>
      </c>
      <c r="K41" s="11">
        <f>5.869 * CHOOSE(CONTROL!$C$32, $C$9, 100%, $E$9)</f>
        <v>5.8689999999999998</v>
      </c>
      <c r="L41" s="11">
        <f>3.6986 * CHOOSE(CONTROL!$C$32, $C$9, 100%, $E$9)</f>
        <v>3.6985999999999999</v>
      </c>
      <c r="M41" s="11">
        <f>3.7022 * CHOOSE(CONTROL!$C$32, $C$9, 100%, $E$9)</f>
        <v>3.7021999999999999</v>
      </c>
      <c r="N41" s="11">
        <f>3.6986 * CHOOSE(CONTROL!$C$32, $C$9, 100%, $E$9)</f>
        <v>3.6985999999999999</v>
      </c>
      <c r="O41" s="11">
        <f>3.7022 * CHOOSE(CONTROL!$C$32, $C$9, 100%, $E$9)</f>
        <v>3.7021999999999999</v>
      </c>
      <c r="P41" s="14"/>
      <c r="Q41" s="11"/>
      <c r="R41" s="11"/>
    </row>
    <row r="42" spans="1:18" ht="15" x14ac:dyDescent="0.2">
      <c r="A42" s="13">
        <v>42125</v>
      </c>
      <c r="B42" s="9">
        <f>2.4559 * CHOOSE(CONTROL!$C$32, $C$9, 100%, $E$9)</f>
        <v>2.4559000000000002</v>
      </c>
      <c r="C42" s="9">
        <f>2.4559 * CHOOSE(CONTROL!$C$32, $C$9, 100%, $E$9)</f>
        <v>2.4559000000000002</v>
      </c>
      <c r="D42" s="9">
        <f>2.4575 * CHOOSE(CONTROL!$C$32, $C$9, 100%, $E$9)</f>
        <v>2.4575</v>
      </c>
      <c r="E42" s="11">
        <f>3.7718 * CHOOSE(CONTROL!$C$32, $C$9, 100%, $E$9)</f>
        <v>3.7717999999999998</v>
      </c>
      <c r="F42" s="11">
        <f>3.5836 * CHOOSE(CONTROL!$C$32, $C$9, 100%, $E$9)</f>
        <v>3.5836000000000001</v>
      </c>
      <c r="G42" s="11">
        <f>3.5889 * CHOOSE(CONTROL!$C$32, $C$9, 100%, $E$9)</f>
        <v>3.5889000000000002</v>
      </c>
      <c r="H42" s="11">
        <f>5.8776 * CHOOSE(CONTROL!$C$32, $C$9, 100%, $E$9)</f>
        <v>5.8776000000000002</v>
      </c>
      <c r="I42" s="11">
        <f>5.8829 * CHOOSE(CONTROL!$C$32, $C$9, 100%, $E$9)</f>
        <v>5.8829000000000002</v>
      </c>
      <c r="J42" s="11">
        <f>5.8776 * CHOOSE(CONTROL!$C$32, $C$9, 100%, $E$9)</f>
        <v>5.8776000000000002</v>
      </c>
      <c r="K42" s="11">
        <f>5.8829 * CHOOSE(CONTROL!$C$32, $C$9, 100%, $E$9)</f>
        <v>5.8829000000000002</v>
      </c>
      <c r="L42" s="11">
        <f>3.7718 * CHOOSE(CONTROL!$C$32, $C$9, 100%, $E$9)</f>
        <v>3.7717999999999998</v>
      </c>
      <c r="M42" s="11">
        <f>3.7771 * CHOOSE(CONTROL!$C$32, $C$9, 100%, $E$9)</f>
        <v>3.7770999999999999</v>
      </c>
      <c r="N42" s="11">
        <f>3.7718 * CHOOSE(CONTROL!$C$32, $C$9, 100%, $E$9)</f>
        <v>3.7717999999999998</v>
      </c>
      <c r="O42" s="11">
        <f>3.7771 * CHOOSE(CONTROL!$C$32, $C$9, 100%, $E$9)</f>
        <v>3.7770999999999999</v>
      </c>
      <c r="P42" s="14"/>
      <c r="Q42" s="11"/>
      <c r="R42" s="11"/>
    </row>
    <row r="43" spans="1:18" ht="15" x14ac:dyDescent="0.2">
      <c r="A43" s="13">
        <v>42156</v>
      </c>
      <c r="B43" s="9">
        <f>2.4775 * CHOOSE(CONTROL!$C$32, $C$9, 100%, $E$9)</f>
        <v>2.4775</v>
      </c>
      <c r="C43" s="9">
        <f>2.4775 * CHOOSE(CONTROL!$C$32, $C$9, 100%, $E$9)</f>
        <v>2.4775</v>
      </c>
      <c r="D43" s="9">
        <f>2.4791 * CHOOSE(CONTROL!$C$32, $C$9, 100%, $E$9)</f>
        <v>2.4790999999999999</v>
      </c>
      <c r="E43" s="11">
        <f>3.8167 * CHOOSE(CONTROL!$C$32, $C$9, 100%, $E$9)</f>
        <v>3.8167</v>
      </c>
      <c r="F43" s="11">
        <f>3.5836 * CHOOSE(CONTROL!$C$32, $C$9, 100%, $E$9)</f>
        <v>3.5836000000000001</v>
      </c>
      <c r="G43" s="11">
        <f>3.5889 * CHOOSE(CONTROL!$C$32, $C$9, 100%, $E$9)</f>
        <v>3.5889000000000002</v>
      </c>
      <c r="H43" s="11">
        <f>5.8899 * CHOOSE(CONTROL!$C$32, $C$9, 100%, $E$9)</f>
        <v>5.8898999999999999</v>
      </c>
      <c r="I43" s="11">
        <f>5.8952 * CHOOSE(CONTROL!$C$32, $C$9, 100%, $E$9)</f>
        <v>5.8952</v>
      </c>
      <c r="J43" s="11">
        <f>5.8899 * CHOOSE(CONTROL!$C$32, $C$9, 100%, $E$9)</f>
        <v>5.8898999999999999</v>
      </c>
      <c r="K43" s="11">
        <f>5.8952 * CHOOSE(CONTROL!$C$32, $C$9, 100%, $E$9)</f>
        <v>5.8952</v>
      </c>
      <c r="L43" s="11">
        <f>3.8167 * CHOOSE(CONTROL!$C$32, $C$9, 100%, $E$9)</f>
        <v>3.8167</v>
      </c>
      <c r="M43" s="11">
        <f>3.822 * CHOOSE(CONTROL!$C$32, $C$9, 100%, $E$9)</f>
        <v>3.8220000000000001</v>
      </c>
      <c r="N43" s="11">
        <f>3.8167 * CHOOSE(CONTROL!$C$32, $C$9, 100%, $E$9)</f>
        <v>3.8167</v>
      </c>
      <c r="O43" s="11">
        <f>3.822 * CHOOSE(CONTROL!$C$32, $C$9, 100%, $E$9)</f>
        <v>3.8220000000000001</v>
      </c>
      <c r="P43" s="14"/>
      <c r="Q43" s="11"/>
      <c r="R43" s="11"/>
    </row>
    <row r="44" spans="1:18" ht="15" x14ac:dyDescent="0.2">
      <c r="A44" s="13">
        <v>42186</v>
      </c>
      <c r="B44" s="9">
        <f>2.5019 * CHOOSE(CONTROL!$C$32, $C$9, 100%, $E$9)</f>
        <v>2.5019</v>
      </c>
      <c r="C44" s="9">
        <f>2.5019 * CHOOSE(CONTROL!$C$32, $C$9, 100%, $E$9)</f>
        <v>2.5019</v>
      </c>
      <c r="D44" s="9">
        <f>2.5034 * CHOOSE(CONTROL!$C$32, $C$9, 100%, $E$9)</f>
        <v>2.5034000000000001</v>
      </c>
      <c r="E44" s="11">
        <f>3.8864 * CHOOSE(CONTROL!$C$32, $C$9, 100%, $E$9)</f>
        <v>3.8864000000000001</v>
      </c>
      <c r="F44" s="11">
        <f>3.5836 * CHOOSE(CONTROL!$C$32, $C$9, 100%, $E$9)</f>
        <v>3.5836000000000001</v>
      </c>
      <c r="G44" s="11">
        <f>3.5889 * CHOOSE(CONTROL!$C$32, $C$9, 100%, $E$9)</f>
        <v>3.5889000000000002</v>
      </c>
      <c r="H44" s="11">
        <f>5.9021 * CHOOSE(CONTROL!$C$32, $C$9, 100%, $E$9)</f>
        <v>5.9020999999999999</v>
      </c>
      <c r="I44" s="11">
        <f>5.9074 * CHOOSE(CONTROL!$C$32, $C$9, 100%, $E$9)</f>
        <v>5.9074</v>
      </c>
      <c r="J44" s="11">
        <f>5.9021 * CHOOSE(CONTROL!$C$32, $C$9, 100%, $E$9)</f>
        <v>5.9020999999999999</v>
      </c>
      <c r="K44" s="11">
        <f>5.9074 * CHOOSE(CONTROL!$C$32, $C$9, 100%, $E$9)</f>
        <v>5.9074</v>
      </c>
      <c r="L44" s="11">
        <f>3.8864 * CHOOSE(CONTROL!$C$32, $C$9, 100%, $E$9)</f>
        <v>3.8864000000000001</v>
      </c>
      <c r="M44" s="11">
        <f>3.8917 * CHOOSE(CONTROL!$C$32, $C$9, 100%, $E$9)</f>
        <v>3.8917000000000002</v>
      </c>
      <c r="N44" s="11">
        <f>3.8864 * CHOOSE(CONTROL!$C$32, $C$9, 100%, $E$9)</f>
        <v>3.8864000000000001</v>
      </c>
      <c r="O44" s="11">
        <f>3.8917 * CHOOSE(CONTROL!$C$32, $C$9, 100%, $E$9)</f>
        <v>3.8917000000000002</v>
      </c>
      <c r="P44" s="14"/>
      <c r="Q44" s="11"/>
      <c r="R44" s="11"/>
    </row>
    <row r="45" spans="1:18" ht="15" x14ac:dyDescent="0.2">
      <c r="A45" s="13">
        <v>42217</v>
      </c>
      <c r="B45" s="9">
        <f>2.5126 * CHOOSE(CONTROL!$C$32, $C$9, 100%, $E$9)</f>
        <v>2.5125999999999999</v>
      </c>
      <c r="C45" s="9">
        <f>2.5126 * CHOOSE(CONTROL!$C$32, $C$9, 100%, $E$9)</f>
        <v>2.5125999999999999</v>
      </c>
      <c r="D45" s="9">
        <f>2.5142 * CHOOSE(CONTROL!$C$32, $C$9, 100%, $E$9)</f>
        <v>2.5142000000000002</v>
      </c>
      <c r="E45" s="11">
        <f>3.8864 * CHOOSE(CONTROL!$C$32, $C$9, 100%, $E$9)</f>
        <v>3.8864000000000001</v>
      </c>
      <c r="F45" s="11">
        <f>3.5836 * CHOOSE(CONTROL!$C$32, $C$9, 100%, $E$9)</f>
        <v>3.5836000000000001</v>
      </c>
      <c r="G45" s="11">
        <f>3.5889 * CHOOSE(CONTROL!$C$32, $C$9, 100%, $E$9)</f>
        <v>3.5889000000000002</v>
      </c>
      <c r="H45" s="11">
        <f>5.9144 * CHOOSE(CONTROL!$C$32, $C$9, 100%, $E$9)</f>
        <v>5.9143999999999997</v>
      </c>
      <c r="I45" s="11">
        <f>5.9197 * CHOOSE(CONTROL!$C$32, $C$9, 100%, $E$9)</f>
        <v>5.9196999999999997</v>
      </c>
      <c r="J45" s="11">
        <f>5.9144 * CHOOSE(CONTROL!$C$32, $C$9, 100%, $E$9)</f>
        <v>5.9143999999999997</v>
      </c>
      <c r="K45" s="11">
        <f>5.9197 * CHOOSE(CONTROL!$C$32, $C$9, 100%, $E$9)</f>
        <v>5.9196999999999997</v>
      </c>
      <c r="L45" s="11">
        <f>3.8864 * CHOOSE(CONTROL!$C$32, $C$9, 100%, $E$9)</f>
        <v>3.8864000000000001</v>
      </c>
      <c r="M45" s="11">
        <f>3.8917 * CHOOSE(CONTROL!$C$32, $C$9, 100%, $E$9)</f>
        <v>3.8917000000000002</v>
      </c>
      <c r="N45" s="11">
        <f>3.8864 * CHOOSE(CONTROL!$C$32, $C$9, 100%, $E$9)</f>
        <v>3.8864000000000001</v>
      </c>
      <c r="O45" s="11">
        <f>3.8917 * CHOOSE(CONTROL!$C$32, $C$9, 100%, $E$9)</f>
        <v>3.8917000000000002</v>
      </c>
      <c r="P45" s="14"/>
      <c r="Q45" s="11"/>
      <c r="R45" s="11"/>
    </row>
    <row r="46" spans="1:18" ht="15" x14ac:dyDescent="0.2">
      <c r="A46" s="13">
        <v>42248</v>
      </c>
      <c r="B46" s="9">
        <f>2.5129 * CHOOSE(CONTROL!$C$32, $C$9, 100%, $E$9)</f>
        <v>2.5129000000000001</v>
      </c>
      <c r="C46" s="9">
        <f>2.5129 * CHOOSE(CONTROL!$C$32, $C$9, 100%, $E$9)</f>
        <v>2.5129000000000001</v>
      </c>
      <c r="D46" s="9">
        <f>2.5145 * CHOOSE(CONTROL!$C$32, $C$9, 100%, $E$9)</f>
        <v>2.5145</v>
      </c>
      <c r="E46" s="11">
        <f>3.7811 * CHOOSE(CONTROL!$C$32, $C$9, 100%, $E$9)</f>
        <v>3.7810999999999999</v>
      </c>
      <c r="F46" s="11">
        <f>3.5836 * CHOOSE(CONTROL!$C$32, $C$9, 100%, $E$9)</f>
        <v>3.5836000000000001</v>
      </c>
      <c r="G46" s="11">
        <f>3.5889 * CHOOSE(CONTROL!$C$32, $C$9, 100%, $E$9)</f>
        <v>3.5889000000000002</v>
      </c>
      <c r="H46" s="11">
        <f>5.9268 * CHOOSE(CONTROL!$C$32, $C$9, 100%, $E$9)</f>
        <v>5.9268000000000001</v>
      </c>
      <c r="I46" s="11">
        <f>5.9321 * CHOOSE(CONTROL!$C$32, $C$9, 100%, $E$9)</f>
        <v>5.9321000000000002</v>
      </c>
      <c r="J46" s="11">
        <f>5.9268 * CHOOSE(CONTROL!$C$32, $C$9, 100%, $E$9)</f>
        <v>5.9268000000000001</v>
      </c>
      <c r="K46" s="11">
        <f>5.9321 * CHOOSE(CONTROL!$C$32, $C$9, 100%, $E$9)</f>
        <v>5.9321000000000002</v>
      </c>
      <c r="L46" s="11">
        <f>3.7811 * CHOOSE(CONTROL!$C$32, $C$9, 100%, $E$9)</f>
        <v>3.7810999999999999</v>
      </c>
      <c r="M46" s="11">
        <f>3.7864 * CHOOSE(CONTROL!$C$32, $C$9, 100%, $E$9)</f>
        <v>3.7864</v>
      </c>
      <c r="N46" s="11">
        <f>3.7811 * CHOOSE(CONTROL!$C$32, $C$9, 100%, $E$9)</f>
        <v>3.7810999999999999</v>
      </c>
      <c r="O46" s="11">
        <f>3.7864 * CHOOSE(CONTROL!$C$32, $C$9, 100%, $E$9)</f>
        <v>3.7864</v>
      </c>
      <c r="P46" s="14"/>
      <c r="Q46" s="11"/>
      <c r="R46" s="11"/>
    </row>
    <row r="47" spans="1:18" ht="15" x14ac:dyDescent="0.2">
      <c r="A47" s="13">
        <v>42278</v>
      </c>
      <c r="B47" s="9">
        <f>2.5008 * CHOOSE(CONTROL!$C$32, $C$9, 100%, $E$9)</f>
        <v>2.5007999999999999</v>
      </c>
      <c r="C47" s="9">
        <f>2.5008 * CHOOSE(CONTROL!$C$32, $C$9, 100%, $E$9)</f>
        <v>2.5007999999999999</v>
      </c>
      <c r="D47" s="9">
        <f>2.5019 * CHOOSE(CONTROL!$C$32, $C$9, 100%, $E$9)</f>
        <v>2.5019</v>
      </c>
      <c r="E47" s="11">
        <f>3.865 * CHOOSE(CONTROL!$C$32, $C$9, 100%, $E$9)</f>
        <v>3.8650000000000002</v>
      </c>
      <c r="F47" s="11">
        <f>3.5836 * CHOOSE(CONTROL!$C$32, $C$9, 100%, $E$9)</f>
        <v>3.5836000000000001</v>
      </c>
      <c r="G47" s="11">
        <f>3.5872 * CHOOSE(CONTROL!$C$32, $C$9, 100%, $E$9)</f>
        <v>3.5872000000000002</v>
      </c>
      <c r="H47" s="11">
        <f>5.9391 * CHOOSE(CONTROL!$C$32, $C$9, 100%, $E$9)</f>
        <v>5.9390999999999998</v>
      </c>
      <c r="I47" s="11">
        <f>5.9427 * CHOOSE(CONTROL!$C$32, $C$9, 100%, $E$9)</f>
        <v>5.9427000000000003</v>
      </c>
      <c r="J47" s="11">
        <f>5.9391 * CHOOSE(CONTROL!$C$32, $C$9, 100%, $E$9)</f>
        <v>5.9390999999999998</v>
      </c>
      <c r="K47" s="11">
        <f>5.9427 * CHOOSE(CONTROL!$C$32, $C$9, 100%, $E$9)</f>
        <v>5.9427000000000003</v>
      </c>
      <c r="L47" s="11">
        <f>3.865 * CHOOSE(CONTROL!$C$32, $C$9, 100%, $E$9)</f>
        <v>3.8650000000000002</v>
      </c>
      <c r="M47" s="11">
        <f>3.8686 * CHOOSE(CONTROL!$C$32, $C$9, 100%, $E$9)</f>
        <v>3.8685999999999998</v>
      </c>
      <c r="N47" s="11">
        <f>3.865 * CHOOSE(CONTROL!$C$32, $C$9, 100%, $E$9)</f>
        <v>3.8650000000000002</v>
      </c>
      <c r="O47" s="11">
        <f>3.8686 * CHOOSE(CONTROL!$C$32, $C$9, 100%, $E$9)</f>
        <v>3.8685999999999998</v>
      </c>
      <c r="P47" s="14"/>
      <c r="Q47" s="11"/>
      <c r="R47" s="11"/>
    </row>
    <row r="48" spans="1:18" ht="15" x14ac:dyDescent="0.2">
      <c r="A48" s="13">
        <v>42309</v>
      </c>
      <c r="B48" s="9">
        <f>2.5055 * CHOOSE(CONTROL!$C$32, $C$9, 100%, $E$9)</f>
        <v>2.5055000000000001</v>
      </c>
      <c r="C48" s="9">
        <f>2.5055 * CHOOSE(CONTROL!$C$32, $C$9, 100%, $E$9)</f>
        <v>2.5055000000000001</v>
      </c>
      <c r="D48" s="9">
        <f>2.5065 * CHOOSE(CONTROL!$C$32, $C$9, 100%, $E$9)</f>
        <v>2.5065</v>
      </c>
      <c r="E48" s="11">
        <f>3.865 * CHOOSE(CONTROL!$C$32, $C$9, 100%, $E$9)</f>
        <v>3.8650000000000002</v>
      </c>
      <c r="F48" s="11">
        <f>3.5836 * CHOOSE(CONTROL!$C$32, $C$9, 100%, $E$9)</f>
        <v>3.5836000000000001</v>
      </c>
      <c r="G48" s="11">
        <f>3.5872 * CHOOSE(CONTROL!$C$32, $C$9, 100%, $E$9)</f>
        <v>3.5872000000000002</v>
      </c>
      <c r="H48" s="11">
        <f>5.9515 * CHOOSE(CONTROL!$C$32, $C$9, 100%, $E$9)</f>
        <v>5.9515000000000002</v>
      </c>
      <c r="I48" s="11">
        <f>5.9551 * CHOOSE(CONTROL!$C$32, $C$9, 100%, $E$9)</f>
        <v>5.9550999999999998</v>
      </c>
      <c r="J48" s="11">
        <f>5.9515 * CHOOSE(CONTROL!$C$32, $C$9, 100%, $E$9)</f>
        <v>5.9515000000000002</v>
      </c>
      <c r="K48" s="11">
        <f>5.9551 * CHOOSE(CONTROL!$C$32, $C$9, 100%, $E$9)</f>
        <v>5.9550999999999998</v>
      </c>
      <c r="L48" s="11">
        <f>3.865 * CHOOSE(CONTROL!$C$32, $C$9, 100%, $E$9)</f>
        <v>3.8650000000000002</v>
      </c>
      <c r="M48" s="11">
        <f>3.8686 * CHOOSE(CONTROL!$C$32, $C$9, 100%, $E$9)</f>
        <v>3.8685999999999998</v>
      </c>
      <c r="N48" s="11">
        <f>3.865 * CHOOSE(CONTROL!$C$32, $C$9, 100%, $E$9)</f>
        <v>3.8650000000000002</v>
      </c>
      <c r="O48" s="11">
        <f>3.8686 * CHOOSE(CONTROL!$C$32, $C$9, 100%, $E$9)</f>
        <v>3.8685999999999998</v>
      </c>
      <c r="P48" s="14"/>
      <c r="Q48" s="11"/>
      <c r="R48" s="11"/>
    </row>
    <row r="49" spans="1:18" ht="15" x14ac:dyDescent="0.2">
      <c r="A49" s="13">
        <v>42339</v>
      </c>
      <c r="B49" s="9">
        <f>2.5088 * CHOOSE(CONTROL!$C$32, $C$9, 100%, $E$9)</f>
        <v>2.5087999999999999</v>
      </c>
      <c r="C49" s="9">
        <f>2.5088 * CHOOSE(CONTROL!$C$32, $C$9, 100%, $E$9)</f>
        <v>2.5087999999999999</v>
      </c>
      <c r="D49" s="9">
        <f>2.5099 * CHOOSE(CONTROL!$C$32, $C$9, 100%, $E$9)</f>
        <v>2.5099</v>
      </c>
      <c r="E49" s="11">
        <f>3.8041 * CHOOSE(CONTROL!$C$32, $C$9, 100%, $E$9)</f>
        <v>3.8041</v>
      </c>
      <c r="F49" s="11">
        <f>3.5836 * CHOOSE(CONTROL!$C$32, $C$9, 100%, $E$9)</f>
        <v>3.5836000000000001</v>
      </c>
      <c r="G49" s="11">
        <f>3.5872 * CHOOSE(CONTROL!$C$32, $C$9, 100%, $E$9)</f>
        <v>3.5872000000000002</v>
      </c>
      <c r="H49" s="11">
        <f>5.9639 * CHOOSE(CONTROL!$C$32, $C$9, 100%, $E$9)</f>
        <v>5.9638999999999998</v>
      </c>
      <c r="I49" s="11">
        <f>5.9675 * CHOOSE(CONTROL!$C$32, $C$9, 100%, $E$9)</f>
        <v>5.9675000000000002</v>
      </c>
      <c r="J49" s="11">
        <f>5.9639 * CHOOSE(CONTROL!$C$32, $C$9, 100%, $E$9)</f>
        <v>5.9638999999999998</v>
      </c>
      <c r="K49" s="11">
        <f>5.9675 * CHOOSE(CONTROL!$C$32, $C$9, 100%, $E$9)</f>
        <v>5.9675000000000002</v>
      </c>
      <c r="L49" s="11">
        <f>3.8041 * CHOOSE(CONTROL!$C$32, $C$9, 100%, $E$9)</f>
        <v>3.8041</v>
      </c>
      <c r="M49" s="11">
        <f>3.8077 * CHOOSE(CONTROL!$C$32, $C$9, 100%, $E$9)</f>
        <v>3.8077000000000001</v>
      </c>
      <c r="N49" s="11">
        <f>3.8041 * CHOOSE(CONTROL!$C$32, $C$9, 100%, $E$9)</f>
        <v>3.8041</v>
      </c>
      <c r="O49" s="11">
        <f>3.8077 * CHOOSE(CONTROL!$C$32, $C$9, 100%, $E$9)</f>
        <v>3.8077000000000001</v>
      </c>
      <c r="P49" s="14"/>
      <c r="Q49" s="11"/>
      <c r="R49" s="11"/>
    </row>
    <row r="50" spans="1:18" ht="15" x14ac:dyDescent="0.2">
      <c r="A50" s="13">
        <v>42370</v>
      </c>
      <c r="B50" s="9">
        <f>3.2679 * CHOOSE(CONTROL!$C$32, $C$9, 100%, $E$9)</f>
        <v>3.2679</v>
      </c>
      <c r="C50" s="9">
        <f>3.2679 * CHOOSE(CONTROL!$C$32, $C$9, 100%, $E$9)</f>
        <v>3.2679</v>
      </c>
      <c r="D50" s="9">
        <f>3.269 * CHOOSE(CONTROL!$C$32, $C$9, 100%, $E$9)</f>
        <v>3.2690000000000001</v>
      </c>
      <c r="E50" s="11">
        <f>3.9546 * CHOOSE(CONTROL!$C$32, $C$9, 100%, $E$9)</f>
        <v>3.9546000000000001</v>
      </c>
      <c r="F50" s="11">
        <f>3.6856 * CHOOSE(CONTROL!$C$32, $C$9, 100%, $E$9)</f>
        <v>3.6856</v>
      </c>
      <c r="G50" s="11">
        <f>3.6892 * CHOOSE(CONTROL!$C$32, $C$9, 100%, $E$9)</f>
        <v>3.6892</v>
      </c>
      <c r="H50" s="11">
        <f>5.9763 * CHOOSE(CONTROL!$C$32, $C$9, 100%, $E$9)</f>
        <v>5.9763000000000002</v>
      </c>
      <c r="I50" s="11">
        <f>5.9799 * CHOOSE(CONTROL!$C$32, $C$9, 100%, $E$9)</f>
        <v>5.9798999999999998</v>
      </c>
      <c r="J50" s="11">
        <f>5.9763 * CHOOSE(CONTROL!$C$32, $C$9, 100%, $E$9)</f>
        <v>5.9763000000000002</v>
      </c>
      <c r="K50" s="11">
        <f>5.9799 * CHOOSE(CONTROL!$C$32, $C$9, 100%, $E$9)</f>
        <v>5.9798999999999998</v>
      </c>
      <c r="L50" s="11">
        <f>3.9546 * CHOOSE(CONTROL!$C$32, $C$9, 100%, $E$9)</f>
        <v>3.9546000000000001</v>
      </c>
      <c r="M50" s="11">
        <f>3.9582 * CHOOSE(CONTROL!$C$32, $C$9, 100%, $E$9)</f>
        <v>3.9582000000000002</v>
      </c>
      <c r="N50" s="11">
        <f>3.9546 * CHOOSE(CONTROL!$C$32, $C$9, 100%, $E$9)</f>
        <v>3.9546000000000001</v>
      </c>
      <c r="O50" s="11">
        <f>3.9582 * CHOOSE(CONTROL!$C$32, $C$9, 100%, $E$9)</f>
        <v>3.9582000000000002</v>
      </c>
      <c r="P50" s="14"/>
      <c r="Q50" s="11"/>
      <c r="R50" s="11"/>
    </row>
    <row r="51" spans="1:18" ht="15" x14ac:dyDescent="0.2">
      <c r="A51" s="13">
        <v>42401</v>
      </c>
      <c r="B51" s="9">
        <f>3.2731 * CHOOSE(CONTROL!$C$32, $C$9, 100%, $E$9)</f>
        <v>3.2730999999999999</v>
      </c>
      <c r="C51" s="9">
        <f>3.2731 * CHOOSE(CONTROL!$C$32, $C$9, 100%, $E$9)</f>
        <v>3.2730999999999999</v>
      </c>
      <c r="D51" s="9">
        <f>3.2741 * CHOOSE(CONTROL!$C$32, $C$9, 100%, $E$9)</f>
        <v>3.2740999999999998</v>
      </c>
      <c r="E51" s="11">
        <f>3.8942 * CHOOSE(CONTROL!$C$32, $C$9, 100%, $E$9)</f>
        <v>3.8942000000000001</v>
      </c>
      <c r="F51" s="11">
        <f>3.6856 * CHOOSE(CONTROL!$C$32, $C$9, 100%, $E$9)</f>
        <v>3.6856</v>
      </c>
      <c r="G51" s="11">
        <f>3.6892 * CHOOSE(CONTROL!$C$32, $C$9, 100%, $E$9)</f>
        <v>3.6892</v>
      </c>
      <c r="H51" s="11">
        <f>5.9888 * CHOOSE(CONTROL!$C$32, $C$9, 100%, $E$9)</f>
        <v>5.9888000000000003</v>
      </c>
      <c r="I51" s="11">
        <f>5.9924 * CHOOSE(CONTROL!$C$32, $C$9, 100%, $E$9)</f>
        <v>5.9923999999999999</v>
      </c>
      <c r="J51" s="11">
        <f>5.9888 * CHOOSE(CONTROL!$C$32, $C$9, 100%, $E$9)</f>
        <v>5.9888000000000003</v>
      </c>
      <c r="K51" s="11">
        <f>5.9924 * CHOOSE(CONTROL!$C$32, $C$9, 100%, $E$9)</f>
        <v>5.9923999999999999</v>
      </c>
      <c r="L51" s="11">
        <f>3.8942 * CHOOSE(CONTROL!$C$32, $C$9, 100%, $E$9)</f>
        <v>3.8942000000000001</v>
      </c>
      <c r="M51" s="11">
        <f>3.8978 * CHOOSE(CONTROL!$C$32, $C$9, 100%, $E$9)</f>
        <v>3.8978000000000002</v>
      </c>
      <c r="N51" s="11">
        <f>3.8942 * CHOOSE(CONTROL!$C$32, $C$9, 100%, $E$9)</f>
        <v>3.8942000000000001</v>
      </c>
      <c r="O51" s="11">
        <f>3.8978 * CHOOSE(CONTROL!$C$32, $C$9, 100%, $E$9)</f>
        <v>3.8978000000000002</v>
      </c>
      <c r="P51" s="14"/>
      <c r="Q51" s="11"/>
      <c r="R51" s="11"/>
    </row>
    <row r="52" spans="1:18" ht="15" x14ac:dyDescent="0.2">
      <c r="A52" s="13">
        <v>42430</v>
      </c>
      <c r="B52" s="9">
        <f>3.2698 * CHOOSE(CONTROL!$C$32, $C$9, 100%, $E$9)</f>
        <v>3.2698</v>
      </c>
      <c r="C52" s="9">
        <f>3.2698 * CHOOSE(CONTROL!$C$32, $C$9, 100%, $E$9)</f>
        <v>3.2698</v>
      </c>
      <c r="D52" s="9">
        <f>3.2709 * CHOOSE(CONTROL!$C$32, $C$9, 100%, $E$9)</f>
        <v>3.2709000000000001</v>
      </c>
      <c r="E52" s="11">
        <f>3.8028 * CHOOSE(CONTROL!$C$32, $C$9, 100%, $E$9)</f>
        <v>3.8028</v>
      </c>
      <c r="F52" s="11">
        <f>3.6856 * CHOOSE(CONTROL!$C$32, $C$9, 100%, $E$9)</f>
        <v>3.6856</v>
      </c>
      <c r="G52" s="11">
        <f>3.6892 * CHOOSE(CONTROL!$C$32, $C$9, 100%, $E$9)</f>
        <v>3.6892</v>
      </c>
      <c r="H52" s="11">
        <f>6.0012 * CHOOSE(CONTROL!$C$32, $C$9, 100%, $E$9)</f>
        <v>6.0011999999999999</v>
      </c>
      <c r="I52" s="11">
        <f>6.0048 * CHOOSE(CONTROL!$C$32, $C$9, 100%, $E$9)</f>
        <v>6.0048000000000004</v>
      </c>
      <c r="J52" s="11">
        <f>6.0012 * CHOOSE(CONTROL!$C$32, $C$9, 100%, $E$9)</f>
        <v>6.0011999999999999</v>
      </c>
      <c r="K52" s="11">
        <f>6.0048 * CHOOSE(CONTROL!$C$32, $C$9, 100%, $E$9)</f>
        <v>6.0048000000000004</v>
      </c>
      <c r="L52" s="11">
        <f>3.8028 * CHOOSE(CONTROL!$C$32, $C$9, 100%, $E$9)</f>
        <v>3.8028</v>
      </c>
      <c r="M52" s="11">
        <f>3.8064 * CHOOSE(CONTROL!$C$32, $C$9, 100%, $E$9)</f>
        <v>3.8064</v>
      </c>
      <c r="N52" s="11">
        <f>3.8028 * CHOOSE(CONTROL!$C$32, $C$9, 100%, $E$9)</f>
        <v>3.8028</v>
      </c>
      <c r="O52" s="11">
        <f>3.8064 * CHOOSE(CONTROL!$C$32, $C$9, 100%, $E$9)</f>
        <v>3.8064</v>
      </c>
      <c r="P52" s="14"/>
      <c r="Q52" s="11"/>
      <c r="R52" s="11"/>
    </row>
    <row r="53" spans="1:18" ht="15" x14ac:dyDescent="0.2">
      <c r="A53" s="13">
        <v>42461</v>
      </c>
      <c r="B53" s="9">
        <f>3.2637 * CHOOSE(CONTROL!$C$32, $C$9, 100%, $E$9)</f>
        <v>3.2637</v>
      </c>
      <c r="C53" s="9">
        <f>3.2637 * CHOOSE(CONTROL!$C$32, $C$9, 100%, $E$9)</f>
        <v>3.2637</v>
      </c>
      <c r="D53" s="9">
        <f>3.2648 * CHOOSE(CONTROL!$C$32, $C$9, 100%, $E$9)</f>
        <v>3.2648000000000001</v>
      </c>
      <c r="E53" s="11">
        <f>3.8942 * CHOOSE(CONTROL!$C$32, $C$9, 100%, $E$9)</f>
        <v>3.8942000000000001</v>
      </c>
      <c r="F53" s="11">
        <f>3.6856 * CHOOSE(CONTROL!$C$32, $C$9, 100%, $E$9)</f>
        <v>3.6856</v>
      </c>
      <c r="G53" s="11">
        <f>3.6892 * CHOOSE(CONTROL!$C$32, $C$9, 100%, $E$9)</f>
        <v>3.6892</v>
      </c>
      <c r="H53" s="11">
        <f>6.0137 * CHOOSE(CONTROL!$C$32, $C$9, 100%, $E$9)</f>
        <v>6.0137</v>
      </c>
      <c r="I53" s="11">
        <f>6.0173 * CHOOSE(CONTROL!$C$32, $C$9, 100%, $E$9)</f>
        <v>6.0172999999999996</v>
      </c>
      <c r="J53" s="11">
        <f>6.0137 * CHOOSE(CONTROL!$C$32, $C$9, 100%, $E$9)</f>
        <v>6.0137</v>
      </c>
      <c r="K53" s="11">
        <f>6.0173 * CHOOSE(CONTROL!$C$32, $C$9, 100%, $E$9)</f>
        <v>6.0172999999999996</v>
      </c>
      <c r="L53" s="11">
        <f>3.8942 * CHOOSE(CONTROL!$C$32, $C$9, 100%, $E$9)</f>
        <v>3.8942000000000001</v>
      </c>
      <c r="M53" s="11">
        <f>3.8978 * CHOOSE(CONTROL!$C$32, $C$9, 100%, $E$9)</f>
        <v>3.8978000000000002</v>
      </c>
      <c r="N53" s="11">
        <f>3.8942 * CHOOSE(CONTROL!$C$32, $C$9, 100%, $E$9)</f>
        <v>3.8942000000000001</v>
      </c>
      <c r="O53" s="11">
        <f>3.8978 * CHOOSE(CONTROL!$C$32, $C$9, 100%, $E$9)</f>
        <v>3.8978000000000002</v>
      </c>
      <c r="P53" s="14"/>
      <c r="Q53" s="11"/>
      <c r="R53" s="11"/>
    </row>
    <row r="54" spans="1:18" ht="15" x14ac:dyDescent="0.2">
      <c r="A54" s="13">
        <v>42491</v>
      </c>
      <c r="B54" s="9">
        <f>3.2722 * CHOOSE(CONTROL!$C$32, $C$9, 100%, $E$9)</f>
        <v>3.2722000000000002</v>
      </c>
      <c r="C54" s="9">
        <f>3.2722 * CHOOSE(CONTROL!$C$32, $C$9, 100%, $E$9)</f>
        <v>3.2722000000000002</v>
      </c>
      <c r="D54" s="9">
        <f>3.2738 * CHOOSE(CONTROL!$C$32, $C$9, 100%, $E$9)</f>
        <v>3.2738</v>
      </c>
      <c r="E54" s="11">
        <f>3.9546 * CHOOSE(CONTROL!$C$32, $C$9, 100%, $E$9)</f>
        <v>3.9546000000000001</v>
      </c>
      <c r="F54" s="11">
        <f>3.6856 * CHOOSE(CONTROL!$C$32, $C$9, 100%, $E$9)</f>
        <v>3.6856</v>
      </c>
      <c r="G54" s="11">
        <f>3.6909 * CHOOSE(CONTROL!$C$32, $C$9, 100%, $E$9)</f>
        <v>3.6909000000000001</v>
      </c>
      <c r="H54" s="11">
        <f>6.0263 * CHOOSE(CONTROL!$C$32, $C$9, 100%, $E$9)</f>
        <v>6.0263</v>
      </c>
      <c r="I54" s="11">
        <f>6.0316 * CHOOSE(CONTROL!$C$32, $C$9, 100%, $E$9)</f>
        <v>6.0316000000000001</v>
      </c>
      <c r="J54" s="11">
        <f>6.0263 * CHOOSE(CONTROL!$C$32, $C$9, 100%, $E$9)</f>
        <v>6.0263</v>
      </c>
      <c r="K54" s="11">
        <f>6.0316 * CHOOSE(CONTROL!$C$32, $C$9, 100%, $E$9)</f>
        <v>6.0316000000000001</v>
      </c>
      <c r="L54" s="11">
        <f>3.9546 * CHOOSE(CONTROL!$C$32, $C$9, 100%, $E$9)</f>
        <v>3.9546000000000001</v>
      </c>
      <c r="M54" s="11">
        <f>3.9599 * CHOOSE(CONTROL!$C$32, $C$9, 100%, $E$9)</f>
        <v>3.9599000000000002</v>
      </c>
      <c r="N54" s="11">
        <f>3.9546 * CHOOSE(CONTROL!$C$32, $C$9, 100%, $E$9)</f>
        <v>3.9546000000000001</v>
      </c>
      <c r="O54" s="11">
        <f>3.9599 * CHOOSE(CONTROL!$C$32, $C$9, 100%, $E$9)</f>
        <v>3.9599000000000002</v>
      </c>
      <c r="P54" s="14"/>
      <c r="Q54" s="11"/>
      <c r="R54" s="11"/>
    </row>
    <row r="55" spans="1:18" ht="15" x14ac:dyDescent="0.2">
      <c r="A55" s="13">
        <v>42522</v>
      </c>
      <c r="B55" s="9">
        <f>3.2786 * CHOOSE(CONTROL!$C$32, $C$9, 100%, $E$9)</f>
        <v>3.2786</v>
      </c>
      <c r="C55" s="9">
        <f>3.2786 * CHOOSE(CONTROL!$C$32, $C$9, 100%, $E$9)</f>
        <v>3.2786</v>
      </c>
      <c r="D55" s="9">
        <f>3.2801 * CHOOSE(CONTROL!$C$32, $C$9, 100%, $E$9)</f>
        <v>3.2801</v>
      </c>
      <c r="E55" s="11">
        <f>3.9458 * CHOOSE(CONTROL!$C$32, $C$9, 100%, $E$9)</f>
        <v>3.9458000000000002</v>
      </c>
      <c r="F55" s="11">
        <f>3.6856 * CHOOSE(CONTROL!$C$32, $C$9, 100%, $E$9)</f>
        <v>3.6856</v>
      </c>
      <c r="G55" s="11">
        <f>3.6909 * CHOOSE(CONTROL!$C$32, $C$9, 100%, $E$9)</f>
        <v>3.6909000000000001</v>
      </c>
      <c r="H55" s="11">
        <f>6.0388 * CHOOSE(CONTROL!$C$32, $C$9, 100%, $E$9)</f>
        <v>6.0388000000000002</v>
      </c>
      <c r="I55" s="11">
        <f>6.0441 * CHOOSE(CONTROL!$C$32, $C$9, 100%, $E$9)</f>
        <v>6.0441000000000003</v>
      </c>
      <c r="J55" s="11">
        <f>6.0388 * CHOOSE(CONTROL!$C$32, $C$9, 100%, $E$9)</f>
        <v>6.0388000000000002</v>
      </c>
      <c r="K55" s="11">
        <f>6.0441 * CHOOSE(CONTROL!$C$32, $C$9, 100%, $E$9)</f>
        <v>6.0441000000000003</v>
      </c>
      <c r="L55" s="11">
        <f>3.9458 * CHOOSE(CONTROL!$C$32, $C$9, 100%, $E$9)</f>
        <v>3.9458000000000002</v>
      </c>
      <c r="M55" s="11">
        <f>3.9511 * CHOOSE(CONTROL!$C$32, $C$9, 100%, $E$9)</f>
        <v>3.9510999999999998</v>
      </c>
      <c r="N55" s="11">
        <f>3.9458 * CHOOSE(CONTROL!$C$32, $C$9, 100%, $E$9)</f>
        <v>3.9458000000000002</v>
      </c>
      <c r="O55" s="11">
        <f>3.9511 * CHOOSE(CONTROL!$C$32, $C$9, 100%, $E$9)</f>
        <v>3.9510999999999998</v>
      </c>
      <c r="P55" s="14"/>
      <c r="Q55" s="11"/>
      <c r="R55" s="11"/>
    </row>
    <row r="56" spans="1:18" ht="15" x14ac:dyDescent="0.2">
      <c r="A56" s="13">
        <v>42552</v>
      </c>
      <c r="B56" s="9">
        <f>3.2759 * CHOOSE(CONTROL!$C$32, $C$9, 100%, $E$9)</f>
        <v>3.2759</v>
      </c>
      <c r="C56" s="9">
        <f>3.2759 * CHOOSE(CONTROL!$C$32, $C$9, 100%, $E$9)</f>
        <v>3.2759</v>
      </c>
      <c r="D56" s="9">
        <f>3.2774 * CHOOSE(CONTROL!$C$32, $C$9, 100%, $E$9)</f>
        <v>3.2774000000000001</v>
      </c>
      <c r="E56" s="11">
        <f>3.9546 * CHOOSE(CONTROL!$C$32, $C$9, 100%, $E$9)</f>
        <v>3.9546000000000001</v>
      </c>
      <c r="F56" s="11">
        <f>3.6856 * CHOOSE(CONTROL!$C$32, $C$9, 100%, $E$9)</f>
        <v>3.6856</v>
      </c>
      <c r="G56" s="11">
        <f>3.6909 * CHOOSE(CONTROL!$C$32, $C$9, 100%, $E$9)</f>
        <v>3.6909000000000001</v>
      </c>
      <c r="H56" s="11">
        <f>6.0514 * CHOOSE(CONTROL!$C$32, $C$9, 100%, $E$9)</f>
        <v>6.0514000000000001</v>
      </c>
      <c r="I56" s="11">
        <f>6.0567 * CHOOSE(CONTROL!$C$32, $C$9, 100%, $E$9)</f>
        <v>6.0567000000000002</v>
      </c>
      <c r="J56" s="11">
        <f>6.0514 * CHOOSE(CONTROL!$C$32, $C$9, 100%, $E$9)</f>
        <v>6.0514000000000001</v>
      </c>
      <c r="K56" s="11">
        <f>6.0567 * CHOOSE(CONTROL!$C$32, $C$9, 100%, $E$9)</f>
        <v>6.0567000000000002</v>
      </c>
      <c r="L56" s="11">
        <f>3.9546 * CHOOSE(CONTROL!$C$32, $C$9, 100%, $E$9)</f>
        <v>3.9546000000000001</v>
      </c>
      <c r="M56" s="11">
        <f>3.9599 * CHOOSE(CONTROL!$C$32, $C$9, 100%, $E$9)</f>
        <v>3.9599000000000002</v>
      </c>
      <c r="N56" s="11">
        <f>3.9546 * CHOOSE(CONTROL!$C$32, $C$9, 100%, $E$9)</f>
        <v>3.9546000000000001</v>
      </c>
      <c r="O56" s="11">
        <f>3.9599 * CHOOSE(CONTROL!$C$32, $C$9, 100%, $E$9)</f>
        <v>3.9599000000000002</v>
      </c>
      <c r="P56" s="14"/>
      <c r="Q56" s="14"/>
      <c r="R56" s="14"/>
    </row>
    <row r="57" spans="1:18" ht="15" x14ac:dyDescent="0.2">
      <c r="A57" s="13">
        <v>42583</v>
      </c>
      <c r="B57" s="9">
        <f>3.2911 * CHOOSE(CONTROL!$C$32, $C$9, 100%, $E$9)</f>
        <v>3.2911000000000001</v>
      </c>
      <c r="C57" s="9">
        <f>3.2911 * CHOOSE(CONTROL!$C$32, $C$9, 100%, $E$9)</f>
        <v>3.2911000000000001</v>
      </c>
      <c r="D57" s="9">
        <f>3.2926 * CHOOSE(CONTROL!$C$32, $C$9, 100%, $E$9)</f>
        <v>3.2926000000000002</v>
      </c>
      <c r="E57" s="11">
        <f>3.9996 * CHOOSE(CONTROL!$C$32, $C$9, 100%, $E$9)</f>
        <v>3.9996</v>
      </c>
      <c r="F57" s="11">
        <f>3.6856 * CHOOSE(CONTROL!$C$32, $C$9, 100%, $E$9)</f>
        <v>3.6856</v>
      </c>
      <c r="G57" s="11">
        <f>3.6909 * CHOOSE(CONTROL!$C$32, $C$9, 100%, $E$9)</f>
        <v>3.6909000000000001</v>
      </c>
      <c r="H57" s="11">
        <f>6.064 * CHOOSE(CONTROL!$C$32, $C$9, 100%, $E$9)</f>
        <v>6.0640000000000001</v>
      </c>
      <c r="I57" s="11">
        <f>6.0693 * CHOOSE(CONTROL!$C$32, $C$9, 100%, $E$9)</f>
        <v>6.0693000000000001</v>
      </c>
      <c r="J57" s="11">
        <f>6.064 * CHOOSE(CONTROL!$C$32, $C$9, 100%, $E$9)</f>
        <v>6.0640000000000001</v>
      </c>
      <c r="K57" s="11">
        <f>6.0693 * CHOOSE(CONTROL!$C$32, $C$9, 100%, $E$9)</f>
        <v>6.0693000000000001</v>
      </c>
      <c r="L57" s="11">
        <f>3.9996 * CHOOSE(CONTROL!$C$32, $C$9, 100%, $E$9)</f>
        <v>3.9996</v>
      </c>
      <c r="M57" s="11">
        <f>4.0049 * CHOOSE(CONTROL!$C$32, $C$9, 100%, $E$9)</f>
        <v>4.0049000000000001</v>
      </c>
      <c r="N57" s="11">
        <f>3.9996 * CHOOSE(CONTROL!$C$32, $C$9, 100%, $E$9)</f>
        <v>3.9996</v>
      </c>
      <c r="O57" s="11">
        <f>4.0049 * CHOOSE(CONTROL!$C$32, $C$9, 100%, $E$9)</f>
        <v>4.0049000000000001</v>
      </c>
      <c r="P57" s="14"/>
      <c r="Q57" s="14"/>
      <c r="R57" s="14"/>
    </row>
    <row r="58" spans="1:18" ht="15" x14ac:dyDescent="0.2">
      <c r="A58" s="13">
        <v>42614</v>
      </c>
      <c r="B58" s="9">
        <f>3.2883 * CHOOSE(CONTROL!$C$32, $C$9, 100%, $E$9)</f>
        <v>3.2883</v>
      </c>
      <c r="C58" s="9">
        <f>3.2883 * CHOOSE(CONTROL!$C$32, $C$9, 100%, $E$9)</f>
        <v>3.2883</v>
      </c>
      <c r="D58" s="9">
        <f>3.2898 * CHOOSE(CONTROL!$C$32, $C$9, 100%, $E$9)</f>
        <v>3.2898000000000001</v>
      </c>
      <c r="E58" s="11">
        <f>3.9458 * CHOOSE(CONTROL!$C$32, $C$9, 100%, $E$9)</f>
        <v>3.9458000000000002</v>
      </c>
      <c r="F58" s="11">
        <f>3.6856 * CHOOSE(CONTROL!$C$32, $C$9, 100%, $E$9)</f>
        <v>3.6856</v>
      </c>
      <c r="G58" s="11">
        <f>3.6909 * CHOOSE(CONTROL!$C$32, $C$9, 100%, $E$9)</f>
        <v>3.6909000000000001</v>
      </c>
      <c r="H58" s="11">
        <f>6.0766 * CHOOSE(CONTROL!$C$32, $C$9, 100%, $E$9)</f>
        <v>6.0766</v>
      </c>
      <c r="I58" s="11">
        <f>6.0819 * CHOOSE(CONTROL!$C$32, $C$9, 100%, $E$9)</f>
        <v>6.0819000000000001</v>
      </c>
      <c r="J58" s="11">
        <f>6.0766 * CHOOSE(CONTROL!$C$32, $C$9, 100%, $E$9)</f>
        <v>6.0766</v>
      </c>
      <c r="K58" s="11">
        <f>6.0819 * CHOOSE(CONTROL!$C$32, $C$9, 100%, $E$9)</f>
        <v>6.0819000000000001</v>
      </c>
      <c r="L58" s="11">
        <f>3.9458 * CHOOSE(CONTROL!$C$32, $C$9, 100%, $E$9)</f>
        <v>3.9458000000000002</v>
      </c>
      <c r="M58" s="11">
        <f>3.9511 * CHOOSE(CONTROL!$C$32, $C$9, 100%, $E$9)</f>
        <v>3.9510999999999998</v>
      </c>
      <c r="N58" s="11">
        <f>3.9458 * CHOOSE(CONTROL!$C$32, $C$9, 100%, $E$9)</f>
        <v>3.9458000000000002</v>
      </c>
      <c r="O58" s="11">
        <f>3.9511 * CHOOSE(CONTROL!$C$32, $C$9, 100%, $E$9)</f>
        <v>3.9510999999999998</v>
      </c>
      <c r="P58" s="14"/>
      <c r="Q58" s="14"/>
      <c r="R58" s="14"/>
    </row>
    <row r="59" spans="1:18" ht="15" x14ac:dyDescent="0.2">
      <c r="A59" s="13">
        <v>42644</v>
      </c>
      <c r="B59" s="9">
        <f>3.269 * CHOOSE(CONTROL!$C$32, $C$9, 100%, $E$9)</f>
        <v>3.2690000000000001</v>
      </c>
      <c r="C59" s="9">
        <f>3.269 * CHOOSE(CONTROL!$C$32, $C$9, 100%, $E$9)</f>
        <v>3.2690000000000001</v>
      </c>
      <c r="D59" s="9">
        <f>3.2701 * CHOOSE(CONTROL!$C$32, $C$9, 100%, $E$9)</f>
        <v>3.2700999999999998</v>
      </c>
      <c r="E59" s="11">
        <f>4.0035 * CHOOSE(CONTROL!$C$32, $C$9, 100%, $E$9)</f>
        <v>4.0034999999999998</v>
      </c>
      <c r="F59" s="11">
        <f>3.6856 * CHOOSE(CONTROL!$C$32, $C$9, 100%, $E$9)</f>
        <v>3.6856</v>
      </c>
      <c r="G59" s="11">
        <f>3.6892 * CHOOSE(CONTROL!$C$32, $C$9, 100%, $E$9)</f>
        <v>3.6892</v>
      </c>
      <c r="H59" s="11">
        <f>6.0893 * CHOOSE(CONTROL!$C$32, $C$9, 100%, $E$9)</f>
        <v>6.0892999999999997</v>
      </c>
      <c r="I59" s="11">
        <f>6.0929 * CHOOSE(CONTROL!$C$32, $C$9, 100%, $E$9)</f>
        <v>6.0929000000000002</v>
      </c>
      <c r="J59" s="11">
        <f>6.0893 * CHOOSE(CONTROL!$C$32, $C$9, 100%, $E$9)</f>
        <v>6.0892999999999997</v>
      </c>
      <c r="K59" s="11">
        <f>6.0929 * CHOOSE(CONTROL!$C$32, $C$9, 100%, $E$9)</f>
        <v>6.0929000000000002</v>
      </c>
      <c r="L59" s="11">
        <f>4.0035 * CHOOSE(CONTROL!$C$32, $C$9, 100%, $E$9)</f>
        <v>4.0034999999999998</v>
      </c>
      <c r="M59" s="11">
        <f>4.0071 * CHOOSE(CONTROL!$C$32, $C$9, 100%, $E$9)</f>
        <v>4.0071000000000003</v>
      </c>
      <c r="N59" s="11">
        <f>4.0035 * CHOOSE(CONTROL!$C$32, $C$9, 100%, $E$9)</f>
        <v>4.0034999999999998</v>
      </c>
      <c r="O59" s="11">
        <f>4.0071 * CHOOSE(CONTROL!$C$32, $C$9, 100%, $E$9)</f>
        <v>4.0071000000000003</v>
      </c>
      <c r="P59" s="14"/>
      <c r="Q59" s="14"/>
      <c r="R59" s="14"/>
    </row>
    <row r="60" spans="1:18" ht="15" x14ac:dyDescent="0.2">
      <c r="A60" s="13">
        <v>42675</v>
      </c>
      <c r="B60" s="9">
        <f>3.2806 * CHOOSE(CONTROL!$C$32, $C$9, 100%, $E$9)</f>
        <v>3.2806000000000002</v>
      </c>
      <c r="C60" s="9">
        <f>3.2806 * CHOOSE(CONTROL!$C$32, $C$9, 100%, $E$9)</f>
        <v>3.2806000000000002</v>
      </c>
      <c r="D60" s="9">
        <f>3.2817 * CHOOSE(CONTROL!$C$32, $C$9, 100%, $E$9)</f>
        <v>3.2816999999999998</v>
      </c>
      <c r="E60" s="11">
        <f>3.9579 * CHOOSE(CONTROL!$C$32, $C$9, 100%, $E$9)</f>
        <v>3.9579</v>
      </c>
      <c r="F60" s="11">
        <f>3.6856 * CHOOSE(CONTROL!$C$32, $C$9, 100%, $E$9)</f>
        <v>3.6856</v>
      </c>
      <c r="G60" s="11">
        <f>3.6892 * CHOOSE(CONTROL!$C$32, $C$9, 100%, $E$9)</f>
        <v>3.6892</v>
      </c>
      <c r="H60" s="11">
        <f>6.102 * CHOOSE(CONTROL!$C$32, $C$9, 100%, $E$9)</f>
        <v>6.1020000000000003</v>
      </c>
      <c r="I60" s="11">
        <f>6.1056 * CHOOSE(CONTROL!$C$32, $C$9, 100%, $E$9)</f>
        <v>6.1055999999999999</v>
      </c>
      <c r="J60" s="11">
        <f>6.102 * CHOOSE(CONTROL!$C$32, $C$9, 100%, $E$9)</f>
        <v>6.1020000000000003</v>
      </c>
      <c r="K60" s="11">
        <f>6.1056 * CHOOSE(CONTROL!$C$32, $C$9, 100%, $E$9)</f>
        <v>6.1055999999999999</v>
      </c>
      <c r="L60" s="11">
        <f>3.9579 * CHOOSE(CONTROL!$C$32, $C$9, 100%, $E$9)</f>
        <v>3.9579</v>
      </c>
      <c r="M60" s="11">
        <f>3.9615 * CHOOSE(CONTROL!$C$32, $C$9, 100%, $E$9)</f>
        <v>3.9615</v>
      </c>
      <c r="N60" s="11">
        <f>3.9579 * CHOOSE(CONTROL!$C$32, $C$9, 100%, $E$9)</f>
        <v>3.9579</v>
      </c>
      <c r="O60" s="11">
        <f>3.9615 * CHOOSE(CONTROL!$C$32, $C$9, 100%, $E$9)</f>
        <v>3.9615</v>
      </c>
      <c r="P60" s="14"/>
      <c r="Q60" s="14"/>
      <c r="R60" s="14"/>
    </row>
    <row r="61" spans="1:18" ht="15" x14ac:dyDescent="0.2">
      <c r="A61" s="13">
        <v>42705</v>
      </c>
      <c r="B61" s="9">
        <f>3.2808 * CHOOSE(CONTROL!$C$32, $C$9, 100%, $E$9)</f>
        <v>3.2808000000000002</v>
      </c>
      <c r="C61" s="9">
        <f>3.2808 * CHOOSE(CONTROL!$C$32, $C$9, 100%, $E$9)</f>
        <v>3.2808000000000002</v>
      </c>
      <c r="D61" s="9">
        <f>3.2819 * CHOOSE(CONTROL!$C$32, $C$9, 100%, $E$9)</f>
        <v>3.2818999999999998</v>
      </c>
      <c r="E61" s="11">
        <f>3.8968 * CHOOSE(CONTROL!$C$32, $C$9, 100%, $E$9)</f>
        <v>3.8967999999999998</v>
      </c>
      <c r="F61" s="11">
        <f>3.6856 * CHOOSE(CONTROL!$C$32, $C$9, 100%, $E$9)</f>
        <v>3.6856</v>
      </c>
      <c r="G61" s="11">
        <f>3.6892 * CHOOSE(CONTROL!$C$32, $C$9, 100%, $E$9)</f>
        <v>3.6892</v>
      </c>
      <c r="H61" s="11">
        <f>6.1147 * CHOOSE(CONTROL!$C$32, $C$9, 100%, $E$9)</f>
        <v>6.1147</v>
      </c>
      <c r="I61" s="11">
        <f>6.1183 * CHOOSE(CONTROL!$C$32, $C$9, 100%, $E$9)</f>
        <v>6.1182999999999996</v>
      </c>
      <c r="J61" s="11">
        <f>6.1147 * CHOOSE(CONTROL!$C$32, $C$9, 100%, $E$9)</f>
        <v>6.1147</v>
      </c>
      <c r="K61" s="11">
        <f>6.1183 * CHOOSE(CONTROL!$C$32, $C$9, 100%, $E$9)</f>
        <v>6.1182999999999996</v>
      </c>
      <c r="L61" s="11">
        <f>3.8968 * CHOOSE(CONTROL!$C$32, $C$9, 100%, $E$9)</f>
        <v>3.8967999999999998</v>
      </c>
      <c r="M61" s="11">
        <f>3.9004 * CHOOSE(CONTROL!$C$32, $C$9, 100%, $E$9)</f>
        <v>3.9003999999999999</v>
      </c>
      <c r="N61" s="11">
        <f>3.8968 * CHOOSE(CONTROL!$C$32, $C$9, 100%, $E$9)</f>
        <v>3.8967999999999998</v>
      </c>
      <c r="O61" s="11">
        <f>3.9004 * CHOOSE(CONTROL!$C$32, $C$9, 100%, $E$9)</f>
        <v>3.9003999999999999</v>
      </c>
      <c r="P61" s="14"/>
      <c r="Q61" s="14"/>
      <c r="R61" s="14"/>
    </row>
    <row r="62" spans="1:18" ht="15" x14ac:dyDescent="0.2">
      <c r="A62" s="13">
        <v>42736</v>
      </c>
      <c r="B62" s="9">
        <f>3.2762 * CHOOSE(CONTROL!$C$32, $C$9, 100%, $E$9)</f>
        <v>3.2761999999999998</v>
      </c>
      <c r="C62" s="9">
        <f>3.2762 * CHOOSE(CONTROL!$C$32, $C$9, 100%, $E$9)</f>
        <v>3.2761999999999998</v>
      </c>
      <c r="D62" s="9">
        <f>3.2773 * CHOOSE(CONTROL!$C$32, $C$9, 100%, $E$9)</f>
        <v>3.2772999999999999</v>
      </c>
      <c r="E62" s="11">
        <f>3.8371 * CHOOSE(CONTROL!$C$32, $C$9, 100%, $E$9)</f>
        <v>3.8371</v>
      </c>
      <c r="F62" s="11">
        <f>3.8371 * CHOOSE(CONTROL!$C$32, $C$9, 100%, $E$9)</f>
        <v>3.8371</v>
      </c>
      <c r="G62" s="11">
        <f>3.8407 * CHOOSE(CONTROL!$C$32, $C$9, 100%, $E$9)</f>
        <v>3.8407</v>
      </c>
      <c r="H62" s="11">
        <f>6.1274 * CHOOSE(CONTROL!$C$32, $C$9, 100%, $E$9)</f>
        <v>6.1273999999999997</v>
      </c>
      <c r="I62" s="11">
        <f>6.1311 * CHOOSE(CONTROL!$C$32, $C$9, 100%, $E$9)</f>
        <v>6.1311</v>
      </c>
      <c r="J62" s="11">
        <f>6.1274 * CHOOSE(CONTROL!$C$32, $C$9, 100%, $E$9)</f>
        <v>6.1273999999999997</v>
      </c>
      <c r="K62" s="11">
        <f>6.1311 * CHOOSE(CONTROL!$C$32, $C$9, 100%, $E$9)</f>
        <v>6.1311</v>
      </c>
      <c r="L62" s="11">
        <f>3.8371 * CHOOSE(CONTROL!$C$32, $C$9, 100%, $E$9)</f>
        <v>3.8371</v>
      </c>
      <c r="M62" s="11">
        <f>3.8407 * CHOOSE(CONTROL!$C$32, $C$9, 100%, $E$9)</f>
        <v>3.8407</v>
      </c>
      <c r="N62" s="11">
        <f>3.8371 * CHOOSE(CONTROL!$C$32, $C$9, 100%, $E$9)</f>
        <v>3.8371</v>
      </c>
      <c r="O62" s="11">
        <f>3.8407 * CHOOSE(CONTROL!$C$32, $C$9, 100%, $E$9)</f>
        <v>3.8407</v>
      </c>
      <c r="P62" s="14"/>
      <c r="Q62" s="14"/>
      <c r="R62" s="14"/>
    </row>
    <row r="63" spans="1:18" ht="15" x14ac:dyDescent="0.2">
      <c r="A63" s="13">
        <v>42767</v>
      </c>
      <c r="B63" s="9">
        <f>3.2814 * CHOOSE(CONTROL!$C$32, $C$9, 100%, $E$9)</f>
        <v>3.2814000000000001</v>
      </c>
      <c r="C63" s="9">
        <f>3.2814 * CHOOSE(CONTROL!$C$32, $C$9, 100%, $E$9)</f>
        <v>3.2814000000000001</v>
      </c>
      <c r="D63" s="9">
        <f>3.2825 * CHOOSE(CONTROL!$C$32, $C$9, 100%, $E$9)</f>
        <v>3.2825000000000002</v>
      </c>
      <c r="E63" s="11">
        <f>3.8351 * CHOOSE(CONTROL!$C$32, $C$9, 100%, $E$9)</f>
        <v>3.8351000000000002</v>
      </c>
      <c r="F63" s="11">
        <f>3.8351 * CHOOSE(CONTROL!$C$32, $C$9, 100%, $E$9)</f>
        <v>3.8351000000000002</v>
      </c>
      <c r="G63" s="11">
        <f>3.8387 * CHOOSE(CONTROL!$C$32, $C$9, 100%, $E$9)</f>
        <v>3.8386999999999998</v>
      </c>
      <c r="H63" s="11">
        <f>6.1402 * CHOOSE(CONTROL!$C$32, $C$9, 100%, $E$9)</f>
        <v>6.1402000000000001</v>
      </c>
      <c r="I63" s="11">
        <f>6.1438 * CHOOSE(CONTROL!$C$32, $C$9, 100%, $E$9)</f>
        <v>6.1437999999999997</v>
      </c>
      <c r="J63" s="11">
        <f>6.1402 * CHOOSE(CONTROL!$C$32, $C$9, 100%, $E$9)</f>
        <v>6.1402000000000001</v>
      </c>
      <c r="K63" s="11">
        <f>6.1438 * CHOOSE(CONTROL!$C$32, $C$9, 100%, $E$9)</f>
        <v>6.1437999999999997</v>
      </c>
      <c r="L63" s="11">
        <f>3.8351 * CHOOSE(CONTROL!$C$32, $C$9, 100%, $E$9)</f>
        <v>3.8351000000000002</v>
      </c>
      <c r="M63" s="11">
        <f>3.8387 * CHOOSE(CONTROL!$C$32, $C$9, 100%, $E$9)</f>
        <v>3.8386999999999998</v>
      </c>
      <c r="N63" s="11">
        <f>3.8351 * CHOOSE(CONTROL!$C$32, $C$9, 100%, $E$9)</f>
        <v>3.8351000000000002</v>
      </c>
      <c r="O63" s="11">
        <f>3.8387 * CHOOSE(CONTROL!$C$32, $C$9, 100%, $E$9)</f>
        <v>3.8386999999999998</v>
      </c>
      <c r="P63" s="14"/>
      <c r="Q63" s="14"/>
      <c r="R63" s="14"/>
    </row>
    <row r="64" spans="1:18" ht="15" x14ac:dyDescent="0.2">
      <c r="A64" s="13">
        <v>42795</v>
      </c>
      <c r="B64" s="9">
        <f>3.2785 * CHOOSE(CONTROL!$C$32, $C$9, 100%, $E$9)</f>
        <v>3.2785000000000002</v>
      </c>
      <c r="C64" s="9">
        <f>3.2785 * CHOOSE(CONTROL!$C$32, $C$9, 100%, $E$9)</f>
        <v>3.2785000000000002</v>
      </c>
      <c r="D64" s="9">
        <f>3.2796 * CHOOSE(CONTROL!$C$32, $C$9, 100%, $E$9)</f>
        <v>3.2795999999999998</v>
      </c>
      <c r="E64" s="11">
        <f>3.8331 * CHOOSE(CONTROL!$C$32, $C$9, 100%, $E$9)</f>
        <v>3.8331</v>
      </c>
      <c r="F64" s="11">
        <f>3.8331 * CHOOSE(CONTROL!$C$32, $C$9, 100%, $E$9)</f>
        <v>3.8331</v>
      </c>
      <c r="G64" s="11">
        <f>3.8367 * CHOOSE(CONTROL!$C$32, $C$9, 100%, $E$9)</f>
        <v>3.8367</v>
      </c>
      <c r="H64" s="11">
        <f>6.153 * CHOOSE(CONTROL!$C$32, $C$9, 100%, $E$9)</f>
        <v>6.1529999999999996</v>
      </c>
      <c r="I64" s="11">
        <f>6.1566 * CHOOSE(CONTROL!$C$32, $C$9, 100%, $E$9)</f>
        <v>6.1566000000000001</v>
      </c>
      <c r="J64" s="11">
        <f>6.153 * CHOOSE(CONTROL!$C$32, $C$9, 100%, $E$9)</f>
        <v>6.1529999999999996</v>
      </c>
      <c r="K64" s="11">
        <f>6.1566 * CHOOSE(CONTROL!$C$32, $C$9, 100%, $E$9)</f>
        <v>6.1566000000000001</v>
      </c>
      <c r="L64" s="11">
        <f>3.8331 * CHOOSE(CONTROL!$C$32, $C$9, 100%, $E$9)</f>
        <v>3.8331</v>
      </c>
      <c r="M64" s="11">
        <f>3.8367 * CHOOSE(CONTROL!$C$32, $C$9, 100%, $E$9)</f>
        <v>3.8367</v>
      </c>
      <c r="N64" s="11">
        <f>3.8331 * CHOOSE(CONTROL!$C$32, $C$9, 100%, $E$9)</f>
        <v>3.8331</v>
      </c>
      <c r="O64" s="11">
        <f>3.8367 * CHOOSE(CONTROL!$C$32, $C$9, 100%, $E$9)</f>
        <v>3.8367</v>
      </c>
      <c r="P64" s="14"/>
      <c r="Q64" s="14"/>
      <c r="R64" s="14"/>
    </row>
    <row r="65" spans="1:18" ht="15" x14ac:dyDescent="0.2">
      <c r="A65" s="13">
        <v>42826</v>
      </c>
      <c r="B65" s="9">
        <f>3.2725 * CHOOSE(CONTROL!$C$32, $C$9, 100%, $E$9)</f>
        <v>3.2725</v>
      </c>
      <c r="C65" s="9">
        <f>3.2725 * CHOOSE(CONTROL!$C$32, $C$9, 100%, $E$9)</f>
        <v>3.2725</v>
      </c>
      <c r="D65" s="9">
        <f>3.2735 * CHOOSE(CONTROL!$C$32, $C$9, 100%, $E$9)</f>
        <v>3.2734999999999999</v>
      </c>
      <c r="E65" s="11">
        <f>3.8305 * CHOOSE(CONTROL!$C$32, $C$9, 100%, $E$9)</f>
        <v>3.8304999999999998</v>
      </c>
      <c r="F65" s="11">
        <f>3.8305 * CHOOSE(CONTROL!$C$32, $C$9, 100%, $E$9)</f>
        <v>3.8304999999999998</v>
      </c>
      <c r="G65" s="11">
        <f>3.8342 * CHOOSE(CONTROL!$C$32, $C$9, 100%, $E$9)</f>
        <v>3.8342000000000001</v>
      </c>
      <c r="H65" s="11">
        <f>6.1658 * CHOOSE(CONTROL!$C$32, $C$9, 100%, $E$9)</f>
        <v>6.1657999999999999</v>
      </c>
      <c r="I65" s="11">
        <f>6.1694 * CHOOSE(CONTROL!$C$32, $C$9, 100%, $E$9)</f>
        <v>6.1694000000000004</v>
      </c>
      <c r="J65" s="11">
        <f>6.1658 * CHOOSE(CONTROL!$C$32, $C$9, 100%, $E$9)</f>
        <v>6.1657999999999999</v>
      </c>
      <c r="K65" s="11">
        <f>6.1694 * CHOOSE(CONTROL!$C$32, $C$9, 100%, $E$9)</f>
        <v>6.1694000000000004</v>
      </c>
      <c r="L65" s="11">
        <f>3.8305 * CHOOSE(CONTROL!$C$32, $C$9, 100%, $E$9)</f>
        <v>3.8304999999999998</v>
      </c>
      <c r="M65" s="11">
        <f>3.8342 * CHOOSE(CONTROL!$C$32, $C$9, 100%, $E$9)</f>
        <v>3.8342000000000001</v>
      </c>
      <c r="N65" s="11">
        <f>3.8305 * CHOOSE(CONTROL!$C$32, $C$9, 100%, $E$9)</f>
        <v>3.8304999999999998</v>
      </c>
      <c r="O65" s="11">
        <f>3.8342 * CHOOSE(CONTROL!$C$32, $C$9, 100%, $E$9)</f>
        <v>3.8342000000000001</v>
      </c>
      <c r="P65" s="14"/>
      <c r="Q65" s="14"/>
      <c r="R65" s="14"/>
    </row>
    <row r="66" spans="1:18" ht="15" x14ac:dyDescent="0.2">
      <c r="A66" s="13">
        <v>42856</v>
      </c>
      <c r="B66" s="9">
        <f>3.2809 * CHOOSE(CONTROL!$C$32, $C$9, 100%, $E$9)</f>
        <v>3.2808999999999999</v>
      </c>
      <c r="C66" s="9">
        <f>3.2809 * CHOOSE(CONTROL!$C$32, $C$9, 100%, $E$9)</f>
        <v>3.2808999999999999</v>
      </c>
      <c r="D66" s="9">
        <f>3.2825 * CHOOSE(CONTROL!$C$32, $C$9, 100%, $E$9)</f>
        <v>3.2825000000000002</v>
      </c>
      <c r="E66" s="11">
        <f>3.8305 * CHOOSE(CONTROL!$C$32, $C$9, 100%, $E$9)</f>
        <v>3.8304999999999998</v>
      </c>
      <c r="F66" s="11">
        <f>3.8305 * CHOOSE(CONTROL!$C$32, $C$9, 100%, $E$9)</f>
        <v>3.8304999999999998</v>
      </c>
      <c r="G66" s="11">
        <f>3.8358 * CHOOSE(CONTROL!$C$32, $C$9, 100%, $E$9)</f>
        <v>3.8357999999999999</v>
      </c>
      <c r="H66" s="11">
        <f>6.1787 * CHOOSE(CONTROL!$C$32, $C$9, 100%, $E$9)</f>
        <v>6.1787000000000001</v>
      </c>
      <c r="I66" s="11">
        <f>6.1839 * CHOOSE(CONTROL!$C$32, $C$9, 100%, $E$9)</f>
        <v>6.1839000000000004</v>
      </c>
      <c r="J66" s="11">
        <f>6.1787 * CHOOSE(CONTROL!$C$32, $C$9, 100%, $E$9)</f>
        <v>6.1787000000000001</v>
      </c>
      <c r="K66" s="11">
        <f>6.1839 * CHOOSE(CONTROL!$C$32, $C$9, 100%, $E$9)</f>
        <v>6.1839000000000004</v>
      </c>
      <c r="L66" s="11">
        <f>3.8305 * CHOOSE(CONTROL!$C$32, $C$9, 100%, $E$9)</f>
        <v>3.8304999999999998</v>
      </c>
      <c r="M66" s="11">
        <f>3.8358 * CHOOSE(CONTROL!$C$32, $C$9, 100%, $E$9)</f>
        <v>3.8357999999999999</v>
      </c>
      <c r="N66" s="11">
        <f>3.8305 * CHOOSE(CONTROL!$C$32, $C$9, 100%, $E$9)</f>
        <v>3.8304999999999998</v>
      </c>
      <c r="O66" s="11">
        <f>3.8358 * CHOOSE(CONTROL!$C$32, $C$9, 100%, $E$9)</f>
        <v>3.8357999999999999</v>
      </c>
      <c r="P66" s="14"/>
      <c r="Q66" s="14"/>
      <c r="R66" s="14"/>
    </row>
    <row r="67" spans="1:18" ht="15" x14ac:dyDescent="0.2">
      <c r="A67" s="13">
        <v>42887</v>
      </c>
      <c r="B67" s="9">
        <f>3.2871 * CHOOSE(CONTROL!$C$32, $C$9, 100%, $E$9)</f>
        <v>3.2871000000000001</v>
      </c>
      <c r="C67" s="9">
        <f>3.2871 * CHOOSE(CONTROL!$C$32, $C$9, 100%, $E$9)</f>
        <v>3.2871000000000001</v>
      </c>
      <c r="D67" s="9">
        <f>3.2887 * CHOOSE(CONTROL!$C$32, $C$9, 100%, $E$9)</f>
        <v>3.2887</v>
      </c>
      <c r="E67" s="11">
        <f>3.8345 * CHOOSE(CONTROL!$C$32, $C$9, 100%, $E$9)</f>
        <v>3.8344999999999998</v>
      </c>
      <c r="F67" s="11">
        <f>3.8345 * CHOOSE(CONTROL!$C$32, $C$9, 100%, $E$9)</f>
        <v>3.8344999999999998</v>
      </c>
      <c r="G67" s="11">
        <f>3.8398 * CHOOSE(CONTROL!$C$32, $C$9, 100%, $E$9)</f>
        <v>3.8397999999999999</v>
      </c>
      <c r="H67" s="11">
        <f>6.1915 * CHOOSE(CONTROL!$C$32, $C$9, 100%, $E$9)</f>
        <v>6.1914999999999996</v>
      </c>
      <c r="I67" s="11">
        <f>6.1968 * CHOOSE(CONTROL!$C$32, $C$9, 100%, $E$9)</f>
        <v>6.1967999999999996</v>
      </c>
      <c r="J67" s="11">
        <f>6.1915 * CHOOSE(CONTROL!$C$32, $C$9, 100%, $E$9)</f>
        <v>6.1914999999999996</v>
      </c>
      <c r="K67" s="11">
        <f>6.1968 * CHOOSE(CONTROL!$C$32, $C$9, 100%, $E$9)</f>
        <v>6.1967999999999996</v>
      </c>
      <c r="L67" s="11">
        <f>3.8345 * CHOOSE(CONTROL!$C$32, $C$9, 100%, $E$9)</f>
        <v>3.8344999999999998</v>
      </c>
      <c r="M67" s="11">
        <f>3.8398 * CHOOSE(CONTROL!$C$32, $C$9, 100%, $E$9)</f>
        <v>3.8397999999999999</v>
      </c>
      <c r="N67" s="11">
        <f>3.8345 * CHOOSE(CONTROL!$C$32, $C$9, 100%, $E$9)</f>
        <v>3.8344999999999998</v>
      </c>
      <c r="O67" s="11">
        <f>3.8398 * CHOOSE(CONTROL!$C$32, $C$9, 100%, $E$9)</f>
        <v>3.8397999999999999</v>
      </c>
      <c r="P67" s="14"/>
      <c r="Q67" s="14"/>
      <c r="R67" s="14"/>
    </row>
    <row r="68" spans="1:18" ht="15" x14ac:dyDescent="0.2">
      <c r="A68" s="13">
        <v>42917</v>
      </c>
      <c r="B68" s="9">
        <f>3.3418 * CHOOSE(CONTROL!$C$32, $C$9, 100%, $E$9)</f>
        <v>3.3418000000000001</v>
      </c>
      <c r="C68" s="9">
        <f>3.3418 * CHOOSE(CONTROL!$C$32, $C$9, 100%, $E$9)</f>
        <v>3.3418000000000001</v>
      </c>
      <c r="D68" s="9">
        <f>3.3434 * CHOOSE(CONTROL!$C$32, $C$9, 100%, $E$9)</f>
        <v>3.3433999999999999</v>
      </c>
      <c r="E68" s="11">
        <f>3.9255 * CHOOSE(CONTROL!$C$32, $C$9, 100%, $E$9)</f>
        <v>3.9255</v>
      </c>
      <c r="F68" s="11">
        <f>3.9255 * CHOOSE(CONTROL!$C$32, $C$9, 100%, $E$9)</f>
        <v>3.9255</v>
      </c>
      <c r="G68" s="11">
        <f>3.9308 * CHOOSE(CONTROL!$C$32, $C$9, 100%, $E$9)</f>
        <v>3.9308000000000001</v>
      </c>
      <c r="H68" s="11">
        <f>6.2044 * CHOOSE(CONTROL!$C$32, $C$9, 100%, $E$9)</f>
        <v>6.2043999999999997</v>
      </c>
      <c r="I68" s="11">
        <f>6.2097 * CHOOSE(CONTROL!$C$32, $C$9, 100%, $E$9)</f>
        <v>6.2096999999999998</v>
      </c>
      <c r="J68" s="11">
        <f>6.2044 * CHOOSE(CONTROL!$C$32, $C$9, 100%, $E$9)</f>
        <v>6.2043999999999997</v>
      </c>
      <c r="K68" s="11">
        <f>6.2097 * CHOOSE(CONTROL!$C$32, $C$9, 100%, $E$9)</f>
        <v>6.2096999999999998</v>
      </c>
      <c r="L68" s="11">
        <f>3.9255 * CHOOSE(CONTROL!$C$32, $C$9, 100%, $E$9)</f>
        <v>3.9255</v>
      </c>
      <c r="M68" s="11">
        <f>3.9308 * CHOOSE(CONTROL!$C$32, $C$9, 100%, $E$9)</f>
        <v>3.9308000000000001</v>
      </c>
      <c r="N68" s="11">
        <f>3.9255 * CHOOSE(CONTROL!$C$32, $C$9, 100%, $E$9)</f>
        <v>3.9255</v>
      </c>
      <c r="O68" s="11">
        <f>3.9308 * CHOOSE(CONTROL!$C$32, $C$9, 100%, $E$9)</f>
        <v>3.9308000000000001</v>
      </c>
      <c r="P68" s="14"/>
      <c r="Q68" s="14"/>
      <c r="R68" s="14"/>
    </row>
    <row r="69" spans="1:18" ht="15" x14ac:dyDescent="0.2">
      <c r="A69" s="13">
        <v>42948</v>
      </c>
      <c r="B69" s="9">
        <f>3.357 * CHOOSE(CONTROL!$C$32, $C$9, 100%, $E$9)</f>
        <v>3.3570000000000002</v>
      </c>
      <c r="C69" s="9">
        <f>3.357 * CHOOSE(CONTROL!$C$32, $C$9, 100%, $E$9)</f>
        <v>3.3570000000000002</v>
      </c>
      <c r="D69" s="9">
        <f>3.3586 * CHOOSE(CONTROL!$C$32, $C$9, 100%, $E$9)</f>
        <v>3.3586</v>
      </c>
      <c r="E69" s="11">
        <f>3.9299 * CHOOSE(CONTROL!$C$32, $C$9, 100%, $E$9)</f>
        <v>3.9298999999999999</v>
      </c>
      <c r="F69" s="11">
        <f>3.9299 * CHOOSE(CONTROL!$C$32, $C$9, 100%, $E$9)</f>
        <v>3.9298999999999999</v>
      </c>
      <c r="G69" s="11">
        <f>3.9352 * CHOOSE(CONTROL!$C$32, $C$9, 100%, $E$9)</f>
        <v>3.9352</v>
      </c>
      <c r="H69" s="11">
        <f>6.2174 * CHOOSE(CONTROL!$C$32, $C$9, 100%, $E$9)</f>
        <v>6.2173999999999996</v>
      </c>
      <c r="I69" s="11">
        <f>6.2226 * CHOOSE(CONTROL!$C$32, $C$9, 100%, $E$9)</f>
        <v>6.2225999999999999</v>
      </c>
      <c r="J69" s="11">
        <f>6.2174 * CHOOSE(CONTROL!$C$32, $C$9, 100%, $E$9)</f>
        <v>6.2173999999999996</v>
      </c>
      <c r="K69" s="11">
        <f>6.2226 * CHOOSE(CONTROL!$C$32, $C$9, 100%, $E$9)</f>
        <v>6.2225999999999999</v>
      </c>
      <c r="L69" s="11">
        <f>3.9299 * CHOOSE(CONTROL!$C$32, $C$9, 100%, $E$9)</f>
        <v>3.9298999999999999</v>
      </c>
      <c r="M69" s="11">
        <f>3.9352 * CHOOSE(CONTROL!$C$32, $C$9, 100%, $E$9)</f>
        <v>3.9352</v>
      </c>
      <c r="N69" s="11">
        <f>3.9299 * CHOOSE(CONTROL!$C$32, $C$9, 100%, $E$9)</f>
        <v>3.9298999999999999</v>
      </c>
      <c r="O69" s="11">
        <f>3.9352 * CHOOSE(CONTROL!$C$32, $C$9, 100%, $E$9)</f>
        <v>3.9352</v>
      </c>
      <c r="P69" s="14"/>
      <c r="Q69" s="14"/>
      <c r="R69" s="14"/>
    </row>
    <row r="70" spans="1:18" ht="15" x14ac:dyDescent="0.2">
      <c r="A70" s="13">
        <v>42979</v>
      </c>
      <c r="B70" s="9">
        <f>3.354 * CHOOSE(CONTROL!$C$32, $C$9, 100%, $E$9)</f>
        <v>3.3540000000000001</v>
      </c>
      <c r="C70" s="9">
        <f>3.354 * CHOOSE(CONTROL!$C$32, $C$9, 100%, $E$9)</f>
        <v>3.3540000000000001</v>
      </c>
      <c r="D70" s="9">
        <f>3.3556 * CHOOSE(CONTROL!$C$32, $C$9, 100%, $E$9)</f>
        <v>3.3555999999999999</v>
      </c>
      <c r="E70" s="11">
        <f>3.9279 * CHOOSE(CONTROL!$C$32, $C$9, 100%, $E$9)</f>
        <v>3.9279000000000002</v>
      </c>
      <c r="F70" s="11">
        <f>3.9279 * CHOOSE(CONTROL!$C$32, $C$9, 100%, $E$9)</f>
        <v>3.9279000000000002</v>
      </c>
      <c r="G70" s="11">
        <f>3.9332 * CHOOSE(CONTROL!$C$32, $C$9, 100%, $E$9)</f>
        <v>3.9331999999999998</v>
      </c>
      <c r="H70" s="11">
        <f>6.2303 * CHOOSE(CONTROL!$C$32, $C$9, 100%, $E$9)</f>
        <v>6.2302999999999997</v>
      </c>
      <c r="I70" s="11">
        <f>6.2356 * CHOOSE(CONTROL!$C$32, $C$9, 100%, $E$9)</f>
        <v>6.2355999999999998</v>
      </c>
      <c r="J70" s="11">
        <f>6.2303 * CHOOSE(CONTROL!$C$32, $C$9, 100%, $E$9)</f>
        <v>6.2302999999999997</v>
      </c>
      <c r="K70" s="11">
        <f>6.2356 * CHOOSE(CONTROL!$C$32, $C$9, 100%, $E$9)</f>
        <v>6.2355999999999998</v>
      </c>
      <c r="L70" s="11">
        <f>3.9279 * CHOOSE(CONTROL!$C$32, $C$9, 100%, $E$9)</f>
        <v>3.9279000000000002</v>
      </c>
      <c r="M70" s="11">
        <f>3.9332 * CHOOSE(CONTROL!$C$32, $C$9, 100%, $E$9)</f>
        <v>3.9331999999999998</v>
      </c>
      <c r="N70" s="11">
        <f>3.9279 * CHOOSE(CONTROL!$C$32, $C$9, 100%, $E$9)</f>
        <v>3.9279000000000002</v>
      </c>
      <c r="O70" s="11">
        <f>3.9332 * CHOOSE(CONTROL!$C$32, $C$9, 100%, $E$9)</f>
        <v>3.9331999999999998</v>
      </c>
      <c r="P70" s="14"/>
      <c r="Q70" s="14"/>
      <c r="R70" s="14"/>
    </row>
    <row r="71" spans="1:18" ht="15" x14ac:dyDescent="0.2">
      <c r="A71" s="13">
        <v>43009</v>
      </c>
      <c r="B71" s="9">
        <f>3.3348 * CHOOSE(CONTROL!$C$32, $C$9, 100%, $E$9)</f>
        <v>3.3348</v>
      </c>
      <c r="C71" s="9">
        <f>3.3348 * CHOOSE(CONTROL!$C$32, $C$9, 100%, $E$9)</f>
        <v>3.3348</v>
      </c>
      <c r="D71" s="9">
        <f>3.3358 * CHOOSE(CONTROL!$C$32, $C$9, 100%, $E$9)</f>
        <v>3.3357999999999999</v>
      </c>
      <c r="E71" s="11">
        <f>3.9209 * CHOOSE(CONTROL!$C$32, $C$9, 100%, $E$9)</f>
        <v>3.9209000000000001</v>
      </c>
      <c r="F71" s="11">
        <f>3.9209 * CHOOSE(CONTROL!$C$32, $C$9, 100%, $E$9)</f>
        <v>3.9209000000000001</v>
      </c>
      <c r="G71" s="11">
        <f>3.9245 * CHOOSE(CONTROL!$C$32, $C$9, 100%, $E$9)</f>
        <v>3.9245000000000001</v>
      </c>
      <c r="H71" s="11">
        <f>6.2433 * CHOOSE(CONTROL!$C$32, $C$9, 100%, $E$9)</f>
        <v>6.2432999999999996</v>
      </c>
      <c r="I71" s="11">
        <f>6.2469 * CHOOSE(CONTROL!$C$32, $C$9, 100%, $E$9)</f>
        <v>6.2469000000000001</v>
      </c>
      <c r="J71" s="11">
        <f>6.2433 * CHOOSE(CONTROL!$C$32, $C$9, 100%, $E$9)</f>
        <v>6.2432999999999996</v>
      </c>
      <c r="K71" s="11">
        <f>6.2469 * CHOOSE(CONTROL!$C$32, $C$9, 100%, $E$9)</f>
        <v>6.2469000000000001</v>
      </c>
      <c r="L71" s="11">
        <f>3.9209 * CHOOSE(CONTROL!$C$32, $C$9, 100%, $E$9)</f>
        <v>3.9209000000000001</v>
      </c>
      <c r="M71" s="11">
        <f>3.9245 * CHOOSE(CONTROL!$C$32, $C$9, 100%, $E$9)</f>
        <v>3.9245000000000001</v>
      </c>
      <c r="N71" s="11">
        <f>3.9209 * CHOOSE(CONTROL!$C$32, $C$9, 100%, $E$9)</f>
        <v>3.9209000000000001</v>
      </c>
      <c r="O71" s="11">
        <f>3.9245 * CHOOSE(CONTROL!$C$32, $C$9, 100%, $E$9)</f>
        <v>3.9245000000000001</v>
      </c>
      <c r="P71" s="14"/>
      <c r="Q71" s="14"/>
      <c r="R71" s="14"/>
    </row>
    <row r="72" spans="1:18" ht="15" x14ac:dyDescent="0.2">
      <c r="A72" s="13">
        <v>43040</v>
      </c>
      <c r="B72" s="9">
        <f>3.3463 * CHOOSE(CONTROL!$C$32, $C$9, 100%, $E$9)</f>
        <v>3.3462999999999998</v>
      </c>
      <c r="C72" s="9">
        <f>3.3463 * CHOOSE(CONTROL!$C$32, $C$9, 100%, $E$9)</f>
        <v>3.3462999999999998</v>
      </c>
      <c r="D72" s="9">
        <f>3.3474 * CHOOSE(CONTROL!$C$32, $C$9, 100%, $E$9)</f>
        <v>3.3473999999999999</v>
      </c>
      <c r="E72" s="11">
        <f>3.9229 * CHOOSE(CONTROL!$C$32, $C$9, 100%, $E$9)</f>
        <v>3.9228999999999998</v>
      </c>
      <c r="F72" s="11">
        <f>3.9229 * CHOOSE(CONTROL!$C$32, $C$9, 100%, $E$9)</f>
        <v>3.9228999999999998</v>
      </c>
      <c r="G72" s="11">
        <f>3.9265 * CHOOSE(CONTROL!$C$32, $C$9, 100%, $E$9)</f>
        <v>3.9264999999999999</v>
      </c>
      <c r="H72" s="11">
        <f>6.2563 * CHOOSE(CONTROL!$C$32, $C$9, 100%, $E$9)</f>
        <v>6.2563000000000004</v>
      </c>
      <c r="I72" s="11">
        <f>6.2599 * CHOOSE(CONTROL!$C$32, $C$9, 100%, $E$9)</f>
        <v>6.2599</v>
      </c>
      <c r="J72" s="11">
        <f>6.2563 * CHOOSE(CONTROL!$C$32, $C$9, 100%, $E$9)</f>
        <v>6.2563000000000004</v>
      </c>
      <c r="K72" s="11">
        <f>6.2599 * CHOOSE(CONTROL!$C$32, $C$9, 100%, $E$9)</f>
        <v>6.2599</v>
      </c>
      <c r="L72" s="11">
        <f>3.9229 * CHOOSE(CONTROL!$C$32, $C$9, 100%, $E$9)</f>
        <v>3.9228999999999998</v>
      </c>
      <c r="M72" s="11">
        <f>3.9265 * CHOOSE(CONTROL!$C$32, $C$9, 100%, $E$9)</f>
        <v>3.9264999999999999</v>
      </c>
      <c r="N72" s="11">
        <f>3.9229 * CHOOSE(CONTROL!$C$32, $C$9, 100%, $E$9)</f>
        <v>3.9228999999999998</v>
      </c>
      <c r="O72" s="11">
        <f>3.9265 * CHOOSE(CONTROL!$C$32, $C$9, 100%, $E$9)</f>
        <v>3.9264999999999999</v>
      </c>
      <c r="P72" s="14"/>
      <c r="Q72" s="14"/>
      <c r="R72" s="14"/>
    </row>
    <row r="73" spans="1:18" ht="15" x14ac:dyDescent="0.2">
      <c r="A73" s="13">
        <v>43070</v>
      </c>
      <c r="B73" s="9">
        <f>3.3463 * CHOOSE(CONTROL!$C$32, $C$9, 100%, $E$9)</f>
        <v>3.3462999999999998</v>
      </c>
      <c r="C73" s="9">
        <f>3.3463 * CHOOSE(CONTROL!$C$32, $C$9, 100%, $E$9)</f>
        <v>3.3462999999999998</v>
      </c>
      <c r="D73" s="9">
        <f>3.3474 * CHOOSE(CONTROL!$C$32, $C$9, 100%, $E$9)</f>
        <v>3.3473999999999999</v>
      </c>
      <c r="E73" s="11">
        <f>3.9229 * CHOOSE(CONTROL!$C$32, $C$9, 100%, $E$9)</f>
        <v>3.9228999999999998</v>
      </c>
      <c r="F73" s="11">
        <f>3.9229 * CHOOSE(CONTROL!$C$32, $C$9, 100%, $E$9)</f>
        <v>3.9228999999999998</v>
      </c>
      <c r="G73" s="11">
        <f>3.9265 * CHOOSE(CONTROL!$C$32, $C$9, 100%, $E$9)</f>
        <v>3.9264999999999999</v>
      </c>
      <c r="H73" s="11">
        <f>6.2693 * CHOOSE(CONTROL!$C$32, $C$9, 100%, $E$9)</f>
        <v>6.2693000000000003</v>
      </c>
      <c r="I73" s="11">
        <f>6.2729 * CHOOSE(CONTROL!$C$32, $C$9, 100%, $E$9)</f>
        <v>6.2728999999999999</v>
      </c>
      <c r="J73" s="11">
        <f>6.2693 * CHOOSE(CONTROL!$C$32, $C$9, 100%, $E$9)</f>
        <v>6.2693000000000003</v>
      </c>
      <c r="K73" s="11">
        <f>6.2729 * CHOOSE(CONTROL!$C$32, $C$9, 100%, $E$9)</f>
        <v>6.2728999999999999</v>
      </c>
      <c r="L73" s="11">
        <f>3.9229 * CHOOSE(CONTROL!$C$32, $C$9, 100%, $E$9)</f>
        <v>3.9228999999999998</v>
      </c>
      <c r="M73" s="11">
        <f>3.9265 * CHOOSE(CONTROL!$C$32, $C$9, 100%, $E$9)</f>
        <v>3.9264999999999999</v>
      </c>
      <c r="N73" s="11">
        <f>3.9229 * CHOOSE(CONTROL!$C$32, $C$9, 100%, $E$9)</f>
        <v>3.9228999999999998</v>
      </c>
      <c r="O73" s="11">
        <f>3.9265 * CHOOSE(CONTROL!$C$32, $C$9, 100%, $E$9)</f>
        <v>3.9264999999999999</v>
      </c>
      <c r="P73" s="14"/>
      <c r="Q73" s="14"/>
      <c r="R73" s="14"/>
    </row>
    <row r="74" spans="1:18" ht="15" x14ac:dyDescent="0.2">
      <c r="A74" s="13">
        <v>43101</v>
      </c>
      <c r="B74" s="9">
        <f>3.3747 * CHOOSE(CONTROL!$C$32, $C$9, 100%, $E$9)</f>
        <v>3.3746999999999998</v>
      </c>
      <c r="C74" s="9">
        <f>3.3747 * CHOOSE(CONTROL!$C$32, $C$9, 100%, $E$9)</f>
        <v>3.3746999999999998</v>
      </c>
      <c r="D74" s="9">
        <f>3.3758 * CHOOSE(CONTROL!$C$32, $C$9, 100%, $E$9)</f>
        <v>3.3757999999999999</v>
      </c>
      <c r="E74" s="11">
        <f>3.9606 * CHOOSE(CONTROL!$C$32, $C$9, 100%, $E$9)</f>
        <v>3.9605999999999999</v>
      </c>
      <c r="F74" s="11">
        <f>3.9606 * CHOOSE(CONTROL!$C$32, $C$9, 100%, $E$9)</f>
        <v>3.9605999999999999</v>
      </c>
      <c r="G74" s="11">
        <f>3.9642 * CHOOSE(CONTROL!$C$32, $C$9, 100%, $E$9)</f>
        <v>3.9641999999999999</v>
      </c>
      <c r="H74" s="11">
        <f>6.2824 * CHOOSE(CONTROL!$C$32, $C$9, 100%, $E$9)</f>
        <v>6.2824</v>
      </c>
      <c r="I74" s="11">
        <f>6.286 * CHOOSE(CONTROL!$C$32, $C$9, 100%, $E$9)</f>
        <v>6.2859999999999996</v>
      </c>
      <c r="J74" s="11">
        <f>6.2824 * CHOOSE(CONTROL!$C$32, $C$9, 100%, $E$9)</f>
        <v>6.2824</v>
      </c>
      <c r="K74" s="11">
        <f>6.286 * CHOOSE(CONTROL!$C$32, $C$9, 100%, $E$9)</f>
        <v>6.2859999999999996</v>
      </c>
      <c r="L74" s="11">
        <f>3.9606 * CHOOSE(CONTROL!$C$32, $C$9, 100%, $E$9)</f>
        <v>3.9605999999999999</v>
      </c>
      <c r="M74" s="11">
        <f>3.9642 * CHOOSE(CONTROL!$C$32, $C$9, 100%, $E$9)</f>
        <v>3.9641999999999999</v>
      </c>
      <c r="N74" s="11">
        <f>3.9606 * CHOOSE(CONTROL!$C$32, $C$9, 100%, $E$9)</f>
        <v>3.9605999999999999</v>
      </c>
      <c r="O74" s="11">
        <f>3.9642 * CHOOSE(CONTROL!$C$32, $C$9, 100%, $E$9)</f>
        <v>3.9641999999999999</v>
      </c>
      <c r="P74" s="14"/>
      <c r="Q74" s="14"/>
      <c r="R74" s="14"/>
    </row>
    <row r="75" spans="1:18" ht="15" x14ac:dyDescent="0.2">
      <c r="A75" s="13">
        <v>43132</v>
      </c>
      <c r="B75" s="9">
        <f>3.3805 * CHOOSE(CONTROL!$C$32, $C$9, 100%, $E$9)</f>
        <v>3.3805000000000001</v>
      </c>
      <c r="C75" s="9">
        <f>3.3805 * CHOOSE(CONTROL!$C$32, $C$9, 100%, $E$9)</f>
        <v>3.3805000000000001</v>
      </c>
      <c r="D75" s="9">
        <f>3.3816 * CHOOSE(CONTROL!$C$32, $C$9, 100%, $E$9)</f>
        <v>3.3816000000000002</v>
      </c>
      <c r="E75" s="11">
        <f>3.9586 * CHOOSE(CONTROL!$C$32, $C$9, 100%, $E$9)</f>
        <v>3.9586000000000001</v>
      </c>
      <c r="F75" s="11">
        <f>3.9586 * CHOOSE(CONTROL!$C$32, $C$9, 100%, $E$9)</f>
        <v>3.9586000000000001</v>
      </c>
      <c r="G75" s="11">
        <f>3.9622 * CHOOSE(CONTROL!$C$32, $C$9, 100%, $E$9)</f>
        <v>3.9622000000000002</v>
      </c>
      <c r="H75" s="11">
        <f>6.2955 * CHOOSE(CONTROL!$C$32, $C$9, 100%, $E$9)</f>
        <v>6.2954999999999997</v>
      </c>
      <c r="I75" s="11">
        <f>6.2991 * CHOOSE(CONTROL!$C$32, $C$9, 100%, $E$9)</f>
        <v>6.2991000000000001</v>
      </c>
      <c r="J75" s="11">
        <f>6.2955 * CHOOSE(CONTROL!$C$32, $C$9, 100%, $E$9)</f>
        <v>6.2954999999999997</v>
      </c>
      <c r="K75" s="11">
        <f>6.2991 * CHOOSE(CONTROL!$C$32, $C$9, 100%, $E$9)</f>
        <v>6.2991000000000001</v>
      </c>
      <c r="L75" s="11">
        <f>3.9586 * CHOOSE(CONTROL!$C$32, $C$9, 100%, $E$9)</f>
        <v>3.9586000000000001</v>
      </c>
      <c r="M75" s="11">
        <f>3.9622 * CHOOSE(CONTROL!$C$32, $C$9, 100%, $E$9)</f>
        <v>3.9622000000000002</v>
      </c>
      <c r="N75" s="11">
        <f>3.9586 * CHOOSE(CONTROL!$C$32, $C$9, 100%, $E$9)</f>
        <v>3.9586000000000001</v>
      </c>
      <c r="O75" s="11">
        <f>3.9622 * CHOOSE(CONTROL!$C$32, $C$9, 100%, $E$9)</f>
        <v>3.9622000000000002</v>
      </c>
      <c r="P75" s="14"/>
      <c r="Q75" s="14"/>
      <c r="R75" s="14"/>
    </row>
    <row r="76" spans="1:18" ht="15" x14ac:dyDescent="0.2">
      <c r="A76" s="13">
        <v>43160</v>
      </c>
      <c r="B76" s="9">
        <f>3.3774 * CHOOSE(CONTROL!$C$32, $C$9, 100%, $E$9)</f>
        <v>3.3774000000000002</v>
      </c>
      <c r="C76" s="9">
        <f>3.3774 * CHOOSE(CONTROL!$C$32, $C$9, 100%, $E$9)</f>
        <v>3.3774000000000002</v>
      </c>
      <c r="D76" s="9">
        <f>3.3785 * CHOOSE(CONTROL!$C$32, $C$9, 100%, $E$9)</f>
        <v>3.3784999999999998</v>
      </c>
      <c r="E76" s="11">
        <f>3.9566 * CHOOSE(CONTROL!$C$32, $C$9, 100%, $E$9)</f>
        <v>3.9565999999999999</v>
      </c>
      <c r="F76" s="11">
        <f>3.9566 * CHOOSE(CONTROL!$C$32, $C$9, 100%, $E$9)</f>
        <v>3.9565999999999999</v>
      </c>
      <c r="G76" s="11">
        <f>3.9602 * CHOOSE(CONTROL!$C$32, $C$9, 100%, $E$9)</f>
        <v>3.9601999999999999</v>
      </c>
      <c r="H76" s="11">
        <f>6.3086 * CHOOSE(CONTROL!$C$32, $C$9, 100%, $E$9)</f>
        <v>6.3086000000000002</v>
      </c>
      <c r="I76" s="11">
        <f>6.3122 * CHOOSE(CONTROL!$C$32, $C$9, 100%, $E$9)</f>
        <v>6.3121999999999998</v>
      </c>
      <c r="J76" s="11">
        <f>6.3086 * CHOOSE(CONTROL!$C$32, $C$9, 100%, $E$9)</f>
        <v>6.3086000000000002</v>
      </c>
      <c r="K76" s="11">
        <f>6.3122 * CHOOSE(CONTROL!$C$32, $C$9, 100%, $E$9)</f>
        <v>6.3121999999999998</v>
      </c>
      <c r="L76" s="11">
        <f>3.9566 * CHOOSE(CONTROL!$C$32, $C$9, 100%, $E$9)</f>
        <v>3.9565999999999999</v>
      </c>
      <c r="M76" s="11">
        <f>3.9602 * CHOOSE(CONTROL!$C$32, $C$9, 100%, $E$9)</f>
        <v>3.9601999999999999</v>
      </c>
      <c r="N76" s="11">
        <f>3.9566 * CHOOSE(CONTROL!$C$32, $C$9, 100%, $E$9)</f>
        <v>3.9565999999999999</v>
      </c>
      <c r="O76" s="11">
        <f>3.9602 * CHOOSE(CONTROL!$C$32, $C$9, 100%, $E$9)</f>
        <v>3.9601999999999999</v>
      </c>
      <c r="P76" s="14"/>
      <c r="Q76" s="14"/>
      <c r="R76" s="14"/>
    </row>
    <row r="77" spans="1:18" ht="15" x14ac:dyDescent="0.2">
      <c r="A77" s="13">
        <v>43191</v>
      </c>
      <c r="B77" s="9">
        <f>3.3713 * CHOOSE(CONTROL!$C$32, $C$9, 100%, $E$9)</f>
        <v>3.3713000000000002</v>
      </c>
      <c r="C77" s="9">
        <f>3.3713 * CHOOSE(CONTROL!$C$32, $C$9, 100%, $E$9)</f>
        <v>3.3713000000000002</v>
      </c>
      <c r="D77" s="9">
        <f>3.3724 * CHOOSE(CONTROL!$C$32, $C$9, 100%, $E$9)</f>
        <v>3.3723999999999998</v>
      </c>
      <c r="E77" s="11">
        <f>3.9541 * CHOOSE(CONTROL!$C$32, $C$9, 100%, $E$9)</f>
        <v>3.9540999999999999</v>
      </c>
      <c r="F77" s="11">
        <f>3.9541 * CHOOSE(CONTROL!$C$32, $C$9, 100%, $E$9)</f>
        <v>3.9540999999999999</v>
      </c>
      <c r="G77" s="11">
        <f>3.9577 * CHOOSE(CONTROL!$C$32, $C$9, 100%, $E$9)</f>
        <v>3.9577</v>
      </c>
      <c r="H77" s="11">
        <f>6.3217 * CHOOSE(CONTROL!$C$32, $C$9, 100%, $E$9)</f>
        <v>6.3216999999999999</v>
      </c>
      <c r="I77" s="11">
        <f>6.3254 * CHOOSE(CONTROL!$C$32, $C$9, 100%, $E$9)</f>
        <v>6.3254000000000001</v>
      </c>
      <c r="J77" s="11">
        <f>6.3217 * CHOOSE(CONTROL!$C$32, $C$9, 100%, $E$9)</f>
        <v>6.3216999999999999</v>
      </c>
      <c r="K77" s="11">
        <f>6.3254 * CHOOSE(CONTROL!$C$32, $C$9, 100%, $E$9)</f>
        <v>6.3254000000000001</v>
      </c>
      <c r="L77" s="11">
        <f>3.9541 * CHOOSE(CONTROL!$C$32, $C$9, 100%, $E$9)</f>
        <v>3.9540999999999999</v>
      </c>
      <c r="M77" s="11">
        <f>3.9577 * CHOOSE(CONTROL!$C$32, $C$9, 100%, $E$9)</f>
        <v>3.9577</v>
      </c>
      <c r="N77" s="11">
        <f>3.9541 * CHOOSE(CONTROL!$C$32, $C$9, 100%, $E$9)</f>
        <v>3.9540999999999999</v>
      </c>
      <c r="O77" s="11">
        <f>3.9577 * CHOOSE(CONTROL!$C$32, $C$9, 100%, $E$9)</f>
        <v>3.9577</v>
      </c>
      <c r="P77" s="14"/>
      <c r="Q77" s="14"/>
      <c r="R77" s="14"/>
    </row>
    <row r="78" spans="1:18" ht="15" x14ac:dyDescent="0.2">
      <c r="A78" s="13">
        <v>43221</v>
      </c>
      <c r="B78" s="9">
        <f>3.38 * CHOOSE(CONTROL!$C$32, $C$9, 100%, $E$9)</f>
        <v>3.38</v>
      </c>
      <c r="C78" s="9">
        <f>3.38 * CHOOSE(CONTROL!$C$32, $C$9, 100%, $E$9)</f>
        <v>3.38</v>
      </c>
      <c r="D78" s="9">
        <f>3.3815 * CHOOSE(CONTROL!$C$32, $C$9, 100%, $E$9)</f>
        <v>3.3815</v>
      </c>
      <c r="E78" s="11">
        <f>3.9541 * CHOOSE(CONTROL!$C$32, $C$9, 100%, $E$9)</f>
        <v>3.9540999999999999</v>
      </c>
      <c r="F78" s="11">
        <f>3.9541 * CHOOSE(CONTROL!$C$32, $C$9, 100%, $E$9)</f>
        <v>3.9540999999999999</v>
      </c>
      <c r="G78" s="11">
        <f>3.9594 * CHOOSE(CONTROL!$C$32, $C$9, 100%, $E$9)</f>
        <v>3.9594</v>
      </c>
      <c r="H78" s="11">
        <f>6.3349 * CHOOSE(CONTROL!$C$32, $C$9, 100%, $E$9)</f>
        <v>6.3349000000000002</v>
      </c>
      <c r="I78" s="11">
        <f>6.3402 * CHOOSE(CONTROL!$C$32, $C$9, 100%, $E$9)</f>
        <v>6.3402000000000003</v>
      </c>
      <c r="J78" s="11">
        <f>6.3349 * CHOOSE(CONTROL!$C$32, $C$9, 100%, $E$9)</f>
        <v>6.3349000000000002</v>
      </c>
      <c r="K78" s="11">
        <f>6.3402 * CHOOSE(CONTROL!$C$32, $C$9, 100%, $E$9)</f>
        <v>6.3402000000000003</v>
      </c>
      <c r="L78" s="11">
        <f>3.9541 * CHOOSE(CONTROL!$C$32, $C$9, 100%, $E$9)</f>
        <v>3.9540999999999999</v>
      </c>
      <c r="M78" s="11">
        <f>3.9594 * CHOOSE(CONTROL!$C$32, $C$9, 100%, $E$9)</f>
        <v>3.9594</v>
      </c>
      <c r="N78" s="11">
        <f>3.9541 * CHOOSE(CONTROL!$C$32, $C$9, 100%, $E$9)</f>
        <v>3.9540999999999999</v>
      </c>
      <c r="O78" s="11">
        <f>3.9594 * CHOOSE(CONTROL!$C$32, $C$9, 100%, $E$9)</f>
        <v>3.9594</v>
      </c>
      <c r="P78" s="14"/>
      <c r="Q78" s="14"/>
      <c r="R78" s="14"/>
    </row>
    <row r="79" spans="1:18" ht="15" x14ac:dyDescent="0.2">
      <c r="A79" s="13">
        <v>43252</v>
      </c>
      <c r="B79" s="9">
        <f>3.386 * CHOOSE(CONTROL!$C$32, $C$9, 100%, $E$9)</f>
        <v>3.3860000000000001</v>
      </c>
      <c r="C79" s="9">
        <f>3.386 * CHOOSE(CONTROL!$C$32, $C$9, 100%, $E$9)</f>
        <v>3.3860000000000001</v>
      </c>
      <c r="D79" s="9">
        <f>3.3876 * CHOOSE(CONTROL!$C$32, $C$9, 100%, $E$9)</f>
        <v>3.3875999999999999</v>
      </c>
      <c r="E79" s="11">
        <f>3.9581 * CHOOSE(CONTROL!$C$32, $C$9, 100%, $E$9)</f>
        <v>3.9581</v>
      </c>
      <c r="F79" s="11">
        <f>3.9581 * CHOOSE(CONTROL!$C$32, $C$9, 100%, $E$9)</f>
        <v>3.9581</v>
      </c>
      <c r="G79" s="11">
        <f>3.9634 * CHOOSE(CONTROL!$C$32, $C$9, 100%, $E$9)</f>
        <v>3.9634</v>
      </c>
      <c r="H79" s="11">
        <f>6.3481 * CHOOSE(CONTROL!$C$32, $C$9, 100%, $E$9)</f>
        <v>6.3480999999999996</v>
      </c>
      <c r="I79" s="11">
        <f>6.3534 * CHOOSE(CONTROL!$C$32, $C$9, 100%, $E$9)</f>
        <v>6.3533999999999997</v>
      </c>
      <c r="J79" s="11">
        <f>6.3481 * CHOOSE(CONTROL!$C$32, $C$9, 100%, $E$9)</f>
        <v>6.3480999999999996</v>
      </c>
      <c r="K79" s="11">
        <f>6.3534 * CHOOSE(CONTROL!$C$32, $C$9, 100%, $E$9)</f>
        <v>6.3533999999999997</v>
      </c>
      <c r="L79" s="11">
        <f>3.9581 * CHOOSE(CONTROL!$C$32, $C$9, 100%, $E$9)</f>
        <v>3.9581</v>
      </c>
      <c r="M79" s="11">
        <f>3.9634 * CHOOSE(CONTROL!$C$32, $C$9, 100%, $E$9)</f>
        <v>3.9634</v>
      </c>
      <c r="N79" s="11">
        <f>3.9581 * CHOOSE(CONTROL!$C$32, $C$9, 100%, $E$9)</f>
        <v>3.9581</v>
      </c>
      <c r="O79" s="11">
        <f>3.9634 * CHOOSE(CONTROL!$C$32, $C$9, 100%, $E$9)</f>
        <v>3.9634</v>
      </c>
      <c r="P79" s="14"/>
      <c r="Q79" s="14"/>
      <c r="R79" s="14"/>
    </row>
    <row r="80" spans="1:18" ht="15" x14ac:dyDescent="0.2">
      <c r="A80" s="13">
        <v>43282</v>
      </c>
      <c r="B80" s="9">
        <f>3.4206 * CHOOSE(CONTROL!$C$32, $C$9, 100%, $E$9)</f>
        <v>3.4205999999999999</v>
      </c>
      <c r="C80" s="9">
        <f>3.4206 * CHOOSE(CONTROL!$C$32, $C$9, 100%, $E$9)</f>
        <v>3.4205999999999999</v>
      </c>
      <c r="D80" s="9">
        <f>3.4222 * CHOOSE(CONTROL!$C$32, $C$9, 100%, $E$9)</f>
        <v>3.4222000000000001</v>
      </c>
      <c r="E80" s="11">
        <f>4.0414 * CHOOSE(CONTROL!$C$32, $C$9, 100%, $E$9)</f>
        <v>4.0414000000000003</v>
      </c>
      <c r="F80" s="11">
        <f>4.0414 * CHOOSE(CONTROL!$C$32, $C$9, 100%, $E$9)</f>
        <v>4.0414000000000003</v>
      </c>
      <c r="G80" s="11">
        <f>4.0467 * CHOOSE(CONTROL!$C$32, $C$9, 100%, $E$9)</f>
        <v>4.0467000000000004</v>
      </c>
      <c r="H80" s="11">
        <f>6.3613 * CHOOSE(CONTROL!$C$32, $C$9, 100%, $E$9)</f>
        <v>6.3613</v>
      </c>
      <c r="I80" s="11">
        <f>6.3666 * CHOOSE(CONTROL!$C$32, $C$9, 100%, $E$9)</f>
        <v>6.3666</v>
      </c>
      <c r="J80" s="11">
        <f>6.3613 * CHOOSE(CONTROL!$C$32, $C$9, 100%, $E$9)</f>
        <v>6.3613</v>
      </c>
      <c r="K80" s="11">
        <f>6.3666 * CHOOSE(CONTROL!$C$32, $C$9, 100%, $E$9)</f>
        <v>6.3666</v>
      </c>
      <c r="L80" s="11">
        <f>4.0414 * CHOOSE(CONTROL!$C$32, $C$9, 100%, $E$9)</f>
        <v>4.0414000000000003</v>
      </c>
      <c r="M80" s="11">
        <f>4.0467 * CHOOSE(CONTROL!$C$32, $C$9, 100%, $E$9)</f>
        <v>4.0467000000000004</v>
      </c>
      <c r="N80" s="11">
        <f>4.0414 * CHOOSE(CONTROL!$C$32, $C$9, 100%, $E$9)</f>
        <v>4.0414000000000003</v>
      </c>
      <c r="O80" s="11">
        <f>4.0467 * CHOOSE(CONTROL!$C$32, $C$9, 100%, $E$9)</f>
        <v>4.0467000000000004</v>
      </c>
      <c r="P80" s="14"/>
      <c r="Q80" s="14"/>
      <c r="R80" s="14"/>
    </row>
    <row r="81" spans="1:18" ht="15" x14ac:dyDescent="0.2">
      <c r="A81" s="13">
        <v>43313</v>
      </c>
      <c r="B81" s="9">
        <f>3.4359 * CHOOSE(CONTROL!$C$32, $C$9, 100%, $E$9)</f>
        <v>3.4359000000000002</v>
      </c>
      <c r="C81" s="9">
        <f>3.4359 * CHOOSE(CONTROL!$C$32, $C$9, 100%, $E$9)</f>
        <v>3.4359000000000002</v>
      </c>
      <c r="D81" s="9">
        <f>3.4375 * CHOOSE(CONTROL!$C$32, $C$9, 100%, $E$9)</f>
        <v>3.4375</v>
      </c>
      <c r="E81" s="11">
        <f>4.0458 * CHOOSE(CONTROL!$C$32, $C$9, 100%, $E$9)</f>
        <v>4.0457999999999998</v>
      </c>
      <c r="F81" s="11">
        <f>4.0458 * CHOOSE(CONTROL!$C$32, $C$9, 100%, $E$9)</f>
        <v>4.0457999999999998</v>
      </c>
      <c r="G81" s="11">
        <f>4.0511 * CHOOSE(CONTROL!$C$32, $C$9, 100%, $E$9)</f>
        <v>4.0510999999999999</v>
      </c>
      <c r="H81" s="11">
        <f>6.3746 * CHOOSE(CONTROL!$C$32, $C$9, 100%, $E$9)</f>
        <v>6.3746</v>
      </c>
      <c r="I81" s="11">
        <f>6.3799 * CHOOSE(CONTROL!$C$32, $C$9, 100%, $E$9)</f>
        <v>6.3799000000000001</v>
      </c>
      <c r="J81" s="11">
        <f>6.3746 * CHOOSE(CONTROL!$C$32, $C$9, 100%, $E$9)</f>
        <v>6.3746</v>
      </c>
      <c r="K81" s="11">
        <f>6.3799 * CHOOSE(CONTROL!$C$32, $C$9, 100%, $E$9)</f>
        <v>6.3799000000000001</v>
      </c>
      <c r="L81" s="11">
        <f>4.0458 * CHOOSE(CONTROL!$C$32, $C$9, 100%, $E$9)</f>
        <v>4.0457999999999998</v>
      </c>
      <c r="M81" s="11">
        <f>4.0511 * CHOOSE(CONTROL!$C$32, $C$9, 100%, $E$9)</f>
        <v>4.0510999999999999</v>
      </c>
      <c r="N81" s="11">
        <f>4.0458 * CHOOSE(CONTROL!$C$32, $C$9, 100%, $E$9)</f>
        <v>4.0457999999999998</v>
      </c>
      <c r="O81" s="11">
        <f>4.0511 * CHOOSE(CONTROL!$C$32, $C$9, 100%, $E$9)</f>
        <v>4.0510999999999999</v>
      </c>
      <c r="P81" s="14"/>
      <c r="Q81" s="14"/>
      <c r="R81" s="14"/>
    </row>
    <row r="82" spans="1:18" ht="15" x14ac:dyDescent="0.2">
      <c r="A82" s="13">
        <v>43344</v>
      </c>
      <c r="B82" s="9">
        <f>3.4328 * CHOOSE(CONTROL!$C$32, $C$9, 100%, $E$9)</f>
        <v>3.4327999999999999</v>
      </c>
      <c r="C82" s="9">
        <f>3.4328 * CHOOSE(CONTROL!$C$32, $C$9, 100%, $E$9)</f>
        <v>3.4327999999999999</v>
      </c>
      <c r="D82" s="9">
        <f>3.4344 * CHOOSE(CONTROL!$C$32, $C$9, 100%, $E$9)</f>
        <v>3.4344000000000001</v>
      </c>
      <c r="E82" s="11">
        <f>4.0438 * CHOOSE(CONTROL!$C$32, $C$9, 100%, $E$9)</f>
        <v>4.0438000000000001</v>
      </c>
      <c r="F82" s="11">
        <f>4.0438 * CHOOSE(CONTROL!$C$32, $C$9, 100%, $E$9)</f>
        <v>4.0438000000000001</v>
      </c>
      <c r="G82" s="11">
        <f>4.0491 * CHOOSE(CONTROL!$C$32, $C$9, 100%, $E$9)</f>
        <v>4.0491000000000001</v>
      </c>
      <c r="H82" s="11">
        <f>6.3879 * CHOOSE(CONTROL!$C$32, $C$9, 100%, $E$9)</f>
        <v>6.3879000000000001</v>
      </c>
      <c r="I82" s="11">
        <f>6.3932 * CHOOSE(CONTROL!$C$32, $C$9, 100%, $E$9)</f>
        <v>6.3932000000000002</v>
      </c>
      <c r="J82" s="11">
        <f>6.3879 * CHOOSE(CONTROL!$C$32, $C$9, 100%, $E$9)</f>
        <v>6.3879000000000001</v>
      </c>
      <c r="K82" s="11">
        <f>6.3932 * CHOOSE(CONTROL!$C$32, $C$9, 100%, $E$9)</f>
        <v>6.3932000000000002</v>
      </c>
      <c r="L82" s="11">
        <f>4.0438 * CHOOSE(CONTROL!$C$32, $C$9, 100%, $E$9)</f>
        <v>4.0438000000000001</v>
      </c>
      <c r="M82" s="11">
        <f>4.0491 * CHOOSE(CONTROL!$C$32, $C$9, 100%, $E$9)</f>
        <v>4.0491000000000001</v>
      </c>
      <c r="N82" s="11">
        <f>4.0438 * CHOOSE(CONTROL!$C$32, $C$9, 100%, $E$9)</f>
        <v>4.0438000000000001</v>
      </c>
      <c r="O82" s="11">
        <f>4.0491 * CHOOSE(CONTROL!$C$32, $C$9, 100%, $E$9)</f>
        <v>4.0491000000000001</v>
      </c>
      <c r="P82" s="14"/>
      <c r="Q82" s="14"/>
      <c r="R82" s="14"/>
    </row>
    <row r="83" spans="1:18" ht="15" x14ac:dyDescent="0.2">
      <c r="A83" s="13">
        <v>43374</v>
      </c>
      <c r="B83" s="9">
        <f>3.4135 * CHOOSE(CONTROL!$C$32, $C$9, 100%, $E$9)</f>
        <v>3.4135</v>
      </c>
      <c r="C83" s="9">
        <f>3.4135 * CHOOSE(CONTROL!$C$32, $C$9, 100%, $E$9)</f>
        <v>3.4135</v>
      </c>
      <c r="D83" s="9">
        <f>3.4146 * CHOOSE(CONTROL!$C$32, $C$9, 100%, $E$9)</f>
        <v>3.4146000000000001</v>
      </c>
      <c r="E83" s="11">
        <f>4.0369 * CHOOSE(CONTROL!$C$32, $C$9, 100%, $E$9)</f>
        <v>4.0369000000000002</v>
      </c>
      <c r="F83" s="11">
        <f>4.0369 * CHOOSE(CONTROL!$C$32, $C$9, 100%, $E$9)</f>
        <v>4.0369000000000002</v>
      </c>
      <c r="G83" s="11">
        <f>4.0406 * CHOOSE(CONTROL!$C$32, $C$9, 100%, $E$9)</f>
        <v>4.0406000000000004</v>
      </c>
      <c r="H83" s="11">
        <f>6.4012 * CHOOSE(CONTROL!$C$32, $C$9, 100%, $E$9)</f>
        <v>6.4012000000000002</v>
      </c>
      <c r="I83" s="11">
        <f>6.4048 * CHOOSE(CONTROL!$C$32, $C$9, 100%, $E$9)</f>
        <v>6.4047999999999998</v>
      </c>
      <c r="J83" s="11">
        <f>6.4012 * CHOOSE(CONTROL!$C$32, $C$9, 100%, $E$9)</f>
        <v>6.4012000000000002</v>
      </c>
      <c r="K83" s="11">
        <f>6.4048 * CHOOSE(CONTROL!$C$32, $C$9, 100%, $E$9)</f>
        <v>6.4047999999999998</v>
      </c>
      <c r="L83" s="11">
        <f>4.0369 * CHOOSE(CONTROL!$C$32, $C$9, 100%, $E$9)</f>
        <v>4.0369000000000002</v>
      </c>
      <c r="M83" s="11">
        <f>4.0406 * CHOOSE(CONTROL!$C$32, $C$9, 100%, $E$9)</f>
        <v>4.0406000000000004</v>
      </c>
      <c r="N83" s="11">
        <f>4.0369 * CHOOSE(CONTROL!$C$32, $C$9, 100%, $E$9)</f>
        <v>4.0369000000000002</v>
      </c>
      <c r="O83" s="11">
        <f>4.0406 * CHOOSE(CONTROL!$C$32, $C$9, 100%, $E$9)</f>
        <v>4.0406000000000004</v>
      </c>
      <c r="P83" s="14"/>
      <c r="Q83" s="14"/>
      <c r="R83" s="14"/>
    </row>
    <row r="84" spans="1:18" ht="15" x14ac:dyDescent="0.2">
      <c r="A84" s="13">
        <v>43405</v>
      </c>
      <c r="B84" s="9">
        <f>3.4253 * CHOOSE(CONTROL!$C$32, $C$9, 100%, $E$9)</f>
        <v>3.4253</v>
      </c>
      <c r="C84" s="9">
        <f>3.4253 * CHOOSE(CONTROL!$C$32, $C$9, 100%, $E$9)</f>
        <v>3.4253</v>
      </c>
      <c r="D84" s="9">
        <f>3.4263 * CHOOSE(CONTROL!$C$32, $C$9, 100%, $E$9)</f>
        <v>3.4262999999999999</v>
      </c>
      <c r="E84" s="11">
        <f>4.0389 * CHOOSE(CONTROL!$C$32, $C$9, 100%, $E$9)</f>
        <v>4.0388999999999999</v>
      </c>
      <c r="F84" s="11">
        <f>4.0389 * CHOOSE(CONTROL!$C$32, $C$9, 100%, $E$9)</f>
        <v>4.0388999999999999</v>
      </c>
      <c r="G84" s="11">
        <f>4.0426 * CHOOSE(CONTROL!$C$32, $C$9, 100%, $E$9)</f>
        <v>4.0426000000000002</v>
      </c>
      <c r="H84" s="11">
        <f>6.4145 * CHOOSE(CONTROL!$C$32, $C$9, 100%, $E$9)</f>
        <v>6.4145000000000003</v>
      </c>
      <c r="I84" s="11">
        <f>6.4181 * CHOOSE(CONTROL!$C$32, $C$9, 100%, $E$9)</f>
        <v>6.4180999999999999</v>
      </c>
      <c r="J84" s="11">
        <f>6.4145 * CHOOSE(CONTROL!$C$32, $C$9, 100%, $E$9)</f>
        <v>6.4145000000000003</v>
      </c>
      <c r="K84" s="11">
        <f>6.4181 * CHOOSE(CONTROL!$C$32, $C$9, 100%, $E$9)</f>
        <v>6.4180999999999999</v>
      </c>
      <c r="L84" s="11">
        <f>4.0389 * CHOOSE(CONTROL!$C$32, $C$9, 100%, $E$9)</f>
        <v>4.0388999999999999</v>
      </c>
      <c r="M84" s="11">
        <f>4.0426 * CHOOSE(CONTROL!$C$32, $C$9, 100%, $E$9)</f>
        <v>4.0426000000000002</v>
      </c>
      <c r="N84" s="11">
        <f>4.0389 * CHOOSE(CONTROL!$C$32, $C$9, 100%, $E$9)</f>
        <v>4.0388999999999999</v>
      </c>
      <c r="O84" s="11">
        <f>4.0426 * CHOOSE(CONTROL!$C$32, $C$9, 100%, $E$9)</f>
        <v>4.0426000000000002</v>
      </c>
      <c r="P84" s="14"/>
      <c r="Q84" s="14"/>
      <c r="R84" s="14"/>
    </row>
    <row r="85" spans="1:18" ht="15" x14ac:dyDescent="0.2">
      <c r="A85" s="13">
        <v>43435</v>
      </c>
      <c r="B85" s="9">
        <f>3.4251 * CHOOSE(CONTROL!$C$32, $C$9, 100%, $E$9)</f>
        <v>3.4251</v>
      </c>
      <c r="C85" s="9">
        <f>3.4251 * CHOOSE(CONTROL!$C$32, $C$9, 100%, $E$9)</f>
        <v>3.4251</v>
      </c>
      <c r="D85" s="9">
        <f>3.4262 * CHOOSE(CONTROL!$C$32, $C$9, 100%, $E$9)</f>
        <v>3.4262000000000001</v>
      </c>
      <c r="E85" s="11">
        <f>4.0389 * CHOOSE(CONTROL!$C$32, $C$9, 100%, $E$9)</f>
        <v>4.0388999999999999</v>
      </c>
      <c r="F85" s="11">
        <f>4.0389 * CHOOSE(CONTROL!$C$32, $C$9, 100%, $E$9)</f>
        <v>4.0388999999999999</v>
      </c>
      <c r="G85" s="11">
        <f>4.0426 * CHOOSE(CONTROL!$C$32, $C$9, 100%, $E$9)</f>
        <v>4.0426000000000002</v>
      </c>
      <c r="H85" s="11">
        <f>6.4279 * CHOOSE(CONTROL!$C$32, $C$9, 100%, $E$9)</f>
        <v>6.4279000000000002</v>
      </c>
      <c r="I85" s="11">
        <f>6.4315 * CHOOSE(CONTROL!$C$32, $C$9, 100%, $E$9)</f>
        <v>6.4314999999999998</v>
      </c>
      <c r="J85" s="11">
        <f>6.4279 * CHOOSE(CONTROL!$C$32, $C$9, 100%, $E$9)</f>
        <v>6.4279000000000002</v>
      </c>
      <c r="K85" s="11">
        <f>6.4315 * CHOOSE(CONTROL!$C$32, $C$9, 100%, $E$9)</f>
        <v>6.4314999999999998</v>
      </c>
      <c r="L85" s="11">
        <f>4.0389 * CHOOSE(CONTROL!$C$32, $C$9, 100%, $E$9)</f>
        <v>4.0388999999999999</v>
      </c>
      <c r="M85" s="11">
        <f>4.0426 * CHOOSE(CONTROL!$C$32, $C$9, 100%, $E$9)</f>
        <v>4.0426000000000002</v>
      </c>
      <c r="N85" s="11">
        <f>4.0389 * CHOOSE(CONTROL!$C$32, $C$9, 100%, $E$9)</f>
        <v>4.0388999999999999</v>
      </c>
      <c r="O85" s="11">
        <f>4.0426 * CHOOSE(CONTROL!$C$32, $C$9, 100%, $E$9)</f>
        <v>4.0426000000000002</v>
      </c>
      <c r="P85" s="14"/>
      <c r="Q85" s="14"/>
      <c r="R85" s="14"/>
    </row>
    <row r="86" spans="1:18" ht="15" x14ac:dyDescent="0.2">
      <c r="A86" s="13">
        <v>43466</v>
      </c>
      <c r="B86" s="9">
        <f>3.206 * CHOOSE(CONTROL!$C$32, $C$9, 100%, $E$9)</f>
        <v>3.206</v>
      </c>
      <c r="C86" s="9">
        <f>3.206 * CHOOSE(CONTROL!$C$32, $C$9, 100%, $E$9)</f>
        <v>3.206</v>
      </c>
      <c r="D86" s="9">
        <f>3.2071 * CHOOSE(CONTROL!$C$32, $C$9, 100%, $E$9)</f>
        <v>3.2071000000000001</v>
      </c>
      <c r="E86" s="11">
        <f>4.0646 * CHOOSE(CONTROL!$C$32, $C$9, 100%, $E$9)</f>
        <v>4.0646000000000004</v>
      </c>
      <c r="F86" s="11">
        <f>4.0646 * CHOOSE(CONTROL!$C$32, $C$9, 100%, $E$9)</f>
        <v>4.0646000000000004</v>
      </c>
      <c r="G86" s="11">
        <f>4.0682 * CHOOSE(CONTROL!$C$32, $C$9, 100%, $E$9)</f>
        <v>4.0682</v>
      </c>
      <c r="H86" s="11">
        <f>6.4413 * CHOOSE(CONTROL!$C$32, $C$9, 100%, $E$9)</f>
        <v>6.4413</v>
      </c>
      <c r="I86" s="11">
        <f>6.4449 * CHOOSE(CONTROL!$C$32, $C$9, 100%, $E$9)</f>
        <v>6.4448999999999996</v>
      </c>
      <c r="J86" s="11">
        <f>6.4413 * CHOOSE(CONTROL!$C$32, $C$9, 100%, $E$9)</f>
        <v>6.4413</v>
      </c>
      <c r="K86" s="11">
        <f>6.4449 * CHOOSE(CONTROL!$C$32, $C$9, 100%, $E$9)</f>
        <v>6.4448999999999996</v>
      </c>
      <c r="L86" s="11">
        <f>4.0646 * CHOOSE(CONTROL!$C$32, $C$9, 100%, $E$9)</f>
        <v>4.0646000000000004</v>
      </c>
      <c r="M86" s="11">
        <f>4.0682 * CHOOSE(CONTROL!$C$32, $C$9, 100%, $E$9)</f>
        <v>4.0682</v>
      </c>
      <c r="N86" s="11">
        <f>4.0646 * CHOOSE(CONTROL!$C$32, $C$9, 100%, $E$9)</f>
        <v>4.0646000000000004</v>
      </c>
      <c r="O86" s="11">
        <f>4.0682 * CHOOSE(CONTROL!$C$32, $C$9, 100%, $E$9)</f>
        <v>4.0682</v>
      </c>
      <c r="P86" s="14"/>
      <c r="Q86" s="14"/>
      <c r="R86" s="14"/>
    </row>
    <row r="87" spans="1:18" ht="15" x14ac:dyDescent="0.2">
      <c r="A87" s="13">
        <v>43497</v>
      </c>
      <c r="B87" s="9">
        <f>3.2029 * CHOOSE(CONTROL!$C$32, $C$9, 100%, $E$9)</f>
        <v>3.2029000000000001</v>
      </c>
      <c r="C87" s="9">
        <f>3.2029 * CHOOSE(CONTROL!$C$32, $C$9, 100%, $E$9)</f>
        <v>3.2029000000000001</v>
      </c>
      <c r="D87" s="9">
        <f>3.204 * CHOOSE(CONTROL!$C$32, $C$9, 100%, $E$9)</f>
        <v>3.2040000000000002</v>
      </c>
      <c r="E87" s="11">
        <f>4.0626 * CHOOSE(CONTROL!$C$32, $C$9, 100%, $E$9)</f>
        <v>4.0625999999999998</v>
      </c>
      <c r="F87" s="11">
        <f>4.0626 * CHOOSE(CONTROL!$C$32, $C$9, 100%, $E$9)</f>
        <v>4.0625999999999998</v>
      </c>
      <c r="G87" s="11">
        <f>4.0662 * CHOOSE(CONTROL!$C$32, $C$9, 100%, $E$9)</f>
        <v>4.0662000000000003</v>
      </c>
      <c r="H87" s="11">
        <f>6.4547 * CHOOSE(CONTROL!$C$32, $C$9, 100%, $E$9)</f>
        <v>6.4546999999999999</v>
      </c>
      <c r="I87" s="11">
        <f>6.4583 * CHOOSE(CONTROL!$C$32, $C$9, 100%, $E$9)</f>
        <v>6.4583000000000004</v>
      </c>
      <c r="J87" s="11">
        <f>6.4547 * CHOOSE(CONTROL!$C$32, $C$9, 100%, $E$9)</f>
        <v>6.4546999999999999</v>
      </c>
      <c r="K87" s="11">
        <f>6.4583 * CHOOSE(CONTROL!$C$32, $C$9, 100%, $E$9)</f>
        <v>6.4583000000000004</v>
      </c>
      <c r="L87" s="11">
        <f>4.0626 * CHOOSE(CONTROL!$C$32, $C$9, 100%, $E$9)</f>
        <v>4.0625999999999998</v>
      </c>
      <c r="M87" s="11">
        <f>4.0662 * CHOOSE(CONTROL!$C$32, $C$9, 100%, $E$9)</f>
        <v>4.0662000000000003</v>
      </c>
      <c r="N87" s="11">
        <f>4.0626 * CHOOSE(CONTROL!$C$32, $C$9, 100%, $E$9)</f>
        <v>4.0625999999999998</v>
      </c>
      <c r="O87" s="11">
        <f>4.0662 * CHOOSE(CONTROL!$C$32, $C$9, 100%, $E$9)</f>
        <v>4.0662000000000003</v>
      </c>
      <c r="P87" s="14"/>
      <c r="Q87" s="14"/>
      <c r="R87" s="14"/>
    </row>
    <row r="88" spans="1:18" ht="15" x14ac:dyDescent="0.2">
      <c r="A88" s="13">
        <v>43525</v>
      </c>
      <c r="B88" s="9">
        <f>3.1999 * CHOOSE(CONTROL!$C$32, $C$9, 100%, $E$9)</f>
        <v>3.1999</v>
      </c>
      <c r="C88" s="9">
        <f>3.1999 * CHOOSE(CONTROL!$C$32, $C$9, 100%, $E$9)</f>
        <v>3.1999</v>
      </c>
      <c r="D88" s="9">
        <f>3.201 * CHOOSE(CONTROL!$C$32, $C$9, 100%, $E$9)</f>
        <v>3.2010000000000001</v>
      </c>
      <c r="E88" s="11">
        <f>4.0606 * CHOOSE(CONTROL!$C$32, $C$9, 100%, $E$9)</f>
        <v>4.0606</v>
      </c>
      <c r="F88" s="11">
        <f>4.0606 * CHOOSE(CONTROL!$C$32, $C$9, 100%, $E$9)</f>
        <v>4.0606</v>
      </c>
      <c r="G88" s="11">
        <f>4.0642 * CHOOSE(CONTROL!$C$32, $C$9, 100%, $E$9)</f>
        <v>4.0641999999999996</v>
      </c>
      <c r="H88" s="11">
        <f>6.4681 * CHOOSE(CONTROL!$C$32, $C$9, 100%, $E$9)</f>
        <v>6.4680999999999997</v>
      </c>
      <c r="I88" s="11">
        <f>6.4717 * CHOOSE(CONTROL!$C$32, $C$9, 100%, $E$9)</f>
        <v>6.4717000000000002</v>
      </c>
      <c r="J88" s="11">
        <f>6.4681 * CHOOSE(CONTROL!$C$32, $C$9, 100%, $E$9)</f>
        <v>6.4680999999999997</v>
      </c>
      <c r="K88" s="11">
        <f>6.4717 * CHOOSE(CONTROL!$C$32, $C$9, 100%, $E$9)</f>
        <v>6.4717000000000002</v>
      </c>
      <c r="L88" s="11">
        <f>4.0606 * CHOOSE(CONTROL!$C$32, $C$9, 100%, $E$9)</f>
        <v>4.0606</v>
      </c>
      <c r="M88" s="11">
        <f>4.0642 * CHOOSE(CONTROL!$C$32, $C$9, 100%, $E$9)</f>
        <v>4.0641999999999996</v>
      </c>
      <c r="N88" s="11">
        <f>4.0606 * CHOOSE(CONTROL!$C$32, $C$9, 100%, $E$9)</f>
        <v>4.0606</v>
      </c>
      <c r="O88" s="11">
        <f>4.0642 * CHOOSE(CONTROL!$C$32, $C$9, 100%, $E$9)</f>
        <v>4.0641999999999996</v>
      </c>
      <c r="P88" s="14"/>
      <c r="Q88" s="14"/>
      <c r="R88" s="14"/>
    </row>
    <row r="89" spans="1:18" ht="15" x14ac:dyDescent="0.2">
      <c r="A89" s="13">
        <v>43556</v>
      </c>
      <c r="B89" s="9">
        <f>3.1968 * CHOOSE(CONTROL!$C$32, $C$9, 100%, $E$9)</f>
        <v>3.1968000000000001</v>
      </c>
      <c r="C89" s="9">
        <f>3.1968 * CHOOSE(CONTROL!$C$32, $C$9, 100%, $E$9)</f>
        <v>3.1968000000000001</v>
      </c>
      <c r="D89" s="9">
        <f>3.1979 * CHOOSE(CONTROL!$C$32, $C$9, 100%, $E$9)</f>
        <v>3.1979000000000002</v>
      </c>
      <c r="E89" s="11">
        <f>4.0581 * CHOOSE(CONTROL!$C$32, $C$9, 100%, $E$9)</f>
        <v>4.0580999999999996</v>
      </c>
      <c r="F89" s="11">
        <f>4.0581 * CHOOSE(CONTROL!$C$32, $C$9, 100%, $E$9)</f>
        <v>4.0580999999999996</v>
      </c>
      <c r="G89" s="11">
        <f>4.0617 * CHOOSE(CONTROL!$C$32, $C$9, 100%, $E$9)</f>
        <v>4.0617000000000001</v>
      </c>
      <c r="H89" s="11">
        <f>6.4816 * CHOOSE(CONTROL!$C$32, $C$9, 100%, $E$9)</f>
        <v>6.4816000000000003</v>
      </c>
      <c r="I89" s="11">
        <f>6.4852 * CHOOSE(CONTROL!$C$32, $C$9, 100%, $E$9)</f>
        <v>6.4851999999999999</v>
      </c>
      <c r="J89" s="11">
        <f>6.4816 * CHOOSE(CONTROL!$C$32, $C$9, 100%, $E$9)</f>
        <v>6.4816000000000003</v>
      </c>
      <c r="K89" s="11">
        <f>6.4852 * CHOOSE(CONTROL!$C$32, $C$9, 100%, $E$9)</f>
        <v>6.4851999999999999</v>
      </c>
      <c r="L89" s="11">
        <f>4.0581 * CHOOSE(CONTROL!$C$32, $C$9, 100%, $E$9)</f>
        <v>4.0580999999999996</v>
      </c>
      <c r="M89" s="11">
        <f>4.0617 * CHOOSE(CONTROL!$C$32, $C$9, 100%, $E$9)</f>
        <v>4.0617000000000001</v>
      </c>
      <c r="N89" s="11">
        <f>4.0581 * CHOOSE(CONTROL!$C$32, $C$9, 100%, $E$9)</f>
        <v>4.0580999999999996</v>
      </c>
      <c r="O89" s="11">
        <f>4.0617 * CHOOSE(CONTROL!$C$32, $C$9, 100%, $E$9)</f>
        <v>4.0617000000000001</v>
      </c>
      <c r="P89" s="14"/>
      <c r="Q89" s="14"/>
      <c r="R89" s="14"/>
    </row>
    <row r="90" spans="1:18" ht="15" x14ac:dyDescent="0.2">
      <c r="A90" s="13">
        <v>43586</v>
      </c>
      <c r="B90" s="9">
        <f>3.1968 * CHOOSE(CONTROL!$C$32, $C$9, 100%, $E$9)</f>
        <v>3.1968000000000001</v>
      </c>
      <c r="C90" s="9">
        <f>3.1968 * CHOOSE(CONTROL!$C$32, $C$9, 100%, $E$9)</f>
        <v>3.1968000000000001</v>
      </c>
      <c r="D90" s="9">
        <f>3.1984 * CHOOSE(CONTROL!$C$32, $C$9, 100%, $E$9)</f>
        <v>3.1983999999999999</v>
      </c>
      <c r="E90" s="11">
        <f>4.0581 * CHOOSE(CONTROL!$C$32, $C$9, 100%, $E$9)</f>
        <v>4.0580999999999996</v>
      </c>
      <c r="F90" s="11">
        <f>4.0581 * CHOOSE(CONTROL!$C$32, $C$9, 100%, $E$9)</f>
        <v>4.0580999999999996</v>
      </c>
      <c r="G90" s="11">
        <f>4.0634 * CHOOSE(CONTROL!$C$32, $C$9, 100%, $E$9)</f>
        <v>4.0633999999999997</v>
      </c>
      <c r="H90" s="11">
        <f>6.4951 * CHOOSE(CONTROL!$C$32, $C$9, 100%, $E$9)</f>
        <v>6.4950999999999999</v>
      </c>
      <c r="I90" s="11">
        <f>6.5004 * CHOOSE(CONTROL!$C$32, $C$9, 100%, $E$9)</f>
        <v>6.5004</v>
      </c>
      <c r="J90" s="11">
        <f>6.4951 * CHOOSE(CONTROL!$C$32, $C$9, 100%, $E$9)</f>
        <v>6.4950999999999999</v>
      </c>
      <c r="K90" s="11">
        <f>6.5004 * CHOOSE(CONTROL!$C$32, $C$9, 100%, $E$9)</f>
        <v>6.5004</v>
      </c>
      <c r="L90" s="11">
        <f>4.0581 * CHOOSE(CONTROL!$C$32, $C$9, 100%, $E$9)</f>
        <v>4.0580999999999996</v>
      </c>
      <c r="M90" s="11">
        <f>4.0634 * CHOOSE(CONTROL!$C$32, $C$9, 100%, $E$9)</f>
        <v>4.0633999999999997</v>
      </c>
      <c r="N90" s="11">
        <f>4.0581 * CHOOSE(CONTROL!$C$32, $C$9, 100%, $E$9)</f>
        <v>4.0580999999999996</v>
      </c>
      <c r="O90" s="11">
        <f>4.0634 * CHOOSE(CONTROL!$C$32, $C$9, 100%, $E$9)</f>
        <v>4.0633999999999997</v>
      </c>
      <c r="P90" s="14"/>
      <c r="Q90" s="14"/>
      <c r="R90" s="14"/>
    </row>
    <row r="91" spans="1:18" ht="15" x14ac:dyDescent="0.2">
      <c r="A91" s="13">
        <v>43617</v>
      </c>
      <c r="B91" s="9">
        <f>3.2029 * CHOOSE(CONTROL!$C$32, $C$9, 100%, $E$9)</f>
        <v>3.2029000000000001</v>
      </c>
      <c r="C91" s="9">
        <f>3.2029 * CHOOSE(CONTROL!$C$32, $C$9, 100%, $E$9)</f>
        <v>3.2029000000000001</v>
      </c>
      <c r="D91" s="9">
        <f>3.2045 * CHOOSE(CONTROL!$C$32, $C$9, 100%, $E$9)</f>
        <v>3.2044999999999999</v>
      </c>
      <c r="E91" s="11">
        <f>4.0621 * CHOOSE(CONTROL!$C$32, $C$9, 100%, $E$9)</f>
        <v>4.0621</v>
      </c>
      <c r="F91" s="11">
        <f>4.0621 * CHOOSE(CONTROL!$C$32, $C$9, 100%, $E$9)</f>
        <v>4.0621</v>
      </c>
      <c r="G91" s="11">
        <f>4.0674 * CHOOSE(CONTROL!$C$32, $C$9, 100%, $E$9)</f>
        <v>4.0674000000000001</v>
      </c>
      <c r="H91" s="11">
        <f>6.5086 * CHOOSE(CONTROL!$C$32, $C$9, 100%, $E$9)</f>
        <v>6.5086000000000004</v>
      </c>
      <c r="I91" s="11">
        <f>6.5139 * CHOOSE(CONTROL!$C$32, $C$9, 100%, $E$9)</f>
        <v>6.5138999999999996</v>
      </c>
      <c r="J91" s="11">
        <f>6.5086 * CHOOSE(CONTROL!$C$32, $C$9, 100%, $E$9)</f>
        <v>6.5086000000000004</v>
      </c>
      <c r="K91" s="11">
        <f>6.5139 * CHOOSE(CONTROL!$C$32, $C$9, 100%, $E$9)</f>
        <v>6.5138999999999996</v>
      </c>
      <c r="L91" s="11">
        <f>4.0621 * CHOOSE(CONTROL!$C$32, $C$9, 100%, $E$9)</f>
        <v>4.0621</v>
      </c>
      <c r="M91" s="11">
        <f>4.0674 * CHOOSE(CONTROL!$C$32, $C$9, 100%, $E$9)</f>
        <v>4.0674000000000001</v>
      </c>
      <c r="N91" s="11">
        <f>4.0621 * CHOOSE(CONTROL!$C$32, $C$9, 100%, $E$9)</f>
        <v>4.0621</v>
      </c>
      <c r="O91" s="11">
        <f>4.0674 * CHOOSE(CONTROL!$C$32, $C$9, 100%, $E$9)</f>
        <v>4.0674000000000001</v>
      </c>
      <c r="P91" s="14"/>
      <c r="Q91" s="14"/>
      <c r="R91" s="14"/>
    </row>
    <row r="92" spans="1:18" ht="15" x14ac:dyDescent="0.2">
      <c r="A92" s="13">
        <v>43647</v>
      </c>
      <c r="B92" s="9">
        <f>3.243 * CHOOSE(CONTROL!$C$32, $C$9, 100%, $E$9)</f>
        <v>3.2429999999999999</v>
      </c>
      <c r="C92" s="9">
        <f>3.243 * CHOOSE(CONTROL!$C$32, $C$9, 100%, $E$9)</f>
        <v>3.2429999999999999</v>
      </c>
      <c r="D92" s="9">
        <f>3.2446 * CHOOSE(CONTROL!$C$32, $C$9, 100%, $E$9)</f>
        <v>3.2446000000000002</v>
      </c>
      <c r="E92" s="11">
        <f>4.1173 * CHOOSE(CONTROL!$C$32, $C$9, 100%, $E$9)</f>
        <v>4.1173000000000002</v>
      </c>
      <c r="F92" s="11">
        <f>4.1173 * CHOOSE(CONTROL!$C$32, $C$9, 100%, $E$9)</f>
        <v>4.1173000000000002</v>
      </c>
      <c r="G92" s="11">
        <f>4.1226 * CHOOSE(CONTROL!$C$32, $C$9, 100%, $E$9)</f>
        <v>4.1226000000000003</v>
      </c>
      <c r="H92" s="11">
        <f>6.5222 * CHOOSE(CONTROL!$C$32, $C$9, 100%, $E$9)</f>
        <v>6.5221999999999998</v>
      </c>
      <c r="I92" s="11">
        <f>6.5275 * CHOOSE(CONTROL!$C$32, $C$9, 100%, $E$9)</f>
        <v>6.5274999999999999</v>
      </c>
      <c r="J92" s="11">
        <f>6.5222 * CHOOSE(CONTROL!$C$32, $C$9, 100%, $E$9)</f>
        <v>6.5221999999999998</v>
      </c>
      <c r="K92" s="11">
        <f>6.5275 * CHOOSE(CONTROL!$C$32, $C$9, 100%, $E$9)</f>
        <v>6.5274999999999999</v>
      </c>
      <c r="L92" s="11">
        <f>4.1173 * CHOOSE(CONTROL!$C$32, $C$9, 100%, $E$9)</f>
        <v>4.1173000000000002</v>
      </c>
      <c r="M92" s="11">
        <f>4.1226 * CHOOSE(CONTROL!$C$32, $C$9, 100%, $E$9)</f>
        <v>4.1226000000000003</v>
      </c>
      <c r="N92" s="11">
        <f>4.1173 * CHOOSE(CONTROL!$C$32, $C$9, 100%, $E$9)</f>
        <v>4.1173000000000002</v>
      </c>
      <c r="O92" s="11">
        <f>4.1226 * CHOOSE(CONTROL!$C$32, $C$9, 100%, $E$9)</f>
        <v>4.1226000000000003</v>
      </c>
      <c r="P92" s="14"/>
      <c r="Q92" s="14"/>
      <c r="R92" s="14"/>
    </row>
    <row r="93" spans="1:18" ht="15" x14ac:dyDescent="0.2">
      <c r="A93" s="13">
        <v>43678</v>
      </c>
      <c r="B93" s="9">
        <f>3.2497 * CHOOSE(CONTROL!$C$32, $C$9, 100%, $E$9)</f>
        <v>3.2496999999999998</v>
      </c>
      <c r="C93" s="9">
        <f>3.2497 * CHOOSE(CONTROL!$C$32, $C$9, 100%, $E$9)</f>
        <v>3.2496999999999998</v>
      </c>
      <c r="D93" s="9">
        <f>3.2512 * CHOOSE(CONTROL!$C$32, $C$9, 100%, $E$9)</f>
        <v>3.2511999999999999</v>
      </c>
      <c r="E93" s="11">
        <f>4.1217 * CHOOSE(CONTROL!$C$32, $C$9, 100%, $E$9)</f>
        <v>4.1216999999999997</v>
      </c>
      <c r="F93" s="11">
        <f>4.1217 * CHOOSE(CONTROL!$C$32, $C$9, 100%, $E$9)</f>
        <v>4.1216999999999997</v>
      </c>
      <c r="G93" s="11">
        <f>4.127 * CHOOSE(CONTROL!$C$32, $C$9, 100%, $E$9)</f>
        <v>4.1269999999999998</v>
      </c>
      <c r="H93" s="11">
        <f>6.5358 * CHOOSE(CONTROL!$C$32, $C$9, 100%, $E$9)</f>
        <v>6.5358000000000001</v>
      </c>
      <c r="I93" s="11">
        <f>6.5411 * CHOOSE(CONTROL!$C$32, $C$9, 100%, $E$9)</f>
        <v>6.5411000000000001</v>
      </c>
      <c r="J93" s="11">
        <f>6.5358 * CHOOSE(CONTROL!$C$32, $C$9, 100%, $E$9)</f>
        <v>6.5358000000000001</v>
      </c>
      <c r="K93" s="11">
        <f>6.5411 * CHOOSE(CONTROL!$C$32, $C$9, 100%, $E$9)</f>
        <v>6.5411000000000001</v>
      </c>
      <c r="L93" s="11">
        <f>4.1217 * CHOOSE(CONTROL!$C$32, $C$9, 100%, $E$9)</f>
        <v>4.1216999999999997</v>
      </c>
      <c r="M93" s="11">
        <f>4.127 * CHOOSE(CONTROL!$C$32, $C$9, 100%, $E$9)</f>
        <v>4.1269999999999998</v>
      </c>
      <c r="N93" s="11">
        <f>4.1217 * CHOOSE(CONTROL!$C$32, $C$9, 100%, $E$9)</f>
        <v>4.1216999999999997</v>
      </c>
      <c r="O93" s="11">
        <f>4.127 * CHOOSE(CONTROL!$C$32, $C$9, 100%, $E$9)</f>
        <v>4.1269999999999998</v>
      </c>
      <c r="P93" s="14"/>
      <c r="Q93" s="14"/>
      <c r="R93" s="14"/>
    </row>
    <row r="94" spans="1:18" ht="15" x14ac:dyDescent="0.2">
      <c r="A94" s="13">
        <v>43709</v>
      </c>
      <c r="B94" s="9">
        <f>3.2466 * CHOOSE(CONTROL!$C$32, $C$9, 100%, $E$9)</f>
        <v>3.2465999999999999</v>
      </c>
      <c r="C94" s="9">
        <f>3.2466 * CHOOSE(CONTROL!$C$32, $C$9, 100%, $E$9)</f>
        <v>3.2465999999999999</v>
      </c>
      <c r="D94" s="9">
        <f>3.2482 * CHOOSE(CONTROL!$C$32, $C$9, 100%, $E$9)</f>
        <v>3.2482000000000002</v>
      </c>
      <c r="E94" s="11">
        <f>4.1197 * CHOOSE(CONTROL!$C$32, $C$9, 100%, $E$9)</f>
        <v>4.1196999999999999</v>
      </c>
      <c r="F94" s="11">
        <f>4.1197 * CHOOSE(CONTROL!$C$32, $C$9, 100%, $E$9)</f>
        <v>4.1196999999999999</v>
      </c>
      <c r="G94" s="11">
        <f>4.125 * CHOOSE(CONTROL!$C$32, $C$9, 100%, $E$9)</f>
        <v>4.125</v>
      </c>
      <c r="H94" s="11">
        <f>6.5494 * CHOOSE(CONTROL!$C$32, $C$9, 100%, $E$9)</f>
        <v>6.5494000000000003</v>
      </c>
      <c r="I94" s="11">
        <f>6.5547 * CHOOSE(CONTROL!$C$32, $C$9, 100%, $E$9)</f>
        <v>6.5547000000000004</v>
      </c>
      <c r="J94" s="11">
        <f>6.5494 * CHOOSE(CONTROL!$C$32, $C$9, 100%, $E$9)</f>
        <v>6.5494000000000003</v>
      </c>
      <c r="K94" s="11">
        <f>6.5547 * CHOOSE(CONTROL!$C$32, $C$9, 100%, $E$9)</f>
        <v>6.5547000000000004</v>
      </c>
      <c r="L94" s="11">
        <f>4.1197 * CHOOSE(CONTROL!$C$32, $C$9, 100%, $E$9)</f>
        <v>4.1196999999999999</v>
      </c>
      <c r="M94" s="11">
        <f>4.125 * CHOOSE(CONTROL!$C$32, $C$9, 100%, $E$9)</f>
        <v>4.125</v>
      </c>
      <c r="N94" s="11">
        <f>4.1197 * CHOOSE(CONTROL!$C$32, $C$9, 100%, $E$9)</f>
        <v>4.1196999999999999</v>
      </c>
      <c r="O94" s="11">
        <f>4.125 * CHOOSE(CONTROL!$C$32, $C$9, 100%, $E$9)</f>
        <v>4.125</v>
      </c>
      <c r="P94" s="14"/>
      <c r="Q94" s="14"/>
      <c r="R94" s="14"/>
    </row>
    <row r="95" spans="1:18" ht="15" x14ac:dyDescent="0.2">
      <c r="A95" s="13">
        <v>43739</v>
      </c>
      <c r="B95" s="9">
        <f>3.239 * CHOOSE(CONTROL!$C$32, $C$9, 100%, $E$9)</f>
        <v>3.2389999999999999</v>
      </c>
      <c r="C95" s="9">
        <f>3.239 * CHOOSE(CONTROL!$C$32, $C$9, 100%, $E$9)</f>
        <v>3.2389999999999999</v>
      </c>
      <c r="D95" s="9">
        <f>3.24 * CHOOSE(CONTROL!$C$32, $C$9, 100%, $E$9)</f>
        <v>3.24</v>
      </c>
      <c r="E95" s="11">
        <f>4.113 * CHOOSE(CONTROL!$C$32, $C$9, 100%, $E$9)</f>
        <v>4.1130000000000004</v>
      </c>
      <c r="F95" s="11">
        <f>4.113 * CHOOSE(CONTROL!$C$32, $C$9, 100%, $E$9)</f>
        <v>4.1130000000000004</v>
      </c>
      <c r="G95" s="11">
        <f>4.1166 * CHOOSE(CONTROL!$C$32, $C$9, 100%, $E$9)</f>
        <v>4.1166</v>
      </c>
      <c r="H95" s="11">
        <f>6.563 * CHOOSE(CONTROL!$C$32, $C$9, 100%, $E$9)</f>
        <v>6.5629999999999997</v>
      </c>
      <c r="I95" s="11">
        <f>6.5667 * CHOOSE(CONTROL!$C$32, $C$9, 100%, $E$9)</f>
        <v>6.5667</v>
      </c>
      <c r="J95" s="11">
        <f>6.563 * CHOOSE(CONTROL!$C$32, $C$9, 100%, $E$9)</f>
        <v>6.5629999999999997</v>
      </c>
      <c r="K95" s="11">
        <f>6.5667 * CHOOSE(CONTROL!$C$32, $C$9, 100%, $E$9)</f>
        <v>6.5667</v>
      </c>
      <c r="L95" s="11">
        <f>4.113 * CHOOSE(CONTROL!$C$32, $C$9, 100%, $E$9)</f>
        <v>4.1130000000000004</v>
      </c>
      <c r="M95" s="11">
        <f>4.1166 * CHOOSE(CONTROL!$C$32, $C$9, 100%, $E$9)</f>
        <v>4.1166</v>
      </c>
      <c r="N95" s="11">
        <f>4.113 * CHOOSE(CONTROL!$C$32, $C$9, 100%, $E$9)</f>
        <v>4.1130000000000004</v>
      </c>
      <c r="O95" s="11">
        <f>4.1166 * CHOOSE(CONTROL!$C$32, $C$9, 100%, $E$9)</f>
        <v>4.1166</v>
      </c>
      <c r="P95" s="14"/>
      <c r="Q95" s="14"/>
      <c r="R95" s="14"/>
    </row>
    <row r="96" spans="1:18" ht="15" x14ac:dyDescent="0.2">
      <c r="A96" s="13">
        <v>43770</v>
      </c>
      <c r="B96" s="9">
        <f>3.242 * CHOOSE(CONTROL!$C$32, $C$9, 100%, $E$9)</f>
        <v>3.242</v>
      </c>
      <c r="C96" s="9">
        <f>3.242 * CHOOSE(CONTROL!$C$32, $C$9, 100%, $E$9)</f>
        <v>3.242</v>
      </c>
      <c r="D96" s="9">
        <f>3.2431 * CHOOSE(CONTROL!$C$32, $C$9, 100%, $E$9)</f>
        <v>3.2431000000000001</v>
      </c>
      <c r="E96" s="11">
        <f>4.115 * CHOOSE(CONTROL!$C$32, $C$9, 100%, $E$9)</f>
        <v>4.1150000000000002</v>
      </c>
      <c r="F96" s="11">
        <f>4.115 * CHOOSE(CONTROL!$C$32, $C$9, 100%, $E$9)</f>
        <v>4.1150000000000002</v>
      </c>
      <c r="G96" s="11">
        <f>4.1186 * CHOOSE(CONTROL!$C$32, $C$9, 100%, $E$9)</f>
        <v>4.1185999999999998</v>
      </c>
      <c r="H96" s="11">
        <f>6.5767 * CHOOSE(CONTROL!$C$32, $C$9, 100%, $E$9)</f>
        <v>6.5766999999999998</v>
      </c>
      <c r="I96" s="11">
        <f>6.5803 * CHOOSE(CONTROL!$C$32, $C$9, 100%, $E$9)</f>
        <v>6.5803000000000003</v>
      </c>
      <c r="J96" s="11">
        <f>6.5767 * CHOOSE(CONTROL!$C$32, $C$9, 100%, $E$9)</f>
        <v>6.5766999999999998</v>
      </c>
      <c r="K96" s="11">
        <f>6.5803 * CHOOSE(CONTROL!$C$32, $C$9, 100%, $E$9)</f>
        <v>6.5803000000000003</v>
      </c>
      <c r="L96" s="11">
        <f>4.115 * CHOOSE(CONTROL!$C$32, $C$9, 100%, $E$9)</f>
        <v>4.1150000000000002</v>
      </c>
      <c r="M96" s="11">
        <f>4.1186 * CHOOSE(CONTROL!$C$32, $C$9, 100%, $E$9)</f>
        <v>4.1185999999999998</v>
      </c>
      <c r="N96" s="11">
        <f>4.115 * CHOOSE(CONTROL!$C$32, $C$9, 100%, $E$9)</f>
        <v>4.1150000000000002</v>
      </c>
      <c r="O96" s="11">
        <f>4.1186 * CHOOSE(CONTROL!$C$32, $C$9, 100%, $E$9)</f>
        <v>4.1185999999999998</v>
      </c>
      <c r="P96" s="14"/>
      <c r="Q96" s="14"/>
      <c r="R96" s="14"/>
    </row>
    <row r="97" spans="1:18" ht="15" x14ac:dyDescent="0.2">
      <c r="A97" s="13">
        <v>43800</v>
      </c>
      <c r="B97" s="9">
        <f>3.242 * CHOOSE(CONTROL!$C$32, $C$9, 100%, $E$9)</f>
        <v>3.242</v>
      </c>
      <c r="C97" s="9">
        <f>3.242 * CHOOSE(CONTROL!$C$32, $C$9, 100%, $E$9)</f>
        <v>3.242</v>
      </c>
      <c r="D97" s="9">
        <f>3.2431 * CHOOSE(CONTROL!$C$32, $C$9, 100%, $E$9)</f>
        <v>3.2431000000000001</v>
      </c>
      <c r="E97" s="11">
        <f>4.115 * CHOOSE(CONTROL!$C$32, $C$9, 100%, $E$9)</f>
        <v>4.1150000000000002</v>
      </c>
      <c r="F97" s="11">
        <f>4.115 * CHOOSE(CONTROL!$C$32, $C$9, 100%, $E$9)</f>
        <v>4.1150000000000002</v>
      </c>
      <c r="G97" s="11">
        <f>4.1186 * CHOOSE(CONTROL!$C$32, $C$9, 100%, $E$9)</f>
        <v>4.1185999999999998</v>
      </c>
      <c r="H97" s="11">
        <f>6.5904 * CHOOSE(CONTROL!$C$32, $C$9, 100%, $E$9)</f>
        <v>6.5903999999999998</v>
      </c>
      <c r="I97" s="11">
        <f>6.594 * CHOOSE(CONTROL!$C$32, $C$9, 100%, $E$9)</f>
        <v>6.5940000000000003</v>
      </c>
      <c r="J97" s="11">
        <f>6.5904 * CHOOSE(CONTROL!$C$32, $C$9, 100%, $E$9)</f>
        <v>6.5903999999999998</v>
      </c>
      <c r="K97" s="11">
        <f>6.594 * CHOOSE(CONTROL!$C$32, $C$9, 100%, $E$9)</f>
        <v>6.5940000000000003</v>
      </c>
      <c r="L97" s="11">
        <f>4.115 * CHOOSE(CONTROL!$C$32, $C$9, 100%, $E$9)</f>
        <v>4.1150000000000002</v>
      </c>
      <c r="M97" s="11">
        <f>4.1186 * CHOOSE(CONTROL!$C$32, $C$9, 100%, $E$9)</f>
        <v>4.1185999999999998</v>
      </c>
      <c r="N97" s="11">
        <f>4.115 * CHOOSE(CONTROL!$C$32, $C$9, 100%, $E$9)</f>
        <v>4.1150000000000002</v>
      </c>
      <c r="O97" s="11">
        <f>4.1186 * CHOOSE(CONTROL!$C$32, $C$9, 100%, $E$9)</f>
        <v>4.1185999999999998</v>
      </c>
      <c r="P97" s="14"/>
      <c r="Q97" s="14"/>
      <c r="R97" s="14"/>
    </row>
    <row r="98" spans="1:18" ht="15" x14ac:dyDescent="0.2">
      <c r="A98" s="13">
        <v>43831</v>
      </c>
      <c r="B98" s="9">
        <f>3.2675 * CHOOSE(CONTROL!$C$32, $C$9, 100%, $E$9)</f>
        <v>3.2675000000000001</v>
      </c>
      <c r="C98" s="9">
        <f>3.2675 * CHOOSE(CONTROL!$C$32, $C$9, 100%, $E$9)</f>
        <v>3.2675000000000001</v>
      </c>
      <c r="D98" s="9">
        <f>3.2686 * CHOOSE(CONTROL!$C$32, $C$9, 100%, $E$9)</f>
        <v>3.2686000000000002</v>
      </c>
      <c r="E98" s="11">
        <f>4.148 * CHOOSE(CONTROL!$C$32, $C$9, 100%, $E$9)</f>
        <v>4.1479999999999997</v>
      </c>
      <c r="F98" s="11">
        <f>4.148 * CHOOSE(CONTROL!$C$32, $C$9, 100%, $E$9)</f>
        <v>4.1479999999999997</v>
      </c>
      <c r="G98" s="11">
        <f>4.1516 * CHOOSE(CONTROL!$C$32, $C$9, 100%, $E$9)</f>
        <v>4.1516000000000002</v>
      </c>
      <c r="H98" s="11">
        <f>6.6041 * CHOOSE(CONTROL!$C$32, $C$9, 100%, $E$9)</f>
        <v>6.6040999999999999</v>
      </c>
      <c r="I98" s="11">
        <f>6.6078 * CHOOSE(CONTROL!$C$32, $C$9, 100%, $E$9)</f>
        <v>6.6078000000000001</v>
      </c>
      <c r="J98" s="11">
        <f>6.6041 * CHOOSE(CONTROL!$C$32, $C$9, 100%, $E$9)</f>
        <v>6.6040999999999999</v>
      </c>
      <c r="K98" s="11">
        <f>6.6078 * CHOOSE(CONTROL!$C$32, $C$9, 100%, $E$9)</f>
        <v>6.6078000000000001</v>
      </c>
      <c r="L98" s="11">
        <f>4.148 * CHOOSE(CONTROL!$C$32, $C$9, 100%, $E$9)</f>
        <v>4.1479999999999997</v>
      </c>
      <c r="M98" s="11">
        <f>4.1516 * CHOOSE(CONTROL!$C$32, $C$9, 100%, $E$9)</f>
        <v>4.1516000000000002</v>
      </c>
      <c r="N98" s="11">
        <f>4.148 * CHOOSE(CONTROL!$C$32, $C$9, 100%, $E$9)</f>
        <v>4.1479999999999997</v>
      </c>
      <c r="O98" s="11">
        <f>4.1516 * CHOOSE(CONTROL!$C$32, $C$9, 100%, $E$9)</f>
        <v>4.1516000000000002</v>
      </c>
      <c r="P98" s="14"/>
      <c r="Q98" s="14"/>
      <c r="R98" s="14"/>
    </row>
    <row r="99" spans="1:18" ht="15" x14ac:dyDescent="0.2">
      <c r="A99" s="13">
        <v>43862</v>
      </c>
      <c r="B99" s="9">
        <f>3.2644 * CHOOSE(CONTROL!$C$32, $C$9, 100%, $E$9)</f>
        <v>3.2644000000000002</v>
      </c>
      <c r="C99" s="9">
        <f>3.2644 * CHOOSE(CONTROL!$C$32, $C$9, 100%, $E$9)</f>
        <v>3.2644000000000002</v>
      </c>
      <c r="D99" s="9">
        <f>3.2655 * CHOOSE(CONTROL!$C$32, $C$9, 100%, $E$9)</f>
        <v>3.2654999999999998</v>
      </c>
      <c r="E99" s="11">
        <f>4.146 * CHOOSE(CONTROL!$C$32, $C$9, 100%, $E$9)</f>
        <v>4.1459999999999999</v>
      </c>
      <c r="F99" s="11">
        <f>4.146 * CHOOSE(CONTROL!$C$32, $C$9, 100%, $E$9)</f>
        <v>4.1459999999999999</v>
      </c>
      <c r="G99" s="11">
        <f>4.1496 * CHOOSE(CONTROL!$C$32, $C$9, 100%, $E$9)</f>
        <v>4.1496000000000004</v>
      </c>
      <c r="H99" s="11">
        <f>6.6179 * CHOOSE(CONTROL!$C$32, $C$9, 100%, $E$9)</f>
        <v>6.6178999999999997</v>
      </c>
      <c r="I99" s="11">
        <f>6.6215 * CHOOSE(CONTROL!$C$32, $C$9, 100%, $E$9)</f>
        <v>6.6215000000000002</v>
      </c>
      <c r="J99" s="11">
        <f>6.6179 * CHOOSE(CONTROL!$C$32, $C$9, 100%, $E$9)</f>
        <v>6.6178999999999997</v>
      </c>
      <c r="K99" s="11">
        <f>6.6215 * CHOOSE(CONTROL!$C$32, $C$9, 100%, $E$9)</f>
        <v>6.6215000000000002</v>
      </c>
      <c r="L99" s="11">
        <f>4.146 * CHOOSE(CONTROL!$C$32, $C$9, 100%, $E$9)</f>
        <v>4.1459999999999999</v>
      </c>
      <c r="M99" s="11">
        <f>4.1496 * CHOOSE(CONTROL!$C$32, $C$9, 100%, $E$9)</f>
        <v>4.1496000000000004</v>
      </c>
      <c r="N99" s="11">
        <f>4.146 * CHOOSE(CONTROL!$C$32, $C$9, 100%, $E$9)</f>
        <v>4.1459999999999999</v>
      </c>
      <c r="O99" s="11">
        <f>4.1496 * CHOOSE(CONTROL!$C$32, $C$9, 100%, $E$9)</f>
        <v>4.1496000000000004</v>
      </c>
      <c r="P99" s="14"/>
      <c r="Q99" s="14"/>
      <c r="R99" s="14"/>
    </row>
    <row r="100" spans="1:18" ht="15" x14ac:dyDescent="0.2">
      <c r="A100" s="13">
        <v>43891</v>
      </c>
      <c r="B100" s="9">
        <f>3.2614 * CHOOSE(CONTROL!$C$32, $C$9, 100%, $E$9)</f>
        <v>3.2614000000000001</v>
      </c>
      <c r="C100" s="9">
        <f>3.2614 * CHOOSE(CONTROL!$C$32, $C$9, 100%, $E$9)</f>
        <v>3.2614000000000001</v>
      </c>
      <c r="D100" s="9">
        <f>3.2625 * CHOOSE(CONTROL!$C$32, $C$9, 100%, $E$9)</f>
        <v>3.2625000000000002</v>
      </c>
      <c r="E100" s="11">
        <f>4.144 * CHOOSE(CONTROL!$C$32, $C$9, 100%, $E$9)</f>
        <v>4.1440000000000001</v>
      </c>
      <c r="F100" s="11">
        <f>4.144 * CHOOSE(CONTROL!$C$32, $C$9, 100%, $E$9)</f>
        <v>4.1440000000000001</v>
      </c>
      <c r="G100" s="11">
        <f>4.1476 * CHOOSE(CONTROL!$C$32, $C$9, 100%, $E$9)</f>
        <v>4.1475999999999997</v>
      </c>
      <c r="H100" s="11">
        <f>6.6317 * CHOOSE(CONTROL!$C$32, $C$9, 100%, $E$9)</f>
        <v>6.6317000000000004</v>
      </c>
      <c r="I100" s="11">
        <f>6.6353 * CHOOSE(CONTROL!$C$32, $C$9, 100%, $E$9)</f>
        <v>6.6353</v>
      </c>
      <c r="J100" s="11">
        <f>6.6317 * CHOOSE(CONTROL!$C$32, $C$9, 100%, $E$9)</f>
        <v>6.6317000000000004</v>
      </c>
      <c r="K100" s="11">
        <f>6.6353 * CHOOSE(CONTROL!$C$32, $C$9, 100%, $E$9)</f>
        <v>6.6353</v>
      </c>
      <c r="L100" s="11">
        <f>4.144 * CHOOSE(CONTROL!$C$32, $C$9, 100%, $E$9)</f>
        <v>4.1440000000000001</v>
      </c>
      <c r="M100" s="11">
        <f>4.1476 * CHOOSE(CONTROL!$C$32, $C$9, 100%, $E$9)</f>
        <v>4.1475999999999997</v>
      </c>
      <c r="N100" s="11">
        <f>4.144 * CHOOSE(CONTROL!$C$32, $C$9, 100%, $E$9)</f>
        <v>4.1440000000000001</v>
      </c>
      <c r="O100" s="11">
        <f>4.1476 * CHOOSE(CONTROL!$C$32, $C$9, 100%, $E$9)</f>
        <v>4.1475999999999997</v>
      </c>
      <c r="P100" s="14"/>
      <c r="Q100" s="14"/>
      <c r="R100" s="14"/>
    </row>
    <row r="101" spans="1:18" ht="15" x14ac:dyDescent="0.2">
      <c r="A101" s="13">
        <v>43922</v>
      </c>
      <c r="B101" s="9">
        <f>3.2584 * CHOOSE(CONTROL!$C$32, $C$9, 100%, $E$9)</f>
        <v>3.2584</v>
      </c>
      <c r="C101" s="9">
        <f>3.2584 * CHOOSE(CONTROL!$C$32, $C$9, 100%, $E$9)</f>
        <v>3.2584</v>
      </c>
      <c r="D101" s="9">
        <f>3.2594 * CHOOSE(CONTROL!$C$32, $C$9, 100%, $E$9)</f>
        <v>3.2593999999999999</v>
      </c>
      <c r="E101" s="11">
        <f>4.1415 * CHOOSE(CONTROL!$C$32, $C$9, 100%, $E$9)</f>
        <v>4.1414999999999997</v>
      </c>
      <c r="F101" s="11">
        <f>4.1415 * CHOOSE(CONTROL!$C$32, $C$9, 100%, $E$9)</f>
        <v>4.1414999999999997</v>
      </c>
      <c r="G101" s="11">
        <f>4.1451 * CHOOSE(CONTROL!$C$32, $C$9, 100%, $E$9)</f>
        <v>4.1451000000000002</v>
      </c>
      <c r="H101" s="11">
        <f>6.6455 * CHOOSE(CONTROL!$C$32, $C$9, 100%, $E$9)</f>
        <v>6.6455000000000002</v>
      </c>
      <c r="I101" s="11">
        <f>6.6491 * CHOOSE(CONTROL!$C$32, $C$9, 100%, $E$9)</f>
        <v>6.6490999999999998</v>
      </c>
      <c r="J101" s="11">
        <f>6.6455 * CHOOSE(CONTROL!$C$32, $C$9, 100%, $E$9)</f>
        <v>6.6455000000000002</v>
      </c>
      <c r="K101" s="11">
        <f>6.6491 * CHOOSE(CONTROL!$C$32, $C$9, 100%, $E$9)</f>
        <v>6.6490999999999998</v>
      </c>
      <c r="L101" s="11">
        <f>4.1415 * CHOOSE(CONTROL!$C$32, $C$9, 100%, $E$9)</f>
        <v>4.1414999999999997</v>
      </c>
      <c r="M101" s="11">
        <f>4.1451 * CHOOSE(CONTROL!$C$32, $C$9, 100%, $E$9)</f>
        <v>4.1451000000000002</v>
      </c>
      <c r="N101" s="11">
        <f>4.1415 * CHOOSE(CONTROL!$C$32, $C$9, 100%, $E$9)</f>
        <v>4.1414999999999997</v>
      </c>
      <c r="O101" s="11">
        <f>4.1451 * CHOOSE(CONTROL!$C$32, $C$9, 100%, $E$9)</f>
        <v>4.1451000000000002</v>
      </c>
      <c r="P101" s="14"/>
      <c r="Q101" s="14"/>
      <c r="R101" s="14"/>
    </row>
    <row r="102" spans="1:18" ht="15" x14ac:dyDescent="0.2">
      <c r="A102" s="13">
        <v>43952</v>
      </c>
      <c r="B102" s="9">
        <f>3.2584 * CHOOSE(CONTROL!$C$32, $C$9, 100%, $E$9)</f>
        <v>3.2584</v>
      </c>
      <c r="C102" s="9">
        <f>3.2584 * CHOOSE(CONTROL!$C$32, $C$9, 100%, $E$9)</f>
        <v>3.2584</v>
      </c>
      <c r="D102" s="9">
        <f>3.2599 * CHOOSE(CONTROL!$C$32, $C$9, 100%, $E$9)</f>
        <v>3.2599</v>
      </c>
      <c r="E102" s="11">
        <f>4.1415 * CHOOSE(CONTROL!$C$32, $C$9, 100%, $E$9)</f>
        <v>4.1414999999999997</v>
      </c>
      <c r="F102" s="11">
        <f>4.1415 * CHOOSE(CONTROL!$C$32, $C$9, 100%, $E$9)</f>
        <v>4.1414999999999997</v>
      </c>
      <c r="G102" s="11">
        <f>4.1468 * CHOOSE(CONTROL!$C$32, $C$9, 100%, $E$9)</f>
        <v>4.1467999999999998</v>
      </c>
      <c r="H102" s="11">
        <f>6.6594 * CHOOSE(CONTROL!$C$32, $C$9, 100%, $E$9)</f>
        <v>6.6593999999999998</v>
      </c>
      <c r="I102" s="11">
        <f>6.6646 * CHOOSE(CONTROL!$C$32, $C$9, 100%, $E$9)</f>
        <v>6.6646000000000001</v>
      </c>
      <c r="J102" s="11">
        <f>6.6594 * CHOOSE(CONTROL!$C$32, $C$9, 100%, $E$9)</f>
        <v>6.6593999999999998</v>
      </c>
      <c r="K102" s="11">
        <f>6.6646 * CHOOSE(CONTROL!$C$32, $C$9, 100%, $E$9)</f>
        <v>6.6646000000000001</v>
      </c>
      <c r="L102" s="11">
        <f>4.1415 * CHOOSE(CONTROL!$C$32, $C$9, 100%, $E$9)</f>
        <v>4.1414999999999997</v>
      </c>
      <c r="M102" s="11">
        <f>4.1468 * CHOOSE(CONTROL!$C$32, $C$9, 100%, $E$9)</f>
        <v>4.1467999999999998</v>
      </c>
      <c r="N102" s="11">
        <f>4.1415 * CHOOSE(CONTROL!$C$32, $C$9, 100%, $E$9)</f>
        <v>4.1414999999999997</v>
      </c>
      <c r="O102" s="11">
        <f>4.1468 * CHOOSE(CONTROL!$C$32, $C$9, 100%, $E$9)</f>
        <v>4.1467999999999998</v>
      </c>
      <c r="P102" s="14"/>
      <c r="Q102" s="14"/>
      <c r="R102" s="14"/>
    </row>
    <row r="103" spans="1:18" ht="15" x14ac:dyDescent="0.2">
      <c r="A103" s="13">
        <v>43983</v>
      </c>
      <c r="B103" s="9">
        <f>3.2644 * CHOOSE(CONTROL!$C$32, $C$9, 100%, $E$9)</f>
        <v>3.2644000000000002</v>
      </c>
      <c r="C103" s="9">
        <f>3.2644 * CHOOSE(CONTROL!$C$32, $C$9, 100%, $E$9)</f>
        <v>3.2644000000000002</v>
      </c>
      <c r="D103" s="9">
        <f>3.266 * CHOOSE(CONTROL!$C$32, $C$9, 100%, $E$9)</f>
        <v>3.266</v>
      </c>
      <c r="E103" s="11">
        <f>4.1455 * CHOOSE(CONTROL!$C$32, $C$9, 100%, $E$9)</f>
        <v>4.1455000000000002</v>
      </c>
      <c r="F103" s="11">
        <f>4.1455 * CHOOSE(CONTROL!$C$32, $C$9, 100%, $E$9)</f>
        <v>4.1455000000000002</v>
      </c>
      <c r="G103" s="11">
        <f>4.1508 * CHOOSE(CONTROL!$C$32, $C$9, 100%, $E$9)</f>
        <v>4.1508000000000003</v>
      </c>
      <c r="H103" s="11">
        <f>6.6732 * CHOOSE(CONTROL!$C$32, $C$9, 100%, $E$9)</f>
        <v>6.6731999999999996</v>
      </c>
      <c r="I103" s="11">
        <f>6.6785 * CHOOSE(CONTROL!$C$32, $C$9, 100%, $E$9)</f>
        <v>6.6784999999999997</v>
      </c>
      <c r="J103" s="11">
        <f>6.6732 * CHOOSE(CONTROL!$C$32, $C$9, 100%, $E$9)</f>
        <v>6.6731999999999996</v>
      </c>
      <c r="K103" s="11">
        <f>6.6785 * CHOOSE(CONTROL!$C$32, $C$9, 100%, $E$9)</f>
        <v>6.6784999999999997</v>
      </c>
      <c r="L103" s="11">
        <f>4.1455 * CHOOSE(CONTROL!$C$32, $C$9, 100%, $E$9)</f>
        <v>4.1455000000000002</v>
      </c>
      <c r="M103" s="11">
        <f>4.1508 * CHOOSE(CONTROL!$C$32, $C$9, 100%, $E$9)</f>
        <v>4.1508000000000003</v>
      </c>
      <c r="N103" s="11">
        <f>4.1455 * CHOOSE(CONTROL!$C$32, $C$9, 100%, $E$9)</f>
        <v>4.1455000000000002</v>
      </c>
      <c r="O103" s="11">
        <f>4.1508 * CHOOSE(CONTROL!$C$32, $C$9, 100%, $E$9)</f>
        <v>4.1508000000000003</v>
      </c>
      <c r="P103" s="14"/>
      <c r="Q103" s="14"/>
      <c r="R103" s="14"/>
    </row>
    <row r="104" spans="1:18" ht="15" x14ac:dyDescent="0.2">
      <c r="A104" s="13">
        <v>44013</v>
      </c>
      <c r="B104" s="9">
        <f>3.3098 * CHOOSE(CONTROL!$C$32, $C$9, 100%, $E$9)</f>
        <v>3.3098000000000001</v>
      </c>
      <c r="C104" s="9">
        <f>3.3098 * CHOOSE(CONTROL!$C$32, $C$9, 100%, $E$9)</f>
        <v>3.3098000000000001</v>
      </c>
      <c r="D104" s="9">
        <f>3.3114 * CHOOSE(CONTROL!$C$32, $C$9, 100%, $E$9)</f>
        <v>3.3113999999999999</v>
      </c>
      <c r="E104" s="11">
        <f>4.2176 * CHOOSE(CONTROL!$C$32, $C$9, 100%, $E$9)</f>
        <v>4.2176</v>
      </c>
      <c r="F104" s="11">
        <f>4.2176 * CHOOSE(CONTROL!$C$32, $C$9, 100%, $E$9)</f>
        <v>4.2176</v>
      </c>
      <c r="G104" s="11">
        <f>4.2229 * CHOOSE(CONTROL!$C$32, $C$9, 100%, $E$9)</f>
        <v>4.2229000000000001</v>
      </c>
      <c r="H104" s="11">
        <f>6.6871 * CHOOSE(CONTROL!$C$32, $C$9, 100%, $E$9)</f>
        <v>6.6871</v>
      </c>
      <c r="I104" s="11">
        <f>6.6924 * CHOOSE(CONTROL!$C$32, $C$9, 100%, $E$9)</f>
        <v>6.6924000000000001</v>
      </c>
      <c r="J104" s="11">
        <f>6.6871 * CHOOSE(CONTROL!$C$32, $C$9, 100%, $E$9)</f>
        <v>6.6871</v>
      </c>
      <c r="K104" s="11">
        <f>6.6924 * CHOOSE(CONTROL!$C$32, $C$9, 100%, $E$9)</f>
        <v>6.6924000000000001</v>
      </c>
      <c r="L104" s="11">
        <f>4.2176 * CHOOSE(CONTROL!$C$32, $C$9, 100%, $E$9)</f>
        <v>4.2176</v>
      </c>
      <c r="M104" s="11">
        <f>4.2229 * CHOOSE(CONTROL!$C$32, $C$9, 100%, $E$9)</f>
        <v>4.2229000000000001</v>
      </c>
      <c r="N104" s="11">
        <f>4.2176 * CHOOSE(CONTROL!$C$32, $C$9, 100%, $E$9)</f>
        <v>4.2176</v>
      </c>
      <c r="O104" s="11">
        <f>4.2229 * CHOOSE(CONTROL!$C$32, $C$9, 100%, $E$9)</f>
        <v>4.2229000000000001</v>
      </c>
      <c r="P104" s="14"/>
      <c r="Q104" s="14"/>
      <c r="R104" s="14"/>
    </row>
    <row r="105" spans="1:18" ht="15" x14ac:dyDescent="0.2">
      <c r="A105" s="13">
        <v>44044</v>
      </c>
      <c r="B105" s="9">
        <f>3.3165 * CHOOSE(CONTROL!$C$32, $C$9, 100%, $E$9)</f>
        <v>3.3165</v>
      </c>
      <c r="C105" s="9">
        <f>3.3165 * CHOOSE(CONTROL!$C$32, $C$9, 100%, $E$9)</f>
        <v>3.3165</v>
      </c>
      <c r="D105" s="9">
        <f>3.3181 * CHOOSE(CONTROL!$C$32, $C$9, 100%, $E$9)</f>
        <v>3.3180999999999998</v>
      </c>
      <c r="E105" s="11">
        <f>4.222 * CHOOSE(CONTROL!$C$32, $C$9, 100%, $E$9)</f>
        <v>4.2220000000000004</v>
      </c>
      <c r="F105" s="11">
        <f>4.222 * CHOOSE(CONTROL!$C$32, $C$9, 100%, $E$9)</f>
        <v>4.2220000000000004</v>
      </c>
      <c r="G105" s="11">
        <f>4.2273 * CHOOSE(CONTROL!$C$32, $C$9, 100%, $E$9)</f>
        <v>4.2272999999999996</v>
      </c>
      <c r="H105" s="11">
        <f>6.7011 * CHOOSE(CONTROL!$C$32, $C$9, 100%, $E$9)</f>
        <v>6.7011000000000003</v>
      </c>
      <c r="I105" s="11">
        <f>6.7064 * CHOOSE(CONTROL!$C$32, $C$9, 100%, $E$9)</f>
        <v>6.7064000000000004</v>
      </c>
      <c r="J105" s="11">
        <f>6.7011 * CHOOSE(CONTROL!$C$32, $C$9, 100%, $E$9)</f>
        <v>6.7011000000000003</v>
      </c>
      <c r="K105" s="11">
        <f>6.7064 * CHOOSE(CONTROL!$C$32, $C$9, 100%, $E$9)</f>
        <v>6.7064000000000004</v>
      </c>
      <c r="L105" s="11">
        <f>4.222 * CHOOSE(CONTROL!$C$32, $C$9, 100%, $E$9)</f>
        <v>4.2220000000000004</v>
      </c>
      <c r="M105" s="11">
        <f>4.2273 * CHOOSE(CONTROL!$C$32, $C$9, 100%, $E$9)</f>
        <v>4.2272999999999996</v>
      </c>
      <c r="N105" s="11">
        <f>4.222 * CHOOSE(CONTROL!$C$32, $C$9, 100%, $E$9)</f>
        <v>4.2220000000000004</v>
      </c>
      <c r="O105" s="11">
        <f>4.2273 * CHOOSE(CONTROL!$C$32, $C$9, 100%, $E$9)</f>
        <v>4.2272999999999996</v>
      </c>
      <c r="P105" s="14"/>
      <c r="Q105" s="14"/>
      <c r="R105" s="14"/>
    </row>
    <row r="106" spans="1:18" ht="15" x14ac:dyDescent="0.2">
      <c r="A106" s="13">
        <v>44075</v>
      </c>
      <c r="B106" s="9">
        <f>3.3135 * CHOOSE(CONTROL!$C$32, $C$9, 100%, $E$9)</f>
        <v>3.3134999999999999</v>
      </c>
      <c r="C106" s="9">
        <f>3.3135 * CHOOSE(CONTROL!$C$32, $C$9, 100%, $E$9)</f>
        <v>3.3134999999999999</v>
      </c>
      <c r="D106" s="9">
        <f>3.3151 * CHOOSE(CONTROL!$C$32, $C$9, 100%, $E$9)</f>
        <v>3.3151000000000002</v>
      </c>
      <c r="E106" s="11">
        <f>4.22 * CHOOSE(CONTROL!$C$32, $C$9, 100%, $E$9)</f>
        <v>4.22</v>
      </c>
      <c r="F106" s="11">
        <f>4.22 * CHOOSE(CONTROL!$C$32, $C$9, 100%, $E$9)</f>
        <v>4.22</v>
      </c>
      <c r="G106" s="11">
        <f>4.2253 * CHOOSE(CONTROL!$C$32, $C$9, 100%, $E$9)</f>
        <v>4.2252999999999998</v>
      </c>
      <c r="H106" s="11">
        <f>6.715 * CHOOSE(CONTROL!$C$32, $C$9, 100%, $E$9)</f>
        <v>6.7149999999999999</v>
      </c>
      <c r="I106" s="11">
        <f>6.7203 * CHOOSE(CONTROL!$C$32, $C$9, 100%, $E$9)</f>
        <v>6.7202999999999999</v>
      </c>
      <c r="J106" s="11">
        <f>6.715 * CHOOSE(CONTROL!$C$32, $C$9, 100%, $E$9)</f>
        <v>6.7149999999999999</v>
      </c>
      <c r="K106" s="11">
        <f>6.7203 * CHOOSE(CONTROL!$C$32, $C$9, 100%, $E$9)</f>
        <v>6.7202999999999999</v>
      </c>
      <c r="L106" s="11">
        <f>4.22 * CHOOSE(CONTROL!$C$32, $C$9, 100%, $E$9)</f>
        <v>4.22</v>
      </c>
      <c r="M106" s="11">
        <f>4.2253 * CHOOSE(CONTROL!$C$32, $C$9, 100%, $E$9)</f>
        <v>4.2252999999999998</v>
      </c>
      <c r="N106" s="11">
        <f>4.22 * CHOOSE(CONTROL!$C$32, $C$9, 100%, $E$9)</f>
        <v>4.22</v>
      </c>
      <c r="O106" s="11">
        <f>4.2253 * CHOOSE(CONTROL!$C$32, $C$9, 100%, $E$9)</f>
        <v>4.2252999999999998</v>
      </c>
      <c r="P106" s="14"/>
      <c r="Q106" s="14"/>
      <c r="R106" s="14"/>
    </row>
    <row r="107" spans="1:18" ht="15" x14ac:dyDescent="0.2">
      <c r="A107" s="13">
        <v>44105</v>
      </c>
      <c r="B107" s="9">
        <f>3.3061 * CHOOSE(CONTROL!$C$32, $C$9, 100%, $E$9)</f>
        <v>3.3060999999999998</v>
      </c>
      <c r="C107" s="9">
        <f>3.3061 * CHOOSE(CONTROL!$C$32, $C$9, 100%, $E$9)</f>
        <v>3.3060999999999998</v>
      </c>
      <c r="D107" s="9">
        <f>3.3072 * CHOOSE(CONTROL!$C$32, $C$9, 100%, $E$9)</f>
        <v>3.3071999999999999</v>
      </c>
      <c r="E107" s="11">
        <f>4.2135 * CHOOSE(CONTROL!$C$32, $C$9, 100%, $E$9)</f>
        <v>4.2134999999999998</v>
      </c>
      <c r="F107" s="11">
        <f>4.2135 * CHOOSE(CONTROL!$C$32, $C$9, 100%, $E$9)</f>
        <v>4.2134999999999998</v>
      </c>
      <c r="G107" s="11">
        <f>4.2171 * CHOOSE(CONTROL!$C$32, $C$9, 100%, $E$9)</f>
        <v>4.2171000000000003</v>
      </c>
      <c r="H107" s="11">
        <f>6.729 * CHOOSE(CONTROL!$C$32, $C$9, 100%, $E$9)</f>
        <v>6.7290000000000001</v>
      </c>
      <c r="I107" s="11">
        <f>6.7326 * CHOOSE(CONTROL!$C$32, $C$9, 100%, $E$9)</f>
        <v>6.7325999999999997</v>
      </c>
      <c r="J107" s="11">
        <f>6.729 * CHOOSE(CONTROL!$C$32, $C$9, 100%, $E$9)</f>
        <v>6.7290000000000001</v>
      </c>
      <c r="K107" s="11">
        <f>6.7326 * CHOOSE(CONTROL!$C$32, $C$9, 100%, $E$9)</f>
        <v>6.7325999999999997</v>
      </c>
      <c r="L107" s="11">
        <f>4.2135 * CHOOSE(CONTROL!$C$32, $C$9, 100%, $E$9)</f>
        <v>4.2134999999999998</v>
      </c>
      <c r="M107" s="11">
        <f>4.2171 * CHOOSE(CONTROL!$C$32, $C$9, 100%, $E$9)</f>
        <v>4.2171000000000003</v>
      </c>
      <c r="N107" s="11">
        <f>4.2135 * CHOOSE(CONTROL!$C$32, $C$9, 100%, $E$9)</f>
        <v>4.2134999999999998</v>
      </c>
      <c r="O107" s="11">
        <f>4.2171 * CHOOSE(CONTROL!$C$32, $C$9, 100%, $E$9)</f>
        <v>4.2171000000000003</v>
      </c>
      <c r="P107" s="14"/>
      <c r="Q107" s="14"/>
      <c r="R107" s="14"/>
    </row>
    <row r="108" spans="1:18" ht="15" x14ac:dyDescent="0.2">
      <c r="A108" s="13">
        <v>44136</v>
      </c>
      <c r="B108" s="9">
        <f>3.3092 * CHOOSE(CONTROL!$C$32, $C$9, 100%, $E$9)</f>
        <v>3.3092000000000001</v>
      </c>
      <c r="C108" s="9">
        <f>3.3092 * CHOOSE(CONTROL!$C$32, $C$9, 100%, $E$9)</f>
        <v>3.3092000000000001</v>
      </c>
      <c r="D108" s="9">
        <f>3.3103 * CHOOSE(CONTROL!$C$32, $C$9, 100%, $E$9)</f>
        <v>3.3102999999999998</v>
      </c>
      <c r="E108" s="11">
        <f>4.2155 * CHOOSE(CONTROL!$C$32, $C$9, 100%, $E$9)</f>
        <v>4.2154999999999996</v>
      </c>
      <c r="F108" s="11">
        <f>4.2155 * CHOOSE(CONTROL!$C$32, $C$9, 100%, $E$9)</f>
        <v>4.2154999999999996</v>
      </c>
      <c r="G108" s="11">
        <f>4.2191 * CHOOSE(CONTROL!$C$32, $C$9, 100%, $E$9)</f>
        <v>4.2191000000000001</v>
      </c>
      <c r="H108" s="11">
        <f>6.743 * CHOOSE(CONTROL!$C$32, $C$9, 100%, $E$9)</f>
        <v>6.7430000000000003</v>
      </c>
      <c r="I108" s="11">
        <f>6.7466 * CHOOSE(CONTROL!$C$32, $C$9, 100%, $E$9)</f>
        <v>6.7465999999999999</v>
      </c>
      <c r="J108" s="11">
        <f>6.743 * CHOOSE(CONTROL!$C$32, $C$9, 100%, $E$9)</f>
        <v>6.7430000000000003</v>
      </c>
      <c r="K108" s="11">
        <f>6.7466 * CHOOSE(CONTROL!$C$32, $C$9, 100%, $E$9)</f>
        <v>6.7465999999999999</v>
      </c>
      <c r="L108" s="11">
        <f>4.2155 * CHOOSE(CONTROL!$C$32, $C$9, 100%, $E$9)</f>
        <v>4.2154999999999996</v>
      </c>
      <c r="M108" s="11">
        <f>4.2191 * CHOOSE(CONTROL!$C$32, $C$9, 100%, $E$9)</f>
        <v>4.2191000000000001</v>
      </c>
      <c r="N108" s="11">
        <f>4.2155 * CHOOSE(CONTROL!$C$32, $C$9, 100%, $E$9)</f>
        <v>4.2154999999999996</v>
      </c>
      <c r="O108" s="11">
        <f>4.2191 * CHOOSE(CONTROL!$C$32, $C$9, 100%, $E$9)</f>
        <v>4.2191000000000001</v>
      </c>
      <c r="P108" s="14"/>
      <c r="Q108" s="14"/>
      <c r="R108" s="14"/>
    </row>
    <row r="109" spans="1:18" ht="15" x14ac:dyDescent="0.2">
      <c r="A109" s="13">
        <v>44166</v>
      </c>
      <c r="B109" s="9">
        <f>3.3092 * CHOOSE(CONTROL!$C$32, $C$9, 100%, $E$9)</f>
        <v>3.3092000000000001</v>
      </c>
      <c r="C109" s="9">
        <f>3.3092 * CHOOSE(CONTROL!$C$32, $C$9, 100%, $E$9)</f>
        <v>3.3092000000000001</v>
      </c>
      <c r="D109" s="9">
        <f>3.3103 * CHOOSE(CONTROL!$C$32, $C$9, 100%, $E$9)</f>
        <v>3.3102999999999998</v>
      </c>
      <c r="E109" s="11">
        <f>4.2155 * CHOOSE(CONTROL!$C$32, $C$9, 100%, $E$9)</f>
        <v>4.2154999999999996</v>
      </c>
      <c r="F109" s="11">
        <f>4.2155 * CHOOSE(CONTROL!$C$32, $C$9, 100%, $E$9)</f>
        <v>4.2154999999999996</v>
      </c>
      <c r="G109" s="11">
        <f>4.2191 * CHOOSE(CONTROL!$C$32, $C$9, 100%, $E$9)</f>
        <v>4.2191000000000001</v>
      </c>
      <c r="H109" s="11">
        <f>6.7571 * CHOOSE(CONTROL!$C$32, $C$9, 100%, $E$9)</f>
        <v>6.7571000000000003</v>
      </c>
      <c r="I109" s="11">
        <f>6.7607 * CHOOSE(CONTROL!$C$32, $C$9, 100%, $E$9)</f>
        <v>6.7606999999999999</v>
      </c>
      <c r="J109" s="11">
        <f>6.7571 * CHOOSE(CONTROL!$C$32, $C$9, 100%, $E$9)</f>
        <v>6.7571000000000003</v>
      </c>
      <c r="K109" s="11">
        <f>6.7607 * CHOOSE(CONTROL!$C$32, $C$9, 100%, $E$9)</f>
        <v>6.7606999999999999</v>
      </c>
      <c r="L109" s="11">
        <f>4.2155 * CHOOSE(CONTROL!$C$32, $C$9, 100%, $E$9)</f>
        <v>4.2154999999999996</v>
      </c>
      <c r="M109" s="11">
        <f>4.2191 * CHOOSE(CONTROL!$C$32, $C$9, 100%, $E$9)</f>
        <v>4.2191000000000001</v>
      </c>
      <c r="N109" s="11">
        <f>4.2155 * CHOOSE(CONTROL!$C$32, $C$9, 100%, $E$9)</f>
        <v>4.2154999999999996</v>
      </c>
      <c r="O109" s="11">
        <f>4.2191 * CHOOSE(CONTROL!$C$32, $C$9, 100%, $E$9)</f>
        <v>4.2191000000000001</v>
      </c>
      <c r="P109" s="14"/>
      <c r="Q109" s="14"/>
      <c r="R109" s="14"/>
    </row>
    <row r="110" spans="1:18" ht="15" x14ac:dyDescent="0.2">
      <c r="A110" s="13">
        <v>44197</v>
      </c>
      <c r="B110" s="9">
        <f>3.3407 * CHOOSE(CONTROL!$C$32, $C$9, 100%, $E$9)</f>
        <v>3.3407</v>
      </c>
      <c r="C110" s="9">
        <f>3.3407 * CHOOSE(CONTROL!$C$32, $C$9, 100%, $E$9)</f>
        <v>3.3407</v>
      </c>
      <c r="D110" s="9">
        <f>3.3417 * CHOOSE(CONTROL!$C$32, $C$9, 100%, $E$9)</f>
        <v>3.3416999999999999</v>
      </c>
      <c r="E110" s="11">
        <f>4.2457 * CHOOSE(CONTROL!$C$32, $C$9, 100%, $E$9)</f>
        <v>4.2457000000000003</v>
      </c>
      <c r="F110" s="11">
        <f>4.2457 * CHOOSE(CONTROL!$C$32, $C$9, 100%, $E$9)</f>
        <v>4.2457000000000003</v>
      </c>
      <c r="G110" s="11">
        <f>4.2494 * CHOOSE(CONTROL!$C$32, $C$9, 100%, $E$9)</f>
        <v>4.2493999999999996</v>
      </c>
      <c r="H110" s="11">
        <f>6.7712 * CHOOSE(CONTROL!$C$32, $C$9, 100%, $E$9)</f>
        <v>6.7712000000000003</v>
      </c>
      <c r="I110" s="11">
        <f>6.7748 * CHOOSE(CONTROL!$C$32, $C$9, 100%, $E$9)</f>
        <v>6.7747999999999999</v>
      </c>
      <c r="J110" s="11">
        <f>6.7712 * CHOOSE(CONTROL!$C$32, $C$9, 100%, $E$9)</f>
        <v>6.7712000000000003</v>
      </c>
      <c r="K110" s="11">
        <f>6.7748 * CHOOSE(CONTROL!$C$32, $C$9, 100%, $E$9)</f>
        <v>6.7747999999999999</v>
      </c>
      <c r="L110" s="11">
        <f>4.2457 * CHOOSE(CONTROL!$C$32, $C$9, 100%, $E$9)</f>
        <v>4.2457000000000003</v>
      </c>
      <c r="M110" s="11">
        <f>4.2494 * CHOOSE(CONTROL!$C$32, $C$9, 100%, $E$9)</f>
        <v>4.2493999999999996</v>
      </c>
      <c r="N110" s="11">
        <f>4.2457 * CHOOSE(CONTROL!$C$32, $C$9, 100%, $E$9)</f>
        <v>4.2457000000000003</v>
      </c>
      <c r="O110" s="11">
        <f>4.2494 * CHOOSE(CONTROL!$C$32, $C$9, 100%, $E$9)</f>
        <v>4.2493999999999996</v>
      </c>
      <c r="P110" s="14"/>
      <c r="Q110" s="14"/>
      <c r="R110" s="14"/>
    </row>
    <row r="111" spans="1:18" ht="15" x14ac:dyDescent="0.2">
      <c r="A111" s="13">
        <v>44228</v>
      </c>
      <c r="B111" s="9">
        <f>3.3376 * CHOOSE(CONTROL!$C$32, $C$9, 100%, $E$9)</f>
        <v>3.3376000000000001</v>
      </c>
      <c r="C111" s="9">
        <f>3.3376 * CHOOSE(CONTROL!$C$32, $C$9, 100%, $E$9)</f>
        <v>3.3376000000000001</v>
      </c>
      <c r="D111" s="9">
        <f>3.3387 * CHOOSE(CONTROL!$C$32, $C$9, 100%, $E$9)</f>
        <v>3.3386999999999998</v>
      </c>
      <c r="E111" s="11">
        <f>4.2437 * CHOOSE(CONTROL!$C$32, $C$9, 100%, $E$9)</f>
        <v>4.2436999999999996</v>
      </c>
      <c r="F111" s="11">
        <f>4.2437 * CHOOSE(CONTROL!$C$32, $C$9, 100%, $E$9)</f>
        <v>4.2436999999999996</v>
      </c>
      <c r="G111" s="11">
        <f>4.2474 * CHOOSE(CONTROL!$C$32, $C$9, 100%, $E$9)</f>
        <v>4.2473999999999998</v>
      </c>
      <c r="H111" s="11">
        <f>6.7853 * CHOOSE(CONTROL!$C$32, $C$9, 100%, $E$9)</f>
        <v>6.7853000000000003</v>
      </c>
      <c r="I111" s="11">
        <f>6.7889 * CHOOSE(CONTROL!$C$32, $C$9, 100%, $E$9)</f>
        <v>6.7888999999999999</v>
      </c>
      <c r="J111" s="11">
        <f>6.7853 * CHOOSE(CONTROL!$C$32, $C$9, 100%, $E$9)</f>
        <v>6.7853000000000003</v>
      </c>
      <c r="K111" s="11">
        <f>6.7889 * CHOOSE(CONTROL!$C$32, $C$9, 100%, $E$9)</f>
        <v>6.7888999999999999</v>
      </c>
      <c r="L111" s="11">
        <f>4.2437 * CHOOSE(CONTROL!$C$32, $C$9, 100%, $E$9)</f>
        <v>4.2436999999999996</v>
      </c>
      <c r="M111" s="11">
        <f>4.2474 * CHOOSE(CONTROL!$C$32, $C$9, 100%, $E$9)</f>
        <v>4.2473999999999998</v>
      </c>
      <c r="N111" s="11">
        <f>4.2437 * CHOOSE(CONTROL!$C$32, $C$9, 100%, $E$9)</f>
        <v>4.2436999999999996</v>
      </c>
      <c r="O111" s="11">
        <f>4.2474 * CHOOSE(CONTROL!$C$32, $C$9, 100%, $E$9)</f>
        <v>4.2473999999999998</v>
      </c>
      <c r="P111" s="14"/>
      <c r="Q111" s="14"/>
      <c r="R111" s="14"/>
    </row>
    <row r="112" spans="1:18" ht="15" x14ac:dyDescent="0.2">
      <c r="A112" s="13">
        <v>44256</v>
      </c>
      <c r="B112" s="9">
        <f>3.3346 * CHOOSE(CONTROL!$C$32, $C$9, 100%, $E$9)</f>
        <v>3.3346</v>
      </c>
      <c r="C112" s="9">
        <f>3.3346 * CHOOSE(CONTROL!$C$32, $C$9, 100%, $E$9)</f>
        <v>3.3346</v>
      </c>
      <c r="D112" s="9">
        <f>3.3357 * CHOOSE(CONTROL!$C$32, $C$9, 100%, $E$9)</f>
        <v>3.3357000000000001</v>
      </c>
      <c r="E112" s="11">
        <f>4.2417 * CHOOSE(CONTROL!$C$32, $C$9, 100%, $E$9)</f>
        <v>4.2416999999999998</v>
      </c>
      <c r="F112" s="11">
        <f>4.2417 * CHOOSE(CONTROL!$C$32, $C$9, 100%, $E$9)</f>
        <v>4.2416999999999998</v>
      </c>
      <c r="G112" s="11">
        <f>4.2454 * CHOOSE(CONTROL!$C$32, $C$9, 100%, $E$9)</f>
        <v>4.2454000000000001</v>
      </c>
      <c r="H112" s="11">
        <f>6.7994 * CHOOSE(CONTROL!$C$32, $C$9, 100%, $E$9)</f>
        <v>6.7994000000000003</v>
      </c>
      <c r="I112" s="11">
        <f>6.803 * CHOOSE(CONTROL!$C$32, $C$9, 100%, $E$9)</f>
        <v>6.8029999999999999</v>
      </c>
      <c r="J112" s="11">
        <f>6.7994 * CHOOSE(CONTROL!$C$32, $C$9, 100%, $E$9)</f>
        <v>6.7994000000000003</v>
      </c>
      <c r="K112" s="11">
        <f>6.803 * CHOOSE(CONTROL!$C$32, $C$9, 100%, $E$9)</f>
        <v>6.8029999999999999</v>
      </c>
      <c r="L112" s="11">
        <f>4.2417 * CHOOSE(CONTROL!$C$32, $C$9, 100%, $E$9)</f>
        <v>4.2416999999999998</v>
      </c>
      <c r="M112" s="11">
        <f>4.2454 * CHOOSE(CONTROL!$C$32, $C$9, 100%, $E$9)</f>
        <v>4.2454000000000001</v>
      </c>
      <c r="N112" s="11">
        <f>4.2417 * CHOOSE(CONTROL!$C$32, $C$9, 100%, $E$9)</f>
        <v>4.2416999999999998</v>
      </c>
      <c r="O112" s="11">
        <f>4.2454 * CHOOSE(CONTROL!$C$32, $C$9, 100%, $E$9)</f>
        <v>4.2454000000000001</v>
      </c>
      <c r="P112" s="14"/>
      <c r="Q112" s="14"/>
      <c r="R112" s="14"/>
    </row>
    <row r="113" spans="1:18" ht="15" x14ac:dyDescent="0.2">
      <c r="A113" s="13">
        <v>44287</v>
      </c>
      <c r="B113" s="9">
        <f>3.3316 * CHOOSE(CONTROL!$C$32, $C$9, 100%, $E$9)</f>
        <v>3.3315999999999999</v>
      </c>
      <c r="C113" s="9">
        <f>3.3316 * CHOOSE(CONTROL!$C$32, $C$9, 100%, $E$9)</f>
        <v>3.3315999999999999</v>
      </c>
      <c r="D113" s="9">
        <f>3.3327 * CHOOSE(CONTROL!$C$32, $C$9, 100%, $E$9)</f>
        <v>3.3327</v>
      </c>
      <c r="E113" s="11">
        <f>4.2394 * CHOOSE(CONTROL!$C$32, $C$9, 100%, $E$9)</f>
        <v>4.2393999999999998</v>
      </c>
      <c r="F113" s="11">
        <f>4.2394 * CHOOSE(CONTROL!$C$32, $C$9, 100%, $E$9)</f>
        <v>4.2393999999999998</v>
      </c>
      <c r="G113" s="11">
        <f>4.243 * CHOOSE(CONTROL!$C$32, $C$9, 100%, $E$9)</f>
        <v>4.2430000000000003</v>
      </c>
      <c r="H113" s="11">
        <f>6.8136 * CHOOSE(CONTROL!$C$32, $C$9, 100%, $E$9)</f>
        <v>6.8136000000000001</v>
      </c>
      <c r="I113" s="11">
        <f>6.8172 * CHOOSE(CONTROL!$C$32, $C$9, 100%, $E$9)</f>
        <v>6.8171999999999997</v>
      </c>
      <c r="J113" s="11">
        <f>6.8136 * CHOOSE(CONTROL!$C$32, $C$9, 100%, $E$9)</f>
        <v>6.8136000000000001</v>
      </c>
      <c r="K113" s="11">
        <f>6.8172 * CHOOSE(CONTROL!$C$32, $C$9, 100%, $E$9)</f>
        <v>6.8171999999999997</v>
      </c>
      <c r="L113" s="11">
        <f>4.2394 * CHOOSE(CONTROL!$C$32, $C$9, 100%, $E$9)</f>
        <v>4.2393999999999998</v>
      </c>
      <c r="M113" s="11">
        <f>4.243 * CHOOSE(CONTROL!$C$32, $C$9, 100%, $E$9)</f>
        <v>4.2430000000000003</v>
      </c>
      <c r="N113" s="11">
        <f>4.2394 * CHOOSE(CONTROL!$C$32, $C$9, 100%, $E$9)</f>
        <v>4.2393999999999998</v>
      </c>
      <c r="O113" s="11">
        <f>4.243 * CHOOSE(CONTROL!$C$32, $C$9, 100%, $E$9)</f>
        <v>4.2430000000000003</v>
      </c>
      <c r="P113" s="14"/>
      <c r="Q113" s="14"/>
      <c r="R113" s="14"/>
    </row>
    <row r="114" spans="1:18" ht="15" x14ac:dyDescent="0.2">
      <c r="A114" s="13">
        <v>44317</v>
      </c>
      <c r="B114" s="9">
        <f>3.3316 * CHOOSE(CONTROL!$C$32, $C$9, 100%, $E$9)</f>
        <v>3.3315999999999999</v>
      </c>
      <c r="C114" s="9">
        <f>3.3316 * CHOOSE(CONTROL!$C$32, $C$9, 100%, $E$9)</f>
        <v>3.3315999999999999</v>
      </c>
      <c r="D114" s="9">
        <f>3.3332 * CHOOSE(CONTROL!$C$32, $C$9, 100%, $E$9)</f>
        <v>3.3332000000000002</v>
      </c>
      <c r="E114" s="11">
        <f>4.2394 * CHOOSE(CONTROL!$C$32, $C$9, 100%, $E$9)</f>
        <v>4.2393999999999998</v>
      </c>
      <c r="F114" s="11">
        <f>4.2394 * CHOOSE(CONTROL!$C$32, $C$9, 100%, $E$9)</f>
        <v>4.2393999999999998</v>
      </c>
      <c r="G114" s="11">
        <f>4.2447 * CHOOSE(CONTROL!$C$32, $C$9, 100%, $E$9)</f>
        <v>4.2446999999999999</v>
      </c>
      <c r="H114" s="11">
        <f>6.8278 * CHOOSE(CONTROL!$C$32, $C$9, 100%, $E$9)</f>
        <v>6.8277999999999999</v>
      </c>
      <c r="I114" s="11">
        <f>6.8331 * CHOOSE(CONTROL!$C$32, $C$9, 100%, $E$9)</f>
        <v>6.8331</v>
      </c>
      <c r="J114" s="11">
        <f>6.8278 * CHOOSE(CONTROL!$C$32, $C$9, 100%, $E$9)</f>
        <v>6.8277999999999999</v>
      </c>
      <c r="K114" s="11">
        <f>6.8331 * CHOOSE(CONTROL!$C$32, $C$9, 100%, $E$9)</f>
        <v>6.8331</v>
      </c>
      <c r="L114" s="11">
        <f>4.2394 * CHOOSE(CONTROL!$C$32, $C$9, 100%, $E$9)</f>
        <v>4.2393999999999998</v>
      </c>
      <c r="M114" s="11">
        <f>4.2447 * CHOOSE(CONTROL!$C$32, $C$9, 100%, $E$9)</f>
        <v>4.2446999999999999</v>
      </c>
      <c r="N114" s="11">
        <f>4.2394 * CHOOSE(CONTROL!$C$32, $C$9, 100%, $E$9)</f>
        <v>4.2393999999999998</v>
      </c>
      <c r="O114" s="11">
        <f>4.2447 * CHOOSE(CONTROL!$C$32, $C$9, 100%, $E$9)</f>
        <v>4.2446999999999999</v>
      </c>
      <c r="P114" s="14"/>
      <c r="Q114" s="14"/>
      <c r="R114" s="14"/>
    </row>
    <row r="115" spans="1:18" ht="15" x14ac:dyDescent="0.2">
      <c r="A115" s="13">
        <v>44348</v>
      </c>
      <c r="B115" s="9">
        <f>3.3377 * CHOOSE(CONTROL!$C$32, $C$9, 100%, $E$9)</f>
        <v>3.3376999999999999</v>
      </c>
      <c r="C115" s="9">
        <f>3.3377 * CHOOSE(CONTROL!$C$32, $C$9, 100%, $E$9)</f>
        <v>3.3376999999999999</v>
      </c>
      <c r="D115" s="9">
        <f>3.3393 * CHOOSE(CONTROL!$C$32, $C$9, 100%, $E$9)</f>
        <v>3.3393000000000002</v>
      </c>
      <c r="E115" s="11">
        <f>4.2434 * CHOOSE(CONTROL!$C$32, $C$9, 100%, $E$9)</f>
        <v>4.2434000000000003</v>
      </c>
      <c r="F115" s="11">
        <f>4.2434 * CHOOSE(CONTROL!$C$32, $C$9, 100%, $E$9)</f>
        <v>4.2434000000000003</v>
      </c>
      <c r="G115" s="11">
        <f>4.2487 * CHOOSE(CONTROL!$C$32, $C$9, 100%, $E$9)</f>
        <v>4.2487000000000004</v>
      </c>
      <c r="H115" s="11">
        <f>6.842 * CHOOSE(CONTROL!$C$32, $C$9, 100%, $E$9)</f>
        <v>6.8419999999999996</v>
      </c>
      <c r="I115" s="11">
        <f>6.8473 * CHOOSE(CONTROL!$C$32, $C$9, 100%, $E$9)</f>
        <v>6.8472999999999997</v>
      </c>
      <c r="J115" s="11">
        <f>6.842 * CHOOSE(CONTROL!$C$32, $C$9, 100%, $E$9)</f>
        <v>6.8419999999999996</v>
      </c>
      <c r="K115" s="11">
        <f>6.8473 * CHOOSE(CONTROL!$C$32, $C$9, 100%, $E$9)</f>
        <v>6.8472999999999997</v>
      </c>
      <c r="L115" s="11">
        <f>4.2434 * CHOOSE(CONTROL!$C$32, $C$9, 100%, $E$9)</f>
        <v>4.2434000000000003</v>
      </c>
      <c r="M115" s="11">
        <f>4.2487 * CHOOSE(CONTROL!$C$32, $C$9, 100%, $E$9)</f>
        <v>4.2487000000000004</v>
      </c>
      <c r="N115" s="11">
        <f>4.2434 * CHOOSE(CONTROL!$C$32, $C$9, 100%, $E$9)</f>
        <v>4.2434000000000003</v>
      </c>
      <c r="O115" s="11">
        <f>4.2487 * CHOOSE(CONTROL!$C$32, $C$9, 100%, $E$9)</f>
        <v>4.2487000000000004</v>
      </c>
      <c r="P115" s="14"/>
      <c r="Q115" s="14"/>
      <c r="R115" s="14"/>
    </row>
    <row r="116" spans="1:18" ht="15" x14ac:dyDescent="0.2">
      <c r="A116" s="13">
        <v>44378</v>
      </c>
      <c r="B116" s="9">
        <f>3.3976 * CHOOSE(CONTROL!$C$32, $C$9, 100%, $E$9)</f>
        <v>3.3976000000000002</v>
      </c>
      <c r="C116" s="9">
        <f>3.3976 * CHOOSE(CONTROL!$C$32, $C$9, 100%, $E$9)</f>
        <v>3.3976000000000002</v>
      </c>
      <c r="D116" s="9">
        <f>3.3992 * CHOOSE(CONTROL!$C$32, $C$9, 100%, $E$9)</f>
        <v>3.3992</v>
      </c>
      <c r="E116" s="11">
        <f>4.3089 * CHOOSE(CONTROL!$C$32, $C$9, 100%, $E$9)</f>
        <v>4.3089000000000004</v>
      </c>
      <c r="F116" s="11">
        <f>4.3089 * CHOOSE(CONTROL!$C$32, $C$9, 100%, $E$9)</f>
        <v>4.3089000000000004</v>
      </c>
      <c r="G116" s="11">
        <f>4.3142 * CHOOSE(CONTROL!$C$32, $C$9, 100%, $E$9)</f>
        <v>4.3141999999999996</v>
      </c>
      <c r="H116" s="11">
        <f>6.8562 * CHOOSE(CONTROL!$C$32, $C$9, 100%, $E$9)</f>
        <v>6.8562000000000003</v>
      </c>
      <c r="I116" s="11">
        <f>6.8615 * CHOOSE(CONTROL!$C$32, $C$9, 100%, $E$9)</f>
        <v>6.8615000000000004</v>
      </c>
      <c r="J116" s="11">
        <f>6.8562 * CHOOSE(CONTROL!$C$32, $C$9, 100%, $E$9)</f>
        <v>6.8562000000000003</v>
      </c>
      <c r="K116" s="11">
        <f>6.8615 * CHOOSE(CONTROL!$C$32, $C$9, 100%, $E$9)</f>
        <v>6.8615000000000004</v>
      </c>
      <c r="L116" s="11">
        <f>4.3089 * CHOOSE(CONTROL!$C$32, $C$9, 100%, $E$9)</f>
        <v>4.3089000000000004</v>
      </c>
      <c r="M116" s="11">
        <f>4.3142 * CHOOSE(CONTROL!$C$32, $C$9, 100%, $E$9)</f>
        <v>4.3141999999999996</v>
      </c>
      <c r="N116" s="11">
        <f>4.3089 * CHOOSE(CONTROL!$C$32, $C$9, 100%, $E$9)</f>
        <v>4.3089000000000004</v>
      </c>
      <c r="O116" s="11">
        <f>4.3142 * CHOOSE(CONTROL!$C$32, $C$9, 100%, $E$9)</f>
        <v>4.3141999999999996</v>
      </c>
      <c r="P116" s="14"/>
      <c r="Q116" s="14"/>
      <c r="R116" s="14"/>
    </row>
    <row r="117" spans="1:18" ht="15" x14ac:dyDescent="0.2">
      <c r="A117" s="13">
        <v>44409</v>
      </c>
      <c r="B117" s="9">
        <f>3.4043 * CHOOSE(CONTROL!$C$32, $C$9, 100%, $E$9)</f>
        <v>3.4043000000000001</v>
      </c>
      <c r="C117" s="9">
        <f>3.4043 * CHOOSE(CONTROL!$C$32, $C$9, 100%, $E$9)</f>
        <v>3.4043000000000001</v>
      </c>
      <c r="D117" s="9">
        <f>3.4059 * CHOOSE(CONTROL!$C$32, $C$9, 100%, $E$9)</f>
        <v>3.4058999999999999</v>
      </c>
      <c r="E117" s="11">
        <f>4.3133 * CHOOSE(CONTROL!$C$32, $C$9, 100%, $E$9)</f>
        <v>4.3132999999999999</v>
      </c>
      <c r="F117" s="11">
        <f>4.3133 * CHOOSE(CONTROL!$C$32, $C$9, 100%, $E$9)</f>
        <v>4.3132999999999999</v>
      </c>
      <c r="G117" s="11">
        <f>4.3186 * CHOOSE(CONTROL!$C$32, $C$9, 100%, $E$9)</f>
        <v>4.3186</v>
      </c>
      <c r="H117" s="11">
        <f>6.8705 * CHOOSE(CONTROL!$C$32, $C$9, 100%, $E$9)</f>
        <v>6.8704999999999998</v>
      </c>
      <c r="I117" s="11">
        <f>6.8758 * CHOOSE(CONTROL!$C$32, $C$9, 100%, $E$9)</f>
        <v>6.8757999999999999</v>
      </c>
      <c r="J117" s="11">
        <f>6.8705 * CHOOSE(CONTROL!$C$32, $C$9, 100%, $E$9)</f>
        <v>6.8704999999999998</v>
      </c>
      <c r="K117" s="11">
        <f>6.8758 * CHOOSE(CONTROL!$C$32, $C$9, 100%, $E$9)</f>
        <v>6.8757999999999999</v>
      </c>
      <c r="L117" s="11">
        <f>4.3133 * CHOOSE(CONTROL!$C$32, $C$9, 100%, $E$9)</f>
        <v>4.3132999999999999</v>
      </c>
      <c r="M117" s="11">
        <f>4.3186 * CHOOSE(CONTROL!$C$32, $C$9, 100%, $E$9)</f>
        <v>4.3186</v>
      </c>
      <c r="N117" s="11">
        <f>4.3133 * CHOOSE(CONTROL!$C$32, $C$9, 100%, $E$9)</f>
        <v>4.3132999999999999</v>
      </c>
      <c r="O117" s="11">
        <f>4.3186 * CHOOSE(CONTROL!$C$32, $C$9, 100%, $E$9)</f>
        <v>4.3186</v>
      </c>
      <c r="P117" s="14"/>
      <c r="Q117" s="14"/>
      <c r="R117" s="14"/>
    </row>
    <row r="118" spans="1:18" ht="15" x14ac:dyDescent="0.2">
      <c r="A118" s="13">
        <v>44440</v>
      </c>
      <c r="B118" s="9">
        <f>3.4012 * CHOOSE(CONTROL!$C$32, $C$9, 100%, $E$9)</f>
        <v>3.4011999999999998</v>
      </c>
      <c r="C118" s="9">
        <f>3.4012 * CHOOSE(CONTROL!$C$32, $C$9, 100%, $E$9)</f>
        <v>3.4011999999999998</v>
      </c>
      <c r="D118" s="9">
        <f>3.4028 * CHOOSE(CONTROL!$C$32, $C$9, 100%, $E$9)</f>
        <v>3.4028</v>
      </c>
      <c r="E118" s="11">
        <f>4.3113 * CHOOSE(CONTROL!$C$32, $C$9, 100%, $E$9)</f>
        <v>4.3113000000000001</v>
      </c>
      <c r="F118" s="11">
        <f>4.3113 * CHOOSE(CONTROL!$C$32, $C$9, 100%, $E$9)</f>
        <v>4.3113000000000001</v>
      </c>
      <c r="G118" s="11">
        <f>4.3166 * CHOOSE(CONTROL!$C$32, $C$9, 100%, $E$9)</f>
        <v>4.3166000000000002</v>
      </c>
      <c r="H118" s="11">
        <f>6.8848 * CHOOSE(CONTROL!$C$32, $C$9, 100%, $E$9)</f>
        <v>6.8848000000000003</v>
      </c>
      <c r="I118" s="11">
        <f>6.8901 * CHOOSE(CONTROL!$C$32, $C$9, 100%, $E$9)</f>
        <v>6.8901000000000003</v>
      </c>
      <c r="J118" s="11">
        <f>6.8848 * CHOOSE(CONTROL!$C$32, $C$9, 100%, $E$9)</f>
        <v>6.8848000000000003</v>
      </c>
      <c r="K118" s="11">
        <f>6.8901 * CHOOSE(CONTROL!$C$32, $C$9, 100%, $E$9)</f>
        <v>6.8901000000000003</v>
      </c>
      <c r="L118" s="11">
        <f>4.3113 * CHOOSE(CONTROL!$C$32, $C$9, 100%, $E$9)</f>
        <v>4.3113000000000001</v>
      </c>
      <c r="M118" s="11">
        <f>4.3166 * CHOOSE(CONTROL!$C$32, $C$9, 100%, $E$9)</f>
        <v>4.3166000000000002</v>
      </c>
      <c r="N118" s="11">
        <f>4.3113 * CHOOSE(CONTROL!$C$32, $C$9, 100%, $E$9)</f>
        <v>4.3113000000000001</v>
      </c>
      <c r="O118" s="11">
        <f>4.3166 * CHOOSE(CONTROL!$C$32, $C$9, 100%, $E$9)</f>
        <v>4.3166000000000002</v>
      </c>
      <c r="P118" s="14"/>
      <c r="Q118" s="14"/>
      <c r="R118" s="14"/>
    </row>
    <row r="119" spans="1:18" ht="15" x14ac:dyDescent="0.2">
      <c r="A119" s="13">
        <v>44470</v>
      </c>
      <c r="B119" s="9">
        <f>3.3942 * CHOOSE(CONTROL!$C$32, $C$9, 100%, $E$9)</f>
        <v>3.3942000000000001</v>
      </c>
      <c r="C119" s="9">
        <f>3.3942 * CHOOSE(CONTROL!$C$32, $C$9, 100%, $E$9)</f>
        <v>3.3942000000000001</v>
      </c>
      <c r="D119" s="9">
        <f>3.3953 * CHOOSE(CONTROL!$C$32, $C$9, 100%, $E$9)</f>
        <v>3.3953000000000002</v>
      </c>
      <c r="E119" s="11">
        <f>4.3049 * CHOOSE(CONTROL!$C$32, $C$9, 100%, $E$9)</f>
        <v>4.3048999999999999</v>
      </c>
      <c r="F119" s="11">
        <f>4.3049 * CHOOSE(CONTROL!$C$32, $C$9, 100%, $E$9)</f>
        <v>4.3048999999999999</v>
      </c>
      <c r="G119" s="11">
        <f>4.3085 * CHOOSE(CONTROL!$C$32, $C$9, 100%, $E$9)</f>
        <v>4.3085000000000004</v>
      </c>
      <c r="H119" s="11">
        <f>6.8992 * CHOOSE(CONTROL!$C$32, $C$9, 100%, $E$9)</f>
        <v>6.8992000000000004</v>
      </c>
      <c r="I119" s="11">
        <f>6.9028 * CHOOSE(CONTROL!$C$32, $C$9, 100%, $E$9)</f>
        <v>6.9028</v>
      </c>
      <c r="J119" s="11">
        <f>6.8992 * CHOOSE(CONTROL!$C$32, $C$9, 100%, $E$9)</f>
        <v>6.8992000000000004</v>
      </c>
      <c r="K119" s="11">
        <f>6.9028 * CHOOSE(CONTROL!$C$32, $C$9, 100%, $E$9)</f>
        <v>6.9028</v>
      </c>
      <c r="L119" s="11">
        <f>4.3049 * CHOOSE(CONTROL!$C$32, $C$9, 100%, $E$9)</f>
        <v>4.3048999999999999</v>
      </c>
      <c r="M119" s="11">
        <f>4.3085 * CHOOSE(CONTROL!$C$32, $C$9, 100%, $E$9)</f>
        <v>4.3085000000000004</v>
      </c>
      <c r="N119" s="11">
        <f>4.3049 * CHOOSE(CONTROL!$C$32, $C$9, 100%, $E$9)</f>
        <v>4.3048999999999999</v>
      </c>
      <c r="O119" s="11">
        <f>4.3085 * CHOOSE(CONTROL!$C$32, $C$9, 100%, $E$9)</f>
        <v>4.3085000000000004</v>
      </c>
      <c r="P119" s="14"/>
      <c r="Q119" s="14"/>
      <c r="R119" s="14"/>
    </row>
    <row r="120" spans="1:18" ht="15" x14ac:dyDescent="0.2">
      <c r="A120" s="13">
        <v>44501</v>
      </c>
      <c r="B120" s="9">
        <f>3.3972 * CHOOSE(CONTROL!$C$32, $C$9, 100%, $E$9)</f>
        <v>3.3972000000000002</v>
      </c>
      <c r="C120" s="9">
        <f>3.3972 * CHOOSE(CONTROL!$C$32, $C$9, 100%, $E$9)</f>
        <v>3.3972000000000002</v>
      </c>
      <c r="D120" s="9">
        <f>3.3983 * CHOOSE(CONTROL!$C$32, $C$9, 100%, $E$9)</f>
        <v>3.3982999999999999</v>
      </c>
      <c r="E120" s="11">
        <f>4.3069 * CHOOSE(CONTROL!$C$32, $C$9, 100%, $E$9)</f>
        <v>4.3068999999999997</v>
      </c>
      <c r="F120" s="11">
        <f>4.3069 * CHOOSE(CONTROL!$C$32, $C$9, 100%, $E$9)</f>
        <v>4.3068999999999997</v>
      </c>
      <c r="G120" s="11">
        <f>4.3105 * CHOOSE(CONTROL!$C$32, $C$9, 100%, $E$9)</f>
        <v>4.3105000000000002</v>
      </c>
      <c r="H120" s="11">
        <f>6.9136 * CHOOSE(CONTROL!$C$32, $C$9, 100%, $E$9)</f>
        <v>6.9135999999999997</v>
      </c>
      <c r="I120" s="11">
        <f>6.9172 * CHOOSE(CONTROL!$C$32, $C$9, 100%, $E$9)</f>
        <v>6.9172000000000002</v>
      </c>
      <c r="J120" s="11">
        <f>6.9136 * CHOOSE(CONTROL!$C$32, $C$9, 100%, $E$9)</f>
        <v>6.9135999999999997</v>
      </c>
      <c r="K120" s="11">
        <f>6.9172 * CHOOSE(CONTROL!$C$32, $C$9, 100%, $E$9)</f>
        <v>6.9172000000000002</v>
      </c>
      <c r="L120" s="11">
        <f>4.3069 * CHOOSE(CONTROL!$C$32, $C$9, 100%, $E$9)</f>
        <v>4.3068999999999997</v>
      </c>
      <c r="M120" s="11">
        <f>4.3105 * CHOOSE(CONTROL!$C$32, $C$9, 100%, $E$9)</f>
        <v>4.3105000000000002</v>
      </c>
      <c r="N120" s="11">
        <f>4.3069 * CHOOSE(CONTROL!$C$32, $C$9, 100%, $E$9)</f>
        <v>4.3068999999999997</v>
      </c>
      <c r="O120" s="11">
        <f>4.3105 * CHOOSE(CONTROL!$C$32, $C$9, 100%, $E$9)</f>
        <v>4.3105000000000002</v>
      </c>
      <c r="P120" s="14"/>
      <c r="Q120" s="14"/>
      <c r="R120" s="14"/>
    </row>
    <row r="121" spans="1:18" ht="15" x14ac:dyDescent="0.2">
      <c r="A121" s="13">
        <v>44531</v>
      </c>
      <c r="B121" s="9">
        <f>3.3972 * CHOOSE(CONTROL!$C$32, $C$9, 100%, $E$9)</f>
        <v>3.3972000000000002</v>
      </c>
      <c r="C121" s="9">
        <f>3.3972 * CHOOSE(CONTROL!$C$32, $C$9, 100%, $E$9)</f>
        <v>3.3972000000000002</v>
      </c>
      <c r="D121" s="9">
        <f>3.3983 * CHOOSE(CONTROL!$C$32, $C$9, 100%, $E$9)</f>
        <v>3.3982999999999999</v>
      </c>
      <c r="E121" s="11">
        <f>4.3069 * CHOOSE(CONTROL!$C$32, $C$9, 100%, $E$9)</f>
        <v>4.3068999999999997</v>
      </c>
      <c r="F121" s="11">
        <f>4.3069 * CHOOSE(CONTROL!$C$32, $C$9, 100%, $E$9)</f>
        <v>4.3068999999999997</v>
      </c>
      <c r="G121" s="11">
        <f>4.3105 * CHOOSE(CONTROL!$C$32, $C$9, 100%, $E$9)</f>
        <v>4.3105000000000002</v>
      </c>
      <c r="H121" s="11">
        <f>6.928 * CHOOSE(CONTROL!$C$32, $C$9, 100%, $E$9)</f>
        <v>6.9279999999999999</v>
      </c>
      <c r="I121" s="11">
        <f>6.9316 * CHOOSE(CONTROL!$C$32, $C$9, 100%, $E$9)</f>
        <v>6.9316000000000004</v>
      </c>
      <c r="J121" s="11">
        <f>6.928 * CHOOSE(CONTROL!$C$32, $C$9, 100%, $E$9)</f>
        <v>6.9279999999999999</v>
      </c>
      <c r="K121" s="11">
        <f>6.9316 * CHOOSE(CONTROL!$C$32, $C$9, 100%, $E$9)</f>
        <v>6.9316000000000004</v>
      </c>
      <c r="L121" s="11">
        <f>4.3069 * CHOOSE(CONTROL!$C$32, $C$9, 100%, $E$9)</f>
        <v>4.3068999999999997</v>
      </c>
      <c r="M121" s="11">
        <f>4.3105 * CHOOSE(CONTROL!$C$32, $C$9, 100%, $E$9)</f>
        <v>4.3105000000000002</v>
      </c>
      <c r="N121" s="11">
        <f>4.3069 * CHOOSE(CONTROL!$C$32, $C$9, 100%, $E$9)</f>
        <v>4.3068999999999997</v>
      </c>
      <c r="O121" s="11">
        <f>4.3105 * CHOOSE(CONTROL!$C$32, $C$9, 100%, $E$9)</f>
        <v>4.3105000000000002</v>
      </c>
      <c r="P121" s="14"/>
      <c r="Q121" s="14"/>
      <c r="R121" s="14"/>
    </row>
    <row r="122" spans="1:18" ht="15" x14ac:dyDescent="0.2">
      <c r="A122" s="13">
        <v>44562</v>
      </c>
      <c r="B122" s="9">
        <f>3.4251 * CHOOSE(CONTROL!$C$32, $C$9, 100%, $E$9)</f>
        <v>3.4251</v>
      </c>
      <c r="C122" s="9">
        <f>3.4251 * CHOOSE(CONTROL!$C$32, $C$9, 100%, $E$9)</f>
        <v>3.4251</v>
      </c>
      <c r="D122" s="9">
        <f>3.4261 * CHOOSE(CONTROL!$C$32, $C$9, 100%, $E$9)</f>
        <v>3.4260999999999999</v>
      </c>
      <c r="E122" s="11">
        <f>4.3439 * CHOOSE(CONTROL!$C$32, $C$9, 100%, $E$9)</f>
        <v>4.3438999999999997</v>
      </c>
      <c r="F122" s="11">
        <f>4.3439 * CHOOSE(CONTROL!$C$32, $C$9, 100%, $E$9)</f>
        <v>4.3438999999999997</v>
      </c>
      <c r="G122" s="11">
        <f>4.3475 * CHOOSE(CONTROL!$C$32, $C$9, 100%, $E$9)</f>
        <v>4.3475000000000001</v>
      </c>
      <c r="H122" s="11">
        <f>6.9424 * CHOOSE(CONTROL!$C$32, $C$9, 100%, $E$9)</f>
        <v>6.9424000000000001</v>
      </c>
      <c r="I122" s="11">
        <f>6.946 * CHOOSE(CONTROL!$C$32, $C$9, 100%, $E$9)</f>
        <v>6.9459999999999997</v>
      </c>
      <c r="J122" s="11">
        <f>6.9424 * CHOOSE(CONTROL!$C$32, $C$9, 100%, $E$9)</f>
        <v>6.9424000000000001</v>
      </c>
      <c r="K122" s="11">
        <f>6.946 * CHOOSE(CONTROL!$C$32, $C$9, 100%, $E$9)</f>
        <v>6.9459999999999997</v>
      </c>
      <c r="L122" s="11">
        <f>4.3439 * CHOOSE(CONTROL!$C$32, $C$9, 100%, $E$9)</f>
        <v>4.3438999999999997</v>
      </c>
      <c r="M122" s="11">
        <f>4.3475 * CHOOSE(CONTROL!$C$32, $C$9, 100%, $E$9)</f>
        <v>4.3475000000000001</v>
      </c>
      <c r="N122" s="11">
        <f>4.3439 * CHOOSE(CONTROL!$C$32, $C$9, 100%, $E$9)</f>
        <v>4.3438999999999997</v>
      </c>
      <c r="O122" s="11">
        <f>4.3475 * CHOOSE(CONTROL!$C$32, $C$9, 100%, $E$9)</f>
        <v>4.3475000000000001</v>
      </c>
      <c r="P122" s="14"/>
      <c r="Q122" s="14"/>
      <c r="R122" s="14"/>
    </row>
    <row r="123" spans="1:18" ht="15" x14ac:dyDescent="0.2">
      <c r="A123" s="13">
        <v>44593</v>
      </c>
      <c r="B123" s="9">
        <f>3.422 * CHOOSE(CONTROL!$C$32, $C$9, 100%, $E$9)</f>
        <v>3.4220000000000002</v>
      </c>
      <c r="C123" s="9">
        <f>3.422 * CHOOSE(CONTROL!$C$32, $C$9, 100%, $E$9)</f>
        <v>3.4220000000000002</v>
      </c>
      <c r="D123" s="9">
        <f>3.4231 * CHOOSE(CONTROL!$C$32, $C$9, 100%, $E$9)</f>
        <v>3.4230999999999998</v>
      </c>
      <c r="E123" s="11">
        <f>4.3419 * CHOOSE(CONTROL!$C$32, $C$9, 100%, $E$9)</f>
        <v>4.3418999999999999</v>
      </c>
      <c r="F123" s="11">
        <f>4.3419 * CHOOSE(CONTROL!$C$32, $C$9, 100%, $E$9)</f>
        <v>4.3418999999999999</v>
      </c>
      <c r="G123" s="11">
        <f>4.3455 * CHOOSE(CONTROL!$C$32, $C$9, 100%, $E$9)</f>
        <v>4.3455000000000004</v>
      </c>
      <c r="H123" s="11">
        <f>6.9569 * CHOOSE(CONTROL!$C$32, $C$9, 100%, $E$9)</f>
        <v>6.9569000000000001</v>
      </c>
      <c r="I123" s="11">
        <f>6.9605 * CHOOSE(CONTROL!$C$32, $C$9, 100%, $E$9)</f>
        <v>6.9604999999999997</v>
      </c>
      <c r="J123" s="11">
        <f>6.9569 * CHOOSE(CONTROL!$C$32, $C$9, 100%, $E$9)</f>
        <v>6.9569000000000001</v>
      </c>
      <c r="K123" s="11">
        <f>6.9605 * CHOOSE(CONTROL!$C$32, $C$9, 100%, $E$9)</f>
        <v>6.9604999999999997</v>
      </c>
      <c r="L123" s="11">
        <f>4.3419 * CHOOSE(CONTROL!$C$32, $C$9, 100%, $E$9)</f>
        <v>4.3418999999999999</v>
      </c>
      <c r="M123" s="11">
        <f>4.3455 * CHOOSE(CONTROL!$C$32, $C$9, 100%, $E$9)</f>
        <v>4.3455000000000004</v>
      </c>
      <c r="N123" s="11">
        <f>4.3419 * CHOOSE(CONTROL!$C$32, $C$9, 100%, $E$9)</f>
        <v>4.3418999999999999</v>
      </c>
      <c r="O123" s="11">
        <f>4.3455 * CHOOSE(CONTROL!$C$32, $C$9, 100%, $E$9)</f>
        <v>4.3455000000000004</v>
      </c>
      <c r="P123" s="14"/>
      <c r="Q123" s="14"/>
      <c r="R123" s="14"/>
    </row>
    <row r="124" spans="1:18" ht="15" x14ac:dyDescent="0.2">
      <c r="A124" s="13">
        <v>44621</v>
      </c>
      <c r="B124" s="9">
        <f>3.419 * CHOOSE(CONTROL!$C$32, $C$9, 100%, $E$9)</f>
        <v>3.419</v>
      </c>
      <c r="C124" s="9">
        <f>3.419 * CHOOSE(CONTROL!$C$32, $C$9, 100%, $E$9)</f>
        <v>3.419</v>
      </c>
      <c r="D124" s="9">
        <f>3.4201 * CHOOSE(CONTROL!$C$32, $C$9, 100%, $E$9)</f>
        <v>3.4201000000000001</v>
      </c>
      <c r="E124" s="11">
        <f>4.3399 * CHOOSE(CONTROL!$C$32, $C$9, 100%, $E$9)</f>
        <v>4.3399000000000001</v>
      </c>
      <c r="F124" s="11">
        <f>4.3399 * CHOOSE(CONTROL!$C$32, $C$9, 100%, $E$9)</f>
        <v>4.3399000000000001</v>
      </c>
      <c r="G124" s="11">
        <f>4.3435 * CHOOSE(CONTROL!$C$32, $C$9, 100%, $E$9)</f>
        <v>4.3434999999999997</v>
      </c>
      <c r="H124" s="11">
        <f>6.9713 * CHOOSE(CONTROL!$C$32, $C$9, 100%, $E$9)</f>
        <v>6.9713000000000003</v>
      </c>
      <c r="I124" s="11">
        <f>6.975 * CHOOSE(CONTROL!$C$32, $C$9, 100%, $E$9)</f>
        <v>6.9749999999999996</v>
      </c>
      <c r="J124" s="11">
        <f>6.9713 * CHOOSE(CONTROL!$C$32, $C$9, 100%, $E$9)</f>
        <v>6.9713000000000003</v>
      </c>
      <c r="K124" s="11">
        <f>6.975 * CHOOSE(CONTROL!$C$32, $C$9, 100%, $E$9)</f>
        <v>6.9749999999999996</v>
      </c>
      <c r="L124" s="11">
        <f>4.3399 * CHOOSE(CONTROL!$C$32, $C$9, 100%, $E$9)</f>
        <v>4.3399000000000001</v>
      </c>
      <c r="M124" s="11">
        <f>4.3435 * CHOOSE(CONTROL!$C$32, $C$9, 100%, $E$9)</f>
        <v>4.3434999999999997</v>
      </c>
      <c r="N124" s="11">
        <f>4.3399 * CHOOSE(CONTROL!$C$32, $C$9, 100%, $E$9)</f>
        <v>4.3399000000000001</v>
      </c>
      <c r="O124" s="11">
        <f>4.3435 * CHOOSE(CONTROL!$C$32, $C$9, 100%, $E$9)</f>
        <v>4.3434999999999997</v>
      </c>
      <c r="P124" s="14"/>
      <c r="Q124" s="14"/>
      <c r="R124" s="14"/>
    </row>
    <row r="125" spans="1:18" ht="15" x14ac:dyDescent="0.2">
      <c r="A125" s="13">
        <v>44652</v>
      </c>
      <c r="B125" s="9">
        <f>3.4161 * CHOOSE(CONTROL!$C$32, $C$9, 100%, $E$9)</f>
        <v>3.4161000000000001</v>
      </c>
      <c r="C125" s="9">
        <f>3.4161 * CHOOSE(CONTROL!$C$32, $C$9, 100%, $E$9)</f>
        <v>3.4161000000000001</v>
      </c>
      <c r="D125" s="9">
        <f>3.4172 * CHOOSE(CONTROL!$C$32, $C$9, 100%, $E$9)</f>
        <v>3.4171999999999998</v>
      </c>
      <c r="E125" s="11">
        <f>4.3376 * CHOOSE(CONTROL!$C$32, $C$9, 100%, $E$9)</f>
        <v>4.3376000000000001</v>
      </c>
      <c r="F125" s="11">
        <f>4.3376 * CHOOSE(CONTROL!$C$32, $C$9, 100%, $E$9)</f>
        <v>4.3376000000000001</v>
      </c>
      <c r="G125" s="11">
        <f>4.3412 * CHOOSE(CONTROL!$C$32, $C$9, 100%, $E$9)</f>
        <v>4.3411999999999997</v>
      </c>
      <c r="H125" s="11">
        <f>6.9859 * CHOOSE(CONTROL!$C$32, $C$9, 100%, $E$9)</f>
        <v>6.9859</v>
      </c>
      <c r="I125" s="11">
        <f>6.9895 * CHOOSE(CONTROL!$C$32, $C$9, 100%, $E$9)</f>
        <v>6.9894999999999996</v>
      </c>
      <c r="J125" s="11">
        <f>6.9859 * CHOOSE(CONTROL!$C$32, $C$9, 100%, $E$9)</f>
        <v>6.9859</v>
      </c>
      <c r="K125" s="11">
        <f>6.9895 * CHOOSE(CONTROL!$C$32, $C$9, 100%, $E$9)</f>
        <v>6.9894999999999996</v>
      </c>
      <c r="L125" s="11">
        <f>4.3376 * CHOOSE(CONTROL!$C$32, $C$9, 100%, $E$9)</f>
        <v>4.3376000000000001</v>
      </c>
      <c r="M125" s="11">
        <f>4.3412 * CHOOSE(CONTROL!$C$32, $C$9, 100%, $E$9)</f>
        <v>4.3411999999999997</v>
      </c>
      <c r="N125" s="11">
        <f>4.3376 * CHOOSE(CONTROL!$C$32, $C$9, 100%, $E$9)</f>
        <v>4.3376000000000001</v>
      </c>
      <c r="O125" s="11">
        <f>4.3412 * CHOOSE(CONTROL!$C$32, $C$9, 100%, $E$9)</f>
        <v>4.3411999999999997</v>
      </c>
      <c r="P125" s="14"/>
      <c r="Q125" s="14"/>
      <c r="R125" s="14"/>
    </row>
    <row r="126" spans="1:18" ht="15" x14ac:dyDescent="0.2">
      <c r="A126" s="13">
        <v>44682</v>
      </c>
      <c r="B126" s="9">
        <f>3.4161 * CHOOSE(CONTROL!$C$32, $C$9, 100%, $E$9)</f>
        <v>3.4161000000000001</v>
      </c>
      <c r="C126" s="9">
        <f>3.4161 * CHOOSE(CONTROL!$C$32, $C$9, 100%, $E$9)</f>
        <v>3.4161000000000001</v>
      </c>
      <c r="D126" s="9">
        <f>3.4177 * CHOOSE(CONTROL!$C$32, $C$9, 100%, $E$9)</f>
        <v>3.4177</v>
      </c>
      <c r="E126" s="11">
        <f>4.3376 * CHOOSE(CONTROL!$C$32, $C$9, 100%, $E$9)</f>
        <v>4.3376000000000001</v>
      </c>
      <c r="F126" s="11">
        <f>4.3376 * CHOOSE(CONTROL!$C$32, $C$9, 100%, $E$9)</f>
        <v>4.3376000000000001</v>
      </c>
      <c r="G126" s="11">
        <f>4.3429 * CHOOSE(CONTROL!$C$32, $C$9, 100%, $E$9)</f>
        <v>4.3429000000000002</v>
      </c>
      <c r="H126" s="11">
        <f>7.0004 * CHOOSE(CONTROL!$C$32, $C$9, 100%, $E$9)</f>
        <v>7.0004</v>
      </c>
      <c r="I126" s="11">
        <f>7.0057 * CHOOSE(CONTROL!$C$32, $C$9, 100%, $E$9)</f>
        <v>7.0057</v>
      </c>
      <c r="J126" s="11">
        <f>7.0004 * CHOOSE(CONTROL!$C$32, $C$9, 100%, $E$9)</f>
        <v>7.0004</v>
      </c>
      <c r="K126" s="11">
        <f>7.0057 * CHOOSE(CONTROL!$C$32, $C$9, 100%, $E$9)</f>
        <v>7.0057</v>
      </c>
      <c r="L126" s="11">
        <f>4.3376 * CHOOSE(CONTROL!$C$32, $C$9, 100%, $E$9)</f>
        <v>4.3376000000000001</v>
      </c>
      <c r="M126" s="11">
        <f>4.3429 * CHOOSE(CONTROL!$C$32, $C$9, 100%, $E$9)</f>
        <v>4.3429000000000002</v>
      </c>
      <c r="N126" s="11">
        <f>4.3376 * CHOOSE(CONTROL!$C$32, $C$9, 100%, $E$9)</f>
        <v>4.3376000000000001</v>
      </c>
      <c r="O126" s="11">
        <f>4.3429 * CHOOSE(CONTROL!$C$32, $C$9, 100%, $E$9)</f>
        <v>4.3429000000000002</v>
      </c>
      <c r="P126" s="14"/>
      <c r="Q126" s="14"/>
      <c r="R126" s="14"/>
    </row>
    <row r="127" spans="1:18" ht="15" x14ac:dyDescent="0.2">
      <c r="A127" s="13">
        <v>44713</v>
      </c>
      <c r="B127" s="9">
        <f>3.4222 * CHOOSE(CONTROL!$C$32, $C$9, 100%, $E$9)</f>
        <v>3.4222000000000001</v>
      </c>
      <c r="C127" s="9">
        <f>3.4222 * CHOOSE(CONTROL!$C$32, $C$9, 100%, $E$9)</f>
        <v>3.4222000000000001</v>
      </c>
      <c r="D127" s="9">
        <f>3.4238 * CHOOSE(CONTROL!$C$32, $C$9, 100%, $E$9)</f>
        <v>3.4238</v>
      </c>
      <c r="E127" s="11">
        <f>4.3416 * CHOOSE(CONTROL!$C$32, $C$9, 100%, $E$9)</f>
        <v>4.3415999999999997</v>
      </c>
      <c r="F127" s="11">
        <f>4.3416 * CHOOSE(CONTROL!$C$32, $C$9, 100%, $E$9)</f>
        <v>4.3415999999999997</v>
      </c>
      <c r="G127" s="11">
        <f>4.3469 * CHOOSE(CONTROL!$C$32, $C$9, 100%, $E$9)</f>
        <v>4.3468999999999998</v>
      </c>
      <c r="H127" s="11">
        <f>7.015 * CHOOSE(CONTROL!$C$32, $C$9, 100%, $E$9)</f>
        <v>7.0149999999999997</v>
      </c>
      <c r="I127" s="11">
        <f>7.0203 * CHOOSE(CONTROL!$C$32, $C$9, 100%, $E$9)</f>
        <v>7.0202999999999998</v>
      </c>
      <c r="J127" s="11">
        <f>7.015 * CHOOSE(CONTROL!$C$32, $C$9, 100%, $E$9)</f>
        <v>7.0149999999999997</v>
      </c>
      <c r="K127" s="11">
        <f>7.0203 * CHOOSE(CONTROL!$C$32, $C$9, 100%, $E$9)</f>
        <v>7.0202999999999998</v>
      </c>
      <c r="L127" s="11">
        <f>4.3416 * CHOOSE(CONTROL!$C$32, $C$9, 100%, $E$9)</f>
        <v>4.3415999999999997</v>
      </c>
      <c r="M127" s="11">
        <f>4.3469 * CHOOSE(CONTROL!$C$32, $C$9, 100%, $E$9)</f>
        <v>4.3468999999999998</v>
      </c>
      <c r="N127" s="11">
        <f>4.3416 * CHOOSE(CONTROL!$C$32, $C$9, 100%, $E$9)</f>
        <v>4.3415999999999997</v>
      </c>
      <c r="O127" s="11">
        <f>4.3469 * CHOOSE(CONTROL!$C$32, $C$9, 100%, $E$9)</f>
        <v>4.3468999999999998</v>
      </c>
      <c r="P127" s="14"/>
      <c r="Q127" s="14"/>
      <c r="R127" s="14"/>
    </row>
    <row r="128" spans="1:18" ht="15" x14ac:dyDescent="0.2">
      <c r="A128" s="13">
        <v>44743</v>
      </c>
      <c r="B128" s="9">
        <f>3.4729 * CHOOSE(CONTROL!$C$32, $C$9, 100%, $E$9)</f>
        <v>3.4729000000000001</v>
      </c>
      <c r="C128" s="9">
        <f>3.4729 * CHOOSE(CONTROL!$C$32, $C$9, 100%, $E$9)</f>
        <v>3.4729000000000001</v>
      </c>
      <c r="D128" s="9">
        <f>3.4745 * CHOOSE(CONTROL!$C$32, $C$9, 100%, $E$9)</f>
        <v>3.4744999999999999</v>
      </c>
      <c r="E128" s="11">
        <f>4.4233 * CHOOSE(CONTROL!$C$32, $C$9, 100%, $E$9)</f>
        <v>4.4233000000000002</v>
      </c>
      <c r="F128" s="11">
        <f>4.4233 * CHOOSE(CONTROL!$C$32, $C$9, 100%, $E$9)</f>
        <v>4.4233000000000002</v>
      </c>
      <c r="G128" s="11">
        <f>4.4286 * CHOOSE(CONTROL!$C$32, $C$9, 100%, $E$9)</f>
        <v>4.4286000000000003</v>
      </c>
      <c r="H128" s="11">
        <f>7.0296 * CHOOSE(CONTROL!$C$32, $C$9, 100%, $E$9)</f>
        <v>7.0296000000000003</v>
      </c>
      <c r="I128" s="11">
        <f>7.0349 * CHOOSE(CONTROL!$C$32, $C$9, 100%, $E$9)</f>
        <v>7.0349000000000004</v>
      </c>
      <c r="J128" s="11">
        <f>7.0296 * CHOOSE(CONTROL!$C$32, $C$9, 100%, $E$9)</f>
        <v>7.0296000000000003</v>
      </c>
      <c r="K128" s="11">
        <f>7.0349 * CHOOSE(CONTROL!$C$32, $C$9, 100%, $E$9)</f>
        <v>7.0349000000000004</v>
      </c>
      <c r="L128" s="11">
        <f>4.4233 * CHOOSE(CONTROL!$C$32, $C$9, 100%, $E$9)</f>
        <v>4.4233000000000002</v>
      </c>
      <c r="M128" s="11">
        <f>4.4286 * CHOOSE(CONTROL!$C$32, $C$9, 100%, $E$9)</f>
        <v>4.4286000000000003</v>
      </c>
      <c r="N128" s="11">
        <f>4.4233 * CHOOSE(CONTROL!$C$32, $C$9, 100%, $E$9)</f>
        <v>4.4233000000000002</v>
      </c>
      <c r="O128" s="11">
        <f>4.4286 * CHOOSE(CONTROL!$C$32, $C$9, 100%, $E$9)</f>
        <v>4.4286000000000003</v>
      </c>
      <c r="P128" s="14"/>
      <c r="Q128" s="14"/>
      <c r="R128" s="14"/>
    </row>
    <row r="129" spans="1:18" ht="15" x14ac:dyDescent="0.2">
      <c r="A129" s="13">
        <v>44774</v>
      </c>
      <c r="B129" s="9">
        <f>3.4796 * CHOOSE(CONTROL!$C$32, $C$9, 100%, $E$9)</f>
        <v>3.4796</v>
      </c>
      <c r="C129" s="9">
        <f>3.4796 * CHOOSE(CONTROL!$C$32, $C$9, 100%, $E$9)</f>
        <v>3.4796</v>
      </c>
      <c r="D129" s="9">
        <f>3.4811 * CHOOSE(CONTROL!$C$32, $C$9, 100%, $E$9)</f>
        <v>3.4811000000000001</v>
      </c>
      <c r="E129" s="11">
        <f>4.4277 * CHOOSE(CONTROL!$C$32, $C$9, 100%, $E$9)</f>
        <v>4.4276999999999997</v>
      </c>
      <c r="F129" s="11">
        <f>4.4277 * CHOOSE(CONTROL!$C$32, $C$9, 100%, $E$9)</f>
        <v>4.4276999999999997</v>
      </c>
      <c r="G129" s="11">
        <f>4.433 * CHOOSE(CONTROL!$C$32, $C$9, 100%, $E$9)</f>
        <v>4.4329999999999998</v>
      </c>
      <c r="H129" s="11">
        <f>7.0443 * CHOOSE(CONTROL!$C$32, $C$9, 100%, $E$9)</f>
        <v>7.0442999999999998</v>
      </c>
      <c r="I129" s="11">
        <f>7.0496 * CHOOSE(CONTROL!$C$32, $C$9, 100%, $E$9)</f>
        <v>7.0495999999999999</v>
      </c>
      <c r="J129" s="11">
        <f>7.0443 * CHOOSE(CONTROL!$C$32, $C$9, 100%, $E$9)</f>
        <v>7.0442999999999998</v>
      </c>
      <c r="K129" s="11">
        <f>7.0496 * CHOOSE(CONTROL!$C$32, $C$9, 100%, $E$9)</f>
        <v>7.0495999999999999</v>
      </c>
      <c r="L129" s="11">
        <f>4.4277 * CHOOSE(CONTROL!$C$32, $C$9, 100%, $E$9)</f>
        <v>4.4276999999999997</v>
      </c>
      <c r="M129" s="11">
        <f>4.433 * CHOOSE(CONTROL!$C$32, $C$9, 100%, $E$9)</f>
        <v>4.4329999999999998</v>
      </c>
      <c r="N129" s="11">
        <f>4.4277 * CHOOSE(CONTROL!$C$32, $C$9, 100%, $E$9)</f>
        <v>4.4276999999999997</v>
      </c>
      <c r="O129" s="11">
        <f>4.433 * CHOOSE(CONTROL!$C$32, $C$9, 100%, $E$9)</f>
        <v>4.4329999999999998</v>
      </c>
      <c r="P129" s="14"/>
      <c r="Q129" s="14"/>
      <c r="R129" s="14"/>
    </row>
    <row r="130" spans="1:18" ht="15" x14ac:dyDescent="0.2">
      <c r="A130" s="13">
        <v>44805</v>
      </c>
      <c r="B130" s="9">
        <f>3.4765 * CHOOSE(CONTROL!$C$32, $C$9, 100%, $E$9)</f>
        <v>3.4765000000000001</v>
      </c>
      <c r="C130" s="9">
        <f>3.4765 * CHOOSE(CONTROL!$C$32, $C$9, 100%, $E$9)</f>
        <v>3.4765000000000001</v>
      </c>
      <c r="D130" s="9">
        <f>3.4781 * CHOOSE(CONTROL!$C$32, $C$9, 100%, $E$9)</f>
        <v>3.4781</v>
      </c>
      <c r="E130" s="11">
        <f>4.4257 * CHOOSE(CONTROL!$C$32, $C$9, 100%, $E$9)</f>
        <v>4.4257</v>
      </c>
      <c r="F130" s="11">
        <f>4.4257 * CHOOSE(CONTROL!$C$32, $C$9, 100%, $E$9)</f>
        <v>4.4257</v>
      </c>
      <c r="G130" s="11">
        <f>4.431 * CHOOSE(CONTROL!$C$32, $C$9, 100%, $E$9)</f>
        <v>4.431</v>
      </c>
      <c r="H130" s="11">
        <f>7.0589 * CHOOSE(CONTROL!$C$32, $C$9, 100%, $E$9)</f>
        <v>7.0589000000000004</v>
      </c>
      <c r="I130" s="11">
        <f>7.0642 * CHOOSE(CONTROL!$C$32, $C$9, 100%, $E$9)</f>
        <v>7.0641999999999996</v>
      </c>
      <c r="J130" s="11">
        <f>7.0589 * CHOOSE(CONTROL!$C$32, $C$9, 100%, $E$9)</f>
        <v>7.0589000000000004</v>
      </c>
      <c r="K130" s="11">
        <f>7.0642 * CHOOSE(CONTROL!$C$32, $C$9, 100%, $E$9)</f>
        <v>7.0641999999999996</v>
      </c>
      <c r="L130" s="11">
        <f>4.4257 * CHOOSE(CONTROL!$C$32, $C$9, 100%, $E$9)</f>
        <v>4.4257</v>
      </c>
      <c r="M130" s="11">
        <f>4.431 * CHOOSE(CONTROL!$C$32, $C$9, 100%, $E$9)</f>
        <v>4.431</v>
      </c>
      <c r="N130" s="11">
        <f>4.4257 * CHOOSE(CONTROL!$C$32, $C$9, 100%, $E$9)</f>
        <v>4.4257</v>
      </c>
      <c r="O130" s="11">
        <f>4.431 * CHOOSE(CONTROL!$C$32, $C$9, 100%, $E$9)</f>
        <v>4.431</v>
      </c>
      <c r="P130" s="14"/>
      <c r="Q130" s="14"/>
      <c r="R130" s="14"/>
    </row>
    <row r="131" spans="1:18" ht="15" x14ac:dyDescent="0.2">
      <c r="A131" s="13">
        <v>44835</v>
      </c>
      <c r="B131" s="9">
        <f>3.4698 * CHOOSE(CONTROL!$C$32, $C$9, 100%, $E$9)</f>
        <v>3.4698000000000002</v>
      </c>
      <c r="C131" s="9">
        <f>3.4698 * CHOOSE(CONTROL!$C$32, $C$9, 100%, $E$9)</f>
        <v>3.4698000000000002</v>
      </c>
      <c r="D131" s="9">
        <f>3.4709 * CHOOSE(CONTROL!$C$32, $C$9, 100%, $E$9)</f>
        <v>3.4708999999999999</v>
      </c>
      <c r="E131" s="11">
        <f>4.4195 * CHOOSE(CONTROL!$C$32, $C$9, 100%, $E$9)</f>
        <v>4.4195000000000002</v>
      </c>
      <c r="F131" s="11">
        <f>4.4195 * CHOOSE(CONTROL!$C$32, $C$9, 100%, $E$9)</f>
        <v>4.4195000000000002</v>
      </c>
      <c r="G131" s="11">
        <f>4.4231 * CHOOSE(CONTROL!$C$32, $C$9, 100%, $E$9)</f>
        <v>4.4230999999999998</v>
      </c>
      <c r="H131" s="11">
        <f>7.0736 * CHOOSE(CONTROL!$C$32, $C$9, 100%, $E$9)</f>
        <v>7.0735999999999999</v>
      </c>
      <c r="I131" s="11">
        <f>7.0773 * CHOOSE(CONTROL!$C$32, $C$9, 100%, $E$9)</f>
        <v>7.0773000000000001</v>
      </c>
      <c r="J131" s="11">
        <f>7.0736 * CHOOSE(CONTROL!$C$32, $C$9, 100%, $E$9)</f>
        <v>7.0735999999999999</v>
      </c>
      <c r="K131" s="11">
        <f>7.0773 * CHOOSE(CONTROL!$C$32, $C$9, 100%, $E$9)</f>
        <v>7.0773000000000001</v>
      </c>
      <c r="L131" s="11">
        <f>4.4195 * CHOOSE(CONTROL!$C$32, $C$9, 100%, $E$9)</f>
        <v>4.4195000000000002</v>
      </c>
      <c r="M131" s="11">
        <f>4.4231 * CHOOSE(CONTROL!$C$32, $C$9, 100%, $E$9)</f>
        <v>4.4230999999999998</v>
      </c>
      <c r="N131" s="11">
        <f>4.4195 * CHOOSE(CONTROL!$C$32, $C$9, 100%, $E$9)</f>
        <v>4.4195000000000002</v>
      </c>
      <c r="O131" s="11">
        <f>4.4231 * CHOOSE(CONTROL!$C$32, $C$9, 100%, $E$9)</f>
        <v>4.4230999999999998</v>
      </c>
      <c r="P131" s="14"/>
      <c r="Q131" s="14"/>
      <c r="R131" s="14"/>
    </row>
    <row r="132" spans="1:18" ht="15" x14ac:dyDescent="0.2">
      <c r="A132" s="13">
        <v>44866</v>
      </c>
      <c r="B132" s="9">
        <f>3.4728 * CHOOSE(CONTROL!$C$32, $C$9, 100%, $E$9)</f>
        <v>3.4727999999999999</v>
      </c>
      <c r="C132" s="9">
        <f>3.4728 * CHOOSE(CONTROL!$C$32, $C$9, 100%, $E$9)</f>
        <v>3.4727999999999999</v>
      </c>
      <c r="D132" s="9">
        <f>3.4739 * CHOOSE(CONTROL!$C$32, $C$9, 100%, $E$9)</f>
        <v>3.4739</v>
      </c>
      <c r="E132" s="11">
        <f>4.4215 * CHOOSE(CONTROL!$C$32, $C$9, 100%, $E$9)</f>
        <v>4.4215</v>
      </c>
      <c r="F132" s="11">
        <f>4.4215 * CHOOSE(CONTROL!$C$32, $C$9, 100%, $E$9)</f>
        <v>4.4215</v>
      </c>
      <c r="G132" s="11">
        <f>4.4251 * CHOOSE(CONTROL!$C$32, $C$9, 100%, $E$9)</f>
        <v>4.4250999999999996</v>
      </c>
      <c r="H132" s="11">
        <f>7.0884 * CHOOSE(CONTROL!$C$32, $C$9, 100%, $E$9)</f>
        <v>7.0884</v>
      </c>
      <c r="I132" s="11">
        <f>7.092 * CHOOSE(CONTROL!$C$32, $C$9, 100%, $E$9)</f>
        <v>7.0919999999999996</v>
      </c>
      <c r="J132" s="11">
        <f>7.0884 * CHOOSE(CONTROL!$C$32, $C$9, 100%, $E$9)</f>
        <v>7.0884</v>
      </c>
      <c r="K132" s="11">
        <f>7.092 * CHOOSE(CONTROL!$C$32, $C$9, 100%, $E$9)</f>
        <v>7.0919999999999996</v>
      </c>
      <c r="L132" s="11">
        <f>4.4215 * CHOOSE(CONTROL!$C$32, $C$9, 100%, $E$9)</f>
        <v>4.4215</v>
      </c>
      <c r="M132" s="11">
        <f>4.4251 * CHOOSE(CONTROL!$C$32, $C$9, 100%, $E$9)</f>
        <v>4.4250999999999996</v>
      </c>
      <c r="N132" s="11">
        <f>4.4215 * CHOOSE(CONTROL!$C$32, $C$9, 100%, $E$9)</f>
        <v>4.4215</v>
      </c>
      <c r="O132" s="11">
        <f>4.4251 * CHOOSE(CONTROL!$C$32, $C$9, 100%, $E$9)</f>
        <v>4.4250999999999996</v>
      </c>
      <c r="P132" s="14"/>
      <c r="Q132" s="14"/>
      <c r="R132" s="14"/>
    </row>
    <row r="133" spans="1:18" ht="15" x14ac:dyDescent="0.2">
      <c r="A133" s="13">
        <v>44896</v>
      </c>
      <c r="B133" s="9">
        <f>3.4728 * CHOOSE(CONTROL!$C$32, $C$9, 100%, $E$9)</f>
        <v>3.4727999999999999</v>
      </c>
      <c r="C133" s="9">
        <f>3.4728 * CHOOSE(CONTROL!$C$32, $C$9, 100%, $E$9)</f>
        <v>3.4727999999999999</v>
      </c>
      <c r="D133" s="9">
        <f>3.4739 * CHOOSE(CONTROL!$C$32, $C$9, 100%, $E$9)</f>
        <v>3.4739</v>
      </c>
      <c r="E133" s="11">
        <f>4.4215 * CHOOSE(CONTROL!$C$32, $C$9, 100%, $E$9)</f>
        <v>4.4215</v>
      </c>
      <c r="F133" s="11">
        <f>4.4215 * CHOOSE(CONTROL!$C$32, $C$9, 100%, $E$9)</f>
        <v>4.4215</v>
      </c>
      <c r="G133" s="11">
        <f>4.4251 * CHOOSE(CONTROL!$C$32, $C$9, 100%, $E$9)</f>
        <v>4.4250999999999996</v>
      </c>
      <c r="H133" s="11">
        <f>7.1032 * CHOOSE(CONTROL!$C$32, $C$9, 100%, $E$9)</f>
        <v>7.1032000000000002</v>
      </c>
      <c r="I133" s="11">
        <f>7.1068 * CHOOSE(CONTROL!$C$32, $C$9, 100%, $E$9)</f>
        <v>7.1067999999999998</v>
      </c>
      <c r="J133" s="11">
        <f>7.1032 * CHOOSE(CONTROL!$C$32, $C$9, 100%, $E$9)</f>
        <v>7.1032000000000002</v>
      </c>
      <c r="K133" s="11">
        <f>7.1068 * CHOOSE(CONTROL!$C$32, $C$9, 100%, $E$9)</f>
        <v>7.1067999999999998</v>
      </c>
      <c r="L133" s="11">
        <f>4.4215 * CHOOSE(CONTROL!$C$32, $C$9, 100%, $E$9)</f>
        <v>4.4215</v>
      </c>
      <c r="M133" s="11">
        <f>4.4251 * CHOOSE(CONTROL!$C$32, $C$9, 100%, $E$9)</f>
        <v>4.4250999999999996</v>
      </c>
      <c r="N133" s="11">
        <f>4.4215 * CHOOSE(CONTROL!$C$32, $C$9, 100%, $E$9)</f>
        <v>4.4215</v>
      </c>
      <c r="O133" s="11">
        <f>4.4251 * CHOOSE(CONTROL!$C$32, $C$9, 100%, $E$9)</f>
        <v>4.4250999999999996</v>
      </c>
      <c r="P133" s="14"/>
      <c r="Q133" s="14"/>
      <c r="R133" s="14"/>
    </row>
    <row r="134" spans="1:18" ht="15" x14ac:dyDescent="0.2">
      <c r="A134" s="13">
        <v>44927</v>
      </c>
      <c r="B134" s="9">
        <f>3.5089 * CHOOSE(CONTROL!$C$32, $C$9, 100%, $E$9)</f>
        <v>3.5089000000000001</v>
      </c>
      <c r="C134" s="9">
        <f>3.5089 * CHOOSE(CONTROL!$C$32, $C$9, 100%, $E$9)</f>
        <v>3.5089000000000001</v>
      </c>
      <c r="D134" s="9">
        <f>3.5099 * CHOOSE(CONTROL!$C$32, $C$9, 100%, $E$9)</f>
        <v>3.5099</v>
      </c>
      <c r="E134" s="11">
        <f>4.4558 * CHOOSE(CONTROL!$C$32, $C$9, 100%, $E$9)</f>
        <v>4.4558</v>
      </c>
      <c r="F134" s="11">
        <f>4.4558 * CHOOSE(CONTROL!$C$32, $C$9, 100%, $E$9)</f>
        <v>4.4558</v>
      </c>
      <c r="G134" s="11">
        <f>4.4594 * CHOOSE(CONTROL!$C$32, $C$9, 100%, $E$9)</f>
        <v>4.4593999999999996</v>
      </c>
      <c r="H134" s="11">
        <f>7.118 * CHOOSE(CONTROL!$C$32, $C$9, 100%, $E$9)</f>
        <v>7.1180000000000003</v>
      </c>
      <c r="I134" s="11">
        <f>7.1216 * CHOOSE(CONTROL!$C$32, $C$9, 100%, $E$9)</f>
        <v>7.1215999999999999</v>
      </c>
      <c r="J134" s="11">
        <f>7.118 * CHOOSE(CONTROL!$C$32, $C$9, 100%, $E$9)</f>
        <v>7.1180000000000003</v>
      </c>
      <c r="K134" s="11">
        <f>7.1216 * CHOOSE(CONTROL!$C$32, $C$9, 100%, $E$9)</f>
        <v>7.1215999999999999</v>
      </c>
      <c r="L134" s="11">
        <f>4.4558 * CHOOSE(CONTROL!$C$32, $C$9, 100%, $E$9)</f>
        <v>4.4558</v>
      </c>
      <c r="M134" s="11">
        <f>4.4594 * CHOOSE(CONTROL!$C$32, $C$9, 100%, $E$9)</f>
        <v>4.4593999999999996</v>
      </c>
      <c r="N134" s="11">
        <f>4.4558 * CHOOSE(CONTROL!$C$32, $C$9, 100%, $E$9)</f>
        <v>4.4558</v>
      </c>
      <c r="O134" s="11">
        <f>4.4594 * CHOOSE(CONTROL!$C$32, $C$9, 100%, $E$9)</f>
        <v>4.4593999999999996</v>
      </c>
      <c r="P134" s="14"/>
      <c r="Q134" s="14"/>
      <c r="R134" s="14"/>
    </row>
    <row r="135" spans="1:18" ht="15" x14ac:dyDescent="0.2">
      <c r="A135" s="13">
        <v>44958</v>
      </c>
      <c r="B135" s="9">
        <f>3.5058 * CHOOSE(CONTROL!$C$32, $C$9, 100%, $E$9)</f>
        <v>3.5057999999999998</v>
      </c>
      <c r="C135" s="9">
        <f>3.5058 * CHOOSE(CONTROL!$C$32, $C$9, 100%, $E$9)</f>
        <v>3.5057999999999998</v>
      </c>
      <c r="D135" s="9">
        <f>3.5069 * CHOOSE(CONTROL!$C$32, $C$9, 100%, $E$9)</f>
        <v>3.5068999999999999</v>
      </c>
      <c r="E135" s="11">
        <f>4.4538 * CHOOSE(CONTROL!$C$32, $C$9, 100%, $E$9)</f>
        <v>4.4538000000000002</v>
      </c>
      <c r="F135" s="11">
        <f>4.4538 * CHOOSE(CONTROL!$C$32, $C$9, 100%, $E$9)</f>
        <v>4.4538000000000002</v>
      </c>
      <c r="G135" s="11">
        <f>4.4574 * CHOOSE(CONTROL!$C$32, $C$9, 100%, $E$9)</f>
        <v>4.4573999999999998</v>
      </c>
      <c r="H135" s="11">
        <f>7.1328 * CHOOSE(CONTROL!$C$32, $C$9, 100%, $E$9)</f>
        <v>7.1327999999999996</v>
      </c>
      <c r="I135" s="11">
        <f>7.1364 * CHOOSE(CONTROL!$C$32, $C$9, 100%, $E$9)</f>
        <v>7.1364000000000001</v>
      </c>
      <c r="J135" s="11">
        <f>7.1328 * CHOOSE(CONTROL!$C$32, $C$9, 100%, $E$9)</f>
        <v>7.1327999999999996</v>
      </c>
      <c r="K135" s="11">
        <f>7.1364 * CHOOSE(CONTROL!$C$32, $C$9, 100%, $E$9)</f>
        <v>7.1364000000000001</v>
      </c>
      <c r="L135" s="11">
        <f>4.4538 * CHOOSE(CONTROL!$C$32, $C$9, 100%, $E$9)</f>
        <v>4.4538000000000002</v>
      </c>
      <c r="M135" s="11">
        <f>4.4574 * CHOOSE(CONTROL!$C$32, $C$9, 100%, $E$9)</f>
        <v>4.4573999999999998</v>
      </c>
      <c r="N135" s="11">
        <f>4.4538 * CHOOSE(CONTROL!$C$32, $C$9, 100%, $E$9)</f>
        <v>4.4538000000000002</v>
      </c>
      <c r="O135" s="11">
        <f>4.4574 * CHOOSE(CONTROL!$C$32, $C$9, 100%, $E$9)</f>
        <v>4.4573999999999998</v>
      </c>
      <c r="P135" s="14"/>
      <c r="Q135" s="14"/>
      <c r="R135" s="14"/>
    </row>
    <row r="136" spans="1:18" ht="15" x14ac:dyDescent="0.2">
      <c r="A136" s="13">
        <v>44986</v>
      </c>
      <c r="B136" s="9">
        <f>3.5028 * CHOOSE(CONTROL!$C$32, $C$9, 100%, $E$9)</f>
        <v>3.5028000000000001</v>
      </c>
      <c r="C136" s="9">
        <f>3.5028 * CHOOSE(CONTROL!$C$32, $C$9, 100%, $E$9)</f>
        <v>3.5028000000000001</v>
      </c>
      <c r="D136" s="9">
        <f>3.5039 * CHOOSE(CONTROL!$C$32, $C$9, 100%, $E$9)</f>
        <v>3.5038999999999998</v>
      </c>
      <c r="E136" s="11">
        <f>4.4518 * CHOOSE(CONTROL!$C$32, $C$9, 100%, $E$9)</f>
        <v>4.4518000000000004</v>
      </c>
      <c r="F136" s="11">
        <f>4.4518 * CHOOSE(CONTROL!$C$32, $C$9, 100%, $E$9)</f>
        <v>4.4518000000000004</v>
      </c>
      <c r="G136" s="11">
        <f>4.4554 * CHOOSE(CONTROL!$C$32, $C$9, 100%, $E$9)</f>
        <v>4.4554</v>
      </c>
      <c r="H136" s="11">
        <f>7.1476 * CHOOSE(CONTROL!$C$32, $C$9, 100%, $E$9)</f>
        <v>7.1475999999999997</v>
      </c>
      <c r="I136" s="11">
        <f>7.1513 * CHOOSE(CONTROL!$C$32, $C$9, 100%, $E$9)</f>
        <v>7.1513</v>
      </c>
      <c r="J136" s="11">
        <f>7.1476 * CHOOSE(CONTROL!$C$32, $C$9, 100%, $E$9)</f>
        <v>7.1475999999999997</v>
      </c>
      <c r="K136" s="11">
        <f>7.1513 * CHOOSE(CONTROL!$C$32, $C$9, 100%, $E$9)</f>
        <v>7.1513</v>
      </c>
      <c r="L136" s="11">
        <f>4.4518 * CHOOSE(CONTROL!$C$32, $C$9, 100%, $E$9)</f>
        <v>4.4518000000000004</v>
      </c>
      <c r="M136" s="11">
        <f>4.4554 * CHOOSE(CONTROL!$C$32, $C$9, 100%, $E$9)</f>
        <v>4.4554</v>
      </c>
      <c r="N136" s="11">
        <f>4.4518 * CHOOSE(CONTROL!$C$32, $C$9, 100%, $E$9)</f>
        <v>4.4518000000000004</v>
      </c>
      <c r="O136" s="11">
        <f>4.4554 * CHOOSE(CONTROL!$C$32, $C$9, 100%, $E$9)</f>
        <v>4.4554</v>
      </c>
      <c r="P136" s="14"/>
      <c r="Q136" s="14"/>
      <c r="R136" s="14"/>
    </row>
    <row r="137" spans="1:18" ht="15" x14ac:dyDescent="0.2">
      <c r="A137" s="13">
        <v>45017</v>
      </c>
      <c r="B137" s="9">
        <f>3.5 * CHOOSE(CONTROL!$C$32, $C$9, 100%, $E$9)</f>
        <v>3.5</v>
      </c>
      <c r="C137" s="9">
        <f>3.5 * CHOOSE(CONTROL!$C$32, $C$9, 100%, $E$9)</f>
        <v>3.5</v>
      </c>
      <c r="D137" s="9">
        <f>3.5011 * CHOOSE(CONTROL!$C$32, $C$9, 100%, $E$9)</f>
        <v>3.5011000000000001</v>
      </c>
      <c r="E137" s="11">
        <f>4.4495 * CHOOSE(CONTROL!$C$32, $C$9, 100%, $E$9)</f>
        <v>4.4494999999999996</v>
      </c>
      <c r="F137" s="11">
        <f>4.4495 * CHOOSE(CONTROL!$C$32, $C$9, 100%, $E$9)</f>
        <v>4.4494999999999996</v>
      </c>
      <c r="G137" s="11">
        <f>4.4531 * CHOOSE(CONTROL!$C$32, $C$9, 100%, $E$9)</f>
        <v>4.4531000000000001</v>
      </c>
      <c r="H137" s="11">
        <f>7.1625 * CHOOSE(CONTROL!$C$32, $C$9, 100%, $E$9)</f>
        <v>7.1624999999999996</v>
      </c>
      <c r="I137" s="11">
        <f>7.1661 * CHOOSE(CONTROL!$C$32, $C$9, 100%, $E$9)</f>
        <v>7.1661000000000001</v>
      </c>
      <c r="J137" s="11">
        <f>7.1625 * CHOOSE(CONTROL!$C$32, $C$9, 100%, $E$9)</f>
        <v>7.1624999999999996</v>
      </c>
      <c r="K137" s="11">
        <f>7.1661 * CHOOSE(CONTROL!$C$32, $C$9, 100%, $E$9)</f>
        <v>7.1661000000000001</v>
      </c>
      <c r="L137" s="11">
        <f>4.4495 * CHOOSE(CONTROL!$C$32, $C$9, 100%, $E$9)</f>
        <v>4.4494999999999996</v>
      </c>
      <c r="M137" s="11">
        <f>4.4531 * CHOOSE(CONTROL!$C$32, $C$9, 100%, $E$9)</f>
        <v>4.4531000000000001</v>
      </c>
      <c r="N137" s="11">
        <f>4.4495 * CHOOSE(CONTROL!$C$32, $C$9, 100%, $E$9)</f>
        <v>4.4494999999999996</v>
      </c>
      <c r="O137" s="11">
        <f>4.4531 * CHOOSE(CONTROL!$C$32, $C$9, 100%, $E$9)</f>
        <v>4.4531000000000001</v>
      </c>
      <c r="P137" s="14"/>
      <c r="Q137" s="14"/>
      <c r="R137" s="14"/>
    </row>
    <row r="138" spans="1:18" ht="15" x14ac:dyDescent="0.2">
      <c r="A138" s="13">
        <v>45047</v>
      </c>
      <c r="B138" s="9">
        <f>3.5 * CHOOSE(CONTROL!$C$32, $C$9, 100%, $E$9)</f>
        <v>3.5</v>
      </c>
      <c r="C138" s="9">
        <f>3.5 * CHOOSE(CONTROL!$C$32, $C$9, 100%, $E$9)</f>
        <v>3.5</v>
      </c>
      <c r="D138" s="9">
        <f>3.5016 * CHOOSE(CONTROL!$C$32, $C$9, 100%, $E$9)</f>
        <v>3.5015999999999998</v>
      </c>
      <c r="E138" s="11">
        <f>4.4495 * CHOOSE(CONTROL!$C$32, $C$9, 100%, $E$9)</f>
        <v>4.4494999999999996</v>
      </c>
      <c r="F138" s="11">
        <f>4.4495 * CHOOSE(CONTROL!$C$32, $C$9, 100%, $E$9)</f>
        <v>4.4494999999999996</v>
      </c>
      <c r="G138" s="11">
        <f>4.4548 * CHOOSE(CONTROL!$C$32, $C$9, 100%, $E$9)</f>
        <v>4.4547999999999996</v>
      </c>
      <c r="H138" s="11">
        <f>7.1775 * CHOOSE(CONTROL!$C$32, $C$9, 100%, $E$9)</f>
        <v>7.1775000000000002</v>
      </c>
      <c r="I138" s="11">
        <f>7.1827 * CHOOSE(CONTROL!$C$32, $C$9, 100%, $E$9)</f>
        <v>7.1826999999999996</v>
      </c>
      <c r="J138" s="11">
        <f>7.1775 * CHOOSE(CONTROL!$C$32, $C$9, 100%, $E$9)</f>
        <v>7.1775000000000002</v>
      </c>
      <c r="K138" s="11">
        <f>7.1827 * CHOOSE(CONTROL!$C$32, $C$9, 100%, $E$9)</f>
        <v>7.1826999999999996</v>
      </c>
      <c r="L138" s="11">
        <f>4.4495 * CHOOSE(CONTROL!$C$32, $C$9, 100%, $E$9)</f>
        <v>4.4494999999999996</v>
      </c>
      <c r="M138" s="11">
        <f>4.4548 * CHOOSE(CONTROL!$C$32, $C$9, 100%, $E$9)</f>
        <v>4.4547999999999996</v>
      </c>
      <c r="N138" s="11">
        <f>4.4495 * CHOOSE(CONTROL!$C$32, $C$9, 100%, $E$9)</f>
        <v>4.4494999999999996</v>
      </c>
      <c r="O138" s="11">
        <f>4.4548 * CHOOSE(CONTROL!$C$32, $C$9, 100%, $E$9)</f>
        <v>4.4547999999999996</v>
      </c>
      <c r="P138" s="14"/>
      <c r="Q138" s="14"/>
      <c r="R138" s="14"/>
    </row>
    <row r="139" spans="1:18" ht="15" x14ac:dyDescent="0.2">
      <c r="A139" s="13">
        <v>45078</v>
      </c>
      <c r="B139" s="9">
        <f>3.5061 * CHOOSE(CONTROL!$C$32, $C$9, 100%, $E$9)</f>
        <v>3.5061</v>
      </c>
      <c r="C139" s="9">
        <f>3.5061 * CHOOSE(CONTROL!$C$32, $C$9, 100%, $E$9)</f>
        <v>3.5061</v>
      </c>
      <c r="D139" s="9">
        <f>3.5077 * CHOOSE(CONTROL!$C$32, $C$9, 100%, $E$9)</f>
        <v>3.5076999999999998</v>
      </c>
      <c r="E139" s="11">
        <f>4.4535 * CHOOSE(CONTROL!$C$32, $C$9, 100%, $E$9)</f>
        <v>4.4535</v>
      </c>
      <c r="F139" s="11">
        <f>4.4535 * CHOOSE(CONTROL!$C$32, $C$9, 100%, $E$9)</f>
        <v>4.4535</v>
      </c>
      <c r="G139" s="11">
        <f>4.4588 * CHOOSE(CONTROL!$C$32, $C$9, 100%, $E$9)</f>
        <v>4.4588000000000001</v>
      </c>
      <c r="H139" s="11">
        <f>7.1924 * CHOOSE(CONTROL!$C$32, $C$9, 100%, $E$9)</f>
        <v>7.1924000000000001</v>
      </c>
      <c r="I139" s="11">
        <f>7.1977 * CHOOSE(CONTROL!$C$32, $C$9, 100%, $E$9)</f>
        <v>7.1977000000000002</v>
      </c>
      <c r="J139" s="11">
        <f>7.1924 * CHOOSE(CONTROL!$C$32, $C$9, 100%, $E$9)</f>
        <v>7.1924000000000001</v>
      </c>
      <c r="K139" s="11">
        <f>7.1977 * CHOOSE(CONTROL!$C$32, $C$9, 100%, $E$9)</f>
        <v>7.1977000000000002</v>
      </c>
      <c r="L139" s="11">
        <f>4.4535 * CHOOSE(CONTROL!$C$32, $C$9, 100%, $E$9)</f>
        <v>4.4535</v>
      </c>
      <c r="M139" s="11">
        <f>4.4588 * CHOOSE(CONTROL!$C$32, $C$9, 100%, $E$9)</f>
        <v>4.4588000000000001</v>
      </c>
      <c r="N139" s="11">
        <f>4.4535 * CHOOSE(CONTROL!$C$32, $C$9, 100%, $E$9)</f>
        <v>4.4535</v>
      </c>
      <c r="O139" s="11">
        <f>4.4588 * CHOOSE(CONTROL!$C$32, $C$9, 100%, $E$9)</f>
        <v>4.4588000000000001</v>
      </c>
      <c r="P139" s="14"/>
      <c r="Q139" s="14"/>
      <c r="R139" s="14"/>
    </row>
    <row r="140" spans="1:18" ht="15" x14ac:dyDescent="0.2">
      <c r="A140" s="13">
        <v>45108</v>
      </c>
      <c r="B140" s="9">
        <f>3.5764 * CHOOSE(CONTROL!$C$32, $C$9, 100%, $E$9)</f>
        <v>3.5764</v>
      </c>
      <c r="C140" s="9">
        <f>3.5764 * CHOOSE(CONTROL!$C$32, $C$9, 100%, $E$9)</f>
        <v>3.5764</v>
      </c>
      <c r="D140" s="9">
        <f>3.578 * CHOOSE(CONTROL!$C$32, $C$9, 100%, $E$9)</f>
        <v>3.5779999999999998</v>
      </c>
      <c r="E140" s="11">
        <f>4.5283 * CHOOSE(CONTROL!$C$32, $C$9, 100%, $E$9)</f>
        <v>4.5282999999999998</v>
      </c>
      <c r="F140" s="11">
        <f>4.5283 * CHOOSE(CONTROL!$C$32, $C$9, 100%, $E$9)</f>
        <v>4.5282999999999998</v>
      </c>
      <c r="G140" s="11">
        <f>4.5336 * CHOOSE(CONTROL!$C$32, $C$9, 100%, $E$9)</f>
        <v>4.5335999999999999</v>
      </c>
      <c r="H140" s="11">
        <f>7.2074 * CHOOSE(CONTROL!$C$32, $C$9, 100%, $E$9)</f>
        <v>7.2073999999999998</v>
      </c>
      <c r="I140" s="11">
        <f>7.2127 * CHOOSE(CONTROL!$C$32, $C$9, 100%, $E$9)</f>
        <v>7.2126999999999999</v>
      </c>
      <c r="J140" s="11">
        <f>7.2074 * CHOOSE(CONTROL!$C$32, $C$9, 100%, $E$9)</f>
        <v>7.2073999999999998</v>
      </c>
      <c r="K140" s="11">
        <f>7.2127 * CHOOSE(CONTROL!$C$32, $C$9, 100%, $E$9)</f>
        <v>7.2126999999999999</v>
      </c>
      <c r="L140" s="11">
        <f>4.5283 * CHOOSE(CONTROL!$C$32, $C$9, 100%, $E$9)</f>
        <v>4.5282999999999998</v>
      </c>
      <c r="M140" s="11">
        <f>4.5336 * CHOOSE(CONTROL!$C$32, $C$9, 100%, $E$9)</f>
        <v>4.5335999999999999</v>
      </c>
      <c r="N140" s="11">
        <f>4.5283 * CHOOSE(CONTROL!$C$32, $C$9, 100%, $E$9)</f>
        <v>4.5282999999999998</v>
      </c>
      <c r="O140" s="11">
        <f>4.5336 * CHOOSE(CONTROL!$C$32, $C$9, 100%, $E$9)</f>
        <v>4.5335999999999999</v>
      </c>
      <c r="P140" s="14"/>
      <c r="Q140" s="14"/>
      <c r="R140" s="14"/>
    </row>
    <row r="141" spans="1:18" ht="15" x14ac:dyDescent="0.2">
      <c r="A141" s="13">
        <v>45139</v>
      </c>
      <c r="B141" s="9">
        <f>3.5831 * CHOOSE(CONTROL!$C$32, $C$9, 100%, $E$9)</f>
        <v>3.5831</v>
      </c>
      <c r="C141" s="9">
        <f>3.5831 * CHOOSE(CONTROL!$C$32, $C$9, 100%, $E$9)</f>
        <v>3.5831</v>
      </c>
      <c r="D141" s="9">
        <f>3.5846 * CHOOSE(CONTROL!$C$32, $C$9, 100%, $E$9)</f>
        <v>3.5846</v>
      </c>
      <c r="E141" s="11">
        <f>4.5327 * CHOOSE(CONTROL!$C$32, $C$9, 100%, $E$9)</f>
        <v>4.5327000000000002</v>
      </c>
      <c r="F141" s="11">
        <f>4.5327 * CHOOSE(CONTROL!$C$32, $C$9, 100%, $E$9)</f>
        <v>4.5327000000000002</v>
      </c>
      <c r="G141" s="11">
        <f>4.538 * CHOOSE(CONTROL!$C$32, $C$9, 100%, $E$9)</f>
        <v>4.5380000000000003</v>
      </c>
      <c r="H141" s="11">
        <f>7.2224 * CHOOSE(CONTROL!$C$32, $C$9, 100%, $E$9)</f>
        <v>7.2224000000000004</v>
      </c>
      <c r="I141" s="11">
        <f>7.2277 * CHOOSE(CONTROL!$C$32, $C$9, 100%, $E$9)</f>
        <v>7.2276999999999996</v>
      </c>
      <c r="J141" s="11">
        <f>7.2224 * CHOOSE(CONTROL!$C$32, $C$9, 100%, $E$9)</f>
        <v>7.2224000000000004</v>
      </c>
      <c r="K141" s="11">
        <f>7.2277 * CHOOSE(CONTROL!$C$32, $C$9, 100%, $E$9)</f>
        <v>7.2276999999999996</v>
      </c>
      <c r="L141" s="11">
        <f>4.5327 * CHOOSE(CONTROL!$C$32, $C$9, 100%, $E$9)</f>
        <v>4.5327000000000002</v>
      </c>
      <c r="M141" s="11">
        <f>4.538 * CHOOSE(CONTROL!$C$32, $C$9, 100%, $E$9)</f>
        <v>4.5380000000000003</v>
      </c>
      <c r="N141" s="11">
        <f>4.5327 * CHOOSE(CONTROL!$C$32, $C$9, 100%, $E$9)</f>
        <v>4.5327000000000002</v>
      </c>
      <c r="O141" s="11">
        <f>4.538 * CHOOSE(CONTROL!$C$32, $C$9, 100%, $E$9)</f>
        <v>4.5380000000000003</v>
      </c>
      <c r="P141" s="14"/>
      <c r="Q141" s="14"/>
      <c r="R141" s="14"/>
    </row>
    <row r="142" spans="1:18" ht="15" x14ac:dyDescent="0.2">
      <c r="A142" s="13">
        <v>45170</v>
      </c>
      <c r="B142" s="9">
        <f>3.58 * CHOOSE(CONTROL!$C$32, $C$9, 100%, $E$9)</f>
        <v>3.58</v>
      </c>
      <c r="C142" s="9">
        <f>3.58 * CHOOSE(CONTROL!$C$32, $C$9, 100%, $E$9)</f>
        <v>3.58</v>
      </c>
      <c r="D142" s="9">
        <f>3.5816 * CHOOSE(CONTROL!$C$32, $C$9, 100%, $E$9)</f>
        <v>3.5815999999999999</v>
      </c>
      <c r="E142" s="11">
        <f>4.5307 * CHOOSE(CONTROL!$C$32, $C$9, 100%, $E$9)</f>
        <v>4.5307000000000004</v>
      </c>
      <c r="F142" s="11">
        <f>4.5307 * CHOOSE(CONTROL!$C$32, $C$9, 100%, $E$9)</f>
        <v>4.5307000000000004</v>
      </c>
      <c r="G142" s="11">
        <f>4.536 * CHOOSE(CONTROL!$C$32, $C$9, 100%, $E$9)</f>
        <v>4.5359999999999996</v>
      </c>
      <c r="H142" s="11">
        <f>7.2375 * CHOOSE(CONTROL!$C$32, $C$9, 100%, $E$9)</f>
        <v>7.2374999999999998</v>
      </c>
      <c r="I142" s="11">
        <f>7.2427 * CHOOSE(CONTROL!$C$32, $C$9, 100%, $E$9)</f>
        <v>7.2427000000000001</v>
      </c>
      <c r="J142" s="11">
        <f>7.2375 * CHOOSE(CONTROL!$C$32, $C$9, 100%, $E$9)</f>
        <v>7.2374999999999998</v>
      </c>
      <c r="K142" s="11">
        <f>7.2427 * CHOOSE(CONTROL!$C$32, $C$9, 100%, $E$9)</f>
        <v>7.2427000000000001</v>
      </c>
      <c r="L142" s="11">
        <f>4.5307 * CHOOSE(CONTROL!$C$32, $C$9, 100%, $E$9)</f>
        <v>4.5307000000000004</v>
      </c>
      <c r="M142" s="11">
        <f>4.536 * CHOOSE(CONTROL!$C$32, $C$9, 100%, $E$9)</f>
        <v>4.5359999999999996</v>
      </c>
      <c r="N142" s="11">
        <f>4.5307 * CHOOSE(CONTROL!$C$32, $C$9, 100%, $E$9)</f>
        <v>4.5307000000000004</v>
      </c>
      <c r="O142" s="11">
        <f>4.536 * CHOOSE(CONTROL!$C$32, $C$9, 100%, $E$9)</f>
        <v>4.5359999999999996</v>
      </c>
      <c r="P142" s="14"/>
      <c r="Q142" s="14"/>
      <c r="R142" s="14"/>
    </row>
    <row r="143" spans="1:18" ht="15" x14ac:dyDescent="0.2">
      <c r="A143" s="13">
        <v>45200</v>
      </c>
      <c r="B143" s="9">
        <f>3.5736 * CHOOSE(CONTROL!$C$32, $C$9, 100%, $E$9)</f>
        <v>3.5735999999999999</v>
      </c>
      <c r="C143" s="9">
        <f>3.5736 * CHOOSE(CONTROL!$C$32, $C$9, 100%, $E$9)</f>
        <v>3.5735999999999999</v>
      </c>
      <c r="D143" s="9">
        <f>3.5747 * CHOOSE(CONTROL!$C$32, $C$9, 100%, $E$9)</f>
        <v>3.5747</v>
      </c>
      <c r="E143" s="11">
        <f>4.5247 * CHOOSE(CONTROL!$C$32, $C$9, 100%, $E$9)</f>
        <v>4.5247000000000002</v>
      </c>
      <c r="F143" s="11">
        <f>4.5247 * CHOOSE(CONTROL!$C$32, $C$9, 100%, $E$9)</f>
        <v>4.5247000000000002</v>
      </c>
      <c r="G143" s="11">
        <f>4.5283 * CHOOSE(CONTROL!$C$32, $C$9, 100%, $E$9)</f>
        <v>4.5282999999999998</v>
      </c>
      <c r="H143" s="11">
        <f>7.2525 * CHOOSE(CONTROL!$C$32, $C$9, 100%, $E$9)</f>
        <v>7.2525000000000004</v>
      </c>
      <c r="I143" s="11">
        <f>7.2561 * CHOOSE(CONTROL!$C$32, $C$9, 100%, $E$9)</f>
        <v>7.2561</v>
      </c>
      <c r="J143" s="11">
        <f>7.2525 * CHOOSE(CONTROL!$C$32, $C$9, 100%, $E$9)</f>
        <v>7.2525000000000004</v>
      </c>
      <c r="K143" s="11">
        <f>7.2561 * CHOOSE(CONTROL!$C$32, $C$9, 100%, $E$9)</f>
        <v>7.2561</v>
      </c>
      <c r="L143" s="11">
        <f>4.5247 * CHOOSE(CONTROL!$C$32, $C$9, 100%, $E$9)</f>
        <v>4.5247000000000002</v>
      </c>
      <c r="M143" s="11">
        <f>4.5283 * CHOOSE(CONTROL!$C$32, $C$9, 100%, $E$9)</f>
        <v>4.5282999999999998</v>
      </c>
      <c r="N143" s="11">
        <f>4.5247 * CHOOSE(CONTROL!$C$32, $C$9, 100%, $E$9)</f>
        <v>4.5247000000000002</v>
      </c>
      <c r="O143" s="11">
        <f>4.5283 * CHOOSE(CONTROL!$C$32, $C$9, 100%, $E$9)</f>
        <v>4.5282999999999998</v>
      </c>
      <c r="P143" s="14"/>
      <c r="Q143" s="14"/>
      <c r="R143" s="14"/>
    </row>
    <row r="144" spans="1:18" ht="15" x14ac:dyDescent="0.2">
      <c r="A144" s="13">
        <v>45231</v>
      </c>
      <c r="B144" s="9">
        <f>3.5766 * CHOOSE(CONTROL!$C$32, $C$9, 100%, $E$9)</f>
        <v>3.5766</v>
      </c>
      <c r="C144" s="9">
        <f>3.5766 * CHOOSE(CONTROL!$C$32, $C$9, 100%, $E$9)</f>
        <v>3.5766</v>
      </c>
      <c r="D144" s="9">
        <f>3.5777 * CHOOSE(CONTROL!$C$32, $C$9, 100%, $E$9)</f>
        <v>3.5777000000000001</v>
      </c>
      <c r="E144" s="11">
        <f>4.5267 * CHOOSE(CONTROL!$C$32, $C$9, 100%, $E$9)</f>
        <v>4.5266999999999999</v>
      </c>
      <c r="F144" s="11">
        <f>4.5267 * CHOOSE(CONTROL!$C$32, $C$9, 100%, $E$9)</f>
        <v>4.5266999999999999</v>
      </c>
      <c r="G144" s="11">
        <f>4.5303 * CHOOSE(CONTROL!$C$32, $C$9, 100%, $E$9)</f>
        <v>4.5303000000000004</v>
      </c>
      <c r="H144" s="11">
        <f>7.2676 * CHOOSE(CONTROL!$C$32, $C$9, 100%, $E$9)</f>
        <v>7.2675999999999998</v>
      </c>
      <c r="I144" s="11">
        <f>7.2713 * CHOOSE(CONTROL!$C$32, $C$9, 100%, $E$9)</f>
        <v>7.2713000000000001</v>
      </c>
      <c r="J144" s="11">
        <f>7.2676 * CHOOSE(CONTROL!$C$32, $C$9, 100%, $E$9)</f>
        <v>7.2675999999999998</v>
      </c>
      <c r="K144" s="11">
        <f>7.2713 * CHOOSE(CONTROL!$C$32, $C$9, 100%, $E$9)</f>
        <v>7.2713000000000001</v>
      </c>
      <c r="L144" s="11">
        <f>4.5267 * CHOOSE(CONTROL!$C$32, $C$9, 100%, $E$9)</f>
        <v>4.5266999999999999</v>
      </c>
      <c r="M144" s="11">
        <f>4.5303 * CHOOSE(CONTROL!$C$32, $C$9, 100%, $E$9)</f>
        <v>4.5303000000000004</v>
      </c>
      <c r="N144" s="11">
        <f>4.5267 * CHOOSE(CONTROL!$C$32, $C$9, 100%, $E$9)</f>
        <v>4.5266999999999999</v>
      </c>
      <c r="O144" s="11">
        <f>4.5303 * CHOOSE(CONTROL!$C$32, $C$9, 100%, $E$9)</f>
        <v>4.5303000000000004</v>
      </c>
      <c r="P144" s="14"/>
      <c r="Q144" s="14"/>
      <c r="R144" s="14"/>
    </row>
    <row r="145" spans="1:18" ht="15" x14ac:dyDescent="0.2">
      <c r="A145" s="13">
        <v>45261</v>
      </c>
      <c r="B145" s="9">
        <f>3.5766 * CHOOSE(CONTROL!$C$32, $C$9, 100%, $E$9)</f>
        <v>3.5766</v>
      </c>
      <c r="C145" s="9">
        <f>3.5766 * CHOOSE(CONTROL!$C$32, $C$9, 100%, $E$9)</f>
        <v>3.5766</v>
      </c>
      <c r="D145" s="9">
        <f>3.5777 * CHOOSE(CONTROL!$C$32, $C$9, 100%, $E$9)</f>
        <v>3.5777000000000001</v>
      </c>
      <c r="E145" s="11">
        <f>4.5267 * CHOOSE(CONTROL!$C$32, $C$9, 100%, $E$9)</f>
        <v>4.5266999999999999</v>
      </c>
      <c r="F145" s="11">
        <f>4.5267 * CHOOSE(CONTROL!$C$32, $C$9, 100%, $E$9)</f>
        <v>4.5266999999999999</v>
      </c>
      <c r="G145" s="11">
        <f>4.5303 * CHOOSE(CONTROL!$C$32, $C$9, 100%, $E$9)</f>
        <v>4.5303000000000004</v>
      </c>
      <c r="H145" s="11">
        <f>7.2828 * CHOOSE(CONTROL!$C$32, $C$9, 100%, $E$9)</f>
        <v>7.2827999999999999</v>
      </c>
      <c r="I145" s="11">
        <f>7.2864 * CHOOSE(CONTROL!$C$32, $C$9, 100%, $E$9)</f>
        <v>7.2864000000000004</v>
      </c>
      <c r="J145" s="11">
        <f>7.2828 * CHOOSE(CONTROL!$C$32, $C$9, 100%, $E$9)</f>
        <v>7.2827999999999999</v>
      </c>
      <c r="K145" s="11">
        <f>7.2864 * CHOOSE(CONTROL!$C$32, $C$9, 100%, $E$9)</f>
        <v>7.2864000000000004</v>
      </c>
      <c r="L145" s="11">
        <f>4.5267 * CHOOSE(CONTROL!$C$32, $C$9, 100%, $E$9)</f>
        <v>4.5266999999999999</v>
      </c>
      <c r="M145" s="11">
        <f>4.5303 * CHOOSE(CONTROL!$C$32, $C$9, 100%, $E$9)</f>
        <v>4.5303000000000004</v>
      </c>
      <c r="N145" s="11">
        <f>4.5267 * CHOOSE(CONTROL!$C$32, $C$9, 100%, $E$9)</f>
        <v>4.5266999999999999</v>
      </c>
      <c r="O145" s="11">
        <f>4.5303 * CHOOSE(CONTROL!$C$32, $C$9, 100%, $E$9)</f>
        <v>4.5303000000000004</v>
      </c>
      <c r="P145" s="14"/>
      <c r="Q145" s="14"/>
      <c r="R145" s="14"/>
    </row>
    <row r="146" spans="1:18" ht="15" x14ac:dyDescent="0.2">
      <c r="A146" s="13">
        <v>45292</v>
      </c>
      <c r="B146" s="9">
        <f>3.6058 * CHOOSE(CONTROL!$C$32, $C$9, 100%, $E$9)</f>
        <v>3.6057999999999999</v>
      </c>
      <c r="C146" s="9">
        <f>3.6058 * CHOOSE(CONTROL!$C$32, $C$9, 100%, $E$9)</f>
        <v>3.6057999999999999</v>
      </c>
      <c r="D146" s="9">
        <f>3.6069 * CHOOSE(CONTROL!$C$32, $C$9, 100%, $E$9)</f>
        <v>3.6069</v>
      </c>
      <c r="E146" s="11">
        <f>4.5664 * CHOOSE(CONTROL!$C$32, $C$9, 100%, $E$9)</f>
        <v>4.5663999999999998</v>
      </c>
      <c r="F146" s="11">
        <f>4.5664 * CHOOSE(CONTROL!$C$32, $C$9, 100%, $E$9)</f>
        <v>4.5663999999999998</v>
      </c>
      <c r="G146" s="11">
        <f>4.57 * CHOOSE(CONTROL!$C$32, $C$9, 100%, $E$9)</f>
        <v>4.57</v>
      </c>
      <c r="H146" s="11">
        <f>7.298 * CHOOSE(CONTROL!$C$32, $C$9, 100%, $E$9)</f>
        <v>7.298</v>
      </c>
      <c r="I146" s="11">
        <f>7.3016 * CHOOSE(CONTROL!$C$32, $C$9, 100%, $E$9)</f>
        <v>7.3015999999999996</v>
      </c>
      <c r="J146" s="11">
        <f>7.298 * CHOOSE(CONTROL!$C$32, $C$9, 100%, $E$9)</f>
        <v>7.298</v>
      </c>
      <c r="K146" s="11">
        <f>7.3016 * CHOOSE(CONTROL!$C$32, $C$9, 100%, $E$9)</f>
        <v>7.3015999999999996</v>
      </c>
      <c r="L146" s="11">
        <f>4.5664 * CHOOSE(CONTROL!$C$32, $C$9, 100%, $E$9)</f>
        <v>4.5663999999999998</v>
      </c>
      <c r="M146" s="11">
        <f>4.57 * CHOOSE(CONTROL!$C$32, $C$9, 100%, $E$9)</f>
        <v>4.57</v>
      </c>
      <c r="N146" s="11">
        <f>4.5664 * CHOOSE(CONTROL!$C$32, $C$9, 100%, $E$9)</f>
        <v>4.5663999999999998</v>
      </c>
      <c r="O146" s="11">
        <f>4.57 * CHOOSE(CONTROL!$C$32, $C$9, 100%, $E$9)</f>
        <v>4.57</v>
      </c>
      <c r="P146" s="14"/>
      <c r="Q146" s="14"/>
      <c r="R146" s="14"/>
    </row>
    <row r="147" spans="1:18" ht="15" x14ac:dyDescent="0.2">
      <c r="A147" s="13">
        <v>45323</v>
      </c>
      <c r="B147" s="9">
        <f>3.6028 * CHOOSE(CONTROL!$C$32, $C$9, 100%, $E$9)</f>
        <v>3.6027999999999998</v>
      </c>
      <c r="C147" s="9">
        <f>3.6028 * CHOOSE(CONTROL!$C$32, $C$9, 100%, $E$9)</f>
        <v>3.6027999999999998</v>
      </c>
      <c r="D147" s="9">
        <f>3.6038 * CHOOSE(CONTROL!$C$32, $C$9, 100%, $E$9)</f>
        <v>3.6038000000000001</v>
      </c>
      <c r="E147" s="11">
        <f>4.5644 * CHOOSE(CONTROL!$C$32, $C$9, 100%, $E$9)</f>
        <v>4.5644</v>
      </c>
      <c r="F147" s="11">
        <f>4.5644 * CHOOSE(CONTROL!$C$32, $C$9, 100%, $E$9)</f>
        <v>4.5644</v>
      </c>
      <c r="G147" s="11">
        <f>4.568 * CHOOSE(CONTROL!$C$32, $C$9, 100%, $E$9)</f>
        <v>4.5679999999999996</v>
      </c>
      <c r="H147" s="11">
        <f>7.3132 * CHOOSE(CONTROL!$C$32, $C$9, 100%, $E$9)</f>
        <v>7.3132000000000001</v>
      </c>
      <c r="I147" s="11">
        <f>7.3168 * CHOOSE(CONTROL!$C$32, $C$9, 100%, $E$9)</f>
        <v>7.3167999999999997</v>
      </c>
      <c r="J147" s="11">
        <f>7.3132 * CHOOSE(CONTROL!$C$32, $C$9, 100%, $E$9)</f>
        <v>7.3132000000000001</v>
      </c>
      <c r="K147" s="11">
        <f>7.3168 * CHOOSE(CONTROL!$C$32, $C$9, 100%, $E$9)</f>
        <v>7.3167999999999997</v>
      </c>
      <c r="L147" s="11">
        <f>4.5644 * CHOOSE(CONTROL!$C$32, $C$9, 100%, $E$9)</f>
        <v>4.5644</v>
      </c>
      <c r="M147" s="11">
        <f>4.568 * CHOOSE(CONTROL!$C$32, $C$9, 100%, $E$9)</f>
        <v>4.5679999999999996</v>
      </c>
      <c r="N147" s="11">
        <f>4.5644 * CHOOSE(CONTROL!$C$32, $C$9, 100%, $E$9)</f>
        <v>4.5644</v>
      </c>
      <c r="O147" s="11">
        <f>4.568 * CHOOSE(CONTROL!$C$32, $C$9, 100%, $E$9)</f>
        <v>4.5679999999999996</v>
      </c>
      <c r="P147" s="14"/>
      <c r="Q147" s="14"/>
      <c r="R147" s="14"/>
    </row>
    <row r="148" spans="1:18" ht="15" x14ac:dyDescent="0.2">
      <c r="A148" s="13">
        <v>45352</v>
      </c>
      <c r="B148" s="9">
        <f>3.5997 * CHOOSE(CONTROL!$C$32, $C$9, 100%, $E$9)</f>
        <v>3.5996999999999999</v>
      </c>
      <c r="C148" s="9">
        <f>3.5997 * CHOOSE(CONTROL!$C$32, $C$9, 100%, $E$9)</f>
        <v>3.5996999999999999</v>
      </c>
      <c r="D148" s="9">
        <f>3.6008 * CHOOSE(CONTROL!$C$32, $C$9, 100%, $E$9)</f>
        <v>3.6008</v>
      </c>
      <c r="E148" s="11">
        <f>4.5624 * CHOOSE(CONTROL!$C$32, $C$9, 100%, $E$9)</f>
        <v>4.5624000000000002</v>
      </c>
      <c r="F148" s="11">
        <f>4.5624 * CHOOSE(CONTROL!$C$32, $C$9, 100%, $E$9)</f>
        <v>4.5624000000000002</v>
      </c>
      <c r="G148" s="11">
        <f>4.566 * CHOOSE(CONTROL!$C$32, $C$9, 100%, $E$9)</f>
        <v>4.5659999999999998</v>
      </c>
      <c r="H148" s="11">
        <f>7.3284 * CHOOSE(CONTROL!$C$32, $C$9, 100%, $E$9)</f>
        <v>7.3284000000000002</v>
      </c>
      <c r="I148" s="11">
        <f>7.332 * CHOOSE(CONTROL!$C$32, $C$9, 100%, $E$9)</f>
        <v>7.3319999999999999</v>
      </c>
      <c r="J148" s="11">
        <f>7.3284 * CHOOSE(CONTROL!$C$32, $C$9, 100%, $E$9)</f>
        <v>7.3284000000000002</v>
      </c>
      <c r="K148" s="11">
        <f>7.332 * CHOOSE(CONTROL!$C$32, $C$9, 100%, $E$9)</f>
        <v>7.3319999999999999</v>
      </c>
      <c r="L148" s="11">
        <f>4.5624 * CHOOSE(CONTROL!$C$32, $C$9, 100%, $E$9)</f>
        <v>4.5624000000000002</v>
      </c>
      <c r="M148" s="11">
        <f>4.566 * CHOOSE(CONTROL!$C$32, $C$9, 100%, $E$9)</f>
        <v>4.5659999999999998</v>
      </c>
      <c r="N148" s="11">
        <f>4.5624 * CHOOSE(CONTROL!$C$32, $C$9, 100%, $E$9)</f>
        <v>4.5624000000000002</v>
      </c>
      <c r="O148" s="11">
        <f>4.566 * CHOOSE(CONTROL!$C$32, $C$9, 100%, $E$9)</f>
        <v>4.5659999999999998</v>
      </c>
      <c r="P148" s="14"/>
      <c r="Q148" s="14"/>
      <c r="R148" s="14"/>
    </row>
    <row r="149" spans="1:18" ht="15" x14ac:dyDescent="0.2">
      <c r="A149" s="13">
        <v>45383</v>
      </c>
      <c r="B149" s="9">
        <f>3.597 * CHOOSE(CONTROL!$C$32, $C$9, 100%, $E$9)</f>
        <v>3.597</v>
      </c>
      <c r="C149" s="9">
        <f>3.597 * CHOOSE(CONTROL!$C$32, $C$9, 100%, $E$9)</f>
        <v>3.597</v>
      </c>
      <c r="D149" s="9">
        <f>3.5981 * CHOOSE(CONTROL!$C$32, $C$9, 100%, $E$9)</f>
        <v>3.5981000000000001</v>
      </c>
      <c r="E149" s="11">
        <f>4.5602 * CHOOSE(CONTROL!$C$32, $C$9, 100%, $E$9)</f>
        <v>4.5602</v>
      </c>
      <c r="F149" s="11">
        <f>4.5602 * CHOOSE(CONTROL!$C$32, $C$9, 100%, $E$9)</f>
        <v>4.5602</v>
      </c>
      <c r="G149" s="11">
        <f>4.5638 * CHOOSE(CONTROL!$C$32, $C$9, 100%, $E$9)</f>
        <v>4.5637999999999996</v>
      </c>
      <c r="H149" s="11">
        <f>7.3437 * CHOOSE(CONTROL!$C$32, $C$9, 100%, $E$9)</f>
        <v>7.3437000000000001</v>
      </c>
      <c r="I149" s="11">
        <f>7.3473 * CHOOSE(CONTROL!$C$32, $C$9, 100%, $E$9)</f>
        <v>7.3472999999999997</v>
      </c>
      <c r="J149" s="11">
        <f>7.3437 * CHOOSE(CONTROL!$C$32, $C$9, 100%, $E$9)</f>
        <v>7.3437000000000001</v>
      </c>
      <c r="K149" s="11">
        <f>7.3473 * CHOOSE(CONTROL!$C$32, $C$9, 100%, $E$9)</f>
        <v>7.3472999999999997</v>
      </c>
      <c r="L149" s="11">
        <f>4.5602 * CHOOSE(CONTROL!$C$32, $C$9, 100%, $E$9)</f>
        <v>4.5602</v>
      </c>
      <c r="M149" s="11">
        <f>4.5638 * CHOOSE(CONTROL!$C$32, $C$9, 100%, $E$9)</f>
        <v>4.5637999999999996</v>
      </c>
      <c r="N149" s="11">
        <f>4.5602 * CHOOSE(CONTROL!$C$32, $C$9, 100%, $E$9)</f>
        <v>4.5602</v>
      </c>
      <c r="O149" s="11">
        <f>4.5638 * CHOOSE(CONTROL!$C$32, $C$9, 100%, $E$9)</f>
        <v>4.5637999999999996</v>
      </c>
      <c r="P149" s="14"/>
      <c r="Q149" s="14"/>
      <c r="R149" s="14"/>
    </row>
    <row r="150" spans="1:18" ht="15" x14ac:dyDescent="0.2">
      <c r="A150" s="13">
        <v>45413</v>
      </c>
      <c r="B150" s="9">
        <f>3.597 * CHOOSE(CONTROL!$C$32, $C$9, 100%, $E$9)</f>
        <v>3.597</v>
      </c>
      <c r="C150" s="9">
        <f>3.597 * CHOOSE(CONTROL!$C$32, $C$9, 100%, $E$9)</f>
        <v>3.597</v>
      </c>
      <c r="D150" s="9">
        <f>3.5986 * CHOOSE(CONTROL!$C$32, $C$9, 100%, $E$9)</f>
        <v>3.5985999999999998</v>
      </c>
      <c r="E150" s="11">
        <f>4.5602 * CHOOSE(CONTROL!$C$32, $C$9, 100%, $E$9)</f>
        <v>4.5602</v>
      </c>
      <c r="F150" s="11">
        <f>4.5602 * CHOOSE(CONTROL!$C$32, $C$9, 100%, $E$9)</f>
        <v>4.5602</v>
      </c>
      <c r="G150" s="11">
        <f>4.5654 * CHOOSE(CONTROL!$C$32, $C$9, 100%, $E$9)</f>
        <v>4.5654000000000003</v>
      </c>
      <c r="H150" s="11">
        <f>7.359 * CHOOSE(CONTROL!$C$32, $C$9, 100%, $E$9)</f>
        <v>7.359</v>
      </c>
      <c r="I150" s="11">
        <f>7.3643 * CHOOSE(CONTROL!$C$32, $C$9, 100%, $E$9)</f>
        <v>7.3643000000000001</v>
      </c>
      <c r="J150" s="11">
        <f>7.359 * CHOOSE(CONTROL!$C$32, $C$9, 100%, $E$9)</f>
        <v>7.359</v>
      </c>
      <c r="K150" s="11">
        <f>7.3643 * CHOOSE(CONTROL!$C$32, $C$9, 100%, $E$9)</f>
        <v>7.3643000000000001</v>
      </c>
      <c r="L150" s="11">
        <f>4.5602 * CHOOSE(CONTROL!$C$32, $C$9, 100%, $E$9)</f>
        <v>4.5602</v>
      </c>
      <c r="M150" s="11">
        <f>4.5654 * CHOOSE(CONTROL!$C$32, $C$9, 100%, $E$9)</f>
        <v>4.5654000000000003</v>
      </c>
      <c r="N150" s="11">
        <f>4.5602 * CHOOSE(CONTROL!$C$32, $C$9, 100%, $E$9)</f>
        <v>4.5602</v>
      </c>
      <c r="O150" s="11">
        <f>4.5654 * CHOOSE(CONTROL!$C$32, $C$9, 100%, $E$9)</f>
        <v>4.5654000000000003</v>
      </c>
      <c r="P150" s="14"/>
      <c r="Q150" s="14"/>
      <c r="R150" s="14"/>
    </row>
    <row r="151" spans="1:18" ht="15" x14ac:dyDescent="0.2">
      <c r="A151" s="13">
        <v>45444</v>
      </c>
      <c r="B151" s="9">
        <f>3.6031 * CHOOSE(CONTROL!$C$32, $C$9, 100%, $E$9)</f>
        <v>3.6031</v>
      </c>
      <c r="C151" s="9">
        <f>3.6031 * CHOOSE(CONTROL!$C$32, $C$9, 100%, $E$9)</f>
        <v>3.6031</v>
      </c>
      <c r="D151" s="9">
        <f>3.6047 * CHOOSE(CONTROL!$C$32, $C$9, 100%, $E$9)</f>
        <v>3.6046999999999998</v>
      </c>
      <c r="E151" s="11">
        <f>4.5642 * CHOOSE(CONTROL!$C$32, $C$9, 100%, $E$9)</f>
        <v>4.5641999999999996</v>
      </c>
      <c r="F151" s="11">
        <f>4.5642 * CHOOSE(CONTROL!$C$32, $C$9, 100%, $E$9)</f>
        <v>4.5641999999999996</v>
      </c>
      <c r="G151" s="11">
        <f>4.5694 * CHOOSE(CONTROL!$C$32, $C$9, 100%, $E$9)</f>
        <v>4.5693999999999999</v>
      </c>
      <c r="H151" s="11">
        <f>7.3743 * CHOOSE(CONTROL!$C$32, $C$9, 100%, $E$9)</f>
        <v>7.3742999999999999</v>
      </c>
      <c r="I151" s="11">
        <f>7.3796 * CHOOSE(CONTROL!$C$32, $C$9, 100%, $E$9)</f>
        <v>7.3795999999999999</v>
      </c>
      <c r="J151" s="11">
        <f>7.3743 * CHOOSE(CONTROL!$C$32, $C$9, 100%, $E$9)</f>
        <v>7.3742999999999999</v>
      </c>
      <c r="K151" s="11">
        <f>7.3796 * CHOOSE(CONTROL!$C$32, $C$9, 100%, $E$9)</f>
        <v>7.3795999999999999</v>
      </c>
      <c r="L151" s="11">
        <f>4.5642 * CHOOSE(CONTROL!$C$32, $C$9, 100%, $E$9)</f>
        <v>4.5641999999999996</v>
      </c>
      <c r="M151" s="11">
        <f>4.5694 * CHOOSE(CONTROL!$C$32, $C$9, 100%, $E$9)</f>
        <v>4.5693999999999999</v>
      </c>
      <c r="N151" s="11">
        <f>4.5642 * CHOOSE(CONTROL!$C$32, $C$9, 100%, $E$9)</f>
        <v>4.5641999999999996</v>
      </c>
      <c r="O151" s="11">
        <f>4.5694 * CHOOSE(CONTROL!$C$32, $C$9, 100%, $E$9)</f>
        <v>4.5693999999999999</v>
      </c>
      <c r="P151" s="14"/>
      <c r="Q151" s="14"/>
      <c r="R151" s="14"/>
    </row>
    <row r="152" spans="1:18" ht="15" x14ac:dyDescent="0.2">
      <c r="A152" s="13">
        <v>45474</v>
      </c>
      <c r="B152" s="9">
        <f>3.6559 * CHOOSE(CONTROL!$C$32, $C$9, 100%, $E$9)</f>
        <v>3.6558999999999999</v>
      </c>
      <c r="C152" s="9">
        <f>3.6559 * CHOOSE(CONTROL!$C$32, $C$9, 100%, $E$9)</f>
        <v>3.6558999999999999</v>
      </c>
      <c r="D152" s="9">
        <f>3.6575 * CHOOSE(CONTROL!$C$32, $C$9, 100%, $E$9)</f>
        <v>3.6575000000000002</v>
      </c>
      <c r="E152" s="11">
        <f>4.6521 * CHOOSE(CONTROL!$C$32, $C$9, 100%, $E$9)</f>
        <v>4.6520999999999999</v>
      </c>
      <c r="F152" s="11">
        <f>4.6521 * CHOOSE(CONTROL!$C$32, $C$9, 100%, $E$9)</f>
        <v>4.6520999999999999</v>
      </c>
      <c r="G152" s="11">
        <f>4.6574 * CHOOSE(CONTROL!$C$32, $C$9, 100%, $E$9)</f>
        <v>4.6574</v>
      </c>
      <c r="H152" s="11">
        <f>7.3897 * CHOOSE(CONTROL!$C$32, $C$9, 100%, $E$9)</f>
        <v>7.3897000000000004</v>
      </c>
      <c r="I152" s="11">
        <f>7.3949 * CHOOSE(CONTROL!$C$32, $C$9, 100%, $E$9)</f>
        <v>7.3948999999999998</v>
      </c>
      <c r="J152" s="11">
        <f>7.3897 * CHOOSE(CONTROL!$C$32, $C$9, 100%, $E$9)</f>
        <v>7.3897000000000004</v>
      </c>
      <c r="K152" s="11">
        <f>7.3949 * CHOOSE(CONTROL!$C$32, $C$9, 100%, $E$9)</f>
        <v>7.3948999999999998</v>
      </c>
      <c r="L152" s="11">
        <f>4.6521 * CHOOSE(CONTROL!$C$32, $C$9, 100%, $E$9)</f>
        <v>4.6520999999999999</v>
      </c>
      <c r="M152" s="11">
        <f>4.6574 * CHOOSE(CONTROL!$C$32, $C$9, 100%, $E$9)</f>
        <v>4.6574</v>
      </c>
      <c r="N152" s="11">
        <f>4.6521 * CHOOSE(CONTROL!$C$32, $C$9, 100%, $E$9)</f>
        <v>4.6520999999999999</v>
      </c>
      <c r="O152" s="11">
        <f>4.6574 * CHOOSE(CONTROL!$C$32, $C$9, 100%, $E$9)</f>
        <v>4.6574</v>
      </c>
      <c r="P152" s="14"/>
      <c r="Q152" s="14"/>
      <c r="R152" s="14"/>
    </row>
    <row r="153" spans="1:18" ht="15" x14ac:dyDescent="0.2">
      <c r="A153" s="13">
        <v>45505</v>
      </c>
      <c r="B153" s="9">
        <f>3.6626 * CHOOSE(CONTROL!$C$32, $C$9, 100%, $E$9)</f>
        <v>3.6625999999999999</v>
      </c>
      <c r="C153" s="9">
        <f>3.6626 * CHOOSE(CONTROL!$C$32, $C$9, 100%, $E$9)</f>
        <v>3.6625999999999999</v>
      </c>
      <c r="D153" s="9">
        <f>3.6642 * CHOOSE(CONTROL!$C$32, $C$9, 100%, $E$9)</f>
        <v>3.6642000000000001</v>
      </c>
      <c r="E153" s="11">
        <f>4.6565 * CHOOSE(CONTROL!$C$32, $C$9, 100%, $E$9)</f>
        <v>4.6565000000000003</v>
      </c>
      <c r="F153" s="11">
        <f>4.6565 * CHOOSE(CONTROL!$C$32, $C$9, 100%, $E$9)</f>
        <v>4.6565000000000003</v>
      </c>
      <c r="G153" s="11">
        <f>4.6618 * CHOOSE(CONTROL!$C$32, $C$9, 100%, $E$9)</f>
        <v>4.6618000000000004</v>
      </c>
      <c r="H153" s="11">
        <f>7.405 * CHOOSE(CONTROL!$C$32, $C$9, 100%, $E$9)</f>
        <v>7.4050000000000002</v>
      </c>
      <c r="I153" s="11">
        <f>7.4103 * CHOOSE(CONTROL!$C$32, $C$9, 100%, $E$9)</f>
        <v>7.4103000000000003</v>
      </c>
      <c r="J153" s="11">
        <f>7.405 * CHOOSE(CONTROL!$C$32, $C$9, 100%, $E$9)</f>
        <v>7.4050000000000002</v>
      </c>
      <c r="K153" s="11">
        <f>7.4103 * CHOOSE(CONTROL!$C$32, $C$9, 100%, $E$9)</f>
        <v>7.4103000000000003</v>
      </c>
      <c r="L153" s="11">
        <f>4.6565 * CHOOSE(CONTROL!$C$32, $C$9, 100%, $E$9)</f>
        <v>4.6565000000000003</v>
      </c>
      <c r="M153" s="11">
        <f>4.6618 * CHOOSE(CONTROL!$C$32, $C$9, 100%, $E$9)</f>
        <v>4.6618000000000004</v>
      </c>
      <c r="N153" s="11">
        <f>4.6565 * CHOOSE(CONTROL!$C$32, $C$9, 100%, $E$9)</f>
        <v>4.6565000000000003</v>
      </c>
      <c r="O153" s="11">
        <f>4.6618 * CHOOSE(CONTROL!$C$32, $C$9, 100%, $E$9)</f>
        <v>4.6618000000000004</v>
      </c>
      <c r="P153" s="14"/>
      <c r="Q153" s="14"/>
      <c r="R153" s="14"/>
    </row>
    <row r="154" spans="1:18" ht="15" x14ac:dyDescent="0.2">
      <c r="A154" s="13">
        <v>45536</v>
      </c>
      <c r="B154" s="9">
        <f>3.6595 * CHOOSE(CONTROL!$C$32, $C$9, 100%, $E$9)</f>
        <v>3.6595</v>
      </c>
      <c r="C154" s="9">
        <f>3.6595 * CHOOSE(CONTROL!$C$32, $C$9, 100%, $E$9)</f>
        <v>3.6595</v>
      </c>
      <c r="D154" s="9">
        <f>3.6611 * CHOOSE(CONTROL!$C$32, $C$9, 100%, $E$9)</f>
        <v>3.6610999999999998</v>
      </c>
      <c r="E154" s="11">
        <f>4.6545 * CHOOSE(CONTROL!$C$32, $C$9, 100%, $E$9)</f>
        <v>4.6544999999999996</v>
      </c>
      <c r="F154" s="11">
        <f>4.6545 * CHOOSE(CONTROL!$C$32, $C$9, 100%, $E$9)</f>
        <v>4.6544999999999996</v>
      </c>
      <c r="G154" s="11">
        <f>4.6598 * CHOOSE(CONTROL!$C$32, $C$9, 100%, $E$9)</f>
        <v>4.6597999999999997</v>
      </c>
      <c r="H154" s="11">
        <f>7.4205 * CHOOSE(CONTROL!$C$32, $C$9, 100%, $E$9)</f>
        <v>7.4204999999999997</v>
      </c>
      <c r="I154" s="11">
        <f>7.4258 * CHOOSE(CONTROL!$C$32, $C$9, 100%, $E$9)</f>
        <v>7.4257999999999997</v>
      </c>
      <c r="J154" s="11">
        <f>7.4205 * CHOOSE(CONTROL!$C$32, $C$9, 100%, $E$9)</f>
        <v>7.4204999999999997</v>
      </c>
      <c r="K154" s="11">
        <f>7.4258 * CHOOSE(CONTROL!$C$32, $C$9, 100%, $E$9)</f>
        <v>7.4257999999999997</v>
      </c>
      <c r="L154" s="11">
        <f>4.6545 * CHOOSE(CONTROL!$C$32, $C$9, 100%, $E$9)</f>
        <v>4.6544999999999996</v>
      </c>
      <c r="M154" s="11">
        <f>4.6598 * CHOOSE(CONTROL!$C$32, $C$9, 100%, $E$9)</f>
        <v>4.6597999999999997</v>
      </c>
      <c r="N154" s="11">
        <f>4.6545 * CHOOSE(CONTROL!$C$32, $C$9, 100%, $E$9)</f>
        <v>4.6544999999999996</v>
      </c>
      <c r="O154" s="11">
        <f>4.6598 * CHOOSE(CONTROL!$C$32, $C$9, 100%, $E$9)</f>
        <v>4.6597999999999997</v>
      </c>
      <c r="P154" s="14"/>
      <c r="Q154" s="14"/>
      <c r="R154" s="14"/>
    </row>
    <row r="155" spans="1:18" ht="15" x14ac:dyDescent="0.2">
      <c r="A155" s="13">
        <v>45566</v>
      </c>
      <c r="B155" s="9">
        <f>3.6534 * CHOOSE(CONTROL!$C$32, $C$9, 100%, $E$9)</f>
        <v>3.6534</v>
      </c>
      <c r="C155" s="9">
        <f>3.6534 * CHOOSE(CONTROL!$C$32, $C$9, 100%, $E$9)</f>
        <v>3.6534</v>
      </c>
      <c r="D155" s="9">
        <f>3.6545 * CHOOSE(CONTROL!$C$32, $C$9, 100%, $E$9)</f>
        <v>3.6545000000000001</v>
      </c>
      <c r="E155" s="11">
        <f>4.6486 * CHOOSE(CONTROL!$C$32, $C$9, 100%, $E$9)</f>
        <v>4.6486000000000001</v>
      </c>
      <c r="F155" s="11">
        <f>4.6486 * CHOOSE(CONTROL!$C$32, $C$9, 100%, $E$9)</f>
        <v>4.6486000000000001</v>
      </c>
      <c r="G155" s="11">
        <f>4.6522 * CHOOSE(CONTROL!$C$32, $C$9, 100%, $E$9)</f>
        <v>4.6521999999999997</v>
      </c>
      <c r="H155" s="11">
        <f>7.4359 * CHOOSE(CONTROL!$C$32, $C$9, 100%, $E$9)</f>
        <v>7.4359000000000002</v>
      </c>
      <c r="I155" s="11">
        <f>7.4396 * CHOOSE(CONTROL!$C$32, $C$9, 100%, $E$9)</f>
        <v>7.4396000000000004</v>
      </c>
      <c r="J155" s="11">
        <f>7.4359 * CHOOSE(CONTROL!$C$32, $C$9, 100%, $E$9)</f>
        <v>7.4359000000000002</v>
      </c>
      <c r="K155" s="11">
        <f>7.4396 * CHOOSE(CONTROL!$C$32, $C$9, 100%, $E$9)</f>
        <v>7.4396000000000004</v>
      </c>
      <c r="L155" s="11">
        <f>4.6486 * CHOOSE(CONTROL!$C$32, $C$9, 100%, $E$9)</f>
        <v>4.6486000000000001</v>
      </c>
      <c r="M155" s="11">
        <f>4.6522 * CHOOSE(CONTROL!$C$32, $C$9, 100%, $E$9)</f>
        <v>4.6521999999999997</v>
      </c>
      <c r="N155" s="11">
        <f>4.6486 * CHOOSE(CONTROL!$C$32, $C$9, 100%, $E$9)</f>
        <v>4.6486000000000001</v>
      </c>
      <c r="O155" s="11">
        <f>4.6522 * CHOOSE(CONTROL!$C$32, $C$9, 100%, $E$9)</f>
        <v>4.6521999999999997</v>
      </c>
      <c r="P155" s="14"/>
      <c r="Q155" s="14"/>
      <c r="R155" s="14"/>
    </row>
    <row r="156" spans="1:18" ht="15" x14ac:dyDescent="0.2">
      <c r="A156" s="13">
        <v>45597</v>
      </c>
      <c r="B156" s="9">
        <f>3.6565 * CHOOSE(CONTROL!$C$32, $C$9, 100%, $E$9)</f>
        <v>3.6564999999999999</v>
      </c>
      <c r="C156" s="9">
        <f>3.6565 * CHOOSE(CONTROL!$C$32, $C$9, 100%, $E$9)</f>
        <v>3.6564999999999999</v>
      </c>
      <c r="D156" s="9">
        <f>3.6576 * CHOOSE(CONTROL!$C$32, $C$9, 100%, $E$9)</f>
        <v>3.6576</v>
      </c>
      <c r="E156" s="11">
        <f>4.6506 * CHOOSE(CONTROL!$C$32, $C$9, 100%, $E$9)</f>
        <v>4.6505999999999998</v>
      </c>
      <c r="F156" s="11">
        <f>4.6506 * CHOOSE(CONTROL!$C$32, $C$9, 100%, $E$9)</f>
        <v>4.6505999999999998</v>
      </c>
      <c r="G156" s="11">
        <f>4.6542 * CHOOSE(CONTROL!$C$32, $C$9, 100%, $E$9)</f>
        <v>4.6542000000000003</v>
      </c>
      <c r="H156" s="11">
        <f>7.4514 * CHOOSE(CONTROL!$C$32, $C$9, 100%, $E$9)</f>
        <v>7.4513999999999996</v>
      </c>
      <c r="I156" s="11">
        <f>7.455 * CHOOSE(CONTROL!$C$32, $C$9, 100%, $E$9)</f>
        <v>7.4550000000000001</v>
      </c>
      <c r="J156" s="11">
        <f>7.4514 * CHOOSE(CONTROL!$C$32, $C$9, 100%, $E$9)</f>
        <v>7.4513999999999996</v>
      </c>
      <c r="K156" s="11">
        <f>7.455 * CHOOSE(CONTROL!$C$32, $C$9, 100%, $E$9)</f>
        <v>7.4550000000000001</v>
      </c>
      <c r="L156" s="11">
        <f>4.6506 * CHOOSE(CONTROL!$C$32, $C$9, 100%, $E$9)</f>
        <v>4.6505999999999998</v>
      </c>
      <c r="M156" s="11">
        <f>4.6542 * CHOOSE(CONTROL!$C$32, $C$9, 100%, $E$9)</f>
        <v>4.6542000000000003</v>
      </c>
      <c r="N156" s="11">
        <f>4.6506 * CHOOSE(CONTROL!$C$32, $C$9, 100%, $E$9)</f>
        <v>4.6505999999999998</v>
      </c>
      <c r="O156" s="11">
        <f>4.6542 * CHOOSE(CONTROL!$C$32, $C$9, 100%, $E$9)</f>
        <v>4.6542000000000003</v>
      </c>
      <c r="P156" s="14"/>
      <c r="Q156" s="14"/>
      <c r="R156" s="14"/>
    </row>
    <row r="157" spans="1:18" ht="15" x14ac:dyDescent="0.2">
      <c r="A157" s="13">
        <v>45627</v>
      </c>
      <c r="B157" s="9">
        <f>3.6565 * CHOOSE(CONTROL!$C$32, $C$9, 100%, $E$9)</f>
        <v>3.6564999999999999</v>
      </c>
      <c r="C157" s="9">
        <f>3.6565 * CHOOSE(CONTROL!$C$32, $C$9, 100%, $E$9)</f>
        <v>3.6564999999999999</v>
      </c>
      <c r="D157" s="9">
        <f>3.6576 * CHOOSE(CONTROL!$C$32, $C$9, 100%, $E$9)</f>
        <v>3.6576</v>
      </c>
      <c r="E157" s="11">
        <f>4.6506 * CHOOSE(CONTROL!$C$32, $C$9, 100%, $E$9)</f>
        <v>4.6505999999999998</v>
      </c>
      <c r="F157" s="11">
        <f>4.6506 * CHOOSE(CONTROL!$C$32, $C$9, 100%, $E$9)</f>
        <v>4.6505999999999998</v>
      </c>
      <c r="G157" s="11">
        <f>4.6542 * CHOOSE(CONTROL!$C$32, $C$9, 100%, $E$9)</f>
        <v>4.6542000000000003</v>
      </c>
      <c r="H157" s="11">
        <f>7.467 * CHOOSE(CONTROL!$C$32, $C$9, 100%, $E$9)</f>
        <v>7.4669999999999996</v>
      </c>
      <c r="I157" s="11">
        <f>7.4706 * CHOOSE(CONTROL!$C$32, $C$9, 100%, $E$9)</f>
        <v>7.4706000000000001</v>
      </c>
      <c r="J157" s="11">
        <f>7.467 * CHOOSE(CONTROL!$C$32, $C$9, 100%, $E$9)</f>
        <v>7.4669999999999996</v>
      </c>
      <c r="K157" s="11">
        <f>7.4706 * CHOOSE(CONTROL!$C$32, $C$9, 100%, $E$9)</f>
        <v>7.4706000000000001</v>
      </c>
      <c r="L157" s="11">
        <f>4.6506 * CHOOSE(CONTROL!$C$32, $C$9, 100%, $E$9)</f>
        <v>4.6505999999999998</v>
      </c>
      <c r="M157" s="11">
        <f>4.6542 * CHOOSE(CONTROL!$C$32, $C$9, 100%, $E$9)</f>
        <v>4.6542000000000003</v>
      </c>
      <c r="N157" s="11">
        <f>4.6506 * CHOOSE(CONTROL!$C$32, $C$9, 100%, $E$9)</f>
        <v>4.6505999999999998</v>
      </c>
      <c r="O157" s="11">
        <f>4.6542 * CHOOSE(CONTROL!$C$32, $C$9, 100%, $E$9)</f>
        <v>4.6542000000000003</v>
      </c>
      <c r="P157" s="14"/>
      <c r="Q157" s="14"/>
      <c r="R157" s="14"/>
    </row>
    <row r="158" spans="1:18" ht="15" x14ac:dyDescent="0.2">
      <c r="A158" s="13">
        <v>45658</v>
      </c>
      <c r="B158" s="9">
        <f>3.691 * CHOOSE(CONTROL!$C$32, $C$9, 100%, $E$9)</f>
        <v>3.6909999999999998</v>
      </c>
      <c r="C158" s="9">
        <f>3.691 * CHOOSE(CONTROL!$C$32, $C$9, 100%, $E$9)</f>
        <v>3.6909999999999998</v>
      </c>
      <c r="D158" s="9">
        <f>3.6921 * CHOOSE(CONTROL!$C$32, $C$9, 100%, $E$9)</f>
        <v>3.6920999999999999</v>
      </c>
      <c r="E158" s="11">
        <f>4.6908 * CHOOSE(CONTROL!$C$32, $C$9, 100%, $E$9)</f>
        <v>4.6908000000000003</v>
      </c>
      <c r="F158" s="11">
        <f>4.6908 * CHOOSE(CONTROL!$C$32, $C$9, 100%, $E$9)</f>
        <v>4.6908000000000003</v>
      </c>
      <c r="G158" s="11">
        <f>4.6945 * CHOOSE(CONTROL!$C$32, $C$9, 100%, $E$9)</f>
        <v>4.6944999999999997</v>
      </c>
      <c r="H158" s="11">
        <f>7.4825 * CHOOSE(CONTROL!$C$32, $C$9, 100%, $E$9)</f>
        <v>7.4824999999999999</v>
      </c>
      <c r="I158" s="11">
        <f>7.4861 * CHOOSE(CONTROL!$C$32, $C$9, 100%, $E$9)</f>
        <v>7.4861000000000004</v>
      </c>
      <c r="J158" s="11">
        <f>7.4825 * CHOOSE(CONTROL!$C$32, $C$9, 100%, $E$9)</f>
        <v>7.4824999999999999</v>
      </c>
      <c r="K158" s="11">
        <f>7.4861 * CHOOSE(CONTROL!$C$32, $C$9, 100%, $E$9)</f>
        <v>7.4861000000000004</v>
      </c>
      <c r="L158" s="11">
        <f>4.6908 * CHOOSE(CONTROL!$C$32, $C$9, 100%, $E$9)</f>
        <v>4.6908000000000003</v>
      </c>
      <c r="M158" s="11">
        <f>4.6945 * CHOOSE(CONTROL!$C$32, $C$9, 100%, $E$9)</f>
        <v>4.6944999999999997</v>
      </c>
      <c r="N158" s="11">
        <f>4.6908 * CHOOSE(CONTROL!$C$32, $C$9, 100%, $E$9)</f>
        <v>4.6908000000000003</v>
      </c>
      <c r="O158" s="11">
        <f>4.6945 * CHOOSE(CONTROL!$C$32, $C$9, 100%, $E$9)</f>
        <v>4.6944999999999997</v>
      </c>
      <c r="P158" s="14"/>
      <c r="Q158" s="14"/>
      <c r="R158" s="14"/>
    </row>
    <row r="159" spans="1:18" ht="15" x14ac:dyDescent="0.2">
      <c r="A159" s="13">
        <v>45689</v>
      </c>
      <c r="B159" s="9">
        <f>3.688 * CHOOSE(CONTROL!$C$32, $C$9, 100%, $E$9)</f>
        <v>3.6880000000000002</v>
      </c>
      <c r="C159" s="9">
        <f>3.688 * CHOOSE(CONTROL!$C$32, $C$9, 100%, $E$9)</f>
        <v>3.6880000000000002</v>
      </c>
      <c r="D159" s="9">
        <f>3.6891 * CHOOSE(CONTROL!$C$32, $C$9, 100%, $E$9)</f>
        <v>3.6890999999999998</v>
      </c>
      <c r="E159" s="11">
        <f>4.6888 * CHOOSE(CONTROL!$C$32, $C$9, 100%, $E$9)</f>
        <v>4.6887999999999996</v>
      </c>
      <c r="F159" s="11">
        <f>4.6888 * CHOOSE(CONTROL!$C$32, $C$9, 100%, $E$9)</f>
        <v>4.6887999999999996</v>
      </c>
      <c r="G159" s="11">
        <f>4.6925 * CHOOSE(CONTROL!$C$32, $C$9, 100%, $E$9)</f>
        <v>4.6924999999999999</v>
      </c>
      <c r="H159" s="11">
        <f>7.4981 * CHOOSE(CONTROL!$C$32, $C$9, 100%, $E$9)</f>
        <v>7.4981</v>
      </c>
      <c r="I159" s="11">
        <f>7.5017 * CHOOSE(CONTROL!$C$32, $C$9, 100%, $E$9)</f>
        <v>7.5016999999999996</v>
      </c>
      <c r="J159" s="11">
        <f>7.4981 * CHOOSE(CONTROL!$C$32, $C$9, 100%, $E$9)</f>
        <v>7.4981</v>
      </c>
      <c r="K159" s="11">
        <f>7.5017 * CHOOSE(CONTROL!$C$32, $C$9, 100%, $E$9)</f>
        <v>7.5016999999999996</v>
      </c>
      <c r="L159" s="11">
        <f>4.6888 * CHOOSE(CONTROL!$C$32, $C$9, 100%, $E$9)</f>
        <v>4.6887999999999996</v>
      </c>
      <c r="M159" s="11">
        <f>4.6925 * CHOOSE(CONTROL!$C$32, $C$9, 100%, $E$9)</f>
        <v>4.6924999999999999</v>
      </c>
      <c r="N159" s="11">
        <f>4.6888 * CHOOSE(CONTROL!$C$32, $C$9, 100%, $E$9)</f>
        <v>4.6887999999999996</v>
      </c>
      <c r="O159" s="11">
        <f>4.6925 * CHOOSE(CONTROL!$C$32, $C$9, 100%, $E$9)</f>
        <v>4.6924999999999999</v>
      </c>
      <c r="P159" s="14"/>
      <c r="Q159" s="14"/>
      <c r="R159" s="14"/>
    </row>
    <row r="160" spans="1:18" ht="15" x14ac:dyDescent="0.2">
      <c r="A160" s="13">
        <v>45717</v>
      </c>
      <c r="B160" s="9">
        <f>3.685 * CHOOSE(CONTROL!$C$32, $C$9, 100%, $E$9)</f>
        <v>3.6850000000000001</v>
      </c>
      <c r="C160" s="9">
        <f>3.685 * CHOOSE(CONTROL!$C$32, $C$9, 100%, $E$9)</f>
        <v>3.6850000000000001</v>
      </c>
      <c r="D160" s="9">
        <f>3.686 * CHOOSE(CONTROL!$C$32, $C$9, 100%, $E$9)</f>
        <v>3.6859999999999999</v>
      </c>
      <c r="E160" s="11">
        <f>4.6868 * CHOOSE(CONTROL!$C$32, $C$9, 100%, $E$9)</f>
        <v>4.6867999999999999</v>
      </c>
      <c r="F160" s="11">
        <f>4.6868 * CHOOSE(CONTROL!$C$32, $C$9, 100%, $E$9)</f>
        <v>4.6867999999999999</v>
      </c>
      <c r="G160" s="11">
        <f>4.6905 * CHOOSE(CONTROL!$C$32, $C$9, 100%, $E$9)</f>
        <v>4.6905000000000001</v>
      </c>
      <c r="H160" s="11">
        <f>7.5137 * CHOOSE(CONTROL!$C$32, $C$9, 100%, $E$9)</f>
        <v>7.5137</v>
      </c>
      <c r="I160" s="11">
        <f>7.5173 * CHOOSE(CONTROL!$C$32, $C$9, 100%, $E$9)</f>
        <v>7.5172999999999996</v>
      </c>
      <c r="J160" s="11">
        <f>7.5137 * CHOOSE(CONTROL!$C$32, $C$9, 100%, $E$9)</f>
        <v>7.5137</v>
      </c>
      <c r="K160" s="11">
        <f>7.5173 * CHOOSE(CONTROL!$C$32, $C$9, 100%, $E$9)</f>
        <v>7.5172999999999996</v>
      </c>
      <c r="L160" s="11">
        <f>4.6868 * CHOOSE(CONTROL!$C$32, $C$9, 100%, $E$9)</f>
        <v>4.6867999999999999</v>
      </c>
      <c r="M160" s="11">
        <f>4.6905 * CHOOSE(CONTROL!$C$32, $C$9, 100%, $E$9)</f>
        <v>4.6905000000000001</v>
      </c>
      <c r="N160" s="11">
        <f>4.6868 * CHOOSE(CONTROL!$C$32, $C$9, 100%, $E$9)</f>
        <v>4.6867999999999999</v>
      </c>
      <c r="O160" s="11">
        <f>4.6905 * CHOOSE(CONTROL!$C$32, $C$9, 100%, $E$9)</f>
        <v>4.6905000000000001</v>
      </c>
      <c r="P160" s="14"/>
      <c r="Q160" s="14"/>
      <c r="R160" s="14"/>
    </row>
    <row r="161" spans="1:18" ht="15" x14ac:dyDescent="0.2">
      <c r="A161" s="13">
        <v>45748</v>
      </c>
      <c r="B161" s="9">
        <f>3.6823 * CHOOSE(CONTROL!$C$32, $C$9, 100%, $E$9)</f>
        <v>3.6823000000000001</v>
      </c>
      <c r="C161" s="9">
        <f>3.6823 * CHOOSE(CONTROL!$C$32, $C$9, 100%, $E$9)</f>
        <v>3.6823000000000001</v>
      </c>
      <c r="D161" s="9">
        <f>3.6834 * CHOOSE(CONTROL!$C$32, $C$9, 100%, $E$9)</f>
        <v>3.6833999999999998</v>
      </c>
      <c r="E161" s="11">
        <f>4.6846 * CHOOSE(CONTROL!$C$32, $C$9, 100%, $E$9)</f>
        <v>4.6845999999999997</v>
      </c>
      <c r="F161" s="11">
        <f>4.6846 * CHOOSE(CONTROL!$C$32, $C$9, 100%, $E$9)</f>
        <v>4.6845999999999997</v>
      </c>
      <c r="G161" s="11">
        <f>4.6882 * CHOOSE(CONTROL!$C$32, $C$9, 100%, $E$9)</f>
        <v>4.6882000000000001</v>
      </c>
      <c r="H161" s="11">
        <f>7.5294 * CHOOSE(CONTROL!$C$32, $C$9, 100%, $E$9)</f>
        <v>7.5293999999999999</v>
      </c>
      <c r="I161" s="11">
        <f>7.533 * CHOOSE(CONTROL!$C$32, $C$9, 100%, $E$9)</f>
        <v>7.5330000000000004</v>
      </c>
      <c r="J161" s="11">
        <f>7.5294 * CHOOSE(CONTROL!$C$32, $C$9, 100%, $E$9)</f>
        <v>7.5293999999999999</v>
      </c>
      <c r="K161" s="11">
        <f>7.533 * CHOOSE(CONTROL!$C$32, $C$9, 100%, $E$9)</f>
        <v>7.5330000000000004</v>
      </c>
      <c r="L161" s="11">
        <f>4.6846 * CHOOSE(CONTROL!$C$32, $C$9, 100%, $E$9)</f>
        <v>4.6845999999999997</v>
      </c>
      <c r="M161" s="11">
        <f>4.6882 * CHOOSE(CONTROL!$C$32, $C$9, 100%, $E$9)</f>
        <v>4.6882000000000001</v>
      </c>
      <c r="N161" s="11">
        <f>4.6846 * CHOOSE(CONTROL!$C$32, $C$9, 100%, $E$9)</f>
        <v>4.6845999999999997</v>
      </c>
      <c r="O161" s="11">
        <f>4.6882 * CHOOSE(CONTROL!$C$32, $C$9, 100%, $E$9)</f>
        <v>4.6882000000000001</v>
      </c>
      <c r="P161" s="14"/>
      <c r="Q161" s="14"/>
      <c r="R161" s="14"/>
    </row>
    <row r="162" spans="1:18" ht="15" x14ac:dyDescent="0.2">
      <c r="A162" s="13">
        <v>45778</v>
      </c>
      <c r="B162" s="9">
        <f>3.6823 * CHOOSE(CONTROL!$C$32, $C$9, 100%, $E$9)</f>
        <v>3.6823000000000001</v>
      </c>
      <c r="C162" s="9">
        <f>3.6823 * CHOOSE(CONTROL!$C$32, $C$9, 100%, $E$9)</f>
        <v>3.6823000000000001</v>
      </c>
      <c r="D162" s="9">
        <f>3.6839 * CHOOSE(CONTROL!$C$32, $C$9, 100%, $E$9)</f>
        <v>3.6839</v>
      </c>
      <c r="E162" s="11">
        <f>4.6846 * CHOOSE(CONTROL!$C$32, $C$9, 100%, $E$9)</f>
        <v>4.6845999999999997</v>
      </c>
      <c r="F162" s="11">
        <f>4.6846 * CHOOSE(CONTROL!$C$32, $C$9, 100%, $E$9)</f>
        <v>4.6845999999999997</v>
      </c>
      <c r="G162" s="11">
        <f>4.6899 * CHOOSE(CONTROL!$C$32, $C$9, 100%, $E$9)</f>
        <v>4.6898999999999997</v>
      </c>
      <c r="H162" s="11">
        <f>7.5451 * CHOOSE(CONTROL!$C$32, $C$9, 100%, $E$9)</f>
        <v>7.5450999999999997</v>
      </c>
      <c r="I162" s="11">
        <f>7.5504 * CHOOSE(CONTROL!$C$32, $C$9, 100%, $E$9)</f>
        <v>7.5503999999999998</v>
      </c>
      <c r="J162" s="11">
        <f>7.5451 * CHOOSE(CONTROL!$C$32, $C$9, 100%, $E$9)</f>
        <v>7.5450999999999997</v>
      </c>
      <c r="K162" s="11">
        <f>7.5504 * CHOOSE(CONTROL!$C$32, $C$9, 100%, $E$9)</f>
        <v>7.5503999999999998</v>
      </c>
      <c r="L162" s="11">
        <f>4.6846 * CHOOSE(CONTROL!$C$32, $C$9, 100%, $E$9)</f>
        <v>4.6845999999999997</v>
      </c>
      <c r="M162" s="11">
        <f>4.6899 * CHOOSE(CONTROL!$C$32, $C$9, 100%, $E$9)</f>
        <v>4.6898999999999997</v>
      </c>
      <c r="N162" s="11">
        <f>4.6846 * CHOOSE(CONTROL!$C$32, $C$9, 100%, $E$9)</f>
        <v>4.6845999999999997</v>
      </c>
      <c r="O162" s="11">
        <f>4.6899 * CHOOSE(CONTROL!$C$32, $C$9, 100%, $E$9)</f>
        <v>4.6898999999999997</v>
      </c>
      <c r="P162" s="14"/>
      <c r="Q162" s="14"/>
      <c r="R162" s="14"/>
    </row>
    <row r="163" spans="1:18" ht="15" x14ac:dyDescent="0.2">
      <c r="A163" s="13">
        <v>45809</v>
      </c>
      <c r="B163" s="9">
        <f>3.6884 * CHOOSE(CONTROL!$C$32, $C$9, 100%, $E$9)</f>
        <v>3.6884000000000001</v>
      </c>
      <c r="C163" s="9">
        <f>3.6884 * CHOOSE(CONTROL!$C$32, $C$9, 100%, $E$9)</f>
        <v>3.6884000000000001</v>
      </c>
      <c r="D163" s="9">
        <f>3.69 * CHOOSE(CONTROL!$C$32, $C$9, 100%, $E$9)</f>
        <v>3.69</v>
      </c>
      <c r="E163" s="11">
        <f>4.6886 * CHOOSE(CONTROL!$C$32, $C$9, 100%, $E$9)</f>
        <v>4.6886000000000001</v>
      </c>
      <c r="F163" s="11">
        <f>4.6886 * CHOOSE(CONTROL!$C$32, $C$9, 100%, $E$9)</f>
        <v>4.6886000000000001</v>
      </c>
      <c r="G163" s="11">
        <f>4.6939 * CHOOSE(CONTROL!$C$32, $C$9, 100%, $E$9)</f>
        <v>4.6939000000000002</v>
      </c>
      <c r="H163" s="11">
        <f>7.5608 * CHOOSE(CONTROL!$C$32, $C$9, 100%, $E$9)</f>
        <v>7.5608000000000004</v>
      </c>
      <c r="I163" s="11">
        <f>7.5661 * CHOOSE(CONTROL!$C$32, $C$9, 100%, $E$9)</f>
        <v>7.5660999999999996</v>
      </c>
      <c r="J163" s="11">
        <f>7.5608 * CHOOSE(CONTROL!$C$32, $C$9, 100%, $E$9)</f>
        <v>7.5608000000000004</v>
      </c>
      <c r="K163" s="11">
        <f>7.5661 * CHOOSE(CONTROL!$C$32, $C$9, 100%, $E$9)</f>
        <v>7.5660999999999996</v>
      </c>
      <c r="L163" s="11">
        <f>4.6886 * CHOOSE(CONTROL!$C$32, $C$9, 100%, $E$9)</f>
        <v>4.6886000000000001</v>
      </c>
      <c r="M163" s="11">
        <f>4.6939 * CHOOSE(CONTROL!$C$32, $C$9, 100%, $E$9)</f>
        <v>4.6939000000000002</v>
      </c>
      <c r="N163" s="11">
        <f>4.6886 * CHOOSE(CONTROL!$C$32, $C$9, 100%, $E$9)</f>
        <v>4.6886000000000001</v>
      </c>
      <c r="O163" s="11">
        <f>4.6939 * CHOOSE(CONTROL!$C$32, $C$9, 100%, $E$9)</f>
        <v>4.6939000000000002</v>
      </c>
      <c r="P163" s="14"/>
      <c r="Q163" s="14"/>
      <c r="R163" s="14"/>
    </row>
    <row r="164" spans="1:18" ht="15" x14ac:dyDescent="0.2">
      <c r="A164" s="13">
        <v>45839</v>
      </c>
      <c r="B164" s="9">
        <f>3.7541 * CHOOSE(CONTROL!$C$32, $C$9, 100%, $E$9)</f>
        <v>3.7541000000000002</v>
      </c>
      <c r="C164" s="9">
        <f>3.7541 * CHOOSE(CONTROL!$C$32, $C$9, 100%, $E$9)</f>
        <v>3.7541000000000002</v>
      </c>
      <c r="D164" s="9">
        <f>3.7556 * CHOOSE(CONTROL!$C$32, $C$9, 100%, $E$9)</f>
        <v>3.7555999999999998</v>
      </c>
      <c r="E164" s="11">
        <f>4.7776 * CHOOSE(CONTROL!$C$32, $C$9, 100%, $E$9)</f>
        <v>4.7775999999999996</v>
      </c>
      <c r="F164" s="11">
        <f>4.7776 * CHOOSE(CONTROL!$C$32, $C$9, 100%, $E$9)</f>
        <v>4.7775999999999996</v>
      </c>
      <c r="G164" s="11">
        <f>4.7829 * CHOOSE(CONTROL!$C$32, $C$9, 100%, $E$9)</f>
        <v>4.7828999999999997</v>
      </c>
      <c r="H164" s="11">
        <f>7.5765 * CHOOSE(CONTROL!$C$32, $C$9, 100%, $E$9)</f>
        <v>7.5765000000000002</v>
      </c>
      <c r="I164" s="11">
        <f>7.5818 * CHOOSE(CONTROL!$C$32, $C$9, 100%, $E$9)</f>
        <v>7.5818000000000003</v>
      </c>
      <c r="J164" s="11">
        <f>7.5765 * CHOOSE(CONTROL!$C$32, $C$9, 100%, $E$9)</f>
        <v>7.5765000000000002</v>
      </c>
      <c r="K164" s="11">
        <f>7.5818 * CHOOSE(CONTROL!$C$32, $C$9, 100%, $E$9)</f>
        <v>7.5818000000000003</v>
      </c>
      <c r="L164" s="11">
        <f>4.7776 * CHOOSE(CONTROL!$C$32, $C$9, 100%, $E$9)</f>
        <v>4.7775999999999996</v>
      </c>
      <c r="M164" s="11">
        <f>4.7829 * CHOOSE(CONTROL!$C$32, $C$9, 100%, $E$9)</f>
        <v>4.7828999999999997</v>
      </c>
      <c r="N164" s="11">
        <f>4.7776 * CHOOSE(CONTROL!$C$32, $C$9, 100%, $E$9)</f>
        <v>4.7775999999999996</v>
      </c>
      <c r="O164" s="11">
        <f>4.7829 * CHOOSE(CONTROL!$C$32, $C$9, 100%, $E$9)</f>
        <v>4.7828999999999997</v>
      </c>
      <c r="P164" s="14"/>
      <c r="Q164" s="14"/>
      <c r="R164" s="14"/>
    </row>
    <row r="165" spans="1:18" ht="15" x14ac:dyDescent="0.2">
      <c r="A165" s="13">
        <v>45870</v>
      </c>
      <c r="B165" s="9">
        <f>3.7607 * CHOOSE(CONTROL!$C$32, $C$9, 100%, $E$9)</f>
        <v>3.7606999999999999</v>
      </c>
      <c r="C165" s="9">
        <f>3.7607 * CHOOSE(CONTROL!$C$32, $C$9, 100%, $E$9)</f>
        <v>3.7606999999999999</v>
      </c>
      <c r="D165" s="9">
        <f>3.7623 * CHOOSE(CONTROL!$C$32, $C$9, 100%, $E$9)</f>
        <v>3.7623000000000002</v>
      </c>
      <c r="E165" s="11">
        <f>4.782 * CHOOSE(CONTROL!$C$32, $C$9, 100%, $E$9)</f>
        <v>4.782</v>
      </c>
      <c r="F165" s="11">
        <f>4.782 * CHOOSE(CONTROL!$C$32, $C$9, 100%, $E$9)</f>
        <v>4.782</v>
      </c>
      <c r="G165" s="11">
        <f>4.7873 * CHOOSE(CONTROL!$C$32, $C$9, 100%, $E$9)</f>
        <v>4.7873000000000001</v>
      </c>
      <c r="H165" s="11">
        <f>7.5923 * CHOOSE(CONTROL!$C$32, $C$9, 100%, $E$9)</f>
        <v>7.5922999999999998</v>
      </c>
      <c r="I165" s="11">
        <f>7.5976 * CHOOSE(CONTROL!$C$32, $C$9, 100%, $E$9)</f>
        <v>7.5975999999999999</v>
      </c>
      <c r="J165" s="11">
        <f>7.5923 * CHOOSE(CONTROL!$C$32, $C$9, 100%, $E$9)</f>
        <v>7.5922999999999998</v>
      </c>
      <c r="K165" s="11">
        <f>7.5976 * CHOOSE(CONTROL!$C$32, $C$9, 100%, $E$9)</f>
        <v>7.5975999999999999</v>
      </c>
      <c r="L165" s="11">
        <f>4.782 * CHOOSE(CONTROL!$C$32, $C$9, 100%, $E$9)</f>
        <v>4.782</v>
      </c>
      <c r="M165" s="11">
        <f>4.7873 * CHOOSE(CONTROL!$C$32, $C$9, 100%, $E$9)</f>
        <v>4.7873000000000001</v>
      </c>
      <c r="N165" s="11">
        <f>4.782 * CHOOSE(CONTROL!$C$32, $C$9, 100%, $E$9)</f>
        <v>4.782</v>
      </c>
      <c r="O165" s="11">
        <f>4.7873 * CHOOSE(CONTROL!$C$32, $C$9, 100%, $E$9)</f>
        <v>4.7873000000000001</v>
      </c>
      <c r="P165" s="14"/>
      <c r="Q165" s="14"/>
      <c r="R165" s="14"/>
    </row>
    <row r="166" spans="1:18" ht="15" x14ac:dyDescent="0.2">
      <c r="A166" s="13">
        <v>45901</v>
      </c>
      <c r="B166" s="9">
        <f>3.7577 * CHOOSE(CONTROL!$C$32, $C$9, 100%, $E$9)</f>
        <v>3.7576999999999998</v>
      </c>
      <c r="C166" s="9">
        <f>3.7577 * CHOOSE(CONTROL!$C$32, $C$9, 100%, $E$9)</f>
        <v>3.7576999999999998</v>
      </c>
      <c r="D166" s="9">
        <f>3.7593 * CHOOSE(CONTROL!$C$32, $C$9, 100%, $E$9)</f>
        <v>3.7593000000000001</v>
      </c>
      <c r="E166" s="11">
        <f>4.78 * CHOOSE(CONTROL!$C$32, $C$9, 100%, $E$9)</f>
        <v>4.78</v>
      </c>
      <c r="F166" s="11">
        <f>4.78 * CHOOSE(CONTROL!$C$32, $C$9, 100%, $E$9)</f>
        <v>4.78</v>
      </c>
      <c r="G166" s="11">
        <f>4.7853 * CHOOSE(CONTROL!$C$32, $C$9, 100%, $E$9)</f>
        <v>4.7853000000000003</v>
      </c>
      <c r="H166" s="11">
        <f>7.6081 * CHOOSE(CONTROL!$C$32, $C$9, 100%, $E$9)</f>
        <v>7.6081000000000003</v>
      </c>
      <c r="I166" s="11">
        <f>7.6134 * CHOOSE(CONTROL!$C$32, $C$9, 100%, $E$9)</f>
        <v>7.6134000000000004</v>
      </c>
      <c r="J166" s="11">
        <f>7.6081 * CHOOSE(CONTROL!$C$32, $C$9, 100%, $E$9)</f>
        <v>7.6081000000000003</v>
      </c>
      <c r="K166" s="11">
        <f>7.6134 * CHOOSE(CONTROL!$C$32, $C$9, 100%, $E$9)</f>
        <v>7.6134000000000004</v>
      </c>
      <c r="L166" s="11">
        <f>4.78 * CHOOSE(CONTROL!$C$32, $C$9, 100%, $E$9)</f>
        <v>4.78</v>
      </c>
      <c r="M166" s="11">
        <f>4.7853 * CHOOSE(CONTROL!$C$32, $C$9, 100%, $E$9)</f>
        <v>4.7853000000000003</v>
      </c>
      <c r="N166" s="11">
        <f>4.78 * CHOOSE(CONTROL!$C$32, $C$9, 100%, $E$9)</f>
        <v>4.78</v>
      </c>
      <c r="O166" s="11">
        <f>4.7853 * CHOOSE(CONTROL!$C$32, $C$9, 100%, $E$9)</f>
        <v>4.7853000000000003</v>
      </c>
      <c r="P166" s="14"/>
      <c r="Q166" s="14"/>
      <c r="R166" s="14"/>
    </row>
    <row r="167" spans="1:18" ht="15" x14ac:dyDescent="0.2">
      <c r="A167" s="13">
        <v>45931</v>
      </c>
      <c r="B167" s="9">
        <f>3.7519 * CHOOSE(CONTROL!$C$32, $C$9, 100%, $E$9)</f>
        <v>3.7519</v>
      </c>
      <c r="C167" s="9">
        <f>3.7519 * CHOOSE(CONTROL!$C$32, $C$9, 100%, $E$9)</f>
        <v>3.7519</v>
      </c>
      <c r="D167" s="9">
        <f>3.753 * CHOOSE(CONTROL!$C$32, $C$9, 100%, $E$9)</f>
        <v>3.7530000000000001</v>
      </c>
      <c r="E167" s="11">
        <f>4.7743 * CHOOSE(CONTROL!$C$32, $C$9, 100%, $E$9)</f>
        <v>4.7743000000000002</v>
      </c>
      <c r="F167" s="11">
        <f>4.7743 * CHOOSE(CONTROL!$C$32, $C$9, 100%, $E$9)</f>
        <v>4.7743000000000002</v>
      </c>
      <c r="G167" s="11">
        <f>4.7779 * CHOOSE(CONTROL!$C$32, $C$9, 100%, $E$9)</f>
        <v>4.7778999999999998</v>
      </c>
      <c r="H167" s="11">
        <f>7.624 * CHOOSE(CONTROL!$C$32, $C$9, 100%, $E$9)</f>
        <v>7.6239999999999997</v>
      </c>
      <c r="I167" s="11">
        <f>7.6276 * CHOOSE(CONTROL!$C$32, $C$9, 100%, $E$9)</f>
        <v>7.6276000000000002</v>
      </c>
      <c r="J167" s="11">
        <f>7.624 * CHOOSE(CONTROL!$C$32, $C$9, 100%, $E$9)</f>
        <v>7.6239999999999997</v>
      </c>
      <c r="K167" s="11">
        <f>7.6276 * CHOOSE(CONTROL!$C$32, $C$9, 100%, $E$9)</f>
        <v>7.6276000000000002</v>
      </c>
      <c r="L167" s="11">
        <f>4.7743 * CHOOSE(CONTROL!$C$32, $C$9, 100%, $E$9)</f>
        <v>4.7743000000000002</v>
      </c>
      <c r="M167" s="11">
        <f>4.7779 * CHOOSE(CONTROL!$C$32, $C$9, 100%, $E$9)</f>
        <v>4.7778999999999998</v>
      </c>
      <c r="N167" s="11">
        <f>4.7743 * CHOOSE(CONTROL!$C$32, $C$9, 100%, $E$9)</f>
        <v>4.7743000000000002</v>
      </c>
      <c r="O167" s="11">
        <f>4.7779 * CHOOSE(CONTROL!$C$32, $C$9, 100%, $E$9)</f>
        <v>4.7778999999999998</v>
      </c>
      <c r="P167" s="14"/>
      <c r="Q167" s="14"/>
      <c r="R167" s="14"/>
    </row>
    <row r="168" spans="1:18" ht="15" x14ac:dyDescent="0.2">
      <c r="A168" s="13">
        <v>45962</v>
      </c>
      <c r="B168" s="9">
        <f>3.755 * CHOOSE(CONTROL!$C$32, $C$9, 100%, $E$9)</f>
        <v>3.7549999999999999</v>
      </c>
      <c r="C168" s="9">
        <f>3.755 * CHOOSE(CONTROL!$C$32, $C$9, 100%, $E$9)</f>
        <v>3.7549999999999999</v>
      </c>
      <c r="D168" s="9">
        <f>3.7561 * CHOOSE(CONTROL!$C$32, $C$9, 100%, $E$9)</f>
        <v>3.7561</v>
      </c>
      <c r="E168" s="11">
        <f>4.7763 * CHOOSE(CONTROL!$C$32, $C$9, 100%, $E$9)</f>
        <v>4.7763</v>
      </c>
      <c r="F168" s="11">
        <f>4.7763 * CHOOSE(CONTROL!$C$32, $C$9, 100%, $E$9)</f>
        <v>4.7763</v>
      </c>
      <c r="G168" s="11">
        <f>4.7799 * CHOOSE(CONTROL!$C$32, $C$9, 100%, $E$9)</f>
        <v>4.7798999999999996</v>
      </c>
      <c r="H168" s="11">
        <f>7.6399 * CHOOSE(CONTROL!$C$32, $C$9, 100%, $E$9)</f>
        <v>7.6398999999999999</v>
      </c>
      <c r="I168" s="11">
        <f>7.6435 * CHOOSE(CONTROL!$C$32, $C$9, 100%, $E$9)</f>
        <v>7.6435000000000004</v>
      </c>
      <c r="J168" s="11">
        <f>7.6399 * CHOOSE(CONTROL!$C$32, $C$9, 100%, $E$9)</f>
        <v>7.6398999999999999</v>
      </c>
      <c r="K168" s="11">
        <f>7.6435 * CHOOSE(CONTROL!$C$32, $C$9, 100%, $E$9)</f>
        <v>7.6435000000000004</v>
      </c>
      <c r="L168" s="11">
        <f>4.7763 * CHOOSE(CONTROL!$C$32, $C$9, 100%, $E$9)</f>
        <v>4.7763</v>
      </c>
      <c r="M168" s="11">
        <f>4.7799 * CHOOSE(CONTROL!$C$32, $C$9, 100%, $E$9)</f>
        <v>4.7798999999999996</v>
      </c>
      <c r="N168" s="11">
        <f>4.7763 * CHOOSE(CONTROL!$C$32, $C$9, 100%, $E$9)</f>
        <v>4.7763</v>
      </c>
      <c r="O168" s="11">
        <f>4.7799 * CHOOSE(CONTROL!$C$32, $C$9, 100%, $E$9)</f>
        <v>4.7798999999999996</v>
      </c>
    </row>
    <row r="169" spans="1:18" ht="15" x14ac:dyDescent="0.2">
      <c r="A169" s="13">
        <v>45992</v>
      </c>
      <c r="B169" s="9">
        <f>3.755 * CHOOSE(CONTROL!$C$32, $C$9, 100%, $E$9)</f>
        <v>3.7549999999999999</v>
      </c>
      <c r="C169" s="9">
        <f>3.755 * CHOOSE(CONTROL!$C$32, $C$9, 100%, $E$9)</f>
        <v>3.7549999999999999</v>
      </c>
      <c r="D169" s="9">
        <f>3.7561 * CHOOSE(CONTROL!$C$32, $C$9, 100%, $E$9)</f>
        <v>3.7561</v>
      </c>
      <c r="E169" s="11">
        <f>4.7763 * CHOOSE(CONTROL!$C$32, $C$9, 100%, $E$9)</f>
        <v>4.7763</v>
      </c>
      <c r="F169" s="11">
        <f>4.7763 * CHOOSE(CONTROL!$C$32, $C$9, 100%, $E$9)</f>
        <v>4.7763</v>
      </c>
      <c r="G169" s="11">
        <f>4.7799 * CHOOSE(CONTROL!$C$32, $C$9, 100%, $E$9)</f>
        <v>4.7798999999999996</v>
      </c>
      <c r="H169" s="11">
        <f>7.6558 * CHOOSE(CONTROL!$C$32, $C$9, 100%, $E$9)</f>
        <v>7.6558000000000002</v>
      </c>
      <c r="I169" s="11">
        <f>7.6594 * CHOOSE(CONTROL!$C$32, $C$9, 100%, $E$9)</f>
        <v>7.6593999999999998</v>
      </c>
      <c r="J169" s="11">
        <f>7.6558 * CHOOSE(CONTROL!$C$32, $C$9, 100%, $E$9)</f>
        <v>7.6558000000000002</v>
      </c>
      <c r="K169" s="11">
        <f>7.6594 * CHOOSE(CONTROL!$C$32, $C$9, 100%, $E$9)</f>
        <v>7.6593999999999998</v>
      </c>
      <c r="L169" s="11">
        <f>4.7763 * CHOOSE(CONTROL!$C$32, $C$9, 100%, $E$9)</f>
        <v>4.7763</v>
      </c>
      <c r="M169" s="11">
        <f>4.7799 * CHOOSE(CONTROL!$C$32, $C$9, 100%, $E$9)</f>
        <v>4.7798999999999996</v>
      </c>
      <c r="N169" s="11">
        <f>4.7763 * CHOOSE(CONTROL!$C$32, $C$9, 100%, $E$9)</f>
        <v>4.7763</v>
      </c>
      <c r="O169" s="11">
        <f>4.7799 * CHOOSE(CONTROL!$C$32, $C$9, 100%, $E$9)</f>
        <v>4.7798999999999996</v>
      </c>
    </row>
    <row r="170" spans="1:18" ht="15" x14ac:dyDescent="0.2">
      <c r="A170" s="13">
        <v>46023</v>
      </c>
      <c r="B170" s="9">
        <f>3.7892 * CHOOSE(CONTROL!$C$32, $C$9, 100%, $E$9)</f>
        <v>3.7892000000000001</v>
      </c>
      <c r="C170" s="9">
        <f>3.7892 * CHOOSE(CONTROL!$C$32, $C$9, 100%, $E$9)</f>
        <v>3.7892000000000001</v>
      </c>
      <c r="D170" s="9">
        <f>3.7902 * CHOOSE(CONTROL!$C$32, $C$9, 100%, $E$9)</f>
        <v>3.7902</v>
      </c>
      <c r="E170" s="11">
        <f>4.8185 * CHOOSE(CONTROL!$C$32, $C$9, 100%, $E$9)</f>
        <v>4.8185000000000002</v>
      </c>
      <c r="F170" s="11">
        <f>4.8185 * CHOOSE(CONTROL!$C$32, $C$9, 100%, $E$9)</f>
        <v>4.8185000000000002</v>
      </c>
      <c r="G170" s="11">
        <f>4.8221 * CHOOSE(CONTROL!$C$32, $C$9, 100%, $E$9)</f>
        <v>4.8220999999999998</v>
      </c>
      <c r="H170" s="11">
        <f>7.6717 * CHOOSE(CONTROL!$C$32, $C$9, 100%, $E$9)</f>
        <v>7.6717000000000004</v>
      </c>
      <c r="I170" s="11">
        <f>7.6753 * CHOOSE(CONTROL!$C$32, $C$9, 100%, $E$9)</f>
        <v>7.6753</v>
      </c>
      <c r="J170" s="11">
        <f>7.6717 * CHOOSE(CONTROL!$C$32, $C$9, 100%, $E$9)</f>
        <v>7.6717000000000004</v>
      </c>
      <c r="K170" s="11">
        <f>7.6753 * CHOOSE(CONTROL!$C$32, $C$9, 100%, $E$9)</f>
        <v>7.6753</v>
      </c>
      <c r="L170" s="11">
        <f>4.8185 * CHOOSE(CONTROL!$C$32, $C$9, 100%, $E$9)</f>
        <v>4.8185000000000002</v>
      </c>
      <c r="M170" s="11">
        <f>4.8221 * CHOOSE(CONTROL!$C$32, $C$9, 100%, $E$9)</f>
        <v>4.8220999999999998</v>
      </c>
      <c r="N170" s="11">
        <f>4.8185 * CHOOSE(CONTROL!$C$32, $C$9, 100%, $E$9)</f>
        <v>4.8185000000000002</v>
      </c>
      <c r="O170" s="11">
        <f>4.8221 * CHOOSE(CONTROL!$C$32, $C$9, 100%, $E$9)</f>
        <v>4.8220999999999998</v>
      </c>
    </row>
    <row r="171" spans="1:18" ht="15" x14ac:dyDescent="0.2">
      <c r="A171" s="13">
        <v>46054</v>
      </c>
      <c r="B171" s="9">
        <f>3.7861 * CHOOSE(CONTROL!$C$32, $C$9, 100%, $E$9)</f>
        <v>3.7860999999999998</v>
      </c>
      <c r="C171" s="9">
        <f>3.7861 * CHOOSE(CONTROL!$C$32, $C$9, 100%, $E$9)</f>
        <v>3.7860999999999998</v>
      </c>
      <c r="D171" s="9">
        <f>3.7872 * CHOOSE(CONTROL!$C$32, $C$9, 100%, $E$9)</f>
        <v>3.7871999999999999</v>
      </c>
      <c r="E171" s="11">
        <f>4.8165 * CHOOSE(CONTROL!$C$32, $C$9, 100%, $E$9)</f>
        <v>4.8164999999999996</v>
      </c>
      <c r="F171" s="11">
        <f>4.8165 * CHOOSE(CONTROL!$C$32, $C$9, 100%, $E$9)</f>
        <v>4.8164999999999996</v>
      </c>
      <c r="G171" s="11">
        <f>4.8201 * CHOOSE(CONTROL!$C$32, $C$9, 100%, $E$9)</f>
        <v>4.8201000000000001</v>
      </c>
      <c r="H171" s="11">
        <f>7.6877 * CHOOSE(CONTROL!$C$32, $C$9, 100%, $E$9)</f>
        <v>7.6877000000000004</v>
      </c>
      <c r="I171" s="11">
        <f>7.6913 * CHOOSE(CONTROL!$C$32, $C$9, 100%, $E$9)</f>
        <v>7.6913</v>
      </c>
      <c r="J171" s="11">
        <f>7.6877 * CHOOSE(CONTROL!$C$32, $C$9, 100%, $E$9)</f>
        <v>7.6877000000000004</v>
      </c>
      <c r="K171" s="11">
        <f>7.6913 * CHOOSE(CONTROL!$C$32, $C$9, 100%, $E$9)</f>
        <v>7.6913</v>
      </c>
      <c r="L171" s="11">
        <f>4.8165 * CHOOSE(CONTROL!$C$32, $C$9, 100%, $E$9)</f>
        <v>4.8164999999999996</v>
      </c>
      <c r="M171" s="11">
        <f>4.8201 * CHOOSE(CONTROL!$C$32, $C$9, 100%, $E$9)</f>
        <v>4.8201000000000001</v>
      </c>
      <c r="N171" s="11">
        <f>4.8165 * CHOOSE(CONTROL!$C$32, $C$9, 100%, $E$9)</f>
        <v>4.8164999999999996</v>
      </c>
      <c r="O171" s="11">
        <f>4.8201 * CHOOSE(CONTROL!$C$32, $C$9, 100%, $E$9)</f>
        <v>4.8201000000000001</v>
      </c>
    </row>
    <row r="172" spans="1:18" ht="15" x14ac:dyDescent="0.2">
      <c r="A172" s="13">
        <v>46082</v>
      </c>
      <c r="B172" s="9">
        <f>3.7831 * CHOOSE(CONTROL!$C$32, $C$9, 100%, $E$9)</f>
        <v>3.7831000000000001</v>
      </c>
      <c r="C172" s="9">
        <f>3.7831 * CHOOSE(CONTROL!$C$32, $C$9, 100%, $E$9)</f>
        <v>3.7831000000000001</v>
      </c>
      <c r="D172" s="9">
        <f>3.7842 * CHOOSE(CONTROL!$C$32, $C$9, 100%, $E$9)</f>
        <v>3.7841999999999998</v>
      </c>
      <c r="E172" s="11">
        <f>4.8145 * CHOOSE(CONTROL!$C$32, $C$9, 100%, $E$9)</f>
        <v>4.8144999999999998</v>
      </c>
      <c r="F172" s="11">
        <f>4.8145 * CHOOSE(CONTROL!$C$32, $C$9, 100%, $E$9)</f>
        <v>4.8144999999999998</v>
      </c>
      <c r="G172" s="11">
        <f>4.8181 * CHOOSE(CONTROL!$C$32, $C$9, 100%, $E$9)</f>
        <v>4.8181000000000003</v>
      </c>
      <c r="H172" s="11">
        <f>7.7037 * CHOOSE(CONTROL!$C$32, $C$9, 100%, $E$9)</f>
        <v>7.7037000000000004</v>
      </c>
      <c r="I172" s="11">
        <f>7.7073 * CHOOSE(CONTROL!$C$32, $C$9, 100%, $E$9)</f>
        <v>7.7073</v>
      </c>
      <c r="J172" s="11">
        <f>7.7037 * CHOOSE(CONTROL!$C$32, $C$9, 100%, $E$9)</f>
        <v>7.7037000000000004</v>
      </c>
      <c r="K172" s="11">
        <f>7.7073 * CHOOSE(CONTROL!$C$32, $C$9, 100%, $E$9)</f>
        <v>7.7073</v>
      </c>
      <c r="L172" s="11">
        <f>4.8145 * CHOOSE(CONTROL!$C$32, $C$9, 100%, $E$9)</f>
        <v>4.8144999999999998</v>
      </c>
      <c r="M172" s="11">
        <f>4.8181 * CHOOSE(CONTROL!$C$32, $C$9, 100%, $E$9)</f>
        <v>4.8181000000000003</v>
      </c>
      <c r="N172" s="11">
        <f>4.8145 * CHOOSE(CONTROL!$C$32, $C$9, 100%, $E$9)</f>
        <v>4.8144999999999998</v>
      </c>
      <c r="O172" s="11">
        <f>4.8181 * CHOOSE(CONTROL!$C$32, $C$9, 100%, $E$9)</f>
        <v>4.8181000000000003</v>
      </c>
    </row>
    <row r="173" spans="1:18" ht="15" x14ac:dyDescent="0.2">
      <c r="A173" s="13">
        <v>46113</v>
      </c>
      <c r="B173" s="9">
        <f>3.7805 * CHOOSE(CONTROL!$C$32, $C$9, 100%, $E$9)</f>
        <v>3.7805</v>
      </c>
      <c r="C173" s="9">
        <f>3.7805 * CHOOSE(CONTROL!$C$32, $C$9, 100%, $E$9)</f>
        <v>3.7805</v>
      </c>
      <c r="D173" s="9">
        <f>3.7816 * CHOOSE(CONTROL!$C$32, $C$9, 100%, $E$9)</f>
        <v>3.7816000000000001</v>
      </c>
      <c r="E173" s="11">
        <f>4.8123 * CHOOSE(CONTROL!$C$32, $C$9, 100%, $E$9)</f>
        <v>4.8122999999999996</v>
      </c>
      <c r="F173" s="11">
        <f>4.8123 * CHOOSE(CONTROL!$C$32, $C$9, 100%, $E$9)</f>
        <v>4.8122999999999996</v>
      </c>
      <c r="G173" s="11">
        <f>4.816 * CHOOSE(CONTROL!$C$32, $C$9, 100%, $E$9)</f>
        <v>4.8159999999999998</v>
      </c>
      <c r="H173" s="11">
        <f>7.7198 * CHOOSE(CONTROL!$C$32, $C$9, 100%, $E$9)</f>
        <v>7.7198000000000002</v>
      </c>
      <c r="I173" s="11">
        <f>7.7234 * CHOOSE(CONTROL!$C$32, $C$9, 100%, $E$9)</f>
        <v>7.7233999999999998</v>
      </c>
      <c r="J173" s="11">
        <f>7.7198 * CHOOSE(CONTROL!$C$32, $C$9, 100%, $E$9)</f>
        <v>7.7198000000000002</v>
      </c>
      <c r="K173" s="11">
        <f>7.7234 * CHOOSE(CONTROL!$C$32, $C$9, 100%, $E$9)</f>
        <v>7.7233999999999998</v>
      </c>
      <c r="L173" s="11">
        <f>4.8123 * CHOOSE(CONTROL!$C$32, $C$9, 100%, $E$9)</f>
        <v>4.8122999999999996</v>
      </c>
      <c r="M173" s="11">
        <f>4.816 * CHOOSE(CONTROL!$C$32, $C$9, 100%, $E$9)</f>
        <v>4.8159999999999998</v>
      </c>
      <c r="N173" s="11">
        <f>4.8123 * CHOOSE(CONTROL!$C$32, $C$9, 100%, $E$9)</f>
        <v>4.8122999999999996</v>
      </c>
      <c r="O173" s="11">
        <f>4.816 * CHOOSE(CONTROL!$C$32, $C$9, 100%, $E$9)</f>
        <v>4.8159999999999998</v>
      </c>
    </row>
    <row r="174" spans="1:18" ht="15" x14ac:dyDescent="0.2">
      <c r="A174" s="13">
        <v>46143</v>
      </c>
      <c r="B174" s="9">
        <f>3.7805 * CHOOSE(CONTROL!$C$32, $C$9, 100%, $E$9)</f>
        <v>3.7805</v>
      </c>
      <c r="C174" s="9">
        <f>3.7805 * CHOOSE(CONTROL!$C$32, $C$9, 100%, $E$9)</f>
        <v>3.7805</v>
      </c>
      <c r="D174" s="9">
        <f>3.7821 * CHOOSE(CONTROL!$C$32, $C$9, 100%, $E$9)</f>
        <v>3.7820999999999998</v>
      </c>
      <c r="E174" s="11">
        <f>4.8123 * CHOOSE(CONTROL!$C$32, $C$9, 100%, $E$9)</f>
        <v>4.8122999999999996</v>
      </c>
      <c r="F174" s="11">
        <f>4.8123 * CHOOSE(CONTROL!$C$32, $C$9, 100%, $E$9)</f>
        <v>4.8122999999999996</v>
      </c>
      <c r="G174" s="11">
        <f>4.8176 * CHOOSE(CONTROL!$C$32, $C$9, 100%, $E$9)</f>
        <v>4.8175999999999997</v>
      </c>
      <c r="H174" s="11">
        <f>7.7359 * CHOOSE(CONTROL!$C$32, $C$9, 100%, $E$9)</f>
        <v>7.7359</v>
      </c>
      <c r="I174" s="11">
        <f>7.7412 * CHOOSE(CONTROL!$C$32, $C$9, 100%, $E$9)</f>
        <v>7.7412000000000001</v>
      </c>
      <c r="J174" s="11">
        <f>7.7359 * CHOOSE(CONTROL!$C$32, $C$9, 100%, $E$9)</f>
        <v>7.7359</v>
      </c>
      <c r="K174" s="11">
        <f>7.7412 * CHOOSE(CONTROL!$C$32, $C$9, 100%, $E$9)</f>
        <v>7.7412000000000001</v>
      </c>
      <c r="L174" s="11">
        <f>4.8123 * CHOOSE(CONTROL!$C$32, $C$9, 100%, $E$9)</f>
        <v>4.8122999999999996</v>
      </c>
      <c r="M174" s="11">
        <f>4.8176 * CHOOSE(CONTROL!$C$32, $C$9, 100%, $E$9)</f>
        <v>4.8175999999999997</v>
      </c>
      <c r="N174" s="11">
        <f>4.8123 * CHOOSE(CONTROL!$C$32, $C$9, 100%, $E$9)</f>
        <v>4.8122999999999996</v>
      </c>
      <c r="O174" s="11">
        <f>4.8176 * CHOOSE(CONTROL!$C$32, $C$9, 100%, $E$9)</f>
        <v>4.8175999999999997</v>
      </c>
    </row>
    <row r="175" spans="1:18" ht="15" x14ac:dyDescent="0.2">
      <c r="A175" s="13">
        <v>46174</v>
      </c>
      <c r="B175" s="9">
        <f>3.7866 * CHOOSE(CONTROL!$C$32, $C$9, 100%, $E$9)</f>
        <v>3.7866</v>
      </c>
      <c r="C175" s="9">
        <f>3.7866 * CHOOSE(CONTROL!$C$32, $C$9, 100%, $E$9)</f>
        <v>3.7866</v>
      </c>
      <c r="D175" s="9">
        <f>3.7882 * CHOOSE(CONTROL!$C$32, $C$9, 100%, $E$9)</f>
        <v>3.7881999999999998</v>
      </c>
      <c r="E175" s="11">
        <f>4.8163 * CHOOSE(CONTROL!$C$32, $C$9, 100%, $E$9)</f>
        <v>4.8163</v>
      </c>
      <c r="F175" s="11">
        <f>4.8163 * CHOOSE(CONTROL!$C$32, $C$9, 100%, $E$9)</f>
        <v>4.8163</v>
      </c>
      <c r="G175" s="11">
        <f>4.8216 * CHOOSE(CONTROL!$C$32, $C$9, 100%, $E$9)</f>
        <v>4.8216000000000001</v>
      </c>
      <c r="H175" s="11">
        <f>7.752 * CHOOSE(CONTROL!$C$32, $C$9, 100%, $E$9)</f>
        <v>7.7519999999999998</v>
      </c>
      <c r="I175" s="11">
        <f>7.7573 * CHOOSE(CONTROL!$C$32, $C$9, 100%, $E$9)</f>
        <v>7.7572999999999999</v>
      </c>
      <c r="J175" s="11">
        <f>7.752 * CHOOSE(CONTROL!$C$32, $C$9, 100%, $E$9)</f>
        <v>7.7519999999999998</v>
      </c>
      <c r="K175" s="11">
        <f>7.7573 * CHOOSE(CONTROL!$C$32, $C$9, 100%, $E$9)</f>
        <v>7.7572999999999999</v>
      </c>
      <c r="L175" s="11">
        <f>4.8163 * CHOOSE(CONTROL!$C$32, $C$9, 100%, $E$9)</f>
        <v>4.8163</v>
      </c>
      <c r="M175" s="11">
        <f>4.8216 * CHOOSE(CONTROL!$C$32, $C$9, 100%, $E$9)</f>
        <v>4.8216000000000001</v>
      </c>
      <c r="N175" s="11">
        <f>4.8163 * CHOOSE(CONTROL!$C$32, $C$9, 100%, $E$9)</f>
        <v>4.8163</v>
      </c>
      <c r="O175" s="11">
        <f>4.8216 * CHOOSE(CONTROL!$C$32, $C$9, 100%, $E$9)</f>
        <v>4.8216000000000001</v>
      </c>
    </row>
    <row r="176" spans="1:18" ht="15" x14ac:dyDescent="0.2">
      <c r="A176" s="13">
        <v>46204</v>
      </c>
      <c r="B176" s="9">
        <f>3.8506 * CHOOSE(CONTROL!$C$32, $C$9, 100%, $E$9)</f>
        <v>3.8506</v>
      </c>
      <c r="C176" s="9">
        <f>3.8506 * CHOOSE(CONTROL!$C$32, $C$9, 100%, $E$9)</f>
        <v>3.8506</v>
      </c>
      <c r="D176" s="9">
        <f>3.8522 * CHOOSE(CONTROL!$C$32, $C$9, 100%, $E$9)</f>
        <v>3.8521999999999998</v>
      </c>
      <c r="E176" s="11">
        <f>4.9098 * CHOOSE(CONTROL!$C$32, $C$9, 100%, $E$9)</f>
        <v>4.9097999999999997</v>
      </c>
      <c r="F176" s="11">
        <f>4.9098 * CHOOSE(CONTROL!$C$32, $C$9, 100%, $E$9)</f>
        <v>4.9097999999999997</v>
      </c>
      <c r="G176" s="11">
        <f>4.9151 * CHOOSE(CONTROL!$C$32, $C$9, 100%, $E$9)</f>
        <v>4.9150999999999998</v>
      </c>
      <c r="H176" s="11">
        <f>7.7681 * CHOOSE(CONTROL!$C$32, $C$9, 100%, $E$9)</f>
        <v>7.7680999999999996</v>
      </c>
      <c r="I176" s="11">
        <f>7.7734 * CHOOSE(CONTROL!$C$32, $C$9, 100%, $E$9)</f>
        <v>7.7733999999999996</v>
      </c>
      <c r="J176" s="11">
        <f>7.7681 * CHOOSE(CONTROL!$C$32, $C$9, 100%, $E$9)</f>
        <v>7.7680999999999996</v>
      </c>
      <c r="K176" s="11">
        <f>7.7734 * CHOOSE(CONTROL!$C$32, $C$9, 100%, $E$9)</f>
        <v>7.7733999999999996</v>
      </c>
      <c r="L176" s="11">
        <f>4.9098 * CHOOSE(CONTROL!$C$32, $C$9, 100%, $E$9)</f>
        <v>4.9097999999999997</v>
      </c>
      <c r="M176" s="11">
        <f>4.9151 * CHOOSE(CONTROL!$C$32, $C$9, 100%, $E$9)</f>
        <v>4.9150999999999998</v>
      </c>
      <c r="N176" s="11">
        <f>4.9098 * CHOOSE(CONTROL!$C$32, $C$9, 100%, $E$9)</f>
        <v>4.9097999999999997</v>
      </c>
      <c r="O176" s="11">
        <f>4.9151 * CHOOSE(CONTROL!$C$32, $C$9, 100%, $E$9)</f>
        <v>4.9150999999999998</v>
      </c>
    </row>
    <row r="177" spans="1:15" ht="15" x14ac:dyDescent="0.2">
      <c r="A177" s="13">
        <v>46235</v>
      </c>
      <c r="B177" s="9">
        <f>3.8573 * CHOOSE(CONTROL!$C$32, $C$9, 100%, $E$9)</f>
        <v>3.8573</v>
      </c>
      <c r="C177" s="9">
        <f>3.8573 * CHOOSE(CONTROL!$C$32, $C$9, 100%, $E$9)</f>
        <v>3.8573</v>
      </c>
      <c r="D177" s="9">
        <f>3.8589 * CHOOSE(CONTROL!$C$32, $C$9, 100%, $E$9)</f>
        <v>3.8589000000000002</v>
      </c>
      <c r="E177" s="11">
        <f>4.9142 * CHOOSE(CONTROL!$C$32, $C$9, 100%, $E$9)</f>
        <v>4.9142000000000001</v>
      </c>
      <c r="F177" s="11">
        <f>4.9142 * CHOOSE(CONTROL!$C$32, $C$9, 100%, $E$9)</f>
        <v>4.9142000000000001</v>
      </c>
      <c r="G177" s="11">
        <f>4.9195 * CHOOSE(CONTROL!$C$32, $C$9, 100%, $E$9)</f>
        <v>4.9195000000000002</v>
      </c>
      <c r="H177" s="11">
        <f>7.7843 * CHOOSE(CONTROL!$C$32, $C$9, 100%, $E$9)</f>
        <v>7.7843</v>
      </c>
      <c r="I177" s="11">
        <f>7.7896 * CHOOSE(CONTROL!$C$32, $C$9, 100%, $E$9)</f>
        <v>7.7896000000000001</v>
      </c>
      <c r="J177" s="11">
        <f>7.7843 * CHOOSE(CONTROL!$C$32, $C$9, 100%, $E$9)</f>
        <v>7.7843</v>
      </c>
      <c r="K177" s="11">
        <f>7.7896 * CHOOSE(CONTROL!$C$32, $C$9, 100%, $E$9)</f>
        <v>7.7896000000000001</v>
      </c>
      <c r="L177" s="11">
        <f>4.9142 * CHOOSE(CONTROL!$C$32, $C$9, 100%, $E$9)</f>
        <v>4.9142000000000001</v>
      </c>
      <c r="M177" s="11">
        <f>4.9195 * CHOOSE(CONTROL!$C$32, $C$9, 100%, $E$9)</f>
        <v>4.9195000000000002</v>
      </c>
      <c r="N177" s="11">
        <f>4.9142 * CHOOSE(CONTROL!$C$32, $C$9, 100%, $E$9)</f>
        <v>4.9142000000000001</v>
      </c>
      <c r="O177" s="11">
        <f>4.9195 * CHOOSE(CONTROL!$C$32, $C$9, 100%, $E$9)</f>
        <v>4.9195000000000002</v>
      </c>
    </row>
    <row r="178" spans="1:15" ht="15" x14ac:dyDescent="0.2">
      <c r="A178" s="13">
        <v>46266</v>
      </c>
      <c r="B178" s="9">
        <f>3.8543 * CHOOSE(CONTROL!$C$32, $C$9, 100%, $E$9)</f>
        <v>3.8542999999999998</v>
      </c>
      <c r="C178" s="9">
        <f>3.8543 * CHOOSE(CONTROL!$C$32, $C$9, 100%, $E$9)</f>
        <v>3.8542999999999998</v>
      </c>
      <c r="D178" s="9">
        <f>3.8558 * CHOOSE(CONTROL!$C$32, $C$9, 100%, $E$9)</f>
        <v>3.8557999999999999</v>
      </c>
      <c r="E178" s="11">
        <f>4.9122 * CHOOSE(CONTROL!$C$32, $C$9, 100%, $E$9)</f>
        <v>4.9122000000000003</v>
      </c>
      <c r="F178" s="11">
        <f>4.9122 * CHOOSE(CONTROL!$C$32, $C$9, 100%, $E$9)</f>
        <v>4.9122000000000003</v>
      </c>
      <c r="G178" s="11">
        <f>4.9175 * CHOOSE(CONTROL!$C$32, $C$9, 100%, $E$9)</f>
        <v>4.9175000000000004</v>
      </c>
      <c r="H178" s="11">
        <f>7.8005 * CHOOSE(CONTROL!$C$32, $C$9, 100%, $E$9)</f>
        <v>7.8005000000000004</v>
      </c>
      <c r="I178" s="11">
        <f>7.8058 * CHOOSE(CONTROL!$C$32, $C$9, 100%, $E$9)</f>
        <v>7.8057999999999996</v>
      </c>
      <c r="J178" s="11">
        <f>7.8005 * CHOOSE(CONTROL!$C$32, $C$9, 100%, $E$9)</f>
        <v>7.8005000000000004</v>
      </c>
      <c r="K178" s="11">
        <f>7.8058 * CHOOSE(CONTROL!$C$32, $C$9, 100%, $E$9)</f>
        <v>7.8057999999999996</v>
      </c>
      <c r="L178" s="11">
        <f>4.9122 * CHOOSE(CONTROL!$C$32, $C$9, 100%, $E$9)</f>
        <v>4.9122000000000003</v>
      </c>
      <c r="M178" s="11">
        <f>4.9175 * CHOOSE(CONTROL!$C$32, $C$9, 100%, $E$9)</f>
        <v>4.9175000000000004</v>
      </c>
      <c r="N178" s="11">
        <f>4.9122 * CHOOSE(CONTROL!$C$32, $C$9, 100%, $E$9)</f>
        <v>4.9122000000000003</v>
      </c>
      <c r="O178" s="11">
        <f>4.9175 * CHOOSE(CONTROL!$C$32, $C$9, 100%, $E$9)</f>
        <v>4.9175000000000004</v>
      </c>
    </row>
    <row r="179" spans="1:15" ht="15" x14ac:dyDescent="0.2">
      <c r="A179" s="13">
        <v>46296</v>
      </c>
      <c r="B179" s="9">
        <f>3.8489 * CHOOSE(CONTROL!$C$32, $C$9, 100%, $E$9)</f>
        <v>3.8489</v>
      </c>
      <c r="C179" s="9">
        <f>3.8489 * CHOOSE(CONTROL!$C$32, $C$9, 100%, $E$9)</f>
        <v>3.8489</v>
      </c>
      <c r="D179" s="9">
        <f>3.8499 * CHOOSE(CONTROL!$C$32, $C$9, 100%, $E$9)</f>
        <v>3.8498999999999999</v>
      </c>
      <c r="E179" s="11">
        <f>4.9067 * CHOOSE(CONTROL!$C$32, $C$9, 100%, $E$9)</f>
        <v>4.9066999999999998</v>
      </c>
      <c r="F179" s="11">
        <f>4.9067 * CHOOSE(CONTROL!$C$32, $C$9, 100%, $E$9)</f>
        <v>4.9066999999999998</v>
      </c>
      <c r="G179" s="11">
        <f>4.9103 * CHOOSE(CONTROL!$C$32, $C$9, 100%, $E$9)</f>
        <v>4.9103000000000003</v>
      </c>
      <c r="H179" s="11">
        <f>7.8168 * CHOOSE(CONTROL!$C$32, $C$9, 100%, $E$9)</f>
        <v>7.8167999999999997</v>
      </c>
      <c r="I179" s="11">
        <f>7.8204 * CHOOSE(CONTROL!$C$32, $C$9, 100%, $E$9)</f>
        <v>7.8204000000000002</v>
      </c>
      <c r="J179" s="11">
        <f>7.8168 * CHOOSE(CONTROL!$C$32, $C$9, 100%, $E$9)</f>
        <v>7.8167999999999997</v>
      </c>
      <c r="K179" s="11">
        <f>7.8204 * CHOOSE(CONTROL!$C$32, $C$9, 100%, $E$9)</f>
        <v>7.8204000000000002</v>
      </c>
      <c r="L179" s="11">
        <f>4.9067 * CHOOSE(CONTROL!$C$32, $C$9, 100%, $E$9)</f>
        <v>4.9066999999999998</v>
      </c>
      <c r="M179" s="11">
        <f>4.9103 * CHOOSE(CONTROL!$C$32, $C$9, 100%, $E$9)</f>
        <v>4.9103000000000003</v>
      </c>
      <c r="N179" s="11">
        <f>4.9067 * CHOOSE(CONTROL!$C$32, $C$9, 100%, $E$9)</f>
        <v>4.9066999999999998</v>
      </c>
      <c r="O179" s="11">
        <f>4.9103 * CHOOSE(CONTROL!$C$32, $C$9, 100%, $E$9)</f>
        <v>4.9103000000000003</v>
      </c>
    </row>
    <row r="180" spans="1:15" ht="15" x14ac:dyDescent="0.2">
      <c r="A180" s="13">
        <v>46327</v>
      </c>
      <c r="B180" s="9">
        <f>3.8519 * CHOOSE(CONTROL!$C$32, $C$9, 100%, $E$9)</f>
        <v>3.8519000000000001</v>
      </c>
      <c r="C180" s="9">
        <f>3.8519 * CHOOSE(CONTROL!$C$32, $C$9, 100%, $E$9)</f>
        <v>3.8519000000000001</v>
      </c>
      <c r="D180" s="9">
        <f>3.853 * CHOOSE(CONTROL!$C$32, $C$9, 100%, $E$9)</f>
        <v>3.8530000000000002</v>
      </c>
      <c r="E180" s="11">
        <f>4.9087 * CHOOSE(CONTROL!$C$32, $C$9, 100%, $E$9)</f>
        <v>4.9086999999999996</v>
      </c>
      <c r="F180" s="11">
        <f>4.9087 * CHOOSE(CONTROL!$C$32, $C$9, 100%, $E$9)</f>
        <v>4.9086999999999996</v>
      </c>
      <c r="G180" s="11">
        <f>4.9123 * CHOOSE(CONTROL!$C$32, $C$9, 100%, $E$9)</f>
        <v>4.9123000000000001</v>
      </c>
      <c r="H180" s="11">
        <f>7.8331 * CHOOSE(CONTROL!$C$32, $C$9, 100%, $E$9)</f>
        <v>7.8331</v>
      </c>
      <c r="I180" s="11">
        <f>7.8367 * CHOOSE(CONTROL!$C$32, $C$9, 100%, $E$9)</f>
        <v>7.8367000000000004</v>
      </c>
      <c r="J180" s="11">
        <f>7.8331 * CHOOSE(CONTROL!$C$32, $C$9, 100%, $E$9)</f>
        <v>7.8331</v>
      </c>
      <c r="K180" s="11">
        <f>7.8367 * CHOOSE(CONTROL!$C$32, $C$9, 100%, $E$9)</f>
        <v>7.8367000000000004</v>
      </c>
      <c r="L180" s="11">
        <f>4.9087 * CHOOSE(CONTROL!$C$32, $C$9, 100%, $E$9)</f>
        <v>4.9086999999999996</v>
      </c>
      <c r="M180" s="11">
        <f>4.9123 * CHOOSE(CONTROL!$C$32, $C$9, 100%, $E$9)</f>
        <v>4.9123000000000001</v>
      </c>
      <c r="N180" s="11">
        <f>4.9087 * CHOOSE(CONTROL!$C$32, $C$9, 100%, $E$9)</f>
        <v>4.9086999999999996</v>
      </c>
      <c r="O180" s="11">
        <f>4.9123 * CHOOSE(CONTROL!$C$32, $C$9, 100%, $E$9)</f>
        <v>4.9123000000000001</v>
      </c>
    </row>
    <row r="181" spans="1:15" ht="15" x14ac:dyDescent="0.2">
      <c r="A181" s="13">
        <v>46357</v>
      </c>
      <c r="B181" s="9">
        <f>3.8519 * CHOOSE(CONTROL!$C$32, $C$9, 100%, $E$9)</f>
        <v>3.8519000000000001</v>
      </c>
      <c r="C181" s="9">
        <f>3.8519 * CHOOSE(CONTROL!$C$32, $C$9, 100%, $E$9)</f>
        <v>3.8519000000000001</v>
      </c>
      <c r="D181" s="9">
        <f>3.853 * CHOOSE(CONTROL!$C$32, $C$9, 100%, $E$9)</f>
        <v>3.8530000000000002</v>
      </c>
      <c r="E181" s="11">
        <f>4.9087 * CHOOSE(CONTROL!$C$32, $C$9, 100%, $E$9)</f>
        <v>4.9086999999999996</v>
      </c>
      <c r="F181" s="11">
        <f>4.9087 * CHOOSE(CONTROL!$C$32, $C$9, 100%, $E$9)</f>
        <v>4.9086999999999996</v>
      </c>
      <c r="G181" s="11">
        <f>4.9123 * CHOOSE(CONTROL!$C$32, $C$9, 100%, $E$9)</f>
        <v>4.9123000000000001</v>
      </c>
      <c r="H181" s="11">
        <f>7.8494 * CHOOSE(CONTROL!$C$32, $C$9, 100%, $E$9)</f>
        <v>7.8494000000000002</v>
      </c>
      <c r="I181" s="11">
        <f>7.853 * CHOOSE(CONTROL!$C$32, $C$9, 100%, $E$9)</f>
        <v>7.8529999999999998</v>
      </c>
      <c r="J181" s="11">
        <f>7.8494 * CHOOSE(CONTROL!$C$32, $C$9, 100%, $E$9)</f>
        <v>7.8494000000000002</v>
      </c>
      <c r="K181" s="11">
        <f>7.853 * CHOOSE(CONTROL!$C$32, $C$9, 100%, $E$9)</f>
        <v>7.8529999999999998</v>
      </c>
      <c r="L181" s="11">
        <f>4.9087 * CHOOSE(CONTROL!$C$32, $C$9, 100%, $E$9)</f>
        <v>4.9086999999999996</v>
      </c>
      <c r="M181" s="11">
        <f>4.9123 * CHOOSE(CONTROL!$C$32, $C$9, 100%, $E$9)</f>
        <v>4.9123000000000001</v>
      </c>
      <c r="N181" s="11">
        <f>4.9087 * CHOOSE(CONTROL!$C$32, $C$9, 100%, $E$9)</f>
        <v>4.9086999999999996</v>
      </c>
      <c r="O181" s="11">
        <f>4.9123 * CHOOSE(CONTROL!$C$32, $C$9, 100%, $E$9)</f>
        <v>4.9123000000000001</v>
      </c>
    </row>
    <row r="182" spans="1:15" ht="15" x14ac:dyDescent="0.2">
      <c r="A182" s="13">
        <v>46388</v>
      </c>
      <c r="B182" s="9">
        <f>3.8871 * CHOOSE(CONTROL!$C$32, $C$9, 100%, $E$9)</f>
        <v>3.8871000000000002</v>
      </c>
      <c r="C182" s="9">
        <f>3.8871 * CHOOSE(CONTROL!$C$32, $C$9, 100%, $E$9)</f>
        <v>3.8871000000000002</v>
      </c>
      <c r="D182" s="9">
        <f>3.8882 * CHOOSE(CONTROL!$C$32, $C$9, 100%, $E$9)</f>
        <v>3.8881999999999999</v>
      </c>
      <c r="E182" s="11">
        <f>4.9479 * CHOOSE(CONTROL!$C$32, $C$9, 100%, $E$9)</f>
        <v>4.9478999999999997</v>
      </c>
      <c r="F182" s="11">
        <f>4.9479 * CHOOSE(CONTROL!$C$32, $C$9, 100%, $E$9)</f>
        <v>4.9478999999999997</v>
      </c>
      <c r="G182" s="11">
        <f>4.9515 * CHOOSE(CONTROL!$C$32, $C$9, 100%, $E$9)</f>
        <v>4.9515000000000002</v>
      </c>
      <c r="H182" s="11">
        <f>7.8657 * CHOOSE(CONTROL!$C$32, $C$9, 100%, $E$9)</f>
        <v>7.8657000000000004</v>
      </c>
      <c r="I182" s="11">
        <f>7.8694 * CHOOSE(CONTROL!$C$32, $C$9, 100%, $E$9)</f>
        <v>7.8693999999999997</v>
      </c>
      <c r="J182" s="11">
        <f>7.8657 * CHOOSE(CONTROL!$C$32, $C$9, 100%, $E$9)</f>
        <v>7.8657000000000004</v>
      </c>
      <c r="K182" s="11">
        <f>7.8694 * CHOOSE(CONTROL!$C$32, $C$9, 100%, $E$9)</f>
        <v>7.8693999999999997</v>
      </c>
      <c r="L182" s="11">
        <f>4.9479 * CHOOSE(CONTROL!$C$32, $C$9, 100%, $E$9)</f>
        <v>4.9478999999999997</v>
      </c>
      <c r="M182" s="11">
        <f>4.9515 * CHOOSE(CONTROL!$C$32, $C$9, 100%, $E$9)</f>
        <v>4.9515000000000002</v>
      </c>
      <c r="N182" s="11">
        <f>4.9479 * CHOOSE(CONTROL!$C$32, $C$9, 100%, $E$9)</f>
        <v>4.9478999999999997</v>
      </c>
      <c r="O182" s="11">
        <f>4.9515 * CHOOSE(CONTROL!$C$32, $C$9, 100%, $E$9)</f>
        <v>4.9515000000000002</v>
      </c>
    </row>
    <row r="183" spans="1:15" ht="15" x14ac:dyDescent="0.2">
      <c r="A183" s="13">
        <v>46419</v>
      </c>
      <c r="B183" s="9">
        <f>3.884 * CHOOSE(CONTROL!$C$32, $C$9, 100%, $E$9)</f>
        <v>3.8839999999999999</v>
      </c>
      <c r="C183" s="9">
        <f>3.884 * CHOOSE(CONTROL!$C$32, $C$9, 100%, $E$9)</f>
        <v>3.8839999999999999</v>
      </c>
      <c r="D183" s="9">
        <f>3.8851 * CHOOSE(CONTROL!$C$32, $C$9, 100%, $E$9)</f>
        <v>3.8851</v>
      </c>
      <c r="E183" s="11">
        <f>4.9459 * CHOOSE(CONTROL!$C$32, $C$9, 100%, $E$9)</f>
        <v>4.9459</v>
      </c>
      <c r="F183" s="11">
        <f>4.9459 * CHOOSE(CONTROL!$C$32, $C$9, 100%, $E$9)</f>
        <v>4.9459</v>
      </c>
      <c r="G183" s="11">
        <f>4.9495 * CHOOSE(CONTROL!$C$32, $C$9, 100%, $E$9)</f>
        <v>4.9494999999999996</v>
      </c>
      <c r="H183" s="11">
        <f>7.8821 * CHOOSE(CONTROL!$C$32, $C$9, 100%, $E$9)</f>
        <v>7.8821000000000003</v>
      </c>
      <c r="I183" s="11">
        <f>7.8857 * CHOOSE(CONTROL!$C$32, $C$9, 100%, $E$9)</f>
        <v>7.8856999999999999</v>
      </c>
      <c r="J183" s="11">
        <f>7.8821 * CHOOSE(CONTROL!$C$32, $C$9, 100%, $E$9)</f>
        <v>7.8821000000000003</v>
      </c>
      <c r="K183" s="11">
        <f>7.8857 * CHOOSE(CONTROL!$C$32, $C$9, 100%, $E$9)</f>
        <v>7.8856999999999999</v>
      </c>
      <c r="L183" s="11">
        <f>4.9459 * CHOOSE(CONTROL!$C$32, $C$9, 100%, $E$9)</f>
        <v>4.9459</v>
      </c>
      <c r="M183" s="11">
        <f>4.9495 * CHOOSE(CONTROL!$C$32, $C$9, 100%, $E$9)</f>
        <v>4.9494999999999996</v>
      </c>
      <c r="N183" s="11">
        <f>4.9459 * CHOOSE(CONTROL!$C$32, $C$9, 100%, $E$9)</f>
        <v>4.9459</v>
      </c>
      <c r="O183" s="11">
        <f>4.9495 * CHOOSE(CONTROL!$C$32, $C$9, 100%, $E$9)</f>
        <v>4.9494999999999996</v>
      </c>
    </row>
    <row r="184" spans="1:15" ht="15" x14ac:dyDescent="0.2">
      <c r="A184" s="13">
        <v>46447</v>
      </c>
      <c r="B184" s="9">
        <f>3.881 * CHOOSE(CONTROL!$C$32, $C$9, 100%, $E$9)</f>
        <v>3.8809999999999998</v>
      </c>
      <c r="C184" s="9">
        <f>3.881 * CHOOSE(CONTROL!$C$32, $C$9, 100%, $E$9)</f>
        <v>3.8809999999999998</v>
      </c>
      <c r="D184" s="9">
        <f>3.8821 * CHOOSE(CONTROL!$C$32, $C$9, 100%, $E$9)</f>
        <v>3.8820999999999999</v>
      </c>
      <c r="E184" s="11">
        <f>4.9439 * CHOOSE(CONTROL!$C$32, $C$9, 100%, $E$9)</f>
        <v>4.9439000000000002</v>
      </c>
      <c r="F184" s="11">
        <f>4.9439 * CHOOSE(CONTROL!$C$32, $C$9, 100%, $E$9)</f>
        <v>4.9439000000000002</v>
      </c>
      <c r="G184" s="11">
        <f>4.9475 * CHOOSE(CONTROL!$C$32, $C$9, 100%, $E$9)</f>
        <v>4.9474999999999998</v>
      </c>
      <c r="H184" s="11">
        <f>7.8985 * CHOOSE(CONTROL!$C$32, $C$9, 100%, $E$9)</f>
        <v>7.8985000000000003</v>
      </c>
      <c r="I184" s="11">
        <f>7.9022 * CHOOSE(CONTROL!$C$32, $C$9, 100%, $E$9)</f>
        <v>7.9021999999999997</v>
      </c>
      <c r="J184" s="11">
        <f>7.8985 * CHOOSE(CONTROL!$C$32, $C$9, 100%, $E$9)</f>
        <v>7.8985000000000003</v>
      </c>
      <c r="K184" s="11">
        <f>7.9022 * CHOOSE(CONTROL!$C$32, $C$9, 100%, $E$9)</f>
        <v>7.9021999999999997</v>
      </c>
      <c r="L184" s="11">
        <f>4.9439 * CHOOSE(CONTROL!$C$32, $C$9, 100%, $E$9)</f>
        <v>4.9439000000000002</v>
      </c>
      <c r="M184" s="11">
        <f>4.9475 * CHOOSE(CONTROL!$C$32, $C$9, 100%, $E$9)</f>
        <v>4.9474999999999998</v>
      </c>
      <c r="N184" s="11">
        <f>4.9439 * CHOOSE(CONTROL!$C$32, $C$9, 100%, $E$9)</f>
        <v>4.9439000000000002</v>
      </c>
      <c r="O184" s="11">
        <f>4.9475 * CHOOSE(CONTROL!$C$32, $C$9, 100%, $E$9)</f>
        <v>4.9474999999999998</v>
      </c>
    </row>
    <row r="185" spans="1:15" ht="15" x14ac:dyDescent="0.2">
      <c r="A185" s="13">
        <v>46478</v>
      </c>
      <c r="B185" s="9">
        <f>3.8786 * CHOOSE(CONTROL!$C$32, $C$9, 100%, $E$9)</f>
        <v>3.8786</v>
      </c>
      <c r="C185" s="9">
        <f>3.8786 * CHOOSE(CONTROL!$C$32, $C$9, 100%, $E$9)</f>
        <v>3.8786</v>
      </c>
      <c r="D185" s="9">
        <f>3.8796 * CHOOSE(CONTROL!$C$32, $C$9, 100%, $E$9)</f>
        <v>3.8795999999999999</v>
      </c>
      <c r="E185" s="11">
        <f>4.9418 * CHOOSE(CONTROL!$C$32, $C$9, 100%, $E$9)</f>
        <v>4.9417999999999997</v>
      </c>
      <c r="F185" s="11">
        <f>4.9418 * CHOOSE(CONTROL!$C$32, $C$9, 100%, $E$9)</f>
        <v>4.9417999999999997</v>
      </c>
      <c r="G185" s="11">
        <f>4.9454 * CHOOSE(CONTROL!$C$32, $C$9, 100%, $E$9)</f>
        <v>4.9454000000000002</v>
      </c>
      <c r="H185" s="11">
        <f>7.915 * CHOOSE(CONTROL!$C$32, $C$9, 100%, $E$9)</f>
        <v>7.915</v>
      </c>
      <c r="I185" s="11">
        <f>7.9186 * CHOOSE(CONTROL!$C$32, $C$9, 100%, $E$9)</f>
        <v>7.9185999999999996</v>
      </c>
      <c r="J185" s="11">
        <f>7.915 * CHOOSE(CONTROL!$C$32, $C$9, 100%, $E$9)</f>
        <v>7.915</v>
      </c>
      <c r="K185" s="11">
        <f>7.9186 * CHOOSE(CONTROL!$C$32, $C$9, 100%, $E$9)</f>
        <v>7.9185999999999996</v>
      </c>
      <c r="L185" s="11">
        <f>4.9418 * CHOOSE(CONTROL!$C$32, $C$9, 100%, $E$9)</f>
        <v>4.9417999999999997</v>
      </c>
      <c r="M185" s="11">
        <f>4.9454 * CHOOSE(CONTROL!$C$32, $C$9, 100%, $E$9)</f>
        <v>4.9454000000000002</v>
      </c>
      <c r="N185" s="11">
        <f>4.9418 * CHOOSE(CONTROL!$C$32, $C$9, 100%, $E$9)</f>
        <v>4.9417999999999997</v>
      </c>
      <c r="O185" s="11">
        <f>4.9454 * CHOOSE(CONTROL!$C$32, $C$9, 100%, $E$9)</f>
        <v>4.9454000000000002</v>
      </c>
    </row>
    <row r="186" spans="1:15" ht="15" x14ac:dyDescent="0.2">
      <c r="A186" s="13">
        <v>46508</v>
      </c>
      <c r="B186" s="9">
        <f>3.8786 * CHOOSE(CONTROL!$C$32, $C$9, 100%, $E$9)</f>
        <v>3.8786</v>
      </c>
      <c r="C186" s="9">
        <f>3.8786 * CHOOSE(CONTROL!$C$32, $C$9, 100%, $E$9)</f>
        <v>3.8786</v>
      </c>
      <c r="D186" s="9">
        <f>3.8801 * CHOOSE(CONTROL!$C$32, $C$9, 100%, $E$9)</f>
        <v>3.8801000000000001</v>
      </c>
      <c r="E186" s="11">
        <f>4.9418 * CHOOSE(CONTROL!$C$32, $C$9, 100%, $E$9)</f>
        <v>4.9417999999999997</v>
      </c>
      <c r="F186" s="11">
        <f>4.9418 * CHOOSE(CONTROL!$C$32, $C$9, 100%, $E$9)</f>
        <v>4.9417999999999997</v>
      </c>
      <c r="G186" s="11">
        <f>4.9471 * CHOOSE(CONTROL!$C$32, $C$9, 100%, $E$9)</f>
        <v>4.9470999999999998</v>
      </c>
      <c r="H186" s="11">
        <f>7.9315 * CHOOSE(CONTROL!$C$32, $C$9, 100%, $E$9)</f>
        <v>7.9314999999999998</v>
      </c>
      <c r="I186" s="11">
        <f>7.9368 * CHOOSE(CONTROL!$C$32, $C$9, 100%, $E$9)</f>
        <v>7.9367999999999999</v>
      </c>
      <c r="J186" s="11">
        <f>7.9315 * CHOOSE(CONTROL!$C$32, $C$9, 100%, $E$9)</f>
        <v>7.9314999999999998</v>
      </c>
      <c r="K186" s="11">
        <f>7.9368 * CHOOSE(CONTROL!$C$32, $C$9, 100%, $E$9)</f>
        <v>7.9367999999999999</v>
      </c>
      <c r="L186" s="11">
        <f>4.9418 * CHOOSE(CONTROL!$C$32, $C$9, 100%, $E$9)</f>
        <v>4.9417999999999997</v>
      </c>
      <c r="M186" s="11">
        <f>4.9471 * CHOOSE(CONTROL!$C$32, $C$9, 100%, $E$9)</f>
        <v>4.9470999999999998</v>
      </c>
      <c r="N186" s="11">
        <f>4.9418 * CHOOSE(CONTROL!$C$32, $C$9, 100%, $E$9)</f>
        <v>4.9417999999999997</v>
      </c>
      <c r="O186" s="11">
        <f>4.9471 * CHOOSE(CONTROL!$C$32, $C$9, 100%, $E$9)</f>
        <v>4.9470999999999998</v>
      </c>
    </row>
    <row r="187" spans="1:15" ht="15" x14ac:dyDescent="0.2">
      <c r="A187" s="13">
        <v>46539</v>
      </c>
      <c r="B187" s="9">
        <f>3.8846 * CHOOSE(CONTROL!$C$32, $C$9, 100%, $E$9)</f>
        <v>3.8845999999999998</v>
      </c>
      <c r="C187" s="9">
        <f>3.8846 * CHOOSE(CONTROL!$C$32, $C$9, 100%, $E$9)</f>
        <v>3.8845999999999998</v>
      </c>
      <c r="D187" s="9">
        <f>3.8862 * CHOOSE(CONTROL!$C$32, $C$9, 100%, $E$9)</f>
        <v>3.8862000000000001</v>
      </c>
      <c r="E187" s="11">
        <f>4.9458 * CHOOSE(CONTROL!$C$32, $C$9, 100%, $E$9)</f>
        <v>4.9458000000000002</v>
      </c>
      <c r="F187" s="11">
        <f>4.9458 * CHOOSE(CONTROL!$C$32, $C$9, 100%, $E$9)</f>
        <v>4.9458000000000002</v>
      </c>
      <c r="G187" s="11">
        <f>4.9511 * CHOOSE(CONTROL!$C$32, $C$9, 100%, $E$9)</f>
        <v>4.9511000000000003</v>
      </c>
      <c r="H187" s="11">
        <f>7.948 * CHOOSE(CONTROL!$C$32, $C$9, 100%, $E$9)</f>
        <v>7.9480000000000004</v>
      </c>
      <c r="I187" s="11">
        <f>7.9533 * CHOOSE(CONTROL!$C$32, $C$9, 100%, $E$9)</f>
        <v>7.9532999999999996</v>
      </c>
      <c r="J187" s="11">
        <f>7.948 * CHOOSE(CONTROL!$C$32, $C$9, 100%, $E$9)</f>
        <v>7.9480000000000004</v>
      </c>
      <c r="K187" s="11">
        <f>7.9533 * CHOOSE(CONTROL!$C$32, $C$9, 100%, $E$9)</f>
        <v>7.9532999999999996</v>
      </c>
      <c r="L187" s="11">
        <f>4.9458 * CHOOSE(CONTROL!$C$32, $C$9, 100%, $E$9)</f>
        <v>4.9458000000000002</v>
      </c>
      <c r="M187" s="11">
        <f>4.9511 * CHOOSE(CONTROL!$C$32, $C$9, 100%, $E$9)</f>
        <v>4.9511000000000003</v>
      </c>
      <c r="N187" s="11">
        <f>4.9458 * CHOOSE(CONTROL!$C$32, $C$9, 100%, $E$9)</f>
        <v>4.9458000000000002</v>
      </c>
      <c r="O187" s="11">
        <f>4.9511 * CHOOSE(CONTROL!$C$32, $C$9, 100%, $E$9)</f>
        <v>4.9511000000000003</v>
      </c>
    </row>
    <row r="188" spans="1:15" ht="15" x14ac:dyDescent="0.2">
      <c r="A188" s="13">
        <v>46569</v>
      </c>
      <c r="B188" s="9">
        <f>3.951 * CHOOSE(CONTROL!$C$32, $C$9, 100%, $E$9)</f>
        <v>3.9510000000000001</v>
      </c>
      <c r="C188" s="9">
        <f>3.951 * CHOOSE(CONTROL!$C$32, $C$9, 100%, $E$9)</f>
        <v>3.9510000000000001</v>
      </c>
      <c r="D188" s="9">
        <f>3.9526 * CHOOSE(CONTROL!$C$32, $C$9, 100%, $E$9)</f>
        <v>3.9525999999999999</v>
      </c>
      <c r="E188" s="11">
        <f>5.0318 * CHOOSE(CONTROL!$C$32, $C$9, 100%, $E$9)</f>
        <v>5.0317999999999996</v>
      </c>
      <c r="F188" s="11">
        <f>5.0318 * CHOOSE(CONTROL!$C$32, $C$9, 100%, $E$9)</f>
        <v>5.0317999999999996</v>
      </c>
      <c r="G188" s="11">
        <f>5.0371 * CHOOSE(CONTROL!$C$32, $C$9, 100%, $E$9)</f>
        <v>5.0370999999999997</v>
      </c>
      <c r="H188" s="11">
        <f>7.9646 * CHOOSE(CONTROL!$C$32, $C$9, 100%, $E$9)</f>
        <v>7.9645999999999999</v>
      </c>
      <c r="I188" s="11">
        <f>7.9699 * CHOOSE(CONTROL!$C$32, $C$9, 100%, $E$9)</f>
        <v>7.9699</v>
      </c>
      <c r="J188" s="11">
        <f>7.9646 * CHOOSE(CONTROL!$C$32, $C$9, 100%, $E$9)</f>
        <v>7.9645999999999999</v>
      </c>
      <c r="K188" s="11">
        <f>7.9699 * CHOOSE(CONTROL!$C$32, $C$9, 100%, $E$9)</f>
        <v>7.9699</v>
      </c>
      <c r="L188" s="11">
        <f>5.0318 * CHOOSE(CONTROL!$C$32, $C$9, 100%, $E$9)</f>
        <v>5.0317999999999996</v>
      </c>
      <c r="M188" s="11">
        <f>5.0371 * CHOOSE(CONTROL!$C$32, $C$9, 100%, $E$9)</f>
        <v>5.0370999999999997</v>
      </c>
      <c r="N188" s="11">
        <f>5.0318 * CHOOSE(CONTROL!$C$32, $C$9, 100%, $E$9)</f>
        <v>5.0317999999999996</v>
      </c>
      <c r="O188" s="11">
        <f>5.0371 * CHOOSE(CONTROL!$C$32, $C$9, 100%, $E$9)</f>
        <v>5.0370999999999997</v>
      </c>
    </row>
    <row r="189" spans="1:15" ht="15" x14ac:dyDescent="0.2">
      <c r="A189" s="13">
        <v>46600</v>
      </c>
      <c r="B189" s="9">
        <f>3.9577 * CHOOSE(CONTROL!$C$32, $C$9, 100%, $E$9)</f>
        <v>3.9577</v>
      </c>
      <c r="C189" s="9">
        <f>3.9577 * CHOOSE(CONTROL!$C$32, $C$9, 100%, $E$9)</f>
        <v>3.9577</v>
      </c>
      <c r="D189" s="9">
        <f>3.9592 * CHOOSE(CONTROL!$C$32, $C$9, 100%, $E$9)</f>
        <v>3.9592000000000001</v>
      </c>
      <c r="E189" s="11">
        <f>5.0362 * CHOOSE(CONTROL!$C$32, $C$9, 100%, $E$9)</f>
        <v>5.0362</v>
      </c>
      <c r="F189" s="11">
        <f>5.0362 * CHOOSE(CONTROL!$C$32, $C$9, 100%, $E$9)</f>
        <v>5.0362</v>
      </c>
      <c r="G189" s="11">
        <f>5.0415 * CHOOSE(CONTROL!$C$32, $C$9, 100%, $E$9)</f>
        <v>5.0415000000000001</v>
      </c>
      <c r="H189" s="11">
        <f>7.9812 * CHOOSE(CONTROL!$C$32, $C$9, 100%, $E$9)</f>
        <v>7.9812000000000003</v>
      </c>
      <c r="I189" s="11">
        <f>7.9865 * CHOOSE(CONTROL!$C$32, $C$9, 100%, $E$9)</f>
        <v>7.9865000000000004</v>
      </c>
      <c r="J189" s="11">
        <f>7.9812 * CHOOSE(CONTROL!$C$32, $C$9, 100%, $E$9)</f>
        <v>7.9812000000000003</v>
      </c>
      <c r="K189" s="11">
        <f>7.9865 * CHOOSE(CONTROL!$C$32, $C$9, 100%, $E$9)</f>
        <v>7.9865000000000004</v>
      </c>
      <c r="L189" s="11">
        <f>5.0362 * CHOOSE(CONTROL!$C$32, $C$9, 100%, $E$9)</f>
        <v>5.0362</v>
      </c>
      <c r="M189" s="11">
        <f>5.0415 * CHOOSE(CONTROL!$C$32, $C$9, 100%, $E$9)</f>
        <v>5.0415000000000001</v>
      </c>
      <c r="N189" s="11">
        <f>5.0362 * CHOOSE(CONTROL!$C$32, $C$9, 100%, $E$9)</f>
        <v>5.0362</v>
      </c>
      <c r="O189" s="11">
        <f>5.0415 * CHOOSE(CONTROL!$C$32, $C$9, 100%, $E$9)</f>
        <v>5.0415000000000001</v>
      </c>
    </row>
    <row r="190" spans="1:15" ht="15" x14ac:dyDescent="0.2">
      <c r="A190" s="13">
        <v>46631</v>
      </c>
      <c r="B190" s="9">
        <f>3.9546 * CHOOSE(CONTROL!$C$32, $C$9, 100%, $E$9)</f>
        <v>3.9546000000000001</v>
      </c>
      <c r="C190" s="9">
        <f>3.9546 * CHOOSE(CONTROL!$C$32, $C$9, 100%, $E$9)</f>
        <v>3.9546000000000001</v>
      </c>
      <c r="D190" s="9">
        <f>3.9562 * CHOOSE(CONTROL!$C$32, $C$9, 100%, $E$9)</f>
        <v>3.9561999999999999</v>
      </c>
      <c r="E190" s="11">
        <f>5.0342 * CHOOSE(CONTROL!$C$32, $C$9, 100%, $E$9)</f>
        <v>5.0342000000000002</v>
      </c>
      <c r="F190" s="11">
        <f>5.0342 * CHOOSE(CONTROL!$C$32, $C$9, 100%, $E$9)</f>
        <v>5.0342000000000002</v>
      </c>
      <c r="G190" s="11">
        <f>5.0395 * CHOOSE(CONTROL!$C$32, $C$9, 100%, $E$9)</f>
        <v>5.0395000000000003</v>
      </c>
      <c r="H190" s="11">
        <f>7.9978 * CHOOSE(CONTROL!$C$32, $C$9, 100%, $E$9)</f>
        <v>7.9977999999999998</v>
      </c>
      <c r="I190" s="11">
        <f>8.0031 * CHOOSE(CONTROL!$C$32, $C$9, 100%, $E$9)</f>
        <v>8.0030999999999999</v>
      </c>
      <c r="J190" s="11">
        <f>7.9978 * CHOOSE(CONTROL!$C$32, $C$9, 100%, $E$9)</f>
        <v>7.9977999999999998</v>
      </c>
      <c r="K190" s="11">
        <f>8.0031 * CHOOSE(CONTROL!$C$32, $C$9, 100%, $E$9)</f>
        <v>8.0030999999999999</v>
      </c>
      <c r="L190" s="11">
        <f>5.0342 * CHOOSE(CONTROL!$C$32, $C$9, 100%, $E$9)</f>
        <v>5.0342000000000002</v>
      </c>
      <c r="M190" s="11">
        <f>5.0395 * CHOOSE(CONTROL!$C$32, $C$9, 100%, $E$9)</f>
        <v>5.0395000000000003</v>
      </c>
      <c r="N190" s="11">
        <f>5.0342 * CHOOSE(CONTROL!$C$32, $C$9, 100%, $E$9)</f>
        <v>5.0342000000000002</v>
      </c>
      <c r="O190" s="11">
        <f>5.0395 * CHOOSE(CONTROL!$C$32, $C$9, 100%, $E$9)</f>
        <v>5.0395000000000003</v>
      </c>
    </row>
    <row r="191" spans="1:15" ht="15" x14ac:dyDescent="0.2">
      <c r="A191" s="13">
        <v>46661</v>
      </c>
      <c r="B191" s="9">
        <f>3.9496 * CHOOSE(CONTROL!$C$32, $C$9, 100%, $E$9)</f>
        <v>3.9496000000000002</v>
      </c>
      <c r="C191" s="9">
        <f>3.9496 * CHOOSE(CONTROL!$C$32, $C$9, 100%, $E$9)</f>
        <v>3.9496000000000002</v>
      </c>
      <c r="D191" s="9">
        <f>3.9506 * CHOOSE(CONTROL!$C$32, $C$9, 100%, $E$9)</f>
        <v>3.9506000000000001</v>
      </c>
      <c r="E191" s="11">
        <f>5.0288 * CHOOSE(CONTROL!$C$32, $C$9, 100%, $E$9)</f>
        <v>5.0288000000000004</v>
      </c>
      <c r="F191" s="11">
        <f>5.0288 * CHOOSE(CONTROL!$C$32, $C$9, 100%, $E$9)</f>
        <v>5.0288000000000004</v>
      </c>
      <c r="G191" s="11">
        <f>5.0324 * CHOOSE(CONTROL!$C$32, $C$9, 100%, $E$9)</f>
        <v>5.0324</v>
      </c>
      <c r="H191" s="11">
        <f>8.0145 * CHOOSE(CONTROL!$C$32, $C$9, 100%, $E$9)</f>
        <v>8.0145</v>
      </c>
      <c r="I191" s="11">
        <f>8.0181 * CHOOSE(CONTROL!$C$32, $C$9, 100%, $E$9)</f>
        <v>8.0181000000000004</v>
      </c>
      <c r="J191" s="11">
        <f>8.0145 * CHOOSE(CONTROL!$C$32, $C$9, 100%, $E$9)</f>
        <v>8.0145</v>
      </c>
      <c r="K191" s="11">
        <f>8.0181 * CHOOSE(CONTROL!$C$32, $C$9, 100%, $E$9)</f>
        <v>8.0181000000000004</v>
      </c>
      <c r="L191" s="11">
        <f>5.0288 * CHOOSE(CONTROL!$C$32, $C$9, 100%, $E$9)</f>
        <v>5.0288000000000004</v>
      </c>
      <c r="M191" s="11">
        <f>5.0324 * CHOOSE(CONTROL!$C$32, $C$9, 100%, $E$9)</f>
        <v>5.0324</v>
      </c>
      <c r="N191" s="11">
        <f>5.0288 * CHOOSE(CONTROL!$C$32, $C$9, 100%, $E$9)</f>
        <v>5.0288000000000004</v>
      </c>
      <c r="O191" s="11">
        <f>5.0324 * CHOOSE(CONTROL!$C$32, $C$9, 100%, $E$9)</f>
        <v>5.0324</v>
      </c>
    </row>
    <row r="192" spans="1:15" ht="15" x14ac:dyDescent="0.2">
      <c r="A192" s="13">
        <v>46692</v>
      </c>
      <c r="B192" s="9">
        <f>3.9526 * CHOOSE(CONTROL!$C$32, $C$9, 100%, $E$9)</f>
        <v>3.9525999999999999</v>
      </c>
      <c r="C192" s="9">
        <f>3.9526 * CHOOSE(CONTROL!$C$32, $C$9, 100%, $E$9)</f>
        <v>3.9525999999999999</v>
      </c>
      <c r="D192" s="9">
        <f>3.9537 * CHOOSE(CONTROL!$C$32, $C$9, 100%, $E$9)</f>
        <v>3.9537</v>
      </c>
      <c r="E192" s="11">
        <f>5.0308 * CHOOSE(CONTROL!$C$32, $C$9, 100%, $E$9)</f>
        <v>5.0308000000000002</v>
      </c>
      <c r="F192" s="11">
        <f>5.0308 * CHOOSE(CONTROL!$C$32, $C$9, 100%, $E$9)</f>
        <v>5.0308000000000002</v>
      </c>
      <c r="G192" s="11">
        <f>5.0344 * CHOOSE(CONTROL!$C$32, $C$9, 100%, $E$9)</f>
        <v>5.0343999999999998</v>
      </c>
      <c r="H192" s="11">
        <f>8.0311 * CHOOSE(CONTROL!$C$32, $C$9, 100%, $E$9)</f>
        <v>8.0311000000000003</v>
      </c>
      <c r="I192" s="11">
        <f>8.0348 * CHOOSE(CONTROL!$C$32, $C$9, 100%, $E$9)</f>
        <v>8.0348000000000006</v>
      </c>
      <c r="J192" s="11">
        <f>8.0311 * CHOOSE(CONTROL!$C$32, $C$9, 100%, $E$9)</f>
        <v>8.0311000000000003</v>
      </c>
      <c r="K192" s="11">
        <f>8.0348 * CHOOSE(CONTROL!$C$32, $C$9, 100%, $E$9)</f>
        <v>8.0348000000000006</v>
      </c>
      <c r="L192" s="11">
        <f>5.0308 * CHOOSE(CONTROL!$C$32, $C$9, 100%, $E$9)</f>
        <v>5.0308000000000002</v>
      </c>
      <c r="M192" s="11">
        <f>5.0344 * CHOOSE(CONTROL!$C$32, $C$9, 100%, $E$9)</f>
        <v>5.0343999999999998</v>
      </c>
      <c r="N192" s="11">
        <f>5.0308 * CHOOSE(CONTROL!$C$32, $C$9, 100%, $E$9)</f>
        <v>5.0308000000000002</v>
      </c>
      <c r="O192" s="11">
        <f>5.0344 * CHOOSE(CONTROL!$C$32, $C$9, 100%, $E$9)</f>
        <v>5.0343999999999998</v>
      </c>
    </row>
    <row r="193" spans="1:15" ht="15" x14ac:dyDescent="0.2">
      <c r="A193" s="13">
        <v>46722</v>
      </c>
      <c r="B193" s="9">
        <f>3.9526 * CHOOSE(CONTROL!$C$32, $C$9, 100%, $E$9)</f>
        <v>3.9525999999999999</v>
      </c>
      <c r="C193" s="9">
        <f>3.9526 * CHOOSE(CONTROL!$C$32, $C$9, 100%, $E$9)</f>
        <v>3.9525999999999999</v>
      </c>
      <c r="D193" s="9">
        <f>3.9537 * CHOOSE(CONTROL!$C$32, $C$9, 100%, $E$9)</f>
        <v>3.9537</v>
      </c>
      <c r="E193" s="11">
        <f>5.0308 * CHOOSE(CONTROL!$C$32, $C$9, 100%, $E$9)</f>
        <v>5.0308000000000002</v>
      </c>
      <c r="F193" s="11">
        <f>5.0308 * CHOOSE(CONTROL!$C$32, $C$9, 100%, $E$9)</f>
        <v>5.0308000000000002</v>
      </c>
      <c r="G193" s="11">
        <f>5.0344 * CHOOSE(CONTROL!$C$32, $C$9, 100%, $E$9)</f>
        <v>5.0343999999999998</v>
      </c>
      <c r="H193" s="11">
        <f>8.0479 * CHOOSE(CONTROL!$C$32, $C$9, 100%, $E$9)</f>
        <v>8.0479000000000003</v>
      </c>
      <c r="I193" s="11">
        <f>8.0515 * CHOOSE(CONTROL!$C$32, $C$9, 100%, $E$9)</f>
        <v>8.0515000000000008</v>
      </c>
      <c r="J193" s="11">
        <f>8.0479 * CHOOSE(CONTROL!$C$32, $C$9, 100%, $E$9)</f>
        <v>8.0479000000000003</v>
      </c>
      <c r="K193" s="11">
        <f>8.0515 * CHOOSE(CONTROL!$C$32, $C$9, 100%, $E$9)</f>
        <v>8.0515000000000008</v>
      </c>
      <c r="L193" s="11">
        <f>5.0308 * CHOOSE(CONTROL!$C$32, $C$9, 100%, $E$9)</f>
        <v>5.0308000000000002</v>
      </c>
      <c r="M193" s="11">
        <f>5.0344 * CHOOSE(CONTROL!$C$32, $C$9, 100%, $E$9)</f>
        <v>5.0343999999999998</v>
      </c>
      <c r="N193" s="11">
        <f>5.0308 * CHOOSE(CONTROL!$C$32, $C$9, 100%, $E$9)</f>
        <v>5.0308000000000002</v>
      </c>
      <c r="O193" s="11">
        <f>5.0344 * CHOOSE(CONTROL!$C$32, $C$9, 100%, $E$9)</f>
        <v>5.0343999999999998</v>
      </c>
    </row>
    <row r="194" spans="1:15" ht="15" x14ac:dyDescent="0.2">
      <c r="A194" s="13">
        <v>46753</v>
      </c>
      <c r="B194" s="9">
        <f>3.9901 * CHOOSE(CONTROL!$C$32, $C$9, 100%, $E$9)</f>
        <v>3.9901</v>
      </c>
      <c r="C194" s="9">
        <f>3.9901 * CHOOSE(CONTROL!$C$32, $C$9, 100%, $E$9)</f>
        <v>3.9901</v>
      </c>
      <c r="D194" s="9">
        <f>3.9912 * CHOOSE(CONTROL!$C$32, $C$9, 100%, $E$9)</f>
        <v>3.9912000000000001</v>
      </c>
      <c r="E194" s="11">
        <f>5.0753 * CHOOSE(CONTROL!$C$32, $C$9, 100%, $E$9)</f>
        <v>5.0753000000000004</v>
      </c>
      <c r="F194" s="11">
        <f>5.0753 * CHOOSE(CONTROL!$C$32, $C$9, 100%, $E$9)</f>
        <v>5.0753000000000004</v>
      </c>
      <c r="G194" s="11">
        <f>5.0789 * CHOOSE(CONTROL!$C$32, $C$9, 100%, $E$9)</f>
        <v>5.0789</v>
      </c>
      <c r="H194" s="11">
        <f>8.0646 * CHOOSE(CONTROL!$C$32, $C$9, 100%, $E$9)</f>
        <v>8.0646000000000004</v>
      </c>
      <c r="I194" s="11">
        <f>8.0683 * CHOOSE(CONTROL!$C$32, $C$9, 100%, $E$9)</f>
        <v>8.0683000000000007</v>
      </c>
      <c r="J194" s="11">
        <f>8.0646 * CHOOSE(CONTROL!$C$32, $C$9, 100%, $E$9)</f>
        <v>8.0646000000000004</v>
      </c>
      <c r="K194" s="11">
        <f>8.0683 * CHOOSE(CONTROL!$C$32, $C$9, 100%, $E$9)</f>
        <v>8.0683000000000007</v>
      </c>
      <c r="L194" s="11">
        <f>5.0753 * CHOOSE(CONTROL!$C$32, $C$9, 100%, $E$9)</f>
        <v>5.0753000000000004</v>
      </c>
      <c r="M194" s="11">
        <f>5.0789 * CHOOSE(CONTROL!$C$32, $C$9, 100%, $E$9)</f>
        <v>5.0789</v>
      </c>
      <c r="N194" s="11">
        <f>5.0753 * CHOOSE(CONTROL!$C$32, $C$9, 100%, $E$9)</f>
        <v>5.0753000000000004</v>
      </c>
      <c r="O194" s="11">
        <f>5.0789 * CHOOSE(CONTROL!$C$32, $C$9, 100%, $E$9)</f>
        <v>5.0789</v>
      </c>
    </row>
    <row r="195" spans="1:15" ht="15" x14ac:dyDescent="0.2">
      <c r="A195" s="13">
        <v>46784</v>
      </c>
      <c r="B195" s="9">
        <f>3.9871 * CHOOSE(CONTROL!$C$32, $C$9, 100%, $E$9)</f>
        <v>3.9870999999999999</v>
      </c>
      <c r="C195" s="9">
        <f>3.9871 * CHOOSE(CONTROL!$C$32, $C$9, 100%, $E$9)</f>
        <v>3.9870999999999999</v>
      </c>
      <c r="D195" s="9">
        <f>3.9882 * CHOOSE(CONTROL!$C$32, $C$9, 100%, $E$9)</f>
        <v>3.9882</v>
      </c>
      <c r="E195" s="11">
        <f>5.0733 * CHOOSE(CONTROL!$C$32, $C$9, 100%, $E$9)</f>
        <v>5.0732999999999997</v>
      </c>
      <c r="F195" s="11">
        <f>5.0733 * CHOOSE(CONTROL!$C$32, $C$9, 100%, $E$9)</f>
        <v>5.0732999999999997</v>
      </c>
      <c r="G195" s="11">
        <f>5.0769 * CHOOSE(CONTROL!$C$32, $C$9, 100%, $E$9)</f>
        <v>5.0769000000000002</v>
      </c>
      <c r="H195" s="11">
        <f>8.0814 * CHOOSE(CONTROL!$C$32, $C$9, 100%, $E$9)</f>
        <v>8.0814000000000004</v>
      </c>
      <c r="I195" s="11">
        <f>8.0851 * CHOOSE(CONTROL!$C$32, $C$9, 100%, $E$9)</f>
        <v>8.0851000000000006</v>
      </c>
      <c r="J195" s="11">
        <f>8.0814 * CHOOSE(CONTROL!$C$32, $C$9, 100%, $E$9)</f>
        <v>8.0814000000000004</v>
      </c>
      <c r="K195" s="11">
        <f>8.0851 * CHOOSE(CONTROL!$C$32, $C$9, 100%, $E$9)</f>
        <v>8.0851000000000006</v>
      </c>
      <c r="L195" s="11">
        <f>5.0733 * CHOOSE(CONTROL!$C$32, $C$9, 100%, $E$9)</f>
        <v>5.0732999999999997</v>
      </c>
      <c r="M195" s="11">
        <f>5.0769 * CHOOSE(CONTROL!$C$32, $C$9, 100%, $E$9)</f>
        <v>5.0769000000000002</v>
      </c>
      <c r="N195" s="11">
        <f>5.0733 * CHOOSE(CONTROL!$C$32, $C$9, 100%, $E$9)</f>
        <v>5.0732999999999997</v>
      </c>
      <c r="O195" s="11">
        <f>5.0769 * CHOOSE(CONTROL!$C$32, $C$9, 100%, $E$9)</f>
        <v>5.0769000000000002</v>
      </c>
    </row>
    <row r="196" spans="1:15" ht="15" x14ac:dyDescent="0.2">
      <c r="A196" s="13">
        <v>46813</v>
      </c>
      <c r="B196" s="9">
        <f>3.984 * CHOOSE(CONTROL!$C$32, $C$9, 100%, $E$9)</f>
        <v>3.984</v>
      </c>
      <c r="C196" s="9">
        <f>3.984 * CHOOSE(CONTROL!$C$32, $C$9, 100%, $E$9)</f>
        <v>3.984</v>
      </c>
      <c r="D196" s="9">
        <f>3.9851 * CHOOSE(CONTROL!$C$32, $C$9, 100%, $E$9)</f>
        <v>3.9851000000000001</v>
      </c>
      <c r="E196" s="11">
        <f>5.0713 * CHOOSE(CONTROL!$C$32, $C$9, 100%, $E$9)</f>
        <v>5.0712999999999999</v>
      </c>
      <c r="F196" s="11">
        <f>5.0713 * CHOOSE(CONTROL!$C$32, $C$9, 100%, $E$9)</f>
        <v>5.0712999999999999</v>
      </c>
      <c r="G196" s="11">
        <f>5.0749 * CHOOSE(CONTROL!$C$32, $C$9, 100%, $E$9)</f>
        <v>5.0749000000000004</v>
      </c>
      <c r="H196" s="11">
        <f>8.0983 * CHOOSE(CONTROL!$C$32, $C$9, 100%, $E$9)</f>
        <v>8.0983000000000001</v>
      </c>
      <c r="I196" s="11">
        <f>8.1019 * CHOOSE(CONTROL!$C$32, $C$9, 100%, $E$9)</f>
        <v>8.1019000000000005</v>
      </c>
      <c r="J196" s="11">
        <f>8.0983 * CHOOSE(CONTROL!$C$32, $C$9, 100%, $E$9)</f>
        <v>8.0983000000000001</v>
      </c>
      <c r="K196" s="11">
        <f>8.1019 * CHOOSE(CONTROL!$C$32, $C$9, 100%, $E$9)</f>
        <v>8.1019000000000005</v>
      </c>
      <c r="L196" s="11">
        <f>5.0713 * CHOOSE(CONTROL!$C$32, $C$9, 100%, $E$9)</f>
        <v>5.0712999999999999</v>
      </c>
      <c r="M196" s="11">
        <f>5.0749 * CHOOSE(CONTROL!$C$32, $C$9, 100%, $E$9)</f>
        <v>5.0749000000000004</v>
      </c>
      <c r="N196" s="11">
        <f>5.0713 * CHOOSE(CONTROL!$C$32, $C$9, 100%, $E$9)</f>
        <v>5.0712999999999999</v>
      </c>
      <c r="O196" s="11">
        <f>5.0749 * CHOOSE(CONTROL!$C$32, $C$9, 100%, $E$9)</f>
        <v>5.0749000000000004</v>
      </c>
    </row>
    <row r="197" spans="1:15" ht="15" x14ac:dyDescent="0.2">
      <c r="A197" s="13">
        <v>46844</v>
      </c>
      <c r="B197" s="9">
        <f>3.9817 * CHOOSE(CONTROL!$C$32, $C$9, 100%, $E$9)</f>
        <v>3.9817</v>
      </c>
      <c r="C197" s="9">
        <f>3.9817 * CHOOSE(CONTROL!$C$32, $C$9, 100%, $E$9)</f>
        <v>3.9817</v>
      </c>
      <c r="D197" s="9">
        <f>3.9828 * CHOOSE(CONTROL!$C$32, $C$9, 100%, $E$9)</f>
        <v>3.9828000000000001</v>
      </c>
      <c r="E197" s="11">
        <f>5.0692 * CHOOSE(CONTROL!$C$32, $C$9, 100%, $E$9)</f>
        <v>5.0692000000000004</v>
      </c>
      <c r="F197" s="11">
        <f>5.0692 * CHOOSE(CONTROL!$C$32, $C$9, 100%, $E$9)</f>
        <v>5.0692000000000004</v>
      </c>
      <c r="G197" s="11">
        <f>5.0728 * CHOOSE(CONTROL!$C$32, $C$9, 100%, $E$9)</f>
        <v>5.0728</v>
      </c>
      <c r="H197" s="11">
        <f>8.1152 * CHOOSE(CONTROL!$C$32, $C$9, 100%, $E$9)</f>
        <v>8.1151999999999997</v>
      </c>
      <c r="I197" s="11">
        <f>8.1188 * CHOOSE(CONTROL!$C$32, $C$9, 100%, $E$9)</f>
        <v>8.1188000000000002</v>
      </c>
      <c r="J197" s="11">
        <f>8.1152 * CHOOSE(CONTROL!$C$32, $C$9, 100%, $E$9)</f>
        <v>8.1151999999999997</v>
      </c>
      <c r="K197" s="11">
        <f>8.1188 * CHOOSE(CONTROL!$C$32, $C$9, 100%, $E$9)</f>
        <v>8.1188000000000002</v>
      </c>
      <c r="L197" s="11">
        <f>5.0692 * CHOOSE(CONTROL!$C$32, $C$9, 100%, $E$9)</f>
        <v>5.0692000000000004</v>
      </c>
      <c r="M197" s="11">
        <f>5.0728 * CHOOSE(CONTROL!$C$32, $C$9, 100%, $E$9)</f>
        <v>5.0728</v>
      </c>
      <c r="N197" s="11">
        <f>5.0692 * CHOOSE(CONTROL!$C$32, $C$9, 100%, $E$9)</f>
        <v>5.0692000000000004</v>
      </c>
      <c r="O197" s="11">
        <f>5.0728 * CHOOSE(CONTROL!$C$32, $C$9, 100%, $E$9)</f>
        <v>5.0728</v>
      </c>
    </row>
    <row r="198" spans="1:15" ht="15" x14ac:dyDescent="0.2">
      <c r="A198" s="13">
        <v>46874</v>
      </c>
      <c r="B198" s="9">
        <f>3.9817 * CHOOSE(CONTROL!$C$32, $C$9, 100%, $E$9)</f>
        <v>3.9817</v>
      </c>
      <c r="C198" s="9">
        <f>3.9817 * CHOOSE(CONTROL!$C$32, $C$9, 100%, $E$9)</f>
        <v>3.9817</v>
      </c>
      <c r="D198" s="9">
        <f>3.9833 * CHOOSE(CONTROL!$C$32, $C$9, 100%, $E$9)</f>
        <v>3.9832999999999998</v>
      </c>
      <c r="E198" s="11">
        <f>5.0692 * CHOOSE(CONTROL!$C$32, $C$9, 100%, $E$9)</f>
        <v>5.0692000000000004</v>
      </c>
      <c r="F198" s="11">
        <f>5.0692 * CHOOSE(CONTROL!$C$32, $C$9, 100%, $E$9)</f>
        <v>5.0692000000000004</v>
      </c>
      <c r="G198" s="11">
        <f>5.0745 * CHOOSE(CONTROL!$C$32, $C$9, 100%, $E$9)</f>
        <v>5.0744999999999996</v>
      </c>
      <c r="H198" s="11">
        <f>8.1321 * CHOOSE(CONTROL!$C$32, $C$9, 100%, $E$9)</f>
        <v>8.1320999999999994</v>
      </c>
      <c r="I198" s="11">
        <f>8.1374 * CHOOSE(CONTROL!$C$32, $C$9, 100%, $E$9)</f>
        <v>8.1373999999999995</v>
      </c>
      <c r="J198" s="11">
        <f>8.1321 * CHOOSE(CONTROL!$C$32, $C$9, 100%, $E$9)</f>
        <v>8.1320999999999994</v>
      </c>
      <c r="K198" s="11">
        <f>8.1374 * CHOOSE(CONTROL!$C$32, $C$9, 100%, $E$9)</f>
        <v>8.1373999999999995</v>
      </c>
      <c r="L198" s="11">
        <f>5.0692 * CHOOSE(CONTROL!$C$32, $C$9, 100%, $E$9)</f>
        <v>5.0692000000000004</v>
      </c>
      <c r="M198" s="11">
        <f>5.0745 * CHOOSE(CONTROL!$C$32, $C$9, 100%, $E$9)</f>
        <v>5.0744999999999996</v>
      </c>
      <c r="N198" s="11">
        <f>5.0692 * CHOOSE(CONTROL!$C$32, $C$9, 100%, $E$9)</f>
        <v>5.0692000000000004</v>
      </c>
      <c r="O198" s="11">
        <f>5.0745 * CHOOSE(CONTROL!$C$32, $C$9, 100%, $E$9)</f>
        <v>5.0744999999999996</v>
      </c>
    </row>
    <row r="199" spans="1:15" ht="15" x14ac:dyDescent="0.2">
      <c r="A199" s="13">
        <v>46905</v>
      </c>
      <c r="B199" s="9">
        <f>3.9878 * CHOOSE(CONTROL!$C$32, $C$9, 100%, $E$9)</f>
        <v>3.9878</v>
      </c>
      <c r="C199" s="9">
        <f>3.9878 * CHOOSE(CONTROL!$C$32, $C$9, 100%, $E$9)</f>
        <v>3.9878</v>
      </c>
      <c r="D199" s="9">
        <f>3.9893 * CHOOSE(CONTROL!$C$32, $C$9, 100%, $E$9)</f>
        <v>3.9893000000000001</v>
      </c>
      <c r="E199" s="11">
        <f>5.0732 * CHOOSE(CONTROL!$C$32, $C$9, 100%, $E$9)</f>
        <v>5.0731999999999999</v>
      </c>
      <c r="F199" s="11">
        <f>5.0732 * CHOOSE(CONTROL!$C$32, $C$9, 100%, $E$9)</f>
        <v>5.0731999999999999</v>
      </c>
      <c r="G199" s="11">
        <f>5.0785 * CHOOSE(CONTROL!$C$32, $C$9, 100%, $E$9)</f>
        <v>5.0785</v>
      </c>
      <c r="H199" s="11">
        <f>8.149 * CHOOSE(CONTROL!$C$32, $C$9, 100%, $E$9)</f>
        <v>8.1489999999999991</v>
      </c>
      <c r="I199" s="11">
        <f>8.1543 * CHOOSE(CONTROL!$C$32, $C$9, 100%, $E$9)</f>
        <v>8.1542999999999992</v>
      </c>
      <c r="J199" s="11">
        <f>8.149 * CHOOSE(CONTROL!$C$32, $C$9, 100%, $E$9)</f>
        <v>8.1489999999999991</v>
      </c>
      <c r="K199" s="11">
        <f>8.1543 * CHOOSE(CONTROL!$C$32, $C$9, 100%, $E$9)</f>
        <v>8.1542999999999992</v>
      </c>
      <c r="L199" s="11">
        <f>5.0732 * CHOOSE(CONTROL!$C$32, $C$9, 100%, $E$9)</f>
        <v>5.0731999999999999</v>
      </c>
      <c r="M199" s="11">
        <f>5.0785 * CHOOSE(CONTROL!$C$32, $C$9, 100%, $E$9)</f>
        <v>5.0785</v>
      </c>
      <c r="N199" s="11">
        <f>5.0732 * CHOOSE(CONTROL!$C$32, $C$9, 100%, $E$9)</f>
        <v>5.0731999999999999</v>
      </c>
      <c r="O199" s="11">
        <f>5.0785 * CHOOSE(CONTROL!$C$32, $C$9, 100%, $E$9)</f>
        <v>5.0785</v>
      </c>
    </row>
    <row r="200" spans="1:15" ht="15" x14ac:dyDescent="0.2">
      <c r="A200" s="13">
        <v>46935</v>
      </c>
      <c r="B200" s="9">
        <f>4.0588 * CHOOSE(CONTROL!$C$32, $C$9, 100%, $E$9)</f>
        <v>4.0587999999999997</v>
      </c>
      <c r="C200" s="9">
        <f>4.0588 * CHOOSE(CONTROL!$C$32, $C$9, 100%, $E$9)</f>
        <v>4.0587999999999997</v>
      </c>
      <c r="D200" s="9">
        <f>4.0603 * CHOOSE(CONTROL!$C$32, $C$9, 100%, $E$9)</f>
        <v>4.0602999999999998</v>
      </c>
      <c r="E200" s="11">
        <f>5.1714 * CHOOSE(CONTROL!$C$32, $C$9, 100%, $E$9)</f>
        <v>5.1714000000000002</v>
      </c>
      <c r="F200" s="11">
        <f>5.1714 * CHOOSE(CONTROL!$C$32, $C$9, 100%, $E$9)</f>
        <v>5.1714000000000002</v>
      </c>
      <c r="G200" s="11">
        <f>5.1767 * CHOOSE(CONTROL!$C$32, $C$9, 100%, $E$9)</f>
        <v>5.1767000000000003</v>
      </c>
      <c r="H200" s="11">
        <f>8.166 * CHOOSE(CONTROL!$C$32, $C$9, 100%, $E$9)</f>
        <v>8.1660000000000004</v>
      </c>
      <c r="I200" s="11">
        <f>8.1713 * CHOOSE(CONTROL!$C$32, $C$9, 100%, $E$9)</f>
        <v>8.1713000000000005</v>
      </c>
      <c r="J200" s="11">
        <f>8.166 * CHOOSE(CONTROL!$C$32, $C$9, 100%, $E$9)</f>
        <v>8.1660000000000004</v>
      </c>
      <c r="K200" s="11">
        <f>8.1713 * CHOOSE(CONTROL!$C$32, $C$9, 100%, $E$9)</f>
        <v>8.1713000000000005</v>
      </c>
      <c r="L200" s="11">
        <f>5.1714 * CHOOSE(CONTROL!$C$32, $C$9, 100%, $E$9)</f>
        <v>5.1714000000000002</v>
      </c>
      <c r="M200" s="11">
        <f>5.1767 * CHOOSE(CONTROL!$C$32, $C$9, 100%, $E$9)</f>
        <v>5.1767000000000003</v>
      </c>
      <c r="N200" s="11">
        <f>5.1714 * CHOOSE(CONTROL!$C$32, $C$9, 100%, $E$9)</f>
        <v>5.1714000000000002</v>
      </c>
      <c r="O200" s="11">
        <f>5.1767 * CHOOSE(CONTROL!$C$32, $C$9, 100%, $E$9)</f>
        <v>5.1767000000000003</v>
      </c>
    </row>
    <row r="201" spans="1:15" ht="15" x14ac:dyDescent="0.2">
      <c r="A201" s="13">
        <v>46966</v>
      </c>
      <c r="B201" s="9">
        <f>4.0654 * CHOOSE(CONTROL!$C$32, $C$9, 100%, $E$9)</f>
        <v>4.0654000000000003</v>
      </c>
      <c r="C201" s="9">
        <f>4.0654 * CHOOSE(CONTROL!$C$32, $C$9, 100%, $E$9)</f>
        <v>4.0654000000000003</v>
      </c>
      <c r="D201" s="9">
        <f>4.067 * CHOOSE(CONTROL!$C$32, $C$9, 100%, $E$9)</f>
        <v>4.0670000000000002</v>
      </c>
      <c r="E201" s="11">
        <f>5.1758 * CHOOSE(CONTROL!$C$32, $C$9, 100%, $E$9)</f>
        <v>5.1757999999999997</v>
      </c>
      <c r="F201" s="11">
        <f>5.1758 * CHOOSE(CONTROL!$C$32, $C$9, 100%, $E$9)</f>
        <v>5.1757999999999997</v>
      </c>
      <c r="G201" s="11">
        <f>5.1811 * CHOOSE(CONTROL!$C$32, $C$9, 100%, $E$9)</f>
        <v>5.1810999999999998</v>
      </c>
      <c r="H201" s="11">
        <f>8.183 * CHOOSE(CONTROL!$C$32, $C$9, 100%, $E$9)</f>
        <v>8.1829999999999998</v>
      </c>
      <c r="I201" s="11">
        <f>8.1883 * CHOOSE(CONTROL!$C$32, $C$9, 100%, $E$9)</f>
        <v>8.1882999999999999</v>
      </c>
      <c r="J201" s="11">
        <f>8.183 * CHOOSE(CONTROL!$C$32, $C$9, 100%, $E$9)</f>
        <v>8.1829999999999998</v>
      </c>
      <c r="K201" s="11">
        <f>8.1883 * CHOOSE(CONTROL!$C$32, $C$9, 100%, $E$9)</f>
        <v>8.1882999999999999</v>
      </c>
      <c r="L201" s="11">
        <f>5.1758 * CHOOSE(CONTROL!$C$32, $C$9, 100%, $E$9)</f>
        <v>5.1757999999999997</v>
      </c>
      <c r="M201" s="11">
        <f>5.1811 * CHOOSE(CONTROL!$C$32, $C$9, 100%, $E$9)</f>
        <v>5.1810999999999998</v>
      </c>
      <c r="N201" s="11">
        <f>5.1758 * CHOOSE(CONTROL!$C$32, $C$9, 100%, $E$9)</f>
        <v>5.1757999999999997</v>
      </c>
      <c r="O201" s="11">
        <f>5.1811 * CHOOSE(CONTROL!$C$32, $C$9, 100%, $E$9)</f>
        <v>5.1810999999999998</v>
      </c>
    </row>
    <row r="202" spans="1:15" ht="15" x14ac:dyDescent="0.2">
      <c r="A202" s="13">
        <v>46997</v>
      </c>
      <c r="B202" s="9">
        <f>4.0624 * CHOOSE(CONTROL!$C$32, $C$9, 100%, $E$9)</f>
        <v>4.0624000000000002</v>
      </c>
      <c r="C202" s="9">
        <f>4.0624 * CHOOSE(CONTROL!$C$32, $C$9, 100%, $E$9)</f>
        <v>4.0624000000000002</v>
      </c>
      <c r="D202" s="9">
        <f>4.064 * CHOOSE(CONTROL!$C$32, $C$9, 100%, $E$9)</f>
        <v>4.0640000000000001</v>
      </c>
      <c r="E202" s="11">
        <f>5.1738 * CHOOSE(CONTROL!$C$32, $C$9, 100%, $E$9)</f>
        <v>5.1738</v>
      </c>
      <c r="F202" s="11">
        <f>5.1738 * CHOOSE(CONTROL!$C$32, $C$9, 100%, $E$9)</f>
        <v>5.1738</v>
      </c>
      <c r="G202" s="11">
        <f>5.1791 * CHOOSE(CONTROL!$C$32, $C$9, 100%, $E$9)</f>
        <v>5.1791</v>
      </c>
      <c r="H202" s="11">
        <f>8.2 * CHOOSE(CONTROL!$C$32, $C$9, 100%, $E$9)</f>
        <v>8.1999999999999993</v>
      </c>
      <c r="I202" s="11">
        <f>8.2053 * CHOOSE(CONTROL!$C$32, $C$9, 100%, $E$9)</f>
        <v>8.2052999999999994</v>
      </c>
      <c r="J202" s="11">
        <f>8.2 * CHOOSE(CONTROL!$C$32, $C$9, 100%, $E$9)</f>
        <v>8.1999999999999993</v>
      </c>
      <c r="K202" s="11">
        <f>8.2053 * CHOOSE(CONTROL!$C$32, $C$9, 100%, $E$9)</f>
        <v>8.2052999999999994</v>
      </c>
      <c r="L202" s="11">
        <f>5.1738 * CHOOSE(CONTROL!$C$32, $C$9, 100%, $E$9)</f>
        <v>5.1738</v>
      </c>
      <c r="M202" s="11">
        <f>5.1791 * CHOOSE(CONTROL!$C$32, $C$9, 100%, $E$9)</f>
        <v>5.1791</v>
      </c>
      <c r="N202" s="11">
        <f>5.1738 * CHOOSE(CONTROL!$C$32, $C$9, 100%, $E$9)</f>
        <v>5.1738</v>
      </c>
      <c r="O202" s="11">
        <f>5.1791 * CHOOSE(CONTROL!$C$32, $C$9, 100%, $E$9)</f>
        <v>5.1791</v>
      </c>
    </row>
    <row r="203" spans="1:15" ht="15" x14ac:dyDescent="0.2">
      <c r="A203" s="13">
        <v>47027</v>
      </c>
      <c r="B203" s="9">
        <f>4.0577 * CHOOSE(CONTROL!$C$32, $C$9, 100%, $E$9)</f>
        <v>4.0576999999999996</v>
      </c>
      <c r="C203" s="9">
        <f>4.0577 * CHOOSE(CONTROL!$C$32, $C$9, 100%, $E$9)</f>
        <v>4.0576999999999996</v>
      </c>
      <c r="D203" s="9">
        <f>4.0588 * CHOOSE(CONTROL!$C$32, $C$9, 100%, $E$9)</f>
        <v>4.0587999999999997</v>
      </c>
      <c r="E203" s="11">
        <f>5.1686 * CHOOSE(CONTROL!$C$32, $C$9, 100%, $E$9)</f>
        <v>5.1685999999999996</v>
      </c>
      <c r="F203" s="11">
        <f>5.1686 * CHOOSE(CONTROL!$C$32, $C$9, 100%, $E$9)</f>
        <v>5.1685999999999996</v>
      </c>
      <c r="G203" s="11">
        <f>5.1722 * CHOOSE(CONTROL!$C$32, $C$9, 100%, $E$9)</f>
        <v>5.1722000000000001</v>
      </c>
      <c r="H203" s="11">
        <f>8.2171 * CHOOSE(CONTROL!$C$32, $C$9, 100%, $E$9)</f>
        <v>8.2171000000000003</v>
      </c>
      <c r="I203" s="11">
        <f>8.2207 * CHOOSE(CONTROL!$C$32, $C$9, 100%, $E$9)</f>
        <v>8.2207000000000008</v>
      </c>
      <c r="J203" s="11">
        <f>8.2171 * CHOOSE(CONTROL!$C$32, $C$9, 100%, $E$9)</f>
        <v>8.2171000000000003</v>
      </c>
      <c r="K203" s="11">
        <f>8.2207 * CHOOSE(CONTROL!$C$32, $C$9, 100%, $E$9)</f>
        <v>8.2207000000000008</v>
      </c>
      <c r="L203" s="11">
        <f>5.1686 * CHOOSE(CONTROL!$C$32, $C$9, 100%, $E$9)</f>
        <v>5.1685999999999996</v>
      </c>
      <c r="M203" s="11">
        <f>5.1722 * CHOOSE(CONTROL!$C$32, $C$9, 100%, $E$9)</f>
        <v>5.1722000000000001</v>
      </c>
      <c r="N203" s="11">
        <f>5.1686 * CHOOSE(CONTROL!$C$32, $C$9, 100%, $E$9)</f>
        <v>5.1685999999999996</v>
      </c>
      <c r="O203" s="11">
        <f>5.1722 * CHOOSE(CONTROL!$C$32, $C$9, 100%, $E$9)</f>
        <v>5.1722000000000001</v>
      </c>
    </row>
    <row r="204" spans="1:15" ht="15" x14ac:dyDescent="0.2">
      <c r="A204" s="13">
        <v>47058</v>
      </c>
      <c r="B204" s="9">
        <f>4.0607 * CHOOSE(CONTROL!$C$32, $C$9, 100%, $E$9)</f>
        <v>4.0606999999999998</v>
      </c>
      <c r="C204" s="9">
        <f>4.0607 * CHOOSE(CONTROL!$C$32, $C$9, 100%, $E$9)</f>
        <v>4.0606999999999998</v>
      </c>
      <c r="D204" s="9">
        <f>4.0618 * CHOOSE(CONTROL!$C$32, $C$9, 100%, $E$9)</f>
        <v>4.0617999999999999</v>
      </c>
      <c r="E204" s="11">
        <f>5.1706 * CHOOSE(CONTROL!$C$32, $C$9, 100%, $E$9)</f>
        <v>5.1706000000000003</v>
      </c>
      <c r="F204" s="11">
        <f>5.1706 * CHOOSE(CONTROL!$C$32, $C$9, 100%, $E$9)</f>
        <v>5.1706000000000003</v>
      </c>
      <c r="G204" s="11">
        <f>5.1742 * CHOOSE(CONTROL!$C$32, $C$9, 100%, $E$9)</f>
        <v>5.1741999999999999</v>
      </c>
      <c r="H204" s="11">
        <f>8.2342 * CHOOSE(CONTROL!$C$32, $C$9, 100%, $E$9)</f>
        <v>8.2341999999999995</v>
      </c>
      <c r="I204" s="11">
        <f>8.2379 * CHOOSE(CONTROL!$C$32, $C$9, 100%, $E$9)</f>
        <v>8.2378999999999998</v>
      </c>
      <c r="J204" s="11">
        <f>8.2342 * CHOOSE(CONTROL!$C$32, $C$9, 100%, $E$9)</f>
        <v>8.2341999999999995</v>
      </c>
      <c r="K204" s="11">
        <f>8.2379 * CHOOSE(CONTROL!$C$32, $C$9, 100%, $E$9)</f>
        <v>8.2378999999999998</v>
      </c>
      <c r="L204" s="11">
        <f>5.1706 * CHOOSE(CONTROL!$C$32, $C$9, 100%, $E$9)</f>
        <v>5.1706000000000003</v>
      </c>
      <c r="M204" s="11">
        <f>5.1742 * CHOOSE(CONTROL!$C$32, $C$9, 100%, $E$9)</f>
        <v>5.1741999999999999</v>
      </c>
      <c r="N204" s="11">
        <f>5.1706 * CHOOSE(CONTROL!$C$32, $C$9, 100%, $E$9)</f>
        <v>5.1706000000000003</v>
      </c>
      <c r="O204" s="11">
        <f>5.1742 * CHOOSE(CONTROL!$C$32, $C$9, 100%, $E$9)</f>
        <v>5.1741999999999999</v>
      </c>
    </row>
    <row r="205" spans="1:15" ht="15" x14ac:dyDescent="0.2">
      <c r="A205" s="13">
        <v>47088</v>
      </c>
      <c r="B205" s="9">
        <f>4.0607 * CHOOSE(CONTROL!$C$32, $C$9, 100%, $E$9)</f>
        <v>4.0606999999999998</v>
      </c>
      <c r="C205" s="9">
        <f>4.0607 * CHOOSE(CONTROL!$C$32, $C$9, 100%, $E$9)</f>
        <v>4.0606999999999998</v>
      </c>
      <c r="D205" s="9">
        <f>4.0618 * CHOOSE(CONTROL!$C$32, $C$9, 100%, $E$9)</f>
        <v>4.0617999999999999</v>
      </c>
      <c r="E205" s="11">
        <f>5.1706 * CHOOSE(CONTROL!$C$32, $C$9, 100%, $E$9)</f>
        <v>5.1706000000000003</v>
      </c>
      <c r="F205" s="11">
        <f>5.1706 * CHOOSE(CONTROL!$C$32, $C$9, 100%, $E$9)</f>
        <v>5.1706000000000003</v>
      </c>
      <c r="G205" s="11">
        <f>5.1742 * CHOOSE(CONTROL!$C$32, $C$9, 100%, $E$9)</f>
        <v>5.1741999999999999</v>
      </c>
      <c r="H205" s="11">
        <f>8.2514 * CHOOSE(CONTROL!$C$32, $C$9, 100%, $E$9)</f>
        <v>8.2514000000000003</v>
      </c>
      <c r="I205" s="11">
        <f>8.255 * CHOOSE(CONTROL!$C$32, $C$9, 100%, $E$9)</f>
        <v>8.2550000000000008</v>
      </c>
      <c r="J205" s="11">
        <f>8.2514 * CHOOSE(CONTROL!$C$32, $C$9, 100%, $E$9)</f>
        <v>8.2514000000000003</v>
      </c>
      <c r="K205" s="11">
        <f>8.255 * CHOOSE(CONTROL!$C$32, $C$9, 100%, $E$9)</f>
        <v>8.2550000000000008</v>
      </c>
      <c r="L205" s="11">
        <f>5.1706 * CHOOSE(CONTROL!$C$32, $C$9, 100%, $E$9)</f>
        <v>5.1706000000000003</v>
      </c>
      <c r="M205" s="11">
        <f>5.1742 * CHOOSE(CONTROL!$C$32, $C$9, 100%, $E$9)</f>
        <v>5.1741999999999999</v>
      </c>
      <c r="N205" s="11">
        <f>5.1706 * CHOOSE(CONTROL!$C$32, $C$9, 100%, $E$9)</f>
        <v>5.1706000000000003</v>
      </c>
      <c r="O205" s="11">
        <f>5.1742 * CHOOSE(CONTROL!$C$32, $C$9, 100%, $E$9)</f>
        <v>5.1741999999999999</v>
      </c>
    </row>
    <row r="206" spans="1:15" ht="15" x14ac:dyDescent="0.2">
      <c r="A206" s="13">
        <v>47119</v>
      </c>
      <c r="B206" s="9">
        <f>4.0932 * CHOOSE(CONTROL!$C$32, $C$9, 100%, $E$9)</f>
        <v>4.0932000000000004</v>
      </c>
      <c r="C206" s="9">
        <f>4.0932 * CHOOSE(CONTROL!$C$32, $C$9, 100%, $E$9)</f>
        <v>4.0932000000000004</v>
      </c>
      <c r="D206" s="9">
        <f>4.0943 * CHOOSE(CONTROL!$C$32, $C$9, 100%, $E$9)</f>
        <v>4.0942999999999996</v>
      </c>
      <c r="E206" s="11">
        <f>5.2103 * CHOOSE(CONTROL!$C$32, $C$9, 100%, $E$9)</f>
        <v>5.2103000000000002</v>
      </c>
      <c r="F206" s="11">
        <f>5.2103 * CHOOSE(CONTROL!$C$32, $C$9, 100%, $E$9)</f>
        <v>5.2103000000000002</v>
      </c>
      <c r="G206" s="11">
        <f>5.2139 * CHOOSE(CONTROL!$C$32, $C$9, 100%, $E$9)</f>
        <v>5.2138999999999998</v>
      </c>
      <c r="H206" s="11">
        <f>8.2686 * CHOOSE(CONTROL!$C$32, $C$9, 100%, $E$9)</f>
        <v>8.2685999999999993</v>
      </c>
      <c r="I206" s="11">
        <f>8.2722 * CHOOSE(CONTROL!$C$32, $C$9, 100%, $E$9)</f>
        <v>8.2721999999999998</v>
      </c>
      <c r="J206" s="11">
        <f>8.2686 * CHOOSE(CONTROL!$C$32, $C$9, 100%, $E$9)</f>
        <v>8.2685999999999993</v>
      </c>
      <c r="K206" s="11">
        <f>8.2722 * CHOOSE(CONTROL!$C$32, $C$9, 100%, $E$9)</f>
        <v>8.2721999999999998</v>
      </c>
      <c r="L206" s="11">
        <f>5.2103 * CHOOSE(CONTROL!$C$32, $C$9, 100%, $E$9)</f>
        <v>5.2103000000000002</v>
      </c>
      <c r="M206" s="11">
        <f>5.2139 * CHOOSE(CONTROL!$C$32, $C$9, 100%, $E$9)</f>
        <v>5.2138999999999998</v>
      </c>
      <c r="N206" s="11">
        <f>5.2103 * CHOOSE(CONTROL!$C$32, $C$9, 100%, $E$9)</f>
        <v>5.2103000000000002</v>
      </c>
      <c r="O206" s="11">
        <f>5.2139 * CHOOSE(CONTROL!$C$32, $C$9, 100%, $E$9)</f>
        <v>5.2138999999999998</v>
      </c>
    </row>
    <row r="207" spans="1:15" ht="15" x14ac:dyDescent="0.2">
      <c r="A207" s="13">
        <v>47150</v>
      </c>
      <c r="B207" s="9">
        <f>4.0902 * CHOOSE(CONTROL!$C$32, $C$9, 100%, $E$9)</f>
        <v>4.0902000000000003</v>
      </c>
      <c r="C207" s="9">
        <f>4.0902 * CHOOSE(CONTROL!$C$32, $C$9, 100%, $E$9)</f>
        <v>4.0902000000000003</v>
      </c>
      <c r="D207" s="9">
        <f>4.0913 * CHOOSE(CONTROL!$C$32, $C$9, 100%, $E$9)</f>
        <v>4.0913000000000004</v>
      </c>
      <c r="E207" s="11">
        <f>5.2083 * CHOOSE(CONTROL!$C$32, $C$9, 100%, $E$9)</f>
        <v>5.2083000000000004</v>
      </c>
      <c r="F207" s="11">
        <f>5.2083 * CHOOSE(CONTROL!$C$32, $C$9, 100%, $E$9)</f>
        <v>5.2083000000000004</v>
      </c>
      <c r="G207" s="11">
        <f>5.2119 * CHOOSE(CONTROL!$C$32, $C$9, 100%, $E$9)</f>
        <v>5.2119</v>
      </c>
      <c r="H207" s="11">
        <f>8.2858 * CHOOSE(CONTROL!$C$32, $C$9, 100%, $E$9)</f>
        <v>8.2858000000000001</v>
      </c>
      <c r="I207" s="11">
        <f>8.2894 * CHOOSE(CONTROL!$C$32, $C$9, 100%, $E$9)</f>
        <v>8.2894000000000005</v>
      </c>
      <c r="J207" s="11">
        <f>8.2858 * CHOOSE(CONTROL!$C$32, $C$9, 100%, $E$9)</f>
        <v>8.2858000000000001</v>
      </c>
      <c r="K207" s="11">
        <f>8.2894 * CHOOSE(CONTROL!$C$32, $C$9, 100%, $E$9)</f>
        <v>8.2894000000000005</v>
      </c>
      <c r="L207" s="11">
        <f>5.2083 * CHOOSE(CONTROL!$C$32, $C$9, 100%, $E$9)</f>
        <v>5.2083000000000004</v>
      </c>
      <c r="M207" s="11">
        <f>5.2119 * CHOOSE(CONTROL!$C$32, $C$9, 100%, $E$9)</f>
        <v>5.2119</v>
      </c>
      <c r="N207" s="11">
        <f>5.2083 * CHOOSE(CONTROL!$C$32, $C$9, 100%, $E$9)</f>
        <v>5.2083000000000004</v>
      </c>
      <c r="O207" s="11">
        <f>5.2119 * CHOOSE(CONTROL!$C$32, $C$9, 100%, $E$9)</f>
        <v>5.2119</v>
      </c>
    </row>
    <row r="208" spans="1:15" ht="15" x14ac:dyDescent="0.2">
      <c r="A208" s="13">
        <v>47178</v>
      </c>
      <c r="B208" s="9">
        <f>4.0872 * CHOOSE(CONTROL!$C$32, $C$9, 100%, $E$9)</f>
        <v>4.0872000000000002</v>
      </c>
      <c r="C208" s="9">
        <f>4.0872 * CHOOSE(CONTROL!$C$32, $C$9, 100%, $E$9)</f>
        <v>4.0872000000000002</v>
      </c>
      <c r="D208" s="9">
        <f>4.0882 * CHOOSE(CONTROL!$C$32, $C$9, 100%, $E$9)</f>
        <v>4.0881999999999996</v>
      </c>
      <c r="E208" s="11">
        <f>5.2063 * CHOOSE(CONTROL!$C$32, $C$9, 100%, $E$9)</f>
        <v>5.2062999999999997</v>
      </c>
      <c r="F208" s="11">
        <f>5.2063 * CHOOSE(CONTROL!$C$32, $C$9, 100%, $E$9)</f>
        <v>5.2062999999999997</v>
      </c>
      <c r="G208" s="11">
        <f>5.2099 * CHOOSE(CONTROL!$C$32, $C$9, 100%, $E$9)</f>
        <v>5.2099000000000002</v>
      </c>
      <c r="H208" s="11">
        <f>8.3031 * CHOOSE(CONTROL!$C$32, $C$9, 100%, $E$9)</f>
        <v>8.3031000000000006</v>
      </c>
      <c r="I208" s="11">
        <f>8.3067 * CHOOSE(CONTROL!$C$32, $C$9, 100%, $E$9)</f>
        <v>8.3066999999999993</v>
      </c>
      <c r="J208" s="11">
        <f>8.3031 * CHOOSE(CONTROL!$C$32, $C$9, 100%, $E$9)</f>
        <v>8.3031000000000006</v>
      </c>
      <c r="K208" s="11">
        <f>8.3067 * CHOOSE(CONTROL!$C$32, $C$9, 100%, $E$9)</f>
        <v>8.3066999999999993</v>
      </c>
      <c r="L208" s="11">
        <f>5.2063 * CHOOSE(CONTROL!$C$32, $C$9, 100%, $E$9)</f>
        <v>5.2062999999999997</v>
      </c>
      <c r="M208" s="11">
        <f>5.2099 * CHOOSE(CONTROL!$C$32, $C$9, 100%, $E$9)</f>
        <v>5.2099000000000002</v>
      </c>
      <c r="N208" s="11">
        <f>5.2063 * CHOOSE(CONTROL!$C$32, $C$9, 100%, $E$9)</f>
        <v>5.2062999999999997</v>
      </c>
      <c r="O208" s="11">
        <f>5.2099 * CHOOSE(CONTROL!$C$32, $C$9, 100%, $E$9)</f>
        <v>5.2099000000000002</v>
      </c>
    </row>
    <row r="209" spans="1:15" ht="15" x14ac:dyDescent="0.2">
      <c r="A209" s="13">
        <v>47209</v>
      </c>
      <c r="B209" s="9">
        <f>4.0849 * CHOOSE(CONTROL!$C$32, $C$9, 100%, $E$9)</f>
        <v>4.0849000000000002</v>
      </c>
      <c r="C209" s="9">
        <f>4.0849 * CHOOSE(CONTROL!$C$32, $C$9, 100%, $E$9)</f>
        <v>4.0849000000000002</v>
      </c>
      <c r="D209" s="9">
        <f>4.086 * CHOOSE(CONTROL!$C$32, $C$9, 100%, $E$9)</f>
        <v>4.0860000000000003</v>
      </c>
      <c r="E209" s="11">
        <f>5.2043 * CHOOSE(CONTROL!$C$32, $C$9, 100%, $E$9)</f>
        <v>5.2042999999999999</v>
      </c>
      <c r="F209" s="11">
        <f>5.2043 * CHOOSE(CONTROL!$C$32, $C$9, 100%, $E$9)</f>
        <v>5.2042999999999999</v>
      </c>
      <c r="G209" s="11">
        <f>5.2079 * CHOOSE(CONTROL!$C$32, $C$9, 100%, $E$9)</f>
        <v>5.2079000000000004</v>
      </c>
      <c r="H209" s="11">
        <f>8.3204 * CHOOSE(CONTROL!$C$32, $C$9, 100%, $E$9)</f>
        <v>8.3203999999999994</v>
      </c>
      <c r="I209" s="11">
        <f>8.324 * CHOOSE(CONTROL!$C$32, $C$9, 100%, $E$9)</f>
        <v>8.3239999999999998</v>
      </c>
      <c r="J209" s="11">
        <f>8.3204 * CHOOSE(CONTROL!$C$32, $C$9, 100%, $E$9)</f>
        <v>8.3203999999999994</v>
      </c>
      <c r="K209" s="11">
        <f>8.324 * CHOOSE(CONTROL!$C$32, $C$9, 100%, $E$9)</f>
        <v>8.3239999999999998</v>
      </c>
      <c r="L209" s="11">
        <f>5.2043 * CHOOSE(CONTROL!$C$32, $C$9, 100%, $E$9)</f>
        <v>5.2042999999999999</v>
      </c>
      <c r="M209" s="11">
        <f>5.2079 * CHOOSE(CONTROL!$C$32, $C$9, 100%, $E$9)</f>
        <v>5.2079000000000004</v>
      </c>
      <c r="N209" s="11">
        <f>5.2043 * CHOOSE(CONTROL!$C$32, $C$9, 100%, $E$9)</f>
        <v>5.2042999999999999</v>
      </c>
      <c r="O209" s="11">
        <f>5.2079 * CHOOSE(CONTROL!$C$32, $C$9, 100%, $E$9)</f>
        <v>5.2079000000000004</v>
      </c>
    </row>
    <row r="210" spans="1:15" ht="15" x14ac:dyDescent="0.2">
      <c r="A210" s="13">
        <v>47239</v>
      </c>
      <c r="B210" s="9">
        <f>4.0849 * CHOOSE(CONTROL!$C$32, $C$9, 100%, $E$9)</f>
        <v>4.0849000000000002</v>
      </c>
      <c r="C210" s="9">
        <f>4.0849 * CHOOSE(CONTROL!$C$32, $C$9, 100%, $E$9)</f>
        <v>4.0849000000000002</v>
      </c>
      <c r="D210" s="9">
        <f>4.0865 * CHOOSE(CONTROL!$C$32, $C$9, 100%, $E$9)</f>
        <v>4.0865</v>
      </c>
      <c r="E210" s="11">
        <f>5.2043 * CHOOSE(CONTROL!$C$32, $C$9, 100%, $E$9)</f>
        <v>5.2042999999999999</v>
      </c>
      <c r="F210" s="11">
        <f>5.2043 * CHOOSE(CONTROL!$C$32, $C$9, 100%, $E$9)</f>
        <v>5.2042999999999999</v>
      </c>
      <c r="G210" s="11">
        <f>5.2096 * CHOOSE(CONTROL!$C$32, $C$9, 100%, $E$9)</f>
        <v>5.2096</v>
      </c>
      <c r="H210" s="11">
        <f>8.3377 * CHOOSE(CONTROL!$C$32, $C$9, 100%, $E$9)</f>
        <v>8.3376999999999999</v>
      </c>
      <c r="I210" s="11">
        <f>8.343 * CHOOSE(CONTROL!$C$32, $C$9, 100%, $E$9)</f>
        <v>8.343</v>
      </c>
      <c r="J210" s="11">
        <f>8.3377 * CHOOSE(CONTROL!$C$32, $C$9, 100%, $E$9)</f>
        <v>8.3376999999999999</v>
      </c>
      <c r="K210" s="11">
        <f>8.343 * CHOOSE(CONTROL!$C$32, $C$9, 100%, $E$9)</f>
        <v>8.343</v>
      </c>
      <c r="L210" s="11">
        <f>5.2043 * CHOOSE(CONTROL!$C$32, $C$9, 100%, $E$9)</f>
        <v>5.2042999999999999</v>
      </c>
      <c r="M210" s="11">
        <f>5.2096 * CHOOSE(CONTROL!$C$32, $C$9, 100%, $E$9)</f>
        <v>5.2096</v>
      </c>
      <c r="N210" s="11">
        <f>5.2043 * CHOOSE(CONTROL!$C$32, $C$9, 100%, $E$9)</f>
        <v>5.2042999999999999</v>
      </c>
      <c r="O210" s="11">
        <f>5.2096 * CHOOSE(CONTROL!$C$32, $C$9, 100%, $E$9)</f>
        <v>5.2096</v>
      </c>
    </row>
    <row r="211" spans="1:15" ht="15" x14ac:dyDescent="0.2">
      <c r="A211" s="13">
        <v>47270</v>
      </c>
      <c r="B211" s="9">
        <f>4.091 * CHOOSE(CONTROL!$C$32, $C$9, 100%, $E$9)</f>
        <v>4.0910000000000002</v>
      </c>
      <c r="C211" s="9">
        <f>4.091 * CHOOSE(CONTROL!$C$32, $C$9, 100%, $E$9)</f>
        <v>4.0910000000000002</v>
      </c>
      <c r="D211" s="9">
        <f>4.0925 * CHOOSE(CONTROL!$C$32, $C$9, 100%, $E$9)</f>
        <v>4.0925000000000002</v>
      </c>
      <c r="E211" s="11">
        <f>5.2083 * CHOOSE(CONTROL!$C$32, $C$9, 100%, $E$9)</f>
        <v>5.2083000000000004</v>
      </c>
      <c r="F211" s="11">
        <f>5.2083 * CHOOSE(CONTROL!$C$32, $C$9, 100%, $E$9)</f>
        <v>5.2083000000000004</v>
      </c>
      <c r="G211" s="11">
        <f>5.2136 * CHOOSE(CONTROL!$C$32, $C$9, 100%, $E$9)</f>
        <v>5.2135999999999996</v>
      </c>
      <c r="H211" s="11">
        <f>8.3551 * CHOOSE(CONTROL!$C$32, $C$9, 100%, $E$9)</f>
        <v>8.3551000000000002</v>
      </c>
      <c r="I211" s="11">
        <f>8.3604 * CHOOSE(CONTROL!$C$32, $C$9, 100%, $E$9)</f>
        <v>8.3604000000000003</v>
      </c>
      <c r="J211" s="11">
        <f>8.3551 * CHOOSE(CONTROL!$C$32, $C$9, 100%, $E$9)</f>
        <v>8.3551000000000002</v>
      </c>
      <c r="K211" s="11">
        <f>8.3604 * CHOOSE(CONTROL!$C$32, $C$9, 100%, $E$9)</f>
        <v>8.3604000000000003</v>
      </c>
      <c r="L211" s="11">
        <f>5.2083 * CHOOSE(CONTROL!$C$32, $C$9, 100%, $E$9)</f>
        <v>5.2083000000000004</v>
      </c>
      <c r="M211" s="11">
        <f>5.2136 * CHOOSE(CONTROL!$C$32, $C$9, 100%, $E$9)</f>
        <v>5.2135999999999996</v>
      </c>
      <c r="N211" s="11">
        <f>5.2083 * CHOOSE(CONTROL!$C$32, $C$9, 100%, $E$9)</f>
        <v>5.2083000000000004</v>
      </c>
      <c r="O211" s="11">
        <f>5.2136 * CHOOSE(CONTROL!$C$32, $C$9, 100%, $E$9)</f>
        <v>5.2135999999999996</v>
      </c>
    </row>
    <row r="212" spans="1:15" ht="15" x14ac:dyDescent="0.2">
      <c r="A212" s="13">
        <v>47300</v>
      </c>
      <c r="B212" s="9">
        <f>4.1496 * CHOOSE(CONTROL!$C$32, $C$9, 100%, $E$9)</f>
        <v>4.1496000000000004</v>
      </c>
      <c r="C212" s="9">
        <f>4.1496 * CHOOSE(CONTROL!$C$32, $C$9, 100%, $E$9)</f>
        <v>4.1496000000000004</v>
      </c>
      <c r="D212" s="9">
        <f>4.1512 * CHOOSE(CONTROL!$C$32, $C$9, 100%, $E$9)</f>
        <v>4.1512000000000002</v>
      </c>
      <c r="E212" s="11">
        <f>5.2949 * CHOOSE(CONTROL!$C$32, $C$9, 100%, $E$9)</f>
        <v>5.2949000000000002</v>
      </c>
      <c r="F212" s="11">
        <f>5.2949 * CHOOSE(CONTROL!$C$32, $C$9, 100%, $E$9)</f>
        <v>5.2949000000000002</v>
      </c>
      <c r="G212" s="11">
        <f>5.3002 * CHOOSE(CONTROL!$C$32, $C$9, 100%, $E$9)</f>
        <v>5.3002000000000002</v>
      </c>
      <c r="H212" s="11">
        <f>8.3725 * CHOOSE(CONTROL!$C$32, $C$9, 100%, $E$9)</f>
        <v>8.3725000000000005</v>
      </c>
      <c r="I212" s="11">
        <f>8.3778 * CHOOSE(CONTROL!$C$32, $C$9, 100%, $E$9)</f>
        <v>8.3778000000000006</v>
      </c>
      <c r="J212" s="11">
        <f>8.3725 * CHOOSE(CONTROL!$C$32, $C$9, 100%, $E$9)</f>
        <v>8.3725000000000005</v>
      </c>
      <c r="K212" s="11">
        <f>8.3778 * CHOOSE(CONTROL!$C$32, $C$9, 100%, $E$9)</f>
        <v>8.3778000000000006</v>
      </c>
      <c r="L212" s="11">
        <f>5.2949 * CHOOSE(CONTROL!$C$32, $C$9, 100%, $E$9)</f>
        <v>5.2949000000000002</v>
      </c>
      <c r="M212" s="11">
        <f>5.3002 * CHOOSE(CONTROL!$C$32, $C$9, 100%, $E$9)</f>
        <v>5.3002000000000002</v>
      </c>
      <c r="N212" s="11">
        <f>5.2949 * CHOOSE(CONTROL!$C$32, $C$9, 100%, $E$9)</f>
        <v>5.2949000000000002</v>
      </c>
      <c r="O212" s="11">
        <f>5.3002 * CHOOSE(CONTROL!$C$32, $C$9, 100%, $E$9)</f>
        <v>5.3002000000000002</v>
      </c>
    </row>
    <row r="213" spans="1:15" ht="15" x14ac:dyDescent="0.2">
      <c r="A213" s="13">
        <v>47331</v>
      </c>
      <c r="B213" s="9">
        <f>4.1563 * CHOOSE(CONTROL!$C$32, $C$9, 100%, $E$9)</f>
        <v>4.1562999999999999</v>
      </c>
      <c r="C213" s="9">
        <f>4.1563 * CHOOSE(CONTROL!$C$32, $C$9, 100%, $E$9)</f>
        <v>4.1562999999999999</v>
      </c>
      <c r="D213" s="9">
        <f>4.1579 * CHOOSE(CONTROL!$C$32, $C$9, 100%, $E$9)</f>
        <v>4.1578999999999997</v>
      </c>
      <c r="E213" s="11">
        <f>5.2993 * CHOOSE(CONTROL!$C$32, $C$9, 100%, $E$9)</f>
        <v>5.2992999999999997</v>
      </c>
      <c r="F213" s="11">
        <f>5.2993 * CHOOSE(CONTROL!$C$32, $C$9, 100%, $E$9)</f>
        <v>5.2992999999999997</v>
      </c>
      <c r="G213" s="11">
        <f>5.3046 * CHOOSE(CONTROL!$C$32, $C$9, 100%, $E$9)</f>
        <v>5.3045999999999998</v>
      </c>
      <c r="H213" s="11">
        <f>8.3899 * CHOOSE(CONTROL!$C$32, $C$9, 100%, $E$9)</f>
        <v>8.3899000000000008</v>
      </c>
      <c r="I213" s="11">
        <f>8.3952 * CHOOSE(CONTROL!$C$32, $C$9, 100%, $E$9)</f>
        <v>8.3952000000000009</v>
      </c>
      <c r="J213" s="11">
        <f>8.3899 * CHOOSE(CONTROL!$C$32, $C$9, 100%, $E$9)</f>
        <v>8.3899000000000008</v>
      </c>
      <c r="K213" s="11">
        <f>8.3952 * CHOOSE(CONTROL!$C$32, $C$9, 100%, $E$9)</f>
        <v>8.3952000000000009</v>
      </c>
      <c r="L213" s="11">
        <f>5.2993 * CHOOSE(CONTROL!$C$32, $C$9, 100%, $E$9)</f>
        <v>5.2992999999999997</v>
      </c>
      <c r="M213" s="11">
        <f>5.3046 * CHOOSE(CONTROL!$C$32, $C$9, 100%, $E$9)</f>
        <v>5.3045999999999998</v>
      </c>
      <c r="N213" s="11">
        <f>5.2993 * CHOOSE(CONTROL!$C$32, $C$9, 100%, $E$9)</f>
        <v>5.2992999999999997</v>
      </c>
      <c r="O213" s="11">
        <f>5.3046 * CHOOSE(CONTROL!$C$32, $C$9, 100%, $E$9)</f>
        <v>5.3045999999999998</v>
      </c>
    </row>
    <row r="214" spans="1:15" ht="15" x14ac:dyDescent="0.2">
      <c r="A214" s="13">
        <v>47362</v>
      </c>
      <c r="B214" s="9">
        <f>4.1533 * CHOOSE(CONTROL!$C$32, $C$9, 100%, $E$9)</f>
        <v>4.1532999999999998</v>
      </c>
      <c r="C214" s="9">
        <f>4.1533 * CHOOSE(CONTROL!$C$32, $C$9, 100%, $E$9)</f>
        <v>4.1532999999999998</v>
      </c>
      <c r="D214" s="9">
        <f>4.1548 * CHOOSE(CONTROL!$C$32, $C$9, 100%, $E$9)</f>
        <v>4.1547999999999998</v>
      </c>
      <c r="E214" s="11">
        <f>5.2973 * CHOOSE(CONTROL!$C$32, $C$9, 100%, $E$9)</f>
        <v>5.2972999999999999</v>
      </c>
      <c r="F214" s="11">
        <f>5.2973 * CHOOSE(CONTROL!$C$32, $C$9, 100%, $E$9)</f>
        <v>5.2972999999999999</v>
      </c>
      <c r="G214" s="11">
        <f>5.3026 * CHOOSE(CONTROL!$C$32, $C$9, 100%, $E$9)</f>
        <v>5.3026</v>
      </c>
      <c r="H214" s="11">
        <f>8.4074 * CHOOSE(CONTROL!$C$32, $C$9, 100%, $E$9)</f>
        <v>8.4074000000000009</v>
      </c>
      <c r="I214" s="11">
        <f>8.4127 * CHOOSE(CONTROL!$C$32, $C$9, 100%, $E$9)</f>
        <v>8.4126999999999992</v>
      </c>
      <c r="J214" s="11">
        <f>8.4074 * CHOOSE(CONTROL!$C$32, $C$9, 100%, $E$9)</f>
        <v>8.4074000000000009</v>
      </c>
      <c r="K214" s="11">
        <f>8.4127 * CHOOSE(CONTROL!$C$32, $C$9, 100%, $E$9)</f>
        <v>8.4126999999999992</v>
      </c>
      <c r="L214" s="11">
        <f>5.2973 * CHOOSE(CONTROL!$C$32, $C$9, 100%, $E$9)</f>
        <v>5.2972999999999999</v>
      </c>
      <c r="M214" s="11">
        <f>5.3026 * CHOOSE(CONTROL!$C$32, $C$9, 100%, $E$9)</f>
        <v>5.3026</v>
      </c>
      <c r="N214" s="11">
        <f>5.2973 * CHOOSE(CONTROL!$C$32, $C$9, 100%, $E$9)</f>
        <v>5.2972999999999999</v>
      </c>
      <c r="O214" s="11">
        <f>5.3026 * CHOOSE(CONTROL!$C$32, $C$9, 100%, $E$9)</f>
        <v>5.3026</v>
      </c>
    </row>
    <row r="215" spans="1:15" ht="15" x14ac:dyDescent="0.2">
      <c r="A215" s="13">
        <v>47392</v>
      </c>
      <c r="B215" s="9">
        <f>4.1489 * CHOOSE(CONTROL!$C$32, $C$9, 100%, $E$9)</f>
        <v>4.1489000000000003</v>
      </c>
      <c r="C215" s="9">
        <f>4.1489 * CHOOSE(CONTROL!$C$32, $C$9, 100%, $E$9)</f>
        <v>4.1489000000000003</v>
      </c>
      <c r="D215" s="9">
        <f>4.15 * CHOOSE(CONTROL!$C$32, $C$9, 100%, $E$9)</f>
        <v>4.1500000000000004</v>
      </c>
      <c r="E215" s="11">
        <f>5.2923 * CHOOSE(CONTROL!$C$32, $C$9, 100%, $E$9)</f>
        <v>5.2923</v>
      </c>
      <c r="F215" s="11">
        <f>5.2923 * CHOOSE(CONTROL!$C$32, $C$9, 100%, $E$9)</f>
        <v>5.2923</v>
      </c>
      <c r="G215" s="11">
        <f>5.2959 * CHOOSE(CONTROL!$C$32, $C$9, 100%, $E$9)</f>
        <v>5.2958999999999996</v>
      </c>
      <c r="H215" s="11">
        <f>8.4249 * CHOOSE(CONTROL!$C$32, $C$9, 100%, $E$9)</f>
        <v>8.4248999999999992</v>
      </c>
      <c r="I215" s="11">
        <f>8.4285 * CHOOSE(CONTROL!$C$32, $C$9, 100%, $E$9)</f>
        <v>8.4284999999999997</v>
      </c>
      <c r="J215" s="11">
        <f>8.4249 * CHOOSE(CONTROL!$C$32, $C$9, 100%, $E$9)</f>
        <v>8.4248999999999992</v>
      </c>
      <c r="K215" s="11">
        <f>8.4285 * CHOOSE(CONTROL!$C$32, $C$9, 100%, $E$9)</f>
        <v>8.4284999999999997</v>
      </c>
      <c r="L215" s="11">
        <f>5.2923 * CHOOSE(CONTROL!$C$32, $C$9, 100%, $E$9)</f>
        <v>5.2923</v>
      </c>
      <c r="M215" s="11">
        <f>5.2959 * CHOOSE(CONTROL!$C$32, $C$9, 100%, $E$9)</f>
        <v>5.2958999999999996</v>
      </c>
      <c r="N215" s="11">
        <f>5.2923 * CHOOSE(CONTROL!$C$32, $C$9, 100%, $E$9)</f>
        <v>5.2923</v>
      </c>
      <c r="O215" s="11">
        <f>5.2959 * CHOOSE(CONTROL!$C$32, $C$9, 100%, $E$9)</f>
        <v>5.2958999999999996</v>
      </c>
    </row>
    <row r="216" spans="1:15" ht="15" x14ac:dyDescent="0.2">
      <c r="A216" s="13">
        <v>47423</v>
      </c>
      <c r="B216" s="9">
        <f>4.152 * CHOOSE(CONTROL!$C$32, $C$9, 100%, $E$9)</f>
        <v>4.1520000000000001</v>
      </c>
      <c r="C216" s="9">
        <f>4.152 * CHOOSE(CONTROL!$C$32, $C$9, 100%, $E$9)</f>
        <v>4.1520000000000001</v>
      </c>
      <c r="D216" s="9">
        <f>4.153 * CHOOSE(CONTROL!$C$32, $C$9, 100%, $E$9)</f>
        <v>4.1529999999999996</v>
      </c>
      <c r="E216" s="11">
        <f>5.2943 * CHOOSE(CONTROL!$C$32, $C$9, 100%, $E$9)</f>
        <v>5.2942999999999998</v>
      </c>
      <c r="F216" s="11">
        <f>5.2943 * CHOOSE(CONTROL!$C$32, $C$9, 100%, $E$9)</f>
        <v>5.2942999999999998</v>
      </c>
      <c r="G216" s="11">
        <f>5.2979 * CHOOSE(CONTROL!$C$32, $C$9, 100%, $E$9)</f>
        <v>5.2979000000000003</v>
      </c>
      <c r="H216" s="11">
        <f>8.4425 * CHOOSE(CONTROL!$C$32, $C$9, 100%, $E$9)</f>
        <v>8.4425000000000008</v>
      </c>
      <c r="I216" s="11">
        <f>8.4461 * CHOOSE(CONTROL!$C$32, $C$9, 100%, $E$9)</f>
        <v>8.4460999999999995</v>
      </c>
      <c r="J216" s="11">
        <f>8.4425 * CHOOSE(CONTROL!$C$32, $C$9, 100%, $E$9)</f>
        <v>8.4425000000000008</v>
      </c>
      <c r="K216" s="11">
        <f>8.4461 * CHOOSE(CONTROL!$C$32, $C$9, 100%, $E$9)</f>
        <v>8.4460999999999995</v>
      </c>
      <c r="L216" s="11">
        <f>5.2943 * CHOOSE(CONTROL!$C$32, $C$9, 100%, $E$9)</f>
        <v>5.2942999999999998</v>
      </c>
      <c r="M216" s="11">
        <f>5.2979 * CHOOSE(CONTROL!$C$32, $C$9, 100%, $E$9)</f>
        <v>5.2979000000000003</v>
      </c>
      <c r="N216" s="11">
        <f>5.2943 * CHOOSE(CONTROL!$C$32, $C$9, 100%, $E$9)</f>
        <v>5.2942999999999998</v>
      </c>
      <c r="O216" s="11">
        <f>5.2979 * CHOOSE(CONTROL!$C$32, $C$9, 100%, $E$9)</f>
        <v>5.2979000000000003</v>
      </c>
    </row>
    <row r="217" spans="1:15" ht="15" x14ac:dyDescent="0.2">
      <c r="A217" s="13">
        <v>47453</v>
      </c>
      <c r="B217" s="9">
        <f>4.152 * CHOOSE(CONTROL!$C$32, $C$9, 100%, $E$9)</f>
        <v>4.1520000000000001</v>
      </c>
      <c r="C217" s="9">
        <f>4.152 * CHOOSE(CONTROL!$C$32, $C$9, 100%, $E$9)</f>
        <v>4.1520000000000001</v>
      </c>
      <c r="D217" s="9">
        <f>4.153 * CHOOSE(CONTROL!$C$32, $C$9, 100%, $E$9)</f>
        <v>4.1529999999999996</v>
      </c>
      <c r="E217" s="11">
        <f>5.2943 * CHOOSE(CONTROL!$C$32, $C$9, 100%, $E$9)</f>
        <v>5.2942999999999998</v>
      </c>
      <c r="F217" s="11">
        <f>5.2943 * CHOOSE(CONTROL!$C$32, $C$9, 100%, $E$9)</f>
        <v>5.2942999999999998</v>
      </c>
      <c r="G217" s="11">
        <f>5.2979 * CHOOSE(CONTROL!$C$32, $C$9, 100%, $E$9)</f>
        <v>5.2979000000000003</v>
      </c>
      <c r="H217" s="11">
        <f>8.4601 * CHOOSE(CONTROL!$C$32, $C$9, 100%, $E$9)</f>
        <v>8.4601000000000006</v>
      </c>
      <c r="I217" s="11">
        <f>8.4637 * CHOOSE(CONTROL!$C$32, $C$9, 100%, $E$9)</f>
        <v>8.4636999999999993</v>
      </c>
      <c r="J217" s="11">
        <f>8.4601 * CHOOSE(CONTROL!$C$32, $C$9, 100%, $E$9)</f>
        <v>8.4601000000000006</v>
      </c>
      <c r="K217" s="11">
        <f>8.4637 * CHOOSE(CONTROL!$C$32, $C$9, 100%, $E$9)</f>
        <v>8.4636999999999993</v>
      </c>
      <c r="L217" s="11">
        <f>5.2943 * CHOOSE(CONTROL!$C$32, $C$9, 100%, $E$9)</f>
        <v>5.2942999999999998</v>
      </c>
      <c r="M217" s="11">
        <f>5.2979 * CHOOSE(CONTROL!$C$32, $C$9, 100%, $E$9)</f>
        <v>5.2979000000000003</v>
      </c>
      <c r="N217" s="11">
        <f>5.2943 * CHOOSE(CONTROL!$C$32, $C$9, 100%, $E$9)</f>
        <v>5.2942999999999998</v>
      </c>
      <c r="O217" s="11">
        <f>5.2979 * CHOOSE(CONTROL!$C$32, $C$9, 100%, $E$9)</f>
        <v>5.2979000000000003</v>
      </c>
    </row>
    <row r="218" spans="1:15" ht="15" x14ac:dyDescent="0.2">
      <c r="A218" s="13">
        <v>47484</v>
      </c>
      <c r="B218" s="9">
        <f>4.1883 * CHOOSE(CONTROL!$C$32, $C$9, 100%, $E$9)</f>
        <v>4.1882999999999999</v>
      </c>
      <c r="C218" s="9">
        <f>4.1883 * CHOOSE(CONTROL!$C$32, $C$9, 100%, $E$9)</f>
        <v>4.1882999999999999</v>
      </c>
      <c r="D218" s="9">
        <f>4.1893 * CHOOSE(CONTROL!$C$32, $C$9, 100%, $E$9)</f>
        <v>4.1893000000000002</v>
      </c>
      <c r="E218" s="11">
        <f>5.3388 * CHOOSE(CONTROL!$C$32, $C$9, 100%, $E$9)</f>
        <v>5.3388</v>
      </c>
      <c r="F218" s="11">
        <f>5.3388 * CHOOSE(CONTROL!$C$32, $C$9, 100%, $E$9)</f>
        <v>5.3388</v>
      </c>
      <c r="G218" s="11">
        <f>5.3424 * CHOOSE(CONTROL!$C$32, $C$9, 100%, $E$9)</f>
        <v>5.3423999999999996</v>
      </c>
      <c r="H218" s="11">
        <f>8.4777 * CHOOSE(CONTROL!$C$32, $C$9, 100%, $E$9)</f>
        <v>8.4777000000000005</v>
      </c>
      <c r="I218" s="11">
        <f>8.4813 * CHOOSE(CONTROL!$C$32, $C$9, 100%, $E$9)</f>
        <v>8.4812999999999992</v>
      </c>
      <c r="J218" s="11">
        <f>8.4777 * CHOOSE(CONTROL!$C$32, $C$9, 100%, $E$9)</f>
        <v>8.4777000000000005</v>
      </c>
      <c r="K218" s="11">
        <f>8.4813 * CHOOSE(CONTROL!$C$32, $C$9, 100%, $E$9)</f>
        <v>8.4812999999999992</v>
      </c>
      <c r="L218" s="11">
        <f>5.3388 * CHOOSE(CONTROL!$C$32, $C$9, 100%, $E$9)</f>
        <v>5.3388</v>
      </c>
      <c r="M218" s="11">
        <f>5.3424 * CHOOSE(CONTROL!$C$32, $C$9, 100%, $E$9)</f>
        <v>5.3423999999999996</v>
      </c>
      <c r="N218" s="11">
        <f>5.3388 * CHOOSE(CONTROL!$C$32, $C$9, 100%, $E$9)</f>
        <v>5.3388</v>
      </c>
      <c r="O218" s="11">
        <f>5.3424 * CHOOSE(CONTROL!$C$32, $C$9, 100%, $E$9)</f>
        <v>5.3423999999999996</v>
      </c>
    </row>
    <row r="219" spans="1:15" ht="15" x14ac:dyDescent="0.2">
      <c r="A219" s="13">
        <v>47515</v>
      </c>
      <c r="B219" s="9">
        <f>4.1852 * CHOOSE(CONTROL!$C$32, $C$9, 100%, $E$9)</f>
        <v>4.1852</v>
      </c>
      <c r="C219" s="9">
        <f>4.1852 * CHOOSE(CONTROL!$C$32, $C$9, 100%, $E$9)</f>
        <v>4.1852</v>
      </c>
      <c r="D219" s="9">
        <f>4.1863 * CHOOSE(CONTROL!$C$32, $C$9, 100%, $E$9)</f>
        <v>4.1863000000000001</v>
      </c>
      <c r="E219" s="11">
        <f>5.3368 * CHOOSE(CONTROL!$C$32, $C$9, 100%, $E$9)</f>
        <v>5.3368000000000002</v>
      </c>
      <c r="F219" s="11">
        <f>5.3368 * CHOOSE(CONTROL!$C$32, $C$9, 100%, $E$9)</f>
        <v>5.3368000000000002</v>
      </c>
      <c r="G219" s="11">
        <f>5.3404 * CHOOSE(CONTROL!$C$32, $C$9, 100%, $E$9)</f>
        <v>5.3403999999999998</v>
      </c>
      <c r="H219" s="11">
        <f>8.4954 * CHOOSE(CONTROL!$C$32, $C$9, 100%, $E$9)</f>
        <v>8.4954000000000001</v>
      </c>
      <c r="I219" s="11">
        <f>8.499 * CHOOSE(CONTROL!$C$32, $C$9, 100%, $E$9)</f>
        <v>8.4990000000000006</v>
      </c>
      <c r="J219" s="11">
        <f>8.4954 * CHOOSE(CONTROL!$C$32, $C$9, 100%, $E$9)</f>
        <v>8.4954000000000001</v>
      </c>
      <c r="K219" s="11">
        <f>8.499 * CHOOSE(CONTROL!$C$32, $C$9, 100%, $E$9)</f>
        <v>8.4990000000000006</v>
      </c>
      <c r="L219" s="11">
        <f>5.3368 * CHOOSE(CONTROL!$C$32, $C$9, 100%, $E$9)</f>
        <v>5.3368000000000002</v>
      </c>
      <c r="M219" s="11">
        <f>5.3404 * CHOOSE(CONTROL!$C$32, $C$9, 100%, $E$9)</f>
        <v>5.3403999999999998</v>
      </c>
      <c r="N219" s="11">
        <f>5.3368 * CHOOSE(CONTROL!$C$32, $C$9, 100%, $E$9)</f>
        <v>5.3368000000000002</v>
      </c>
      <c r="O219" s="11">
        <f>5.3404 * CHOOSE(CONTROL!$C$32, $C$9, 100%, $E$9)</f>
        <v>5.3403999999999998</v>
      </c>
    </row>
    <row r="220" spans="1:15" ht="15" x14ac:dyDescent="0.2">
      <c r="A220" s="13">
        <v>47543</v>
      </c>
      <c r="B220" s="9">
        <f>4.1822 * CHOOSE(CONTROL!$C$32, $C$9, 100%, $E$9)</f>
        <v>4.1821999999999999</v>
      </c>
      <c r="C220" s="9">
        <f>4.1822 * CHOOSE(CONTROL!$C$32, $C$9, 100%, $E$9)</f>
        <v>4.1821999999999999</v>
      </c>
      <c r="D220" s="9">
        <f>4.1833 * CHOOSE(CONTROL!$C$32, $C$9, 100%, $E$9)</f>
        <v>4.1833</v>
      </c>
      <c r="E220" s="11">
        <f>5.3348 * CHOOSE(CONTROL!$C$32, $C$9, 100%, $E$9)</f>
        <v>5.3348000000000004</v>
      </c>
      <c r="F220" s="11">
        <f>5.3348 * CHOOSE(CONTROL!$C$32, $C$9, 100%, $E$9)</f>
        <v>5.3348000000000004</v>
      </c>
      <c r="G220" s="11">
        <f>5.3384 * CHOOSE(CONTROL!$C$32, $C$9, 100%, $E$9)</f>
        <v>5.3384</v>
      </c>
      <c r="H220" s="11">
        <f>8.5131 * CHOOSE(CONTROL!$C$32, $C$9, 100%, $E$9)</f>
        <v>8.5130999999999997</v>
      </c>
      <c r="I220" s="11">
        <f>8.5167 * CHOOSE(CONTROL!$C$32, $C$9, 100%, $E$9)</f>
        <v>8.5167000000000002</v>
      </c>
      <c r="J220" s="11">
        <f>8.5131 * CHOOSE(CONTROL!$C$32, $C$9, 100%, $E$9)</f>
        <v>8.5130999999999997</v>
      </c>
      <c r="K220" s="11">
        <f>8.5167 * CHOOSE(CONTROL!$C$32, $C$9, 100%, $E$9)</f>
        <v>8.5167000000000002</v>
      </c>
      <c r="L220" s="11">
        <f>5.3348 * CHOOSE(CONTROL!$C$32, $C$9, 100%, $E$9)</f>
        <v>5.3348000000000004</v>
      </c>
      <c r="M220" s="11">
        <f>5.3384 * CHOOSE(CONTROL!$C$32, $C$9, 100%, $E$9)</f>
        <v>5.3384</v>
      </c>
      <c r="N220" s="11">
        <f>5.3348 * CHOOSE(CONTROL!$C$32, $C$9, 100%, $E$9)</f>
        <v>5.3348000000000004</v>
      </c>
      <c r="O220" s="11">
        <f>5.3384 * CHOOSE(CONTROL!$C$32, $C$9, 100%, $E$9)</f>
        <v>5.3384</v>
      </c>
    </row>
    <row r="221" spans="1:15" ht="15" x14ac:dyDescent="0.2">
      <c r="A221" s="13">
        <v>47574</v>
      </c>
      <c r="B221" s="9">
        <f>4.18 * CHOOSE(CONTROL!$C$32, $C$9, 100%, $E$9)</f>
        <v>4.18</v>
      </c>
      <c r="C221" s="9">
        <f>4.18 * CHOOSE(CONTROL!$C$32, $C$9, 100%, $E$9)</f>
        <v>4.18</v>
      </c>
      <c r="D221" s="9">
        <f>4.1811 * CHOOSE(CONTROL!$C$32, $C$9, 100%, $E$9)</f>
        <v>4.1810999999999998</v>
      </c>
      <c r="E221" s="11">
        <f>5.3328 * CHOOSE(CONTROL!$C$32, $C$9, 100%, $E$9)</f>
        <v>5.3327999999999998</v>
      </c>
      <c r="F221" s="11">
        <f>5.3328 * CHOOSE(CONTROL!$C$32, $C$9, 100%, $E$9)</f>
        <v>5.3327999999999998</v>
      </c>
      <c r="G221" s="11">
        <f>5.3364 * CHOOSE(CONTROL!$C$32, $C$9, 100%, $E$9)</f>
        <v>5.3364000000000003</v>
      </c>
      <c r="H221" s="11">
        <f>8.5308 * CHOOSE(CONTROL!$C$32, $C$9, 100%, $E$9)</f>
        <v>8.5307999999999993</v>
      </c>
      <c r="I221" s="11">
        <f>8.5344 * CHOOSE(CONTROL!$C$32, $C$9, 100%, $E$9)</f>
        <v>8.5343999999999998</v>
      </c>
      <c r="J221" s="11">
        <f>8.5308 * CHOOSE(CONTROL!$C$32, $C$9, 100%, $E$9)</f>
        <v>8.5307999999999993</v>
      </c>
      <c r="K221" s="11">
        <f>8.5344 * CHOOSE(CONTROL!$C$32, $C$9, 100%, $E$9)</f>
        <v>8.5343999999999998</v>
      </c>
      <c r="L221" s="11">
        <f>5.3328 * CHOOSE(CONTROL!$C$32, $C$9, 100%, $E$9)</f>
        <v>5.3327999999999998</v>
      </c>
      <c r="M221" s="11">
        <f>5.3364 * CHOOSE(CONTROL!$C$32, $C$9, 100%, $E$9)</f>
        <v>5.3364000000000003</v>
      </c>
      <c r="N221" s="11">
        <f>5.3328 * CHOOSE(CONTROL!$C$32, $C$9, 100%, $E$9)</f>
        <v>5.3327999999999998</v>
      </c>
      <c r="O221" s="11">
        <f>5.3364 * CHOOSE(CONTROL!$C$32, $C$9, 100%, $E$9)</f>
        <v>5.3364000000000003</v>
      </c>
    </row>
    <row r="222" spans="1:15" ht="15" x14ac:dyDescent="0.2">
      <c r="A222" s="13">
        <v>47604</v>
      </c>
      <c r="B222" s="9">
        <f>4.18 * CHOOSE(CONTROL!$C$32, $C$9, 100%, $E$9)</f>
        <v>4.18</v>
      </c>
      <c r="C222" s="9">
        <f>4.18 * CHOOSE(CONTROL!$C$32, $C$9, 100%, $E$9)</f>
        <v>4.18</v>
      </c>
      <c r="D222" s="9">
        <f>4.1816 * CHOOSE(CONTROL!$C$32, $C$9, 100%, $E$9)</f>
        <v>4.1816000000000004</v>
      </c>
      <c r="E222" s="11">
        <f>5.3328 * CHOOSE(CONTROL!$C$32, $C$9, 100%, $E$9)</f>
        <v>5.3327999999999998</v>
      </c>
      <c r="F222" s="11">
        <f>5.3328 * CHOOSE(CONTROL!$C$32, $C$9, 100%, $E$9)</f>
        <v>5.3327999999999998</v>
      </c>
      <c r="G222" s="11">
        <f>5.3381 * CHOOSE(CONTROL!$C$32, $C$9, 100%, $E$9)</f>
        <v>5.3380999999999998</v>
      </c>
      <c r="H222" s="11">
        <f>8.5486 * CHOOSE(CONTROL!$C$32, $C$9, 100%, $E$9)</f>
        <v>8.5486000000000004</v>
      </c>
      <c r="I222" s="11">
        <f>8.5539 * CHOOSE(CONTROL!$C$32, $C$9, 100%, $E$9)</f>
        <v>8.5539000000000005</v>
      </c>
      <c r="J222" s="11">
        <f>8.5486 * CHOOSE(CONTROL!$C$32, $C$9, 100%, $E$9)</f>
        <v>8.5486000000000004</v>
      </c>
      <c r="K222" s="11">
        <f>8.5539 * CHOOSE(CONTROL!$C$32, $C$9, 100%, $E$9)</f>
        <v>8.5539000000000005</v>
      </c>
      <c r="L222" s="11">
        <f>5.3328 * CHOOSE(CONTROL!$C$32, $C$9, 100%, $E$9)</f>
        <v>5.3327999999999998</v>
      </c>
      <c r="M222" s="11">
        <f>5.3381 * CHOOSE(CONTROL!$C$32, $C$9, 100%, $E$9)</f>
        <v>5.3380999999999998</v>
      </c>
      <c r="N222" s="11">
        <f>5.3328 * CHOOSE(CONTROL!$C$32, $C$9, 100%, $E$9)</f>
        <v>5.3327999999999998</v>
      </c>
      <c r="O222" s="11">
        <f>5.3381 * CHOOSE(CONTROL!$C$32, $C$9, 100%, $E$9)</f>
        <v>5.3380999999999998</v>
      </c>
    </row>
    <row r="223" spans="1:15" ht="15" x14ac:dyDescent="0.2">
      <c r="A223" s="13">
        <v>47635</v>
      </c>
      <c r="B223" s="9">
        <f>4.1861 * CHOOSE(CONTROL!$C$32, $C$9, 100%, $E$9)</f>
        <v>4.1860999999999997</v>
      </c>
      <c r="C223" s="9">
        <f>4.1861 * CHOOSE(CONTROL!$C$32, $C$9, 100%, $E$9)</f>
        <v>4.1860999999999997</v>
      </c>
      <c r="D223" s="9">
        <f>4.1877 * CHOOSE(CONTROL!$C$32, $C$9, 100%, $E$9)</f>
        <v>4.1877000000000004</v>
      </c>
      <c r="E223" s="11">
        <f>5.3368 * CHOOSE(CONTROL!$C$32, $C$9, 100%, $E$9)</f>
        <v>5.3368000000000002</v>
      </c>
      <c r="F223" s="11">
        <f>5.3368 * CHOOSE(CONTROL!$C$32, $C$9, 100%, $E$9)</f>
        <v>5.3368000000000002</v>
      </c>
      <c r="G223" s="11">
        <f>5.3421 * CHOOSE(CONTROL!$C$32, $C$9, 100%, $E$9)</f>
        <v>5.3421000000000003</v>
      </c>
      <c r="H223" s="11">
        <f>8.5664 * CHOOSE(CONTROL!$C$32, $C$9, 100%, $E$9)</f>
        <v>8.5663999999999998</v>
      </c>
      <c r="I223" s="11">
        <f>8.5717 * CHOOSE(CONTROL!$C$32, $C$9, 100%, $E$9)</f>
        <v>8.5716999999999999</v>
      </c>
      <c r="J223" s="11">
        <f>8.5664 * CHOOSE(CONTROL!$C$32, $C$9, 100%, $E$9)</f>
        <v>8.5663999999999998</v>
      </c>
      <c r="K223" s="11">
        <f>8.5717 * CHOOSE(CONTROL!$C$32, $C$9, 100%, $E$9)</f>
        <v>8.5716999999999999</v>
      </c>
      <c r="L223" s="11">
        <f>5.3368 * CHOOSE(CONTROL!$C$32, $C$9, 100%, $E$9)</f>
        <v>5.3368000000000002</v>
      </c>
      <c r="M223" s="11">
        <f>5.3421 * CHOOSE(CONTROL!$C$32, $C$9, 100%, $E$9)</f>
        <v>5.3421000000000003</v>
      </c>
      <c r="N223" s="11">
        <f>5.3368 * CHOOSE(CONTROL!$C$32, $C$9, 100%, $E$9)</f>
        <v>5.3368000000000002</v>
      </c>
      <c r="O223" s="11">
        <f>5.3421 * CHOOSE(CONTROL!$C$32, $C$9, 100%, $E$9)</f>
        <v>5.3421000000000003</v>
      </c>
    </row>
    <row r="224" spans="1:15" ht="15" x14ac:dyDescent="0.2">
      <c r="A224" s="13">
        <v>47665</v>
      </c>
      <c r="B224" s="9">
        <f>4.2533 * CHOOSE(CONTROL!$C$32, $C$9, 100%, $E$9)</f>
        <v>4.2533000000000003</v>
      </c>
      <c r="C224" s="9">
        <f>4.2533 * CHOOSE(CONTROL!$C$32, $C$9, 100%, $E$9)</f>
        <v>4.2533000000000003</v>
      </c>
      <c r="D224" s="9">
        <f>4.2549 * CHOOSE(CONTROL!$C$32, $C$9, 100%, $E$9)</f>
        <v>4.2549000000000001</v>
      </c>
      <c r="E224" s="11">
        <f>5.4347 * CHOOSE(CONTROL!$C$32, $C$9, 100%, $E$9)</f>
        <v>5.4347000000000003</v>
      </c>
      <c r="F224" s="11">
        <f>5.4347 * CHOOSE(CONTROL!$C$32, $C$9, 100%, $E$9)</f>
        <v>5.4347000000000003</v>
      </c>
      <c r="G224" s="11">
        <f>5.44 * CHOOSE(CONTROL!$C$32, $C$9, 100%, $E$9)</f>
        <v>5.44</v>
      </c>
      <c r="H224" s="11">
        <f>8.5842 * CHOOSE(CONTROL!$C$32, $C$9, 100%, $E$9)</f>
        <v>8.5841999999999992</v>
      </c>
      <c r="I224" s="11">
        <f>8.5895 * CHOOSE(CONTROL!$C$32, $C$9, 100%, $E$9)</f>
        <v>8.5894999999999992</v>
      </c>
      <c r="J224" s="11">
        <f>8.5842 * CHOOSE(CONTROL!$C$32, $C$9, 100%, $E$9)</f>
        <v>8.5841999999999992</v>
      </c>
      <c r="K224" s="11">
        <f>8.5895 * CHOOSE(CONTROL!$C$32, $C$9, 100%, $E$9)</f>
        <v>8.5894999999999992</v>
      </c>
      <c r="L224" s="11">
        <f>5.4347 * CHOOSE(CONTROL!$C$32, $C$9, 100%, $E$9)</f>
        <v>5.4347000000000003</v>
      </c>
      <c r="M224" s="11">
        <f>5.44 * CHOOSE(CONTROL!$C$32, $C$9, 100%, $E$9)</f>
        <v>5.44</v>
      </c>
      <c r="N224" s="11">
        <f>5.4347 * CHOOSE(CONTROL!$C$32, $C$9, 100%, $E$9)</f>
        <v>5.4347000000000003</v>
      </c>
      <c r="O224" s="11">
        <f>5.44 * CHOOSE(CONTROL!$C$32, $C$9, 100%, $E$9)</f>
        <v>5.44</v>
      </c>
    </row>
    <row r="225" spans="1:15" ht="15" x14ac:dyDescent="0.2">
      <c r="A225" s="13">
        <v>47696</v>
      </c>
      <c r="B225" s="9">
        <f>4.26 * CHOOSE(CONTROL!$C$32, $C$9, 100%, $E$9)</f>
        <v>4.26</v>
      </c>
      <c r="C225" s="9">
        <f>4.26 * CHOOSE(CONTROL!$C$32, $C$9, 100%, $E$9)</f>
        <v>4.26</v>
      </c>
      <c r="D225" s="9">
        <f>4.2616 * CHOOSE(CONTROL!$C$32, $C$9, 100%, $E$9)</f>
        <v>4.2615999999999996</v>
      </c>
      <c r="E225" s="11">
        <f>5.4391 * CHOOSE(CONTROL!$C$32, $C$9, 100%, $E$9)</f>
        <v>5.4390999999999998</v>
      </c>
      <c r="F225" s="11">
        <f>5.4391 * CHOOSE(CONTROL!$C$32, $C$9, 100%, $E$9)</f>
        <v>5.4390999999999998</v>
      </c>
      <c r="G225" s="11">
        <f>5.4444 * CHOOSE(CONTROL!$C$32, $C$9, 100%, $E$9)</f>
        <v>5.4443999999999999</v>
      </c>
      <c r="H225" s="11">
        <f>8.6021 * CHOOSE(CONTROL!$C$32, $C$9, 100%, $E$9)</f>
        <v>8.6021000000000001</v>
      </c>
      <c r="I225" s="11">
        <f>8.6074 * CHOOSE(CONTROL!$C$32, $C$9, 100%, $E$9)</f>
        <v>8.6074000000000002</v>
      </c>
      <c r="J225" s="11">
        <f>8.6021 * CHOOSE(CONTROL!$C$32, $C$9, 100%, $E$9)</f>
        <v>8.6021000000000001</v>
      </c>
      <c r="K225" s="11">
        <f>8.6074 * CHOOSE(CONTROL!$C$32, $C$9, 100%, $E$9)</f>
        <v>8.6074000000000002</v>
      </c>
      <c r="L225" s="11">
        <f>5.4391 * CHOOSE(CONTROL!$C$32, $C$9, 100%, $E$9)</f>
        <v>5.4390999999999998</v>
      </c>
      <c r="M225" s="11">
        <f>5.4444 * CHOOSE(CONTROL!$C$32, $C$9, 100%, $E$9)</f>
        <v>5.4443999999999999</v>
      </c>
      <c r="N225" s="11">
        <f>5.4391 * CHOOSE(CONTROL!$C$32, $C$9, 100%, $E$9)</f>
        <v>5.4390999999999998</v>
      </c>
      <c r="O225" s="11">
        <f>5.4444 * CHOOSE(CONTROL!$C$32, $C$9, 100%, $E$9)</f>
        <v>5.4443999999999999</v>
      </c>
    </row>
    <row r="226" spans="1:15" ht="15" x14ac:dyDescent="0.2">
      <c r="A226" s="13">
        <v>47727</v>
      </c>
      <c r="B226" s="9">
        <f>4.2569 * CHOOSE(CONTROL!$C$32, $C$9, 100%, $E$9)</f>
        <v>4.2568999999999999</v>
      </c>
      <c r="C226" s="9">
        <f>4.2569 * CHOOSE(CONTROL!$C$32, $C$9, 100%, $E$9)</f>
        <v>4.2568999999999999</v>
      </c>
      <c r="D226" s="9">
        <f>4.2585 * CHOOSE(CONTROL!$C$32, $C$9, 100%, $E$9)</f>
        <v>4.2584999999999997</v>
      </c>
      <c r="E226" s="11">
        <f>5.4371 * CHOOSE(CONTROL!$C$32, $C$9, 100%, $E$9)</f>
        <v>5.4371</v>
      </c>
      <c r="F226" s="11">
        <f>5.4371 * CHOOSE(CONTROL!$C$32, $C$9, 100%, $E$9)</f>
        <v>5.4371</v>
      </c>
      <c r="G226" s="11">
        <f>5.4424 * CHOOSE(CONTROL!$C$32, $C$9, 100%, $E$9)</f>
        <v>5.4424000000000001</v>
      </c>
      <c r="H226" s="11">
        <f>8.62 * CHOOSE(CONTROL!$C$32, $C$9, 100%, $E$9)</f>
        <v>8.6199999999999992</v>
      </c>
      <c r="I226" s="11">
        <f>8.6253 * CHOOSE(CONTROL!$C$32, $C$9, 100%, $E$9)</f>
        <v>8.6252999999999993</v>
      </c>
      <c r="J226" s="11">
        <f>8.62 * CHOOSE(CONTROL!$C$32, $C$9, 100%, $E$9)</f>
        <v>8.6199999999999992</v>
      </c>
      <c r="K226" s="11">
        <f>8.6253 * CHOOSE(CONTROL!$C$32, $C$9, 100%, $E$9)</f>
        <v>8.6252999999999993</v>
      </c>
      <c r="L226" s="11">
        <f>5.4371 * CHOOSE(CONTROL!$C$32, $C$9, 100%, $E$9)</f>
        <v>5.4371</v>
      </c>
      <c r="M226" s="11">
        <f>5.4424 * CHOOSE(CONTROL!$C$32, $C$9, 100%, $E$9)</f>
        <v>5.4424000000000001</v>
      </c>
      <c r="N226" s="11">
        <f>5.4371 * CHOOSE(CONTROL!$C$32, $C$9, 100%, $E$9)</f>
        <v>5.4371</v>
      </c>
      <c r="O226" s="11">
        <f>5.4424 * CHOOSE(CONTROL!$C$32, $C$9, 100%, $E$9)</f>
        <v>5.4424000000000001</v>
      </c>
    </row>
    <row r="227" spans="1:15" ht="15" x14ac:dyDescent="0.2">
      <c r="A227" s="13">
        <v>47757</v>
      </c>
      <c r="B227" s="9">
        <f>4.253 * CHOOSE(CONTROL!$C$32, $C$9, 100%, $E$9)</f>
        <v>4.2530000000000001</v>
      </c>
      <c r="C227" s="9">
        <f>4.253 * CHOOSE(CONTROL!$C$32, $C$9, 100%, $E$9)</f>
        <v>4.2530000000000001</v>
      </c>
      <c r="D227" s="9">
        <f>4.254 * CHOOSE(CONTROL!$C$32, $C$9, 100%, $E$9)</f>
        <v>4.2539999999999996</v>
      </c>
      <c r="E227" s="11">
        <f>5.4323 * CHOOSE(CONTROL!$C$32, $C$9, 100%, $E$9)</f>
        <v>5.4322999999999997</v>
      </c>
      <c r="F227" s="11">
        <f>5.4323 * CHOOSE(CONTROL!$C$32, $C$9, 100%, $E$9)</f>
        <v>5.4322999999999997</v>
      </c>
      <c r="G227" s="11">
        <f>5.436 * CHOOSE(CONTROL!$C$32, $C$9, 100%, $E$9)</f>
        <v>5.4359999999999999</v>
      </c>
      <c r="H227" s="11">
        <f>8.638 * CHOOSE(CONTROL!$C$32, $C$9, 100%, $E$9)</f>
        <v>8.6379999999999999</v>
      </c>
      <c r="I227" s="11">
        <f>8.6416 * CHOOSE(CONTROL!$C$32, $C$9, 100%, $E$9)</f>
        <v>8.6416000000000004</v>
      </c>
      <c r="J227" s="11">
        <f>8.638 * CHOOSE(CONTROL!$C$32, $C$9, 100%, $E$9)</f>
        <v>8.6379999999999999</v>
      </c>
      <c r="K227" s="11">
        <f>8.6416 * CHOOSE(CONTROL!$C$32, $C$9, 100%, $E$9)</f>
        <v>8.6416000000000004</v>
      </c>
      <c r="L227" s="11">
        <f>5.4323 * CHOOSE(CONTROL!$C$32, $C$9, 100%, $E$9)</f>
        <v>5.4322999999999997</v>
      </c>
      <c r="M227" s="11">
        <f>5.436 * CHOOSE(CONTROL!$C$32, $C$9, 100%, $E$9)</f>
        <v>5.4359999999999999</v>
      </c>
      <c r="N227" s="11">
        <f>5.4323 * CHOOSE(CONTROL!$C$32, $C$9, 100%, $E$9)</f>
        <v>5.4322999999999997</v>
      </c>
      <c r="O227" s="11">
        <f>5.436 * CHOOSE(CONTROL!$C$32, $C$9, 100%, $E$9)</f>
        <v>5.4359999999999999</v>
      </c>
    </row>
    <row r="228" spans="1:15" ht="15" x14ac:dyDescent="0.2">
      <c r="A228" s="13">
        <v>47788</v>
      </c>
      <c r="B228" s="9">
        <f>4.256 * CHOOSE(CONTROL!$C$32, $C$9, 100%, $E$9)</f>
        <v>4.2560000000000002</v>
      </c>
      <c r="C228" s="9">
        <f>4.256 * CHOOSE(CONTROL!$C$32, $C$9, 100%, $E$9)</f>
        <v>4.2560000000000002</v>
      </c>
      <c r="D228" s="9">
        <f>4.2571 * CHOOSE(CONTROL!$C$32, $C$9, 100%, $E$9)</f>
        <v>4.2571000000000003</v>
      </c>
      <c r="E228" s="11">
        <f>5.4343 * CHOOSE(CONTROL!$C$32, $C$9, 100%, $E$9)</f>
        <v>5.4343000000000004</v>
      </c>
      <c r="F228" s="11">
        <f>5.4343 * CHOOSE(CONTROL!$C$32, $C$9, 100%, $E$9)</f>
        <v>5.4343000000000004</v>
      </c>
      <c r="G228" s="11">
        <f>5.438 * CHOOSE(CONTROL!$C$32, $C$9, 100%, $E$9)</f>
        <v>5.4379999999999997</v>
      </c>
      <c r="H228" s="11">
        <f>8.656 * CHOOSE(CONTROL!$C$32, $C$9, 100%, $E$9)</f>
        <v>8.6560000000000006</v>
      </c>
      <c r="I228" s="11">
        <f>8.6596 * CHOOSE(CONTROL!$C$32, $C$9, 100%, $E$9)</f>
        <v>8.6595999999999993</v>
      </c>
      <c r="J228" s="11">
        <f>8.656 * CHOOSE(CONTROL!$C$32, $C$9, 100%, $E$9)</f>
        <v>8.6560000000000006</v>
      </c>
      <c r="K228" s="11">
        <f>8.6596 * CHOOSE(CONTROL!$C$32, $C$9, 100%, $E$9)</f>
        <v>8.6595999999999993</v>
      </c>
      <c r="L228" s="11">
        <f>5.4343 * CHOOSE(CONTROL!$C$32, $C$9, 100%, $E$9)</f>
        <v>5.4343000000000004</v>
      </c>
      <c r="M228" s="11">
        <f>5.438 * CHOOSE(CONTROL!$C$32, $C$9, 100%, $E$9)</f>
        <v>5.4379999999999997</v>
      </c>
      <c r="N228" s="11">
        <f>5.4343 * CHOOSE(CONTROL!$C$32, $C$9, 100%, $E$9)</f>
        <v>5.4343000000000004</v>
      </c>
      <c r="O228" s="11">
        <f>5.438 * CHOOSE(CONTROL!$C$32, $C$9, 100%, $E$9)</f>
        <v>5.4379999999999997</v>
      </c>
    </row>
    <row r="229" spans="1:15" ht="15" x14ac:dyDescent="0.2">
      <c r="A229" s="13">
        <v>47818</v>
      </c>
      <c r="B229" s="9">
        <f>4.256 * CHOOSE(CONTROL!$C$32, $C$9, 100%, $E$9)</f>
        <v>4.2560000000000002</v>
      </c>
      <c r="C229" s="9">
        <f>4.256 * CHOOSE(CONTROL!$C$32, $C$9, 100%, $E$9)</f>
        <v>4.2560000000000002</v>
      </c>
      <c r="D229" s="9">
        <f>4.2571 * CHOOSE(CONTROL!$C$32, $C$9, 100%, $E$9)</f>
        <v>4.2571000000000003</v>
      </c>
      <c r="E229" s="11">
        <f>5.4343 * CHOOSE(CONTROL!$C$32, $C$9, 100%, $E$9)</f>
        <v>5.4343000000000004</v>
      </c>
      <c r="F229" s="11">
        <f>5.4343 * CHOOSE(CONTROL!$C$32, $C$9, 100%, $E$9)</f>
        <v>5.4343000000000004</v>
      </c>
      <c r="G229" s="11">
        <f>5.438 * CHOOSE(CONTROL!$C$32, $C$9, 100%, $E$9)</f>
        <v>5.4379999999999997</v>
      </c>
      <c r="H229" s="11">
        <f>8.674 * CHOOSE(CONTROL!$C$32, $C$9, 100%, $E$9)</f>
        <v>8.6739999999999995</v>
      </c>
      <c r="I229" s="11">
        <f>8.6776 * CHOOSE(CONTROL!$C$32, $C$9, 100%, $E$9)</f>
        <v>8.6776</v>
      </c>
      <c r="J229" s="11">
        <f>8.674 * CHOOSE(CONTROL!$C$32, $C$9, 100%, $E$9)</f>
        <v>8.6739999999999995</v>
      </c>
      <c r="K229" s="11">
        <f>8.6776 * CHOOSE(CONTROL!$C$32, $C$9, 100%, $E$9)</f>
        <v>8.6776</v>
      </c>
      <c r="L229" s="11">
        <f>5.4343 * CHOOSE(CONTROL!$C$32, $C$9, 100%, $E$9)</f>
        <v>5.4343000000000004</v>
      </c>
      <c r="M229" s="11">
        <f>5.438 * CHOOSE(CONTROL!$C$32, $C$9, 100%, $E$9)</f>
        <v>5.4379999999999997</v>
      </c>
      <c r="N229" s="11">
        <f>5.4343 * CHOOSE(CONTROL!$C$32, $C$9, 100%, $E$9)</f>
        <v>5.4343000000000004</v>
      </c>
      <c r="O229" s="11">
        <f>5.438 * CHOOSE(CONTROL!$C$32, $C$9, 100%, $E$9)</f>
        <v>5.4379999999999997</v>
      </c>
    </row>
    <row r="230" spans="1:15" ht="15" x14ac:dyDescent="0.2">
      <c r="A230" s="13">
        <v>47849</v>
      </c>
      <c r="B230" s="9">
        <f>4.2906 * CHOOSE(CONTROL!$C$32, $C$9, 100%, $E$9)</f>
        <v>4.2906000000000004</v>
      </c>
      <c r="C230" s="9">
        <f>4.2906 * CHOOSE(CONTROL!$C$32, $C$9, 100%, $E$9)</f>
        <v>4.2906000000000004</v>
      </c>
      <c r="D230" s="9">
        <f>4.2916 * CHOOSE(CONTROL!$C$32, $C$9, 100%, $E$9)</f>
        <v>4.2915999999999999</v>
      </c>
      <c r="E230" s="11">
        <f>5.4769 * CHOOSE(CONTROL!$C$32, $C$9, 100%, $E$9)</f>
        <v>5.4768999999999997</v>
      </c>
      <c r="F230" s="11">
        <f>5.4769 * CHOOSE(CONTROL!$C$32, $C$9, 100%, $E$9)</f>
        <v>5.4768999999999997</v>
      </c>
      <c r="G230" s="11">
        <f>5.4806 * CHOOSE(CONTROL!$C$32, $C$9, 100%, $E$9)</f>
        <v>5.4805999999999999</v>
      </c>
      <c r="H230" s="11">
        <f>8.6921 * CHOOSE(CONTROL!$C$32, $C$9, 100%, $E$9)</f>
        <v>8.6920999999999999</v>
      </c>
      <c r="I230" s="11">
        <f>8.6957 * CHOOSE(CONTROL!$C$32, $C$9, 100%, $E$9)</f>
        <v>8.6957000000000004</v>
      </c>
      <c r="J230" s="11">
        <f>8.6921 * CHOOSE(CONTROL!$C$32, $C$9, 100%, $E$9)</f>
        <v>8.6920999999999999</v>
      </c>
      <c r="K230" s="11">
        <f>8.6957 * CHOOSE(CONTROL!$C$32, $C$9, 100%, $E$9)</f>
        <v>8.6957000000000004</v>
      </c>
      <c r="L230" s="11">
        <f>5.4769 * CHOOSE(CONTROL!$C$32, $C$9, 100%, $E$9)</f>
        <v>5.4768999999999997</v>
      </c>
      <c r="M230" s="11">
        <f>5.4806 * CHOOSE(CONTROL!$C$32, $C$9, 100%, $E$9)</f>
        <v>5.4805999999999999</v>
      </c>
      <c r="N230" s="11">
        <f>5.4769 * CHOOSE(CONTROL!$C$32, $C$9, 100%, $E$9)</f>
        <v>5.4768999999999997</v>
      </c>
      <c r="O230" s="11">
        <f>5.4806 * CHOOSE(CONTROL!$C$32, $C$9, 100%, $E$9)</f>
        <v>5.4805999999999999</v>
      </c>
    </row>
    <row r="231" spans="1:15" ht="15" x14ac:dyDescent="0.2">
      <c r="A231" s="13">
        <v>47880</v>
      </c>
      <c r="B231" s="9">
        <f>4.2875 * CHOOSE(CONTROL!$C$32, $C$9, 100%, $E$9)</f>
        <v>4.2874999999999996</v>
      </c>
      <c r="C231" s="9">
        <f>4.2875 * CHOOSE(CONTROL!$C$32, $C$9, 100%, $E$9)</f>
        <v>4.2874999999999996</v>
      </c>
      <c r="D231" s="9">
        <f>4.2886 * CHOOSE(CONTROL!$C$32, $C$9, 100%, $E$9)</f>
        <v>4.2885999999999997</v>
      </c>
      <c r="E231" s="11">
        <f>5.4749 * CHOOSE(CONTROL!$C$32, $C$9, 100%, $E$9)</f>
        <v>5.4748999999999999</v>
      </c>
      <c r="F231" s="11">
        <f>5.4749 * CHOOSE(CONTROL!$C$32, $C$9, 100%, $E$9)</f>
        <v>5.4748999999999999</v>
      </c>
      <c r="G231" s="11">
        <f>5.4786 * CHOOSE(CONTROL!$C$32, $C$9, 100%, $E$9)</f>
        <v>5.4786000000000001</v>
      </c>
      <c r="H231" s="11">
        <f>8.7102 * CHOOSE(CONTROL!$C$32, $C$9, 100%, $E$9)</f>
        <v>8.7102000000000004</v>
      </c>
      <c r="I231" s="11">
        <f>8.7138 * CHOOSE(CONTROL!$C$32, $C$9, 100%, $E$9)</f>
        <v>8.7138000000000009</v>
      </c>
      <c r="J231" s="11">
        <f>8.7102 * CHOOSE(CONTROL!$C$32, $C$9, 100%, $E$9)</f>
        <v>8.7102000000000004</v>
      </c>
      <c r="K231" s="11">
        <f>8.7138 * CHOOSE(CONTROL!$C$32, $C$9, 100%, $E$9)</f>
        <v>8.7138000000000009</v>
      </c>
      <c r="L231" s="11">
        <f>5.4749 * CHOOSE(CONTROL!$C$32, $C$9, 100%, $E$9)</f>
        <v>5.4748999999999999</v>
      </c>
      <c r="M231" s="11">
        <f>5.4786 * CHOOSE(CONTROL!$C$32, $C$9, 100%, $E$9)</f>
        <v>5.4786000000000001</v>
      </c>
      <c r="N231" s="11">
        <f>5.4749 * CHOOSE(CONTROL!$C$32, $C$9, 100%, $E$9)</f>
        <v>5.4748999999999999</v>
      </c>
      <c r="O231" s="11">
        <f>5.4786 * CHOOSE(CONTROL!$C$32, $C$9, 100%, $E$9)</f>
        <v>5.4786000000000001</v>
      </c>
    </row>
    <row r="232" spans="1:15" ht="15" x14ac:dyDescent="0.2">
      <c r="A232" s="13">
        <v>47908</v>
      </c>
      <c r="B232" s="9">
        <f>4.2845 * CHOOSE(CONTROL!$C$32, $C$9, 100%, $E$9)</f>
        <v>4.2845000000000004</v>
      </c>
      <c r="C232" s="9">
        <f>4.2845 * CHOOSE(CONTROL!$C$32, $C$9, 100%, $E$9)</f>
        <v>4.2845000000000004</v>
      </c>
      <c r="D232" s="9">
        <f>4.2856 * CHOOSE(CONTROL!$C$32, $C$9, 100%, $E$9)</f>
        <v>4.2855999999999996</v>
      </c>
      <c r="E232" s="11">
        <f>5.4729 * CHOOSE(CONTROL!$C$32, $C$9, 100%, $E$9)</f>
        <v>5.4729000000000001</v>
      </c>
      <c r="F232" s="11">
        <f>5.4729 * CHOOSE(CONTROL!$C$32, $C$9, 100%, $E$9)</f>
        <v>5.4729000000000001</v>
      </c>
      <c r="G232" s="11">
        <f>5.4766 * CHOOSE(CONTROL!$C$32, $C$9, 100%, $E$9)</f>
        <v>5.4766000000000004</v>
      </c>
      <c r="H232" s="11">
        <f>8.7283 * CHOOSE(CONTROL!$C$32, $C$9, 100%, $E$9)</f>
        <v>8.7283000000000008</v>
      </c>
      <c r="I232" s="11">
        <f>8.7319 * CHOOSE(CONTROL!$C$32, $C$9, 100%, $E$9)</f>
        <v>8.7318999999999996</v>
      </c>
      <c r="J232" s="11">
        <f>8.7283 * CHOOSE(CONTROL!$C$32, $C$9, 100%, $E$9)</f>
        <v>8.7283000000000008</v>
      </c>
      <c r="K232" s="11">
        <f>8.7319 * CHOOSE(CONTROL!$C$32, $C$9, 100%, $E$9)</f>
        <v>8.7318999999999996</v>
      </c>
      <c r="L232" s="11">
        <f>5.4729 * CHOOSE(CONTROL!$C$32, $C$9, 100%, $E$9)</f>
        <v>5.4729000000000001</v>
      </c>
      <c r="M232" s="11">
        <f>5.4766 * CHOOSE(CONTROL!$C$32, $C$9, 100%, $E$9)</f>
        <v>5.4766000000000004</v>
      </c>
      <c r="N232" s="11">
        <f>5.4729 * CHOOSE(CONTROL!$C$32, $C$9, 100%, $E$9)</f>
        <v>5.4729000000000001</v>
      </c>
      <c r="O232" s="11">
        <f>5.4766 * CHOOSE(CONTROL!$C$32, $C$9, 100%, $E$9)</f>
        <v>5.4766000000000004</v>
      </c>
    </row>
    <row r="233" spans="1:15" ht="15" x14ac:dyDescent="0.2">
      <c r="A233" s="13">
        <v>47939</v>
      </c>
      <c r="B233" s="9">
        <f>4.2824 * CHOOSE(CONTROL!$C$32, $C$9, 100%, $E$9)</f>
        <v>4.2824</v>
      </c>
      <c r="C233" s="9">
        <f>4.2824 * CHOOSE(CONTROL!$C$32, $C$9, 100%, $E$9)</f>
        <v>4.2824</v>
      </c>
      <c r="D233" s="9">
        <f>4.2835 * CHOOSE(CONTROL!$C$32, $C$9, 100%, $E$9)</f>
        <v>4.2835000000000001</v>
      </c>
      <c r="E233" s="11">
        <f>5.471 * CHOOSE(CONTROL!$C$32, $C$9, 100%, $E$9)</f>
        <v>5.4710000000000001</v>
      </c>
      <c r="F233" s="11">
        <f>5.471 * CHOOSE(CONTROL!$C$32, $C$9, 100%, $E$9)</f>
        <v>5.4710000000000001</v>
      </c>
      <c r="G233" s="11">
        <f>5.4746 * CHOOSE(CONTROL!$C$32, $C$9, 100%, $E$9)</f>
        <v>5.4745999999999997</v>
      </c>
      <c r="H233" s="11">
        <f>8.7465 * CHOOSE(CONTROL!$C$32, $C$9, 100%, $E$9)</f>
        <v>8.7464999999999993</v>
      </c>
      <c r="I233" s="11">
        <f>8.7501 * CHOOSE(CONTROL!$C$32, $C$9, 100%, $E$9)</f>
        <v>8.7500999999999998</v>
      </c>
      <c r="J233" s="11">
        <f>8.7465 * CHOOSE(CONTROL!$C$32, $C$9, 100%, $E$9)</f>
        <v>8.7464999999999993</v>
      </c>
      <c r="K233" s="11">
        <f>8.7501 * CHOOSE(CONTROL!$C$32, $C$9, 100%, $E$9)</f>
        <v>8.7500999999999998</v>
      </c>
      <c r="L233" s="11">
        <f>5.471 * CHOOSE(CONTROL!$C$32, $C$9, 100%, $E$9)</f>
        <v>5.4710000000000001</v>
      </c>
      <c r="M233" s="11">
        <f>5.4746 * CHOOSE(CONTROL!$C$32, $C$9, 100%, $E$9)</f>
        <v>5.4745999999999997</v>
      </c>
      <c r="N233" s="11">
        <f>5.471 * CHOOSE(CONTROL!$C$32, $C$9, 100%, $E$9)</f>
        <v>5.4710000000000001</v>
      </c>
      <c r="O233" s="11">
        <f>5.4746 * CHOOSE(CONTROL!$C$32, $C$9, 100%, $E$9)</f>
        <v>5.4745999999999997</v>
      </c>
    </row>
    <row r="234" spans="1:15" ht="15" x14ac:dyDescent="0.2">
      <c r="A234" s="13">
        <v>47969</v>
      </c>
      <c r="B234" s="9">
        <f>4.2824 * CHOOSE(CONTROL!$C$32, $C$9, 100%, $E$9)</f>
        <v>4.2824</v>
      </c>
      <c r="C234" s="9">
        <f>4.2824 * CHOOSE(CONTROL!$C$32, $C$9, 100%, $E$9)</f>
        <v>4.2824</v>
      </c>
      <c r="D234" s="9">
        <f>4.284 * CHOOSE(CONTROL!$C$32, $C$9, 100%, $E$9)</f>
        <v>4.2839999999999998</v>
      </c>
      <c r="E234" s="11">
        <f>5.471 * CHOOSE(CONTROL!$C$32, $C$9, 100%, $E$9)</f>
        <v>5.4710000000000001</v>
      </c>
      <c r="F234" s="11">
        <f>5.471 * CHOOSE(CONTROL!$C$32, $C$9, 100%, $E$9)</f>
        <v>5.4710000000000001</v>
      </c>
      <c r="G234" s="11">
        <f>5.4763 * CHOOSE(CONTROL!$C$32, $C$9, 100%, $E$9)</f>
        <v>5.4763000000000002</v>
      </c>
      <c r="H234" s="11">
        <f>8.7647 * CHOOSE(CONTROL!$C$32, $C$9, 100%, $E$9)</f>
        <v>8.7646999999999995</v>
      </c>
      <c r="I234" s="11">
        <f>8.77 * CHOOSE(CONTROL!$C$32, $C$9, 100%, $E$9)</f>
        <v>8.77</v>
      </c>
      <c r="J234" s="11">
        <f>8.7647 * CHOOSE(CONTROL!$C$32, $C$9, 100%, $E$9)</f>
        <v>8.7646999999999995</v>
      </c>
      <c r="K234" s="11">
        <f>8.77 * CHOOSE(CONTROL!$C$32, $C$9, 100%, $E$9)</f>
        <v>8.77</v>
      </c>
      <c r="L234" s="11">
        <f>5.471 * CHOOSE(CONTROL!$C$32, $C$9, 100%, $E$9)</f>
        <v>5.4710000000000001</v>
      </c>
      <c r="M234" s="11">
        <f>5.4763 * CHOOSE(CONTROL!$C$32, $C$9, 100%, $E$9)</f>
        <v>5.4763000000000002</v>
      </c>
      <c r="N234" s="11">
        <f>5.471 * CHOOSE(CONTROL!$C$32, $C$9, 100%, $E$9)</f>
        <v>5.4710000000000001</v>
      </c>
      <c r="O234" s="11">
        <f>5.4763 * CHOOSE(CONTROL!$C$32, $C$9, 100%, $E$9)</f>
        <v>5.4763000000000002</v>
      </c>
    </row>
    <row r="235" spans="1:15" ht="15" x14ac:dyDescent="0.2">
      <c r="A235" s="13">
        <v>48000</v>
      </c>
      <c r="B235" s="9">
        <f>4.2885 * CHOOSE(CONTROL!$C$32, $C$9, 100%, $E$9)</f>
        <v>4.2885</v>
      </c>
      <c r="C235" s="9">
        <f>4.2885 * CHOOSE(CONTROL!$C$32, $C$9, 100%, $E$9)</f>
        <v>4.2885</v>
      </c>
      <c r="D235" s="9">
        <f>4.2901 * CHOOSE(CONTROL!$C$32, $C$9, 100%, $E$9)</f>
        <v>4.2900999999999998</v>
      </c>
      <c r="E235" s="11">
        <f>5.475 * CHOOSE(CONTROL!$C$32, $C$9, 100%, $E$9)</f>
        <v>5.4749999999999996</v>
      </c>
      <c r="F235" s="11">
        <f>5.475 * CHOOSE(CONTROL!$C$32, $C$9, 100%, $E$9)</f>
        <v>5.4749999999999996</v>
      </c>
      <c r="G235" s="11">
        <f>5.4803 * CHOOSE(CONTROL!$C$32, $C$9, 100%, $E$9)</f>
        <v>5.4802999999999997</v>
      </c>
      <c r="H235" s="11">
        <f>8.783 * CHOOSE(CONTROL!$C$32, $C$9, 100%, $E$9)</f>
        <v>8.7829999999999995</v>
      </c>
      <c r="I235" s="11">
        <f>8.7883 * CHOOSE(CONTROL!$C$32, $C$9, 100%, $E$9)</f>
        <v>8.7882999999999996</v>
      </c>
      <c r="J235" s="11">
        <f>8.783 * CHOOSE(CONTROL!$C$32, $C$9, 100%, $E$9)</f>
        <v>8.7829999999999995</v>
      </c>
      <c r="K235" s="11">
        <f>8.7883 * CHOOSE(CONTROL!$C$32, $C$9, 100%, $E$9)</f>
        <v>8.7882999999999996</v>
      </c>
      <c r="L235" s="11">
        <f>5.475 * CHOOSE(CONTROL!$C$32, $C$9, 100%, $E$9)</f>
        <v>5.4749999999999996</v>
      </c>
      <c r="M235" s="11">
        <f>5.4803 * CHOOSE(CONTROL!$C$32, $C$9, 100%, $E$9)</f>
        <v>5.4802999999999997</v>
      </c>
      <c r="N235" s="11">
        <f>5.475 * CHOOSE(CONTROL!$C$32, $C$9, 100%, $E$9)</f>
        <v>5.4749999999999996</v>
      </c>
      <c r="O235" s="11">
        <f>5.4803 * CHOOSE(CONTROL!$C$32, $C$9, 100%, $E$9)</f>
        <v>5.4802999999999997</v>
      </c>
    </row>
    <row r="236" spans="1:15" ht="15" x14ac:dyDescent="0.2">
      <c r="A236" s="13">
        <v>48030</v>
      </c>
      <c r="B236" s="9">
        <f>4.3512 * CHOOSE(CONTROL!$C$32, $C$9, 100%, $E$9)</f>
        <v>4.3512000000000004</v>
      </c>
      <c r="C236" s="9">
        <f>4.3512 * CHOOSE(CONTROL!$C$32, $C$9, 100%, $E$9)</f>
        <v>4.3512000000000004</v>
      </c>
      <c r="D236" s="9">
        <f>4.3528 * CHOOSE(CONTROL!$C$32, $C$9, 100%, $E$9)</f>
        <v>4.3528000000000002</v>
      </c>
      <c r="E236" s="11">
        <f>5.5682 * CHOOSE(CONTROL!$C$32, $C$9, 100%, $E$9)</f>
        <v>5.5682</v>
      </c>
      <c r="F236" s="11">
        <f>5.5682 * CHOOSE(CONTROL!$C$32, $C$9, 100%, $E$9)</f>
        <v>5.5682</v>
      </c>
      <c r="G236" s="11">
        <f>5.5735 * CHOOSE(CONTROL!$C$32, $C$9, 100%, $E$9)</f>
        <v>5.5735000000000001</v>
      </c>
      <c r="H236" s="11">
        <f>8.8013 * CHOOSE(CONTROL!$C$32, $C$9, 100%, $E$9)</f>
        <v>8.8012999999999995</v>
      </c>
      <c r="I236" s="11">
        <f>8.8066 * CHOOSE(CONTROL!$C$32, $C$9, 100%, $E$9)</f>
        <v>8.8065999999999995</v>
      </c>
      <c r="J236" s="11">
        <f>8.8013 * CHOOSE(CONTROL!$C$32, $C$9, 100%, $E$9)</f>
        <v>8.8012999999999995</v>
      </c>
      <c r="K236" s="11">
        <f>8.8066 * CHOOSE(CONTROL!$C$32, $C$9, 100%, $E$9)</f>
        <v>8.8065999999999995</v>
      </c>
      <c r="L236" s="11">
        <f>5.5682 * CHOOSE(CONTROL!$C$32, $C$9, 100%, $E$9)</f>
        <v>5.5682</v>
      </c>
      <c r="M236" s="11">
        <f>5.5735 * CHOOSE(CONTROL!$C$32, $C$9, 100%, $E$9)</f>
        <v>5.5735000000000001</v>
      </c>
      <c r="N236" s="11">
        <f>5.5682 * CHOOSE(CONTROL!$C$32, $C$9, 100%, $E$9)</f>
        <v>5.5682</v>
      </c>
      <c r="O236" s="11">
        <f>5.5735 * CHOOSE(CONTROL!$C$32, $C$9, 100%, $E$9)</f>
        <v>5.5735000000000001</v>
      </c>
    </row>
    <row r="237" spans="1:15" ht="15" x14ac:dyDescent="0.2">
      <c r="A237" s="13">
        <v>48061</v>
      </c>
      <c r="B237" s="9">
        <f>4.3579 * CHOOSE(CONTROL!$C$32, $C$9, 100%, $E$9)</f>
        <v>4.3578999999999999</v>
      </c>
      <c r="C237" s="9">
        <f>4.3579 * CHOOSE(CONTROL!$C$32, $C$9, 100%, $E$9)</f>
        <v>4.3578999999999999</v>
      </c>
      <c r="D237" s="9">
        <f>4.3595 * CHOOSE(CONTROL!$C$32, $C$9, 100%, $E$9)</f>
        <v>4.3594999999999997</v>
      </c>
      <c r="E237" s="11">
        <f>5.5726 * CHOOSE(CONTROL!$C$32, $C$9, 100%, $E$9)</f>
        <v>5.5726000000000004</v>
      </c>
      <c r="F237" s="11">
        <f>5.5726 * CHOOSE(CONTROL!$C$32, $C$9, 100%, $E$9)</f>
        <v>5.5726000000000004</v>
      </c>
      <c r="G237" s="11">
        <f>5.5779 * CHOOSE(CONTROL!$C$32, $C$9, 100%, $E$9)</f>
        <v>5.5778999999999996</v>
      </c>
      <c r="H237" s="11">
        <f>8.8196 * CHOOSE(CONTROL!$C$32, $C$9, 100%, $E$9)</f>
        <v>8.8195999999999994</v>
      </c>
      <c r="I237" s="11">
        <f>8.8249 * CHOOSE(CONTROL!$C$32, $C$9, 100%, $E$9)</f>
        <v>8.8248999999999995</v>
      </c>
      <c r="J237" s="11">
        <f>8.8196 * CHOOSE(CONTROL!$C$32, $C$9, 100%, $E$9)</f>
        <v>8.8195999999999994</v>
      </c>
      <c r="K237" s="11">
        <f>8.8249 * CHOOSE(CONTROL!$C$32, $C$9, 100%, $E$9)</f>
        <v>8.8248999999999995</v>
      </c>
      <c r="L237" s="11">
        <f>5.5726 * CHOOSE(CONTROL!$C$32, $C$9, 100%, $E$9)</f>
        <v>5.5726000000000004</v>
      </c>
      <c r="M237" s="11">
        <f>5.5779 * CHOOSE(CONTROL!$C$32, $C$9, 100%, $E$9)</f>
        <v>5.5778999999999996</v>
      </c>
      <c r="N237" s="11">
        <f>5.5726 * CHOOSE(CONTROL!$C$32, $C$9, 100%, $E$9)</f>
        <v>5.5726000000000004</v>
      </c>
      <c r="O237" s="11">
        <f>5.5779 * CHOOSE(CONTROL!$C$32, $C$9, 100%, $E$9)</f>
        <v>5.5778999999999996</v>
      </c>
    </row>
    <row r="238" spans="1:15" ht="15" x14ac:dyDescent="0.2">
      <c r="A238" s="13">
        <v>48092</v>
      </c>
      <c r="B238" s="9">
        <f>4.3549 * CHOOSE(CONTROL!$C$32, $C$9, 100%, $E$9)</f>
        <v>4.3548999999999998</v>
      </c>
      <c r="C238" s="9">
        <f>4.3549 * CHOOSE(CONTROL!$C$32, $C$9, 100%, $E$9)</f>
        <v>4.3548999999999998</v>
      </c>
      <c r="D238" s="9">
        <f>4.3565 * CHOOSE(CONTROL!$C$32, $C$9, 100%, $E$9)</f>
        <v>4.3564999999999996</v>
      </c>
      <c r="E238" s="11">
        <f>5.5706 * CHOOSE(CONTROL!$C$32, $C$9, 100%, $E$9)</f>
        <v>5.5705999999999998</v>
      </c>
      <c r="F238" s="11">
        <f>5.5706 * CHOOSE(CONTROL!$C$32, $C$9, 100%, $E$9)</f>
        <v>5.5705999999999998</v>
      </c>
      <c r="G238" s="11">
        <f>5.5759 * CHOOSE(CONTROL!$C$32, $C$9, 100%, $E$9)</f>
        <v>5.5758999999999999</v>
      </c>
      <c r="H238" s="11">
        <f>8.838 * CHOOSE(CONTROL!$C$32, $C$9, 100%, $E$9)</f>
        <v>8.8379999999999992</v>
      </c>
      <c r="I238" s="11">
        <f>8.8433 * CHOOSE(CONTROL!$C$32, $C$9, 100%, $E$9)</f>
        <v>8.8432999999999993</v>
      </c>
      <c r="J238" s="11">
        <f>8.838 * CHOOSE(CONTROL!$C$32, $C$9, 100%, $E$9)</f>
        <v>8.8379999999999992</v>
      </c>
      <c r="K238" s="11">
        <f>8.8433 * CHOOSE(CONTROL!$C$32, $C$9, 100%, $E$9)</f>
        <v>8.8432999999999993</v>
      </c>
      <c r="L238" s="11">
        <f>5.5706 * CHOOSE(CONTROL!$C$32, $C$9, 100%, $E$9)</f>
        <v>5.5705999999999998</v>
      </c>
      <c r="M238" s="11">
        <f>5.5759 * CHOOSE(CONTROL!$C$32, $C$9, 100%, $E$9)</f>
        <v>5.5758999999999999</v>
      </c>
      <c r="N238" s="11">
        <f>5.5706 * CHOOSE(CONTROL!$C$32, $C$9, 100%, $E$9)</f>
        <v>5.5705999999999998</v>
      </c>
      <c r="O238" s="11">
        <f>5.5759 * CHOOSE(CONTROL!$C$32, $C$9, 100%, $E$9)</f>
        <v>5.5758999999999999</v>
      </c>
    </row>
    <row r="239" spans="1:15" ht="15" x14ac:dyDescent="0.2">
      <c r="A239" s="13">
        <v>48122</v>
      </c>
      <c r="B239" s="9">
        <f>4.3513 * CHOOSE(CONTROL!$C$32, $C$9, 100%, $E$9)</f>
        <v>4.3513000000000002</v>
      </c>
      <c r="C239" s="9">
        <f>4.3513 * CHOOSE(CONTROL!$C$32, $C$9, 100%, $E$9)</f>
        <v>4.3513000000000002</v>
      </c>
      <c r="D239" s="9">
        <f>4.3523 * CHOOSE(CONTROL!$C$32, $C$9, 100%, $E$9)</f>
        <v>4.3522999999999996</v>
      </c>
      <c r="E239" s="11">
        <f>5.566 * CHOOSE(CONTROL!$C$32, $C$9, 100%, $E$9)</f>
        <v>5.5659999999999998</v>
      </c>
      <c r="F239" s="11">
        <f>5.566 * CHOOSE(CONTROL!$C$32, $C$9, 100%, $E$9)</f>
        <v>5.5659999999999998</v>
      </c>
      <c r="G239" s="11">
        <f>5.5696 * CHOOSE(CONTROL!$C$32, $C$9, 100%, $E$9)</f>
        <v>5.5696000000000003</v>
      </c>
      <c r="H239" s="11">
        <f>8.8564 * CHOOSE(CONTROL!$C$32, $C$9, 100%, $E$9)</f>
        <v>8.8564000000000007</v>
      </c>
      <c r="I239" s="11">
        <f>8.86 * CHOOSE(CONTROL!$C$32, $C$9, 100%, $E$9)</f>
        <v>8.86</v>
      </c>
      <c r="J239" s="11">
        <f>8.8564 * CHOOSE(CONTROL!$C$32, $C$9, 100%, $E$9)</f>
        <v>8.8564000000000007</v>
      </c>
      <c r="K239" s="11">
        <f>8.86 * CHOOSE(CONTROL!$C$32, $C$9, 100%, $E$9)</f>
        <v>8.86</v>
      </c>
      <c r="L239" s="11">
        <f>5.566 * CHOOSE(CONTROL!$C$32, $C$9, 100%, $E$9)</f>
        <v>5.5659999999999998</v>
      </c>
      <c r="M239" s="11">
        <f>5.5696 * CHOOSE(CONTROL!$C$32, $C$9, 100%, $E$9)</f>
        <v>5.5696000000000003</v>
      </c>
      <c r="N239" s="11">
        <f>5.566 * CHOOSE(CONTROL!$C$32, $C$9, 100%, $E$9)</f>
        <v>5.5659999999999998</v>
      </c>
      <c r="O239" s="11">
        <f>5.5696 * CHOOSE(CONTROL!$C$32, $C$9, 100%, $E$9)</f>
        <v>5.5696000000000003</v>
      </c>
    </row>
    <row r="240" spans="1:15" ht="15" x14ac:dyDescent="0.2">
      <c r="A240" s="13">
        <v>48153</v>
      </c>
      <c r="B240" s="9">
        <f>4.3543 * CHOOSE(CONTROL!$C$32, $C$9, 100%, $E$9)</f>
        <v>4.3543000000000003</v>
      </c>
      <c r="C240" s="9">
        <f>4.3543 * CHOOSE(CONTROL!$C$32, $C$9, 100%, $E$9)</f>
        <v>4.3543000000000003</v>
      </c>
      <c r="D240" s="9">
        <f>4.3554 * CHOOSE(CONTROL!$C$32, $C$9, 100%, $E$9)</f>
        <v>4.3554000000000004</v>
      </c>
      <c r="E240" s="11">
        <f>5.568 * CHOOSE(CONTROL!$C$32, $C$9, 100%, $E$9)</f>
        <v>5.5679999999999996</v>
      </c>
      <c r="F240" s="11">
        <f>5.568 * CHOOSE(CONTROL!$C$32, $C$9, 100%, $E$9)</f>
        <v>5.5679999999999996</v>
      </c>
      <c r="G240" s="11">
        <f>5.5716 * CHOOSE(CONTROL!$C$32, $C$9, 100%, $E$9)</f>
        <v>5.5716000000000001</v>
      </c>
      <c r="H240" s="11">
        <f>8.8749 * CHOOSE(CONTROL!$C$32, $C$9, 100%, $E$9)</f>
        <v>8.8749000000000002</v>
      </c>
      <c r="I240" s="11">
        <f>8.8785 * CHOOSE(CONTROL!$C$32, $C$9, 100%, $E$9)</f>
        <v>8.8785000000000007</v>
      </c>
      <c r="J240" s="11">
        <f>8.8749 * CHOOSE(CONTROL!$C$32, $C$9, 100%, $E$9)</f>
        <v>8.8749000000000002</v>
      </c>
      <c r="K240" s="11">
        <f>8.8785 * CHOOSE(CONTROL!$C$32, $C$9, 100%, $E$9)</f>
        <v>8.8785000000000007</v>
      </c>
      <c r="L240" s="11">
        <f>5.568 * CHOOSE(CONTROL!$C$32, $C$9, 100%, $E$9)</f>
        <v>5.5679999999999996</v>
      </c>
      <c r="M240" s="11">
        <f>5.5716 * CHOOSE(CONTROL!$C$32, $C$9, 100%, $E$9)</f>
        <v>5.5716000000000001</v>
      </c>
      <c r="N240" s="11">
        <f>5.568 * CHOOSE(CONTROL!$C$32, $C$9, 100%, $E$9)</f>
        <v>5.5679999999999996</v>
      </c>
      <c r="O240" s="11">
        <f>5.5716 * CHOOSE(CONTROL!$C$32, $C$9, 100%, $E$9)</f>
        <v>5.5716000000000001</v>
      </c>
    </row>
    <row r="241" spans="1:15" ht="15" x14ac:dyDescent="0.2">
      <c r="A241" s="13">
        <v>48183</v>
      </c>
      <c r="B241" s="9">
        <f>4.3543 * CHOOSE(CONTROL!$C$32, $C$9, 100%, $E$9)</f>
        <v>4.3543000000000003</v>
      </c>
      <c r="C241" s="9">
        <f>4.3543 * CHOOSE(CONTROL!$C$32, $C$9, 100%, $E$9)</f>
        <v>4.3543000000000003</v>
      </c>
      <c r="D241" s="9">
        <f>4.3554 * CHOOSE(CONTROL!$C$32, $C$9, 100%, $E$9)</f>
        <v>4.3554000000000004</v>
      </c>
      <c r="E241" s="11">
        <f>5.568 * CHOOSE(CONTROL!$C$32, $C$9, 100%, $E$9)</f>
        <v>5.5679999999999996</v>
      </c>
      <c r="F241" s="11">
        <f>5.568 * CHOOSE(CONTROL!$C$32, $C$9, 100%, $E$9)</f>
        <v>5.5679999999999996</v>
      </c>
      <c r="G241" s="11">
        <f>5.5716 * CHOOSE(CONTROL!$C$32, $C$9, 100%, $E$9)</f>
        <v>5.5716000000000001</v>
      </c>
      <c r="H241" s="11">
        <f>8.8934 * CHOOSE(CONTROL!$C$32, $C$9, 100%, $E$9)</f>
        <v>8.8933999999999997</v>
      </c>
      <c r="I241" s="11">
        <f>8.897 * CHOOSE(CONTROL!$C$32, $C$9, 100%, $E$9)</f>
        <v>8.8970000000000002</v>
      </c>
      <c r="J241" s="11">
        <f>8.8934 * CHOOSE(CONTROL!$C$32, $C$9, 100%, $E$9)</f>
        <v>8.8933999999999997</v>
      </c>
      <c r="K241" s="11">
        <f>8.897 * CHOOSE(CONTROL!$C$32, $C$9, 100%, $E$9)</f>
        <v>8.8970000000000002</v>
      </c>
      <c r="L241" s="11">
        <f>5.568 * CHOOSE(CONTROL!$C$32, $C$9, 100%, $E$9)</f>
        <v>5.5679999999999996</v>
      </c>
      <c r="M241" s="11">
        <f>5.5716 * CHOOSE(CONTROL!$C$32, $C$9, 100%, $E$9)</f>
        <v>5.5716000000000001</v>
      </c>
      <c r="N241" s="11">
        <f>5.568 * CHOOSE(CONTROL!$C$32, $C$9, 100%, $E$9)</f>
        <v>5.5679999999999996</v>
      </c>
      <c r="O241" s="11">
        <f>5.5716 * CHOOSE(CONTROL!$C$32, $C$9, 100%, $E$9)</f>
        <v>5.5716000000000001</v>
      </c>
    </row>
    <row r="242" spans="1:15" ht="15" x14ac:dyDescent="0.2">
      <c r="A242" s="13">
        <v>48214</v>
      </c>
      <c r="B242" s="9">
        <f>4.3913 * CHOOSE(CONTROL!$C$32, $C$9, 100%, $E$9)</f>
        <v>4.3913000000000002</v>
      </c>
      <c r="C242" s="9">
        <f>4.3913 * CHOOSE(CONTROL!$C$32, $C$9, 100%, $E$9)</f>
        <v>4.3913000000000002</v>
      </c>
      <c r="D242" s="9">
        <f>4.3923 * CHOOSE(CONTROL!$C$32, $C$9, 100%, $E$9)</f>
        <v>4.3922999999999996</v>
      </c>
      <c r="E242" s="11">
        <f>5.6146 * CHOOSE(CONTROL!$C$32, $C$9, 100%, $E$9)</f>
        <v>5.6146000000000003</v>
      </c>
      <c r="F242" s="11">
        <f>5.6146 * CHOOSE(CONTROL!$C$32, $C$9, 100%, $E$9)</f>
        <v>5.6146000000000003</v>
      </c>
      <c r="G242" s="11">
        <f>5.6182 * CHOOSE(CONTROL!$C$32, $C$9, 100%, $E$9)</f>
        <v>5.6181999999999999</v>
      </c>
      <c r="H242" s="11">
        <f>8.9119 * CHOOSE(CONTROL!$C$32, $C$9, 100%, $E$9)</f>
        <v>8.9118999999999993</v>
      </c>
      <c r="I242" s="11">
        <f>8.9155 * CHOOSE(CONTROL!$C$32, $C$9, 100%, $E$9)</f>
        <v>8.9154999999999998</v>
      </c>
      <c r="J242" s="11">
        <f>8.9119 * CHOOSE(CONTROL!$C$32, $C$9, 100%, $E$9)</f>
        <v>8.9118999999999993</v>
      </c>
      <c r="K242" s="11">
        <f>8.9155 * CHOOSE(CONTROL!$C$32, $C$9, 100%, $E$9)</f>
        <v>8.9154999999999998</v>
      </c>
      <c r="L242" s="11">
        <f>5.6146 * CHOOSE(CONTROL!$C$32, $C$9, 100%, $E$9)</f>
        <v>5.6146000000000003</v>
      </c>
      <c r="M242" s="11">
        <f>5.6182 * CHOOSE(CONTROL!$C$32, $C$9, 100%, $E$9)</f>
        <v>5.6181999999999999</v>
      </c>
      <c r="N242" s="11">
        <f>5.6146 * CHOOSE(CONTROL!$C$32, $C$9, 100%, $E$9)</f>
        <v>5.6146000000000003</v>
      </c>
      <c r="O242" s="11">
        <f>5.6182 * CHOOSE(CONTROL!$C$32, $C$9, 100%, $E$9)</f>
        <v>5.6181999999999999</v>
      </c>
    </row>
    <row r="243" spans="1:15" ht="15" x14ac:dyDescent="0.2">
      <c r="A243" s="13">
        <v>48245</v>
      </c>
      <c r="B243" s="9">
        <f>4.3882 * CHOOSE(CONTROL!$C$32, $C$9, 100%, $E$9)</f>
        <v>4.3882000000000003</v>
      </c>
      <c r="C243" s="9">
        <f>4.3882 * CHOOSE(CONTROL!$C$32, $C$9, 100%, $E$9)</f>
        <v>4.3882000000000003</v>
      </c>
      <c r="D243" s="9">
        <f>4.3893 * CHOOSE(CONTROL!$C$32, $C$9, 100%, $E$9)</f>
        <v>4.3893000000000004</v>
      </c>
      <c r="E243" s="11">
        <f>5.6126 * CHOOSE(CONTROL!$C$32, $C$9, 100%, $E$9)</f>
        <v>5.6125999999999996</v>
      </c>
      <c r="F243" s="11">
        <f>5.6126 * CHOOSE(CONTROL!$C$32, $C$9, 100%, $E$9)</f>
        <v>5.6125999999999996</v>
      </c>
      <c r="G243" s="11">
        <f>5.6162 * CHOOSE(CONTROL!$C$32, $C$9, 100%, $E$9)</f>
        <v>5.6162000000000001</v>
      </c>
      <c r="H243" s="11">
        <f>8.9305 * CHOOSE(CONTROL!$C$32, $C$9, 100%, $E$9)</f>
        <v>8.9305000000000003</v>
      </c>
      <c r="I243" s="11">
        <f>8.9341 * CHOOSE(CONTROL!$C$32, $C$9, 100%, $E$9)</f>
        <v>8.9341000000000008</v>
      </c>
      <c r="J243" s="11">
        <f>8.9305 * CHOOSE(CONTROL!$C$32, $C$9, 100%, $E$9)</f>
        <v>8.9305000000000003</v>
      </c>
      <c r="K243" s="11">
        <f>8.9341 * CHOOSE(CONTROL!$C$32, $C$9, 100%, $E$9)</f>
        <v>8.9341000000000008</v>
      </c>
      <c r="L243" s="11">
        <f>5.6126 * CHOOSE(CONTROL!$C$32, $C$9, 100%, $E$9)</f>
        <v>5.6125999999999996</v>
      </c>
      <c r="M243" s="11">
        <f>5.6162 * CHOOSE(CONTROL!$C$32, $C$9, 100%, $E$9)</f>
        <v>5.6162000000000001</v>
      </c>
      <c r="N243" s="11">
        <f>5.6126 * CHOOSE(CONTROL!$C$32, $C$9, 100%, $E$9)</f>
        <v>5.6125999999999996</v>
      </c>
      <c r="O243" s="11">
        <f>5.6162 * CHOOSE(CONTROL!$C$32, $C$9, 100%, $E$9)</f>
        <v>5.6162000000000001</v>
      </c>
    </row>
    <row r="244" spans="1:15" ht="15" x14ac:dyDescent="0.2">
      <c r="A244" s="13">
        <v>48274</v>
      </c>
      <c r="B244" s="9">
        <f>4.3852 * CHOOSE(CONTROL!$C$32, $C$9, 100%, $E$9)</f>
        <v>4.3852000000000002</v>
      </c>
      <c r="C244" s="9">
        <f>4.3852 * CHOOSE(CONTROL!$C$32, $C$9, 100%, $E$9)</f>
        <v>4.3852000000000002</v>
      </c>
      <c r="D244" s="9">
        <f>4.3862 * CHOOSE(CONTROL!$C$32, $C$9, 100%, $E$9)</f>
        <v>4.3861999999999997</v>
      </c>
      <c r="E244" s="11">
        <f>5.6106 * CHOOSE(CONTROL!$C$32, $C$9, 100%, $E$9)</f>
        <v>5.6105999999999998</v>
      </c>
      <c r="F244" s="11">
        <f>5.6106 * CHOOSE(CONTROL!$C$32, $C$9, 100%, $E$9)</f>
        <v>5.6105999999999998</v>
      </c>
      <c r="G244" s="11">
        <f>5.6142 * CHOOSE(CONTROL!$C$32, $C$9, 100%, $E$9)</f>
        <v>5.6142000000000003</v>
      </c>
      <c r="H244" s="11">
        <f>8.9491 * CHOOSE(CONTROL!$C$32, $C$9, 100%, $E$9)</f>
        <v>8.9490999999999996</v>
      </c>
      <c r="I244" s="11">
        <f>8.9527 * CHOOSE(CONTROL!$C$32, $C$9, 100%, $E$9)</f>
        <v>8.9527000000000001</v>
      </c>
      <c r="J244" s="11">
        <f>8.9491 * CHOOSE(CONTROL!$C$32, $C$9, 100%, $E$9)</f>
        <v>8.9490999999999996</v>
      </c>
      <c r="K244" s="11">
        <f>8.9527 * CHOOSE(CONTROL!$C$32, $C$9, 100%, $E$9)</f>
        <v>8.9527000000000001</v>
      </c>
      <c r="L244" s="11">
        <f>5.6106 * CHOOSE(CONTROL!$C$32, $C$9, 100%, $E$9)</f>
        <v>5.6105999999999998</v>
      </c>
      <c r="M244" s="11">
        <f>5.6142 * CHOOSE(CONTROL!$C$32, $C$9, 100%, $E$9)</f>
        <v>5.6142000000000003</v>
      </c>
      <c r="N244" s="11">
        <f>5.6106 * CHOOSE(CONTROL!$C$32, $C$9, 100%, $E$9)</f>
        <v>5.6105999999999998</v>
      </c>
      <c r="O244" s="11">
        <f>5.6142 * CHOOSE(CONTROL!$C$32, $C$9, 100%, $E$9)</f>
        <v>5.6142000000000003</v>
      </c>
    </row>
    <row r="245" spans="1:15" ht="15" x14ac:dyDescent="0.2">
      <c r="A245" s="13">
        <v>48305</v>
      </c>
      <c r="B245" s="9">
        <f>4.3832 * CHOOSE(CONTROL!$C$32, $C$9, 100%, $E$9)</f>
        <v>4.3832000000000004</v>
      </c>
      <c r="C245" s="9">
        <f>4.3832 * CHOOSE(CONTROL!$C$32, $C$9, 100%, $E$9)</f>
        <v>4.3832000000000004</v>
      </c>
      <c r="D245" s="9">
        <f>4.3843 * CHOOSE(CONTROL!$C$32, $C$9, 100%, $E$9)</f>
        <v>4.3842999999999996</v>
      </c>
      <c r="E245" s="11">
        <f>5.6087 * CHOOSE(CONTROL!$C$32, $C$9, 100%, $E$9)</f>
        <v>5.6086999999999998</v>
      </c>
      <c r="F245" s="11">
        <f>5.6087 * CHOOSE(CONTROL!$C$32, $C$9, 100%, $E$9)</f>
        <v>5.6086999999999998</v>
      </c>
      <c r="G245" s="11">
        <f>5.6123 * CHOOSE(CONTROL!$C$32, $C$9, 100%, $E$9)</f>
        <v>5.6123000000000003</v>
      </c>
      <c r="H245" s="11">
        <f>8.9677 * CHOOSE(CONTROL!$C$32, $C$9, 100%, $E$9)</f>
        <v>8.9677000000000007</v>
      </c>
      <c r="I245" s="11">
        <f>8.9713 * CHOOSE(CONTROL!$C$32, $C$9, 100%, $E$9)</f>
        <v>8.9712999999999994</v>
      </c>
      <c r="J245" s="11">
        <f>8.9677 * CHOOSE(CONTROL!$C$32, $C$9, 100%, $E$9)</f>
        <v>8.9677000000000007</v>
      </c>
      <c r="K245" s="11">
        <f>8.9713 * CHOOSE(CONTROL!$C$32, $C$9, 100%, $E$9)</f>
        <v>8.9712999999999994</v>
      </c>
      <c r="L245" s="11">
        <f>5.6087 * CHOOSE(CONTROL!$C$32, $C$9, 100%, $E$9)</f>
        <v>5.6086999999999998</v>
      </c>
      <c r="M245" s="11">
        <f>5.6123 * CHOOSE(CONTROL!$C$32, $C$9, 100%, $E$9)</f>
        <v>5.6123000000000003</v>
      </c>
      <c r="N245" s="11">
        <f>5.6087 * CHOOSE(CONTROL!$C$32, $C$9, 100%, $E$9)</f>
        <v>5.6086999999999998</v>
      </c>
      <c r="O245" s="11">
        <f>5.6123 * CHOOSE(CONTROL!$C$32, $C$9, 100%, $E$9)</f>
        <v>5.6123000000000003</v>
      </c>
    </row>
    <row r="246" spans="1:15" ht="15" x14ac:dyDescent="0.2">
      <c r="A246" s="13">
        <v>48335</v>
      </c>
      <c r="B246" s="9">
        <f>4.3832 * CHOOSE(CONTROL!$C$32, $C$9, 100%, $E$9)</f>
        <v>4.3832000000000004</v>
      </c>
      <c r="C246" s="9">
        <f>4.3832 * CHOOSE(CONTROL!$C$32, $C$9, 100%, $E$9)</f>
        <v>4.3832000000000004</v>
      </c>
      <c r="D246" s="9">
        <f>4.3848 * CHOOSE(CONTROL!$C$32, $C$9, 100%, $E$9)</f>
        <v>4.3848000000000003</v>
      </c>
      <c r="E246" s="11">
        <f>5.6087 * CHOOSE(CONTROL!$C$32, $C$9, 100%, $E$9)</f>
        <v>5.6086999999999998</v>
      </c>
      <c r="F246" s="11">
        <f>5.6087 * CHOOSE(CONTROL!$C$32, $C$9, 100%, $E$9)</f>
        <v>5.6086999999999998</v>
      </c>
      <c r="G246" s="11">
        <f>5.614 * CHOOSE(CONTROL!$C$32, $C$9, 100%, $E$9)</f>
        <v>5.6139999999999999</v>
      </c>
      <c r="H246" s="11">
        <f>8.9864 * CHOOSE(CONTROL!$C$32, $C$9, 100%, $E$9)</f>
        <v>8.9863999999999997</v>
      </c>
      <c r="I246" s="11">
        <f>8.9917 * CHOOSE(CONTROL!$C$32, $C$9, 100%, $E$9)</f>
        <v>8.9916999999999998</v>
      </c>
      <c r="J246" s="11">
        <f>8.9864 * CHOOSE(CONTROL!$C$32, $C$9, 100%, $E$9)</f>
        <v>8.9863999999999997</v>
      </c>
      <c r="K246" s="11">
        <f>8.9917 * CHOOSE(CONTROL!$C$32, $C$9, 100%, $E$9)</f>
        <v>8.9916999999999998</v>
      </c>
      <c r="L246" s="11">
        <f>5.6087 * CHOOSE(CONTROL!$C$32, $C$9, 100%, $E$9)</f>
        <v>5.6086999999999998</v>
      </c>
      <c r="M246" s="11">
        <f>5.614 * CHOOSE(CONTROL!$C$32, $C$9, 100%, $E$9)</f>
        <v>5.6139999999999999</v>
      </c>
      <c r="N246" s="11">
        <f>5.6087 * CHOOSE(CONTROL!$C$32, $C$9, 100%, $E$9)</f>
        <v>5.6086999999999998</v>
      </c>
      <c r="O246" s="11">
        <f>5.614 * CHOOSE(CONTROL!$C$32, $C$9, 100%, $E$9)</f>
        <v>5.6139999999999999</v>
      </c>
    </row>
    <row r="247" spans="1:15" ht="15" x14ac:dyDescent="0.2">
      <c r="A247" s="13">
        <v>48366</v>
      </c>
      <c r="B247" s="9">
        <f>4.3893 * CHOOSE(CONTROL!$C$32, $C$9, 100%, $E$9)</f>
        <v>4.3893000000000004</v>
      </c>
      <c r="C247" s="9">
        <f>4.3893 * CHOOSE(CONTROL!$C$32, $C$9, 100%, $E$9)</f>
        <v>4.3893000000000004</v>
      </c>
      <c r="D247" s="9">
        <f>4.3909 * CHOOSE(CONTROL!$C$32, $C$9, 100%, $E$9)</f>
        <v>4.3909000000000002</v>
      </c>
      <c r="E247" s="11">
        <f>5.6127 * CHOOSE(CONTROL!$C$32, $C$9, 100%, $E$9)</f>
        <v>5.6127000000000002</v>
      </c>
      <c r="F247" s="11">
        <f>5.6127 * CHOOSE(CONTROL!$C$32, $C$9, 100%, $E$9)</f>
        <v>5.6127000000000002</v>
      </c>
      <c r="G247" s="11">
        <f>5.618 * CHOOSE(CONTROL!$C$32, $C$9, 100%, $E$9)</f>
        <v>5.6180000000000003</v>
      </c>
      <c r="H247" s="11">
        <f>9.0051 * CHOOSE(CONTROL!$C$32, $C$9, 100%, $E$9)</f>
        <v>9.0051000000000005</v>
      </c>
      <c r="I247" s="11">
        <f>9.0104 * CHOOSE(CONTROL!$C$32, $C$9, 100%, $E$9)</f>
        <v>9.0104000000000006</v>
      </c>
      <c r="J247" s="11">
        <f>9.0051 * CHOOSE(CONTROL!$C$32, $C$9, 100%, $E$9)</f>
        <v>9.0051000000000005</v>
      </c>
      <c r="K247" s="11">
        <f>9.0104 * CHOOSE(CONTROL!$C$32, $C$9, 100%, $E$9)</f>
        <v>9.0104000000000006</v>
      </c>
      <c r="L247" s="11">
        <f>5.6127 * CHOOSE(CONTROL!$C$32, $C$9, 100%, $E$9)</f>
        <v>5.6127000000000002</v>
      </c>
      <c r="M247" s="11">
        <f>5.618 * CHOOSE(CONTROL!$C$32, $C$9, 100%, $E$9)</f>
        <v>5.6180000000000003</v>
      </c>
      <c r="N247" s="11">
        <f>5.6127 * CHOOSE(CONTROL!$C$32, $C$9, 100%, $E$9)</f>
        <v>5.6127000000000002</v>
      </c>
      <c r="O247" s="11">
        <f>5.618 * CHOOSE(CONTROL!$C$32, $C$9, 100%, $E$9)</f>
        <v>5.6180000000000003</v>
      </c>
    </row>
    <row r="248" spans="1:15" ht="15" x14ac:dyDescent="0.2">
      <c r="A248" s="13">
        <v>48396</v>
      </c>
      <c r="B248" s="9">
        <f>4.4571 * CHOOSE(CONTROL!$C$32, $C$9, 100%, $E$9)</f>
        <v>4.4570999999999996</v>
      </c>
      <c r="C248" s="9">
        <f>4.4571 * CHOOSE(CONTROL!$C$32, $C$9, 100%, $E$9)</f>
        <v>4.4570999999999996</v>
      </c>
      <c r="D248" s="9">
        <f>4.4586 * CHOOSE(CONTROL!$C$32, $C$9, 100%, $E$9)</f>
        <v>4.4585999999999997</v>
      </c>
      <c r="E248" s="11">
        <f>5.7152 * CHOOSE(CONTROL!$C$32, $C$9, 100%, $E$9)</f>
        <v>5.7152000000000003</v>
      </c>
      <c r="F248" s="11">
        <f>5.7152 * CHOOSE(CONTROL!$C$32, $C$9, 100%, $E$9)</f>
        <v>5.7152000000000003</v>
      </c>
      <c r="G248" s="11">
        <f>5.7205 * CHOOSE(CONTROL!$C$32, $C$9, 100%, $E$9)</f>
        <v>5.7205000000000004</v>
      </c>
      <c r="H248" s="11">
        <f>9.0239 * CHOOSE(CONTROL!$C$32, $C$9, 100%, $E$9)</f>
        <v>9.0238999999999994</v>
      </c>
      <c r="I248" s="11">
        <f>9.0292 * CHOOSE(CONTROL!$C$32, $C$9, 100%, $E$9)</f>
        <v>9.0291999999999994</v>
      </c>
      <c r="J248" s="11">
        <f>9.0239 * CHOOSE(CONTROL!$C$32, $C$9, 100%, $E$9)</f>
        <v>9.0238999999999994</v>
      </c>
      <c r="K248" s="11">
        <f>9.0292 * CHOOSE(CONTROL!$C$32, $C$9, 100%, $E$9)</f>
        <v>9.0291999999999994</v>
      </c>
      <c r="L248" s="11">
        <f>5.7152 * CHOOSE(CONTROL!$C$32, $C$9, 100%, $E$9)</f>
        <v>5.7152000000000003</v>
      </c>
      <c r="M248" s="11">
        <f>5.7205 * CHOOSE(CONTROL!$C$32, $C$9, 100%, $E$9)</f>
        <v>5.7205000000000004</v>
      </c>
      <c r="N248" s="11">
        <f>5.7152 * CHOOSE(CONTROL!$C$32, $C$9, 100%, $E$9)</f>
        <v>5.7152000000000003</v>
      </c>
      <c r="O248" s="11">
        <f>5.7205 * CHOOSE(CONTROL!$C$32, $C$9, 100%, $E$9)</f>
        <v>5.7205000000000004</v>
      </c>
    </row>
    <row r="249" spans="1:15" ht="15" x14ac:dyDescent="0.2">
      <c r="A249" s="13">
        <v>48427</v>
      </c>
      <c r="B249" s="9">
        <f>4.4637 * CHOOSE(CONTROL!$C$32, $C$9, 100%, $E$9)</f>
        <v>4.4637000000000002</v>
      </c>
      <c r="C249" s="9">
        <f>4.4637 * CHOOSE(CONTROL!$C$32, $C$9, 100%, $E$9)</f>
        <v>4.4637000000000002</v>
      </c>
      <c r="D249" s="9">
        <f>4.4653 * CHOOSE(CONTROL!$C$32, $C$9, 100%, $E$9)</f>
        <v>4.4653</v>
      </c>
      <c r="E249" s="11">
        <f>5.7196 * CHOOSE(CONTROL!$C$32, $C$9, 100%, $E$9)</f>
        <v>5.7195999999999998</v>
      </c>
      <c r="F249" s="11">
        <f>5.7196 * CHOOSE(CONTROL!$C$32, $C$9, 100%, $E$9)</f>
        <v>5.7195999999999998</v>
      </c>
      <c r="G249" s="11">
        <f>5.7249 * CHOOSE(CONTROL!$C$32, $C$9, 100%, $E$9)</f>
        <v>5.7248999999999999</v>
      </c>
      <c r="H249" s="11">
        <f>9.0427 * CHOOSE(CONTROL!$C$32, $C$9, 100%, $E$9)</f>
        <v>9.0427</v>
      </c>
      <c r="I249" s="11">
        <f>9.048 * CHOOSE(CONTROL!$C$32, $C$9, 100%, $E$9)</f>
        <v>9.048</v>
      </c>
      <c r="J249" s="11">
        <f>9.0427 * CHOOSE(CONTROL!$C$32, $C$9, 100%, $E$9)</f>
        <v>9.0427</v>
      </c>
      <c r="K249" s="11">
        <f>9.048 * CHOOSE(CONTROL!$C$32, $C$9, 100%, $E$9)</f>
        <v>9.048</v>
      </c>
      <c r="L249" s="11">
        <f>5.7196 * CHOOSE(CONTROL!$C$32, $C$9, 100%, $E$9)</f>
        <v>5.7195999999999998</v>
      </c>
      <c r="M249" s="11">
        <f>5.7249 * CHOOSE(CONTROL!$C$32, $C$9, 100%, $E$9)</f>
        <v>5.7248999999999999</v>
      </c>
      <c r="N249" s="11">
        <f>5.7196 * CHOOSE(CONTROL!$C$32, $C$9, 100%, $E$9)</f>
        <v>5.7195999999999998</v>
      </c>
      <c r="O249" s="11">
        <f>5.7249 * CHOOSE(CONTROL!$C$32, $C$9, 100%, $E$9)</f>
        <v>5.7248999999999999</v>
      </c>
    </row>
    <row r="250" spans="1:15" ht="15" x14ac:dyDescent="0.2">
      <c r="A250" s="13">
        <v>48458</v>
      </c>
      <c r="B250" s="9">
        <f>4.4607 * CHOOSE(CONTROL!$C$32, $C$9, 100%, $E$9)</f>
        <v>4.4607000000000001</v>
      </c>
      <c r="C250" s="9">
        <f>4.4607 * CHOOSE(CONTROL!$C$32, $C$9, 100%, $E$9)</f>
        <v>4.4607000000000001</v>
      </c>
      <c r="D250" s="9">
        <f>4.4623 * CHOOSE(CONTROL!$C$32, $C$9, 100%, $E$9)</f>
        <v>4.4622999999999999</v>
      </c>
      <c r="E250" s="11">
        <f>5.7176 * CHOOSE(CONTROL!$C$32, $C$9, 100%, $E$9)</f>
        <v>5.7176</v>
      </c>
      <c r="F250" s="11">
        <f>5.7176 * CHOOSE(CONTROL!$C$32, $C$9, 100%, $E$9)</f>
        <v>5.7176</v>
      </c>
      <c r="G250" s="11">
        <f>5.7229 * CHOOSE(CONTROL!$C$32, $C$9, 100%, $E$9)</f>
        <v>5.7229000000000001</v>
      </c>
      <c r="H250" s="11">
        <f>9.0615 * CHOOSE(CONTROL!$C$32, $C$9, 100%, $E$9)</f>
        <v>9.0615000000000006</v>
      </c>
      <c r="I250" s="11">
        <f>9.0668 * CHOOSE(CONTROL!$C$32, $C$9, 100%, $E$9)</f>
        <v>9.0668000000000006</v>
      </c>
      <c r="J250" s="11">
        <f>9.0615 * CHOOSE(CONTROL!$C$32, $C$9, 100%, $E$9)</f>
        <v>9.0615000000000006</v>
      </c>
      <c r="K250" s="11">
        <f>9.0668 * CHOOSE(CONTROL!$C$32, $C$9, 100%, $E$9)</f>
        <v>9.0668000000000006</v>
      </c>
      <c r="L250" s="11">
        <f>5.7176 * CHOOSE(CONTROL!$C$32, $C$9, 100%, $E$9)</f>
        <v>5.7176</v>
      </c>
      <c r="M250" s="11">
        <f>5.7229 * CHOOSE(CONTROL!$C$32, $C$9, 100%, $E$9)</f>
        <v>5.7229000000000001</v>
      </c>
      <c r="N250" s="11">
        <f>5.7176 * CHOOSE(CONTROL!$C$32, $C$9, 100%, $E$9)</f>
        <v>5.7176</v>
      </c>
      <c r="O250" s="11">
        <f>5.7229 * CHOOSE(CONTROL!$C$32, $C$9, 100%, $E$9)</f>
        <v>5.7229000000000001</v>
      </c>
    </row>
    <row r="251" spans="1:15" ht="15" x14ac:dyDescent="0.2">
      <c r="A251" s="13">
        <v>48488</v>
      </c>
      <c r="B251" s="9">
        <f>4.4575 * CHOOSE(CONTROL!$C$32, $C$9, 100%, $E$9)</f>
        <v>4.4574999999999996</v>
      </c>
      <c r="C251" s="9">
        <f>4.4575 * CHOOSE(CONTROL!$C$32, $C$9, 100%, $E$9)</f>
        <v>4.4574999999999996</v>
      </c>
      <c r="D251" s="9">
        <f>4.4586 * CHOOSE(CONTROL!$C$32, $C$9, 100%, $E$9)</f>
        <v>4.4585999999999997</v>
      </c>
      <c r="E251" s="11">
        <f>5.7132 * CHOOSE(CONTROL!$C$32, $C$9, 100%, $E$9)</f>
        <v>5.7131999999999996</v>
      </c>
      <c r="F251" s="11">
        <f>5.7132 * CHOOSE(CONTROL!$C$32, $C$9, 100%, $E$9)</f>
        <v>5.7131999999999996</v>
      </c>
      <c r="G251" s="11">
        <f>5.7168 * CHOOSE(CONTROL!$C$32, $C$9, 100%, $E$9)</f>
        <v>5.7168000000000001</v>
      </c>
      <c r="H251" s="11">
        <f>9.0804 * CHOOSE(CONTROL!$C$32, $C$9, 100%, $E$9)</f>
        <v>9.0803999999999991</v>
      </c>
      <c r="I251" s="11">
        <f>9.084 * CHOOSE(CONTROL!$C$32, $C$9, 100%, $E$9)</f>
        <v>9.0839999999999996</v>
      </c>
      <c r="J251" s="11">
        <f>9.0804 * CHOOSE(CONTROL!$C$32, $C$9, 100%, $E$9)</f>
        <v>9.0803999999999991</v>
      </c>
      <c r="K251" s="11">
        <f>9.084 * CHOOSE(CONTROL!$C$32, $C$9, 100%, $E$9)</f>
        <v>9.0839999999999996</v>
      </c>
      <c r="L251" s="11">
        <f>5.7132 * CHOOSE(CONTROL!$C$32, $C$9, 100%, $E$9)</f>
        <v>5.7131999999999996</v>
      </c>
      <c r="M251" s="11">
        <f>5.7168 * CHOOSE(CONTROL!$C$32, $C$9, 100%, $E$9)</f>
        <v>5.7168000000000001</v>
      </c>
      <c r="N251" s="11">
        <f>5.7132 * CHOOSE(CONTROL!$C$32, $C$9, 100%, $E$9)</f>
        <v>5.7131999999999996</v>
      </c>
      <c r="O251" s="11">
        <f>5.7168 * CHOOSE(CONTROL!$C$32, $C$9, 100%, $E$9)</f>
        <v>5.7168000000000001</v>
      </c>
    </row>
    <row r="252" spans="1:15" ht="15" x14ac:dyDescent="0.2">
      <c r="A252" s="13">
        <v>48519</v>
      </c>
      <c r="B252" s="9">
        <f>4.4605 * CHOOSE(CONTROL!$C$32, $C$9, 100%, $E$9)</f>
        <v>4.4604999999999997</v>
      </c>
      <c r="C252" s="9">
        <f>4.4605 * CHOOSE(CONTROL!$C$32, $C$9, 100%, $E$9)</f>
        <v>4.4604999999999997</v>
      </c>
      <c r="D252" s="9">
        <f>4.4616 * CHOOSE(CONTROL!$C$32, $C$9, 100%, $E$9)</f>
        <v>4.4615999999999998</v>
      </c>
      <c r="E252" s="11">
        <f>5.7152 * CHOOSE(CONTROL!$C$32, $C$9, 100%, $E$9)</f>
        <v>5.7152000000000003</v>
      </c>
      <c r="F252" s="11">
        <f>5.7152 * CHOOSE(CONTROL!$C$32, $C$9, 100%, $E$9)</f>
        <v>5.7152000000000003</v>
      </c>
      <c r="G252" s="11">
        <f>5.7188 * CHOOSE(CONTROL!$C$32, $C$9, 100%, $E$9)</f>
        <v>5.7187999999999999</v>
      </c>
      <c r="H252" s="11">
        <f>9.0993 * CHOOSE(CONTROL!$C$32, $C$9, 100%, $E$9)</f>
        <v>9.0992999999999995</v>
      </c>
      <c r="I252" s="11">
        <f>9.1029 * CHOOSE(CONTROL!$C$32, $C$9, 100%, $E$9)</f>
        <v>9.1029</v>
      </c>
      <c r="J252" s="11">
        <f>9.0993 * CHOOSE(CONTROL!$C$32, $C$9, 100%, $E$9)</f>
        <v>9.0992999999999995</v>
      </c>
      <c r="K252" s="11">
        <f>9.1029 * CHOOSE(CONTROL!$C$32, $C$9, 100%, $E$9)</f>
        <v>9.1029</v>
      </c>
      <c r="L252" s="11">
        <f>5.7152 * CHOOSE(CONTROL!$C$32, $C$9, 100%, $E$9)</f>
        <v>5.7152000000000003</v>
      </c>
      <c r="M252" s="11">
        <f>5.7188 * CHOOSE(CONTROL!$C$32, $C$9, 100%, $E$9)</f>
        <v>5.7187999999999999</v>
      </c>
      <c r="N252" s="11">
        <f>5.7152 * CHOOSE(CONTROL!$C$32, $C$9, 100%, $E$9)</f>
        <v>5.7152000000000003</v>
      </c>
      <c r="O252" s="11">
        <f>5.7188 * CHOOSE(CONTROL!$C$32, $C$9, 100%, $E$9)</f>
        <v>5.7187999999999999</v>
      </c>
    </row>
    <row r="253" spans="1:15" ht="15" x14ac:dyDescent="0.2">
      <c r="A253" s="13">
        <v>48549</v>
      </c>
      <c r="B253" s="9">
        <f>4.4605 * CHOOSE(CONTROL!$C$32, $C$9, 100%, $E$9)</f>
        <v>4.4604999999999997</v>
      </c>
      <c r="C253" s="9">
        <f>4.4605 * CHOOSE(CONTROL!$C$32, $C$9, 100%, $E$9)</f>
        <v>4.4604999999999997</v>
      </c>
      <c r="D253" s="9">
        <f>4.4616 * CHOOSE(CONTROL!$C$32, $C$9, 100%, $E$9)</f>
        <v>4.4615999999999998</v>
      </c>
      <c r="E253" s="11">
        <f>5.7152 * CHOOSE(CONTROL!$C$32, $C$9, 100%, $E$9)</f>
        <v>5.7152000000000003</v>
      </c>
      <c r="F253" s="11">
        <f>5.7152 * CHOOSE(CONTROL!$C$32, $C$9, 100%, $E$9)</f>
        <v>5.7152000000000003</v>
      </c>
      <c r="G253" s="11">
        <f>5.7188 * CHOOSE(CONTROL!$C$32, $C$9, 100%, $E$9)</f>
        <v>5.7187999999999999</v>
      </c>
      <c r="H253" s="11">
        <f>9.1183 * CHOOSE(CONTROL!$C$32, $C$9, 100%, $E$9)</f>
        <v>9.1182999999999996</v>
      </c>
      <c r="I253" s="11">
        <f>9.1219 * CHOOSE(CONTROL!$C$32, $C$9, 100%, $E$9)</f>
        <v>9.1219000000000001</v>
      </c>
      <c r="J253" s="11">
        <f>9.1183 * CHOOSE(CONTROL!$C$32, $C$9, 100%, $E$9)</f>
        <v>9.1182999999999996</v>
      </c>
      <c r="K253" s="11">
        <f>9.1219 * CHOOSE(CONTROL!$C$32, $C$9, 100%, $E$9)</f>
        <v>9.1219000000000001</v>
      </c>
      <c r="L253" s="11">
        <f>5.7152 * CHOOSE(CONTROL!$C$32, $C$9, 100%, $E$9)</f>
        <v>5.7152000000000003</v>
      </c>
      <c r="M253" s="11">
        <f>5.7188 * CHOOSE(CONTROL!$C$32, $C$9, 100%, $E$9)</f>
        <v>5.7187999999999999</v>
      </c>
      <c r="N253" s="11">
        <f>5.7152 * CHOOSE(CONTROL!$C$32, $C$9, 100%, $E$9)</f>
        <v>5.7152000000000003</v>
      </c>
      <c r="O253" s="11">
        <f>5.7188 * CHOOSE(CONTROL!$C$32, $C$9, 100%, $E$9)</f>
        <v>5.7187999999999999</v>
      </c>
    </row>
    <row r="254" spans="1:15" ht="15" x14ac:dyDescent="0.2">
      <c r="A254" s="13">
        <v>48580</v>
      </c>
      <c r="B254" s="9">
        <f>4.4966 * CHOOSE(CONTROL!$C$32, $C$9, 100%, $E$9)</f>
        <v>4.4965999999999999</v>
      </c>
      <c r="C254" s="9">
        <f>4.4966 * CHOOSE(CONTROL!$C$32, $C$9, 100%, $E$9)</f>
        <v>4.4965999999999999</v>
      </c>
      <c r="D254" s="9">
        <f>4.4977 * CHOOSE(CONTROL!$C$32, $C$9, 100%, $E$9)</f>
        <v>4.4977</v>
      </c>
      <c r="E254" s="11">
        <f>5.7608 * CHOOSE(CONTROL!$C$32, $C$9, 100%, $E$9)</f>
        <v>5.7607999999999997</v>
      </c>
      <c r="F254" s="11">
        <f>5.7608 * CHOOSE(CONTROL!$C$32, $C$9, 100%, $E$9)</f>
        <v>5.7607999999999997</v>
      </c>
      <c r="G254" s="11">
        <f>5.7644 * CHOOSE(CONTROL!$C$32, $C$9, 100%, $E$9)</f>
        <v>5.7644000000000002</v>
      </c>
      <c r="H254" s="11">
        <f>9.1373 * CHOOSE(CONTROL!$C$32, $C$9, 100%, $E$9)</f>
        <v>9.1372999999999998</v>
      </c>
      <c r="I254" s="11">
        <f>9.1409 * CHOOSE(CONTROL!$C$32, $C$9, 100%, $E$9)</f>
        <v>9.1409000000000002</v>
      </c>
      <c r="J254" s="11">
        <f>9.1373 * CHOOSE(CONTROL!$C$32, $C$9, 100%, $E$9)</f>
        <v>9.1372999999999998</v>
      </c>
      <c r="K254" s="11">
        <f>9.1409 * CHOOSE(CONTROL!$C$32, $C$9, 100%, $E$9)</f>
        <v>9.1409000000000002</v>
      </c>
      <c r="L254" s="11">
        <f>5.7608 * CHOOSE(CONTROL!$C$32, $C$9, 100%, $E$9)</f>
        <v>5.7607999999999997</v>
      </c>
      <c r="M254" s="11">
        <f>5.7644 * CHOOSE(CONTROL!$C$32, $C$9, 100%, $E$9)</f>
        <v>5.7644000000000002</v>
      </c>
      <c r="N254" s="11">
        <f>5.7608 * CHOOSE(CONTROL!$C$32, $C$9, 100%, $E$9)</f>
        <v>5.7607999999999997</v>
      </c>
      <c r="O254" s="11">
        <f>5.7644 * CHOOSE(CONTROL!$C$32, $C$9, 100%, $E$9)</f>
        <v>5.7644000000000002</v>
      </c>
    </row>
    <row r="255" spans="1:15" ht="15" x14ac:dyDescent="0.2">
      <c r="A255" s="13">
        <v>48611</v>
      </c>
      <c r="B255" s="9">
        <f>4.4936 * CHOOSE(CONTROL!$C$32, $C$9, 100%, $E$9)</f>
        <v>4.4935999999999998</v>
      </c>
      <c r="C255" s="9">
        <f>4.4936 * CHOOSE(CONTROL!$C$32, $C$9, 100%, $E$9)</f>
        <v>4.4935999999999998</v>
      </c>
      <c r="D255" s="9">
        <f>4.4946 * CHOOSE(CONTROL!$C$32, $C$9, 100%, $E$9)</f>
        <v>4.4946000000000002</v>
      </c>
      <c r="E255" s="11">
        <f>5.7588 * CHOOSE(CONTROL!$C$32, $C$9, 100%, $E$9)</f>
        <v>5.7587999999999999</v>
      </c>
      <c r="F255" s="11">
        <f>5.7588 * CHOOSE(CONTROL!$C$32, $C$9, 100%, $E$9)</f>
        <v>5.7587999999999999</v>
      </c>
      <c r="G255" s="11">
        <f>5.7624 * CHOOSE(CONTROL!$C$32, $C$9, 100%, $E$9)</f>
        <v>5.7624000000000004</v>
      </c>
      <c r="H255" s="11">
        <f>9.1563 * CHOOSE(CONTROL!$C$32, $C$9, 100%, $E$9)</f>
        <v>9.1562999999999999</v>
      </c>
      <c r="I255" s="11">
        <f>9.1599 * CHOOSE(CONTROL!$C$32, $C$9, 100%, $E$9)</f>
        <v>9.1599000000000004</v>
      </c>
      <c r="J255" s="11">
        <f>9.1563 * CHOOSE(CONTROL!$C$32, $C$9, 100%, $E$9)</f>
        <v>9.1562999999999999</v>
      </c>
      <c r="K255" s="11">
        <f>9.1599 * CHOOSE(CONTROL!$C$32, $C$9, 100%, $E$9)</f>
        <v>9.1599000000000004</v>
      </c>
      <c r="L255" s="11">
        <f>5.7588 * CHOOSE(CONTROL!$C$32, $C$9, 100%, $E$9)</f>
        <v>5.7587999999999999</v>
      </c>
      <c r="M255" s="11">
        <f>5.7624 * CHOOSE(CONTROL!$C$32, $C$9, 100%, $E$9)</f>
        <v>5.7624000000000004</v>
      </c>
      <c r="N255" s="11">
        <f>5.7588 * CHOOSE(CONTROL!$C$32, $C$9, 100%, $E$9)</f>
        <v>5.7587999999999999</v>
      </c>
      <c r="O255" s="11">
        <f>5.7624 * CHOOSE(CONTROL!$C$32, $C$9, 100%, $E$9)</f>
        <v>5.7624000000000004</v>
      </c>
    </row>
    <row r="256" spans="1:15" ht="15" x14ac:dyDescent="0.2">
      <c r="A256" s="13">
        <v>48639</v>
      </c>
      <c r="B256" s="9">
        <f>4.4905 * CHOOSE(CONTROL!$C$32, $C$9, 100%, $E$9)</f>
        <v>4.4904999999999999</v>
      </c>
      <c r="C256" s="9">
        <f>4.4905 * CHOOSE(CONTROL!$C$32, $C$9, 100%, $E$9)</f>
        <v>4.4904999999999999</v>
      </c>
      <c r="D256" s="9">
        <f>4.4916 * CHOOSE(CONTROL!$C$32, $C$9, 100%, $E$9)</f>
        <v>4.4916</v>
      </c>
      <c r="E256" s="11">
        <f>5.7568 * CHOOSE(CONTROL!$C$32, $C$9, 100%, $E$9)</f>
        <v>5.7568000000000001</v>
      </c>
      <c r="F256" s="11">
        <f>5.7568 * CHOOSE(CONTROL!$C$32, $C$9, 100%, $E$9)</f>
        <v>5.7568000000000001</v>
      </c>
      <c r="G256" s="11">
        <f>5.7604 * CHOOSE(CONTROL!$C$32, $C$9, 100%, $E$9)</f>
        <v>5.7603999999999997</v>
      </c>
      <c r="H256" s="11">
        <f>9.1754 * CHOOSE(CONTROL!$C$32, $C$9, 100%, $E$9)</f>
        <v>9.1753999999999998</v>
      </c>
      <c r="I256" s="11">
        <f>9.179 * CHOOSE(CONTROL!$C$32, $C$9, 100%, $E$9)</f>
        <v>9.1790000000000003</v>
      </c>
      <c r="J256" s="11">
        <f>9.1754 * CHOOSE(CONTROL!$C$32, $C$9, 100%, $E$9)</f>
        <v>9.1753999999999998</v>
      </c>
      <c r="K256" s="11">
        <f>9.179 * CHOOSE(CONTROL!$C$32, $C$9, 100%, $E$9)</f>
        <v>9.1790000000000003</v>
      </c>
      <c r="L256" s="11">
        <f>5.7568 * CHOOSE(CONTROL!$C$32, $C$9, 100%, $E$9)</f>
        <v>5.7568000000000001</v>
      </c>
      <c r="M256" s="11">
        <f>5.7604 * CHOOSE(CONTROL!$C$32, $C$9, 100%, $E$9)</f>
        <v>5.7603999999999997</v>
      </c>
      <c r="N256" s="11">
        <f>5.7568 * CHOOSE(CONTROL!$C$32, $C$9, 100%, $E$9)</f>
        <v>5.7568000000000001</v>
      </c>
      <c r="O256" s="11">
        <f>5.7604 * CHOOSE(CONTROL!$C$32, $C$9, 100%, $E$9)</f>
        <v>5.7603999999999997</v>
      </c>
    </row>
    <row r="257" spans="1:15" ht="15" x14ac:dyDescent="0.2">
      <c r="A257" s="13">
        <v>48670</v>
      </c>
      <c r="B257" s="9">
        <f>4.4887 * CHOOSE(CONTROL!$C$32, $C$9, 100%, $E$9)</f>
        <v>4.4886999999999997</v>
      </c>
      <c r="C257" s="9">
        <f>4.4887 * CHOOSE(CONTROL!$C$32, $C$9, 100%, $E$9)</f>
        <v>4.4886999999999997</v>
      </c>
      <c r="D257" s="9">
        <f>4.4897 * CHOOSE(CONTROL!$C$32, $C$9, 100%, $E$9)</f>
        <v>4.4897</v>
      </c>
      <c r="E257" s="11">
        <f>5.755 * CHOOSE(CONTROL!$C$32, $C$9, 100%, $E$9)</f>
        <v>5.7549999999999999</v>
      </c>
      <c r="F257" s="11">
        <f>5.755 * CHOOSE(CONTROL!$C$32, $C$9, 100%, $E$9)</f>
        <v>5.7549999999999999</v>
      </c>
      <c r="G257" s="11">
        <f>5.7586 * CHOOSE(CONTROL!$C$32, $C$9, 100%, $E$9)</f>
        <v>5.7586000000000004</v>
      </c>
      <c r="H257" s="11">
        <f>9.1945 * CHOOSE(CONTROL!$C$32, $C$9, 100%, $E$9)</f>
        <v>9.1944999999999997</v>
      </c>
      <c r="I257" s="11">
        <f>9.1981 * CHOOSE(CONTROL!$C$32, $C$9, 100%, $E$9)</f>
        <v>9.1981000000000002</v>
      </c>
      <c r="J257" s="11">
        <f>9.1945 * CHOOSE(CONTROL!$C$32, $C$9, 100%, $E$9)</f>
        <v>9.1944999999999997</v>
      </c>
      <c r="K257" s="11">
        <f>9.1981 * CHOOSE(CONTROL!$C$32, $C$9, 100%, $E$9)</f>
        <v>9.1981000000000002</v>
      </c>
      <c r="L257" s="11">
        <f>5.755 * CHOOSE(CONTROL!$C$32, $C$9, 100%, $E$9)</f>
        <v>5.7549999999999999</v>
      </c>
      <c r="M257" s="11">
        <f>5.7586 * CHOOSE(CONTROL!$C$32, $C$9, 100%, $E$9)</f>
        <v>5.7586000000000004</v>
      </c>
      <c r="N257" s="11">
        <f>5.755 * CHOOSE(CONTROL!$C$32, $C$9, 100%, $E$9)</f>
        <v>5.7549999999999999</v>
      </c>
      <c r="O257" s="11">
        <f>5.7586 * CHOOSE(CONTROL!$C$32, $C$9, 100%, $E$9)</f>
        <v>5.7586000000000004</v>
      </c>
    </row>
    <row r="258" spans="1:15" ht="15" x14ac:dyDescent="0.2">
      <c r="A258" s="13">
        <v>48700</v>
      </c>
      <c r="B258" s="9">
        <f>4.4887 * CHOOSE(CONTROL!$C$32, $C$9, 100%, $E$9)</f>
        <v>4.4886999999999997</v>
      </c>
      <c r="C258" s="9">
        <f>4.4887 * CHOOSE(CONTROL!$C$32, $C$9, 100%, $E$9)</f>
        <v>4.4886999999999997</v>
      </c>
      <c r="D258" s="9">
        <f>4.4902 * CHOOSE(CONTROL!$C$32, $C$9, 100%, $E$9)</f>
        <v>4.4901999999999997</v>
      </c>
      <c r="E258" s="11">
        <f>5.755 * CHOOSE(CONTROL!$C$32, $C$9, 100%, $E$9)</f>
        <v>5.7549999999999999</v>
      </c>
      <c r="F258" s="11">
        <f>5.755 * CHOOSE(CONTROL!$C$32, $C$9, 100%, $E$9)</f>
        <v>5.7549999999999999</v>
      </c>
      <c r="G258" s="11">
        <f>5.7602 * CHOOSE(CONTROL!$C$32, $C$9, 100%, $E$9)</f>
        <v>5.7602000000000002</v>
      </c>
      <c r="H258" s="11">
        <f>9.2136 * CHOOSE(CONTROL!$C$32, $C$9, 100%, $E$9)</f>
        <v>9.2135999999999996</v>
      </c>
      <c r="I258" s="11">
        <f>9.2189 * CHOOSE(CONTROL!$C$32, $C$9, 100%, $E$9)</f>
        <v>9.2188999999999997</v>
      </c>
      <c r="J258" s="11">
        <f>9.2136 * CHOOSE(CONTROL!$C$32, $C$9, 100%, $E$9)</f>
        <v>9.2135999999999996</v>
      </c>
      <c r="K258" s="11">
        <f>9.2189 * CHOOSE(CONTROL!$C$32, $C$9, 100%, $E$9)</f>
        <v>9.2188999999999997</v>
      </c>
      <c r="L258" s="11">
        <f>5.755 * CHOOSE(CONTROL!$C$32, $C$9, 100%, $E$9)</f>
        <v>5.7549999999999999</v>
      </c>
      <c r="M258" s="11">
        <f>5.7602 * CHOOSE(CONTROL!$C$32, $C$9, 100%, $E$9)</f>
        <v>5.7602000000000002</v>
      </c>
      <c r="N258" s="11">
        <f>5.755 * CHOOSE(CONTROL!$C$32, $C$9, 100%, $E$9)</f>
        <v>5.7549999999999999</v>
      </c>
      <c r="O258" s="11">
        <f>5.7602 * CHOOSE(CONTROL!$C$32, $C$9, 100%, $E$9)</f>
        <v>5.7602000000000002</v>
      </c>
    </row>
    <row r="259" spans="1:15" ht="15" x14ac:dyDescent="0.2">
      <c r="A259" s="13">
        <v>48731</v>
      </c>
      <c r="B259" s="9">
        <f>4.4947 * CHOOSE(CONTROL!$C$32, $C$9, 100%, $E$9)</f>
        <v>4.4946999999999999</v>
      </c>
      <c r="C259" s="9">
        <f>4.4947 * CHOOSE(CONTROL!$C$32, $C$9, 100%, $E$9)</f>
        <v>4.4946999999999999</v>
      </c>
      <c r="D259" s="9">
        <f>4.4963 * CHOOSE(CONTROL!$C$32, $C$9, 100%, $E$9)</f>
        <v>4.4962999999999997</v>
      </c>
      <c r="E259" s="11">
        <f>5.759 * CHOOSE(CONTROL!$C$32, $C$9, 100%, $E$9)</f>
        <v>5.7590000000000003</v>
      </c>
      <c r="F259" s="11">
        <f>5.759 * CHOOSE(CONTROL!$C$32, $C$9, 100%, $E$9)</f>
        <v>5.7590000000000003</v>
      </c>
      <c r="G259" s="11">
        <f>5.7642 * CHOOSE(CONTROL!$C$32, $C$9, 100%, $E$9)</f>
        <v>5.7641999999999998</v>
      </c>
      <c r="H259" s="11">
        <f>9.2328 * CHOOSE(CONTROL!$C$32, $C$9, 100%, $E$9)</f>
        <v>9.2327999999999992</v>
      </c>
      <c r="I259" s="11">
        <f>9.2381 * CHOOSE(CONTROL!$C$32, $C$9, 100%, $E$9)</f>
        <v>9.2380999999999993</v>
      </c>
      <c r="J259" s="11">
        <f>9.2328 * CHOOSE(CONTROL!$C$32, $C$9, 100%, $E$9)</f>
        <v>9.2327999999999992</v>
      </c>
      <c r="K259" s="11">
        <f>9.2381 * CHOOSE(CONTROL!$C$32, $C$9, 100%, $E$9)</f>
        <v>9.2380999999999993</v>
      </c>
      <c r="L259" s="11">
        <f>5.759 * CHOOSE(CONTROL!$C$32, $C$9, 100%, $E$9)</f>
        <v>5.7590000000000003</v>
      </c>
      <c r="M259" s="11">
        <f>5.7642 * CHOOSE(CONTROL!$C$32, $C$9, 100%, $E$9)</f>
        <v>5.7641999999999998</v>
      </c>
      <c r="N259" s="11">
        <f>5.759 * CHOOSE(CONTROL!$C$32, $C$9, 100%, $E$9)</f>
        <v>5.7590000000000003</v>
      </c>
      <c r="O259" s="11">
        <f>5.7642 * CHOOSE(CONTROL!$C$32, $C$9, 100%, $E$9)</f>
        <v>5.7641999999999998</v>
      </c>
    </row>
    <row r="260" spans="1:15" ht="15" x14ac:dyDescent="0.2">
      <c r="A260" s="13">
        <v>48761</v>
      </c>
      <c r="B260" s="9">
        <f>4.5602 * CHOOSE(CONTROL!$C$32, $C$9, 100%, $E$9)</f>
        <v>4.5602</v>
      </c>
      <c r="C260" s="9">
        <f>4.5602 * CHOOSE(CONTROL!$C$32, $C$9, 100%, $E$9)</f>
        <v>4.5602</v>
      </c>
      <c r="D260" s="9">
        <f>4.5618 * CHOOSE(CONTROL!$C$32, $C$9, 100%, $E$9)</f>
        <v>4.5617999999999999</v>
      </c>
      <c r="E260" s="11">
        <f>5.8589 * CHOOSE(CONTROL!$C$32, $C$9, 100%, $E$9)</f>
        <v>5.8589000000000002</v>
      </c>
      <c r="F260" s="11">
        <f>5.8589 * CHOOSE(CONTROL!$C$32, $C$9, 100%, $E$9)</f>
        <v>5.8589000000000002</v>
      </c>
      <c r="G260" s="11">
        <f>5.8642 * CHOOSE(CONTROL!$C$32, $C$9, 100%, $E$9)</f>
        <v>5.8642000000000003</v>
      </c>
      <c r="H260" s="11">
        <f>9.2521 * CHOOSE(CONTROL!$C$32, $C$9, 100%, $E$9)</f>
        <v>9.2521000000000004</v>
      </c>
      <c r="I260" s="11">
        <f>9.2574 * CHOOSE(CONTROL!$C$32, $C$9, 100%, $E$9)</f>
        <v>9.2574000000000005</v>
      </c>
      <c r="J260" s="11">
        <f>9.2521 * CHOOSE(CONTROL!$C$32, $C$9, 100%, $E$9)</f>
        <v>9.2521000000000004</v>
      </c>
      <c r="K260" s="11">
        <f>9.2574 * CHOOSE(CONTROL!$C$32, $C$9, 100%, $E$9)</f>
        <v>9.2574000000000005</v>
      </c>
      <c r="L260" s="11">
        <f>5.8589 * CHOOSE(CONTROL!$C$32, $C$9, 100%, $E$9)</f>
        <v>5.8589000000000002</v>
      </c>
      <c r="M260" s="11">
        <f>5.8642 * CHOOSE(CONTROL!$C$32, $C$9, 100%, $E$9)</f>
        <v>5.8642000000000003</v>
      </c>
      <c r="N260" s="11">
        <f>5.8589 * CHOOSE(CONTROL!$C$32, $C$9, 100%, $E$9)</f>
        <v>5.8589000000000002</v>
      </c>
      <c r="O260" s="11">
        <f>5.8642 * CHOOSE(CONTROL!$C$32, $C$9, 100%, $E$9)</f>
        <v>5.8642000000000003</v>
      </c>
    </row>
    <row r="261" spans="1:15" ht="15" x14ac:dyDescent="0.2">
      <c r="A261" s="13">
        <v>48792</v>
      </c>
      <c r="B261" s="9">
        <f>4.5669 * CHOOSE(CONTROL!$C$32, $C$9, 100%, $E$9)</f>
        <v>4.5669000000000004</v>
      </c>
      <c r="C261" s="9">
        <f>4.5669 * CHOOSE(CONTROL!$C$32, $C$9, 100%, $E$9)</f>
        <v>4.5669000000000004</v>
      </c>
      <c r="D261" s="9">
        <f>4.5685 * CHOOSE(CONTROL!$C$32, $C$9, 100%, $E$9)</f>
        <v>4.5685000000000002</v>
      </c>
      <c r="E261" s="11">
        <f>5.8633 * CHOOSE(CONTROL!$C$32, $C$9, 100%, $E$9)</f>
        <v>5.8632999999999997</v>
      </c>
      <c r="F261" s="11">
        <f>5.8633 * CHOOSE(CONTROL!$C$32, $C$9, 100%, $E$9)</f>
        <v>5.8632999999999997</v>
      </c>
      <c r="G261" s="11">
        <f>5.8686 * CHOOSE(CONTROL!$C$32, $C$9, 100%, $E$9)</f>
        <v>5.8685999999999998</v>
      </c>
      <c r="H261" s="11">
        <f>9.2713 * CHOOSE(CONTROL!$C$32, $C$9, 100%, $E$9)</f>
        <v>9.2713000000000001</v>
      </c>
      <c r="I261" s="11">
        <f>9.2766 * CHOOSE(CONTROL!$C$32, $C$9, 100%, $E$9)</f>
        <v>9.2766000000000002</v>
      </c>
      <c r="J261" s="11">
        <f>9.2713 * CHOOSE(CONTROL!$C$32, $C$9, 100%, $E$9)</f>
        <v>9.2713000000000001</v>
      </c>
      <c r="K261" s="11">
        <f>9.2766 * CHOOSE(CONTROL!$C$32, $C$9, 100%, $E$9)</f>
        <v>9.2766000000000002</v>
      </c>
      <c r="L261" s="11">
        <f>5.8633 * CHOOSE(CONTROL!$C$32, $C$9, 100%, $E$9)</f>
        <v>5.8632999999999997</v>
      </c>
      <c r="M261" s="11">
        <f>5.8686 * CHOOSE(CONTROL!$C$32, $C$9, 100%, $E$9)</f>
        <v>5.8685999999999998</v>
      </c>
      <c r="N261" s="11">
        <f>5.8633 * CHOOSE(CONTROL!$C$32, $C$9, 100%, $E$9)</f>
        <v>5.8632999999999997</v>
      </c>
      <c r="O261" s="11">
        <f>5.8686 * CHOOSE(CONTROL!$C$32, $C$9, 100%, $E$9)</f>
        <v>5.8685999999999998</v>
      </c>
    </row>
    <row r="262" spans="1:15" ht="15" x14ac:dyDescent="0.2">
      <c r="A262" s="13">
        <v>48823</v>
      </c>
      <c r="B262" s="9">
        <f>4.5638 * CHOOSE(CONTROL!$C$32, $C$9, 100%, $E$9)</f>
        <v>4.5637999999999996</v>
      </c>
      <c r="C262" s="9">
        <f>4.5638 * CHOOSE(CONTROL!$C$32, $C$9, 100%, $E$9)</f>
        <v>4.5637999999999996</v>
      </c>
      <c r="D262" s="9">
        <f>4.5654 * CHOOSE(CONTROL!$C$32, $C$9, 100%, $E$9)</f>
        <v>4.5654000000000003</v>
      </c>
      <c r="E262" s="11">
        <f>5.8613 * CHOOSE(CONTROL!$C$32, $C$9, 100%, $E$9)</f>
        <v>5.8613</v>
      </c>
      <c r="F262" s="11">
        <f>5.8613 * CHOOSE(CONTROL!$C$32, $C$9, 100%, $E$9)</f>
        <v>5.8613</v>
      </c>
      <c r="G262" s="11">
        <f>5.8666 * CHOOSE(CONTROL!$C$32, $C$9, 100%, $E$9)</f>
        <v>5.8666</v>
      </c>
      <c r="H262" s="11">
        <f>9.2907 * CHOOSE(CONTROL!$C$32, $C$9, 100%, $E$9)</f>
        <v>9.2906999999999993</v>
      </c>
      <c r="I262" s="11">
        <f>9.296 * CHOOSE(CONTROL!$C$32, $C$9, 100%, $E$9)</f>
        <v>9.2959999999999994</v>
      </c>
      <c r="J262" s="11">
        <f>9.2907 * CHOOSE(CONTROL!$C$32, $C$9, 100%, $E$9)</f>
        <v>9.2906999999999993</v>
      </c>
      <c r="K262" s="11">
        <f>9.296 * CHOOSE(CONTROL!$C$32, $C$9, 100%, $E$9)</f>
        <v>9.2959999999999994</v>
      </c>
      <c r="L262" s="11">
        <f>5.8613 * CHOOSE(CONTROL!$C$32, $C$9, 100%, $E$9)</f>
        <v>5.8613</v>
      </c>
      <c r="M262" s="11">
        <f>5.8666 * CHOOSE(CONTROL!$C$32, $C$9, 100%, $E$9)</f>
        <v>5.8666</v>
      </c>
      <c r="N262" s="11">
        <f>5.8613 * CHOOSE(CONTROL!$C$32, $C$9, 100%, $E$9)</f>
        <v>5.8613</v>
      </c>
      <c r="O262" s="11">
        <f>5.8666 * CHOOSE(CONTROL!$C$32, $C$9, 100%, $E$9)</f>
        <v>5.8666</v>
      </c>
    </row>
    <row r="263" spans="1:15" ht="15" x14ac:dyDescent="0.2">
      <c r="A263" s="13">
        <v>48853</v>
      </c>
      <c r="B263" s="9">
        <f>4.561 * CHOOSE(CONTROL!$C$32, $C$9, 100%, $E$9)</f>
        <v>4.5609999999999999</v>
      </c>
      <c r="C263" s="9">
        <f>4.561 * CHOOSE(CONTROL!$C$32, $C$9, 100%, $E$9)</f>
        <v>4.5609999999999999</v>
      </c>
      <c r="D263" s="9">
        <f>4.5621 * CHOOSE(CONTROL!$C$32, $C$9, 100%, $E$9)</f>
        <v>4.5621</v>
      </c>
      <c r="E263" s="11">
        <f>5.8571 * CHOOSE(CONTROL!$C$32, $C$9, 100%, $E$9)</f>
        <v>5.8571</v>
      </c>
      <c r="F263" s="11">
        <f>5.8571 * CHOOSE(CONTROL!$C$32, $C$9, 100%, $E$9)</f>
        <v>5.8571</v>
      </c>
      <c r="G263" s="11">
        <f>5.8607 * CHOOSE(CONTROL!$C$32, $C$9, 100%, $E$9)</f>
        <v>5.8606999999999996</v>
      </c>
      <c r="H263" s="11">
        <f>9.31 * CHOOSE(CONTROL!$C$32, $C$9, 100%, $E$9)</f>
        <v>9.31</v>
      </c>
      <c r="I263" s="11">
        <f>9.3136 * CHOOSE(CONTROL!$C$32, $C$9, 100%, $E$9)</f>
        <v>9.3135999999999992</v>
      </c>
      <c r="J263" s="11">
        <f>9.31 * CHOOSE(CONTROL!$C$32, $C$9, 100%, $E$9)</f>
        <v>9.31</v>
      </c>
      <c r="K263" s="11">
        <f>9.3136 * CHOOSE(CONTROL!$C$32, $C$9, 100%, $E$9)</f>
        <v>9.3135999999999992</v>
      </c>
      <c r="L263" s="11">
        <f>5.8571 * CHOOSE(CONTROL!$C$32, $C$9, 100%, $E$9)</f>
        <v>5.8571</v>
      </c>
      <c r="M263" s="11">
        <f>5.8607 * CHOOSE(CONTROL!$C$32, $C$9, 100%, $E$9)</f>
        <v>5.8606999999999996</v>
      </c>
      <c r="N263" s="11">
        <f>5.8571 * CHOOSE(CONTROL!$C$32, $C$9, 100%, $E$9)</f>
        <v>5.8571</v>
      </c>
      <c r="O263" s="11">
        <f>5.8607 * CHOOSE(CONTROL!$C$32, $C$9, 100%, $E$9)</f>
        <v>5.8606999999999996</v>
      </c>
    </row>
    <row r="264" spans="1:15" ht="15" x14ac:dyDescent="0.2">
      <c r="A264" s="13">
        <v>48884</v>
      </c>
      <c r="B264" s="9">
        <f>4.564 * CHOOSE(CONTROL!$C$32, $C$9, 100%, $E$9)</f>
        <v>4.5640000000000001</v>
      </c>
      <c r="C264" s="9">
        <f>4.564 * CHOOSE(CONTROL!$C$32, $C$9, 100%, $E$9)</f>
        <v>4.5640000000000001</v>
      </c>
      <c r="D264" s="9">
        <f>4.5651 * CHOOSE(CONTROL!$C$32, $C$9, 100%, $E$9)</f>
        <v>4.5651000000000002</v>
      </c>
      <c r="E264" s="11">
        <f>5.8591 * CHOOSE(CONTROL!$C$32, $C$9, 100%, $E$9)</f>
        <v>5.8590999999999998</v>
      </c>
      <c r="F264" s="11">
        <f>5.8591 * CHOOSE(CONTROL!$C$32, $C$9, 100%, $E$9)</f>
        <v>5.8590999999999998</v>
      </c>
      <c r="G264" s="11">
        <f>5.8627 * CHOOSE(CONTROL!$C$32, $C$9, 100%, $E$9)</f>
        <v>5.8627000000000002</v>
      </c>
      <c r="H264" s="11">
        <f>9.3294 * CHOOSE(CONTROL!$C$32, $C$9, 100%, $E$9)</f>
        <v>9.3293999999999997</v>
      </c>
      <c r="I264" s="11">
        <f>9.333 * CHOOSE(CONTROL!$C$32, $C$9, 100%, $E$9)</f>
        <v>9.3330000000000002</v>
      </c>
      <c r="J264" s="11">
        <f>9.3294 * CHOOSE(CONTROL!$C$32, $C$9, 100%, $E$9)</f>
        <v>9.3293999999999997</v>
      </c>
      <c r="K264" s="11">
        <f>9.333 * CHOOSE(CONTROL!$C$32, $C$9, 100%, $E$9)</f>
        <v>9.3330000000000002</v>
      </c>
      <c r="L264" s="11">
        <f>5.8591 * CHOOSE(CONTROL!$C$32, $C$9, 100%, $E$9)</f>
        <v>5.8590999999999998</v>
      </c>
      <c r="M264" s="11">
        <f>5.8627 * CHOOSE(CONTROL!$C$32, $C$9, 100%, $E$9)</f>
        <v>5.8627000000000002</v>
      </c>
      <c r="N264" s="11">
        <f>5.8591 * CHOOSE(CONTROL!$C$32, $C$9, 100%, $E$9)</f>
        <v>5.8590999999999998</v>
      </c>
      <c r="O264" s="11">
        <f>5.8627 * CHOOSE(CONTROL!$C$32, $C$9, 100%, $E$9)</f>
        <v>5.8627000000000002</v>
      </c>
    </row>
    <row r="265" spans="1:15" ht="15" x14ac:dyDescent="0.2">
      <c r="A265" s="13">
        <v>48914</v>
      </c>
      <c r="B265" s="9">
        <f>4.564 * CHOOSE(CONTROL!$C$32, $C$9, 100%, $E$9)</f>
        <v>4.5640000000000001</v>
      </c>
      <c r="C265" s="9">
        <f>4.564 * CHOOSE(CONTROL!$C$32, $C$9, 100%, $E$9)</f>
        <v>4.5640000000000001</v>
      </c>
      <c r="D265" s="9">
        <f>4.5651 * CHOOSE(CONTROL!$C$32, $C$9, 100%, $E$9)</f>
        <v>4.5651000000000002</v>
      </c>
      <c r="E265" s="11">
        <f>5.8591 * CHOOSE(CONTROL!$C$32, $C$9, 100%, $E$9)</f>
        <v>5.8590999999999998</v>
      </c>
      <c r="F265" s="11">
        <f>5.8591 * CHOOSE(CONTROL!$C$32, $C$9, 100%, $E$9)</f>
        <v>5.8590999999999998</v>
      </c>
      <c r="G265" s="11">
        <f>5.8627 * CHOOSE(CONTROL!$C$32, $C$9, 100%, $E$9)</f>
        <v>5.8627000000000002</v>
      </c>
      <c r="H265" s="11">
        <f>9.3488 * CHOOSE(CONTROL!$C$32, $C$9, 100%, $E$9)</f>
        <v>9.3488000000000007</v>
      </c>
      <c r="I265" s="11">
        <f>9.3525 * CHOOSE(CONTROL!$C$32, $C$9, 100%, $E$9)</f>
        <v>9.3524999999999991</v>
      </c>
      <c r="J265" s="11">
        <f>9.3488 * CHOOSE(CONTROL!$C$32, $C$9, 100%, $E$9)</f>
        <v>9.3488000000000007</v>
      </c>
      <c r="K265" s="11">
        <f>9.3525 * CHOOSE(CONTROL!$C$32, $C$9, 100%, $E$9)</f>
        <v>9.3524999999999991</v>
      </c>
      <c r="L265" s="11">
        <f>5.8591 * CHOOSE(CONTROL!$C$32, $C$9, 100%, $E$9)</f>
        <v>5.8590999999999998</v>
      </c>
      <c r="M265" s="11">
        <f>5.8627 * CHOOSE(CONTROL!$C$32, $C$9, 100%, $E$9)</f>
        <v>5.8627000000000002</v>
      </c>
      <c r="N265" s="11">
        <f>5.8591 * CHOOSE(CONTROL!$C$32, $C$9, 100%, $E$9)</f>
        <v>5.8590999999999998</v>
      </c>
      <c r="O265" s="11">
        <f>5.8627 * CHOOSE(CONTROL!$C$32, $C$9, 100%, $E$9)</f>
        <v>5.8627000000000002</v>
      </c>
    </row>
    <row r="266" spans="1:15" ht="15" x14ac:dyDescent="0.2">
      <c r="A266" s="13">
        <v>48945</v>
      </c>
      <c r="B266" s="9">
        <f>4.6027 * CHOOSE(CONTROL!$C$32, $C$9, 100%, $E$9)</f>
        <v>4.6026999999999996</v>
      </c>
      <c r="C266" s="9">
        <f>4.6027 * CHOOSE(CONTROL!$C$32, $C$9, 100%, $E$9)</f>
        <v>4.6026999999999996</v>
      </c>
      <c r="D266" s="9">
        <f>4.6037 * CHOOSE(CONTROL!$C$32, $C$9, 100%, $E$9)</f>
        <v>4.6036999999999999</v>
      </c>
      <c r="E266" s="11">
        <f>5.9092 * CHOOSE(CONTROL!$C$32, $C$9, 100%, $E$9)</f>
        <v>5.9092000000000002</v>
      </c>
      <c r="F266" s="11">
        <f>5.9092 * CHOOSE(CONTROL!$C$32, $C$9, 100%, $E$9)</f>
        <v>5.9092000000000002</v>
      </c>
      <c r="G266" s="11">
        <f>5.9129 * CHOOSE(CONTROL!$C$32, $C$9, 100%, $E$9)</f>
        <v>5.9128999999999996</v>
      </c>
      <c r="H266" s="11">
        <f>9.3683 * CHOOSE(CONTROL!$C$32, $C$9, 100%, $E$9)</f>
        <v>9.3682999999999996</v>
      </c>
      <c r="I266" s="11">
        <f>9.3719 * CHOOSE(CONTROL!$C$32, $C$9, 100%, $E$9)</f>
        <v>9.3719000000000001</v>
      </c>
      <c r="J266" s="11">
        <f>9.3683 * CHOOSE(CONTROL!$C$32, $C$9, 100%, $E$9)</f>
        <v>9.3682999999999996</v>
      </c>
      <c r="K266" s="11">
        <f>9.3719 * CHOOSE(CONTROL!$C$32, $C$9, 100%, $E$9)</f>
        <v>9.3719000000000001</v>
      </c>
      <c r="L266" s="11">
        <f>5.9092 * CHOOSE(CONTROL!$C$32, $C$9, 100%, $E$9)</f>
        <v>5.9092000000000002</v>
      </c>
      <c r="M266" s="11">
        <f>5.9129 * CHOOSE(CONTROL!$C$32, $C$9, 100%, $E$9)</f>
        <v>5.9128999999999996</v>
      </c>
      <c r="N266" s="11">
        <f>5.9092 * CHOOSE(CONTROL!$C$32, $C$9, 100%, $E$9)</f>
        <v>5.9092000000000002</v>
      </c>
      <c r="O266" s="11">
        <f>5.9129 * CHOOSE(CONTROL!$C$32, $C$9, 100%, $E$9)</f>
        <v>5.9128999999999996</v>
      </c>
    </row>
    <row r="267" spans="1:15" ht="15" x14ac:dyDescent="0.2">
      <c r="A267" s="13">
        <v>48976</v>
      </c>
      <c r="B267" s="9">
        <f>4.5996 * CHOOSE(CONTROL!$C$32, $C$9, 100%, $E$9)</f>
        <v>4.5995999999999997</v>
      </c>
      <c r="C267" s="9">
        <f>4.5996 * CHOOSE(CONTROL!$C$32, $C$9, 100%, $E$9)</f>
        <v>4.5995999999999997</v>
      </c>
      <c r="D267" s="9">
        <f>4.6007 * CHOOSE(CONTROL!$C$32, $C$9, 100%, $E$9)</f>
        <v>4.6006999999999998</v>
      </c>
      <c r="E267" s="11">
        <f>5.9072 * CHOOSE(CONTROL!$C$32, $C$9, 100%, $E$9)</f>
        <v>5.9071999999999996</v>
      </c>
      <c r="F267" s="11">
        <f>5.9072 * CHOOSE(CONTROL!$C$32, $C$9, 100%, $E$9)</f>
        <v>5.9071999999999996</v>
      </c>
      <c r="G267" s="11">
        <f>5.9109 * CHOOSE(CONTROL!$C$32, $C$9, 100%, $E$9)</f>
        <v>5.9108999999999998</v>
      </c>
      <c r="H267" s="11">
        <f>9.3878 * CHOOSE(CONTROL!$C$32, $C$9, 100%, $E$9)</f>
        <v>9.3878000000000004</v>
      </c>
      <c r="I267" s="11">
        <f>9.3915 * CHOOSE(CONTROL!$C$32, $C$9, 100%, $E$9)</f>
        <v>9.3915000000000006</v>
      </c>
      <c r="J267" s="11">
        <f>9.3878 * CHOOSE(CONTROL!$C$32, $C$9, 100%, $E$9)</f>
        <v>9.3878000000000004</v>
      </c>
      <c r="K267" s="11">
        <f>9.3915 * CHOOSE(CONTROL!$C$32, $C$9, 100%, $E$9)</f>
        <v>9.3915000000000006</v>
      </c>
      <c r="L267" s="11">
        <f>5.9072 * CHOOSE(CONTROL!$C$32, $C$9, 100%, $E$9)</f>
        <v>5.9071999999999996</v>
      </c>
      <c r="M267" s="11">
        <f>5.9109 * CHOOSE(CONTROL!$C$32, $C$9, 100%, $E$9)</f>
        <v>5.9108999999999998</v>
      </c>
      <c r="N267" s="11">
        <f>5.9072 * CHOOSE(CONTROL!$C$32, $C$9, 100%, $E$9)</f>
        <v>5.9071999999999996</v>
      </c>
      <c r="O267" s="11">
        <f>5.9109 * CHOOSE(CONTROL!$C$32, $C$9, 100%, $E$9)</f>
        <v>5.9108999999999998</v>
      </c>
    </row>
    <row r="268" spans="1:15" ht="15" x14ac:dyDescent="0.2">
      <c r="A268" s="13">
        <v>49004</v>
      </c>
      <c r="B268" s="9">
        <f>4.5966 * CHOOSE(CONTROL!$C$32, $C$9, 100%, $E$9)</f>
        <v>4.5965999999999996</v>
      </c>
      <c r="C268" s="9">
        <f>4.5966 * CHOOSE(CONTROL!$C$32, $C$9, 100%, $E$9)</f>
        <v>4.5965999999999996</v>
      </c>
      <c r="D268" s="9">
        <f>4.5977 * CHOOSE(CONTROL!$C$32, $C$9, 100%, $E$9)</f>
        <v>4.5976999999999997</v>
      </c>
      <c r="E268" s="11">
        <f>5.9052 * CHOOSE(CONTROL!$C$32, $C$9, 100%, $E$9)</f>
        <v>5.9051999999999998</v>
      </c>
      <c r="F268" s="11">
        <f>5.9052 * CHOOSE(CONTROL!$C$32, $C$9, 100%, $E$9)</f>
        <v>5.9051999999999998</v>
      </c>
      <c r="G268" s="11">
        <f>5.9089 * CHOOSE(CONTROL!$C$32, $C$9, 100%, $E$9)</f>
        <v>5.9089</v>
      </c>
      <c r="H268" s="11">
        <f>9.4074 * CHOOSE(CONTROL!$C$32, $C$9, 100%, $E$9)</f>
        <v>9.4074000000000009</v>
      </c>
      <c r="I268" s="11">
        <f>9.411 * CHOOSE(CONTROL!$C$32, $C$9, 100%, $E$9)</f>
        <v>9.4109999999999996</v>
      </c>
      <c r="J268" s="11">
        <f>9.4074 * CHOOSE(CONTROL!$C$32, $C$9, 100%, $E$9)</f>
        <v>9.4074000000000009</v>
      </c>
      <c r="K268" s="11">
        <f>9.411 * CHOOSE(CONTROL!$C$32, $C$9, 100%, $E$9)</f>
        <v>9.4109999999999996</v>
      </c>
      <c r="L268" s="11">
        <f>5.9052 * CHOOSE(CONTROL!$C$32, $C$9, 100%, $E$9)</f>
        <v>5.9051999999999998</v>
      </c>
      <c r="M268" s="11">
        <f>5.9089 * CHOOSE(CONTROL!$C$32, $C$9, 100%, $E$9)</f>
        <v>5.9089</v>
      </c>
      <c r="N268" s="11">
        <f>5.9052 * CHOOSE(CONTROL!$C$32, $C$9, 100%, $E$9)</f>
        <v>5.9051999999999998</v>
      </c>
      <c r="O268" s="11">
        <f>5.9089 * CHOOSE(CONTROL!$C$32, $C$9, 100%, $E$9)</f>
        <v>5.9089</v>
      </c>
    </row>
    <row r="269" spans="1:15" ht="15" x14ac:dyDescent="0.2">
      <c r="A269" s="13">
        <v>49035</v>
      </c>
      <c r="B269" s="9">
        <f>4.5948 * CHOOSE(CONTROL!$C$32, $C$9, 100%, $E$9)</f>
        <v>4.5948000000000002</v>
      </c>
      <c r="C269" s="9">
        <f>4.5948 * CHOOSE(CONTROL!$C$32, $C$9, 100%, $E$9)</f>
        <v>4.5948000000000002</v>
      </c>
      <c r="D269" s="9">
        <f>4.5959 * CHOOSE(CONTROL!$C$32, $C$9, 100%, $E$9)</f>
        <v>4.5959000000000003</v>
      </c>
      <c r="E269" s="11">
        <f>5.9035 * CHOOSE(CONTROL!$C$32, $C$9, 100%, $E$9)</f>
        <v>5.9035000000000002</v>
      </c>
      <c r="F269" s="11">
        <f>5.9035 * CHOOSE(CONTROL!$C$32, $C$9, 100%, $E$9)</f>
        <v>5.9035000000000002</v>
      </c>
      <c r="G269" s="11">
        <f>5.9071 * CHOOSE(CONTROL!$C$32, $C$9, 100%, $E$9)</f>
        <v>5.9070999999999998</v>
      </c>
      <c r="H269" s="11">
        <f>9.427 * CHOOSE(CONTROL!$C$32, $C$9, 100%, $E$9)</f>
        <v>9.4269999999999996</v>
      </c>
      <c r="I269" s="11">
        <f>9.4306 * CHOOSE(CONTROL!$C$32, $C$9, 100%, $E$9)</f>
        <v>9.4306000000000001</v>
      </c>
      <c r="J269" s="11">
        <f>9.427 * CHOOSE(CONTROL!$C$32, $C$9, 100%, $E$9)</f>
        <v>9.4269999999999996</v>
      </c>
      <c r="K269" s="11">
        <f>9.4306 * CHOOSE(CONTROL!$C$32, $C$9, 100%, $E$9)</f>
        <v>9.4306000000000001</v>
      </c>
      <c r="L269" s="11">
        <f>5.9035 * CHOOSE(CONTROL!$C$32, $C$9, 100%, $E$9)</f>
        <v>5.9035000000000002</v>
      </c>
      <c r="M269" s="11">
        <f>5.9071 * CHOOSE(CONTROL!$C$32, $C$9, 100%, $E$9)</f>
        <v>5.9070999999999998</v>
      </c>
      <c r="N269" s="11">
        <f>5.9035 * CHOOSE(CONTROL!$C$32, $C$9, 100%, $E$9)</f>
        <v>5.9035000000000002</v>
      </c>
      <c r="O269" s="11">
        <f>5.9071 * CHOOSE(CONTROL!$C$32, $C$9, 100%, $E$9)</f>
        <v>5.9070999999999998</v>
      </c>
    </row>
    <row r="270" spans="1:15" ht="15" x14ac:dyDescent="0.2">
      <c r="A270" s="13">
        <v>49065</v>
      </c>
      <c r="B270" s="9">
        <f>4.5948 * CHOOSE(CONTROL!$C$32, $C$9, 100%, $E$9)</f>
        <v>4.5948000000000002</v>
      </c>
      <c r="C270" s="9">
        <f>4.5948 * CHOOSE(CONTROL!$C$32, $C$9, 100%, $E$9)</f>
        <v>4.5948000000000002</v>
      </c>
      <c r="D270" s="9">
        <f>4.5964 * CHOOSE(CONTROL!$C$32, $C$9, 100%, $E$9)</f>
        <v>4.5964</v>
      </c>
      <c r="E270" s="11">
        <f>5.9035 * CHOOSE(CONTROL!$C$32, $C$9, 100%, $E$9)</f>
        <v>5.9035000000000002</v>
      </c>
      <c r="F270" s="11">
        <f>5.9035 * CHOOSE(CONTROL!$C$32, $C$9, 100%, $E$9)</f>
        <v>5.9035000000000002</v>
      </c>
      <c r="G270" s="11">
        <f>5.9088 * CHOOSE(CONTROL!$C$32, $C$9, 100%, $E$9)</f>
        <v>5.9088000000000003</v>
      </c>
      <c r="H270" s="11">
        <f>9.4466 * CHOOSE(CONTROL!$C$32, $C$9, 100%, $E$9)</f>
        <v>9.4466000000000001</v>
      </c>
      <c r="I270" s="11">
        <f>9.4519 * CHOOSE(CONTROL!$C$32, $C$9, 100%, $E$9)</f>
        <v>9.4519000000000002</v>
      </c>
      <c r="J270" s="11">
        <f>9.4466 * CHOOSE(CONTROL!$C$32, $C$9, 100%, $E$9)</f>
        <v>9.4466000000000001</v>
      </c>
      <c r="K270" s="11">
        <f>9.4519 * CHOOSE(CONTROL!$C$32, $C$9, 100%, $E$9)</f>
        <v>9.4519000000000002</v>
      </c>
      <c r="L270" s="11">
        <f>5.9035 * CHOOSE(CONTROL!$C$32, $C$9, 100%, $E$9)</f>
        <v>5.9035000000000002</v>
      </c>
      <c r="M270" s="11">
        <f>5.9088 * CHOOSE(CONTROL!$C$32, $C$9, 100%, $E$9)</f>
        <v>5.9088000000000003</v>
      </c>
      <c r="N270" s="11">
        <f>5.9035 * CHOOSE(CONTROL!$C$32, $C$9, 100%, $E$9)</f>
        <v>5.9035000000000002</v>
      </c>
      <c r="O270" s="11">
        <f>5.9088 * CHOOSE(CONTROL!$C$32, $C$9, 100%, $E$9)</f>
        <v>5.9088000000000003</v>
      </c>
    </row>
    <row r="271" spans="1:15" ht="15" x14ac:dyDescent="0.2">
      <c r="A271" s="13">
        <v>49096</v>
      </c>
      <c r="B271" s="9">
        <f>4.6009 * CHOOSE(CONTROL!$C$32, $C$9, 100%, $E$9)</f>
        <v>4.6009000000000002</v>
      </c>
      <c r="C271" s="9">
        <f>4.6009 * CHOOSE(CONTROL!$C$32, $C$9, 100%, $E$9)</f>
        <v>4.6009000000000002</v>
      </c>
      <c r="D271" s="9">
        <f>4.6025 * CHOOSE(CONTROL!$C$32, $C$9, 100%, $E$9)</f>
        <v>4.6025</v>
      </c>
      <c r="E271" s="11">
        <f>5.9075 * CHOOSE(CONTROL!$C$32, $C$9, 100%, $E$9)</f>
        <v>5.9074999999999998</v>
      </c>
      <c r="F271" s="11">
        <f>5.9075 * CHOOSE(CONTROL!$C$32, $C$9, 100%, $E$9)</f>
        <v>5.9074999999999998</v>
      </c>
      <c r="G271" s="11">
        <f>5.9128 * CHOOSE(CONTROL!$C$32, $C$9, 100%, $E$9)</f>
        <v>5.9127999999999998</v>
      </c>
      <c r="H271" s="11">
        <f>9.4663 * CHOOSE(CONTROL!$C$32, $C$9, 100%, $E$9)</f>
        <v>9.4663000000000004</v>
      </c>
      <c r="I271" s="11">
        <f>9.4716 * CHOOSE(CONTROL!$C$32, $C$9, 100%, $E$9)</f>
        <v>9.4716000000000005</v>
      </c>
      <c r="J271" s="11">
        <f>9.4663 * CHOOSE(CONTROL!$C$32, $C$9, 100%, $E$9)</f>
        <v>9.4663000000000004</v>
      </c>
      <c r="K271" s="11">
        <f>9.4716 * CHOOSE(CONTROL!$C$32, $C$9, 100%, $E$9)</f>
        <v>9.4716000000000005</v>
      </c>
      <c r="L271" s="11">
        <f>5.9075 * CHOOSE(CONTROL!$C$32, $C$9, 100%, $E$9)</f>
        <v>5.9074999999999998</v>
      </c>
      <c r="M271" s="11">
        <f>5.9128 * CHOOSE(CONTROL!$C$32, $C$9, 100%, $E$9)</f>
        <v>5.9127999999999998</v>
      </c>
      <c r="N271" s="11">
        <f>5.9075 * CHOOSE(CONTROL!$C$32, $C$9, 100%, $E$9)</f>
        <v>5.9074999999999998</v>
      </c>
      <c r="O271" s="11">
        <f>5.9128 * CHOOSE(CONTROL!$C$32, $C$9, 100%, $E$9)</f>
        <v>5.9127999999999998</v>
      </c>
    </row>
    <row r="272" spans="1:15" ht="15" x14ac:dyDescent="0.2">
      <c r="A272" s="13">
        <v>49126</v>
      </c>
      <c r="B272" s="9">
        <f>4.6716 * CHOOSE(CONTROL!$C$32, $C$9, 100%, $E$9)</f>
        <v>4.6715999999999998</v>
      </c>
      <c r="C272" s="9">
        <f>4.6716 * CHOOSE(CONTROL!$C$32, $C$9, 100%, $E$9)</f>
        <v>4.6715999999999998</v>
      </c>
      <c r="D272" s="9">
        <f>4.6731 * CHOOSE(CONTROL!$C$32, $C$9, 100%, $E$9)</f>
        <v>4.6730999999999998</v>
      </c>
      <c r="E272" s="11">
        <f>6.0182 * CHOOSE(CONTROL!$C$32, $C$9, 100%, $E$9)</f>
        <v>6.0182000000000002</v>
      </c>
      <c r="F272" s="11">
        <f>6.0182 * CHOOSE(CONTROL!$C$32, $C$9, 100%, $E$9)</f>
        <v>6.0182000000000002</v>
      </c>
      <c r="G272" s="11">
        <f>6.0235 * CHOOSE(CONTROL!$C$32, $C$9, 100%, $E$9)</f>
        <v>6.0235000000000003</v>
      </c>
      <c r="H272" s="11">
        <f>9.486 * CHOOSE(CONTROL!$C$32, $C$9, 100%, $E$9)</f>
        <v>9.4860000000000007</v>
      </c>
      <c r="I272" s="11">
        <f>9.4913 * CHOOSE(CONTROL!$C$32, $C$9, 100%, $E$9)</f>
        <v>9.4913000000000007</v>
      </c>
      <c r="J272" s="11">
        <f>9.486 * CHOOSE(CONTROL!$C$32, $C$9, 100%, $E$9)</f>
        <v>9.4860000000000007</v>
      </c>
      <c r="K272" s="11">
        <f>9.4913 * CHOOSE(CONTROL!$C$32, $C$9, 100%, $E$9)</f>
        <v>9.4913000000000007</v>
      </c>
      <c r="L272" s="11">
        <f>6.0182 * CHOOSE(CONTROL!$C$32, $C$9, 100%, $E$9)</f>
        <v>6.0182000000000002</v>
      </c>
      <c r="M272" s="11">
        <f>6.0235 * CHOOSE(CONTROL!$C$32, $C$9, 100%, $E$9)</f>
        <v>6.0235000000000003</v>
      </c>
      <c r="N272" s="11">
        <f>6.0182 * CHOOSE(CONTROL!$C$32, $C$9, 100%, $E$9)</f>
        <v>6.0182000000000002</v>
      </c>
      <c r="O272" s="11">
        <f>6.0235 * CHOOSE(CONTROL!$C$32, $C$9, 100%, $E$9)</f>
        <v>6.0235000000000003</v>
      </c>
    </row>
    <row r="273" spans="1:15" ht="15" x14ac:dyDescent="0.2">
      <c r="A273" s="13">
        <v>49157</v>
      </c>
      <c r="B273" s="9">
        <f>4.6783 * CHOOSE(CONTROL!$C$32, $C$9, 100%, $E$9)</f>
        <v>4.6783000000000001</v>
      </c>
      <c r="C273" s="9">
        <f>4.6783 * CHOOSE(CONTROL!$C$32, $C$9, 100%, $E$9)</f>
        <v>4.6783000000000001</v>
      </c>
      <c r="D273" s="9">
        <f>4.6798 * CHOOSE(CONTROL!$C$32, $C$9, 100%, $E$9)</f>
        <v>4.6798000000000002</v>
      </c>
      <c r="E273" s="11">
        <f>6.0226 * CHOOSE(CONTROL!$C$32, $C$9, 100%, $E$9)</f>
        <v>6.0225999999999997</v>
      </c>
      <c r="F273" s="11">
        <f>6.0226 * CHOOSE(CONTROL!$C$32, $C$9, 100%, $E$9)</f>
        <v>6.0225999999999997</v>
      </c>
      <c r="G273" s="11">
        <f>6.0279 * CHOOSE(CONTROL!$C$32, $C$9, 100%, $E$9)</f>
        <v>6.0278999999999998</v>
      </c>
      <c r="H273" s="11">
        <f>9.5058 * CHOOSE(CONTROL!$C$32, $C$9, 100%, $E$9)</f>
        <v>9.5058000000000007</v>
      </c>
      <c r="I273" s="11">
        <f>9.5111 * CHOOSE(CONTROL!$C$32, $C$9, 100%, $E$9)</f>
        <v>9.5111000000000008</v>
      </c>
      <c r="J273" s="11">
        <f>9.5058 * CHOOSE(CONTROL!$C$32, $C$9, 100%, $E$9)</f>
        <v>9.5058000000000007</v>
      </c>
      <c r="K273" s="11">
        <f>9.5111 * CHOOSE(CONTROL!$C$32, $C$9, 100%, $E$9)</f>
        <v>9.5111000000000008</v>
      </c>
      <c r="L273" s="11">
        <f>6.0226 * CHOOSE(CONTROL!$C$32, $C$9, 100%, $E$9)</f>
        <v>6.0225999999999997</v>
      </c>
      <c r="M273" s="11">
        <f>6.0279 * CHOOSE(CONTROL!$C$32, $C$9, 100%, $E$9)</f>
        <v>6.0278999999999998</v>
      </c>
      <c r="N273" s="11">
        <f>6.0226 * CHOOSE(CONTROL!$C$32, $C$9, 100%, $E$9)</f>
        <v>6.0225999999999997</v>
      </c>
      <c r="O273" s="11">
        <f>6.0279 * CHOOSE(CONTROL!$C$32, $C$9, 100%, $E$9)</f>
        <v>6.0278999999999998</v>
      </c>
    </row>
    <row r="274" spans="1:15" ht="15" x14ac:dyDescent="0.2">
      <c r="A274" s="13">
        <v>49188</v>
      </c>
      <c r="B274" s="9">
        <f>4.6752 * CHOOSE(CONTROL!$C$32, $C$9, 100%, $E$9)</f>
        <v>4.6752000000000002</v>
      </c>
      <c r="C274" s="9">
        <f>4.6752 * CHOOSE(CONTROL!$C$32, $C$9, 100%, $E$9)</f>
        <v>4.6752000000000002</v>
      </c>
      <c r="D274" s="9">
        <f>4.6768 * CHOOSE(CONTROL!$C$32, $C$9, 100%, $E$9)</f>
        <v>4.6768000000000001</v>
      </c>
      <c r="E274" s="11">
        <f>6.0206 * CHOOSE(CONTROL!$C$32, $C$9, 100%, $E$9)</f>
        <v>6.0206</v>
      </c>
      <c r="F274" s="11">
        <f>6.0206 * CHOOSE(CONTROL!$C$32, $C$9, 100%, $E$9)</f>
        <v>6.0206</v>
      </c>
      <c r="G274" s="11">
        <f>6.0259 * CHOOSE(CONTROL!$C$32, $C$9, 100%, $E$9)</f>
        <v>6.0259</v>
      </c>
      <c r="H274" s="11">
        <f>9.5256 * CHOOSE(CONTROL!$C$32, $C$9, 100%, $E$9)</f>
        <v>9.5256000000000007</v>
      </c>
      <c r="I274" s="11">
        <f>9.5309 * CHOOSE(CONTROL!$C$32, $C$9, 100%, $E$9)</f>
        <v>9.5309000000000008</v>
      </c>
      <c r="J274" s="11">
        <f>9.5256 * CHOOSE(CONTROL!$C$32, $C$9, 100%, $E$9)</f>
        <v>9.5256000000000007</v>
      </c>
      <c r="K274" s="11">
        <f>9.5309 * CHOOSE(CONTROL!$C$32, $C$9, 100%, $E$9)</f>
        <v>9.5309000000000008</v>
      </c>
      <c r="L274" s="11">
        <f>6.0206 * CHOOSE(CONTROL!$C$32, $C$9, 100%, $E$9)</f>
        <v>6.0206</v>
      </c>
      <c r="M274" s="11">
        <f>6.0259 * CHOOSE(CONTROL!$C$32, $C$9, 100%, $E$9)</f>
        <v>6.0259</v>
      </c>
      <c r="N274" s="11">
        <f>6.0206 * CHOOSE(CONTROL!$C$32, $C$9, 100%, $E$9)</f>
        <v>6.0206</v>
      </c>
      <c r="O274" s="11">
        <f>6.0259 * CHOOSE(CONTROL!$C$32, $C$9, 100%, $E$9)</f>
        <v>6.0259</v>
      </c>
    </row>
    <row r="275" spans="1:15" ht="15" x14ac:dyDescent="0.2">
      <c r="A275" s="13">
        <v>49218</v>
      </c>
      <c r="B275" s="9">
        <f>4.6728 * CHOOSE(CONTROL!$C$32, $C$9, 100%, $E$9)</f>
        <v>4.6727999999999996</v>
      </c>
      <c r="C275" s="9">
        <f>4.6728 * CHOOSE(CONTROL!$C$32, $C$9, 100%, $E$9)</f>
        <v>4.6727999999999996</v>
      </c>
      <c r="D275" s="9">
        <f>4.6739 * CHOOSE(CONTROL!$C$32, $C$9, 100%, $E$9)</f>
        <v>4.6738999999999997</v>
      </c>
      <c r="E275" s="11">
        <f>6.0166 * CHOOSE(CONTROL!$C$32, $C$9, 100%, $E$9)</f>
        <v>6.0166000000000004</v>
      </c>
      <c r="F275" s="11">
        <f>6.0166 * CHOOSE(CONTROL!$C$32, $C$9, 100%, $E$9)</f>
        <v>6.0166000000000004</v>
      </c>
      <c r="G275" s="11">
        <f>6.0202 * CHOOSE(CONTROL!$C$32, $C$9, 100%, $E$9)</f>
        <v>6.0202</v>
      </c>
      <c r="H275" s="11">
        <f>9.5454 * CHOOSE(CONTROL!$C$32, $C$9, 100%, $E$9)</f>
        <v>9.5454000000000008</v>
      </c>
      <c r="I275" s="11">
        <f>9.5491 * CHOOSE(CONTROL!$C$32, $C$9, 100%, $E$9)</f>
        <v>9.5490999999999993</v>
      </c>
      <c r="J275" s="11">
        <f>9.5454 * CHOOSE(CONTROL!$C$32, $C$9, 100%, $E$9)</f>
        <v>9.5454000000000008</v>
      </c>
      <c r="K275" s="11">
        <f>9.5491 * CHOOSE(CONTROL!$C$32, $C$9, 100%, $E$9)</f>
        <v>9.5490999999999993</v>
      </c>
      <c r="L275" s="11">
        <f>6.0166 * CHOOSE(CONTROL!$C$32, $C$9, 100%, $E$9)</f>
        <v>6.0166000000000004</v>
      </c>
      <c r="M275" s="11">
        <f>6.0202 * CHOOSE(CONTROL!$C$32, $C$9, 100%, $E$9)</f>
        <v>6.0202</v>
      </c>
      <c r="N275" s="11">
        <f>6.0166 * CHOOSE(CONTROL!$C$32, $C$9, 100%, $E$9)</f>
        <v>6.0166000000000004</v>
      </c>
      <c r="O275" s="11">
        <f>6.0202 * CHOOSE(CONTROL!$C$32, $C$9, 100%, $E$9)</f>
        <v>6.0202</v>
      </c>
    </row>
    <row r="276" spans="1:15" ht="15" x14ac:dyDescent="0.2">
      <c r="A276" s="13">
        <v>49249</v>
      </c>
      <c r="B276" s="9">
        <f>4.6758 * CHOOSE(CONTROL!$C$32, $C$9, 100%, $E$9)</f>
        <v>4.6757999999999997</v>
      </c>
      <c r="C276" s="9">
        <f>4.6758 * CHOOSE(CONTROL!$C$32, $C$9, 100%, $E$9)</f>
        <v>4.6757999999999997</v>
      </c>
      <c r="D276" s="9">
        <f>4.6769 * CHOOSE(CONTROL!$C$32, $C$9, 100%, $E$9)</f>
        <v>4.6768999999999998</v>
      </c>
      <c r="E276" s="11">
        <f>6.0186 * CHOOSE(CONTROL!$C$32, $C$9, 100%, $E$9)</f>
        <v>6.0186000000000002</v>
      </c>
      <c r="F276" s="11">
        <f>6.0186 * CHOOSE(CONTROL!$C$32, $C$9, 100%, $E$9)</f>
        <v>6.0186000000000002</v>
      </c>
      <c r="G276" s="11">
        <f>6.0222 * CHOOSE(CONTROL!$C$32, $C$9, 100%, $E$9)</f>
        <v>6.0221999999999998</v>
      </c>
      <c r="H276" s="11">
        <f>9.5653 * CHOOSE(CONTROL!$C$32, $C$9, 100%, $E$9)</f>
        <v>9.5653000000000006</v>
      </c>
      <c r="I276" s="11">
        <f>9.569 * CHOOSE(CONTROL!$C$32, $C$9, 100%, $E$9)</f>
        <v>9.5690000000000008</v>
      </c>
      <c r="J276" s="11">
        <f>9.5653 * CHOOSE(CONTROL!$C$32, $C$9, 100%, $E$9)</f>
        <v>9.5653000000000006</v>
      </c>
      <c r="K276" s="11">
        <f>9.569 * CHOOSE(CONTROL!$C$32, $C$9, 100%, $E$9)</f>
        <v>9.5690000000000008</v>
      </c>
      <c r="L276" s="11">
        <f>6.0186 * CHOOSE(CONTROL!$C$32, $C$9, 100%, $E$9)</f>
        <v>6.0186000000000002</v>
      </c>
      <c r="M276" s="11">
        <f>6.0222 * CHOOSE(CONTROL!$C$32, $C$9, 100%, $E$9)</f>
        <v>6.0221999999999998</v>
      </c>
      <c r="N276" s="11">
        <f>6.0186 * CHOOSE(CONTROL!$C$32, $C$9, 100%, $E$9)</f>
        <v>6.0186000000000002</v>
      </c>
      <c r="O276" s="11">
        <f>6.0222 * CHOOSE(CONTROL!$C$32, $C$9, 100%, $E$9)</f>
        <v>6.0221999999999998</v>
      </c>
    </row>
    <row r="277" spans="1:15" ht="15" x14ac:dyDescent="0.2">
      <c r="A277" s="13">
        <v>49279</v>
      </c>
      <c r="B277" s="9">
        <f>4.6758 * CHOOSE(CONTROL!$C$32, $C$9, 100%, $E$9)</f>
        <v>4.6757999999999997</v>
      </c>
      <c r="C277" s="9">
        <f>4.6758 * CHOOSE(CONTROL!$C$32, $C$9, 100%, $E$9)</f>
        <v>4.6757999999999997</v>
      </c>
      <c r="D277" s="9">
        <f>4.6769 * CHOOSE(CONTROL!$C$32, $C$9, 100%, $E$9)</f>
        <v>4.6768999999999998</v>
      </c>
      <c r="E277" s="11">
        <f>6.0186 * CHOOSE(CONTROL!$C$32, $C$9, 100%, $E$9)</f>
        <v>6.0186000000000002</v>
      </c>
      <c r="F277" s="11">
        <f>6.0186 * CHOOSE(CONTROL!$C$32, $C$9, 100%, $E$9)</f>
        <v>6.0186000000000002</v>
      </c>
      <c r="G277" s="11">
        <f>6.0222 * CHOOSE(CONTROL!$C$32, $C$9, 100%, $E$9)</f>
        <v>6.0221999999999998</v>
      </c>
      <c r="H277" s="11">
        <f>9.5853 * CHOOSE(CONTROL!$C$32, $C$9, 100%, $E$9)</f>
        <v>9.5853000000000002</v>
      </c>
      <c r="I277" s="11">
        <f>9.5889 * CHOOSE(CONTROL!$C$32, $C$9, 100%, $E$9)</f>
        <v>9.5889000000000006</v>
      </c>
      <c r="J277" s="11">
        <f>9.5853 * CHOOSE(CONTROL!$C$32, $C$9, 100%, $E$9)</f>
        <v>9.5853000000000002</v>
      </c>
      <c r="K277" s="11">
        <f>9.5889 * CHOOSE(CONTROL!$C$32, $C$9, 100%, $E$9)</f>
        <v>9.5889000000000006</v>
      </c>
      <c r="L277" s="11">
        <f>6.0186 * CHOOSE(CONTROL!$C$32, $C$9, 100%, $E$9)</f>
        <v>6.0186000000000002</v>
      </c>
      <c r="M277" s="11">
        <f>6.0222 * CHOOSE(CONTROL!$C$32, $C$9, 100%, $E$9)</f>
        <v>6.0221999999999998</v>
      </c>
      <c r="N277" s="11">
        <f>6.0186 * CHOOSE(CONTROL!$C$32, $C$9, 100%, $E$9)</f>
        <v>6.0186000000000002</v>
      </c>
      <c r="O277" s="11">
        <f>6.0222 * CHOOSE(CONTROL!$C$32, $C$9, 100%, $E$9)</f>
        <v>6.0221999999999998</v>
      </c>
    </row>
    <row r="278" spans="1:15" ht="15" x14ac:dyDescent="0.2">
      <c r="A278" s="13">
        <v>49310</v>
      </c>
      <c r="B278" s="9">
        <f>4.713 * CHOOSE(CONTROL!$C$32, $C$9, 100%, $E$9)</f>
        <v>4.7130000000000001</v>
      </c>
      <c r="C278" s="9">
        <f>4.713 * CHOOSE(CONTROL!$C$32, $C$9, 100%, $E$9)</f>
        <v>4.7130000000000001</v>
      </c>
      <c r="D278" s="9">
        <f>4.7141 * CHOOSE(CONTROL!$C$32, $C$9, 100%, $E$9)</f>
        <v>4.7141000000000002</v>
      </c>
      <c r="E278" s="11">
        <f>6.0663 * CHOOSE(CONTROL!$C$32, $C$9, 100%, $E$9)</f>
        <v>6.0663</v>
      </c>
      <c r="F278" s="11">
        <f>6.0663 * CHOOSE(CONTROL!$C$32, $C$9, 100%, $E$9)</f>
        <v>6.0663</v>
      </c>
      <c r="G278" s="11">
        <f>6.0699 * CHOOSE(CONTROL!$C$32, $C$9, 100%, $E$9)</f>
        <v>6.0698999999999996</v>
      </c>
      <c r="H278" s="11">
        <f>9.6052 * CHOOSE(CONTROL!$C$32, $C$9, 100%, $E$9)</f>
        <v>9.6052</v>
      </c>
      <c r="I278" s="11">
        <f>9.6088 * CHOOSE(CONTROL!$C$32, $C$9, 100%, $E$9)</f>
        <v>9.6088000000000005</v>
      </c>
      <c r="J278" s="11">
        <f>9.6052 * CHOOSE(CONTROL!$C$32, $C$9, 100%, $E$9)</f>
        <v>9.6052</v>
      </c>
      <c r="K278" s="11">
        <f>9.6088 * CHOOSE(CONTROL!$C$32, $C$9, 100%, $E$9)</f>
        <v>9.6088000000000005</v>
      </c>
      <c r="L278" s="11">
        <f>6.0663 * CHOOSE(CONTROL!$C$32, $C$9, 100%, $E$9)</f>
        <v>6.0663</v>
      </c>
      <c r="M278" s="11">
        <f>6.0699 * CHOOSE(CONTROL!$C$32, $C$9, 100%, $E$9)</f>
        <v>6.0698999999999996</v>
      </c>
      <c r="N278" s="11">
        <f>6.0663 * CHOOSE(CONTROL!$C$32, $C$9, 100%, $E$9)</f>
        <v>6.0663</v>
      </c>
      <c r="O278" s="11">
        <f>6.0699 * CHOOSE(CONTROL!$C$32, $C$9, 100%, $E$9)</f>
        <v>6.0698999999999996</v>
      </c>
    </row>
    <row r="279" spans="1:15" ht="15" x14ac:dyDescent="0.2">
      <c r="A279" s="13">
        <v>49341</v>
      </c>
      <c r="B279" s="9">
        <f>4.71 * CHOOSE(CONTROL!$C$32, $C$9, 100%, $E$9)</f>
        <v>4.71</v>
      </c>
      <c r="C279" s="9">
        <f>4.71 * CHOOSE(CONTROL!$C$32, $C$9, 100%, $E$9)</f>
        <v>4.71</v>
      </c>
      <c r="D279" s="9">
        <f>4.711 * CHOOSE(CONTROL!$C$32, $C$9, 100%, $E$9)</f>
        <v>4.7110000000000003</v>
      </c>
      <c r="E279" s="11">
        <f>6.3757 * CHOOSE(CONTROL!$C$32, $C$9, 100%, $E$9)</f>
        <v>6.3757000000000001</v>
      </c>
      <c r="F279" s="11">
        <f>6.3757 * CHOOSE(CONTROL!$C$32, $C$9, 100%, $E$9)</f>
        <v>6.3757000000000001</v>
      </c>
      <c r="G279" s="11">
        <f>6.3793 * CHOOSE(CONTROL!$C$32, $C$9, 100%, $E$9)</f>
        <v>6.3792999999999997</v>
      </c>
      <c r="H279" s="11">
        <f>9.6252 * CHOOSE(CONTROL!$C$32, $C$9, 100%, $E$9)</f>
        <v>9.6251999999999995</v>
      </c>
      <c r="I279" s="11">
        <f>9.6289 * CHOOSE(CONTROL!$C$32, $C$9, 100%, $E$9)</f>
        <v>9.6288999999999998</v>
      </c>
      <c r="J279" s="11">
        <f>9.6252 * CHOOSE(CONTROL!$C$32, $C$9, 100%, $E$9)</f>
        <v>9.6251999999999995</v>
      </c>
      <c r="K279" s="11">
        <f>9.6289 * CHOOSE(CONTROL!$C$32, $C$9, 100%, $E$9)</f>
        <v>9.6288999999999998</v>
      </c>
      <c r="L279" s="11">
        <f>6.3757 * CHOOSE(CONTROL!$C$32, $C$9, 100%, $E$9)</f>
        <v>6.3757000000000001</v>
      </c>
      <c r="M279" s="11">
        <f>6.3793 * CHOOSE(CONTROL!$C$32, $C$9, 100%, $E$9)</f>
        <v>6.3792999999999997</v>
      </c>
      <c r="N279" s="11">
        <f>6.3757 * CHOOSE(CONTROL!$C$32, $C$9, 100%, $E$9)</f>
        <v>6.3757000000000001</v>
      </c>
      <c r="O279" s="11">
        <f>6.3793 * CHOOSE(CONTROL!$C$32, $C$9, 100%, $E$9)</f>
        <v>6.3792999999999997</v>
      </c>
    </row>
    <row r="280" spans="1:15" ht="15" x14ac:dyDescent="0.2">
      <c r="A280" s="13">
        <v>49369</v>
      </c>
      <c r="B280" s="9">
        <f>4.7069 * CHOOSE(CONTROL!$C$32, $C$9, 100%, $E$9)</f>
        <v>4.7069000000000001</v>
      </c>
      <c r="C280" s="9">
        <f>4.7069 * CHOOSE(CONTROL!$C$32, $C$9, 100%, $E$9)</f>
        <v>4.7069000000000001</v>
      </c>
      <c r="D280" s="9">
        <f>4.708 * CHOOSE(CONTROL!$C$32, $C$9, 100%, $E$9)</f>
        <v>4.7080000000000002</v>
      </c>
      <c r="E280" s="11">
        <f>6.0623 * CHOOSE(CONTROL!$C$32, $C$9, 100%, $E$9)</f>
        <v>6.0622999999999996</v>
      </c>
      <c r="F280" s="11">
        <f>6.0623 * CHOOSE(CONTROL!$C$32, $C$9, 100%, $E$9)</f>
        <v>6.0622999999999996</v>
      </c>
      <c r="G280" s="11">
        <f>6.0659 * CHOOSE(CONTROL!$C$32, $C$9, 100%, $E$9)</f>
        <v>6.0659000000000001</v>
      </c>
      <c r="H280" s="11">
        <f>9.6453 * CHOOSE(CONTROL!$C$32, $C$9, 100%, $E$9)</f>
        <v>9.6453000000000007</v>
      </c>
      <c r="I280" s="11">
        <f>9.6489 * CHOOSE(CONTROL!$C$32, $C$9, 100%, $E$9)</f>
        <v>9.6488999999999994</v>
      </c>
      <c r="J280" s="11">
        <f>9.6453 * CHOOSE(CONTROL!$C$32, $C$9, 100%, $E$9)</f>
        <v>9.6453000000000007</v>
      </c>
      <c r="K280" s="11">
        <f>9.6489 * CHOOSE(CONTROL!$C$32, $C$9, 100%, $E$9)</f>
        <v>9.6488999999999994</v>
      </c>
      <c r="L280" s="11">
        <f>6.0623 * CHOOSE(CONTROL!$C$32, $C$9, 100%, $E$9)</f>
        <v>6.0622999999999996</v>
      </c>
      <c r="M280" s="11">
        <f>6.0659 * CHOOSE(CONTROL!$C$32, $C$9, 100%, $E$9)</f>
        <v>6.0659000000000001</v>
      </c>
      <c r="N280" s="11">
        <f>6.0623 * CHOOSE(CONTROL!$C$32, $C$9, 100%, $E$9)</f>
        <v>6.0622999999999996</v>
      </c>
      <c r="O280" s="11">
        <f>6.0659 * CHOOSE(CONTROL!$C$32, $C$9, 100%, $E$9)</f>
        <v>6.0659000000000001</v>
      </c>
    </row>
    <row r="281" spans="1:15" ht="15" x14ac:dyDescent="0.2">
      <c r="A281" s="13">
        <v>49400</v>
      </c>
      <c r="B281" s="9">
        <f>4.7052 * CHOOSE(CONTROL!$C$32, $C$9, 100%, $E$9)</f>
        <v>4.7051999999999996</v>
      </c>
      <c r="C281" s="9">
        <f>4.7052 * CHOOSE(CONTROL!$C$32, $C$9, 100%, $E$9)</f>
        <v>4.7051999999999996</v>
      </c>
      <c r="D281" s="9">
        <f>4.7063 * CHOOSE(CONTROL!$C$32, $C$9, 100%, $E$9)</f>
        <v>4.7062999999999997</v>
      </c>
      <c r="E281" s="11">
        <f>6.0605 * CHOOSE(CONTROL!$C$32, $C$9, 100%, $E$9)</f>
        <v>6.0605000000000002</v>
      </c>
      <c r="F281" s="11">
        <f>6.0605 * CHOOSE(CONTROL!$C$32, $C$9, 100%, $E$9)</f>
        <v>6.0605000000000002</v>
      </c>
      <c r="G281" s="11">
        <f>6.0642 * CHOOSE(CONTROL!$C$32, $C$9, 100%, $E$9)</f>
        <v>6.0641999999999996</v>
      </c>
      <c r="H281" s="11">
        <f>9.6654 * CHOOSE(CONTROL!$C$32, $C$9, 100%, $E$9)</f>
        <v>9.6654</v>
      </c>
      <c r="I281" s="11">
        <f>9.669 * CHOOSE(CONTROL!$C$32, $C$9, 100%, $E$9)</f>
        <v>9.6690000000000005</v>
      </c>
      <c r="J281" s="11">
        <f>9.6654 * CHOOSE(CONTROL!$C$32, $C$9, 100%, $E$9)</f>
        <v>9.6654</v>
      </c>
      <c r="K281" s="11">
        <f>9.669 * CHOOSE(CONTROL!$C$32, $C$9, 100%, $E$9)</f>
        <v>9.6690000000000005</v>
      </c>
      <c r="L281" s="11">
        <f>6.0605 * CHOOSE(CONTROL!$C$32, $C$9, 100%, $E$9)</f>
        <v>6.0605000000000002</v>
      </c>
      <c r="M281" s="11">
        <f>6.0642 * CHOOSE(CONTROL!$C$32, $C$9, 100%, $E$9)</f>
        <v>6.0641999999999996</v>
      </c>
      <c r="N281" s="11">
        <f>6.0605 * CHOOSE(CONTROL!$C$32, $C$9, 100%, $E$9)</f>
        <v>6.0605000000000002</v>
      </c>
      <c r="O281" s="11">
        <f>6.0642 * CHOOSE(CONTROL!$C$32, $C$9, 100%, $E$9)</f>
        <v>6.0641999999999996</v>
      </c>
    </row>
    <row r="282" spans="1:15" ht="15" x14ac:dyDescent="0.2">
      <c r="A282" s="13">
        <v>49430</v>
      </c>
      <c r="B282" s="9">
        <f>4.7052 * CHOOSE(CONTROL!$C$32, $C$9, 100%, $E$9)</f>
        <v>4.7051999999999996</v>
      </c>
      <c r="C282" s="9">
        <f>4.7052 * CHOOSE(CONTROL!$C$32, $C$9, 100%, $E$9)</f>
        <v>4.7051999999999996</v>
      </c>
      <c r="D282" s="9">
        <f>4.7068 * CHOOSE(CONTROL!$C$32, $C$9, 100%, $E$9)</f>
        <v>4.7068000000000003</v>
      </c>
      <c r="E282" s="11">
        <f>6.0605 * CHOOSE(CONTROL!$C$32, $C$9, 100%, $E$9)</f>
        <v>6.0605000000000002</v>
      </c>
      <c r="F282" s="11">
        <f>6.0605 * CHOOSE(CONTROL!$C$32, $C$9, 100%, $E$9)</f>
        <v>6.0605000000000002</v>
      </c>
      <c r="G282" s="11">
        <f>6.0658 * CHOOSE(CONTROL!$C$32, $C$9, 100%, $E$9)</f>
        <v>6.0658000000000003</v>
      </c>
      <c r="H282" s="11">
        <f>9.6855 * CHOOSE(CONTROL!$C$32, $C$9, 100%, $E$9)</f>
        <v>9.6854999999999993</v>
      </c>
      <c r="I282" s="11">
        <f>9.6908 * CHOOSE(CONTROL!$C$32, $C$9, 100%, $E$9)</f>
        <v>9.6907999999999994</v>
      </c>
      <c r="J282" s="11">
        <f>9.6855 * CHOOSE(CONTROL!$C$32, $C$9, 100%, $E$9)</f>
        <v>9.6854999999999993</v>
      </c>
      <c r="K282" s="11">
        <f>9.6908 * CHOOSE(CONTROL!$C$32, $C$9, 100%, $E$9)</f>
        <v>9.6907999999999994</v>
      </c>
      <c r="L282" s="11">
        <f>6.0605 * CHOOSE(CONTROL!$C$32, $C$9, 100%, $E$9)</f>
        <v>6.0605000000000002</v>
      </c>
      <c r="M282" s="11">
        <f>6.0658 * CHOOSE(CONTROL!$C$32, $C$9, 100%, $E$9)</f>
        <v>6.0658000000000003</v>
      </c>
      <c r="N282" s="11">
        <f>6.0605 * CHOOSE(CONTROL!$C$32, $C$9, 100%, $E$9)</f>
        <v>6.0605000000000002</v>
      </c>
      <c r="O282" s="11">
        <f>6.0658 * CHOOSE(CONTROL!$C$32, $C$9, 100%, $E$9)</f>
        <v>6.0658000000000003</v>
      </c>
    </row>
    <row r="283" spans="1:15" ht="15" x14ac:dyDescent="0.2">
      <c r="A283" s="13">
        <v>49461</v>
      </c>
      <c r="B283" s="9">
        <f>4.7113 * CHOOSE(CONTROL!$C$32, $C$9, 100%, $E$9)</f>
        <v>4.7112999999999996</v>
      </c>
      <c r="C283" s="9">
        <f>4.7113 * CHOOSE(CONTROL!$C$32, $C$9, 100%, $E$9)</f>
        <v>4.7112999999999996</v>
      </c>
      <c r="D283" s="9">
        <f>4.7129 * CHOOSE(CONTROL!$C$32, $C$9, 100%, $E$9)</f>
        <v>4.7129000000000003</v>
      </c>
      <c r="E283" s="11">
        <f>6.0645 * CHOOSE(CONTROL!$C$32, $C$9, 100%, $E$9)</f>
        <v>6.0644999999999998</v>
      </c>
      <c r="F283" s="11">
        <f>6.0645 * CHOOSE(CONTROL!$C$32, $C$9, 100%, $E$9)</f>
        <v>6.0644999999999998</v>
      </c>
      <c r="G283" s="11">
        <f>6.0698 * CHOOSE(CONTROL!$C$32, $C$9, 100%, $E$9)</f>
        <v>6.0697999999999999</v>
      </c>
      <c r="H283" s="11">
        <f>9.7057 * CHOOSE(CONTROL!$C$32, $C$9, 100%, $E$9)</f>
        <v>9.7057000000000002</v>
      </c>
      <c r="I283" s="11">
        <f>9.711 * CHOOSE(CONTROL!$C$32, $C$9, 100%, $E$9)</f>
        <v>9.7110000000000003</v>
      </c>
      <c r="J283" s="11">
        <f>9.7057 * CHOOSE(CONTROL!$C$32, $C$9, 100%, $E$9)</f>
        <v>9.7057000000000002</v>
      </c>
      <c r="K283" s="11">
        <f>9.711 * CHOOSE(CONTROL!$C$32, $C$9, 100%, $E$9)</f>
        <v>9.7110000000000003</v>
      </c>
      <c r="L283" s="11">
        <f>6.0645 * CHOOSE(CONTROL!$C$32, $C$9, 100%, $E$9)</f>
        <v>6.0644999999999998</v>
      </c>
      <c r="M283" s="11">
        <f>6.0698 * CHOOSE(CONTROL!$C$32, $C$9, 100%, $E$9)</f>
        <v>6.0697999999999999</v>
      </c>
      <c r="N283" s="11">
        <f>6.0645 * CHOOSE(CONTROL!$C$32, $C$9, 100%, $E$9)</f>
        <v>6.0644999999999998</v>
      </c>
      <c r="O283" s="11">
        <f>6.0698 * CHOOSE(CONTROL!$C$32, $C$9, 100%, $E$9)</f>
        <v>6.0697999999999999</v>
      </c>
    </row>
    <row r="284" spans="1:15" ht="15" x14ac:dyDescent="0.2">
      <c r="A284" s="13">
        <v>49491</v>
      </c>
      <c r="B284" s="9">
        <f>4.7784 * CHOOSE(CONTROL!$C$32, $C$9, 100%, $E$9)</f>
        <v>4.7784000000000004</v>
      </c>
      <c r="C284" s="9">
        <f>4.7784 * CHOOSE(CONTROL!$C$32, $C$9, 100%, $E$9)</f>
        <v>4.7784000000000004</v>
      </c>
      <c r="D284" s="9">
        <f>4.7799 * CHOOSE(CONTROL!$C$32, $C$9, 100%, $E$9)</f>
        <v>4.7798999999999996</v>
      </c>
      <c r="E284" s="11">
        <f>6.1692 * CHOOSE(CONTROL!$C$32, $C$9, 100%, $E$9)</f>
        <v>6.1692</v>
      </c>
      <c r="F284" s="11">
        <f>6.1692 * CHOOSE(CONTROL!$C$32, $C$9, 100%, $E$9)</f>
        <v>6.1692</v>
      </c>
      <c r="G284" s="11">
        <f>6.1745 * CHOOSE(CONTROL!$C$32, $C$9, 100%, $E$9)</f>
        <v>6.1745000000000001</v>
      </c>
      <c r="H284" s="11">
        <f>9.7259 * CHOOSE(CONTROL!$C$32, $C$9, 100%, $E$9)</f>
        <v>9.7258999999999993</v>
      </c>
      <c r="I284" s="11">
        <f>9.7312 * CHOOSE(CONTROL!$C$32, $C$9, 100%, $E$9)</f>
        <v>9.7311999999999994</v>
      </c>
      <c r="J284" s="11">
        <f>9.7259 * CHOOSE(CONTROL!$C$32, $C$9, 100%, $E$9)</f>
        <v>9.7258999999999993</v>
      </c>
      <c r="K284" s="11">
        <f>9.7312 * CHOOSE(CONTROL!$C$32, $C$9, 100%, $E$9)</f>
        <v>9.7311999999999994</v>
      </c>
      <c r="L284" s="11">
        <f>6.1692 * CHOOSE(CONTROL!$C$32, $C$9, 100%, $E$9)</f>
        <v>6.1692</v>
      </c>
      <c r="M284" s="11">
        <f>6.1745 * CHOOSE(CONTROL!$C$32, $C$9, 100%, $E$9)</f>
        <v>6.1745000000000001</v>
      </c>
      <c r="N284" s="11">
        <f>6.1692 * CHOOSE(CONTROL!$C$32, $C$9, 100%, $E$9)</f>
        <v>6.1692</v>
      </c>
      <c r="O284" s="11">
        <f>6.1745 * CHOOSE(CONTROL!$C$32, $C$9, 100%, $E$9)</f>
        <v>6.1745000000000001</v>
      </c>
    </row>
    <row r="285" spans="1:15" ht="15" x14ac:dyDescent="0.2">
      <c r="A285" s="13">
        <v>49522</v>
      </c>
      <c r="B285" s="9">
        <f>4.785 * CHOOSE(CONTROL!$C$32, $C$9, 100%, $E$9)</f>
        <v>4.7850000000000001</v>
      </c>
      <c r="C285" s="9">
        <f>4.785 * CHOOSE(CONTROL!$C$32, $C$9, 100%, $E$9)</f>
        <v>4.7850000000000001</v>
      </c>
      <c r="D285" s="9">
        <f>4.7866 * CHOOSE(CONTROL!$C$32, $C$9, 100%, $E$9)</f>
        <v>4.7866</v>
      </c>
      <c r="E285" s="11">
        <f>6.523 * CHOOSE(CONTROL!$C$32, $C$9, 100%, $E$9)</f>
        <v>6.5229999999999997</v>
      </c>
      <c r="F285" s="11">
        <f>6.523 * CHOOSE(CONTROL!$C$32, $C$9, 100%, $E$9)</f>
        <v>6.5229999999999997</v>
      </c>
      <c r="G285" s="11">
        <f>6.5283 * CHOOSE(CONTROL!$C$32, $C$9, 100%, $E$9)</f>
        <v>6.5282999999999998</v>
      </c>
      <c r="H285" s="11">
        <f>9.7462 * CHOOSE(CONTROL!$C$32, $C$9, 100%, $E$9)</f>
        <v>9.7462</v>
      </c>
      <c r="I285" s="11">
        <f>9.7515 * CHOOSE(CONTROL!$C$32, $C$9, 100%, $E$9)</f>
        <v>9.7515000000000001</v>
      </c>
      <c r="J285" s="11">
        <f>9.7462 * CHOOSE(CONTROL!$C$32, $C$9, 100%, $E$9)</f>
        <v>9.7462</v>
      </c>
      <c r="K285" s="11">
        <f>9.7515 * CHOOSE(CONTROL!$C$32, $C$9, 100%, $E$9)</f>
        <v>9.7515000000000001</v>
      </c>
      <c r="L285" s="11">
        <f>6.523 * CHOOSE(CONTROL!$C$32, $C$9, 100%, $E$9)</f>
        <v>6.5229999999999997</v>
      </c>
      <c r="M285" s="11">
        <f>6.5283 * CHOOSE(CONTROL!$C$32, $C$9, 100%, $E$9)</f>
        <v>6.5282999999999998</v>
      </c>
      <c r="N285" s="11">
        <f>6.523 * CHOOSE(CONTROL!$C$32, $C$9, 100%, $E$9)</f>
        <v>6.5229999999999997</v>
      </c>
      <c r="O285" s="11">
        <f>6.5283 * CHOOSE(CONTROL!$C$32, $C$9, 100%, $E$9)</f>
        <v>6.5282999999999998</v>
      </c>
    </row>
    <row r="286" spans="1:15" ht="15" x14ac:dyDescent="0.2">
      <c r="A286" s="13">
        <v>49553</v>
      </c>
      <c r="B286" s="9">
        <f>4.782 * CHOOSE(CONTROL!$C$32, $C$9, 100%, $E$9)</f>
        <v>4.782</v>
      </c>
      <c r="C286" s="9">
        <f>4.782 * CHOOSE(CONTROL!$C$32, $C$9, 100%, $E$9)</f>
        <v>4.782</v>
      </c>
      <c r="D286" s="9">
        <f>4.7836 * CHOOSE(CONTROL!$C$32, $C$9, 100%, $E$9)</f>
        <v>4.7835999999999999</v>
      </c>
      <c r="E286" s="11">
        <f>6.5105 * CHOOSE(CONTROL!$C$32, $C$9, 100%, $E$9)</f>
        <v>6.5105000000000004</v>
      </c>
      <c r="F286" s="11">
        <f>6.5105 * CHOOSE(CONTROL!$C$32, $C$9, 100%, $E$9)</f>
        <v>6.5105000000000004</v>
      </c>
      <c r="G286" s="11">
        <f>6.5158 * CHOOSE(CONTROL!$C$32, $C$9, 100%, $E$9)</f>
        <v>6.5157999999999996</v>
      </c>
      <c r="H286" s="11">
        <f>9.7665 * CHOOSE(CONTROL!$C$32, $C$9, 100%, $E$9)</f>
        <v>9.7665000000000006</v>
      </c>
      <c r="I286" s="11">
        <f>9.7718 * CHOOSE(CONTROL!$C$32, $C$9, 100%, $E$9)</f>
        <v>9.7718000000000007</v>
      </c>
      <c r="J286" s="11">
        <f>9.7665 * CHOOSE(CONTROL!$C$32, $C$9, 100%, $E$9)</f>
        <v>9.7665000000000006</v>
      </c>
      <c r="K286" s="11">
        <f>9.7718 * CHOOSE(CONTROL!$C$32, $C$9, 100%, $E$9)</f>
        <v>9.7718000000000007</v>
      </c>
      <c r="L286" s="11">
        <f>6.5105 * CHOOSE(CONTROL!$C$32, $C$9, 100%, $E$9)</f>
        <v>6.5105000000000004</v>
      </c>
      <c r="M286" s="11">
        <f>6.5158 * CHOOSE(CONTROL!$C$32, $C$9, 100%, $E$9)</f>
        <v>6.5157999999999996</v>
      </c>
      <c r="N286" s="11">
        <f>6.5105 * CHOOSE(CONTROL!$C$32, $C$9, 100%, $E$9)</f>
        <v>6.5105000000000004</v>
      </c>
      <c r="O286" s="11">
        <f>6.5158 * CHOOSE(CONTROL!$C$32, $C$9, 100%, $E$9)</f>
        <v>6.5157999999999996</v>
      </c>
    </row>
    <row r="287" spans="1:15" ht="15" x14ac:dyDescent="0.2">
      <c r="A287" s="13">
        <v>49583</v>
      </c>
      <c r="B287" s="9">
        <f>4.78 * CHOOSE(CONTROL!$C$32, $C$9, 100%, $E$9)</f>
        <v>4.78</v>
      </c>
      <c r="C287" s="9">
        <f>4.78 * CHOOSE(CONTROL!$C$32, $C$9, 100%, $E$9)</f>
        <v>4.78</v>
      </c>
      <c r="D287" s="9">
        <f>4.781 * CHOOSE(CONTROL!$C$32, $C$9, 100%, $E$9)</f>
        <v>4.7809999999999997</v>
      </c>
      <c r="E287" s="11">
        <f>6.1678 * CHOOSE(CONTROL!$C$32, $C$9, 100%, $E$9)</f>
        <v>6.1677999999999997</v>
      </c>
      <c r="F287" s="11">
        <f>6.1678 * CHOOSE(CONTROL!$C$32, $C$9, 100%, $E$9)</f>
        <v>6.1677999999999997</v>
      </c>
      <c r="G287" s="11">
        <f>6.1714 * CHOOSE(CONTROL!$C$32, $C$9, 100%, $E$9)</f>
        <v>6.1714000000000002</v>
      </c>
      <c r="H287" s="11">
        <f>9.7868 * CHOOSE(CONTROL!$C$32, $C$9, 100%, $E$9)</f>
        <v>9.7867999999999995</v>
      </c>
      <c r="I287" s="11">
        <f>9.7905 * CHOOSE(CONTROL!$C$32, $C$9, 100%, $E$9)</f>
        <v>9.7904999999999998</v>
      </c>
      <c r="J287" s="11">
        <f>9.7868 * CHOOSE(CONTROL!$C$32, $C$9, 100%, $E$9)</f>
        <v>9.7867999999999995</v>
      </c>
      <c r="K287" s="11">
        <f>9.7905 * CHOOSE(CONTROL!$C$32, $C$9, 100%, $E$9)</f>
        <v>9.7904999999999998</v>
      </c>
      <c r="L287" s="11">
        <f>6.1678 * CHOOSE(CONTROL!$C$32, $C$9, 100%, $E$9)</f>
        <v>6.1677999999999997</v>
      </c>
      <c r="M287" s="11">
        <f>6.1714 * CHOOSE(CONTROL!$C$32, $C$9, 100%, $E$9)</f>
        <v>6.1714000000000002</v>
      </c>
      <c r="N287" s="11">
        <f>6.1678 * CHOOSE(CONTROL!$C$32, $C$9, 100%, $E$9)</f>
        <v>6.1677999999999997</v>
      </c>
      <c r="O287" s="11">
        <f>6.1714 * CHOOSE(CONTROL!$C$32, $C$9, 100%, $E$9)</f>
        <v>6.1714000000000002</v>
      </c>
    </row>
    <row r="288" spans="1:15" ht="15" x14ac:dyDescent="0.2">
      <c r="A288" s="13">
        <v>49614</v>
      </c>
      <c r="B288" s="9">
        <f>4.783 * CHOOSE(CONTROL!$C$32, $C$9, 100%, $E$9)</f>
        <v>4.7830000000000004</v>
      </c>
      <c r="C288" s="9">
        <f>4.783 * CHOOSE(CONTROL!$C$32, $C$9, 100%, $E$9)</f>
        <v>4.7830000000000004</v>
      </c>
      <c r="D288" s="9">
        <f>4.7841 * CHOOSE(CONTROL!$C$32, $C$9, 100%, $E$9)</f>
        <v>4.7840999999999996</v>
      </c>
      <c r="E288" s="11">
        <f>6.1698 * CHOOSE(CONTROL!$C$32, $C$9, 100%, $E$9)</f>
        <v>6.1698000000000004</v>
      </c>
      <c r="F288" s="11">
        <f>6.1698 * CHOOSE(CONTROL!$C$32, $C$9, 100%, $E$9)</f>
        <v>6.1698000000000004</v>
      </c>
      <c r="G288" s="11">
        <f>6.1734 * CHOOSE(CONTROL!$C$32, $C$9, 100%, $E$9)</f>
        <v>6.1734</v>
      </c>
      <c r="H288" s="11">
        <f>9.8072 * CHOOSE(CONTROL!$C$32, $C$9, 100%, $E$9)</f>
        <v>9.8071999999999999</v>
      </c>
      <c r="I288" s="11">
        <f>9.8108 * CHOOSE(CONTROL!$C$32, $C$9, 100%, $E$9)</f>
        <v>9.8108000000000004</v>
      </c>
      <c r="J288" s="11">
        <f>9.8072 * CHOOSE(CONTROL!$C$32, $C$9, 100%, $E$9)</f>
        <v>9.8071999999999999</v>
      </c>
      <c r="K288" s="11">
        <f>9.8108 * CHOOSE(CONTROL!$C$32, $C$9, 100%, $E$9)</f>
        <v>9.8108000000000004</v>
      </c>
      <c r="L288" s="11">
        <f>6.1698 * CHOOSE(CONTROL!$C$32, $C$9, 100%, $E$9)</f>
        <v>6.1698000000000004</v>
      </c>
      <c r="M288" s="11">
        <f>6.1734 * CHOOSE(CONTROL!$C$32, $C$9, 100%, $E$9)</f>
        <v>6.1734</v>
      </c>
      <c r="N288" s="11">
        <f>6.1698 * CHOOSE(CONTROL!$C$32, $C$9, 100%, $E$9)</f>
        <v>6.1698000000000004</v>
      </c>
      <c r="O288" s="11">
        <f>6.1734 * CHOOSE(CONTROL!$C$32, $C$9, 100%, $E$9)</f>
        <v>6.1734</v>
      </c>
    </row>
    <row r="289" spans="1:15" ht="15" x14ac:dyDescent="0.2">
      <c r="A289" s="13">
        <v>49644</v>
      </c>
      <c r="B289" s="9">
        <f>4.783 * CHOOSE(CONTROL!$C$32, $C$9, 100%, $E$9)</f>
        <v>4.7830000000000004</v>
      </c>
      <c r="C289" s="9">
        <f>4.783 * CHOOSE(CONTROL!$C$32, $C$9, 100%, $E$9)</f>
        <v>4.7830000000000004</v>
      </c>
      <c r="D289" s="9">
        <f>4.7841 * CHOOSE(CONTROL!$C$32, $C$9, 100%, $E$9)</f>
        <v>4.7840999999999996</v>
      </c>
      <c r="E289" s="11">
        <f>6.5096 * CHOOSE(CONTROL!$C$32, $C$9, 100%, $E$9)</f>
        <v>6.5095999999999998</v>
      </c>
      <c r="F289" s="11">
        <f>6.5096 * CHOOSE(CONTROL!$C$32, $C$9, 100%, $E$9)</f>
        <v>6.5095999999999998</v>
      </c>
      <c r="G289" s="11">
        <f>6.5132 * CHOOSE(CONTROL!$C$32, $C$9, 100%, $E$9)</f>
        <v>6.5132000000000003</v>
      </c>
      <c r="H289" s="11">
        <f>9.8277 * CHOOSE(CONTROL!$C$32, $C$9, 100%, $E$9)</f>
        <v>9.8277000000000001</v>
      </c>
      <c r="I289" s="11">
        <f>9.8313 * CHOOSE(CONTROL!$C$32, $C$9, 100%, $E$9)</f>
        <v>9.8313000000000006</v>
      </c>
      <c r="J289" s="11">
        <f>9.8277 * CHOOSE(CONTROL!$C$32, $C$9, 100%, $E$9)</f>
        <v>9.8277000000000001</v>
      </c>
      <c r="K289" s="11">
        <f>9.8313 * CHOOSE(CONTROL!$C$32, $C$9, 100%, $E$9)</f>
        <v>9.8313000000000006</v>
      </c>
      <c r="L289" s="11">
        <f>6.5096 * CHOOSE(CONTROL!$C$32, $C$9, 100%, $E$9)</f>
        <v>6.5095999999999998</v>
      </c>
      <c r="M289" s="11">
        <f>6.5132 * CHOOSE(CONTROL!$C$32, $C$9, 100%, $E$9)</f>
        <v>6.5132000000000003</v>
      </c>
      <c r="N289" s="11">
        <f>6.5096 * CHOOSE(CONTROL!$C$32, $C$9, 100%, $E$9)</f>
        <v>6.5095999999999998</v>
      </c>
      <c r="O289" s="11">
        <f>6.5132 * CHOOSE(CONTROL!$C$32, $C$9, 100%, $E$9)</f>
        <v>6.5132000000000003</v>
      </c>
    </row>
    <row r="290" spans="1:15" ht="15" x14ac:dyDescent="0.2">
      <c r="A290" s="13">
        <v>49675</v>
      </c>
      <c r="B290" s="9">
        <f>4.8216 * CHOOSE(CONTROL!$C$32, $C$9, 100%, $E$9)</f>
        <v>4.8216000000000001</v>
      </c>
      <c r="C290" s="9">
        <f>4.8216 * CHOOSE(CONTROL!$C$32, $C$9, 100%, $E$9)</f>
        <v>4.8216000000000001</v>
      </c>
      <c r="D290" s="9">
        <f>4.8227 * CHOOSE(CONTROL!$C$32, $C$9, 100%, $E$9)</f>
        <v>4.8227000000000002</v>
      </c>
      <c r="E290" s="11">
        <f>6.5301 * CHOOSE(CONTROL!$C$32, $C$9, 100%, $E$9)</f>
        <v>6.5301</v>
      </c>
      <c r="F290" s="11">
        <f>6.5301 * CHOOSE(CONTROL!$C$32, $C$9, 100%, $E$9)</f>
        <v>6.5301</v>
      </c>
      <c r="G290" s="11">
        <f>6.5337 * CHOOSE(CONTROL!$C$32, $C$9, 100%, $E$9)</f>
        <v>6.5336999999999996</v>
      </c>
      <c r="H290" s="11">
        <f>9.8481 * CHOOSE(CONTROL!$C$32, $C$9, 100%, $E$9)</f>
        <v>9.8481000000000005</v>
      </c>
      <c r="I290" s="11">
        <f>9.8518 * CHOOSE(CONTROL!$C$32, $C$9, 100%, $E$9)</f>
        <v>9.8518000000000008</v>
      </c>
      <c r="J290" s="11">
        <f>9.8481 * CHOOSE(CONTROL!$C$32, $C$9, 100%, $E$9)</f>
        <v>9.8481000000000005</v>
      </c>
      <c r="K290" s="11">
        <f>9.8518 * CHOOSE(CONTROL!$C$32, $C$9, 100%, $E$9)</f>
        <v>9.8518000000000008</v>
      </c>
      <c r="L290" s="11">
        <f>6.5301 * CHOOSE(CONTROL!$C$32, $C$9, 100%, $E$9)</f>
        <v>6.5301</v>
      </c>
      <c r="M290" s="11">
        <f>6.5337 * CHOOSE(CONTROL!$C$32, $C$9, 100%, $E$9)</f>
        <v>6.5336999999999996</v>
      </c>
      <c r="N290" s="11">
        <f>6.5301 * CHOOSE(CONTROL!$C$32, $C$9, 100%, $E$9)</f>
        <v>6.5301</v>
      </c>
      <c r="O290" s="11">
        <f>6.5337 * CHOOSE(CONTROL!$C$32, $C$9, 100%, $E$9)</f>
        <v>6.5336999999999996</v>
      </c>
    </row>
    <row r="291" spans="1:15" ht="15" x14ac:dyDescent="0.2">
      <c r="A291" s="13">
        <v>49706</v>
      </c>
      <c r="B291" s="9">
        <f>4.8186 * CHOOSE(CONTROL!$C$32, $C$9, 100%, $E$9)</f>
        <v>4.8186</v>
      </c>
      <c r="C291" s="9">
        <f>4.8186 * CHOOSE(CONTROL!$C$32, $C$9, 100%, $E$9)</f>
        <v>4.8186</v>
      </c>
      <c r="D291" s="9">
        <f>4.8196 * CHOOSE(CONTROL!$C$32, $C$9, 100%, $E$9)</f>
        <v>4.8196000000000003</v>
      </c>
      <c r="E291" s="11">
        <f>6.4268 * CHOOSE(CONTROL!$C$32, $C$9, 100%, $E$9)</f>
        <v>6.4268000000000001</v>
      </c>
      <c r="F291" s="11">
        <f>6.4268 * CHOOSE(CONTROL!$C$32, $C$9, 100%, $E$9)</f>
        <v>6.4268000000000001</v>
      </c>
      <c r="G291" s="11">
        <f>6.4304 * CHOOSE(CONTROL!$C$32, $C$9, 100%, $E$9)</f>
        <v>6.4303999999999997</v>
      </c>
      <c r="H291" s="11">
        <f>9.8687 * CHOOSE(CONTROL!$C$32, $C$9, 100%, $E$9)</f>
        <v>9.8687000000000005</v>
      </c>
      <c r="I291" s="11">
        <f>9.8723 * CHOOSE(CONTROL!$C$32, $C$9, 100%, $E$9)</f>
        <v>9.8722999999999992</v>
      </c>
      <c r="J291" s="11">
        <f>9.8687 * CHOOSE(CONTROL!$C$32, $C$9, 100%, $E$9)</f>
        <v>9.8687000000000005</v>
      </c>
      <c r="K291" s="11">
        <f>9.8723 * CHOOSE(CONTROL!$C$32, $C$9, 100%, $E$9)</f>
        <v>9.8722999999999992</v>
      </c>
      <c r="L291" s="11">
        <f>6.4268 * CHOOSE(CONTROL!$C$32, $C$9, 100%, $E$9)</f>
        <v>6.4268000000000001</v>
      </c>
      <c r="M291" s="11">
        <f>6.4304 * CHOOSE(CONTROL!$C$32, $C$9, 100%, $E$9)</f>
        <v>6.4303999999999997</v>
      </c>
      <c r="N291" s="11">
        <f>6.4268 * CHOOSE(CONTROL!$C$32, $C$9, 100%, $E$9)</f>
        <v>6.4268000000000001</v>
      </c>
      <c r="O291" s="11">
        <f>6.4304 * CHOOSE(CONTROL!$C$32, $C$9, 100%, $E$9)</f>
        <v>6.4303999999999997</v>
      </c>
    </row>
    <row r="292" spans="1:15" ht="15" x14ac:dyDescent="0.2">
      <c r="A292" s="13">
        <v>49735</v>
      </c>
      <c r="B292" s="9">
        <f>4.8155 * CHOOSE(CONTROL!$C$32, $C$9, 100%, $E$9)</f>
        <v>4.8155000000000001</v>
      </c>
      <c r="C292" s="9">
        <f>4.8155 * CHOOSE(CONTROL!$C$32, $C$9, 100%, $E$9)</f>
        <v>4.8155000000000001</v>
      </c>
      <c r="D292" s="9">
        <f>4.8166 * CHOOSE(CONTROL!$C$32, $C$9, 100%, $E$9)</f>
        <v>4.8166000000000002</v>
      </c>
      <c r="E292" s="11">
        <f>6.5044 * CHOOSE(CONTROL!$C$32, $C$9, 100%, $E$9)</f>
        <v>6.5044000000000004</v>
      </c>
      <c r="F292" s="11">
        <f>6.5044 * CHOOSE(CONTROL!$C$32, $C$9, 100%, $E$9)</f>
        <v>6.5044000000000004</v>
      </c>
      <c r="G292" s="11">
        <f>6.508 * CHOOSE(CONTROL!$C$32, $C$9, 100%, $E$9)</f>
        <v>6.508</v>
      </c>
      <c r="H292" s="11">
        <f>9.8892 * CHOOSE(CONTROL!$C$32, $C$9, 100%, $E$9)</f>
        <v>9.8892000000000007</v>
      </c>
      <c r="I292" s="11">
        <f>9.8928 * CHOOSE(CONTROL!$C$32, $C$9, 100%, $E$9)</f>
        <v>9.8927999999999994</v>
      </c>
      <c r="J292" s="11">
        <f>9.8892 * CHOOSE(CONTROL!$C$32, $C$9, 100%, $E$9)</f>
        <v>9.8892000000000007</v>
      </c>
      <c r="K292" s="11">
        <f>9.8928 * CHOOSE(CONTROL!$C$32, $C$9, 100%, $E$9)</f>
        <v>9.8927999999999994</v>
      </c>
      <c r="L292" s="11">
        <f>6.5044 * CHOOSE(CONTROL!$C$32, $C$9, 100%, $E$9)</f>
        <v>6.5044000000000004</v>
      </c>
      <c r="M292" s="11">
        <f>6.508 * CHOOSE(CONTROL!$C$32, $C$9, 100%, $E$9)</f>
        <v>6.508</v>
      </c>
      <c r="N292" s="11">
        <f>6.5044 * CHOOSE(CONTROL!$C$32, $C$9, 100%, $E$9)</f>
        <v>6.5044000000000004</v>
      </c>
      <c r="O292" s="11">
        <f>6.508 * CHOOSE(CONTROL!$C$32, $C$9, 100%, $E$9)</f>
        <v>6.508</v>
      </c>
    </row>
    <row r="293" spans="1:15" ht="15" x14ac:dyDescent="0.2">
      <c r="A293" s="13">
        <v>49766</v>
      </c>
      <c r="B293" s="9">
        <f>4.814 * CHOOSE(CONTROL!$C$32, $C$9, 100%, $E$9)</f>
        <v>4.8140000000000001</v>
      </c>
      <c r="C293" s="9">
        <f>4.814 * CHOOSE(CONTROL!$C$32, $C$9, 100%, $E$9)</f>
        <v>4.8140000000000001</v>
      </c>
      <c r="D293" s="9">
        <f>4.815 * CHOOSE(CONTROL!$C$32, $C$9, 100%, $E$9)</f>
        <v>4.8150000000000004</v>
      </c>
      <c r="E293" s="11">
        <f>6.5859 * CHOOSE(CONTROL!$C$32, $C$9, 100%, $E$9)</f>
        <v>6.5858999999999996</v>
      </c>
      <c r="F293" s="11">
        <f>6.5859 * CHOOSE(CONTROL!$C$32, $C$9, 100%, $E$9)</f>
        <v>6.5858999999999996</v>
      </c>
      <c r="G293" s="11">
        <f>6.5895 * CHOOSE(CONTROL!$C$32, $C$9, 100%, $E$9)</f>
        <v>6.5895000000000001</v>
      </c>
      <c r="H293" s="11">
        <f>9.9098 * CHOOSE(CONTROL!$C$32, $C$9, 100%, $E$9)</f>
        <v>9.9098000000000006</v>
      </c>
      <c r="I293" s="11">
        <f>9.9134 * CHOOSE(CONTROL!$C$32, $C$9, 100%, $E$9)</f>
        <v>9.9133999999999993</v>
      </c>
      <c r="J293" s="11">
        <f>9.9098 * CHOOSE(CONTROL!$C$32, $C$9, 100%, $E$9)</f>
        <v>9.9098000000000006</v>
      </c>
      <c r="K293" s="11">
        <f>9.9134 * CHOOSE(CONTROL!$C$32, $C$9, 100%, $E$9)</f>
        <v>9.9133999999999993</v>
      </c>
      <c r="L293" s="11">
        <f>6.5859 * CHOOSE(CONTROL!$C$32, $C$9, 100%, $E$9)</f>
        <v>6.5858999999999996</v>
      </c>
      <c r="M293" s="11">
        <f>6.5895 * CHOOSE(CONTROL!$C$32, $C$9, 100%, $E$9)</f>
        <v>6.5895000000000001</v>
      </c>
      <c r="N293" s="11">
        <f>6.5859 * CHOOSE(CONTROL!$C$32, $C$9, 100%, $E$9)</f>
        <v>6.5858999999999996</v>
      </c>
      <c r="O293" s="11">
        <f>6.5895 * CHOOSE(CONTROL!$C$32, $C$9, 100%, $E$9)</f>
        <v>6.5895000000000001</v>
      </c>
    </row>
    <row r="294" spans="1:15" ht="15" x14ac:dyDescent="0.2">
      <c r="A294" s="13">
        <v>49796</v>
      </c>
      <c r="B294" s="9">
        <f>4.814 * CHOOSE(CONTROL!$C$32, $C$9, 100%, $E$9)</f>
        <v>4.8140000000000001</v>
      </c>
      <c r="C294" s="9">
        <f>4.814 * CHOOSE(CONTROL!$C$32, $C$9, 100%, $E$9)</f>
        <v>4.8140000000000001</v>
      </c>
      <c r="D294" s="9">
        <f>4.8155 * CHOOSE(CONTROL!$C$32, $C$9, 100%, $E$9)</f>
        <v>4.8155000000000001</v>
      </c>
      <c r="E294" s="11">
        <f>6.2171 * CHOOSE(CONTROL!$C$32, $C$9, 100%, $E$9)</f>
        <v>6.2171000000000003</v>
      </c>
      <c r="F294" s="11">
        <f>6.2171 * CHOOSE(CONTROL!$C$32, $C$9, 100%, $E$9)</f>
        <v>6.2171000000000003</v>
      </c>
      <c r="G294" s="11">
        <f>6.2224 * CHOOSE(CONTROL!$C$32, $C$9, 100%, $E$9)</f>
        <v>6.2224000000000004</v>
      </c>
      <c r="H294" s="11">
        <f>9.9305 * CHOOSE(CONTROL!$C$32, $C$9, 100%, $E$9)</f>
        <v>9.9305000000000003</v>
      </c>
      <c r="I294" s="11">
        <f>9.9358 * CHOOSE(CONTROL!$C$32, $C$9, 100%, $E$9)</f>
        <v>9.9358000000000004</v>
      </c>
      <c r="J294" s="11">
        <f>9.9305 * CHOOSE(CONTROL!$C$32, $C$9, 100%, $E$9)</f>
        <v>9.9305000000000003</v>
      </c>
      <c r="K294" s="11">
        <f>9.9358 * CHOOSE(CONTROL!$C$32, $C$9, 100%, $E$9)</f>
        <v>9.9358000000000004</v>
      </c>
      <c r="L294" s="11">
        <f>6.2171 * CHOOSE(CONTROL!$C$32, $C$9, 100%, $E$9)</f>
        <v>6.2171000000000003</v>
      </c>
      <c r="M294" s="11">
        <f>6.2224 * CHOOSE(CONTROL!$C$32, $C$9, 100%, $E$9)</f>
        <v>6.2224000000000004</v>
      </c>
      <c r="N294" s="11">
        <f>6.2171 * CHOOSE(CONTROL!$C$32, $C$9, 100%, $E$9)</f>
        <v>6.2171000000000003</v>
      </c>
      <c r="O294" s="11">
        <f>6.2224 * CHOOSE(CONTROL!$C$32, $C$9, 100%, $E$9)</f>
        <v>6.2224000000000004</v>
      </c>
    </row>
    <row r="295" spans="1:15" ht="15" x14ac:dyDescent="0.2">
      <c r="A295" s="13">
        <v>49827</v>
      </c>
      <c r="B295" s="9">
        <f>4.82 * CHOOSE(CONTROL!$C$32, $C$9, 100%, $E$9)</f>
        <v>4.82</v>
      </c>
      <c r="C295" s="9">
        <f>4.82 * CHOOSE(CONTROL!$C$32, $C$9, 100%, $E$9)</f>
        <v>4.82</v>
      </c>
      <c r="D295" s="9">
        <f>4.8216 * CHOOSE(CONTROL!$C$32, $C$9, 100%, $E$9)</f>
        <v>4.8216000000000001</v>
      </c>
      <c r="E295" s="11">
        <f>6.5901 * CHOOSE(CONTROL!$C$32, $C$9, 100%, $E$9)</f>
        <v>6.5900999999999996</v>
      </c>
      <c r="F295" s="11">
        <f>6.5901 * CHOOSE(CONTROL!$C$32, $C$9, 100%, $E$9)</f>
        <v>6.5900999999999996</v>
      </c>
      <c r="G295" s="11">
        <f>6.5954 * CHOOSE(CONTROL!$C$32, $C$9, 100%, $E$9)</f>
        <v>6.5953999999999997</v>
      </c>
      <c r="H295" s="11">
        <f>9.9511 * CHOOSE(CONTROL!$C$32, $C$9, 100%, $E$9)</f>
        <v>9.9511000000000003</v>
      </c>
      <c r="I295" s="11">
        <f>9.9564 * CHOOSE(CONTROL!$C$32, $C$9, 100%, $E$9)</f>
        <v>9.9564000000000004</v>
      </c>
      <c r="J295" s="11">
        <f>9.9511 * CHOOSE(CONTROL!$C$32, $C$9, 100%, $E$9)</f>
        <v>9.9511000000000003</v>
      </c>
      <c r="K295" s="11">
        <f>9.9564 * CHOOSE(CONTROL!$C$32, $C$9, 100%, $E$9)</f>
        <v>9.9564000000000004</v>
      </c>
      <c r="L295" s="11">
        <f>6.5901 * CHOOSE(CONTROL!$C$32, $C$9, 100%, $E$9)</f>
        <v>6.5900999999999996</v>
      </c>
      <c r="M295" s="11">
        <f>6.5954 * CHOOSE(CONTROL!$C$32, $C$9, 100%, $E$9)</f>
        <v>6.5953999999999997</v>
      </c>
      <c r="N295" s="11">
        <f>6.5901 * CHOOSE(CONTROL!$C$32, $C$9, 100%, $E$9)</f>
        <v>6.5900999999999996</v>
      </c>
      <c r="O295" s="11">
        <f>6.5954 * CHOOSE(CONTROL!$C$32, $C$9, 100%, $E$9)</f>
        <v>6.5953999999999997</v>
      </c>
    </row>
    <row r="296" spans="1:15" ht="15" x14ac:dyDescent="0.2">
      <c r="A296" s="13">
        <v>49857</v>
      </c>
      <c r="B296" s="9">
        <f>4.8896 * CHOOSE(CONTROL!$C$32, $C$9, 100%, $E$9)</f>
        <v>4.8895999999999997</v>
      </c>
      <c r="C296" s="9">
        <f>4.8896 * CHOOSE(CONTROL!$C$32, $C$9, 100%, $E$9)</f>
        <v>4.8895999999999997</v>
      </c>
      <c r="D296" s="9">
        <f>4.8911 * CHOOSE(CONTROL!$C$32, $C$9, 100%, $E$9)</f>
        <v>4.8910999999999998</v>
      </c>
      <c r="E296" s="11">
        <f>6.5201 * CHOOSE(CONTROL!$C$32, $C$9, 100%, $E$9)</f>
        <v>6.5201000000000002</v>
      </c>
      <c r="F296" s="11">
        <f>6.5201 * CHOOSE(CONTROL!$C$32, $C$9, 100%, $E$9)</f>
        <v>6.5201000000000002</v>
      </c>
      <c r="G296" s="11">
        <f>6.5254 * CHOOSE(CONTROL!$C$32, $C$9, 100%, $E$9)</f>
        <v>6.5254000000000003</v>
      </c>
      <c r="H296" s="11">
        <f>9.9719 * CHOOSE(CONTROL!$C$32, $C$9, 100%, $E$9)</f>
        <v>9.9718999999999998</v>
      </c>
      <c r="I296" s="11">
        <f>9.9772 * CHOOSE(CONTROL!$C$32, $C$9, 100%, $E$9)</f>
        <v>9.9771999999999998</v>
      </c>
      <c r="J296" s="11">
        <f>9.9719 * CHOOSE(CONTROL!$C$32, $C$9, 100%, $E$9)</f>
        <v>9.9718999999999998</v>
      </c>
      <c r="K296" s="11">
        <f>9.9772 * CHOOSE(CONTROL!$C$32, $C$9, 100%, $E$9)</f>
        <v>9.9771999999999998</v>
      </c>
      <c r="L296" s="11">
        <f>6.5201 * CHOOSE(CONTROL!$C$32, $C$9, 100%, $E$9)</f>
        <v>6.5201000000000002</v>
      </c>
      <c r="M296" s="11">
        <f>6.5254 * CHOOSE(CONTROL!$C$32, $C$9, 100%, $E$9)</f>
        <v>6.5254000000000003</v>
      </c>
      <c r="N296" s="11">
        <f>6.5201 * CHOOSE(CONTROL!$C$32, $C$9, 100%, $E$9)</f>
        <v>6.5201000000000002</v>
      </c>
      <c r="O296" s="11">
        <f>6.5254 * CHOOSE(CONTROL!$C$32, $C$9, 100%, $E$9)</f>
        <v>6.5254000000000003</v>
      </c>
    </row>
    <row r="297" spans="1:15" ht="15" x14ac:dyDescent="0.2">
      <c r="A297" s="13">
        <v>49888</v>
      </c>
      <c r="B297" s="9">
        <f>4.8962 * CHOOSE(CONTROL!$C$32, $C$9, 100%, $E$9)</f>
        <v>4.8962000000000003</v>
      </c>
      <c r="C297" s="9">
        <f>4.8962 * CHOOSE(CONTROL!$C$32, $C$9, 100%, $E$9)</f>
        <v>4.8962000000000003</v>
      </c>
      <c r="D297" s="9">
        <f>4.8978 * CHOOSE(CONTROL!$C$32, $C$9, 100%, $E$9)</f>
        <v>4.8978000000000002</v>
      </c>
      <c r="E297" s="11">
        <f>6.4284 * CHOOSE(CONTROL!$C$32, $C$9, 100%, $E$9)</f>
        <v>6.4283999999999999</v>
      </c>
      <c r="F297" s="11">
        <f>6.4284 * CHOOSE(CONTROL!$C$32, $C$9, 100%, $E$9)</f>
        <v>6.4283999999999999</v>
      </c>
      <c r="G297" s="11">
        <f>6.4336 * CHOOSE(CONTROL!$C$32, $C$9, 100%, $E$9)</f>
        <v>6.4336000000000002</v>
      </c>
      <c r="H297" s="11">
        <f>9.9927 * CHOOSE(CONTROL!$C$32, $C$9, 100%, $E$9)</f>
        <v>9.9926999999999992</v>
      </c>
      <c r="I297" s="11">
        <f>9.9979 * CHOOSE(CONTROL!$C$32, $C$9, 100%, $E$9)</f>
        <v>9.9978999999999996</v>
      </c>
      <c r="J297" s="11">
        <f>9.9927 * CHOOSE(CONTROL!$C$32, $C$9, 100%, $E$9)</f>
        <v>9.9926999999999992</v>
      </c>
      <c r="K297" s="11">
        <f>9.9979 * CHOOSE(CONTROL!$C$32, $C$9, 100%, $E$9)</f>
        <v>9.9978999999999996</v>
      </c>
      <c r="L297" s="11">
        <f>6.4284 * CHOOSE(CONTROL!$C$32, $C$9, 100%, $E$9)</f>
        <v>6.4283999999999999</v>
      </c>
      <c r="M297" s="11">
        <f>6.4336 * CHOOSE(CONTROL!$C$32, $C$9, 100%, $E$9)</f>
        <v>6.4336000000000002</v>
      </c>
      <c r="N297" s="11">
        <f>6.4284 * CHOOSE(CONTROL!$C$32, $C$9, 100%, $E$9)</f>
        <v>6.4283999999999999</v>
      </c>
      <c r="O297" s="11">
        <f>6.4336 * CHOOSE(CONTROL!$C$32, $C$9, 100%, $E$9)</f>
        <v>6.4336000000000002</v>
      </c>
    </row>
    <row r="298" spans="1:15" ht="15" x14ac:dyDescent="0.2">
      <c r="A298" s="13">
        <v>49919</v>
      </c>
      <c r="B298" s="9">
        <f>4.8932 * CHOOSE(CONTROL!$C$32, $C$9, 100%, $E$9)</f>
        <v>4.8932000000000002</v>
      </c>
      <c r="C298" s="9">
        <f>4.8932 * CHOOSE(CONTROL!$C$32, $C$9, 100%, $E$9)</f>
        <v>4.8932000000000002</v>
      </c>
      <c r="D298" s="9">
        <f>4.8948 * CHOOSE(CONTROL!$C$32, $C$9, 100%, $E$9)</f>
        <v>4.8948</v>
      </c>
      <c r="E298" s="11">
        <f>6.4155 * CHOOSE(CONTROL!$C$32, $C$9, 100%, $E$9)</f>
        <v>6.4154999999999998</v>
      </c>
      <c r="F298" s="11">
        <f>6.4155 * CHOOSE(CONTROL!$C$32, $C$9, 100%, $E$9)</f>
        <v>6.4154999999999998</v>
      </c>
      <c r="G298" s="11">
        <f>6.4208 * CHOOSE(CONTROL!$C$32, $C$9, 100%, $E$9)</f>
        <v>6.4207999999999998</v>
      </c>
      <c r="H298" s="11">
        <f>10.0135 * CHOOSE(CONTROL!$C$32, $C$9, 100%, $E$9)</f>
        <v>10.013500000000001</v>
      </c>
      <c r="I298" s="11">
        <f>10.0188 * CHOOSE(CONTROL!$C$32, $C$9, 100%, $E$9)</f>
        <v>10.018800000000001</v>
      </c>
      <c r="J298" s="11">
        <f>10.0135 * CHOOSE(CONTROL!$C$32, $C$9, 100%, $E$9)</f>
        <v>10.013500000000001</v>
      </c>
      <c r="K298" s="11">
        <f>10.0188 * CHOOSE(CONTROL!$C$32, $C$9, 100%, $E$9)</f>
        <v>10.018800000000001</v>
      </c>
      <c r="L298" s="11">
        <f>6.4155 * CHOOSE(CONTROL!$C$32, $C$9, 100%, $E$9)</f>
        <v>6.4154999999999998</v>
      </c>
      <c r="M298" s="11">
        <f>6.4208 * CHOOSE(CONTROL!$C$32, $C$9, 100%, $E$9)</f>
        <v>6.4207999999999998</v>
      </c>
      <c r="N298" s="11">
        <f>6.4155 * CHOOSE(CONTROL!$C$32, $C$9, 100%, $E$9)</f>
        <v>6.4154999999999998</v>
      </c>
      <c r="O298" s="11">
        <f>6.4208 * CHOOSE(CONTROL!$C$32, $C$9, 100%, $E$9)</f>
        <v>6.4207999999999998</v>
      </c>
    </row>
    <row r="299" spans="1:15" ht="15" x14ac:dyDescent="0.2">
      <c r="A299" s="13">
        <v>49949</v>
      </c>
      <c r="B299" s="9">
        <f>4.8916 * CHOOSE(CONTROL!$C$32, $C$9, 100%, $E$9)</f>
        <v>4.8916000000000004</v>
      </c>
      <c r="C299" s="9">
        <f>4.8916 * CHOOSE(CONTROL!$C$32, $C$9, 100%, $E$9)</f>
        <v>4.8916000000000004</v>
      </c>
      <c r="D299" s="9">
        <f>4.8927 * CHOOSE(CONTROL!$C$32, $C$9, 100%, $E$9)</f>
        <v>4.8926999999999996</v>
      </c>
      <c r="E299" s="11">
        <f>6.4449 * CHOOSE(CONTROL!$C$32, $C$9, 100%, $E$9)</f>
        <v>6.4448999999999996</v>
      </c>
      <c r="F299" s="11">
        <f>6.4449 * CHOOSE(CONTROL!$C$32, $C$9, 100%, $E$9)</f>
        <v>6.4448999999999996</v>
      </c>
      <c r="G299" s="11">
        <f>6.4486 * CHOOSE(CONTROL!$C$32, $C$9, 100%, $E$9)</f>
        <v>6.4485999999999999</v>
      </c>
      <c r="H299" s="11">
        <f>10.0343 * CHOOSE(CONTROL!$C$32, $C$9, 100%, $E$9)</f>
        <v>10.0343</v>
      </c>
      <c r="I299" s="11">
        <f>10.0379 * CHOOSE(CONTROL!$C$32, $C$9, 100%, $E$9)</f>
        <v>10.0379</v>
      </c>
      <c r="J299" s="11">
        <f>10.0343 * CHOOSE(CONTROL!$C$32, $C$9, 100%, $E$9)</f>
        <v>10.0343</v>
      </c>
      <c r="K299" s="11">
        <f>10.0379 * CHOOSE(CONTROL!$C$32, $C$9, 100%, $E$9)</f>
        <v>10.0379</v>
      </c>
      <c r="L299" s="11">
        <f>6.4449 * CHOOSE(CONTROL!$C$32, $C$9, 100%, $E$9)</f>
        <v>6.4448999999999996</v>
      </c>
      <c r="M299" s="11">
        <f>6.4486 * CHOOSE(CONTROL!$C$32, $C$9, 100%, $E$9)</f>
        <v>6.4485999999999999</v>
      </c>
      <c r="N299" s="11">
        <f>6.4449 * CHOOSE(CONTROL!$C$32, $C$9, 100%, $E$9)</f>
        <v>6.4448999999999996</v>
      </c>
      <c r="O299" s="11">
        <f>6.4486 * CHOOSE(CONTROL!$C$32, $C$9, 100%, $E$9)</f>
        <v>6.4485999999999999</v>
      </c>
    </row>
    <row r="300" spans="1:15" ht="15" x14ac:dyDescent="0.2">
      <c r="A300" s="13">
        <v>49980</v>
      </c>
      <c r="B300" s="9">
        <f>4.8946 * CHOOSE(CONTROL!$C$32, $C$9, 100%, $E$9)</f>
        <v>4.8945999999999996</v>
      </c>
      <c r="C300" s="9">
        <f>4.8946 * CHOOSE(CONTROL!$C$32, $C$9, 100%, $E$9)</f>
        <v>4.8945999999999996</v>
      </c>
      <c r="D300" s="9">
        <f>4.8957 * CHOOSE(CONTROL!$C$32, $C$9, 100%, $E$9)</f>
        <v>4.8956999999999997</v>
      </c>
      <c r="E300" s="11">
        <f>6.4685 * CHOOSE(CONTROL!$C$32, $C$9, 100%, $E$9)</f>
        <v>6.4684999999999997</v>
      </c>
      <c r="F300" s="11">
        <f>6.4685 * CHOOSE(CONTROL!$C$32, $C$9, 100%, $E$9)</f>
        <v>6.4684999999999997</v>
      </c>
      <c r="G300" s="11">
        <f>6.4721 * CHOOSE(CONTROL!$C$32, $C$9, 100%, $E$9)</f>
        <v>6.4721000000000002</v>
      </c>
      <c r="H300" s="11">
        <f>10.0552 * CHOOSE(CONTROL!$C$32, $C$9, 100%, $E$9)</f>
        <v>10.055199999999999</v>
      </c>
      <c r="I300" s="11">
        <f>10.0589 * CHOOSE(CONTROL!$C$32, $C$9, 100%, $E$9)</f>
        <v>10.0589</v>
      </c>
      <c r="J300" s="11">
        <f>10.0552 * CHOOSE(CONTROL!$C$32, $C$9, 100%, $E$9)</f>
        <v>10.055199999999999</v>
      </c>
      <c r="K300" s="11">
        <f>10.0589 * CHOOSE(CONTROL!$C$32, $C$9, 100%, $E$9)</f>
        <v>10.0589</v>
      </c>
      <c r="L300" s="11">
        <f>6.4685 * CHOOSE(CONTROL!$C$32, $C$9, 100%, $E$9)</f>
        <v>6.4684999999999997</v>
      </c>
      <c r="M300" s="11">
        <f>6.4721 * CHOOSE(CONTROL!$C$32, $C$9, 100%, $E$9)</f>
        <v>6.4721000000000002</v>
      </c>
      <c r="N300" s="11">
        <f>6.4685 * CHOOSE(CONTROL!$C$32, $C$9, 100%, $E$9)</f>
        <v>6.4684999999999997</v>
      </c>
      <c r="O300" s="11">
        <f>6.4721 * CHOOSE(CONTROL!$C$32, $C$9, 100%, $E$9)</f>
        <v>6.4721000000000002</v>
      </c>
    </row>
    <row r="301" spans="1:15" ht="15" x14ac:dyDescent="0.2">
      <c r="A301" s="13">
        <v>50010</v>
      </c>
      <c r="B301" s="9">
        <f>4.8946 * CHOOSE(CONTROL!$C$32, $C$9, 100%, $E$9)</f>
        <v>4.8945999999999996</v>
      </c>
      <c r="C301" s="9">
        <f>4.8946 * CHOOSE(CONTROL!$C$32, $C$9, 100%, $E$9)</f>
        <v>4.8945999999999996</v>
      </c>
      <c r="D301" s="9">
        <f>4.8957 * CHOOSE(CONTROL!$C$32, $C$9, 100%, $E$9)</f>
        <v>4.8956999999999997</v>
      </c>
      <c r="E301" s="11">
        <f>6.4149 * CHOOSE(CONTROL!$C$32, $C$9, 100%, $E$9)</f>
        <v>6.4149000000000003</v>
      </c>
      <c r="F301" s="11">
        <f>6.4149 * CHOOSE(CONTROL!$C$32, $C$9, 100%, $E$9)</f>
        <v>6.4149000000000003</v>
      </c>
      <c r="G301" s="11">
        <f>6.4185 * CHOOSE(CONTROL!$C$32, $C$9, 100%, $E$9)</f>
        <v>6.4184999999999999</v>
      </c>
      <c r="H301" s="11">
        <f>10.0762 * CHOOSE(CONTROL!$C$32, $C$9, 100%, $E$9)</f>
        <v>10.0762</v>
      </c>
      <c r="I301" s="11">
        <f>10.0798 * CHOOSE(CONTROL!$C$32, $C$9, 100%, $E$9)</f>
        <v>10.079800000000001</v>
      </c>
      <c r="J301" s="11">
        <f>10.0762 * CHOOSE(CONTROL!$C$32, $C$9, 100%, $E$9)</f>
        <v>10.0762</v>
      </c>
      <c r="K301" s="11">
        <f>10.0798 * CHOOSE(CONTROL!$C$32, $C$9, 100%, $E$9)</f>
        <v>10.079800000000001</v>
      </c>
      <c r="L301" s="11">
        <f>6.4149 * CHOOSE(CONTROL!$C$32, $C$9, 100%, $E$9)</f>
        <v>6.4149000000000003</v>
      </c>
      <c r="M301" s="11">
        <f>6.4185 * CHOOSE(CONTROL!$C$32, $C$9, 100%, $E$9)</f>
        <v>6.4184999999999999</v>
      </c>
      <c r="N301" s="11">
        <f>6.4149 * CHOOSE(CONTROL!$C$32, $C$9, 100%, $E$9)</f>
        <v>6.4149000000000003</v>
      </c>
      <c r="O301" s="11">
        <f>6.4185 * CHOOSE(CONTROL!$C$32, $C$9, 100%, $E$9)</f>
        <v>6.4184999999999999</v>
      </c>
    </row>
    <row r="302" spans="1:15" ht="15" x14ac:dyDescent="0.2">
      <c r="A302" s="13">
        <v>50041</v>
      </c>
      <c r="B302" s="9">
        <f>4.9322 * CHOOSE(CONTROL!$C$32, $C$9, 100%, $E$9)</f>
        <v>4.9321999999999999</v>
      </c>
      <c r="C302" s="9">
        <f>4.9322 * CHOOSE(CONTROL!$C$32, $C$9, 100%, $E$9)</f>
        <v>4.9321999999999999</v>
      </c>
      <c r="D302" s="9">
        <f>4.9333 * CHOOSE(CONTROL!$C$32, $C$9, 100%, $E$9)</f>
        <v>4.9333</v>
      </c>
      <c r="E302" s="11">
        <f>6.4909 * CHOOSE(CONTROL!$C$32, $C$9, 100%, $E$9)</f>
        <v>6.4908999999999999</v>
      </c>
      <c r="F302" s="11">
        <f>6.4909 * CHOOSE(CONTROL!$C$32, $C$9, 100%, $E$9)</f>
        <v>6.4908999999999999</v>
      </c>
      <c r="G302" s="11">
        <f>6.4945 * CHOOSE(CONTROL!$C$32, $C$9, 100%, $E$9)</f>
        <v>6.4945000000000004</v>
      </c>
      <c r="H302" s="11">
        <f>10.0972 * CHOOSE(CONTROL!$C$32, $C$9, 100%, $E$9)</f>
        <v>10.097200000000001</v>
      </c>
      <c r="I302" s="11">
        <f>10.1008 * CHOOSE(CONTROL!$C$32, $C$9, 100%, $E$9)</f>
        <v>10.1008</v>
      </c>
      <c r="J302" s="11">
        <f>10.0972 * CHOOSE(CONTROL!$C$32, $C$9, 100%, $E$9)</f>
        <v>10.097200000000001</v>
      </c>
      <c r="K302" s="11">
        <f>10.1008 * CHOOSE(CONTROL!$C$32, $C$9, 100%, $E$9)</f>
        <v>10.1008</v>
      </c>
      <c r="L302" s="11">
        <f>6.4909 * CHOOSE(CONTROL!$C$32, $C$9, 100%, $E$9)</f>
        <v>6.4908999999999999</v>
      </c>
      <c r="M302" s="11">
        <f>6.4945 * CHOOSE(CONTROL!$C$32, $C$9, 100%, $E$9)</f>
        <v>6.4945000000000004</v>
      </c>
      <c r="N302" s="11">
        <f>6.4909 * CHOOSE(CONTROL!$C$32, $C$9, 100%, $E$9)</f>
        <v>6.4908999999999999</v>
      </c>
      <c r="O302" s="11">
        <f>6.4945 * CHOOSE(CONTROL!$C$32, $C$9, 100%, $E$9)</f>
        <v>6.4945000000000004</v>
      </c>
    </row>
    <row r="303" spans="1:15" ht="15" x14ac:dyDescent="0.2">
      <c r="A303" s="13">
        <v>50072</v>
      </c>
      <c r="B303" s="9">
        <f>4.9291 * CHOOSE(CONTROL!$C$32, $C$9, 100%, $E$9)</f>
        <v>4.9291</v>
      </c>
      <c r="C303" s="9">
        <f>4.9291 * CHOOSE(CONTROL!$C$32, $C$9, 100%, $E$9)</f>
        <v>4.9291</v>
      </c>
      <c r="D303" s="9">
        <f>4.9302 * CHOOSE(CONTROL!$C$32, $C$9, 100%, $E$9)</f>
        <v>4.9302000000000001</v>
      </c>
      <c r="E303" s="11">
        <f>6.3843 * CHOOSE(CONTROL!$C$32, $C$9, 100%, $E$9)</f>
        <v>6.3842999999999996</v>
      </c>
      <c r="F303" s="11">
        <f>6.3843 * CHOOSE(CONTROL!$C$32, $C$9, 100%, $E$9)</f>
        <v>6.3842999999999996</v>
      </c>
      <c r="G303" s="11">
        <f>6.3879 * CHOOSE(CONTROL!$C$32, $C$9, 100%, $E$9)</f>
        <v>6.3879000000000001</v>
      </c>
      <c r="H303" s="11">
        <f>10.1182 * CHOOSE(CONTROL!$C$32, $C$9, 100%, $E$9)</f>
        <v>10.1182</v>
      </c>
      <c r="I303" s="11">
        <f>10.1218 * CHOOSE(CONTROL!$C$32, $C$9, 100%, $E$9)</f>
        <v>10.1218</v>
      </c>
      <c r="J303" s="11">
        <f>10.1182 * CHOOSE(CONTROL!$C$32, $C$9, 100%, $E$9)</f>
        <v>10.1182</v>
      </c>
      <c r="K303" s="11">
        <f>10.1218 * CHOOSE(CONTROL!$C$32, $C$9, 100%, $E$9)</f>
        <v>10.1218</v>
      </c>
      <c r="L303" s="11">
        <f>6.3843 * CHOOSE(CONTROL!$C$32, $C$9, 100%, $E$9)</f>
        <v>6.3842999999999996</v>
      </c>
      <c r="M303" s="11">
        <f>6.3879 * CHOOSE(CONTROL!$C$32, $C$9, 100%, $E$9)</f>
        <v>6.3879000000000001</v>
      </c>
      <c r="N303" s="11">
        <f>6.3843 * CHOOSE(CONTROL!$C$32, $C$9, 100%, $E$9)</f>
        <v>6.3842999999999996</v>
      </c>
      <c r="O303" s="11">
        <f>6.3879 * CHOOSE(CONTROL!$C$32, $C$9, 100%, $E$9)</f>
        <v>6.3879000000000001</v>
      </c>
    </row>
    <row r="304" spans="1:15" ht="15" x14ac:dyDescent="0.2">
      <c r="A304" s="13">
        <v>50100</v>
      </c>
      <c r="B304" s="9">
        <f>4.9261 * CHOOSE(CONTROL!$C$32, $C$9, 100%, $E$9)</f>
        <v>4.9260999999999999</v>
      </c>
      <c r="C304" s="9">
        <f>4.9261 * CHOOSE(CONTROL!$C$32, $C$9, 100%, $E$9)</f>
        <v>4.9260999999999999</v>
      </c>
      <c r="D304" s="9">
        <f>4.9272 * CHOOSE(CONTROL!$C$32, $C$9, 100%, $E$9)</f>
        <v>4.9272</v>
      </c>
      <c r="E304" s="11">
        <f>6.4645 * CHOOSE(CONTROL!$C$32, $C$9, 100%, $E$9)</f>
        <v>6.4645000000000001</v>
      </c>
      <c r="F304" s="11">
        <f>6.4645 * CHOOSE(CONTROL!$C$32, $C$9, 100%, $E$9)</f>
        <v>6.4645000000000001</v>
      </c>
      <c r="G304" s="11">
        <f>6.4681 * CHOOSE(CONTROL!$C$32, $C$9, 100%, $E$9)</f>
        <v>6.4680999999999997</v>
      </c>
      <c r="H304" s="11">
        <f>10.1393 * CHOOSE(CONTROL!$C$32, $C$9, 100%, $E$9)</f>
        <v>10.1393</v>
      </c>
      <c r="I304" s="11">
        <f>10.1429 * CHOOSE(CONTROL!$C$32, $C$9, 100%, $E$9)</f>
        <v>10.142899999999999</v>
      </c>
      <c r="J304" s="11">
        <f>10.1393 * CHOOSE(CONTROL!$C$32, $C$9, 100%, $E$9)</f>
        <v>10.1393</v>
      </c>
      <c r="K304" s="11">
        <f>10.1429 * CHOOSE(CONTROL!$C$32, $C$9, 100%, $E$9)</f>
        <v>10.142899999999999</v>
      </c>
      <c r="L304" s="11">
        <f>6.4645 * CHOOSE(CONTROL!$C$32, $C$9, 100%, $E$9)</f>
        <v>6.4645000000000001</v>
      </c>
      <c r="M304" s="11">
        <f>6.4681 * CHOOSE(CONTROL!$C$32, $C$9, 100%, $E$9)</f>
        <v>6.4680999999999997</v>
      </c>
      <c r="N304" s="11">
        <f>6.4645 * CHOOSE(CONTROL!$C$32, $C$9, 100%, $E$9)</f>
        <v>6.4645000000000001</v>
      </c>
      <c r="O304" s="11">
        <f>6.4681 * CHOOSE(CONTROL!$C$32, $C$9, 100%, $E$9)</f>
        <v>6.4680999999999997</v>
      </c>
    </row>
    <row r="305" spans="1:15" ht="15" x14ac:dyDescent="0.2">
      <c r="A305" s="13">
        <v>50131</v>
      </c>
      <c r="B305" s="9">
        <f>4.9246 * CHOOSE(CONTROL!$C$32, $C$9, 100%, $E$9)</f>
        <v>4.9245999999999999</v>
      </c>
      <c r="C305" s="9">
        <f>4.9246 * CHOOSE(CONTROL!$C$32, $C$9, 100%, $E$9)</f>
        <v>4.9245999999999999</v>
      </c>
      <c r="D305" s="9">
        <f>4.9257 * CHOOSE(CONTROL!$C$32, $C$9, 100%, $E$9)</f>
        <v>4.9257</v>
      </c>
      <c r="E305" s="11">
        <f>6.5488 * CHOOSE(CONTROL!$C$32, $C$9, 100%, $E$9)</f>
        <v>6.5488</v>
      </c>
      <c r="F305" s="11">
        <f>6.5488 * CHOOSE(CONTROL!$C$32, $C$9, 100%, $E$9)</f>
        <v>6.5488</v>
      </c>
      <c r="G305" s="11">
        <f>6.5524 * CHOOSE(CONTROL!$C$32, $C$9, 100%, $E$9)</f>
        <v>6.5523999999999996</v>
      </c>
      <c r="H305" s="11">
        <f>10.1604 * CHOOSE(CONTROL!$C$32, $C$9, 100%, $E$9)</f>
        <v>10.160399999999999</v>
      </c>
      <c r="I305" s="11">
        <f>10.164 * CHOOSE(CONTROL!$C$32, $C$9, 100%, $E$9)</f>
        <v>10.164</v>
      </c>
      <c r="J305" s="11">
        <f>10.1604 * CHOOSE(CONTROL!$C$32, $C$9, 100%, $E$9)</f>
        <v>10.160399999999999</v>
      </c>
      <c r="K305" s="11">
        <f>10.164 * CHOOSE(CONTROL!$C$32, $C$9, 100%, $E$9)</f>
        <v>10.164</v>
      </c>
      <c r="L305" s="11">
        <f>6.5488 * CHOOSE(CONTROL!$C$32, $C$9, 100%, $E$9)</f>
        <v>6.5488</v>
      </c>
      <c r="M305" s="11">
        <f>6.5524 * CHOOSE(CONTROL!$C$32, $C$9, 100%, $E$9)</f>
        <v>6.5523999999999996</v>
      </c>
      <c r="N305" s="11">
        <f>6.5488 * CHOOSE(CONTROL!$C$32, $C$9, 100%, $E$9)</f>
        <v>6.5488</v>
      </c>
      <c r="O305" s="11">
        <f>6.5524 * CHOOSE(CONTROL!$C$32, $C$9, 100%, $E$9)</f>
        <v>6.5523999999999996</v>
      </c>
    </row>
    <row r="306" spans="1:15" ht="15" x14ac:dyDescent="0.2">
      <c r="A306" s="13">
        <v>50161</v>
      </c>
      <c r="B306" s="9">
        <f>4.9246 * CHOOSE(CONTROL!$C$32, $C$9, 100%, $E$9)</f>
        <v>4.9245999999999999</v>
      </c>
      <c r="C306" s="9">
        <f>4.9246 * CHOOSE(CONTROL!$C$32, $C$9, 100%, $E$9)</f>
        <v>4.9245999999999999</v>
      </c>
      <c r="D306" s="9">
        <f>4.9262 * CHOOSE(CONTROL!$C$32, $C$9, 100%, $E$9)</f>
        <v>4.9261999999999997</v>
      </c>
      <c r="E306" s="11">
        <f>6.5819 * CHOOSE(CONTROL!$C$32, $C$9, 100%, $E$9)</f>
        <v>6.5819000000000001</v>
      </c>
      <c r="F306" s="11">
        <f>6.5819 * CHOOSE(CONTROL!$C$32, $C$9, 100%, $E$9)</f>
        <v>6.5819000000000001</v>
      </c>
      <c r="G306" s="11">
        <f>6.5872 * CHOOSE(CONTROL!$C$32, $C$9, 100%, $E$9)</f>
        <v>6.5872000000000002</v>
      </c>
      <c r="H306" s="11">
        <f>10.1816 * CHOOSE(CONTROL!$C$32, $C$9, 100%, $E$9)</f>
        <v>10.1816</v>
      </c>
      <c r="I306" s="11">
        <f>10.1869 * CHOOSE(CONTROL!$C$32, $C$9, 100%, $E$9)</f>
        <v>10.1869</v>
      </c>
      <c r="J306" s="11">
        <f>10.1816 * CHOOSE(CONTROL!$C$32, $C$9, 100%, $E$9)</f>
        <v>10.1816</v>
      </c>
      <c r="K306" s="11">
        <f>10.1869 * CHOOSE(CONTROL!$C$32, $C$9, 100%, $E$9)</f>
        <v>10.1869</v>
      </c>
      <c r="L306" s="11">
        <f>6.5819 * CHOOSE(CONTROL!$C$32, $C$9, 100%, $E$9)</f>
        <v>6.5819000000000001</v>
      </c>
      <c r="M306" s="11">
        <f>6.5872 * CHOOSE(CONTROL!$C$32, $C$9, 100%, $E$9)</f>
        <v>6.5872000000000002</v>
      </c>
      <c r="N306" s="11">
        <f>6.5819 * CHOOSE(CONTROL!$C$32, $C$9, 100%, $E$9)</f>
        <v>6.5819000000000001</v>
      </c>
      <c r="O306" s="11">
        <f>6.5872 * CHOOSE(CONTROL!$C$32, $C$9, 100%, $E$9)</f>
        <v>6.5872000000000002</v>
      </c>
    </row>
    <row r="307" spans="1:15" ht="15" x14ac:dyDescent="0.2">
      <c r="A307" s="13">
        <v>50192</v>
      </c>
      <c r="B307" s="9">
        <f>4.9307 * CHOOSE(CONTROL!$C$32, $C$9, 100%, $E$9)</f>
        <v>4.9306999999999999</v>
      </c>
      <c r="C307" s="9">
        <f>4.9307 * CHOOSE(CONTROL!$C$32, $C$9, 100%, $E$9)</f>
        <v>4.9306999999999999</v>
      </c>
      <c r="D307" s="9">
        <f>4.9323 * CHOOSE(CONTROL!$C$32, $C$9, 100%, $E$9)</f>
        <v>4.9322999999999997</v>
      </c>
      <c r="E307" s="11">
        <f>6.553 * CHOOSE(CONTROL!$C$32, $C$9, 100%, $E$9)</f>
        <v>6.5529999999999999</v>
      </c>
      <c r="F307" s="11">
        <f>6.553 * CHOOSE(CONTROL!$C$32, $C$9, 100%, $E$9)</f>
        <v>6.5529999999999999</v>
      </c>
      <c r="G307" s="11">
        <f>6.5583 * CHOOSE(CONTROL!$C$32, $C$9, 100%, $E$9)</f>
        <v>6.5583</v>
      </c>
      <c r="H307" s="11">
        <f>10.2028 * CHOOSE(CONTROL!$C$32, $C$9, 100%, $E$9)</f>
        <v>10.2028</v>
      </c>
      <c r="I307" s="11">
        <f>10.2081 * CHOOSE(CONTROL!$C$32, $C$9, 100%, $E$9)</f>
        <v>10.2081</v>
      </c>
      <c r="J307" s="11">
        <f>10.2028 * CHOOSE(CONTROL!$C$32, $C$9, 100%, $E$9)</f>
        <v>10.2028</v>
      </c>
      <c r="K307" s="11">
        <f>10.2081 * CHOOSE(CONTROL!$C$32, $C$9, 100%, $E$9)</f>
        <v>10.2081</v>
      </c>
      <c r="L307" s="11">
        <f>6.553 * CHOOSE(CONTROL!$C$32, $C$9, 100%, $E$9)</f>
        <v>6.5529999999999999</v>
      </c>
      <c r="M307" s="11">
        <f>6.5583 * CHOOSE(CONTROL!$C$32, $C$9, 100%, $E$9)</f>
        <v>6.5583</v>
      </c>
      <c r="N307" s="11">
        <f>6.553 * CHOOSE(CONTROL!$C$32, $C$9, 100%, $E$9)</f>
        <v>6.5529999999999999</v>
      </c>
      <c r="O307" s="11">
        <f>6.5583 * CHOOSE(CONTROL!$C$32, $C$9, 100%, $E$9)</f>
        <v>6.5583</v>
      </c>
    </row>
    <row r="308" spans="1:15" ht="15" x14ac:dyDescent="0.2">
      <c r="A308" s="13">
        <v>50222</v>
      </c>
      <c r="B308" s="9">
        <f>4.9977 * CHOOSE(CONTROL!$C$32, $C$9, 100%, $E$9)</f>
        <v>4.9977</v>
      </c>
      <c r="C308" s="9">
        <f>4.9977 * CHOOSE(CONTROL!$C$32, $C$9, 100%, $E$9)</f>
        <v>4.9977</v>
      </c>
      <c r="D308" s="9">
        <f>4.9993 * CHOOSE(CONTROL!$C$32, $C$9, 100%, $E$9)</f>
        <v>4.9992999999999999</v>
      </c>
      <c r="E308" s="11">
        <f>6.6146 * CHOOSE(CONTROL!$C$32, $C$9, 100%, $E$9)</f>
        <v>6.6146000000000003</v>
      </c>
      <c r="F308" s="11">
        <f>6.6146 * CHOOSE(CONTROL!$C$32, $C$9, 100%, $E$9)</f>
        <v>6.6146000000000003</v>
      </c>
      <c r="G308" s="11">
        <f>6.6199 * CHOOSE(CONTROL!$C$32, $C$9, 100%, $E$9)</f>
        <v>6.6199000000000003</v>
      </c>
      <c r="H308" s="11">
        <f>10.2241 * CHOOSE(CONTROL!$C$32, $C$9, 100%, $E$9)</f>
        <v>10.2241</v>
      </c>
      <c r="I308" s="11">
        <f>10.2293 * CHOOSE(CONTROL!$C$32, $C$9, 100%, $E$9)</f>
        <v>10.2293</v>
      </c>
      <c r="J308" s="11">
        <f>10.2241 * CHOOSE(CONTROL!$C$32, $C$9, 100%, $E$9)</f>
        <v>10.2241</v>
      </c>
      <c r="K308" s="11">
        <f>10.2293 * CHOOSE(CONTROL!$C$32, $C$9, 100%, $E$9)</f>
        <v>10.2293</v>
      </c>
      <c r="L308" s="11">
        <f>6.6146 * CHOOSE(CONTROL!$C$32, $C$9, 100%, $E$9)</f>
        <v>6.6146000000000003</v>
      </c>
      <c r="M308" s="11">
        <f>6.6199 * CHOOSE(CONTROL!$C$32, $C$9, 100%, $E$9)</f>
        <v>6.6199000000000003</v>
      </c>
      <c r="N308" s="11">
        <f>6.6146 * CHOOSE(CONTROL!$C$32, $C$9, 100%, $E$9)</f>
        <v>6.6146000000000003</v>
      </c>
      <c r="O308" s="11">
        <f>6.6199 * CHOOSE(CONTROL!$C$32, $C$9, 100%, $E$9)</f>
        <v>6.6199000000000003</v>
      </c>
    </row>
    <row r="309" spans="1:15" ht="15" x14ac:dyDescent="0.2">
      <c r="A309" s="13">
        <v>50253</v>
      </c>
      <c r="B309" s="9">
        <f>5.0044 * CHOOSE(CONTROL!$C$32, $C$9, 100%, $E$9)</f>
        <v>5.0044000000000004</v>
      </c>
      <c r="C309" s="9">
        <f>5.0044 * CHOOSE(CONTROL!$C$32, $C$9, 100%, $E$9)</f>
        <v>5.0044000000000004</v>
      </c>
      <c r="D309" s="9">
        <f>5.006 * CHOOSE(CONTROL!$C$32, $C$9, 100%, $E$9)</f>
        <v>5.0060000000000002</v>
      </c>
      <c r="E309" s="11">
        <f>6.5198 * CHOOSE(CONTROL!$C$32, $C$9, 100%, $E$9)</f>
        <v>6.5198</v>
      </c>
      <c r="F309" s="11">
        <f>6.5198 * CHOOSE(CONTROL!$C$32, $C$9, 100%, $E$9)</f>
        <v>6.5198</v>
      </c>
      <c r="G309" s="11">
        <f>6.525 * CHOOSE(CONTROL!$C$32, $C$9, 100%, $E$9)</f>
        <v>6.5250000000000004</v>
      </c>
      <c r="H309" s="11">
        <f>10.2454 * CHOOSE(CONTROL!$C$32, $C$9, 100%, $E$9)</f>
        <v>10.2454</v>
      </c>
      <c r="I309" s="11">
        <f>10.2506 * CHOOSE(CONTROL!$C$32, $C$9, 100%, $E$9)</f>
        <v>10.2506</v>
      </c>
      <c r="J309" s="11">
        <f>10.2454 * CHOOSE(CONTROL!$C$32, $C$9, 100%, $E$9)</f>
        <v>10.2454</v>
      </c>
      <c r="K309" s="11">
        <f>10.2506 * CHOOSE(CONTROL!$C$32, $C$9, 100%, $E$9)</f>
        <v>10.2506</v>
      </c>
      <c r="L309" s="11">
        <f>6.5198 * CHOOSE(CONTROL!$C$32, $C$9, 100%, $E$9)</f>
        <v>6.5198</v>
      </c>
      <c r="M309" s="11">
        <f>6.525 * CHOOSE(CONTROL!$C$32, $C$9, 100%, $E$9)</f>
        <v>6.5250000000000004</v>
      </c>
      <c r="N309" s="11">
        <f>6.5198 * CHOOSE(CONTROL!$C$32, $C$9, 100%, $E$9)</f>
        <v>6.5198</v>
      </c>
      <c r="O309" s="11">
        <f>6.525 * CHOOSE(CONTROL!$C$32, $C$9, 100%, $E$9)</f>
        <v>6.5250000000000004</v>
      </c>
    </row>
    <row r="310" spans="1:15" ht="15" x14ac:dyDescent="0.2">
      <c r="A310" s="13">
        <v>50284</v>
      </c>
      <c r="B310" s="9">
        <f>5.0014 * CHOOSE(CONTROL!$C$32, $C$9, 100%, $E$9)</f>
        <v>5.0014000000000003</v>
      </c>
      <c r="C310" s="9">
        <f>5.0014 * CHOOSE(CONTROL!$C$32, $C$9, 100%, $E$9)</f>
        <v>5.0014000000000003</v>
      </c>
      <c r="D310" s="9">
        <f>5.003 * CHOOSE(CONTROL!$C$32, $C$9, 100%, $E$9)</f>
        <v>5.0030000000000001</v>
      </c>
      <c r="E310" s="11">
        <f>6.5066 * CHOOSE(CONTROL!$C$32, $C$9, 100%, $E$9)</f>
        <v>6.5065999999999997</v>
      </c>
      <c r="F310" s="11">
        <f>6.5066 * CHOOSE(CONTROL!$C$32, $C$9, 100%, $E$9)</f>
        <v>6.5065999999999997</v>
      </c>
      <c r="G310" s="11">
        <f>6.5119 * CHOOSE(CONTROL!$C$32, $C$9, 100%, $E$9)</f>
        <v>6.5118999999999998</v>
      </c>
      <c r="H310" s="11">
        <f>10.2667 * CHOOSE(CONTROL!$C$32, $C$9, 100%, $E$9)</f>
        <v>10.2667</v>
      </c>
      <c r="I310" s="11">
        <f>10.272 * CHOOSE(CONTROL!$C$32, $C$9, 100%, $E$9)</f>
        <v>10.272</v>
      </c>
      <c r="J310" s="11">
        <f>10.2667 * CHOOSE(CONTROL!$C$32, $C$9, 100%, $E$9)</f>
        <v>10.2667</v>
      </c>
      <c r="K310" s="11">
        <f>10.272 * CHOOSE(CONTROL!$C$32, $C$9, 100%, $E$9)</f>
        <v>10.272</v>
      </c>
      <c r="L310" s="11">
        <f>6.5066 * CHOOSE(CONTROL!$C$32, $C$9, 100%, $E$9)</f>
        <v>6.5065999999999997</v>
      </c>
      <c r="M310" s="11">
        <f>6.5119 * CHOOSE(CONTROL!$C$32, $C$9, 100%, $E$9)</f>
        <v>6.5118999999999998</v>
      </c>
      <c r="N310" s="11">
        <f>6.5066 * CHOOSE(CONTROL!$C$32, $C$9, 100%, $E$9)</f>
        <v>6.5065999999999997</v>
      </c>
      <c r="O310" s="11">
        <f>6.5119 * CHOOSE(CONTROL!$C$32, $C$9, 100%, $E$9)</f>
        <v>6.5118999999999998</v>
      </c>
    </row>
    <row r="311" spans="1:15" ht="15" x14ac:dyDescent="0.2">
      <c r="A311" s="13">
        <v>50314</v>
      </c>
      <c r="B311" s="9">
        <f>5.0002 * CHOOSE(CONTROL!$C$32, $C$9, 100%, $E$9)</f>
        <v>5.0002000000000004</v>
      </c>
      <c r="C311" s="9">
        <f>5.0002 * CHOOSE(CONTROL!$C$32, $C$9, 100%, $E$9)</f>
        <v>5.0002000000000004</v>
      </c>
      <c r="D311" s="9">
        <f>5.0012 * CHOOSE(CONTROL!$C$32, $C$9, 100%, $E$9)</f>
        <v>5.0011999999999999</v>
      </c>
      <c r="E311" s="11">
        <f>6.5374 * CHOOSE(CONTROL!$C$32, $C$9, 100%, $E$9)</f>
        <v>6.5373999999999999</v>
      </c>
      <c r="F311" s="11">
        <f>6.5374 * CHOOSE(CONTROL!$C$32, $C$9, 100%, $E$9)</f>
        <v>6.5373999999999999</v>
      </c>
      <c r="G311" s="11">
        <f>6.541 * CHOOSE(CONTROL!$C$32, $C$9, 100%, $E$9)</f>
        <v>6.5410000000000004</v>
      </c>
      <c r="H311" s="11">
        <f>10.2881 * CHOOSE(CONTROL!$C$32, $C$9, 100%, $E$9)</f>
        <v>10.2881</v>
      </c>
      <c r="I311" s="11">
        <f>10.2917 * CHOOSE(CONTROL!$C$32, $C$9, 100%, $E$9)</f>
        <v>10.291700000000001</v>
      </c>
      <c r="J311" s="11">
        <f>10.2881 * CHOOSE(CONTROL!$C$32, $C$9, 100%, $E$9)</f>
        <v>10.2881</v>
      </c>
      <c r="K311" s="11">
        <f>10.2917 * CHOOSE(CONTROL!$C$32, $C$9, 100%, $E$9)</f>
        <v>10.291700000000001</v>
      </c>
      <c r="L311" s="11">
        <f>6.5374 * CHOOSE(CONTROL!$C$32, $C$9, 100%, $E$9)</f>
        <v>6.5373999999999999</v>
      </c>
      <c r="M311" s="11">
        <f>6.541 * CHOOSE(CONTROL!$C$32, $C$9, 100%, $E$9)</f>
        <v>6.5410000000000004</v>
      </c>
      <c r="N311" s="11">
        <f>6.5374 * CHOOSE(CONTROL!$C$32, $C$9, 100%, $E$9)</f>
        <v>6.5373999999999999</v>
      </c>
      <c r="O311" s="11">
        <f>6.541 * CHOOSE(CONTROL!$C$32, $C$9, 100%, $E$9)</f>
        <v>6.5410000000000004</v>
      </c>
    </row>
    <row r="312" spans="1:15" ht="15" x14ac:dyDescent="0.2">
      <c r="A312" s="13">
        <v>50345</v>
      </c>
      <c r="B312" s="9">
        <f>5.0032 * CHOOSE(CONTROL!$C$32, $C$9, 100%, $E$9)</f>
        <v>5.0031999999999996</v>
      </c>
      <c r="C312" s="9">
        <f>5.0032 * CHOOSE(CONTROL!$C$32, $C$9, 100%, $E$9)</f>
        <v>5.0031999999999996</v>
      </c>
      <c r="D312" s="9">
        <f>5.0043 * CHOOSE(CONTROL!$C$32, $C$9, 100%, $E$9)</f>
        <v>5.0042999999999997</v>
      </c>
      <c r="E312" s="11">
        <f>6.5616 * CHOOSE(CONTROL!$C$32, $C$9, 100%, $E$9)</f>
        <v>6.5616000000000003</v>
      </c>
      <c r="F312" s="11">
        <f>6.5616 * CHOOSE(CONTROL!$C$32, $C$9, 100%, $E$9)</f>
        <v>6.5616000000000003</v>
      </c>
      <c r="G312" s="11">
        <f>6.5652 * CHOOSE(CONTROL!$C$32, $C$9, 100%, $E$9)</f>
        <v>6.5651999999999999</v>
      </c>
      <c r="H312" s="11">
        <f>10.3095 * CHOOSE(CONTROL!$C$32, $C$9, 100%, $E$9)</f>
        <v>10.3095</v>
      </c>
      <c r="I312" s="11">
        <f>10.3131 * CHOOSE(CONTROL!$C$32, $C$9, 100%, $E$9)</f>
        <v>10.3131</v>
      </c>
      <c r="J312" s="11">
        <f>10.3095 * CHOOSE(CONTROL!$C$32, $C$9, 100%, $E$9)</f>
        <v>10.3095</v>
      </c>
      <c r="K312" s="11">
        <f>10.3131 * CHOOSE(CONTROL!$C$32, $C$9, 100%, $E$9)</f>
        <v>10.3131</v>
      </c>
      <c r="L312" s="11">
        <f>6.5616 * CHOOSE(CONTROL!$C$32, $C$9, 100%, $E$9)</f>
        <v>6.5616000000000003</v>
      </c>
      <c r="M312" s="11">
        <f>6.5652 * CHOOSE(CONTROL!$C$32, $C$9, 100%, $E$9)</f>
        <v>6.5651999999999999</v>
      </c>
      <c r="N312" s="11">
        <f>6.5616 * CHOOSE(CONTROL!$C$32, $C$9, 100%, $E$9)</f>
        <v>6.5616000000000003</v>
      </c>
      <c r="O312" s="11">
        <f>6.5652 * CHOOSE(CONTROL!$C$32, $C$9, 100%, $E$9)</f>
        <v>6.5651999999999999</v>
      </c>
    </row>
    <row r="313" spans="1:15" ht="15" x14ac:dyDescent="0.2">
      <c r="A313" s="13">
        <v>50375</v>
      </c>
      <c r="B313" s="9">
        <f>5.0032 * CHOOSE(CONTROL!$C$32, $C$9, 100%, $E$9)</f>
        <v>5.0031999999999996</v>
      </c>
      <c r="C313" s="9">
        <f>5.0032 * CHOOSE(CONTROL!$C$32, $C$9, 100%, $E$9)</f>
        <v>5.0031999999999996</v>
      </c>
      <c r="D313" s="9">
        <f>5.0043 * CHOOSE(CONTROL!$C$32, $C$9, 100%, $E$9)</f>
        <v>5.0042999999999997</v>
      </c>
      <c r="E313" s="11">
        <f>6.5063 * CHOOSE(CONTROL!$C$32, $C$9, 100%, $E$9)</f>
        <v>6.5063000000000004</v>
      </c>
      <c r="F313" s="11">
        <f>6.5063 * CHOOSE(CONTROL!$C$32, $C$9, 100%, $E$9)</f>
        <v>6.5063000000000004</v>
      </c>
      <c r="G313" s="11">
        <f>6.51 * CHOOSE(CONTROL!$C$32, $C$9, 100%, $E$9)</f>
        <v>6.51</v>
      </c>
      <c r="H313" s="11">
        <f>10.331 * CHOOSE(CONTROL!$C$32, $C$9, 100%, $E$9)</f>
        <v>10.331</v>
      </c>
      <c r="I313" s="11">
        <f>10.3346 * CHOOSE(CONTROL!$C$32, $C$9, 100%, $E$9)</f>
        <v>10.3346</v>
      </c>
      <c r="J313" s="11">
        <f>10.331 * CHOOSE(CONTROL!$C$32, $C$9, 100%, $E$9)</f>
        <v>10.331</v>
      </c>
      <c r="K313" s="11">
        <f>10.3346 * CHOOSE(CONTROL!$C$32, $C$9, 100%, $E$9)</f>
        <v>10.3346</v>
      </c>
      <c r="L313" s="11">
        <f>6.5063 * CHOOSE(CONTROL!$C$32, $C$9, 100%, $E$9)</f>
        <v>6.5063000000000004</v>
      </c>
      <c r="M313" s="11">
        <f>6.51 * CHOOSE(CONTROL!$C$32, $C$9, 100%, $E$9)</f>
        <v>6.51</v>
      </c>
      <c r="N313" s="11">
        <f>6.5063 * CHOOSE(CONTROL!$C$32, $C$9, 100%, $E$9)</f>
        <v>6.5063000000000004</v>
      </c>
      <c r="O313" s="11">
        <f>6.51 * CHOOSE(CONTROL!$C$32, $C$9, 100%, $E$9)</f>
        <v>6.51</v>
      </c>
    </row>
    <row r="314" spans="1:15" ht="15" x14ac:dyDescent="0.2">
      <c r="A314" s="13">
        <v>50406</v>
      </c>
      <c r="B314" s="9">
        <f>5.043 * CHOOSE(CONTROL!$C$32, $C$9, 100%, $E$9)</f>
        <v>5.0430000000000001</v>
      </c>
      <c r="C314" s="9">
        <f>5.043 * CHOOSE(CONTROL!$C$32, $C$9, 100%, $E$9)</f>
        <v>5.0430000000000001</v>
      </c>
      <c r="D314" s="9">
        <f>5.044 * CHOOSE(CONTROL!$C$32, $C$9, 100%, $E$9)</f>
        <v>5.0439999999999996</v>
      </c>
      <c r="E314" s="11">
        <f>6.5545 * CHOOSE(CONTROL!$C$32, $C$9, 100%, $E$9)</f>
        <v>6.5545</v>
      </c>
      <c r="F314" s="11">
        <f>6.5545 * CHOOSE(CONTROL!$C$32, $C$9, 100%, $E$9)</f>
        <v>6.5545</v>
      </c>
      <c r="G314" s="11">
        <f>6.5582 * CHOOSE(CONTROL!$C$32, $C$9, 100%, $E$9)</f>
        <v>6.5582000000000003</v>
      </c>
      <c r="H314" s="11">
        <f>10.3525 * CHOOSE(CONTROL!$C$32, $C$9, 100%, $E$9)</f>
        <v>10.352499999999999</v>
      </c>
      <c r="I314" s="11">
        <f>10.3561 * CHOOSE(CONTROL!$C$32, $C$9, 100%, $E$9)</f>
        <v>10.3561</v>
      </c>
      <c r="J314" s="11">
        <f>10.3525 * CHOOSE(CONTROL!$C$32, $C$9, 100%, $E$9)</f>
        <v>10.352499999999999</v>
      </c>
      <c r="K314" s="11">
        <f>10.3561 * CHOOSE(CONTROL!$C$32, $C$9, 100%, $E$9)</f>
        <v>10.3561</v>
      </c>
      <c r="L314" s="11">
        <f>6.5545 * CHOOSE(CONTROL!$C$32, $C$9, 100%, $E$9)</f>
        <v>6.5545</v>
      </c>
      <c r="M314" s="11">
        <f>6.5582 * CHOOSE(CONTROL!$C$32, $C$9, 100%, $E$9)</f>
        <v>6.5582000000000003</v>
      </c>
      <c r="N314" s="11">
        <f>6.5545 * CHOOSE(CONTROL!$C$32, $C$9, 100%, $E$9)</f>
        <v>6.5545</v>
      </c>
      <c r="O314" s="11">
        <f>6.5582 * CHOOSE(CONTROL!$C$32, $C$9, 100%, $E$9)</f>
        <v>6.5582000000000003</v>
      </c>
    </row>
    <row r="315" spans="1:15" ht="15" x14ac:dyDescent="0.2">
      <c r="A315" s="13">
        <v>50437</v>
      </c>
      <c r="B315" s="9">
        <f>5.0399 * CHOOSE(CONTROL!$C$32, $C$9, 100%, $E$9)</f>
        <v>5.0399000000000003</v>
      </c>
      <c r="C315" s="9">
        <f>5.0399 * CHOOSE(CONTROL!$C$32, $C$9, 100%, $E$9)</f>
        <v>5.0399000000000003</v>
      </c>
      <c r="D315" s="9">
        <f>5.041 * CHOOSE(CONTROL!$C$32, $C$9, 100%, $E$9)</f>
        <v>5.0410000000000004</v>
      </c>
      <c r="E315" s="11">
        <f>6.4445 * CHOOSE(CONTROL!$C$32, $C$9, 100%, $E$9)</f>
        <v>6.4444999999999997</v>
      </c>
      <c r="F315" s="11">
        <f>6.4445 * CHOOSE(CONTROL!$C$32, $C$9, 100%, $E$9)</f>
        <v>6.4444999999999997</v>
      </c>
      <c r="G315" s="11">
        <f>6.4481 * CHOOSE(CONTROL!$C$32, $C$9, 100%, $E$9)</f>
        <v>6.4481000000000002</v>
      </c>
      <c r="H315" s="11">
        <f>10.3741 * CHOOSE(CONTROL!$C$32, $C$9, 100%, $E$9)</f>
        <v>10.3741</v>
      </c>
      <c r="I315" s="11">
        <f>10.3777 * CHOOSE(CONTROL!$C$32, $C$9, 100%, $E$9)</f>
        <v>10.377700000000001</v>
      </c>
      <c r="J315" s="11">
        <f>10.3741 * CHOOSE(CONTROL!$C$32, $C$9, 100%, $E$9)</f>
        <v>10.3741</v>
      </c>
      <c r="K315" s="11">
        <f>10.3777 * CHOOSE(CONTROL!$C$32, $C$9, 100%, $E$9)</f>
        <v>10.377700000000001</v>
      </c>
      <c r="L315" s="11">
        <f>6.4445 * CHOOSE(CONTROL!$C$32, $C$9, 100%, $E$9)</f>
        <v>6.4444999999999997</v>
      </c>
      <c r="M315" s="11">
        <f>6.4481 * CHOOSE(CONTROL!$C$32, $C$9, 100%, $E$9)</f>
        <v>6.4481000000000002</v>
      </c>
      <c r="N315" s="11">
        <f>6.4445 * CHOOSE(CONTROL!$C$32, $C$9, 100%, $E$9)</f>
        <v>6.4444999999999997</v>
      </c>
      <c r="O315" s="11">
        <f>6.4481 * CHOOSE(CONTROL!$C$32, $C$9, 100%, $E$9)</f>
        <v>6.4481000000000002</v>
      </c>
    </row>
    <row r="316" spans="1:15" ht="15" x14ac:dyDescent="0.2">
      <c r="A316" s="13">
        <v>50465</v>
      </c>
      <c r="B316" s="9">
        <f>5.0369 * CHOOSE(CONTROL!$C$32, $C$9, 100%, $E$9)</f>
        <v>5.0369000000000002</v>
      </c>
      <c r="C316" s="9">
        <f>5.0369 * CHOOSE(CONTROL!$C$32, $C$9, 100%, $E$9)</f>
        <v>5.0369000000000002</v>
      </c>
      <c r="D316" s="9">
        <f>5.038 * CHOOSE(CONTROL!$C$32, $C$9, 100%, $E$9)</f>
        <v>5.0380000000000003</v>
      </c>
      <c r="E316" s="11">
        <f>6.5275 * CHOOSE(CONTROL!$C$32, $C$9, 100%, $E$9)</f>
        <v>6.5274999999999999</v>
      </c>
      <c r="F316" s="11">
        <f>6.5275 * CHOOSE(CONTROL!$C$32, $C$9, 100%, $E$9)</f>
        <v>6.5274999999999999</v>
      </c>
      <c r="G316" s="11">
        <f>6.5311 * CHOOSE(CONTROL!$C$32, $C$9, 100%, $E$9)</f>
        <v>6.5311000000000003</v>
      </c>
      <c r="H316" s="11">
        <f>10.3957 * CHOOSE(CONTROL!$C$32, $C$9, 100%, $E$9)</f>
        <v>10.3957</v>
      </c>
      <c r="I316" s="11">
        <f>10.3993 * CHOOSE(CONTROL!$C$32, $C$9, 100%, $E$9)</f>
        <v>10.3993</v>
      </c>
      <c r="J316" s="11">
        <f>10.3957 * CHOOSE(CONTROL!$C$32, $C$9, 100%, $E$9)</f>
        <v>10.3957</v>
      </c>
      <c r="K316" s="11">
        <f>10.3993 * CHOOSE(CONTROL!$C$32, $C$9, 100%, $E$9)</f>
        <v>10.3993</v>
      </c>
      <c r="L316" s="11">
        <f>6.5275 * CHOOSE(CONTROL!$C$32, $C$9, 100%, $E$9)</f>
        <v>6.5274999999999999</v>
      </c>
      <c r="M316" s="11">
        <f>6.5311 * CHOOSE(CONTROL!$C$32, $C$9, 100%, $E$9)</f>
        <v>6.5311000000000003</v>
      </c>
      <c r="N316" s="11">
        <f>6.5275 * CHOOSE(CONTROL!$C$32, $C$9, 100%, $E$9)</f>
        <v>6.5274999999999999</v>
      </c>
      <c r="O316" s="11">
        <f>6.5311 * CHOOSE(CONTROL!$C$32, $C$9, 100%, $E$9)</f>
        <v>6.5311000000000003</v>
      </c>
    </row>
    <row r="317" spans="1:15" ht="15" x14ac:dyDescent="0.2">
      <c r="A317" s="13">
        <v>50496</v>
      </c>
      <c r="B317" s="9">
        <f>5.0356 * CHOOSE(CONTROL!$C$32, $C$9, 100%, $E$9)</f>
        <v>5.0355999999999996</v>
      </c>
      <c r="C317" s="9">
        <f>5.0356 * CHOOSE(CONTROL!$C$32, $C$9, 100%, $E$9)</f>
        <v>5.0355999999999996</v>
      </c>
      <c r="D317" s="9">
        <f>5.0366 * CHOOSE(CONTROL!$C$32, $C$9, 100%, $E$9)</f>
        <v>5.0366</v>
      </c>
      <c r="E317" s="11">
        <f>6.6146 * CHOOSE(CONTROL!$C$32, $C$9, 100%, $E$9)</f>
        <v>6.6146000000000003</v>
      </c>
      <c r="F317" s="11">
        <f>6.6146 * CHOOSE(CONTROL!$C$32, $C$9, 100%, $E$9)</f>
        <v>6.6146000000000003</v>
      </c>
      <c r="G317" s="11">
        <f>6.6182 * CHOOSE(CONTROL!$C$32, $C$9, 100%, $E$9)</f>
        <v>6.6181999999999999</v>
      </c>
      <c r="H317" s="11">
        <f>10.4174 * CHOOSE(CONTROL!$C$32, $C$9, 100%, $E$9)</f>
        <v>10.417400000000001</v>
      </c>
      <c r="I317" s="11">
        <f>10.421 * CHOOSE(CONTROL!$C$32, $C$9, 100%, $E$9)</f>
        <v>10.420999999999999</v>
      </c>
      <c r="J317" s="11">
        <f>10.4174 * CHOOSE(CONTROL!$C$32, $C$9, 100%, $E$9)</f>
        <v>10.417400000000001</v>
      </c>
      <c r="K317" s="11">
        <f>10.421 * CHOOSE(CONTROL!$C$32, $C$9, 100%, $E$9)</f>
        <v>10.420999999999999</v>
      </c>
      <c r="L317" s="11">
        <f>6.6146 * CHOOSE(CONTROL!$C$32, $C$9, 100%, $E$9)</f>
        <v>6.6146000000000003</v>
      </c>
      <c r="M317" s="11">
        <f>6.6182 * CHOOSE(CONTROL!$C$32, $C$9, 100%, $E$9)</f>
        <v>6.6181999999999999</v>
      </c>
      <c r="N317" s="11">
        <f>6.6146 * CHOOSE(CONTROL!$C$32, $C$9, 100%, $E$9)</f>
        <v>6.6146000000000003</v>
      </c>
      <c r="O317" s="11">
        <f>6.6182 * CHOOSE(CONTROL!$C$32, $C$9, 100%, $E$9)</f>
        <v>6.6181999999999999</v>
      </c>
    </row>
    <row r="318" spans="1:15" ht="15" x14ac:dyDescent="0.2">
      <c r="A318" s="13">
        <v>50526</v>
      </c>
      <c r="B318" s="9">
        <f>5.0356 * CHOOSE(CONTROL!$C$32, $C$9, 100%, $E$9)</f>
        <v>5.0355999999999996</v>
      </c>
      <c r="C318" s="9">
        <f>5.0356 * CHOOSE(CONTROL!$C$32, $C$9, 100%, $E$9)</f>
        <v>5.0355999999999996</v>
      </c>
      <c r="D318" s="9">
        <f>5.0371 * CHOOSE(CONTROL!$C$32, $C$9, 100%, $E$9)</f>
        <v>5.0370999999999997</v>
      </c>
      <c r="E318" s="11">
        <f>6.6488 * CHOOSE(CONTROL!$C$32, $C$9, 100%, $E$9)</f>
        <v>6.6487999999999996</v>
      </c>
      <c r="F318" s="11">
        <f>6.6488 * CHOOSE(CONTROL!$C$32, $C$9, 100%, $E$9)</f>
        <v>6.6487999999999996</v>
      </c>
      <c r="G318" s="11">
        <f>6.6541 * CHOOSE(CONTROL!$C$32, $C$9, 100%, $E$9)</f>
        <v>6.6540999999999997</v>
      </c>
      <c r="H318" s="11">
        <f>10.4391 * CHOOSE(CONTROL!$C$32, $C$9, 100%, $E$9)</f>
        <v>10.4391</v>
      </c>
      <c r="I318" s="11">
        <f>10.4444 * CHOOSE(CONTROL!$C$32, $C$9, 100%, $E$9)</f>
        <v>10.4444</v>
      </c>
      <c r="J318" s="11">
        <f>10.4391 * CHOOSE(CONTROL!$C$32, $C$9, 100%, $E$9)</f>
        <v>10.4391</v>
      </c>
      <c r="K318" s="11">
        <f>10.4444 * CHOOSE(CONTROL!$C$32, $C$9, 100%, $E$9)</f>
        <v>10.4444</v>
      </c>
      <c r="L318" s="11">
        <f>6.6488 * CHOOSE(CONTROL!$C$32, $C$9, 100%, $E$9)</f>
        <v>6.6487999999999996</v>
      </c>
      <c r="M318" s="11">
        <f>6.6541 * CHOOSE(CONTROL!$C$32, $C$9, 100%, $E$9)</f>
        <v>6.6540999999999997</v>
      </c>
      <c r="N318" s="11">
        <f>6.6488 * CHOOSE(CONTROL!$C$32, $C$9, 100%, $E$9)</f>
        <v>6.6487999999999996</v>
      </c>
      <c r="O318" s="11">
        <f>6.6541 * CHOOSE(CONTROL!$C$32, $C$9, 100%, $E$9)</f>
        <v>6.6540999999999997</v>
      </c>
    </row>
    <row r="319" spans="1:15" ht="15" x14ac:dyDescent="0.2">
      <c r="A319" s="13">
        <v>50557</v>
      </c>
      <c r="B319" s="9">
        <f>5.0416 * CHOOSE(CONTROL!$C$32, $C$9, 100%, $E$9)</f>
        <v>5.0415999999999999</v>
      </c>
      <c r="C319" s="9">
        <f>5.0416 * CHOOSE(CONTROL!$C$32, $C$9, 100%, $E$9)</f>
        <v>5.0415999999999999</v>
      </c>
      <c r="D319" s="9">
        <f>5.0432 * CHOOSE(CONTROL!$C$32, $C$9, 100%, $E$9)</f>
        <v>5.0431999999999997</v>
      </c>
      <c r="E319" s="11">
        <f>6.6188 * CHOOSE(CONTROL!$C$32, $C$9, 100%, $E$9)</f>
        <v>6.6188000000000002</v>
      </c>
      <c r="F319" s="11">
        <f>6.6188 * CHOOSE(CONTROL!$C$32, $C$9, 100%, $E$9)</f>
        <v>6.6188000000000002</v>
      </c>
      <c r="G319" s="11">
        <f>6.6241 * CHOOSE(CONTROL!$C$32, $C$9, 100%, $E$9)</f>
        <v>6.6241000000000003</v>
      </c>
      <c r="H319" s="11">
        <f>10.4608 * CHOOSE(CONTROL!$C$32, $C$9, 100%, $E$9)</f>
        <v>10.460800000000001</v>
      </c>
      <c r="I319" s="11">
        <f>10.4661 * CHOOSE(CONTROL!$C$32, $C$9, 100%, $E$9)</f>
        <v>10.466100000000001</v>
      </c>
      <c r="J319" s="11">
        <f>10.4608 * CHOOSE(CONTROL!$C$32, $C$9, 100%, $E$9)</f>
        <v>10.460800000000001</v>
      </c>
      <c r="K319" s="11">
        <f>10.4661 * CHOOSE(CONTROL!$C$32, $C$9, 100%, $E$9)</f>
        <v>10.466100000000001</v>
      </c>
      <c r="L319" s="11">
        <f>6.6188 * CHOOSE(CONTROL!$C$32, $C$9, 100%, $E$9)</f>
        <v>6.6188000000000002</v>
      </c>
      <c r="M319" s="11">
        <f>6.6241 * CHOOSE(CONTROL!$C$32, $C$9, 100%, $E$9)</f>
        <v>6.6241000000000003</v>
      </c>
      <c r="N319" s="11">
        <f>6.6188 * CHOOSE(CONTROL!$C$32, $C$9, 100%, $E$9)</f>
        <v>6.6188000000000002</v>
      </c>
      <c r="O319" s="11">
        <f>6.6241 * CHOOSE(CONTROL!$C$32, $C$9, 100%, $E$9)</f>
        <v>6.6241000000000003</v>
      </c>
    </row>
    <row r="320" spans="1:15" ht="15" x14ac:dyDescent="0.2">
      <c r="A320" s="13">
        <v>50587</v>
      </c>
      <c r="B320" s="9">
        <f>5.1131 * CHOOSE(CONTROL!$C$32, $C$9, 100%, $E$9)</f>
        <v>5.1131000000000002</v>
      </c>
      <c r="C320" s="9">
        <f>5.1131 * CHOOSE(CONTROL!$C$32, $C$9, 100%, $E$9)</f>
        <v>5.1131000000000002</v>
      </c>
      <c r="D320" s="9">
        <f>5.1147 * CHOOSE(CONTROL!$C$32, $C$9, 100%, $E$9)</f>
        <v>5.1147</v>
      </c>
      <c r="E320" s="11">
        <f>6.6086 * CHOOSE(CONTROL!$C$32, $C$9, 100%, $E$9)</f>
        <v>6.6086</v>
      </c>
      <c r="F320" s="11">
        <f>6.6086 * CHOOSE(CONTROL!$C$32, $C$9, 100%, $E$9)</f>
        <v>6.6086</v>
      </c>
      <c r="G320" s="11">
        <f>6.6139 * CHOOSE(CONTROL!$C$32, $C$9, 100%, $E$9)</f>
        <v>6.6139000000000001</v>
      </c>
      <c r="H320" s="11">
        <f>10.4826 * CHOOSE(CONTROL!$C$32, $C$9, 100%, $E$9)</f>
        <v>10.4826</v>
      </c>
      <c r="I320" s="11">
        <f>10.4879 * CHOOSE(CONTROL!$C$32, $C$9, 100%, $E$9)</f>
        <v>10.4879</v>
      </c>
      <c r="J320" s="11">
        <f>10.4826 * CHOOSE(CONTROL!$C$32, $C$9, 100%, $E$9)</f>
        <v>10.4826</v>
      </c>
      <c r="K320" s="11">
        <f>10.4879 * CHOOSE(CONTROL!$C$32, $C$9, 100%, $E$9)</f>
        <v>10.4879</v>
      </c>
      <c r="L320" s="11">
        <f>6.6086 * CHOOSE(CONTROL!$C$32, $C$9, 100%, $E$9)</f>
        <v>6.6086</v>
      </c>
      <c r="M320" s="11">
        <f>6.6139 * CHOOSE(CONTROL!$C$32, $C$9, 100%, $E$9)</f>
        <v>6.6139000000000001</v>
      </c>
      <c r="N320" s="11">
        <f>6.6086 * CHOOSE(CONTROL!$C$32, $C$9, 100%, $E$9)</f>
        <v>6.6086</v>
      </c>
      <c r="O320" s="11">
        <f>6.6139 * CHOOSE(CONTROL!$C$32, $C$9, 100%, $E$9)</f>
        <v>6.6139000000000001</v>
      </c>
    </row>
    <row r="321" spans="1:15" ht="15" x14ac:dyDescent="0.2">
      <c r="A321" s="13">
        <v>50618</v>
      </c>
      <c r="B321" s="9">
        <f>5.1198 * CHOOSE(CONTROL!$C$32, $C$9, 100%, $E$9)</f>
        <v>5.1197999999999997</v>
      </c>
      <c r="C321" s="9">
        <f>5.1198 * CHOOSE(CONTROL!$C$32, $C$9, 100%, $E$9)</f>
        <v>5.1197999999999997</v>
      </c>
      <c r="D321" s="9">
        <f>5.1214 * CHOOSE(CONTROL!$C$32, $C$9, 100%, $E$9)</f>
        <v>5.1214000000000004</v>
      </c>
      <c r="E321" s="11">
        <f>6.5105 * CHOOSE(CONTROL!$C$32, $C$9, 100%, $E$9)</f>
        <v>6.5105000000000004</v>
      </c>
      <c r="F321" s="11">
        <f>6.5105 * CHOOSE(CONTROL!$C$32, $C$9, 100%, $E$9)</f>
        <v>6.5105000000000004</v>
      </c>
      <c r="G321" s="11">
        <f>6.5158 * CHOOSE(CONTROL!$C$32, $C$9, 100%, $E$9)</f>
        <v>6.5157999999999996</v>
      </c>
      <c r="H321" s="11">
        <f>10.5044 * CHOOSE(CONTROL!$C$32, $C$9, 100%, $E$9)</f>
        <v>10.5044</v>
      </c>
      <c r="I321" s="11">
        <f>10.5097 * CHOOSE(CONTROL!$C$32, $C$9, 100%, $E$9)</f>
        <v>10.5097</v>
      </c>
      <c r="J321" s="11">
        <f>10.5044 * CHOOSE(CONTROL!$C$32, $C$9, 100%, $E$9)</f>
        <v>10.5044</v>
      </c>
      <c r="K321" s="11">
        <f>10.5097 * CHOOSE(CONTROL!$C$32, $C$9, 100%, $E$9)</f>
        <v>10.5097</v>
      </c>
      <c r="L321" s="11">
        <f>6.5105 * CHOOSE(CONTROL!$C$32, $C$9, 100%, $E$9)</f>
        <v>6.5105000000000004</v>
      </c>
      <c r="M321" s="11">
        <f>6.5158 * CHOOSE(CONTROL!$C$32, $C$9, 100%, $E$9)</f>
        <v>6.5157999999999996</v>
      </c>
      <c r="N321" s="11">
        <f>6.5105 * CHOOSE(CONTROL!$C$32, $C$9, 100%, $E$9)</f>
        <v>6.5105000000000004</v>
      </c>
      <c r="O321" s="11">
        <f>6.5158 * CHOOSE(CONTROL!$C$32, $C$9, 100%, $E$9)</f>
        <v>6.5157999999999996</v>
      </c>
    </row>
    <row r="322" spans="1:15" ht="15" x14ac:dyDescent="0.2">
      <c r="A322" s="13">
        <v>50649</v>
      </c>
      <c r="B322" s="9">
        <f>5.1167 * CHOOSE(CONTROL!$C$32, $C$9, 100%, $E$9)</f>
        <v>5.1166999999999998</v>
      </c>
      <c r="C322" s="9">
        <f>5.1167 * CHOOSE(CONTROL!$C$32, $C$9, 100%, $E$9)</f>
        <v>5.1166999999999998</v>
      </c>
      <c r="D322" s="9">
        <f>5.1183 * CHOOSE(CONTROL!$C$32, $C$9, 100%, $E$9)</f>
        <v>5.1182999999999996</v>
      </c>
      <c r="E322" s="11">
        <f>6.4969 * CHOOSE(CONTROL!$C$32, $C$9, 100%, $E$9)</f>
        <v>6.4969000000000001</v>
      </c>
      <c r="F322" s="11">
        <f>6.4969 * CHOOSE(CONTROL!$C$32, $C$9, 100%, $E$9)</f>
        <v>6.4969000000000001</v>
      </c>
      <c r="G322" s="11">
        <f>6.5022 * CHOOSE(CONTROL!$C$32, $C$9, 100%, $E$9)</f>
        <v>6.5022000000000002</v>
      </c>
      <c r="H322" s="11">
        <f>10.5263 * CHOOSE(CONTROL!$C$32, $C$9, 100%, $E$9)</f>
        <v>10.526300000000001</v>
      </c>
      <c r="I322" s="11">
        <f>10.5316 * CHOOSE(CONTROL!$C$32, $C$9, 100%, $E$9)</f>
        <v>10.531599999999999</v>
      </c>
      <c r="J322" s="11">
        <f>10.5263 * CHOOSE(CONTROL!$C$32, $C$9, 100%, $E$9)</f>
        <v>10.526300000000001</v>
      </c>
      <c r="K322" s="11">
        <f>10.5316 * CHOOSE(CONTROL!$C$32, $C$9, 100%, $E$9)</f>
        <v>10.531599999999999</v>
      </c>
      <c r="L322" s="11">
        <f>6.4969 * CHOOSE(CONTROL!$C$32, $C$9, 100%, $E$9)</f>
        <v>6.4969000000000001</v>
      </c>
      <c r="M322" s="11">
        <f>6.5022 * CHOOSE(CONTROL!$C$32, $C$9, 100%, $E$9)</f>
        <v>6.5022000000000002</v>
      </c>
      <c r="N322" s="11">
        <f>6.4969 * CHOOSE(CONTROL!$C$32, $C$9, 100%, $E$9)</f>
        <v>6.4969000000000001</v>
      </c>
      <c r="O322" s="11">
        <f>6.5022 * CHOOSE(CONTROL!$C$32, $C$9, 100%, $E$9)</f>
        <v>6.5022000000000002</v>
      </c>
    </row>
    <row r="323" spans="1:15" ht="15" x14ac:dyDescent="0.2">
      <c r="A323" s="13">
        <v>50679</v>
      </c>
      <c r="B323" s="9">
        <f>5.1159 * CHOOSE(CONTROL!$C$32, $C$9, 100%, $E$9)</f>
        <v>5.1158999999999999</v>
      </c>
      <c r="C323" s="9">
        <f>5.1159 * CHOOSE(CONTROL!$C$32, $C$9, 100%, $E$9)</f>
        <v>5.1158999999999999</v>
      </c>
      <c r="D323" s="9">
        <f>5.117 * CHOOSE(CONTROL!$C$32, $C$9, 100%, $E$9)</f>
        <v>5.117</v>
      </c>
      <c r="E323" s="11">
        <f>6.5292 * CHOOSE(CONTROL!$C$32, $C$9, 100%, $E$9)</f>
        <v>6.5292000000000003</v>
      </c>
      <c r="F323" s="11">
        <f>6.5292 * CHOOSE(CONTROL!$C$32, $C$9, 100%, $E$9)</f>
        <v>6.5292000000000003</v>
      </c>
      <c r="G323" s="11">
        <f>6.5328 * CHOOSE(CONTROL!$C$32, $C$9, 100%, $E$9)</f>
        <v>6.5327999999999999</v>
      </c>
      <c r="H323" s="11">
        <f>10.5483 * CHOOSE(CONTROL!$C$32, $C$9, 100%, $E$9)</f>
        <v>10.548299999999999</v>
      </c>
      <c r="I323" s="11">
        <f>10.5519 * CHOOSE(CONTROL!$C$32, $C$9, 100%, $E$9)</f>
        <v>10.5519</v>
      </c>
      <c r="J323" s="11">
        <f>10.5483 * CHOOSE(CONTROL!$C$32, $C$9, 100%, $E$9)</f>
        <v>10.548299999999999</v>
      </c>
      <c r="K323" s="11">
        <f>10.5519 * CHOOSE(CONTROL!$C$32, $C$9, 100%, $E$9)</f>
        <v>10.5519</v>
      </c>
      <c r="L323" s="11">
        <f>6.5292 * CHOOSE(CONTROL!$C$32, $C$9, 100%, $E$9)</f>
        <v>6.5292000000000003</v>
      </c>
      <c r="M323" s="11">
        <f>6.5328 * CHOOSE(CONTROL!$C$32, $C$9, 100%, $E$9)</f>
        <v>6.5327999999999999</v>
      </c>
      <c r="N323" s="11">
        <f>6.5292 * CHOOSE(CONTROL!$C$32, $C$9, 100%, $E$9)</f>
        <v>6.5292000000000003</v>
      </c>
      <c r="O323" s="11">
        <f>6.5328 * CHOOSE(CONTROL!$C$32, $C$9, 100%, $E$9)</f>
        <v>6.5327999999999999</v>
      </c>
    </row>
    <row r="324" spans="1:15" ht="15" x14ac:dyDescent="0.2">
      <c r="A324" s="13">
        <v>50710</v>
      </c>
      <c r="B324" s="9">
        <f>5.119 * CHOOSE(CONTROL!$C$32, $C$9, 100%, $E$9)</f>
        <v>5.1189999999999998</v>
      </c>
      <c r="C324" s="9">
        <f>5.119 * CHOOSE(CONTROL!$C$32, $C$9, 100%, $E$9)</f>
        <v>5.1189999999999998</v>
      </c>
      <c r="D324" s="9">
        <f>5.1201 * CHOOSE(CONTROL!$C$32, $C$9, 100%, $E$9)</f>
        <v>5.1200999999999999</v>
      </c>
      <c r="E324" s="11">
        <f>6.5541 * CHOOSE(CONTROL!$C$32, $C$9, 100%, $E$9)</f>
        <v>6.5541</v>
      </c>
      <c r="F324" s="11">
        <f>6.5541 * CHOOSE(CONTROL!$C$32, $C$9, 100%, $E$9)</f>
        <v>6.5541</v>
      </c>
      <c r="G324" s="11">
        <f>6.5578 * CHOOSE(CONTROL!$C$32, $C$9, 100%, $E$9)</f>
        <v>6.5578000000000003</v>
      </c>
      <c r="H324" s="11">
        <f>10.5702 * CHOOSE(CONTROL!$C$32, $C$9, 100%, $E$9)</f>
        <v>10.5702</v>
      </c>
      <c r="I324" s="11">
        <f>10.5738 * CHOOSE(CONTROL!$C$32, $C$9, 100%, $E$9)</f>
        <v>10.5738</v>
      </c>
      <c r="J324" s="11">
        <f>10.5702 * CHOOSE(CONTROL!$C$32, $C$9, 100%, $E$9)</f>
        <v>10.5702</v>
      </c>
      <c r="K324" s="11">
        <f>10.5738 * CHOOSE(CONTROL!$C$32, $C$9, 100%, $E$9)</f>
        <v>10.5738</v>
      </c>
      <c r="L324" s="11">
        <f>6.5541 * CHOOSE(CONTROL!$C$32, $C$9, 100%, $E$9)</f>
        <v>6.5541</v>
      </c>
      <c r="M324" s="11">
        <f>6.5578 * CHOOSE(CONTROL!$C$32, $C$9, 100%, $E$9)</f>
        <v>6.5578000000000003</v>
      </c>
      <c r="N324" s="11">
        <f>6.5541 * CHOOSE(CONTROL!$C$32, $C$9, 100%, $E$9)</f>
        <v>6.5541</v>
      </c>
      <c r="O324" s="11">
        <f>6.5578 * CHOOSE(CONTROL!$C$32, $C$9, 100%, $E$9)</f>
        <v>6.5578000000000003</v>
      </c>
    </row>
    <row r="325" spans="1:15" ht="15" x14ac:dyDescent="0.2">
      <c r="A325" s="13">
        <v>50740</v>
      </c>
      <c r="B325" s="9">
        <f>5.119 * CHOOSE(CONTROL!$C$32, $C$9, 100%, $E$9)</f>
        <v>5.1189999999999998</v>
      </c>
      <c r="C325" s="9">
        <f>5.119 * CHOOSE(CONTROL!$C$32, $C$9, 100%, $E$9)</f>
        <v>5.1189999999999998</v>
      </c>
      <c r="D325" s="9">
        <f>5.1201 * CHOOSE(CONTROL!$C$32, $C$9, 100%, $E$9)</f>
        <v>5.1200999999999999</v>
      </c>
      <c r="E325" s="11">
        <f>6.533 * CHOOSE(CONTROL!$C$32, $C$9, 100%, $E$9)</f>
        <v>6.5330000000000004</v>
      </c>
      <c r="F325" s="11">
        <f>6.533 * CHOOSE(CONTROL!$C$32, $C$9, 100%, $E$9)</f>
        <v>6.5330000000000004</v>
      </c>
      <c r="G325" s="11">
        <f>6.5367 * CHOOSE(CONTROL!$C$32, $C$9, 100%, $E$9)</f>
        <v>6.5366999999999997</v>
      </c>
      <c r="H325" s="11">
        <f>10.5923 * CHOOSE(CONTROL!$C$32, $C$9, 100%, $E$9)</f>
        <v>10.5923</v>
      </c>
      <c r="I325" s="11">
        <f>10.5959 * CHOOSE(CONTROL!$C$32, $C$9, 100%, $E$9)</f>
        <v>10.5959</v>
      </c>
      <c r="J325" s="11">
        <f>10.5923 * CHOOSE(CONTROL!$C$32, $C$9, 100%, $E$9)</f>
        <v>10.5923</v>
      </c>
      <c r="K325" s="11">
        <f>10.5959 * CHOOSE(CONTROL!$C$32, $C$9, 100%, $E$9)</f>
        <v>10.5959</v>
      </c>
      <c r="L325" s="11">
        <f>6.533 * CHOOSE(CONTROL!$C$32, $C$9, 100%, $E$9)</f>
        <v>6.5330000000000004</v>
      </c>
      <c r="M325" s="11">
        <f>6.5367 * CHOOSE(CONTROL!$C$32, $C$9, 100%, $E$9)</f>
        <v>6.5366999999999997</v>
      </c>
      <c r="N325" s="11">
        <f>6.533 * CHOOSE(CONTROL!$C$32, $C$9, 100%, $E$9)</f>
        <v>6.5330000000000004</v>
      </c>
      <c r="O325" s="11">
        <f>6.5367 * CHOOSE(CONTROL!$C$32, $C$9, 100%, $E$9)</f>
        <v>6.5366999999999997</v>
      </c>
    </row>
    <row r="326" spans="1:15" ht="15" x14ac:dyDescent="0.2">
      <c r="A326" s="13">
        <v>50771</v>
      </c>
      <c r="B326" s="9">
        <f>5.1575 * CHOOSE(CONTROL!$C$32, $C$9, 100%, $E$9)</f>
        <v>5.1574999999999998</v>
      </c>
      <c r="C326" s="9">
        <f>5.1575 * CHOOSE(CONTROL!$C$32, $C$9, 100%, $E$9)</f>
        <v>5.1574999999999998</v>
      </c>
      <c r="D326" s="9">
        <f>5.1586 * CHOOSE(CONTROL!$C$32, $C$9, 100%, $E$9)</f>
        <v>5.1585999999999999</v>
      </c>
      <c r="E326" s="11">
        <f>6.5634 * CHOOSE(CONTROL!$C$32, $C$9, 100%, $E$9)</f>
        <v>6.5633999999999997</v>
      </c>
      <c r="F326" s="11">
        <f>6.5634 * CHOOSE(CONTROL!$C$32, $C$9, 100%, $E$9)</f>
        <v>6.5633999999999997</v>
      </c>
      <c r="G326" s="11">
        <f>6.567 * CHOOSE(CONTROL!$C$32, $C$9, 100%, $E$9)</f>
        <v>6.5670000000000002</v>
      </c>
      <c r="H326" s="11">
        <f>10.6143 * CHOOSE(CONTROL!$C$32, $C$9, 100%, $E$9)</f>
        <v>10.6143</v>
      </c>
      <c r="I326" s="11">
        <f>10.6179 * CHOOSE(CONTROL!$C$32, $C$9, 100%, $E$9)</f>
        <v>10.617900000000001</v>
      </c>
      <c r="J326" s="11">
        <f>10.6143 * CHOOSE(CONTROL!$C$32, $C$9, 100%, $E$9)</f>
        <v>10.6143</v>
      </c>
      <c r="K326" s="11">
        <f>10.6179 * CHOOSE(CONTROL!$C$32, $C$9, 100%, $E$9)</f>
        <v>10.617900000000001</v>
      </c>
      <c r="L326" s="11">
        <f>6.5634 * CHOOSE(CONTROL!$C$32, $C$9, 100%, $E$9)</f>
        <v>6.5633999999999997</v>
      </c>
      <c r="M326" s="11">
        <f>6.567 * CHOOSE(CONTROL!$C$32, $C$9, 100%, $E$9)</f>
        <v>6.5670000000000002</v>
      </c>
      <c r="N326" s="11">
        <f>6.5634 * CHOOSE(CONTROL!$C$32, $C$9, 100%, $E$9)</f>
        <v>6.5633999999999997</v>
      </c>
      <c r="O326" s="11">
        <f>6.567 * CHOOSE(CONTROL!$C$32, $C$9, 100%, $E$9)</f>
        <v>6.5670000000000002</v>
      </c>
    </row>
    <row r="327" spans="1:15" ht="15" x14ac:dyDescent="0.2">
      <c r="A327" s="13">
        <v>50802</v>
      </c>
      <c r="B327" s="9">
        <f>5.1544 * CHOOSE(CONTROL!$C$32, $C$9, 100%, $E$9)</f>
        <v>5.1543999999999999</v>
      </c>
      <c r="C327" s="9">
        <f>5.1544 * CHOOSE(CONTROL!$C$32, $C$9, 100%, $E$9)</f>
        <v>5.1543999999999999</v>
      </c>
      <c r="D327" s="9">
        <f>5.1555 * CHOOSE(CONTROL!$C$32, $C$9, 100%, $E$9)</f>
        <v>5.1555</v>
      </c>
      <c r="E327" s="11">
        <f>6.4498 * CHOOSE(CONTROL!$C$32, $C$9, 100%, $E$9)</f>
        <v>6.4497999999999998</v>
      </c>
      <c r="F327" s="11">
        <f>6.4498 * CHOOSE(CONTROL!$C$32, $C$9, 100%, $E$9)</f>
        <v>6.4497999999999998</v>
      </c>
      <c r="G327" s="11">
        <f>6.4535 * CHOOSE(CONTROL!$C$32, $C$9, 100%, $E$9)</f>
        <v>6.4535</v>
      </c>
      <c r="H327" s="11">
        <f>10.6364 * CHOOSE(CONTROL!$C$32, $C$9, 100%, $E$9)</f>
        <v>10.6364</v>
      </c>
      <c r="I327" s="11">
        <f>10.64 * CHOOSE(CONTROL!$C$32, $C$9, 100%, $E$9)</f>
        <v>10.64</v>
      </c>
      <c r="J327" s="11">
        <f>10.6364 * CHOOSE(CONTROL!$C$32, $C$9, 100%, $E$9)</f>
        <v>10.6364</v>
      </c>
      <c r="K327" s="11">
        <f>10.64 * CHOOSE(CONTROL!$C$32, $C$9, 100%, $E$9)</f>
        <v>10.64</v>
      </c>
      <c r="L327" s="11">
        <f>6.4498 * CHOOSE(CONTROL!$C$32, $C$9, 100%, $E$9)</f>
        <v>6.4497999999999998</v>
      </c>
      <c r="M327" s="11">
        <f>6.4535 * CHOOSE(CONTROL!$C$32, $C$9, 100%, $E$9)</f>
        <v>6.4535</v>
      </c>
      <c r="N327" s="11">
        <f>6.4498 * CHOOSE(CONTROL!$C$32, $C$9, 100%, $E$9)</f>
        <v>6.4497999999999998</v>
      </c>
      <c r="O327" s="11">
        <f>6.4535 * CHOOSE(CONTROL!$C$32, $C$9, 100%, $E$9)</f>
        <v>6.4535</v>
      </c>
    </row>
    <row r="328" spans="1:15" ht="15" x14ac:dyDescent="0.2">
      <c r="A328" s="13">
        <v>50830</v>
      </c>
      <c r="B328" s="9">
        <f>5.1514 * CHOOSE(CONTROL!$C$32, $C$9, 100%, $E$9)</f>
        <v>5.1513999999999998</v>
      </c>
      <c r="C328" s="9">
        <f>5.1514 * CHOOSE(CONTROL!$C$32, $C$9, 100%, $E$9)</f>
        <v>5.1513999999999998</v>
      </c>
      <c r="D328" s="9">
        <f>5.1525 * CHOOSE(CONTROL!$C$32, $C$9, 100%, $E$9)</f>
        <v>5.1524999999999999</v>
      </c>
      <c r="E328" s="11">
        <f>6.5356 * CHOOSE(CONTROL!$C$32, $C$9, 100%, $E$9)</f>
        <v>6.5355999999999996</v>
      </c>
      <c r="F328" s="11">
        <f>6.5356 * CHOOSE(CONTROL!$C$32, $C$9, 100%, $E$9)</f>
        <v>6.5355999999999996</v>
      </c>
      <c r="G328" s="11">
        <f>6.5392 * CHOOSE(CONTROL!$C$32, $C$9, 100%, $E$9)</f>
        <v>6.5392000000000001</v>
      </c>
      <c r="H328" s="11">
        <f>10.6586 * CHOOSE(CONTROL!$C$32, $C$9, 100%, $E$9)</f>
        <v>10.6586</v>
      </c>
      <c r="I328" s="11">
        <f>10.6622 * CHOOSE(CONTROL!$C$32, $C$9, 100%, $E$9)</f>
        <v>10.6622</v>
      </c>
      <c r="J328" s="11">
        <f>10.6586 * CHOOSE(CONTROL!$C$32, $C$9, 100%, $E$9)</f>
        <v>10.6586</v>
      </c>
      <c r="K328" s="11">
        <f>10.6622 * CHOOSE(CONTROL!$C$32, $C$9, 100%, $E$9)</f>
        <v>10.6622</v>
      </c>
      <c r="L328" s="11">
        <f>6.5356 * CHOOSE(CONTROL!$C$32, $C$9, 100%, $E$9)</f>
        <v>6.5355999999999996</v>
      </c>
      <c r="M328" s="11">
        <f>6.5392 * CHOOSE(CONTROL!$C$32, $C$9, 100%, $E$9)</f>
        <v>6.5392000000000001</v>
      </c>
      <c r="N328" s="11">
        <f>6.5356 * CHOOSE(CONTROL!$C$32, $C$9, 100%, $E$9)</f>
        <v>6.5355999999999996</v>
      </c>
      <c r="O328" s="11">
        <f>6.5392 * CHOOSE(CONTROL!$C$32, $C$9, 100%, $E$9)</f>
        <v>6.5392000000000001</v>
      </c>
    </row>
    <row r="329" spans="1:15" ht="15" x14ac:dyDescent="0.2">
      <c r="A329" s="13">
        <v>50861</v>
      </c>
      <c r="B329" s="9">
        <f>5.1502 * CHOOSE(CONTROL!$C$32, $C$9, 100%, $E$9)</f>
        <v>5.1501999999999999</v>
      </c>
      <c r="C329" s="9">
        <f>5.1502 * CHOOSE(CONTROL!$C$32, $C$9, 100%, $E$9)</f>
        <v>5.1501999999999999</v>
      </c>
      <c r="D329" s="9">
        <f>5.1512 * CHOOSE(CONTROL!$C$32, $C$9, 100%, $E$9)</f>
        <v>5.1512000000000002</v>
      </c>
      <c r="E329" s="11">
        <f>6.6256 * CHOOSE(CONTROL!$C$32, $C$9, 100%, $E$9)</f>
        <v>6.6256000000000004</v>
      </c>
      <c r="F329" s="11">
        <f>6.6256 * CHOOSE(CONTROL!$C$32, $C$9, 100%, $E$9)</f>
        <v>6.6256000000000004</v>
      </c>
      <c r="G329" s="11">
        <f>6.6292 * CHOOSE(CONTROL!$C$32, $C$9, 100%, $E$9)</f>
        <v>6.6292</v>
      </c>
      <c r="H329" s="11">
        <f>10.6808 * CHOOSE(CONTROL!$C$32, $C$9, 100%, $E$9)</f>
        <v>10.6808</v>
      </c>
      <c r="I329" s="11">
        <f>10.6844 * CHOOSE(CONTROL!$C$32, $C$9, 100%, $E$9)</f>
        <v>10.6844</v>
      </c>
      <c r="J329" s="11">
        <f>10.6808 * CHOOSE(CONTROL!$C$32, $C$9, 100%, $E$9)</f>
        <v>10.6808</v>
      </c>
      <c r="K329" s="11">
        <f>10.6844 * CHOOSE(CONTROL!$C$32, $C$9, 100%, $E$9)</f>
        <v>10.6844</v>
      </c>
      <c r="L329" s="11">
        <f>6.6256 * CHOOSE(CONTROL!$C$32, $C$9, 100%, $E$9)</f>
        <v>6.6256000000000004</v>
      </c>
      <c r="M329" s="11">
        <f>6.6292 * CHOOSE(CONTROL!$C$32, $C$9, 100%, $E$9)</f>
        <v>6.6292</v>
      </c>
      <c r="N329" s="11">
        <f>6.6256 * CHOOSE(CONTROL!$C$32, $C$9, 100%, $E$9)</f>
        <v>6.6256000000000004</v>
      </c>
      <c r="O329" s="11">
        <f>6.6292 * CHOOSE(CONTROL!$C$32, $C$9, 100%, $E$9)</f>
        <v>6.6292</v>
      </c>
    </row>
    <row r="330" spans="1:15" ht="15" x14ac:dyDescent="0.2">
      <c r="A330" s="13">
        <v>50891</v>
      </c>
      <c r="B330" s="9">
        <f>5.1502 * CHOOSE(CONTROL!$C$32, $C$9, 100%, $E$9)</f>
        <v>5.1501999999999999</v>
      </c>
      <c r="C330" s="9">
        <f>5.1502 * CHOOSE(CONTROL!$C$32, $C$9, 100%, $E$9)</f>
        <v>5.1501999999999999</v>
      </c>
      <c r="D330" s="9">
        <f>5.1517 * CHOOSE(CONTROL!$C$32, $C$9, 100%, $E$9)</f>
        <v>5.1516999999999999</v>
      </c>
      <c r="E330" s="11">
        <f>6.661 * CHOOSE(CONTROL!$C$32, $C$9, 100%, $E$9)</f>
        <v>6.6609999999999996</v>
      </c>
      <c r="F330" s="11">
        <f>6.661 * CHOOSE(CONTROL!$C$32, $C$9, 100%, $E$9)</f>
        <v>6.6609999999999996</v>
      </c>
      <c r="G330" s="11">
        <f>6.6663 * CHOOSE(CONTROL!$C$32, $C$9, 100%, $E$9)</f>
        <v>6.6662999999999997</v>
      </c>
      <c r="H330" s="11">
        <f>10.703 * CHOOSE(CONTROL!$C$32, $C$9, 100%, $E$9)</f>
        <v>10.702999999999999</v>
      </c>
      <c r="I330" s="11">
        <f>10.7083 * CHOOSE(CONTROL!$C$32, $C$9, 100%, $E$9)</f>
        <v>10.708299999999999</v>
      </c>
      <c r="J330" s="11">
        <f>10.703 * CHOOSE(CONTROL!$C$32, $C$9, 100%, $E$9)</f>
        <v>10.702999999999999</v>
      </c>
      <c r="K330" s="11">
        <f>10.7083 * CHOOSE(CONTROL!$C$32, $C$9, 100%, $E$9)</f>
        <v>10.708299999999999</v>
      </c>
      <c r="L330" s="11">
        <f>6.661 * CHOOSE(CONTROL!$C$32, $C$9, 100%, $E$9)</f>
        <v>6.6609999999999996</v>
      </c>
      <c r="M330" s="11">
        <f>6.6663 * CHOOSE(CONTROL!$C$32, $C$9, 100%, $E$9)</f>
        <v>6.6662999999999997</v>
      </c>
      <c r="N330" s="11">
        <f>6.661 * CHOOSE(CONTROL!$C$32, $C$9, 100%, $E$9)</f>
        <v>6.6609999999999996</v>
      </c>
      <c r="O330" s="11">
        <f>6.6663 * CHOOSE(CONTROL!$C$32, $C$9, 100%, $E$9)</f>
        <v>6.6662999999999997</v>
      </c>
    </row>
    <row r="331" spans="1:15" ht="15" x14ac:dyDescent="0.2">
      <c r="A331" s="13">
        <v>50922</v>
      </c>
      <c r="B331" s="9">
        <f>5.1562 * CHOOSE(CONTROL!$C$32, $C$9, 100%, $E$9)</f>
        <v>5.1562000000000001</v>
      </c>
      <c r="C331" s="9">
        <f>5.1562 * CHOOSE(CONTROL!$C$32, $C$9, 100%, $E$9)</f>
        <v>5.1562000000000001</v>
      </c>
      <c r="D331" s="9">
        <f>5.1578 * CHOOSE(CONTROL!$C$32, $C$9, 100%, $E$9)</f>
        <v>5.1577999999999999</v>
      </c>
      <c r="E331" s="11">
        <f>6.6299 * CHOOSE(CONTROL!$C$32, $C$9, 100%, $E$9)</f>
        <v>6.6299000000000001</v>
      </c>
      <c r="F331" s="11">
        <f>6.6299 * CHOOSE(CONTROL!$C$32, $C$9, 100%, $E$9)</f>
        <v>6.6299000000000001</v>
      </c>
      <c r="G331" s="11">
        <f>6.6352 * CHOOSE(CONTROL!$C$32, $C$9, 100%, $E$9)</f>
        <v>6.6352000000000002</v>
      </c>
      <c r="H331" s="11">
        <f>10.7253 * CHOOSE(CONTROL!$C$32, $C$9, 100%, $E$9)</f>
        <v>10.725300000000001</v>
      </c>
      <c r="I331" s="11">
        <f>10.7306 * CHOOSE(CONTROL!$C$32, $C$9, 100%, $E$9)</f>
        <v>10.730600000000001</v>
      </c>
      <c r="J331" s="11">
        <f>10.7253 * CHOOSE(CONTROL!$C$32, $C$9, 100%, $E$9)</f>
        <v>10.725300000000001</v>
      </c>
      <c r="K331" s="11">
        <f>10.7306 * CHOOSE(CONTROL!$C$32, $C$9, 100%, $E$9)</f>
        <v>10.730600000000001</v>
      </c>
      <c r="L331" s="11">
        <f>6.6299 * CHOOSE(CONTROL!$C$32, $C$9, 100%, $E$9)</f>
        <v>6.6299000000000001</v>
      </c>
      <c r="M331" s="11">
        <f>6.6352 * CHOOSE(CONTROL!$C$32, $C$9, 100%, $E$9)</f>
        <v>6.6352000000000002</v>
      </c>
      <c r="N331" s="11">
        <f>6.6299 * CHOOSE(CONTROL!$C$32, $C$9, 100%, $E$9)</f>
        <v>6.6299000000000001</v>
      </c>
      <c r="O331" s="11">
        <f>6.6352 * CHOOSE(CONTROL!$C$32, $C$9, 100%, $E$9)</f>
        <v>6.6352000000000002</v>
      </c>
    </row>
    <row r="332" spans="1:15" ht="15" x14ac:dyDescent="0.2">
      <c r="A332" s="13">
        <v>50952</v>
      </c>
      <c r="B332" s="9">
        <f>5.2245 * CHOOSE(CONTROL!$C$32, $C$9, 100%, $E$9)</f>
        <v>5.2244999999999999</v>
      </c>
      <c r="C332" s="9">
        <f>5.2245 * CHOOSE(CONTROL!$C$32, $C$9, 100%, $E$9)</f>
        <v>5.2244999999999999</v>
      </c>
      <c r="D332" s="9">
        <f>5.226 * CHOOSE(CONTROL!$C$32, $C$9, 100%, $E$9)</f>
        <v>5.226</v>
      </c>
      <c r="E332" s="11">
        <f>6.6597 * CHOOSE(CONTROL!$C$32, $C$9, 100%, $E$9)</f>
        <v>6.6597</v>
      </c>
      <c r="F332" s="11">
        <f>6.6597 * CHOOSE(CONTROL!$C$32, $C$9, 100%, $E$9)</f>
        <v>6.6597</v>
      </c>
      <c r="G332" s="11">
        <f>6.665 * CHOOSE(CONTROL!$C$32, $C$9, 100%, $E$9)</f>
        <v>6.665</v>
      </c>
      <c r="H332" s="11">
        <f>10.7477 * CHOOSE(CONTROL!$C$32, $C$9, 100%, $E$9)</f>
        <v>10.7477</v>
      </c>
      <c r="I332" s="11">
        <f>10.753 * CHOOSE(CONTROL!$C$32, $C$9, 100%, $E$9)</f>
        <v>10.753</v>
      </c>
      <c r="J332" s="11">
        <f>10.7477 * CHOOSE(CONTROL!$C$32, $C$9, 100%, $E$9)</f>
        <v>10.7477</v>
      </c>
      <c r="K332" s="11">
        <f>10.753 * CHOOSE(CONTROL!$C$32, $C$9, 100%, $E$9)</f>
        <v>10.753</v>
      </c>
      <c r="L332" s="11">
        <f>6.6597 * CHOOSE(CONTROL!$C$32, $C$9, 100%, $E$9)</f>
        <v>6.6597</v>
      </c>
      <c r="M332" s="11">
        <f>6.665 * CHOOSE(CONTROL!$C$32, $C$9, 100%, $E$9)</f>
        <v>6.665</v>
      </c>
      <c r="N332" s="11">
        <f>6.6597 * CHOOSE(CONTROL!$C$32, $C$9, 100%, $E$9)</f>
        <v>6.6597</v>
      </c>
      <c r="O332" s="11">
        <f>6.665 * CHOOSE(CONTROL!$C$32, $C$9, 100%, $E$9)</f>
        <v>6.665</v>
      </c>
    </row>
    <row r="333" spans="1:15" ht="15" x14ac:dyDescent="0.2">
      <c r="A333" s="13">
        <v>50983</v>
      </c>
      <c r="B333" s="9">
        <f>5.2312 * CHOOSE(CONTROL!$C$32, $C$9, 100%, $E$9)</f>
        <v>5.2312000000000003</v>
      </c>
      <c r="C333" s="9">
        <f>5.2312 * CHOOSE(CONTROL!$C$32, $C$9, 100%, $E$9)</f>
        <v>5.2312000000000003</v>
      </c>
      <c r="D333" s="9">
        <f>5.2327 * CHOOSE(CONTROL!$C$32, $C$9, 100%, $E$9)</f>
        <v>5.2327000000000004</v>
      </c>
      <c r="E333" s="11">
        <f>6.5583 * CHOOSE(CONTROL!$C$32, $C$9, 100%, $E$9)</f>
        <v>6.5583</v>
      </c>
      <c r="F333" s="11">
        <f>6.5583 * CHOOSE(CONTROL!$C$32, $C$9, 100%, $E$9)</f>
        <v>6.5583</v>
      </c>
      <c r="G333" s="11">
        <f>6.5635 * CHOOSE(CONTROL!$C$32, $C$9, 100%, $E$9)</f>
        <v>6.5635000000000003</v>
      </c>
      <c r="H333" s="11">
        <f>10.7701 * CHOOSE(CONTROL!$C$32, $C$9, 100%, $E$9)</f>
        <v>10.770099999999999</v>
      </c>
      <c r="I333" s="11">
        <f>10.7754 * CHOOSE(CONTROL!$C$32, $C$9, 100%, $E$9)</f>
        <v>10.775399999999999</v>
      </c>
      <c r="J333" s="11">
        <f>10.7701 * CHOOSE(CONTROL!$C$32, $C$9, 100%, $E$9)</f>
        <v>10.770099999999999</v>
      </c>
      <c r="K333" s="11">
        <f>10.7754 * CHOOSE(CONTROL!$C$32, $C$9, 100%, $E$9)</f>
        <v>10.775399999999999</v>
      </c>
      <c r="L333" s="11">
        <f>6.5583 * CHOOSE(CONTROL!$C$32, $C$9, 100%, $E$9)</f>
        <v>6.5583</v>
      </c>
      <c r="M333" s="11">
        <f>6.5635 * CHOOSE(CONTROL!$C$32, $C$9, 100%, $E$9)</f>
        <v>6.5635000000000003</v>
      </c>
      <c r="N333" s="11">
        <f>6.5583 * CHOOSE(CONTROL!$C$32, $C$9, 100%, $E$9)</f>
        <v>6.5583</v>
      </c>
      <c r="O333" s="11">
        <f>6.5635 * CHOOSE(CONTROL!$C$32, $C$9, 100%, $E$9)</f>
        <v>6.5635000000000003</v>
      </c>
    </row>
    <row r="334" spans="1:15" ht="15" x14ac:dyDescent="0.2">
      <c r="A334" s="13">
        <v>51014</v>
      </c>
      <c r="B334" s="9">
        <f>5.2281 * CHOOSE(CONTROL!$C$32, $C$9, 100%, $E$9)</f>
        <v>5.2281000000000004</v>
      </c>
      <c r="C334" s="9">
        <f>5.2281 * CHOOSE(CONTROL!$C$32, $C$9, 100%, $E$9)</f>
        <v>5.2281000000000004</v>
      </c>
      <c r="D334" s="9">
        <f>5.2297 * CHOOSE(CONTROL!$C$32, $C$9, 100%, $E$9)</f>
        <v>5.2297000000000002</v>
      </c>
      <c r="E334" s="11">
        <f>6.5443 * CHOOSE(CONTROL!$C$32, $C$9, 100%, $E$9)</f>
        <v>6.5442999999999998</v>
      </c>
      <c r="F334" s="11">
        <f>6.5443 * CHOOSE(CONTROL!$C$32, $C$9, 100%, $E$9)</f>
        <v>6.5442999999999998</v>
      </c>
      <c r="G334" s="11">
        <f>6.5496 * CHOOSE(CONTROL!$C$32, $C$9, 100%, $E$9)</f>
        <v>6.5495999999999999</v>
      </c>
      <c r="H334" s="11">
        <f>10.7925 * CHOOSE(CONTROL!$C$32, $C$9, 100%, $E$9)</f>
        <v>10.7925</v>
      </c>
      <c r="I334" s="11">
        <f>10.7978 * CHOOSE(CONTROL!$C$32, $C$9, 100%, $E$9)</f>
        <v>10.797800000000001</v>
      </c>
      <c r="J334" s="11">
        <f>10.7925 * CHOOSE(CONTROL!$C$32, $C$9, 100%, $E$9)</f>
        <v>10.7925</v>
      </c>
      <c r="K334" s="11">
        <f>10.7978 * CHOOSE(CONTROL!$C$32, $C$9, 100%, $E$9)</f>
        <v>10.797800000000001</v>
      </c>
      <c r="L334" s="11">
        <f>6.5443 * CHOOSE(CONTROL!$C$32, $C$9, 100%, $E$9)</f>
        <v>6.5442999999999998</v>
      </c>
      <c r="M334" s="11">
        <f>6.5496 * CHOOSE(CONTROL!$C$32, $C$9, 100%, $E$9)</f>
        <v>6.5495999999999999</v>
      </c>
      <c r="N334" s="11">
        <f>6.5443 * CHOOSE(CONTROL!$C$32, $C$9, 100%, $E$9)</f>
        <v>6.5442999999999998</v>
      </c>
      <c r="O334" s="11">
        <f>6.5496 * CHOOSE(CONTROL!$C$32, $C$9, 100%, $E$9)</f>
        <v>6.5495999999999999</v>
      </c>
    </row>
    <row r="335" spans="1:15" ht="15" x14ac:dyDescent="0.2">
      <c r="A335" s="13">
        <v>51044</v>
      </c>
      <c r="B335" s="9">
        <f>5.2277 * CHOOSE(CONTROL!$C$32, $C$9, 100%, $E$9)</f>
        <v>5.2276999999999996</v>
      </c>
      <c r="C335" s="9">
        <f>5.2277 * CHOOSE(CONTROL!$C$32, $C$9, 100%, $E$9)</f>
        <v>5.2276999999999996</v>
      </c>
      <c r="D335" s="9">
        <f>5.2288 * CHOOSE(CONTROL!$C$32, $C$9, 100%, $E$9)</f>
        <v>5.2287999999999997</v>
      </c>
      <c r="E335" s="11">
        <f>6.5781 * CHOOSE(CONTROL!$C$32, $C$9, 100%, $E$9)</f>
        <v>6.5781000000000001</v>
      </c>
      <c r="F335" s="11">
        <f>6.5781 * CHOOSE(CONTROL!$C$32, $C$9, 100%, $E$9)</f>
        <v>6.5781000000000001</v>
      </c>
      <c r="G335" s="11">
        <f>6.5817 * CHOOSE(CONTROL!$C$32, $C$9, 100%, $E$9)</f>
        <v>6.5816999999999997</v>
      </c>
      <c r="H335" s="11">
        <f>10.815 * CHOOSE(CONTROL!$C$32, $C$9, 100%, $E$9)</f>
        <v>10.815</v>
      </c>
      <c r="I335" s="11">
        <f>10.8186 * CHOOSE(CONTROL!$C$32, $C$9, 100%, $E$9)</f>
        <v>10.8186</v>
      </c>
      <c r="J335" s="11">
        <f>10.815 * CHOOSE(CONTROL!$C$32, $C$9, 100%, $E$9)</f>
        <v>10.815</v>
      </c>
      <c r="K335" s="11">
        <f>10.8186 * CHOOSE(CONTROL!$C$32, $C$9, 100%, $E$9)</f>
        <v>10.8186</v>
      </c>
      <c r="L335" s="11">
        <f>6.5781 * CHOOSE(CONTROL!$C$32, $C$9, 100%, $E$9)</f>
        <v>6.5781000000000001</v>
      </c>
      <c r="M335" s="11">
        <f>6.5817 * CHOOSE(CONTROL!$C$32, $C$9, 100%, $E$9)</f>
        <v>6.5816999999999997</v>
      </c>
      <c r="N335" s="11">
        <f>6.5781 * CHOOSE(CONTROL!$C$32, $C$9, 100%, $E$9)</f>
        <v>6.5781000000000001</v>
      </c>
      <c r="O335" s="11">
        <f>6.5817 * CHOOSE(CONTROL!$C$32, $C$9, 100%, $E$9)</f>
        <v>6.5816999999999997</v>
      </c>
    </row>
    <row r="336" spans="1:15" ht="15" x14ac:dyDescent="0.2">
      <c r="A336" s="13">
        <v>51075</v>
      </c>
      <c r="B336" s="9">
        <f>5.2308 * CHOOSE(CONTROL!$C$32, $C$9, 100%, $E$9)</f>
        <v>5.2308000000000003</v>
      </c>
      <c r="C336" s="9">
        <f>5.2308 * CHOOSE(CONTROL!$C$32, $C$9, 100%, $E$9)</f>
        <v>5.2308000000000003</v>
      </c>
      <c r="D336" s="9">
        <f>5.2319 * CHOOSE(CONTROL!$C$32, $C$9, 100%, $E$9)</f>
        <v>5.2319000000000004</v>
      </c>
      <c r="E336" s="11">
        <f>6.6038 * CHOOSE(CONTROL!$C$32, $C$9, 100%, $E$9)</f>
        <v>6.6037999999999997</v>
      </c>
      <c r="F336" s="11">
        <f>6.6038 * CHOOSE(CONTROL!$C$32, $C$9, 100%, $E$9)</f>
        <v>6.6037999999999997</v>
      </c>
      <c r="G336" s="11">
        <f>6.6074 * CHOOSE(CONTROL!$C$32, $C$9, 100%, $E$9)</f>
        <v>6.6074000000000002</v>
      </c>
      <c r="H336" s="11">
        <f>10.8375 * CHOOSE(CONTROL!$C$32, $C$9, 100%, $E$9)</f>
        <v>10.8375</v>
      </c>
      <c r="I336" s="11">
        <f>10.8412 * CHOOSE(CONTROL!$C$32, $C$9, 100%, $E$9)</f>
        <v>10.841200000000001</v>
      </c>
      <c r="J336" s="11">
        <f>10.8375 * CHOOSE(CONTROL!$C$32, $C$9, 100%, $E$9)</f>
        <v>10.8375</v>
      </c>
      <c r="K336" s="11">
        <f>10.8412 * CHOOSE(CONTROL!$C$32, $C$9, 100%, $E$9)</f>
        <v>10.841200000000001</v>
      </c>
      <c r="L336" s="11">
        <f>6.6038 * CHOOSE(CONTROL!$C$32, $C$9, 100%, $E$9)</f>
        <v>6.6037999999999997</v>
      </c>
      <c r="M336" s="11">
        <f>6.6074 * CHOOSE(CONTROL!$C$32, $C$9, 100%, $E$9)</f>
        <v>6.6074000000000002</v>
      </c>
      <c r="N336" s="11">
        <f>6.6038 * CHOOSE(CONTROL!$C$32, $C$9, 100%, $E$9)</f>
        <v>6.6037999999999997</v>
      </c>
      <c r="O336" s="11">
        <f>6.6074 * CHOOSE(CONTROL!$C$32, $C$9, 100%, $E$9)</f>
        <v>6.6074000000000002</v>
      </c>
    </row>
    <row r="337" spans="1:15" ht="15" x14ac:dyDescent="0.2">
      <c r="A337" s="13">
        <v>51105</v>
      </c>
      <c r="B337" s="9">
        <f>5.2308 * CHOOSE(CONTROL!$C$32, $C$9, 100%, $E$9)</f>
        <v>5.2308000000000003</v>
      </c>
      <c r="C337" s="9">
        <f>5.2308 * CHOOSE(CONTROL!$C$32, $C$9, 100%, $E$9)</f>
        <v>5.2308000000000003</v>
      </c>
      <c r="D337" s="9">
        <f>5.2319 * CHOOSE(CONTROL!$C$32, $C$9, 100%, $E$9)</f>
        <v>5.2319000000000004</v>
      </c>
      <c r="E337" s="11">
        <f>6.5448 * CHOOSE(CONTROL!$C$32, $C$9, 100%, $E$9)</f>
        <v>6.5448000000000004</v>
      </c>
      <c r="F337" s="11">
        <f>6.5448 * CHOOSE(CONTROL!$C$32, $C$9, 100%, $E$9)</f>
        <v>6.5448000000000004</v>
      </c>
      <c r="G337" s="11">
        <f>6.5485 * CHOOSE(CONTROL!$C$32, $C$9, 100%, $E$9)</f>
        <v>6.5484999999999998</v>
      </c>
      <c r="H337" s="11">
        <f>10.8601 * CHOOSE(CONTROL!$C$32, $C$9, 100%, $E$9)</f>
        <v>10.860099999999999</v>
      </c>
      <c r="I337" s="11">
        <f>10.8637 * CHOOSE(CONTROL!$C$32, $C$9, 100%, $E$9)</f>
        <v>10.8637</v>
      </c>
      <c r="J337" s="11">
        <f>10.8601 * CHOOSE(CONTROL!$C$32, $C$9, 100%, $E$9)</f>
        <v>10.860099999999999</v>
      </c>
      <c r="K337" s="11">
        <f>10.8637 * CHOOSE(CONTROL!$C$32, $C$9, 100%, $E$9)</f>
        <v>10.8637</v>
      </c>
      <c r="L337" s="11">
        <f>6.5448 * CHOOSE(CONTROL!$C$32, $C$9, 100%, $E$9)</f>
        <v>6.5448000000000004</v>
      </c>
      <c r="M337" s="11">
        <f>6.5485 * CHOOSE(CONTROL!$C$32, $C$9, 100%, $E$9)</f>
        <v>6.5484999999999998</v>
      </c>
      <c r="N337" s="11">
        <f>6.5448 * CHOOSE(CONTROL!$C$32, $C$9, 100%, $E$9)</f>
        <v>6.5448000000000004</v>
      </c>
      <c r="O337" s="11">
        <f>6.5485 * CHOOSE(CONTROL!$C$32, $C$9, 100%, $E$9)</f>
        <v>6.5484999999999998</v>
      </c>
    </row>
    <row r="338" spans="1:15" ht="15" x14ac:dyDescent="0.2">
      <c r="A338" s="13">
        <v>51136</v>
      </c>
      <c r="B338" s="9">
        <f>5.2721 * CHOOSE(CONTROL!$C$32, $C$9, 100%, $E$9)</f>
        <v>5.2721</v>
      </c>
      <c r="C338" s="9">
        <f>5.2721 * CHOOSE(CONTROL!$C$32, $C$9, 100%, $E$9)</f>
        <v>5.2721</v>
      </c>
      <c r="D338" s="9">
        <f>5.2732 * CHOOSE(CONTROL!$C$32, $C$9, 100%, $E$9)</f>
        <v>5.2732000000000001</v>
      </c>
      <c r="E338" s="11">
        <f>6.6042 * CHOOSE(CONTROL!$C$32, $C$9, 100%, $E$9)</f>
        <v>6.6041999999999996</v>
      </c>
      <c r="F338" s="11">
        <f>6.6042 * CHOOSE(CONTROL!$C$32, $C$9, 100%, $E$9)</f>
        <v>6.6041999999999996</v>
      </c>
      <c r="G338" s="11">
        <f>6.6078 * CHOOSE(CONTROL!$C$32, $C$9, 100%, $E$9)</f>
        <v>6.6078000000000001</v>
      </c>
      <c r="H338" s="11">
        <f>10.8827 * CHOOSE(CONTROL!$C$32, $C$9, 100%, $E$9)</f>
        <v>10.8827</v>
      </c>
      <c r="I338" s="11">
        <f>10.8864 * CHOOSE(CONTROL!$C$32, $C$9, 100%, $E$9)</f>
        <v>10.8864</v>
      </c>
      <c r="J338" s="11">
        <f>10.8827 * CHOOSE(CONTROL!$C$32, $C$9, 100%, $E$9)</f>
        <v>10.8827</v>
      </c>
      <c r="K338" s="11">
        <f>10.8864 * CHOOSE(CONTROL!$C$32, $C$9, 100%, $E$9)</f>
        <v>10.8864</v>
      </c>
      <c r="L338" s="11">
        <f>6.6042 * CHOOSE(CONTROL!$C$32, $C$9, 100%, $E$9)</f>
        <v>6.6041999999999996</v>
      </c>
      <c r="M338" s="11">
        <f>6.6078 * CHOOSE(CONTROL!$C$32, $C$9, 100%, $E$9)</f>
        <v>6.6078000000000001</v>
      </c>
      <c r="N338" s="11">
        <f>6.6042 * CHOOSE(CONTROL!$C$32, $C$9, 100%, $E$9)</f>
        <v>6.6041999999999996</v>
      </c>
      <c r="O338" s="11">
        <f>6.6078 * CHOOSE(CONTROL!$C$32, $C$9, 100%, $E$9)</f>
        <v>6.6078000000000001</v>
      </c>
    </row>
    <row r="339" spans="1:15" ht="15" x14ac:dyDescent="0.2">
      <c r="A339" s="13">
        <v>51167</v>
      </c>
      <c r="B339" s="9">
        <f>5.2691 * CHOOSE(CONTROL!$C$32, $C$9, 100%, $E$9)</f>
        <v>5.2690999999999999</v>
      </c>
      <c r="C339" s="9">
        <f>5.2691 * CHOOSE(CONTROL!$C$32, $C$9, 100%, $E$9)</f>
        <v>5.2690999999999999</v>
      </c>
      <c r="D339" s="9">
        <f>5.2702 * CHOOSE(CONTROL!$C$32, $C$9, 100%, $E$9)</f>
        <v>5.2702</v>
      </c>
      <c r="E339" s="11">
        <f>6.487 * CHOOSE(CONTROL!$C$32, $C$9, 100%, $E$9)</f>
        <v>6.4870000000000001</v>
      </c>
      <c r="F339" s="11">
        <f>6.487 * CHOOSE(CONTROL!$C$32, $C$9, 100%, $E$9)</f>
        <v>6.4870000000000001</v>
      </c>
      <c r="G339" s="11">
        <f>6.4906 * CHOOSE(CONTROL!$C$32, $C$9, 100%, $E$9)</f>
        <v>6.4905999999999997</v>
      </c>
      <c r="H339" s="11">
        <f>10.9054 * CHOOSE(CONTROL!$C$32, $C$9, 100%, $E$9)</f>
        <v>10.9054</v>
      </c>
      <c r="I339" s="11">
        <f>10.909 * CHOOSE(CONTROL!$C$32, $C$9, 100%, $E$9)</f>
        <v>10.909000000000001</v>
      </c>
      <c r="J339" s="11">
        <f>10.9054 * CHOOSE(CONTROL!$C$32, $C$9, 100%, $E$9)</f>
        <v>10.9054</v>
      </c>
      <c r="K339" s="11">
        <f>10.909 * CHOOSE(CONTROL!$C$32, $C$9, 100%, $E$9)</f>
        <v>10.909000000000001</v>
      </c>
      <c r="L339" s="11">
        <f>6.487 * CHOOSE(CONTROL!$C$32, $C$9, 100%, $E$9)</f>
        <v>6.4870000000000001</v>
      </c>
      <c r="M339" s="11">
        <f>6.4906 * CHOOSE(CONTROL!$C$32, $C$9, 100%, $E$9)</f>
        <v>6.4905999999999997</v>
      </c>
      <c r="N339" s="11">
        <f>6.487 * CHOOSE(CONTROL!$C$32, $C$9, 100%, $E$9)</f>
        <v>6.4870000000000001</v>
      </c>
      <c r="O339" s="11">
        <f>6.4906 * CHOOSE(CONTROL!$C$32, $C$9, 100%, $E$9)</f>
        <v>6.4905999999999997</v>
      </c>
    </row>
    <row r="340" spans="1:15" ht="15" x14ac:dyDescent="0.2">
      <c r="A340" s="13">
        <v>51196</v>
      </c>
      <c r="B340" s="9">
        <f>5.266 * CHOOSE(CONTROL!$C$32, $C$9, 100%, $E$9)</f>
        <v>5.266</v>
      </c>
      <c r="C340" s="9">
        <f>5.266 * CHOOSE(CONTROL!$C$32, $C$9, 100%, $E$9)</f>
        <v>5.266</v>
      </c>
      <c r="D340" s="9">
        <f>5.2671 * CHOOSE(CONTROL!$C$32, $C$9, 100%, $E$9)</f>
        <v>5.2671000000000001</v>
      </c>
      <c r="E340" s="11">
        <f>6.5756 * CHOOSE(CONTROL!$C$32, $C$9, 100%, $E$9)</f>
        <v>6.5755999999999997</v>
      </c>
      <c r="F340" s="11">
        <f>6.5756 * CHOOSE(CONTROL!$C$32, $C$9, 100%, $E$9)</f>
        <v>6.5755999999999997</v>
      </c>
      <c r="G340" s="11">
        <f>6.5792 * CHOOSE(CONTROL!$C$32, $C$9, 100%, $E$9)</f>
        <v>6.5792000000000002</v>
      </c>
      <c r="H340" s="11">
        <f>10.9281 * CHOOSE(CONTROL!$C$32, $C$9, 100%, $E$9)</f>
        <v>10.928100000000001</v>
      </c>
      <c r="I340" s="11">
        <f>10.9317 * CHOOSE(CONTROL!$C$32, $C$9, 100%, $E$9)</f>
        <v>10.931699999999999</v>
      </c>
      <c r="J340" s="11">
        <f>10.9281 * CHOOSE(CONTROL!$C$32, $C$9, 100%, $E$9)</f>
        <v>10.928100000000001</v>
      </c>
      <c r="K340" s="11">
        <f>10.9317 * CHOOSE(CONTROL!$C$32, $C$9, 100%, $E$9)</f>
        <v>10.931699999999999</v>
      </c>
      <c r="L340" s="11">
        <f>6.5756 * CHOOSE(CONTROL!$C$32, $C$9, 100%, $E$9)</f>
        <v>6.5755999999999997</v>
      </c>
      <c r="M340" s="11">
        <f>6.5792 * CHOOSE(CONTROL!$C$32, $C$9, 100%, $E$9)</f>
        <v>6.5792000000000002</v>
      </c>
      <c r="N340" s="11">
        <f>6.5756 * CHOOSE(CONTROL!$C$32, $C$9, 100%, $E$9)</f>
        <v>6.5755999999999997</v>
      </c>
      <c r="O340" s="11">
        <f>6.5792 * CHOOSE(CONTROL!$C$32, $C$9, 100%, $E$9)</f>
        <v>6.5792000000000002</v>
      </c>
    </row>
    <row r="341" spans="1:15" ht="15" x14ac:dyDescent="0.2">
      <c r="A341" s="13">
        <v>51227</v>
      </c>
      <c r="B341" s="9">
        <f>5.2649 * CHOOSE(CONTROL!$C$32, $C$9, 100%, $E$9)</f>
        <v>5.2648999999999999</v>
      </c>
      <c r="C341" s="9">
        <f>5.2649 * CHOOSE(CONTROL!$C$32, $C$9, 100%, $E$9)</f>
        <v>5.2648999999999999</v>
      </c>
      <c r="D341" s="9">
        <f>5.266 * CHOOSE(CONTROL!$C$32, $C$9, 100%, $E$9)</f>
        <v>5.266</v>
      </c>
      <c r="E341" s="11">
        <f>6.6687 * CHOOSE(CONTROL!$C$32, $C$9, 100%, $E$9)</f>
        <v>6.6687000000000003</v>
      </c>
      <c r="F341" s="11">
        <f>6.6687 * CHOOSE(CONTROL!$C$32, $C$9, 100%, $E$9)</f>
        <v>6.6687000000000003</v>
      </c>
      <c r="G341" s="11">
        <f>6.6723 * CHOOSE(CONTROL!$C$32, $C$9, 100%, $E$9)</f>
        <v>6.6722999999999999</v>
      </c>
      <c r="H341" s="11">
        <f>10.9509 * CHOOSE(CONTROL!$C$32, $C$9, 100%, $E$9)</f>
        <v>10.950900000000001</v>
      </c>
      <c r="I341" s="11">
        <f>10.9545 * CHOOSE(CONTROL!$C$32, $C$9, 100%, $E$9)</f>
        <v>10.954499999999999</v>
      </c>
      <c r="J341" s="11">
        <f>10.9509 * CHOOSE(CONTROL!$C$32, $C$9, 100%, $E$9)</f>
        <v>10.950900000000001</v>
      </c>
      <c r="K341" s="11">
        <f>10.9545 * CHOOSE(CONTROL!$C$32, $C$9, 100%, $E$9)</f>
        <v>10.954499999999999</v>
      </c>
      <c r="L341" s="11">
        <f>6.6687 * CHOOSE(CONTROL!$C$32, $C$9, 100%, $E$9)</f>
        <v>6.6687000000000003</v>
      </c>
      <c r="M341" s="11">
        <f>6.6723 * CHOOSE(CONTROL!$C$32, $C$9, 100%, $E$9)</f>
        <v>6.6722999999999999</v>
      </c>
      <c r="N341" s="11">
        <f>6.6687 * CHOOSE(CONTROL!$C$32, $C$9, 100%, $E$9)</f>
        <v>6.6687000000000003</v>
      </c>
      <c r="O341" s="11">
        <f>6.6723 * CHOOSE(CONTROL!$C$32, $C$9, 100%, $E$9)</f>
        <v>6.6722999999999999</v>
      </c>
    </row>
    <row r="342" spans="1:15" ht="15" x14ac:dyDescent="0.2">
      <c r="A342" s="13">
        <v>51257</v>
      </c>
      <c r="B342" s="9">
        <f>5.2649 * CHOOSE(CONTROL!$C$32, $C$9, 100%, $E$9)</f>
        <v>5.2648999999999999</v>
      </c>
      <c r="C342" s="9">
        <f>5.2649 * CHOOSE(CONTROL!$C$32, $C$9, 100%, $E$9)</f>
        <v>5.2648999999999999</v>
      </c>
      <c r="D342" s="9">
        <f>5.2665 * CHOOSE(CONTROL!$C$32, $C$9, 100%, $E$9)</f>
        <v>5.2664999999999997</v>
      </c>
      <c r="E342" s="11">
        <f>6.7052 * CHOOSE(CONTROL!$C$32, $C$9, 100%, $E$9)</f>
        <v>6.7051999999999996</v>
      </c>
      <c r="F342" s="11">
        <f>6.7052 * CHOOSE(CONTROL!$C$32, $C$9, 100%, $E$9)</f>
        <v>6.7051999999999996</v>
      </c>
      <c r="G342" s="11">
        <f>6.7105 * CHOOSE(CONTROL!$C$32, $C$9, 100%, $E$9)</f>
        <v>6.7104999999999997</v>
      </c>
      <c r="H342" s="11">
        <f>10.9737 * CHOOSE(CONTROL!$C$32, $C$9, 100%, $E$9)</f>
        <v>10.973699999999999</v>
      </c>
      <c r="I342" s="11">
        <f>10.979 * CHOOSE(CONTROL!$C$32, $C$9, 100%, $E$9)</f>
        <v>10.978999999999999</v>
      </c>
      <c r="J342" s="11">
        <f>10.9737 * CHOOSE(CONTROL!$C$32, $C$9, 100%, $E$9)</f>
        <v>10.973699999999999</v>
      </c>
      <c r="K342" s="11">
        <f>10.979 * CHOOSE(CONTROL!$C$32, $C$9, 100%, $E$9)</f>
        <v>10.978999999999999</v>
      </c>
      <c r="L342" s="11">
        <f>6.7052 * CHOOSE(CONTROL!$C$32, $C$9, 100%, $E$9)</f>
        <v>6.7051999999999996</v>
      </c>
      <c r="M342" s="11">
        <f>6.7105 * CHOOSE(CONTROL!$C$32, $C$9, 100%, $E$9)</f>
        <v>6.7104999999999997</v>
      </c>
      <c r="N342" s="11">
        <f>6.7052 * CHOOSE(CONTROL!$C$32, $C$9, 100%, $E$9)</f>
        <v>6.7051999999999996</v>
      </c>
      <c r="O342" s="11">
        <f>6.7105 * CHOOSE(CONTROL!$C$32, $C$9, 100%, $E$9)</f>
        <v>6.7104999999999997</v>
      </c>
    </row>
    <row r="343" spans="1:15" ht="15" x14ac:dyDescent="0.2">
      <c r="A343" s="13">
        <v>51288</v>
      </c>
      <c r="B343" s="9">
        <f>5.271 * CHOOSE(CONTROL!$C$32, $C$9, 100%, $E$9)</f>
        <v>5.2709999999999999</v>
      </c>
      <c r="C343" s="9">
        <f>5.271 * CHOOSE(CONTROL!$C$32, $C$9, 100%, $E$9)</f>
        <v>5.2709999999999999</v>
      </c>
      <c r="D343" s="9">
        <f>5.2726 * CHOOSE(CONTROL!$C$32, $C$9, 100%, $E$9)</f>
        <v>5.2725999999999997</v>
      </c>
      <c r="E343" s="11">
        <f>6.673 * CHOOSE(CONTROL!$C$32, $C$9, 100%, $E$9)</f>
        <v>6.673</v>
      </c>
      <c r="F343" s="11">
        <f>6.673 * CHOOSE(CONTROL!$C$32, $C$9, 100%, $E$9)</f>
        <v>6.673</v>
      </c>
      <c r="G343" s="11">
        <f>6.6782 * CHOOSE(CONTROL!$C$32, $C$9, 100%, $E$9)</f>
        <v>6.6782000000000004</v>
      </c>
      <c r="H343" s="11">
        <f>10.9966 * CHOOSE(CONTROL!$C$32, $C$9, 100%, $E$9)</f>
        <v>10.996600000000001</v>
      </c>
      <c r="I343" s="11">
        <f>11.0019 * CHOOSE(CONTROL!$C$32, $C$9, 100%, $E$9)</f>
        <v>11.001899999999999</v>
      </c>
      <c r="J343" s="11">
        <f>10.9966 * CHOOSE(CONTROL!$C$32, $C$9, 100%, $E$9)</f>
        <v>10.996600000000001</v>
      </c>
      <c r="K343" s="11">
        <f>11.0019 * CHOOSE(CONTROL!$C$32, $C$9, 100%, $E$9)</f>
        <v>11.001899999999999</v>
      </c>
      <c r="L343" s="11">
        <f>6.673 * CHOOSE(CONTROL!$C$32, $C$9, 100%, $E$9)</f>
        <v>6.673</v>
      </c>
      <c r="M343" s="11">
        <f>6.6782 * CHOOSE(CONTROL!$C$32, $C$9, 100%, $E$9)</f>
        <v>6.6782000000000004</v>
      </c>
      <c r="N343" s="11">
        <f>6.673 * CHOOSE(CONTROL!$C$32, $C$9, 100%, $E$9)</f>
        <v>6.673</v>
      </c>
      <c r="O343" s="11">
        <f>6.6782 * CHOOSE(CONTROL!$C$32, $C$9, 100%, $E$9)</f>
        <v>6.6782000000000004</v>
      </c>
    </row>
    <row r="344" spans="1:15" ht="15" x14ac:dyDescent="0.2">
      <c r="A344" s="13">
        <v>51318</v>
      </c>
      <c r="B344" s="9">
        <f>5.345 * CHOOSE(CONTROL!$C$32, $C$9, 100%, $E$9)</f>
        <v>5.3449999999999998</v>
      </c>
      <c r="C344" s="9">
        <f>5.345 * CHOOSE(CONTROL!$C$32, $C$9, 100%, $E$9)</f>
        <v>5.3449999999999998</v>
      </c>
      <c r="D344" s="9">
        <f>5.3466 * CHOOSE(CONTROL!$C$32, $C$9, 100%, $E$9)</f>
        <v>5.3465999999999996</v>
      </c>
      <c r="E344" s="11">
        <f>6.6813 * CHOOSE(CONTROL!$C$32, $C$9, 100%, $E$9)</f>
        <v>6.6813000000000002</v>
      </c>
      <c r="F344" s="11">
        <f>6.6813 * CHOOSE(CONTROL!$C$32, $C$9, 100%, $E$9)</f>
        <v>6.6813000000000002</v>
      </c>
      <c r="G344" s="11">
        <f>6.6866 * CHOOSE(CONTROL!$C$32, $C$9, 100%, $E$9)</f>
        <v>6.6866000000000003</v>
      </c>
      <c r="H344" s="11">
        <f>11.0195 * CHOOSE(CONTROL!$C$32, $C$9, 100%, $E$9)</f>
        <v>11.019500000000001</v>
      </c>
      <c r="I344" s="11">
        <f>11.0248 * CHOOSE(CONTROL!$C$32, $C$9, 100%, $E$9)</f>
        <v>11.024800000000001</v>
      </c>
      <c r="J344" s="11">
        <f>11.0195 * CHOOSE(CONTROL!$C$32, $C$9, 100%, $E$9)</f>
        <v>11.019500000000001</v>
      </c>
      <c r="K344" s="11">
        <f>11.0248 * CHOOSE(CONTROL!$C$32, $C$9, 100%, $E$9)</f>
        <v>11.024800000000001</v>
      </c>
      <c r="L344" s="11">
        <f>6.6813 * CHOOSE(CONTROL!$C$32, $C$9, 100%, $E$9)</f>
        <v>6.6813000000000002</v>
      </c>
      <c r="M344" s="11">
        <f>6.6866 * CHOOSE(CONTROL!$C$32, $C$9, 100%, $E$9)</f>
        <v>6.6866000000000003</v>
      </c>
      <c r="N344" s="11">
        <f>6.6813 * CHOOSE(CONTROL!$C$32, $C$9, 100%, $E$9)</f>
        <v>6.6813000000000002</v>
      </c>
      <c r="O344" s="11">
        <f>6.6866 * CHOOSE(CONTROL!$C$32, $C$9, 100%, $E$9)</f>
        <v>6.6866000000000003</v>
      </c>
    </row>
    <row r="345" spans="1:15" ht="15" x14ac:dyDescent="0.2">
      <c r="A345" s="13">
        <v>51349</v>
      </c>
      <c r="B345" s="9">
        <f>5.3517 * CHOOSE(CONTROL!$C$32, $C$9, 100%, $E$9)</f>
        <v>5.3517000000000001</v>
      </c>
      <c r="C345" s="9">
        <f>5.3517 * CHOOSE(CONTROL!$C$32, $C$9, 100%, $E$9)</f>
        <v>5.3517000000000001</v>
      </c>
      <c r="D345" s="9">
        <f>5.3533 * CHOOSE(CONTROL!$C$32, $C$9, 100%, $E$9)</f>
        <v>5.3532999999999999</v>
      </c>
      <c r="E345" s="11">
        <f>6.5764 * CHOOSE(CONTROL!$C$32, $C$9, 100%, $E$9)</f>
        <v>6.5763999999999996</v>
      </c>
      <c r="F345" s="11">
        <f>6.5764 * CHOOSE(CONTROL!$C$32, $C$9, 100%, $E$9)</f>
        <v>6.5763999999999996</v>
      </c>
      <c r="G345" s="11">
        <f>6.5817 * CHOOSE(CONTROL!$C$32, $C$9, 100%, $E$9)</f>
        <v>6.5816999999999997</v>
      </c>
      <c r="H345" s="11">
        <f>11.0424 * CHOOSE(CONTROL!$C$32, $C$9, 100%, $E$9)</f>
        <v>11.042400000000001</v>
      </c>
      <c r="I345" s="11">
        <f>11.0477 * CHOOSE(CONTROL!$C$32, $C$9, 100%, $E$9)</f>
        <v>11.047700000000001</v>
      </c>
      <c r="J345" s="11">
        <f>11.0424 * CHOOSE(CONTROL!$C$32, $C$9, 100%, $E$9)</f>
        <v>11.042400000000001</v>
      </c>
      <c r="K345" s="11">
        <f>11.0477 * CHOOSE(CONTROL!$C$32, $C$9, 100%, $E$9)</f>
        <v>11.047700000000001</v>
      </c>
      <c r="L345" s="11">
        <f>6.5764 * CHOOSE(CONTROL!$C$32, $C$9, 100%, $E$9)</f>
        <v>6.5763999999999996</v>
      </c>
      <c r="M345" s="11">
        <f>6.5817 * CHOOSE(CONTROL!$C$32, $C$9, 100%, $E$9)</f>
        <v>6.5816999999999997</v>
      </c>
      <c r="N345" s="11">
        <f>6.5764 * CHOOSE(CONTROL!$C$32, $C$9, 100%, $E$9)</f>
        <v>6.5763999999999996</v>
      </c>
      <c r="O345" s="11">
        <f>6.5817 * CHOOSE(CONTROL!$C$32, $C$9, 100%, $E$9)</f>
        <v>6.5816999999999997</v>
      </c>
    </row>
    <row r="346" spans="1:15" ht="15" x14ac:dyDescent="0.2">
      <c r="A346" s="13">
        <v>51380</v>
      </c>
      <c r="B346" s="9">
        <f>5.3487 * CHOOSE(CONTROL!$C$32, $C$9, 100%, $E$9)</f>
        <v>5.3487</v>
      </c>
      <c r="C346" s="9">
        <f>5.3487 * CHOOSE(CONTROL!$C$32, $C$9, 100%, $E$9)</f>
        <v>5.3487</v>
      </c>
      <c r="D346" s="9">
        <f>5.3502 * CHOOSE(CONTROL!$C$32, $C$9, 100%, $E$9)</f>
        <v>5.3502000000000001</v>
      </c>
      <c r="E346" s="11">
        <f>6.5621 * CHOOSE(CONTROL!$C$32, $C$9, 100%, $E$9)</f>
        <v>6.5621</v>
      </c>
      <c r="F346" s="11">
        <f>6.5621 * CHOOSE(CONTROL!$C$32, $C$9, 100%, $E$9)</f>
        <v>6.5621</v>
      </c>
      <c r="G346" s="11">
        <f>6.5674 * CHOOSE(CONTROL!$C$32, $C$9, 100%, $E$9)</f>
        <v>6.5674000000000001</v>
      </c>
      <c r="H346" s="11">
        <f>11.0654 * CHOOSE(CONTROL!$C$32, $C$9, 100%, $E$9)</f>
        <v>11.0654</v>
      </c>
      <c r="I346" s="11">
        <f>11.0707 * CHOOSE(CONTROL!$C$32, $C$9, 100%, $E$9)</f>
        <v>11.0707</v>
      </c>
      <c r="J346" s="11">
        <f>11.0654 * CHOOSE(CONTROL!$C$32, $C$9, 100%, $E$9)</f>
        <v>11.0654</v>
      </c>
      <c r="K346" s="11">
        <f>11.0707 * CHOOSE(CONTROL!$C$32, $C$9, 100%, $E$9)</f>
        <v>11.0707</v>
      </c>
      <c r="L346" s="11">
        <f>6.5621 * CHOOSE(CONTROL!$C$32, $C$9, 100%, $E$9)</f>
        <v>6.5621</v>
      </c>
      <c r="M346" s="11">
        <f>6.5674 * CHOOSE(CONTROL!$C$32, $C$9, 100%, $E$9)</f>
        <v>6.5674000000000001</v>
      </c>
      <c r="N346" s="11">
        <f>6.5621 * CHOOSE(CONTROL!$C$32, $C$9, 100%, $E$9)</f>
        <v>6.5621</v>
      </c>
      <c r="O346" s="11">
        <f>6.5674 * CHOOSE(CONTROL!$C$32, $C$9, 100%, $E$9)</f>
        <v>6.5674000000000001</v>
      </c>
    </row>
    <row r="347" spans="1:15" ht="15" x14ac:dyDescent="0.2">
      <c r="A347" s="13">
        <v>51410</v>
      </c>
      <c r="B347" s="9">
        <f>5.3487 * CHOOSE(CONTROL!$C$32, $C$9, 100%, $E$9)</f>
        <v>5.3487</v>
      </c>
      <c r="C347" s="9">
        <f>5.3487 * CHOOSE(CONTROL!$C$32, $C$9, 100%, $E$9)</f>
        <v>5.3487</v>
      </c>
      <c r="D347" s="9">
        <f>5.3498 * CHOOSE(CONTROL!$C$32, $C$9, 100%, $E$9)</f>
        <v>5.3498000000000001</v>
      </c>
      <c r="E347" s="11">
        <f>6.5974 * CHOOSE(CONTROL!$C$32, $C$9, 100%, $E$9)</f>
        <v>6.5974000000000004</v>
      </c>
      <c r="F347" s="11">
        <f>6.5974 * CHOOSE(CONTROL!$C$32, $C$9, 100%, $E$9)</f>
        <v>6.5974000000000004</v>
      </c>
      <c r="G347" s="11">
        <f>6.601 * CHOOSE(CONTROL!$C$32, $C$9, 100%, $E$9)</f>
        <v>6.601</v>
      </c>
      <c r="H347" s="11">
        <f>11.0885 * CHOOSE(CONTROL!$C$32, $C$9, 100%, $E$9)</f>
        <v>11.0885</v>
      </c>
      <c r="I347" s="11">
        <f>11.0921 * CHOOSE(CONTROL!$C$32, $C$9, 100%, $E$9)</f>
        <v>11.0921</v>
      </c>
      <c r="J347" s="11">
        <f>11.0885 * CHOOSE(CONTROL!$C$32, $C$9, 100%, $E$9)</f>
        <v>11.0885</v>
      </c>
      <c r="K347" s="11">
        <f>11.0921 * CHOOSE(CONTROL!$C$32, $C$9, 100%, $E$9)</f>
        <v>11.0921</v>
      </c>
      <c r="L347" s="11">
        <f>6.5974 * CHOOSE(CONTROL!$C$32, $C$9, 100%, $E$9)</f>
        <v>6.5974000000000004</v>
      </c>
      <c r="M347" s="11">
        <f>6.601 * CHOOSE(CONTROL!$C$32, $C$9, 100%, $E$9)</f>
        <v>6.601</v>
      </c>
      <c r="N347" s="11">
        <f>6.5974 * CHOOSE(CONTROL!$C$32, $C$9, 100%, $E$9)</f>
        <v>6.5974000000000004</v>
      </c>
      <c r="O347" s="11">
        <f>6.601 * CHOOSE(CONTROL!$C$32, $C$9, 100%, $E$9)</f>
        <v>6.601</v>
      </c>
    </row>
    <row r="348" spans="1:15" ht="15" x14ac:dyDescent="0.2">
      <c r="A348" s="13">
        <v>51441</v>
      </c>
      <c r="B348" s="9">
        <f>5.3518 * CHOOSE(CONTROL!$C$32, $C$9, 100%, $E$9)</f>
        <v>5.3517999999999999</v>
      </c>
      <c r="C348" s="9">
        <f>5.3518 * CHOOSE(CONTROL!$C$32, $C$9, 100%, $E$9)</f>
        <v>5.3517999999999999</v>
      </c>
      <c r="D348" s="9">
        <f>5.3528 * CHOOSE(CONTROL!$C$32, $C$9, 100%, $E$9)</f>
        <v>5.3528000000000002</v>
      </c>
      <c r="E348" s="11">
        <f>6.6239 * CHOOSE(CONTROL!$C$32, $C$9, 100%, $E$9)</f>
        <v>6.6238999999999999</v>
      </c>
      <c r="F348" s="11">
        <f>6.6239 * CHOOSE(CONTROL!$C$32, $C$9, 100%, $E$9)</f>
        <v>6.6238999999999999</v>
      </c>
      <c r="G348" s="11">
        <f>6.6275 * CHOOSE(CONTROL!$C$32, $C$9, 100%, $E$9)</f>
        <v>6.6275000000000004</v>
      </c>
      <c r="H348" s="11">
        <f>11.1116 * CHOOSE(CONTROL!$C$32, $C$9, 100%, $E$9)</f>
        <v>11.111599999999999</v>
      </c>
      <c r="I348" s="11">
        <f>11.1152 * CHOOSE(CONTROL!$C$32, $C$9, 100%, $E$9)</f>
        <v>11.1152</v>
      </c>
      <c r="J348" s="11">
        <f>11.1116 * CHOOSE(CONTROL!$C$32, $C$9, 100%, $E$9)</f>
        <v>11.111599999999999</v>
      </c>
      <c r="K348" s="11">
        <f>11.1152 * CHOOSE(CONTROL!$C$32, $C$9, 100%, $E$9)</f>
        <v>11.1152</v>
      </c>
      <c r="L348" s="11">
        <f>6.6239 * CHOOSE(CONTROL!$C$32, $C$9, 100%, $E$9)</f>
        <v>6.6238999999999999</v>
      </c>
      <c r="M348" s="11">
        <f>6.6275 * CHOOSE(CONTROL!$C$32, $C$9, 100%, $E$9)</f>
        <v>6.6275000000000004</v>
      </c>
      <c r="N348" s="11">
        <f>6.6239 * CHOOSE(CONTROL!$C$32, $C$9, 100%, $E$9)</f>
        <v>6.6238999999999999</v>
      </c>
      <c r="O348" s="11">
        <f>6.6275 * CHOOSE(CONTROL!$C$32, $C$9, 100%, $E$9)</f>
        <v>6.6275000000000004</v>
      </c>
    </row>
    <row r="349" spans="1:15" ht="15" x14ac:dyDescent="0.2">
      <c r="A349" s="13">
        <v>51471</v>
      </c>
      <c r="B349" s="9">
        <f>5.3518 * CHOOSE(CONTROL!$C$32, $C$9, 100%, $E$9)</f>
        <v>5.3517999999999999</v>
      </c>
      <c r="C349" s="9">
        <f>5.3518 * CHOOSE(CONTROL!$C$32, $C$9, 100%, $E$9)</f>
        <v>5.3517999999999999</v>
      </c>
      <c r="D349" s="9">
        <f>5.3528 * CHOOSE(CONTROL!$C$32, $C$9, 100%, $E$9)</f>
        <v>5.3528000000000002</v>
      </c>
      <c r="E349" s="11">
        <f>6.563 * CHOOSE(CONTROL!$C$32, $C$9, 100%, $E$9)</f>
        <v>6.5629999999999997</v>
      </c>
      <c r="F349" s="11">
        <f>6.563 * CHOOSE(CONTROL!$C$32, $C$9, 100%, $E$9)</f>
        <v>6.5629999999999997</v>
      </c>
      <c r="G349" s="11">
        <f>6.5666 * CHOOSE(CONTROL!$C$32, $C$9, 100%, $E$9)</f>
        <v>6.5666000000000002</v>
      </c>
      <c r="H349" s="11">
        <f>11.1347 * CHOOSE(CONTROL!$C$32, $C$9, 100%, $E$9)</f>
        <v>11.1347</v>
      </c>
      <c r="I349" s="11">
        <f>11.1384 * CHOOSE(CONTROL!$C$32, $C$9, 100%, $E$9)</f>
        <v>11.138400000000001</v>
      </c>
      <c r="J349" s="11">
        <f>11.1347 * CHOOSE(CONTROL!$C$32, $C$9, 100%, $E$9)</f>
        <v>11.1347</v>
      </c>
      <c r="K349" s="11">
        <f>11.1384 * CHOOSE(CONTROL!$C$32, $C$9, 100%, $E$9)</f>
        <v>11.138400000000001</v>
      </c>
      <c r="L349" s="11">
        <f>6.563 * CHOOSE(CONTROL!$C$32, $C$9, 100%, $E$9)</f>
        <v>6.5629999999999997</v>
      </c>
      <c r="M349" s="11">
        <f>6.5666 * CHOOSE(CONTROL!$C$32, $C$9, 100%, $E$9)</f>
        <v>6.5666000000000002</v>
      </c>
      <c r="N349" s="11">
        <f>6.563 * CHOOSE(CONTROL!$C$32, $C$9, 100%, $E$9)</f>
        <v>6.5629999999999997</v>
      </c>
      <c r="O349" s="11">
        <f>6.5666 * CHOOSE(CONTROL!$C$32, $C$9, 100%, $E$9)</f>
        <v>6.5666000000000002</v>
      </c>
    </row>
    <row r="350" spans="1:15" ht="15" x14ac:dyDescent="0.2">
      <c r="A350" s="13">
        <v>51502</v>
      </c>
      <c r="B350" s="9">
        <f>5.3929 * CHOOSE(CONTROL!$C$32, $C$9, 100%, $E$9)</f>
        <v>5.3929</v>
      </c>
      <c r="C350" s="9">
        <f>5.3929 * CHOOSE(CONTROL!$C$32, $C$9, 100%, $E$9)</f>
        <v>5.3929</v>
      </c>
      <c r="D350" s="9">
        <f>5.3939 * CHOOSE(CONTROL!$C$32, $C$9, 100%, $E$9)</f>
        <v>5.3939000000000004</v>
      </c>
      <c r="E350" s="11">
        <f>6.6304 * CHOOSE(CONTROL!$C$32, $C$9, 100%, $E$9)</f>
        <v>6.6303999999999998</v>
      </c>
      <c r="F350" s="11">
        <f>6.6304 * CHOOSE(CONTROL!$C$32, $C$9, 100%, $E$9)</f>
        <v>6.6303999999999998</v>
      </c>
      <c r="G350" s="11">
        <f>6.6341 * CHOOSE(CONTROL!$C$32, $C$9, 100%, $E$9)</f>
        <v>6.6341000000000001</v>
      </c>
      <c r="H350" s="11">
        <f>11.1579 * CHOOSE(CONTROL!$C$32, $C$9, 100%, $E$9)</f>
        <v>11.1579</v>
      </c>
      <c r="I350" s="11">
        <f>11.1616 * CHOOSE(CONTROL!$C$32, $C$9, 100%, $E$9)</f>
        <v>11.1616</v>
      </c>
      <c r="J350" s="11">
        <f>11.1579 * CHOOSE(CONTROL!$C$32, $C$9, 100%, $E$9)</f>
        <v>11.1579</v>
      </c>
      <c r="K350" s="11">
        <f>11.1616 * CHOOSE(CONTROL!$C$32, $C$9, 100%, $E$9)</f>
        <v>11.1616</v>
      </c>
      <c r="L350" s="11">
        <f>6.6304 * CHOOSE(CONTROL!$C$32, $C$9, 100%, $E$9)</f>
        <v>6.6303999999999998</v>
      </c>
      <c r="M350" s="11">
        <f>6.6341 * CHOOSE(CONTROL!$C$32, $C$9, 100%, $E$9)</f>
        <v>6.6341000000000001</v>
      </c>
      <c r="N350" s="11">
        <f>6.6304 * CHOOSE(CONTROL!$C$32, $C$9, 100%, $E$9)</f>
        <v>6.6303999999999998</v>
      </c>
      <c r="O350" s="11">
        <f>6.6341 * CHOOSE(CONTROL!$C$32, $C$9, 100%, $E$9)</f>
        <v>6.6341000000000001</v>
      </c>
    </row>
    <row r="351" spans="1:15" ht="15" x14ac:dyDescent="0.2">
      <c r="A351" s="13">
        <v>51533</v>
      </c>
      <c r="B351" s="9">
        <f>5.3898 * CHOOSE(CONTROL!$C$32, $C$9, 100%, $E$9)</f>
        <v>5.3898000000000001</v>
      </c>
      <c r="C351" s="9">
        <f>5.3898 * CHOOSE(CONTROL!$C$32, $C$9, 100%, $E$9)</f>
        <v>5.3898000000000001</v>
      </c>
      <c r="D351" s="9">
        <f>5.3909 * CHOOSE(CONTROL!$C$32, $C$9, 100%, $E$9)</f>
        <v>5.3909000000000002</v>
      </c>
      <c r="E351" s="11">
        <f>6.5096 * CHOOSE(CONTROL!$C$32, $C$9, 100%, $E$9)</f>
        <v>6.5095999999999998</v>
      </c>
      <c r="F351" s="11">
        <f>6.5096 * CHOOSE(CONTROL!$C$32, $C$9, 100%, $E$9)</f>
        <v>6.5095999999999998</v>
      </c>
      <c r="G351" s="11">
        <f>6.5132 * CHOOSE(CONTROL!$C$32, $C$9, 100%, $E$9)</f>
        <v>6.5132000000000003</v>
      </c>
      <c r="H351" s="11">
        <f>11.1812 * CHOOSE(CONTROL!$C$32, $C$9, 100%, $E$9)</f>
        <v>11.1812</v>
      </c>
      <c r="I351" s="11">
        <f>11.1848 * CHOOSE(CONTROL!$C$32, $C$9, 100%, $E$9)</f>
        <v>11.184799999999999</v>
      </c>
      <c r="J351" s="11">
        <f>11.1812 * CHOOSE(CONTROL!$C$32, $C$9, 100%, $E$9)</f>
        <v>11.1812</v>
      </c>
      <c r="K351" s="11">
        <f>11.1848 * CHOOSE(CONTROL!$C$32, $C$9, 100%, $E$9)</f>
        <v>11.184799999999999</v>
      </c>
      <c r="L351" s="11">
        <f>6.5096 * CHOOSE(CONTROL!$C$32, $C$9, 100%, $E$9)</f>
        <v>6.5095999999999998</v>
      </c>
      <c r="M351" s="11">
        <f>6.5132 * CHOOSE(CONTROL!$C$32, $C$9, 100%, $E$9)</f>
        <v>6.5132000000000003</v>
      </c>
      <c r="N351" s="11">
        <f>6.5096 * CHOOSE(CONTROL!$C$32, $C$9, 100%, $E$9)</f>
        <v>6.5095999999999998</v>
      </c>
      <c r="O351" s="11">
        <f>6.5132 * CHOOSE(CONTROL!$C$32, $C$9, 100%, $E$9)</f>
        <v>6.5132000000000003</v>
      </c>
    </row>
    <row r="352" spans="1:15" ht="15" x14ac:dyDescent="0.2">
      <c r="A352" s="13">
        <v>51561</v>
      </c>
      <c r="B352" s="9">
        <f>5.3868 * CHOOSE(CONTROL!$C$32, $C$9, 100%, $E$9)</f>
        <v>5.3868</v>
      </c>
      <c r="C352" s="9">
        <f>5.3868 * CHOOSE(CONTROL!$C$32, $C$9, 100%, $E$9)</f>
        <v>5.3868</v>
      </c>
      <c r="D352" s="9">
        <f>5.3878 * CHOOSE(CONTROL!$C$32, $C$9, 100%, $E$9)</f>
        <v>5.3878000000000004</v>
      </c>
      <c r="E352" s="11">
        <f>6.6011 * CHOOSE(CONTROL!$C$32, $C$9, 100%, $E$9)</f>
        <v>6.6010999999999997</v>
      </c>
      <c r="F352" s="11">
        <f>6.6011 * CHOOSE(CONTROL!$C$32, $C$9, 100%, $E$9)</f>
        <v>6.6010999999999997</v>
      </c>
      <c r="G352" s="11">
        <f>6.6047 * CHOOSE(CONTROL!$C$32, $C$9, 100%, $E$9)</f>
        <v>6.6047000000000002</v>
      </c>
      <c r="H352" s="11">
        <f>11.2045 * CHOOSE(CONTROL!$C$32, $C$9, 100%, $E$9)</f>
        <v>11.204499999999999</v>
      </c>
      <c r="I352" s="11">
        <f>11.2081 * CHOOSE(CONTROL!$C$32, $C$9, 100%, $E$9)</f>
        <v>11.2081</v>
      </c>
      <c r="J352" s="11">
        <f>11.2045 * CHOOSE(CONTROL!$C$32, $C$9, 100%, $E$9)</f>
        <v>11.204499999999999</v>
      </c>
      <c r="K352" s="11">
        <f>11.2081 * CHOOSE(CONTROL!$C$32, $C$9, 100%, $E$9)</f>
        <v>11.2081</v>
      </c>
      <c r="L352" s="11">
        <f>6.6011 * CHOOSE(CONTROL!$C$32, $C$9, 100%, $E$9)</f>
        <v>6.6010999999999997</v>
      </c>
      <c r="M352" s="11">
        <f>6.6047 * CHOOSE(CONTROL!$C$32, $C$9, 100%, $E$9)</f>
        <v>6.6047000000000002</v>
      </c>
      <c r="N352" s="11">
        <f>6.6011 * CHOOSE(CONTROL!$C$32, $C$9, 100%, $E$9)</f>
        <v>6.6010999999999997</v>
      </c>
      <c r="O352" s="11">
        <f>6.6047 * CHOOSE(CONTROL!$C$32, $C$9, 100%, $E$9)</f>
        <v>6.6047000000000002</v>
      </c>
    </row>
    <row r="353" spans="1:15" ht="15" x14ac:dyDescent="0.2">
      <c r="A353" s="13">
        <v>51592</v>
      </c>
      <c r="B353" s="9">
        <f>5.3858 * CHOOSE(CONTROL!$C$32, $C$9, 100%, $E$9)</f>
        <v>5.3857999999999997</v>
      </c>
      <c r="C353" s="9">
        <f>5.3858 * CHOOSE(CONTROL!$C$32, $C$9, 100%, $E$9)</f>
        <v>5.3857999999999997</v>
      </c>
      <c r="D353" s="9">
        <f>5.3868 * CHOOSE(CONTROL!$C$32, $C$9, 100%, $E$9)</f>
        <v>5.3868</v>
      </c>
      <c r="E353" s="11">
        <f>6.6974 * CHOOSE(CONTROL!$C$32, $C$9, 100%, $E$9)</f>
        <v>6.6974</v>
      </c>
      <c r="F353" s="11">
        <f>6.6974 * CHOOSE(CONTROL!$C$32, $C$9, 100%, $E$9)</f>
        <v>6.6974</v>
      </c>
      <c r="G353" s="11">
        <f>6.701 * CHOOSE(CONTROL!$C$32, $C$9, 100%, $E$9)</f>
        <v>6.7009999999999996</v>
      </c>
      <c r="H353" s="11">
        <f>11.2278 * CHOOSE(CONTROL!$C$32, $C$9, 100%, $E$9)</f>
        <v>11.2278</v>
      </c>
      <c r="I353" s="11">
        <f>11.2314 * CHOOSE(CONTROL!$C$32, $C$9, 100%, $E$9)</f>
        <v>11.231400000000001</v>
      </c>
      <c r="J353" s="11">
        <f>11.2278 * CHOOSE(CONTROL!$C$32, $C$9, 100%, $E$9)</f>
        <v>11.2278</v>
      </c>
      <c r="K353" s="11">
        <f>11.2314 * CHOOSE(CONTROL!$C$32, $C$9, 100%, $E$9)</f>
        <v>11.231400000000001</v>
      </c>
      <c r="L353" s="11">
        <f>6.6974 * CHOOSE(CONTROL!$C$32, $C$9, 100%, $E$9)</f>
        <v>6.6974</v>
      </c>
      <c r="M353" s="11">
        <f>6.701 * CHOOSE(CONTROL!$C$32, $C$9, 100%, $E$9)</f>
        <v>6.7009999999999996</v>
      </c>
      <c r="N353" s="11">
        <f>6.6974 * CHOOSE(CONTROL!$C$32, $C$9, 100%, $E$9)</f>
        <v>6.6974</v>
      </c>
      <c r="O353" s="11">
        <f>6.701 * CHOOSE(CONTROL!$C$32, $C$9, 100%, $E$9)</f>
        <v>6.7009999999999996</v>
      </c>
    </row>
    <row r="354" spans="1:15" ht="15" x14ac:dyDescent="0.2">
      <c r="A354" s="13">
        <v>51622</v>
      </c>
      <c r="B354" s="9">
        <f>5.3858 * CHOOSE(CONTROL!$C$32, $C$9, 100%, $E$9)</f>
        <v>5.3857999999999997</v>
      </c>
      <c r="C354" s="9">
        <f>5.3858 * CHOOSE(CONTROL!$C$32, $C$9, 100%, $E$9)</f>
        <v>5.3857999999999997</v>
      </c>
      <c r="D354" s="9">
        <f>5.3873 * CHOOSE(CONTROL!$C$32, $C$9, 100%, $E$9)</f>
        <v>5.3872999999999998</v>
      </c>
      <c r="E354" s="11">
        <f>6.7351 * CHOOSE(CONTROL!$C$32, $C$9, 100%, $E$9)</f>
        <v>6.7351000000000001</v>
      </c>
      <c r="F354" s="11">
        <f>6.7351 * CHOOSE(CONTROL!$C$32, $C$9, 100%, $E$9)</f>
        <v>6.7351000000000001</v>
      </c>
      <c r="G354" s="11">
        <f>6.7404 * CHOOSE(CONTROL!$C$32, $C$9, 100%, $E$9)</f>
        <v>6.7404000000000002</v>
      </c>
      <c r="H354" s="11">
        <f>11.2512 * CHOOSE(CONTROL!$C$32, $C$9, 100%, $E$9)</f>
        <v>11.251200000000001</v>
      </c>
      <c r="I354" s="11">
        <f>11.2565 * CHOOSE(CONTROL!$C$32, $C$9, 100%, $E$9)</f>
        <v>11.256500000000001</v>
      </c>
      <c r="J354" s="11">
        <f>11.2512 * CHOOSE(CONTROL!$C$32, $C$9, 100%, $E$9)</f>
        <v>11.251200000000001</v>
      </c>
      <c r="K354" s="11">
        <f>11.2565 * CHOOSE(CONTROL!$C$32, $C$9, 100%, $E$9)</f>
        <v>11.256500000000001</v>
      </c>
      <c r="L354" s="11">
        <f>6.7351 * CHOOSE(CONTROL!$C$32, $C$9, 100%, $E$9)</f>
        <v>6.7351000000000001</v>
      </c>
      <c r="M354" s="11">
        <f>6.7404 * CHOOSE(CONTROL!$C$32, $C$9, 100%, $E$9)</f>
        <v>6.7404000000000002</v>
      </c>
      <c r="N354" s="11">
        <f>6.7351 * CHOOSE(CONTROL!$C$32, $C$9, 100%, $E$9)</f>
        <v>6.7351000000000001</v>
      </c>
      <c r="O354" s="11">
        <f>6.7404 * CHOOSE(CONTROL!$C$32, $C$9, 100%, $E$9)</f>
        <v>6.7404000000000002</v>
      </c>
    </row>
    <row r="355" spans="1:15" ht="15" x14ac:dyDescent="0.2">
      <c r="A355" s="13">
        <v>51653</v>
      </c>
      <c r="B355" s="9">
        <f>5.3918 * CHOOSE(CONTROL!$C$32, $C$9, 100%, $E$9)</f>
        <v>5.3917999999999999</v>
      </c>
      <c r="C355" s="9">
        <f>5.3918 * CHOOSE(CONTROL!$C$32, $C$9, 100%, $E$9)</f>
        <v>5.3917999999999999</v>
      </c>
      <c r="D355" s="9">
        <f>5.3934 * CHOOSE(CONTROL!$C$32, $C$9, 100%, $E$9)</f>
        <v>5.3933999999999997</v>
      </c>
      <c r="E355" s="11">
        <f>6.7016 * CHOOSE(CONTROL!$C$32, $C$9, 100%, $E$9)</f>
        <v>6.7016</v>
      </c>
      <c r="F355" s="11">
        <f>6.7016 * CHOOSE(CONTROL!$C$32, $C$9, 100%, $E$9)</f>
        <v>6.7016</v>
      </c>
      <c r="G355" s="11">
        <f>6.7069 * CHOOSE(CONTROL!$C$32, $C$9, 100%, $E$9)</f>
        <v>6.7069000000000001</v>
      </c>
      <c r="H355" s="11">
        <f>11.2747 * CHOOSE(CONTROL!$C$32, $C$9, 100%, $E$9)</f>
        <v>11.274699999999999</v>
      </c>
      <c r="I355" s="11">
        <f>11.28 * CHOOSE(CONTROL!$C$32, $C$9, 100%, $E$9)</f>
        <v>11.28</v>
      </c>
      <c r="J355" s="11">
        <f>11.2747 * CHOOSE(CONTROL!$C$32, $C$9, 100%, $E$9)</f>
        <v>11.274699999999999</v>
      </c>
      <c r="K355" s="11">
        <f>11.28 * CHOOSE(CONTROL!$C$32, $C$9, 100%, $E$9)</f>
        <v>11.28</v>
      </c>
      <c r="L355" s="11">
        <f>6.7016 * CHOOSE(CONTROL!$C$32, $C$9, 100%, $E$9)</f>
        <v>6.7016</v>
      </c>
      <c r="M355" s="11">
        <f>6.7069 * CHOOSE(CONTROL!$C$32, $C$9, 100%, $E$9)</f>
        <v>6.7069000000000001</v>
      </c>
      <c r="N355" s="11">
        <f>6.7016 * CHOOSE(CONTROL!$C$32, $C$9, 100%, $E$9)</f>
        <v>6.7016</v>
      </c>
      <c r="O355" s="11">
        <f>6.7069 * CHOOSE(CONTROL!$C$32, $C$9, 100%, $E$9)</f>
        <v>6.7069000000000001</v>
      </c>
    </row>
    <row r="356" spans="1:15" ht="15" x14ac:dyDescent="0.2">
      <c r="A356" s="13">
        <v>51683</v>
      </c>
      <c r="B356" s="9">
        <f>5.4648 * CHOOSE(CONTROL!$C$32, $C$9, 100%, $E$9)</f>
        <v>5.4648000000000003</v>
      </c>
      <c r="C356" s="9">
        <f>5.4648 * CHOOSE(CONTROL!$C$32, $C$9, 100%, $E$9)</f>
        <v>5.4648000000000003</v>
      </c>
      <c r="D356" s="9">
        <f>5.4664 * CHOOSE(CONTROL!$C$32, $C$9, 100%, $E$9)</f>
        <v>5.4664000000000001</v>
      </c>
      <c r="E356" s="11">
        <f>6.7253 * CHOOSE(CONTROL!$C$32, $C$9, 100%, $E$9)</f>
        <v>6.7252999999999998</v>
      </c>
      <c r="F356" s="11">
        <f>6.7253 * CHOOSE(CONTROL!$C$32, $C$9, 100%, $E$9)</f>
        <v>6.7252999999999998</v>
      </c>
      <c r="G356" s="11">
        <f>6.7306 * CHOOSE(CONTROL!$C$32, $C$9, 100%, $E$9)</f>
        <v>6.7305999999999999</v>
      </c>
      <c r="H356" s="11">
        <f>11.2981 * CHOOSE(CONTROL!$C$32, $C$9, 100%, $E$9)</f>
        <v>11.2981</v>
      </c>
      <c r="I356" s="11">
        <f>11.3034 * CHOOSE(CONTROL!$C$32, $C$9, 100%, $E$9)</f>
        <v>11.3034</v>
      </c>
      <c r="J356" s="11">
        <f>11.2981 * CHOOSE(CONTROL!$C$32, $C$9, 100%, $E$9)</f>
        <v>11.2981</v>
      </c>
      <c r="K356" s="11">
        <f>11.3034 * CHOOSE(CONTROL!$C$32, $C$9, 100%, $E$9)</f>
        <v>11.3034</v>
      </c>
      <c r="L356" s="11">
        <f>6.7253 * CHOOSE(CONTROL!$C$32, $C$9, 100%, $E$9)</f>
        <v>6.7252999999999998</v>
      </c>
      <c r="M356" s="11">
        <f>6.7306 * CHOOSE(CONTROL!$C$32, $C$9, 100%, $E$9)</f>
        <v>6.7305999999999999</v>
      </c>
      <c r="N356" s="11">
        <f>6.7253 * CHOOSE(CONTROL!$C$32, $C$9, 100%, $E$9)</f>
        <v>6.7252999999999998</v>
      </c>
      <c r="O356" s="11">
        <f>6.7306 * CHOOSE(CONTROL!$C$32, $C$9, 100%, $E$9)</f>
        <v>6.7305999999999999</v>
      </c>
    </row>
    <row r="357" spans="1:15" ht="15" x14ac:dyDescent="0.2">
      <c r="A357" s="13">
        <v>51714</v>
      </c>
      <c r="B357" s="9">
        <f>5.4715 * CHOOSE(CONTROL!$C$32, $C$9, 100%, $E$9)</f>
        <v>5.4714999999999998</v>
      </c>
      <c r="C357" s="9">
        <f>5.4715 * CHOOSE(CONTROL!$C$32, $C$9, 100%, $E$9)</f>
        <v>5.4714999999999998</v>
      </c>
      <c r="D357" s="9">
        <f>5.4731 * CHOOSE(CONTROL!$C$32, $C$9, 100%, $E$9)</f>
        <v>5.4730999999999996</v>
      </c>
      <c r="E357" s="11">
        <f>6.6169 * CHOOSE(CONTROL!$C$32, $C$9, 100%, $E$9)</f>
        <v>6.6169000000000002</v>
      </c>
      <c r="F357" s="11">
        <f>6.6169 * CHOOSE(CONTROL!$C$32, $C$9, 100%, $E$9)</f>
        <v>6.6169000000000002</v>
      </c>
      <c r="G357" s="11">
        <f>6.6222 * CHOOSE(CONTROL!$C$32, $C$9, 100%, $E$9)</f>
        <v>6.6222000000000003</v>
      </c>
      <c r="H357" s="11">
        <f>11.3217 * CHOOSE(CONTROL!$C$32, $C$9, 100%, $E$9)</f>
        <v>11.3217</v>
      </c>
      <c r="I357" s="11">
        <f>11.327 * CHOOSE(CONTROL!$C$32, $C$9, 100%, $E$9)</f>
        <v>11.327</v>
      </c>
      <c r="J357" s="11">
        <f>11.3217 * CHOOSE(CONTROL!$C$32, $C$9, 100%, $E$9)</f>
        <v>11.3217</v>
      </c>
      <c r="K357" s="11">
        <f>11.327 * CHOOSE(CONTROL!$C$32, $C$9, 100%, $E$9)</f>
        <v>11.327</v>
      </c>
      <c r="L357" s="11">
        <f>6.6169 * CHOOSE(CONTROL!$C$32, $C$9, 100%, $E$9)</f>
        <v>6.6169000000000002</v>
      </c>
      <c r="M357" s="11">
        <f>6.6222 * CHOOSE(CONTROL!$C$32, $C$9, 100%, $E$9)</f>
        <v>6.6222000000000003</v>
      </c>
      <c r="N357" s="11">
        <f>6.6169 * CHOOSE(CONTROL!$C$32, $C$9, 100%, $E$9)</f>
        <v>6.6169000000000002</v>
      </c>
      <c r="O357" s="11">
        <f>6.6222 * CHOOSE(CONTROL!$C$32, $C$9, 100%, $E$9)</f>
        <v>6.6222000000000003</v>
      </c>
    </row>
    <row r="358" spans="1:15" ht="15" x14ac:dyDescent="0.2">
      <c r="A358" s="13">
        <v>51745</v>
      </c>
      <c r="B358" s="9">
        <f>5.4685 * CHOOSE(CONTROL!$C$32, $C$9, 100%, $E$9)</f>
        <v>5.4684999999999997</v>
      </c>
      <c r="C358" s="9">
        <f>5.4685 * CHOOSE(CONTROL!$C$32, $C$9, 100%, $E$9)</f>
        <v>5.4684999999999997</v>
      </c>
      <c r="D358" s="9">
        <f>5.47 * CHOOSE(CONTROL!$C$32, $C$9, 100%, $E$9)</f>
        <v>5.47</v>
      </c>
      <c r="E358" s="11">
        <f>6.6022 * CHOOSE(CONTROL!$C$32, $C$9, 100%, $E$9)</f>
        <v>6.6021999999999998</v>
      </c>
      <c r="F358" s="11">
        <f>6.6022 * CHOOSE(CONTROL!$C$32, $C$9, 100%, $E$9)</f>
        <v>6.6021999999999998</v>
      </c>
      <c r="G358" s="11">
        <f>6.6075 * CHOOSE(CONTROL!$C$32, $C$9, 100%, $E$9)</f>
        <v>6.6074999999999999</v>
      </c>
      <c r="H358" s="11">
        <f>11.3453 * CHOOSE(CONTROL!$C$32, $C$9, 100%, $E$9)</f>
        <v>11.3453</v>
      </c>
      <c r="I358" s="11">
        <f>11.3506 * CHOOSE(CONTROL!$C$32, $C$9, 100%, $E$9)</f>
        <v>11.3506</v>
      </c>
      <c r="J358" s="11">
        <f>11.3453 * CHOOSE(CONTROL!$C$32, $C$9, 100%, $E$9)</f>
        <v>11.3453</v>
      </c>
      <c r="K358" s="11">
        <f>11.3506 * CHOOSE(CONTROL!$C$32, $C$9, 100%, $E$9)</f>
        <v>11.3506</v>
      </c>
      <c r="L358" s="11">
        <f>6.6022 * CHOOSE(CONTROL!$C$32, $C$9, 100%, $E$9)</f>
        <v>6.6021999999999998</v>
      </c>
      <c r="M358" s="11">
        <f>6.6075 * CHOOSE(CONTROL!$C$32, $C$9, 100%, $E$9)</f>
        <v>6.6074999999999999</v>
      </c>
      <c r="N358" s="11">
        <f>6.6022 * CHOOSE(CONTROL!$C$32, $C$9, 100%, $E$9)</f>
        <v>6.6021999999999998</v>
      </c>
      <c r="O358" s="11">
        <f>6.6075 * CHOOSE(CONTROL!$C$32, $C$9, 100%, $E$9)</f>
        <v>6.6074999999999999</v>
      </c>
    </row>
    <row r="359" spans="1:15" ht="15" x14ac:dyDescent="0.2">
      <c r="A359" s="13">
        <v>51775</v>
      </c>
      <c r="B359" s="9">
        <f>5.469 * CHOOSE(CONTROL!$C$32, $C$9, 100%, $E$9)</f>
        <v>5.4690000000000003</v>
      </c>
      <c r="C359" s="9">
        <f>5.469 * CHOOSE(CONTROL!$C$32, $C$9, 100%, $E$9)</f>
        <v>5.4690000000000003</v>
      </c>
      <c r="D359" s="9">
        <f>5.47 * CHOOSE(CONTROL!$C$32, $C$9, 100%, $E$9)</f>
        <v>5.47</v>
      </c>
      <c r="E359" s="11">
        <f>6.639 * CHOOSE(CONTROL!$C$32, $C$9, 100%, $E$9)</f>
        <v>6.6390000000000002</v>
      </c>
      <c r="F359" s="11">
        <f>6.639 * CHOOSE(CONTROL!$C$32, $C$9, 100%, $E$9)</f>
        <v>6.6390000000000002</v>
      </c>
      <c r="G359" s="11">
        <f>6.6427 * CHOOSE(CONTROL!$C$32, $C$9, 100%, $E$9)</f>
        <v>6.6426999999999996</v>
      </c>
      <c r="H359" s="11">
        <f>11.3689 * CHOOSE(CONTROL!$C$32, $C$9, 100%, $E$9)</f>
        <v>11.3689</v>
      </c>
      <c r="I359" s="11">
        <f>11.3725 * CHOOSE(CONTROL!$C$32, $C$9, 100%, $E$9)</f>
        <v>11.3725</v>
      </c>
      <c r="J359" s="11">
        <f>11.3689 * CHOOSE(CONTROL!$C$32, $C$9, 100%, $E$9)</f>
        <v>11.3689</v>
      </c>
      <c r="K359" s="11">
        <f>11.3725 * CHOOSE(CONTROL!$C$32, $C$9, 100%, $E$9)</f>
        <v>11.3725</v>
      </c>
      <c r="L359" s="11">
        <f>6.639 * CHOOSE(CONTROL!$C$32, $C$9, 100%, $E$9)</f>
        <v>6.6390000000000002</v>
      </c>
      <c r="M359" s="11">
        <f>6.6427 * CHOOSE(CONTROL!$C$32, $C$9, 100%, $E$9)</f>
        <v>6.6426999999999996</v>
      </c>
      <c r="N359" s="11">
        <f>6.639 * CHOOSE(CONTROL!$C$32, $C$9, 100%, $E$9)</f>
        <v>6.6390000000000002</v>
      </c>
      <c r="O359" s="11">
        <f>6.6427 * CHOOSE(CONTROL!$C$32, $C$9, 100%, $E$9)</f>
        <v>6.6426999999999996</v>
      </c>
    </row>
    <row r="360" spans="1:15" ht="15" x14ac:dyDescent="0.2">
      <c r="A360" s="13">
        <v>51806</v>
      </c>
      <c r="B360" s="9">
        <f>5.472 * CHOOSE(CONTROL!$C$32, $C$9, 100%, $E$9)</f>
        <v>5.4720000000000004</v>
      </c>
      <c r="C360" s="9">
        <f>5.472 * CHOOSE(CONTROL!$C$32, $C$9, 100%, $E$9)</f>
        <v>5.4720000000000004</v>
      </c>
      <c r="D360" s="9">
        <f>5.4731 * CHOOSE(CONTROL!$C$32, $C$9, 100%, $E$9)</f>
        <v>5.4730999999999996</v>
      </c>
      <c r="E360" s="11">
        <f>6.6663 * CHOOSE(CONTROL!$C$32, $C$9, 100%, $E$9)</f>
        <v>6.6662999999999997</v>
      </c>
      <c r="F360" s="11">
        <f>6.6663 * CHOOSE(CONTROL!$C$32, $C$9, 100%, $E$9)</f>
        <v>6.6662999999999997</v>
      </c>
      <c r="G360" s="11">
        <f>6.6699 * CHOOSE(CONTROL!$C$32, $C$9, 100%, $E$9)</f>
        <v>6.6699000000000002</v>
      </c>
      <c r="H360" s="11">
        <f>11.3926 * CHOOSE(CONTROL!$C$32, $C$9, 100%, $E$9)</f>
        <v>11.3926</v>
      </c>
      <c r="I360" s="11">
        <f>11.3962 * CHOOSE(CONTROL!$C$32, $C$9, 100%, $E$9)</f>
        <v>11.3962</v>
      </c>
      <c r="J360" s="11">
        <f>11.3926 * CHOOSE(CONTROL!$C$32, $C$9, 100%, $E$9)</f>
        <v>11.3926</v>
      </c>
      <c r="K360" s="11">
        <f>11.3962 * CHOOSE(CONTROL!$C$32, $C$9, 100%, $E$9)</f>
        <v>11.3962</v>
      </c>
      <c r="L360" s="11">
        <f>6.6663 * CHOOSE(CONTROL!$C$32, $C$9, 100%, $E$9)</f>
        <v>6.6662999999999997</v>
      </c>
      <c r="M360" s="11">
        <f>6.6699 * CHOOSE(CONTROL!$C$32, $C$9, 100%, $E$9)</f>
        <v>6.6699000000000002</v>
      </c>
      <c r="N360" s="11">
        <f>6.6663 * CHOOSE(CONTROL!$C$32, $C$9, 100%, $E$9)</f>
        <v>6.6662999999999997</v>
      </c>
      <c r="O360" s="11">
        <f>6.6699 * CHOOSE(CONTROL!$C$32, $C$9, 100%, $E$9)</f>
        <v>6.6699000000000002</v>
      </c>
    </row>
    <row r="361" spans="1:15" ht="15" x14ac:dyDescent="0.2">
      <c r="A361" s="13">
        <v>51836</v>
      </c>
      <c r="B361" s="9">
        <f>5.472 * CHOOSE(CONTROL!$C$32, $C$9, 100%, $E$9)</f>
        <v>5.4720000000000004</v>
      </c>
      <c r="C361" s="9">
        <f>5.472 * CHOOSE(CONTROL!$C$32, $C$9, 100%, $E$9)</f>
        <v>5.4720000000000004</v>
      </c>
      <c r="D361" s="9">
        <f>5.4731 * CHOOSE(CONTROL!$C$32, $C$9, 100%, $E$9)</f>
        <v>5.4730999999999996</v>
      </c>
      <c r="E361" s="11">
        <f>6.6035 * CHOOSE(CONTROL!$C$32, $C$9, 100%, $E$9)</f>
        <v>6.6035000000000004</v>
      </c>
      <c r="F361" s="11">
        <f>6.6035 * CHOOSE(CONTROL!$C$32, $C$9, 100%, $E$9)</f>
        <v>6.6035000000000004</v>
      </c>
      <c r="G361" s="11">
        <f>6.6071 * CHOOSE(CONTROL!$C$32, $C$9, 100%, $E$9)</f>
        <v>6.6071</v>
      </c>
      <c r="H361" s="11">
        <f>11.4163 * CHOOSE(CONTROL!$C$32, $C$9, 100%, $E$9)</f>
        <v>11.4163</v>
      </c>
      <c r="I361" s="11">
        <f>11.4199 * CHOOSE(CONTROL!$C$32, $C$9, 100%, $E$9)</f>
        <v>11.4199</v>
      </c>
      <c r="J361" s="11">
        <f>11.4163 * CHOOSE(CONTROL!$C$32, $C$9, 100%, $E$9)</f>
        <v>11.4163</v>
      </c>
      <c r="K361" s="11">
        <f>11.4199 * CHOOSE(CONTROL!$C$32, $C$9, 100%, $E$9)</f>
        <v>11.4199</v>
      </c>
      <c r="L361" s="11">
        <f>6.6035 * CHOOSE(CONTROL!$C$32, $C$9, 100%, $E$9)</f>
        <v>6.6035000000000004</v>
      </c>
      <c r="M361" s="11">
        <f>6.6071 * CHOOSE(CONTROL!$C$32, $C$9, 100%, $E$9)</f>
        <v>6.6071</v>
      </c>
      <c r="N361" s="11">
        <f>6.6035 * CHOOSE(CONTROL!$C$32, $C$9, 100%, $E$9)</f>
        <v>6.6035000000000004</v>
      </c>
      <c r="O361" s="11">
        <f>6.6071 * CHOOSE(CONTROL!$C$32, $C$9, 100%, $E$9)</f>
        <v>6.6071</v>
      </c>
    </row>
    <row r="362" spans="1:15" ht="15" x14ac:dyDescent="0.2">
      <c r="A362" s="13">
        <v>51867</v>
      </c>
      <c r="B362" s="9">
        <f>5.5145 * CHOOSE(CONTROL!$C$32, $C$9, 100%, $E$9)</f>
        <v>5.5145</v>
      </c>
      <c r="C362" s="9">
        <f>5.5145 * CHOOSE(CONTROL!$C$32, $C$9, 100%, $E$9)</f>
        <v>5.5145</v>
      </c>
      <c r="D362" s="9">
        <f>5.5156 * CHOOSE(CONTROL!$C$32, $C$9, 100%, $E$9)</f>
        <v>5.5156000000000001</v>
      </c>
      <c r="E362" s="11">
        <f>6.6708 * CHOOSE(CONTROL!$C$32, $C$9, 100%, $E$9)</f>
        <v>6.6707999999999998</v>
      </c>
      <c r="F362" s="11">
        <f>6.6708 * CHOOSE(CONTROL!$C$32, $C$9, 100%, $E$9)</f>
        <v>6.6707999999999998</v>
      </c>
      <c r="G362" s="11">
        <f>6.6744 * CHOOSE(CONTROL!$C$32, $C$9, 100%, $E$9)</f>
        <v>6.6744000000000003</v>
      </c>
      <c r="H362" s="11">
        <f>11.4401 * CHOOSE(CONTROL!$C$32, $C$9, 100%, $E$9)</f>
        <v>11.440099999999999</v>
      </c>
      <c r="I362" s="11">
        <f>11.4437 * CHOOSE(CONTROL!$C$32, $C$9, 100%, $E$9)</f>
        <v>11.4437</v>
      </c>
      <c r="J362" s="11">
        <f>11.4401 * CHOOSE(CONTROL!$C$32, $C$9, 100%, $E$9)</f>
        <v>11.440099999999999</v>
      </c>
      <c r="K362" s="11">
        <f>11.4437 * CHOOSE(CONTROL!$C$32, $C$9, 100%, $E$9)</f>
        <v>11.4437</v>
      </c>
      <c r="L362" s="11">
        <f>6.6708 * CHOOSE(CONTROL!$C$32, $C$9, 100%, $E$9)</f>
        <v>6.6707999999999998</v>
      </c>
      <c r="M362" s="11">
        <f>6.6744 * CHOOSE(CONTROL!$C$32, $C$9, 100%, $E$9)</f>
        <v>6.6744000000000003</v>
      </c>
      <c r="N362" s="11">
        <f>6.6708 * CHOOSE(CONTROL!$C$32, $C$9, 100%, $E$9)</f>
        <v>6.6707999999999998</v>
      </c>
      <c r="O362" s="11">
        <f>6.6744 * CHOOSE(CONTROL!$C$32, $C$9, 100%, $E$9)</f>
        <v>6.6744000000000003</v>
      </c>
    </row>
    <row r="363" spans="1:15" ht="15" x14ac:dyDescent="0.2">
      <c r="A363" s="13">
        <v>51898</v>
      </c>
      <c r="B363" s="9">
        <f>5.5115 * CHOOSE(CONTROL!$C$32, $C$9, 100%, $E$9)</f>
        <v>5.5114999999999998</v>
      </c>
      <c r="C363" s="9">
        <f>5.5115 * CHOOSE(CONTROL!$C$32, $C$9, 100%, $E$9)</f>
        <v>5.5114999999999998</v>
      </c>
      <c r="D363" s="9">
        <f>5.5125 * CHOOSE(CONTROL!$C$32, $C$9, 100%, $E$9)</f>
        <v>5.5125000000000002</v>
      </c>
      <c r="E363" s="11">
        <f>6.5461 * CHOOSE(CONTROL!$C$32, $C$9, 100%, $E$9)</f>
        <v>6.5461</v>
      </c>
      <c r="F363" s="11">
        <f>6.5461 * CHOOSE(CONTROL!$C$32, $C$9, 100%, $E$9)</f>
        <v>6.5461</v>
      </c>
      <c r="G363" s="11">
        <f>6.5497 * CHOOSE(CONTROL!$C$32, $C$9, 100%, $E$9)</f>
        <v>6.5496999999999996</v>
      </c>
      <c r="H363" s="11">
        <f>11.4639 * CHOOSE(CONTROL!$C$32, $C$9, 100%, $E$9)</f>
        <v>11.463900000000001</v>
      </c>
      <c r="I363" s="11">
        <f>11.4676 * CHOOSE(CONTROL!$C$32, $C$9, 100%, $E$9)</f>
        <v>11.467599999999999</v>
      </c>
      <c r="J363" s="11">
        <f>11.4639 * CHOOSE(CONTROL!$C$32, $C$9, 100%, $E$9)</f>
        <v>11.463900000000001</v>
      </c>
      <c r="K363" s="11">
        <f>11.4676 * CHOOSE(CONTROL!$C$32, $C$9, 100%, $E$9)</f>
        <v>11.467599999999999</v>
      </c>
      <c r="L363" s="11">
        <f>6.5461 * CHOOSE(CONTROL!$C$32, $C$9, 100%, $E$9)</f>
        <v>6.5461</v>
      </c>
      <c r="M363" s="11">
        <f>6.5497 * CHOOSE(CONTROL!$C$32, $C$9, 100%, $E$9)</f>
        <v>6.5496999999999996</v>
      </c>
      <c r="N363" s="11">
        <f>6.5461 * CHOOSE(CONTROL!$C$32, $C$9, 100%, $E$9)</f>
        <v>6.5461</v>
      </c>
      <c r="O363" s="11">
        <f>6.5497 * CHOOSE(CONTROL!$C$32, $C$9, 100%, $E$9)</f>
        <v>6.5496999999999996</v>
      </c>
    </row>
    <row r="364" spans="1:15" ht="15" x14ac:dyDescent="0.2">
      <c r="A364" s="13">
        <v>51926</v>
      </c>
      <c r="B364" s="9">
        <f>5.5084 * CHOOSE(CONTROL!$C$32, $C$9, 100%, $E$9)</f>
        <v>5.5084</v>
      </c>
      <c r="C364" s="9">
        <f>5.5084 * CHOOSE(CONTROL!$C$32, $C$9, 100%, $E$9)</f>
        <v>5.5084</v>
      </c>
      <c r="D364" s="9">
        <f>5.5095 * CHOOSE(CONTROL!$C$32, $C$9, 100%, $E$9)</f>
        <v>5.5095000000000001</v>
      </c>
      <c r="E364" s="11">
        <f>6.6406 * CHOOSE(CONTROL!$C$32, $C$9, 100%, $E$9)</f>
        <v>6.6406000000000001</v>
      </c>
      <c r="F364" s="11">
        <f>6.6406 * CHOOSE(CONTROL!$C$32, $C$9, 100%, $E$9)</f>
        <v>6.6406000000000001</v>
      </c>
      <c r="G364" s="11">
        <f>6.6442 * CHOOSE(CONTROL!$C$32, $C$9, 100%, $E$9)</f>
        <v>6.6441999999999997</v>
      </c>
      <c r="H364" s="11">
        <f>11.4878 * CHOOSE(CONTROL!$C$32, $C$9, 100%, $E$9)</f>
        <v>11.4878</v>
      </c>
      <c r="I364" s="11">
        <f>11.4914 * CHOOSE(CONTROL!$C$32, $C$9, 100%, $E$9)</f>
        <v>11.491400000000001</v>
      </c>
      <c r="J364" s="11">
        <f>11.4878 * CHOOSE(CONTROL!$C$32, $C$9, 100%, $E$9)</f>
        <v>11.4878</v>
      </c>
      <c r="K364" s="11">
        <f>11.4914 * CHOOSE(CONTROL!$C$32, $C$9, 100%, $E$9)</f>
        <v>11.491400000000001</v>
      </c>
      <c r="L364" s="11">
        <f>6.6406 * CHOOSE(CONTROL!$C$32, $C$9, 100%, $E$9)</f>
        <v>6.6406000000000001</v>
      </c>
      <c r="M364" s="11">
        <f>6.6442 * CHOOSE(CONTROL!$C$32, $C$9, 100%, $E$9)</f>
        <v>6.6441999999999997</v>
      </c>
      <c r="N364" s="11">
        <f>6.6406 * CHOOSE(CONTROL!$C$32, $C$9, 100%, $E$9)</f>
        <v>6.6406000000000001</v>
      </c>
      <c r="O364" s="11">
        <f>6.6442 * CHOOSE(CONTROL!$C$32, $C$9, 100%, $E$9)</f>
        <v>6.6441999999999997</v>
      </c>
    </row>
    <row r="365" spans="1:15" ht="15" x14ac:dyDescent="0.2">
      <c r="A365" s="13">
        <v>51957</v>
      </c>
      <c r="B365" s="9">
        <f>5.5075 * CHOOSE(CONTROL!$C$32, $C$9, 100%, $E$9)</f>
        <v>5.5075000000000003</v>
      </c>
      <c r="C365" s="9">
        <f>5.5075 * CHOOSE(CONTROL!$C$32, $C$9, 100%, $E$9)</f>
        <v>5.5075000000000003</v>
      </c>
      <c r="D365" s="9">
        <f>5.5086 * CHOOSE(CONTROL!$C$32, $C$9, 100%, $E$9)</f>
        <v>5.5086000000000004</v>
      </c>
      <c r="E365" s="11">
        <f>6.7402 * CHOOSE(CONTROL!$C$32, $C$9, 100%, $E$9)</f>
        <v>6.7401999999999997</v>
      </c>
      <c r="F365" s="11">
        <f>6.7402 * CHOOSE(CONTROL!$C$32, $C$9, 100%, $E$9)</f>
        <v>6.7401999999999997</v>
      </c>
      <c r="G365" s="11">
        <f>6.7438 * CHOOSE(CONTROL!$C$32, $C$9, 100%, $E$9)</f>
        <v>6.7438000000000002</v>
      </c>
      <c r="H365" s="11">
        <f>11.5118 * CHOOSE(CONTROL!$C$32, $C$9, 100%, $E$9)</f>
        <v>11.511799999999999</v>
      </c>
      <c r="I365" s="11">
        <f>11.5154 * CHOOSE(CONTROL!$C$32, $C$9, 100%, $E$9)</f>
        <v>11.5154</v>
      </c>
      <c r="J365" s="11">
        <f>11.5118 * CHOOSE(CONTROL!$C$32, $C$9, 100%, $E$9)</f>
        <v>11.511799999999999</v>
      </c>
      <c r="K365" s="11">
        <f>11.5154 * CHOOSE(CONTROL!$C$32, $C$9, 100%, $E$9)</f>
        <v>11.5154</v>
      </c>
      <c r="L365" s="11">
        <f>6.7402 * CHOOSE(CONTROL!$C$32, $C$9, 100%, $E$9)</f>
        <v>6.7401999999999997</v>
      </c>
      <c r="M365" s="11">
        <f>6.7438 * CHOOSE(CONTROL!$C$32, $C$9, 100%, $E$9)</f>
        <v>6.7438000000000002</v>
      </c>
      <c r="N365" s="11">
        <f>6.7402 * CHOOSE(CONTROL!$C$32, $C$9, 100%, $E$9)</f>
        <v>6.7401999999999997</v>
      </c>
      <c r="O365" s="11">
        <f>6.7438 * CHOOSE(CONTROL!$C$32, $C$9, 100%, $E$9)</f>
        <v>6.7438000000000002</v>
      </c>
    </row>
    <row r="366" spans="1:15" ht="15" x14ac:dyDescent="0.2">
      <c r="A366" s="13">
        <v>51987</v>
      </c>
      <c r="B366" s="9">
        <f>5.5075 * CHOOSE(CONTROL!$C$32, $C$9, 100%, $E$9)</f>
        <v>5.5075000000000003</v>
      </c>
      <c r="C366" s="9">
        <f>5.5075 * CHOOSE(CONTROL!$C$32, $C$9, 100%, $E$9)</f>
        <v>5.5075000000000003</v>
      </c>
      <c r="D366" s="9">
        <f>5.5091 * CHOOSE(CONTROL!$C$32, $C$9, 100%, $E$9)</f>
        <v>5.5091000000000001</v>
      </c>
      <c r="E366" s="11">
        <f>6.7791 * CHOOSE(CONTROL!$C$32, $C$9, 100%, $E$9)</f>
        <v>6.7790999999999997</v>
      </c>
      <c r="F366" s="11">
        <f>6.7791 * CHOOSE(CONTROL!$C$32, $C$9, 100%, $E$9)</f>
        <v>6.7790999999999997</v>
      </c>
      <c r="G366" s="11">
        <f>6.7844 * CHOOSE(CONTROL!$C$32, $C$9, 100%, $E$9)</f>
        <v>6.7843999999999998</v>
      </c>
      <c r="H366" s="11">
        <f>11.5357 * CHOOSE(CONTROL!$C$32, $C$9, 100%, $E$9)</f>
        <v>11.5357</v>
      </c>
      <c r="I366" s="11">
        <f>11.541 * CHOOSE(CONTROL!$C$32, $C$9, 100%, $E$9)</f>
        <v>11.541</v>
      </c>
      <c r="J366" s="11">
        <f>11.5357 * CHOOSE(CONTROL!$C$32, $C$9, 100%, $E$9)</f>
        <v>11.5357</v>
      </c>
      <c r="K366" s="11">
        <f>11.541 * CHOOSE(CONTROL!$C$32, $C$9, 100%, $E$9)</f>
        <v>11.541</v>
      </c>
      <c r="L366" s="11">
        <f>6.7791 * CHOOSE(CONTROL!$C$32, $C$9, 100%, $E$9)</f>
        <v>6.7790999999999997</v>
      </c>
      <c r="M366" s="11">
        <f>6.7844 * CHOOSE(CONTROL!$C$32, $C$9, 100%, $E$9)</f>
        <v>6.7843999999999998</v>
      </c>
      <c r="N366" s="11">
        <f>6.7791 * CHOOSE(CONTROL!$C$32, $C$9, 100%, $E$9)</f>
        <v>6.7790999999999997</v>
      </c>
      <c r="O366" s="11">
        <f>6.7844 * CHOOSE(CONTROL!$C$32, $C$9, 100%, $E$9)</f>
        <v>6.7843999999999998</v>
      </c>
    </row>
    <row r="367" spans="1:15" ht="15" x14ac:dyDescent="0.2">
      <c r="A367" s="13">
        <v>52018</v>
      </c>
      <c r="B367" s="9">
        <f>5.5136 * CHOOSE(CONTROL!$C$32, $C$9, 100%, $E$9)</f>
        <v>5.5136000000000003</v>
      </c>
      <c r="C367" s="9">
        <f>5.5136 * CHOOSE(CONTROL!$C$32, $C$9, 100%, $E$9)</f>
        <v>5.5136000000000003</v>
      </c>
      <c r="D367" s="9">
        <f>5.5152 * CHOOSE(CONTROL!$C$32, $C$9, 100%, $E$9)</f>
        <v>5.5152000000000001</v>
      </c>
      <c r="E367" s="11">
        <f>6.7444 * CHOOSE(CONTROL!$C$32, $C$9, 100%, $E$9)</f>
        <v>6.7443999999999997</v>
      </c>
      <c r="F367" s="11">
        <f>6.7444 * CHOOSE(CONTROL!$C$32, $C$9, 100%, $E$9)</f>
        <v>6.7443999999999997</v>
      </c>
      <c r="G367" s="11">
        <f>6.7497 * CHOOSE(CONTROL!$C$32, $C$9, 100%, $E$9)</f>
        <v>6.7496999999999998</v>
      </c>
      <c r="H367" s="11">
        <f>11.5598 * CHOOSE(CONTROL!$C$32, $C$9, 100%, $E$9)</f>
        <v>11.559799999999999</v>
      </c>
      <c r="I367" s="11">
        <f>11.5651 * CHOOSE(CONTROL!$C$32, $C$9, 100%, $E$9)</f>
        <v>11.565099999999999</v>
      </c>
      <c r="J367" s="11">
        <f>11.5598 * CHOOSE(CONTROL!$C$32, $C$9, 100%, $E$9)</f>
        <v>11.559799999999999</v>
      </c>
      <c r="K367" s="11">
        <f>11.5651 * CHOOSE(CONTROL!$C$32, $C$9, 100%, $E$9)</f>
        <v>11.565099999999999</v>
      </c>
      <c r="L367" s="11">
        <f>6.7444 * CHOOSE(CONTROL!$C$32, $C$9, 100%, $E$9)</f>
        <v>6.7443999999999997</v>
      </c>
      <c r="M367" s="11">
        <f>6.7497 * CHOOSE(CONTROL!$C$32, $C$9, 100%, $E$9)</f>
        <v>6.7496999999999998</v>
      </c>
      <c r="N367" s="11">
        <f>6.7444 * CHOOSE(CONTROL!$C$32, $C$9, 100%, $E$9)</f>
        <v>6.7443999999999997</v>
      </c>
      <c r="O367" s="11">
        <f>6.7497 * CHOOSE(CONTROL!$C$32, $C$9, 100%, $E$9)</f>
        <v>6.7496999999999998</v>
      </c>
    </row>
    <row r="368" spans="1:15" ht="15" x14ac:dyDescent="0.2">
      <c r="A368" s="13">
        <v>52048</v>
      </c>
      <c r="B368" s="9">
        <f>5.5892 * CHOOSE(CONTROL!$C$32, $C$9, 100%, $E$9)</f>
        <v>5.5891999999999999</v>
      </c>
      <c r="C368" s="9">
        <f>5.5892 * CHOOSE(CONTROL!$C$32, $C$9, 100%, $E$9)</f>
        <v>5.5891999999999999</v>
      </c>
      <c r="D368" s="9">
        <f>5.5907 * CHOOSE(CONTROL!$C$32, $C$9, 100%, $E$9)</f>
        <v>5.5907</v>
      </c>
      <c r="E368" s="11">
        <f>6.7633 * CHOOSE(CONTROL!$C$32, $C$9, 100%, $E$9)</f>
        <v>6.7633000000000001</v>
      </c>
      <c r="F368" s="11">
        <f>6.7633 * CHOOSE(CONTROL!$C$32, $C$9, 100%, $E$9)</f>
        <v>6.7633000000000001</v>
      </c>
      <c r="G368" s="11">
        <f>6.7686 * CHOOSE(CONTROL!$C$32, $C$9, 100%, $E$9)</f>
        <v>6.7686000000000002</v>
      </c>
      <c r="H368" s="11">
        <f>11.5839 * CHOOSE(CONTROL!$C$32, $C$9, 100%, $E$9)</f>
        <v>11.5839</v>
      </c>
      <c r="I368" s="11">
        <f>11.5892 * CHOOSE(CONTROL!$C$32, $C$9, 100%, $E$9)</f>
        <v>11.5892</v>
      </c>
      <c r="J368" s="11">
        <f>11.5839 * CHOOSE(CONTROL!$C$32, $C$9, 100%, $E$9)</f>
        <v>11.5839</v>
      </c>
      <c r="K368" s="11">
        <f>11.5892 * CHOOSE(CONTROL!$C$32, $C$9, 100%, $E$9)</f>
        <v>11.5892</v>
      </c>
      <c r="L368" s="11">
        <f>6.7633 * CHOOSE(CONTROL!$C$32, $C$9, 100%, $E$9)</f>
        <v>6.7633000000000001</v>
      </c>
      <c r="M368" s="11">
        <f>6.7686 * CHOOSE(CONTROL!$C$32, $C$9, 100%, $E$9)</f>
        <v>6.7686000000000002</v>
      </c>
      <c r="N368" s="11">
        <f>6.7633 * CHOOSE(CONTROL!$C$32, $C$9, 100%, $E$9)</f>
        <v>6.7633000000000001</v>
      </c>
      <c r="O368" s="11">
        <f>6.7686 * CHOOSE(CONTROL!$C$32, $C$9, 100%, $E$9)</f>
        <v>6.7686000000000002</v>
      </c>
    </row>
    <row r="369" spans="1:15" ht="15" x14ac:dyDescent="0.2">
      <c r="A369" s="13">
        <v>52079</v>
      </c>
      <c r="B369" s="9">
        <f>5.5958 * CHOOSE(CONTROL!$C$32, $C$9, 100%, $E$9)</f>
        <v>5.5957999999999997</v>
      </c>
      <c r="C369" s="9">
        <f>5.5958 * CHOOSE(CONTROL!$C$32, $C$9, 100%, $E$9)</f>
        <v>5.5957999999999997</v>
      </c>
      <c r="D369" s="9">
        <f>5.5974 * CHOOSE(CONTROL!$C$32, $C$9, 100%, $E$9)</f>
        <v>5.5974000000000004</v>
      </c>
      <c r="E369" s="11">
        <f>6.6512 * CHOOSE(CONTROL!$C$32, $C$9, 100%, $E$9)</f>
        <v>6.6512000000000002</v>
      </c>
      <c r="F369" s="11">
        <f>6.6512 * CHOOSE(CONTROL!$C$32, $C$9, 100%, $E$9)</f>
        <v>6.6512000000000002</v>
      </c>
      <c r="G369" s="11">
        <f>6.6565 * CHOOSE(CONTROL!$C$32, $C$9, 100%, $E$9)</f>
        <v>6.6565000000000003</v>
      </c>
      <c r="H369" s="11">
        <f>11.608 * CHOOSE(CONTROL!$C$32, $C$9, 100%, $E$9)</f>
        <v>11.608000000000001</v>
      </c>
      <c r="I369" s="11">
        <f>11.6133 * CHOOSE(CONTROL!$C$32, $C$9, 100%, $E$9)</f>
        <v>11.613300000000001</v>
      </c>
      <c r="J369" s="11">
        <f>11.608 * CHOOSE(CONTROL!$C$32, $C$9, 100%, $E$9)</f>
        <v>11.608000000000001</v>
      </c>
      <c r="K369" s="11">
        <f>11.6133 * CHOOSE(CONTROL!$C$32, $C$9, 100%, $E$9)</f>
        <v>11.613300000000001</v>
      </c>
      <c r="L369" s="11">
        <f>6.6512 * CHOOSE(CONTROL!$C$32, $C$9, 100%, $E$9)</f>
        <v>6.6512000000000002</v>
      </c>
      <c r="M369" s="11">
        <f>6.6565 * CHOOSE(CONTROL!$C$32, $C$9, 100%, $E$9)</f>
        <v>6.6565000000000003</v>
      </c>
      <c r="N369" s="11">
        <f>6.6512 * CHOOSE(CONTROL!$C$32, $C$9, 100%, $E$9)</f>
        <v>6.6512000000000002</v>
      </c>
      <c r="O369" s="11">
        <f>6.6565 * CHOOSE(CONTROL!$C$32, $C$9, 100%, $E$9)</f>
        <v>6.6565000000000003</v>
      </c>
    </row>
    <row r="370" spans="1:15" ht="15" x14ac:dyDescent="0.2">
      <c r="A370" s="13">
        <v>52110</v>
      </c>
      <c r="B370" s="9">
        <f>5.5928 * CHOOSE(CONTROL!$C$32, $C$9, 100%, $E$9)</f>
        <v>5.5928000000000004</v>
      </c>
      <c r="C370" s="9">
        <f>5.5928 * CHOOSE(CONTROL!$C$32, $C$9, 100%, $E$9)</f>
        <v>5.5928000000000004</v>
      </c>
      <c r="D370" s="9">
        <f>5.5944 * CHOOSE(CONTROL!$C$32, $C$9, 100%, $E$9)</f>
        <v>5.5944000000000003</v>
      </c>
      <c r="E370" s="11">
        <f>6.6361 * CHOOSE(CONTROL!$C$32, $C$9, 100%, $E$9)</f>
        <v>6.6360999999999999</v>
      </c>
      <c r="F370" s="11">
        <f>6.6361 * CHOOSE(CONTROL!$C$32, $C$9, 100%, $E$9)</f>
        <v>6.6360999999999999</v>
      </c>
      <c r="G370" s="11">
        <f>6.6414 * CHOOSE(CONTROL!$C$32, $C$9, 100%, $E$9)</f>
        <v>6.6414</v>
      </c>
      <c r="H370" s="11">
        <f>11.6322 * CHOOSE(CONTROL!$C$32, $C$9, 100%, $E$9)</f>
        <v>11.632199999999999</v>
      </c>
      <c r="I370" s="11">
        <f>11.6375 * CHOOSE(CONTROL!$C$32, $C$9, 100%, $E$9)</f>
        <v>11.637499999999999</v>
      </c>
      <c r="J370" s="11">
        <f>11.6322 * CHOOSE(CONTROL!$C$32, $C$9, 100%, $E$9)</f>
        <v>11.632199999999999</v>
      </c>
      <c r="K370" s="11">
        <f>11.6375 * CHOOSE(CONTROL!$C$32, $C$9, 100%, $E$9)</f>
        <v>11.637499999999999</v>
      </c>
      <c r="L370" s="11">
        <f>6.6361 * CHOOSE(CONTROL!$C$32, $C$9, 100%, $E$9)</f>
        <v>6.6360999999999999</v>
      </c>
      <c r="M370" s="11">
        <f>6.6414 * CHOOSE(CONTROL!$C$32, $C$9, 100%, $E$9)</f>
        <v>6.6414</v>
      </c>
      <c r="N370" s="11">
        <f>6.6361 * CHOOSE(CONTROL!$C$32, $C$9, 100%, $E$9)</f>
        <v>6.6360999999999999</v>
      </c>
      <c r="O370" s="11">
        <f>6.6414 * CHOOSE(CONTROL!$C$32, $C$9, 100%, $E$9)</f>
        <v>6.6414</v>
      </c>
    </row>
    <row r="371" spans="1:15" ht="15" x14ac:dyDescent="0.2">
      <c r="A371" s="13">
        <v>52140</v>
      </c>
      <c r="B371" s="9">
        <f>5.5938 * CHOOSE(CONTROL!$C$32, $C$9, 100%, $E$9)</f>
        <v>5.5937999999999999</v>
      </c>
      <c r="C371" s="9">
        <f>5.5938 * CHOOSE(CONTROL!$C$32, $C$9, 100%, $E$9)</f>
        <v>5.5937999999999999</v>
      </c>
      <c r="D371" s="9">
        <f>5.5949 * CHOOSE(CONTROL!$C$32, $C$9, 100%, $E$9)</f>
        <v>5.5949</v>
      </c>
      <c r="E371" s="11">
        <f>6.6746 * CHOOSE(CONTROL!$C$32, $C$9, 100%, $E$9)</f>
        <v>6.6745999999999999</v>
      </c>
      <c r="F371" s="11">
        <f>6.6746 * CHOOSE(CONTROL!$C$32, $C$9, 100%, $E$9)</f>
        <v>6.6745999999999999</v>
      </c>
      <c r="G371" s="11">
        <f>6.6782 * CHOOSE(CONTROL!$C$32, $C$9, 100%, $E$9)</f>
        <v>6.6782000000000004</v>
      </c>
      <c r="H371" s="11">
        <f>11.6564 * CHOOSE(CONTROL!$C$32, $C$9, 100%, $E$9)</f>
        <v>11.6564</v>
      </c>
      <c r="I371" s="11">
        <f>11.66 * CHOOSE(CONTROL!$C$32, $C$9, 100%, $E$9)</f>
        <v>11.66</v>
      </c>
      <c r="J371" s="11">
        <f>11.6564 * CHOOSE(CONTROL!$C$32, $C$9, 100%, $E$9)</f>
        <v>11.6564</v>
      </c>
      <c r="K371" s="11">
        <f>11.66 * CHOOSE(CONTROL!$C$32, $C$9, 100%, $E$9)</f>
        <v>11.66</v>
      </c>
      <c r="L371" s="11">
        <f>6.6746 * CHOOSE(CONTROL!$C$32, $C$9, 100%, $E$9)</f>
        <v>6.6745999999999999</v>
      </c>
      <c r="M371" s="11">
        <f>6.6782 * CHOOSE(CONTROL!$C$32, $C$9, 100%, $E$9)</f>
        <v>6.6782000000000004</v>
      </c>
      <c r="N371" s="11">
        <f>6.6746 * CHOOSE(CONTROL!$C$32, $C$9, 100%, $E$9)</f>
        <v>6.6745999999999999</v>
      </c>
      <c r="O371" s="11">
        <f>6.6782 * CHOOSE(CONTROL!$C$32, $C$9, 100%, $E$9)</f>
        <v>6.6782000000000004</v>
      </c>
    </row>
    <row r="372" spans="1:15" ht="15" x14ac:dyDescent="0.2">
      <c r="A372" s="13">
        <v>52171</v>
      </c>
      <c r="B372" s="9">
        <f>5.5968 * CHOOSE(CONTROL!$C$32, $C$9, 100%, $E$9)</f>
        <v>5.5968</v>
      </c>
      <c r="C372" s="9">
        <f>5.5968 * CHOOSE(CONTROL!$C$32, $C$9, 100%, $E$9)</f>
        <v>5.5968</v>
      </c>
      <c r="D372" s="9">
        <f>5.5979 * CHOOSE(CONTROL!$C$32, $C$9, 100%, $E$9)</f>
        <v>5.5979000000000001</v>
      </c>
      <c r="E372" s="11">
        <f>6.7026 * CHOOSE(CONTROL!$C$32, $C$9, 100%, $E$9)</f>
        <v>6.7026000000000003</v>
      </c>
      <c r="F372" s="11">
        <f>6.7026 * CHOOSE(CONTROL!$C$32, $C$9, 100%, $E$9)</f>
        <v>6.7026000000000003</v>
      </c>
      <c r="G372" s="11">
        <f>6.7063 * CHOOSE(CONTROL!$C$32, $C$9, 100%, $E$9)</f>
        <v>6.7062999999999997</v>
      </c>
      <c r="H372" s="11">
        <f>11.6807 * CHOOSE(CONTROL!$C$32, $C$9, 100%, $E$9)</f>
        <v>11.6807</v>
      </c>
      <c r="I372" s="11">
        <f>11.6843 * CHOOSE(CONTROL!$C$32, $C$9, 100%, $E$9)</f>
        <v>11.6843</v>
      </c>
      <c r="J372" s="11">
        <f>11.6807 * CHOOSE(CONTROL!$C$32, $C$9, 100%, $E$9)</f>
        <v>11.6807</v>
      </c>
      <c r="K372" s="11">
        <f>11.6843 * CHOOSE(CONTROL!$C$32, $C$9, 100%, $E$9)</f>
        <v>11.6843</v>
      </c>
      <c r="L372" s="11">
        <f>6.7026 * CHOOSE(CONTROL!$C$32, $C$9, 100%, $E$9)</f>
        <v>6.7026000000000003</v>
      </c>
      <c r="M372" s="11">
        <f>6.7063 * CHOOSE(CONTROL!$C$32, $C$9, 100%, $E$9)</f>
        <v>6.7062999999999997</v>
      </c>
      <c r="N372" s="11">
        <f>6.7026 * CHOOSE(CONTROL!$C$32, $C$9, 100%, $E$9)</f>
        <v>6.7026000000000003</v>
      </c>
      <c r="O372" s="11">
        <f>6.7063 * CHOOSE(CONTROL!$C$32, $C$9, 100%, $E$9)</f>
        <v>6.7062999999999997</v>
      </c>
    </row>
    <row r="373" spans="1:15" ht="15" x14ac:dyDescent="0.2">
      <c r="A373" s="13">
        <v>52201</v>
      </c>
      <c r="B373" s="9">
        <f>5.5968 * CHOOSE(CONTROL!$C$32, $C$9, 100%, $E$9)</f>
        <v>5.5968</v>
      </c>
      <c r="C373" s="9">
        <f>5.5968 * CHOOSE(CONTROL!$C$32, $C$9, 100%, $E$9)</f>
        <v>5.5968</v>
      </c>
      <c r="D373" s="9">
        <f>5.5979 * CHOOSE(CONTROL!$C$32, $C$9, 100%, $E$9)</f>
        <v>5.5979000000000001</v>
      </c>
      <c r="E373" s="11">
        <f>6.6378 * CHOOSE(CONTROL!$C$32, $C$9, 100%, $E$9)</f>
        <v>6.6378000000000004</v>
      </c>
      <c r="F373" s="11">
        <f>6.6378 * CHOOSE(CONTROL!$C$32, $C$9, 100%, $E$9)</f>
        <v>6.6378000000000004</v>
      </c>
      <c r="G373" s="11">
        <f>6.6414 * CHOOSE(CONTROL!$C$32, $C$9, 100%, $E$9)</f>
        <v>6.6414</v>
      </c>
      <c r="H373" s="11">
        <f>11.705 * CHOOSE(CONTROL!$C$32, $C$9, 100%, $E$9)</f>
        <v>11.705</v>
      </c>
      <c r="I373" s="11">
        <f>11.7086 * CHOOSE(CONTROL!$C$32, $C$9, 100%, $E$9)</f>
        <v>11.708600000000001</v>
      </c>
      <c r="J373" s="11">
        <f>11.705 * CHOOSE(CONTROL!$C$32, $C$9, 100%, $E$9)</f>
        <v>11.705</v>
      </c>
      <c r="K373" s="11">
        <f>11.7086 * CHOOSE(CONTROL!$C$32, $C$9, 100%, $E$9)</f>
        <v>11.708600000000001</v>
      </c>
      <c r="L373" s="11">
        <f>6.6378 * CHOOSE(CONTROL!$C$32, $C$9, 100%, $E$9)</f>
        <v>6.6378000000000004</v>
      </c>
      <c r="M373" s="11">
        <f>6.6414 * CHOOSE(CONTROL!$C$32, $C$9, 100%, $E$9)</f>
        <v>6.6414</v>
      </c>
      <c r="N373" s="11">
        <f>6.6378 * CHOOSE(CONTROL!$C$32, $C$9, 100%, $E$9)</f>
        <v>6.6378000000000004</v>
      </c>
      <c r="O373" s="11">
        <f>6.6414 * CHOOSE(CONTROL!$C$32, $C$9, 100%, $E$9)</f>
        <v>6.6414</v>
      </c>
    </row>
    <row r="374" spans="1:15" ht="15" x14ac:dyDescent="0.2">
      <c r="A374" s="13">
        <v>52232</v>
      </c>
      <c r="B374" s="9">
        <f>5.6399 * CHOOSE(CONTROL!$C$32, $C$9, 100%, $E$9)</f>
        <v>5.6398999999999999</v>
      </c>
      <c r="C374" s="9">
        <f>5.6399 * CHOOSE(CONTROL!$C$32, $C$9, 100%, $E$9)</f>
        <v>5.6398999999999999</v>
      </c>
      <c r="D374" s="9">
        <f>5.6409 * CHOOSE(CONTROL!$C$32, $C$9, 100%, $E$9)</f>
        <v>5.6409000000000002</v>
      </c>
      <c r="E374" s="11">
        <f>6.7096 * CHOOSE(CONTROL!$C$32, $C$9, 100%, $E$9)</f>
        <v>6.7096</v>
      </c>
      <c r="F374" s="11">
        <f>6.7096 * CHOOSE(CONTROL!$C$32, $C$9, 100%, $E$9)</f>
        <v>6.7096</v>
      </c>
      <c r="G374" s="11">
        <f>6.7132 * CHOOSE(CONTROL!$C$32, $C$9, 100%, $E$9)</f>
        <v>6.7131999999999996</v>
      </c>
      <c r="H374" s="11">
        <f>11.7294 * CHOOSE(CONTROL!$C$32, $C$9, 100%, $E$9)</f>
        <v>11.7294</v>
      </c>
      <c r="I374" s="11">
        <f>11.733 * CHOOSE(CONTROL!$C$32, $C$9, 100%, $E$9)</f>
        <v>11.733000000000001</v>
      </c>
      <c r="J374" s="11">
        <f>11.7294 * CHOOSE(CONTROL!$C$32, $C$9, 100%, $E$9)</f>
        <v>11.7294</v>
      </c>
      <c r="K374" s="11">
        <f>11.733 * CHOOSE(CONTROL!$C$32, $C$9, 100%, $E$9)</f>
        <v>11.733000000000001</v>
      </c>
      <c r="L374" s="11">
        <f>6.7096 * CHOOSE(CONTROL!$C$32, $C$9, 100%, $E$9)</f>
        <v>6.7096</v>
      </c>
      <c r="M374" s="11">
        <f>6.7132 * CHOOSE(CONTROL!$C$32, $C$9, 100%, $E$9)</f>
        <v>6.7131999999999996</v>
      </c>
      <c r="N374" s="11">
        <f>6.7096 * CHOOSE(CONTROL!$C$32, $C$9, 100%, $E$9)</f>
        <v>6.7096</v>
      </c>
      <c r="O374" s="11">
        <f>6.7132 * CHOOSE(CONTROL!$C$32, $C$9, 100%, $E$9)</f>
        <v>6.7131999999999996</v>
      </c>
    </row>
    <row r="375" spans="1:15" ht="15" x14ac:dyDescent="0.2">
      <c r="A375" s="13">
        <v>52263</v>
      </c>
      <c r="B375" s="9">
        <f>5.6368 * CHOOSE(CONTROL!$C$32, $C$9, 100%, $E$9)</f>
        <v>5.6368</v>
      </c>
      <c r="C375" s="9">
        <f>5.6368 * CHOOSE(CONTROL!$C$32, $C$9, 100%, $E$9)</f>
        <v>5.6368</v>
      </c>
      <c r="D375" s="9">
        <f>5.6379 * CHOOSE(CONTROL!$C$32, $C$9, 100%, $E$9)</f>
        <v>5.6379000000000001</v>
      </c>
      <c r="E375" s="11">
        <f>6.5809 * CHOOSE(CONTROL!$C$32, $C$9, 100%, $E$9)</f>
        <v>6.5808999999999997</v>
      </c>
      <c r="F375" s="11">
        <f>6.5809 * CHOOSE(CONTROL!$C$32, $C$9, 100%, $E$9)</f>
        <v>6.5808999999999997</v>
      </c>
      <c r="G375" s="11">
        <f>6.5845 * CHOOSE(CONTROL!$C$32, $C$9, 100%, $E$9)</f>
        <v>6.5845000000000002</v>
      </c>
      <c r="H375" s="11">
        <f>11.7539 * CHOOSE(CONTROL!$C$32, $C$9, 100%, $E$9)</f>
        <v>11.7539</v>
      </c>
      <c r="I375" s="11">
        <f>11.7575 * CHOOSE(CONTROL!$C$32, $C$9, 100%, $E$9)</f>
        <v>11.7575</v>
      </c>
      <c r="J375" s="11">
        <f>11.7539 * CHOOSE(CONTROL!$C$32, $C$9, 100%, $E$9)</f>
        <v>11.7539</v>
      </c>
      <c r="K375" s="11">
        <f>11.7575 * CHOOSE(CONTROL!$C$32, $C$9, 100%, $E$9)</f>
        <v>11.7575</v>
      </c>
      <c r="L375" s="11">
        <f>6.5809 * CHOOSE(CONTROL!$C$32, $C$9, 100%, $E$9)</f>
        <v>6.5808999999999997</v>
      </c>
      <c r="M375" s="11">
        <f>6.5845 * CHOOSE(CONTROL!$C$32, $C$9, 100%, $E$9)</f>
        <v>6.5845000000000002</v>
      </c>
      <c r="N375" s="11">
        <f>6.5809 * CHOOSE(CONTROL!$C$32, $C$9, 100%, $E$9)</f>
        <v>6.5808999999999997</v>
      </c>
      <c r="O375" s="11">
        <f>6.5845 * CHOOSE(CONTROL!$C$32, $C$9, 100%, $E$9)</f>
        <v>6.5845000000000002</v>
      </c>
    </row>
    <row r="376" spans="1:15" ht="15" x14ac:dyDescent="0.2">
      <c r="A376" s="13">
        <v>52291</v>
      </c>
      <c r="B376" s="9">
        <f>5.6338 * CHOOSE(CONTROL!$C$32, $C$9, 100%, $E$9)</f>
        <v>5.6337999999999999</v>
      </c>
      <c r="C376" s="9">
        <f>5.6338 * CHOOSE(CONTROL!$C$32, $C$9, 100%, $E$9)</f>
        <v>5.6337999999999999</v>
      </c>
      <c r="D376" s="9">
        <f>5.6349 * CHOOSE(CONTROL!$C$32, $C$9, 100%, $E$9)</f>
        <v>5.6349</v>
      </c>
      <c r="E376" s="11">
        <f>6.6786 * CHOOSE(CONTROL!$C$32, $C$9, 100%, $E$9)</f>
        <v>6.6786000000000003</v>
      </c>
      <c r="F376" s="11">
        <f>6.6786 * CHOOSE(CONTROL!$C$32, $C$9, 100%, $E$9)</f>
        <v>6.6786000000000003</v>
      </c>
      <c r="G376" s="11">
        <f>6.6822 * CHOOSE(CONTROL!$C$32, $C$9, 100%, $E$9)</f>
        <v>6.6821999999999999</v>
      </c>
      <c r="H376" s="11">
        <f>11.7783 * CHOOSE(CONTROL!$C$32, $C$9, 100%, $E$9)</f>
        <v>11.7783</v>
      </c>
      <c r="I376" s="11">
        <f>11.782 * CHOOSE(CONTROL!$C$32, $C$9, 100%, $E$9)</f>
        <v>11.782</v>
      </c>
      <c r="J376" s="11">
        <f>11.7783 * CHOOSE(CONTROL!$C$32, $C$9, 100%, $E$9)</f>
        <v>11.7783</v>
      </c>
      <c r="K376" s="11">
        <f>11.782 * CHOOSE(CONTROL!$C$32, $C$9, 100%, $E$9)</f>
        <v>11.782</v>
      </c>
      <c r="L376" s="11">
        <f>6.6786 * CHOOSE(CONTROL!$C$32, $C$9, 100%, $E$9)</f>
        <v>6.6786000000000003</v>
      </c>
      <c r="M376" s="11">
        <f>6.6822 * CHOOSE(CONTROL!$C$32, $C$9, 100%, $E$9)</f>
        <v>6.6821999999999999</v>
      </c>
      <c r="N376" s="11">
        <f>6.6786 * CHOOSE(CONTROL!$C$32, $C$9, 100%, $E$9)</f>
        <v>6.6786000000000003</v>
      </c>
      <c r="O376" s="11">
        <f>6.6822 * CHOOSE(CONTROL!$C$32, $C$9, 100%, $E$9)</f>
        <v>6.6821999999999999</v>
      </c>
    </row>
    <row r="377" spans="1:15" ht="15" x14ac:dyDescent="0.2">
      <c r="A377" s="13">
        <v>52322</v>
      </c>
      <c r="B377" s="9">
        <f>5.633 * CHOOSE(CONTROL!$C$32, $C$9, 100%, $E$9)</f>
        <v>5.633</v>
      </c>
      <c r="C377" s="9">
        <f>5.633 * CHOOSE(CONTROL!$C$32, $C$9, 100%, $E$9)</f>
        <v>5.633</v>
      </c>
      <c r="D377" s="9">
        <f>5.6341 * CHOOSE(CONTROL!$C$32, $C$9, 100%, $E$9)</f>
        <v>5.6341000000000001</v>
      </c>
      <c r="E377" s="11">
        <f>6.7815 * CHOOSE(CONTROL!$C$32, $C$9, 100%, $E$9)</f>
        <v>6.7815000000000003</v>
      </c>
      <c r="F377" s="11">
        <f>6.7815 * CHOOSE(CONTROL!$C$32, $C$9, 100%, $E$9)</f>
        <v>6.7815000000000003</v>
      </c>
      <c r="G377" s="11">
        <f>6.7852 * CHOOSE(CONTROL!$C$32, $C$9, 100%, $E$9)</f>
        <v>6.7851999999999997</v>
      </c>
      <c r="H377" s="11">
        <f>11.8029 * CHOOSE(CONTROL!$C$32, $C$9, 100%, $E$9)</f>
        <v>11.802899999999999</v>
      </c>
      <c r="I377" s="11">
        <f>11.8065 * CHOOSE(CONTROL!$C$32, $C$9, 100%, $E$9)</f>
        <v>11.8065</v>
      </c>
      <c r="J377" s="11">
        <f>11.8029 * CHOOSE(CONTROL!$C$32, $C$9, 100%, $E$9)</f>
        <v>11.802899999999999</v>
      </c>
      <c r="K377" s="11">
        <f>11.8065 * CHOOSE(CONTROL!$C$32, $C$9, 100%, $E$9)</f>
        <v>11.8065</v>
      </c>
      <c r="L377" s="11">
        <f>6.7815 * CHOOSE(CONTROL!$C$32, $C$9, 100%, $E$9)</f>
        <v>6.7815000000000003</v>
      </c>
      <c r="M377" s="11">
        <f>6.7852 * CHOOSE(CONTROL!$C$32, $C$9, 100%, $E$9)</f>
        <v>6.7851999999999997</v>
      </c>
      <c r="N377" s="11">
        <f>6.7815 * CHOOSE(CONTROL!$C$32, $C$9, 100%, $E$9)</f>
        <v>6.7815000000000003</v>
      </c>
      <c r="O377" s="11">
        <f>6.7852 * CHOOSE(CONTROL!$C$32, $C$9, 100%, $E$9)</f>
        <v>6.7851999999999997</v>
      </c>
    </row>
    <row r="378" spans="1:15" ht="15" x14ac:dyDescent="0.2">
      <c r="A378" s="13">
        <v>52352</v>
      </c>
      <c r="B378" s="9">
        <f>5.633 * CHOOSE(CONTROL!$C$32, $C$9, 100%, $E$9)</f>
        <v>5.633</v>
      </c>
      <c r="C378" s="9">
        <f>5.633 * CHOOSE(CONTROL!$C$32, $C$9, 100%, $E$9)</f>
        <v>5.633</v>
      </c>
      <c r="D378" s="9">
        <f>5.6346 * CHOOSE(CONTROL!$C$32, $C$9, 100%, $E$9)</f>
        <v>5.6345999999999998</v>
      </c>
      <c r="E378" s="11">
        <f>6.8217 * CHOOSE(CONTROL!$C$32, $C$9, 100%, $E$9)</f>
        <v>6.8216999999999999</v>
      </c>
      <c r="F378" s="11">
        <f>6.8217 * CHOOSE(CONTROL!$C$32, $C$9, 100%, $E$9)</f>
        <v>6.8216999999999999</v>
      </c>
      <c r="G378" s="11">
        <f>6.827 * CHOOSE(CONTROL!$C$32, $C$9, 100%, $E$9)</f>
        <v>6.827</v>
      </c>
      <c r="H378" s="11">
        <f>11.8275 * CHOOSE(CONTROL!$C$32, $C$9, 100%, $E$9)</f>
        <v>11.827500000000001</v>
      </c>
      <c r="I378" s="11">
        <f>11.8328 * CHOOSE(CONTROL!$C$32, $C$9, 100%, $E$9)</f>
        <v>11.832800000000001</v>
      </c>
      <c r="J378" s="11">
        <f>11.8275 * CHOOSE(CONTROL!$C$32, $C$9, 100%, $E$9)</f>
        <v>11.827500000000001</v>
      </c>
      <c r="K378" s="11">
        <f>11.8328 * CHOOSE(CONTROL!$C$32, $C$9, 100%, $E$9)</f>
        <v>11.832800000000001</v>
      </c>
      <c r="L378" s="11">
        <f>6.8217 * CHOOSE(CONTROL!$C$32, $C$9, 100%, $E$9)</f>
        <v>6.8216999999999999</v>
      </c>
      <c r="M378" s="11">
        <f>6.827 * CHOOSE(CONTROL!$C$32, $C$9, 100%, $E$9)</f>
        <v>6.827</v>
      </c>
      <c r="N378" s="11">
        <f>6.8217 * CHOOSE(CONTROL!$C$32, $C$9, 100%, $E$9)</f>
        <v>6.8216999999999999</v>
      </c>
      <c r="O378" s="11">
        <f>6.827 * CHOOSE(CONTROL!$C$32, $C$9, 100%, $E$9)</f>
        <v>6.827</v>
      </c>
    </row>
    <row r="379" spans="1:15" ht="15" x14ac:dyDescent="0.2">
      <c r="A379" s="13">
        <v>52383</v>
      </c>
      <c r="B379" s="9">
        <f>5.6391 * CHOOSE(CONTROL!$C$32, $C$9, 100%, $E$9)</f>
        <v>5.6391</v>
      </c>
      <c r="C379" s="9">
        <f>5.6391 * CHOOSE(CONTROL!$C$32, $C$9, 100%, $E$9)</f>
        <v>5.6391</v>
      </c>
      <c r="D379" s="9">
        <f>5.6407 * CHOOSE(CONTROL!$C$32, $C$9, 100%, $E$9)</f>
        <v>5.6406999999999998</v>
      </c>
      <c r="E379" s="11">
        <f>6.7858 * CHOOSE(CONTROL!$C$32, $C$9, 100%, $E$9)</f>
        <v>6.7858000000000001</v>
      </c>
      <c r="F379" s="11">
        <f>6.7858 * CHOOSE(CONTROL!$C$32, $C$9, 100%, $E$9)</f>
        <v>6.7858000000000001</v>
      </c>
      <c r="G379" s="11">
        <f>6.7911 * CHOOSE(CONTROL!$C$32, $C$9, 100%, $E$9)</f>
        <v>6.7911000000000001</v>
      </c>
      <c r="H379" s="11">
        <f>11.8521 * CHOOSE(CONTROL!$C$32, $C$9, 100%, $E$9)</f>
        <v>11.8521</v>
      </c>
      <c r="I379" s="11">
        <f>11.8574 * CHOOSE(CONTROL!$C$32, $C$9, 100%, $E$9)</f>
        <v>11.8574</v>
      </c>
      <c r="J379" s="11">
        <f>11.8521 * CHOOSE(CONTROL!$C$32, $C$9, 100%, $E$9)</f>
        <v>11.8521</v>
      </c>
      <c r="K379" s="11">
        <f>11.8574 * CHOOSE(CONTROL!$C$32, $C$9, 100%, $E$9)</f>
        <v>11.8574</v>
      </c>
      <c r="L379" s="11">
        <f>6.7858 * CHOOSE(CONTROL!$C$32, $C$9, 100%, $E$9)</f>
        <v>6.7858000000000001</v>
      </c>
      <c r="M379" s="11">
        <f>6.7911 * CHOOSE(CONTROL!$C$32, $C$9, 100%, $E$9)</f>
        <v>6.7911000000000001</v>
      </c>
      <c r="N379" s="11">
        <f>6.7858 * CHOOSE(CONTROL!$C$32, $C$9, 100%, $E$9)</f>
        <v>6.7858000000000001</v>
      </c>
      <c r="O379" s="11">
        <f>6.7911 * CHOOSE(CONTROL!$C$32, $C$9, 100%, $E$9)</f>
        <v>6.7911000000000001</v>
      </c>
    </row>
    <row r="380" spans="1:15" ht="15" x14ac:dyDescent="0.2">
      <c r="A380" s="13">
        <v>52413</v>
      </c>
      <c r="B380" s="9">
        <f>5.7154 * CHOOSE(CONTROL!$C$32, $C$9, 100%, $E$9)</f>
        <v>5.7153999999999998</v>
      </c>
      <c r="C380" s="9">
        <f>5.7154 * CHOOSE(CONTROL!$C$32, $C$9, 100%, $E$9)</f>
        <v>5.7153999999999998</v>
      </c>
      <c r="D380" s="9">
        <f>5.7169 * CHOOSE(CONTROL!$C$32, $C$9, 100%, $E$9)</f>
        <v>5.7168999999999999</v>
      </c>
      <c r="E380" s="11">
        <f>6.8109 * CHOOSE(CONTROL!$C$32, $C$9, 100%, $E$9)</f>
        <v>6.8109000000000002</v>
      </c>
      <c r="F380" s="11">
        <f>6.8109 * CHOOSE(CONTROL!$C$32, $C$9, 100%, $E$9)</f>
        <v>6.8109000000000002</v>
      </c>
      <c r="G380" s="11">
        <f>6.8162 * CHOOSE(CONTROL!$C$32, $C$9, 100%, $E$9)</f>
        <v>6.8162000000000003</v>
      </c>
      <c r="H380" s="11">
        <f>11.8768 * CHOOSE(CONTROL!$C$32, $C$9, 100%, $E$9)</f>
        <v>11.876799999999999</v>
      </c>
      <c r="I380" s="11">
        <f>11.8821 * CHOOSE(CONTROL!$C$32, $C$9, 100%, $E$9)</f>
        <v>11.882099999999999</v>
      </c>
      <c r="J380" s="11">
        <f>11.8768 * CHOOSE(CONTROL!$C$32, $C$9, 100%, $E$9)</f>
        <v>11.876799999999999</v>
      </c>
      <c r="K380" s="11">
        <f>11.8821 * CHOOSE(CONTROL!$C$32, $C$9, 100%, $E$9)</f>
        <v>11.882099999999999</v>
      </c>
      <c r="L380" s="11">
        <f>6.8109 * CHOOSE(CONTROL!$C$32, $C$9, 100%, $E$9)</f>
        <v>6.8109000000000002</v>
      </c>
      <c r="M380" s="11">
        <f>6.8162 * CHOOSE(CONTROL!$C$32, $C$9, 100%, $E$9)</f>
        <v>6.8162000000000003</v>
      </c>
      <c r="N380" s="11">
        <f>6.8109 * CHOOSE(CONTROL!$C$32, $C$9, 100%, $E$9)</f>
        <v>6.8109000000000002</v>
      </c>
      <c r="O380" s="11">
        <f>6.8162 * CHOOSE(CONTROL!$C$32, $C$9, 100%, $E$9)</f>
        <v>6.8162000000000003</v>
      </c>
    </row>
    <row r="381" spans="1:15" ht="15" x14ac:dyDescent="0.2">
      <c r="A381" s="13">
        <v>52444</v>
      </c>
      <c r="B381" s="9">
        <f>5.7221 * CHOOSE(CONTROL!$C$32, $C$9, 100%, $E$9)</f>
        <v>5.7221000000000002</v>
      </c>
      <c r="C381" s="9">
        <f>5.7221 * CHOOSE(CONTROL!$C$32, $C$9, 100%, $E$9)</f>
        <v>5.7221000000000002</v>
      </c>
      <c r="D381" s="9">
        <f>5.7236 * CHOOSE(CONTROL!$C$32, $C$9, 100%, $E$9)</f>
        <v>5.7236000000000002</v>
      </c>
      <c r="E381" s="11">
        <f>6.695 * CHOOSE(CONTROL!$C$32, $C$9, 100%, $E$9)</f>
        <v>6.6950000000000003</v>
      </c>
      <c r="F381" s="11">
        <f>6.695 * CHOOSE(CONTROL!$C$32, $C$9, 100%, $E$9)</f>
        <v>6.6950000000000003</v>
      </c>
      <c r="G381" s="11">
        <f>6.7003 * CHOOSE(CONTROL!$C$32, $C$9, 100%, $E$9)</f>
        <v>6.7003000000000004</v>
      </c>
      <c r="H381" s="11">
        <f>11.9015 * CHOOSE(CONTROL!$C$32, $C$9, 100%, $E$9)</f>
        <v>11.9015</v>
      </c>
      <c r="I381" s="11">
        <f>11.9068 * CHOOSE(CONTROL!$C$32, $C$9, 100%, $E$9)</f>
        <v>11.9068</v>
      </c>
      <c r="J381" s="11">
        <f>11.9015 * CHOOSE(CONTROL!$C$32, $C$9, 100%, $E$9)</f>
        <v>11.9015</v>
      </c>
      <c r="K381" s="11">
        <f>11.9068 * CHOOSE(CONTROL!$C$32, $C$9, 100%, $E$9)</f>
        <v>11.9068</v>
      </c>
      <c r="L381" s="11">
        <f>6.695 * CHOOSE(CONTROL!$C$32, $C$9, 100%, $E$9)</f>
        <v>6.6950000000000003</v>
      </c>
      <c r="M381" s="11">
        <f>6.7003 * CHOOSE(CONTROL!$C$32, $C$9, 100%, $E$9)</f>
        <v>6.7003000000000004</v>
      </c>
      <c r="N381" s="11">
        <f>6.695 * CHOOSE(CONTROL!$C$32, $C$9, 100%, $E$9)</f>
        <v>6.6950000000000003</v>
      </c>
      <c r="O381" s="11">
        <f>6.7003 * CHOOSE(CONTROL!$C$32, $C$9, 100%, $E$9)</f>
        <v>6.7003000000000004</v>
      </c>
    </row>
    <row r="382" spans="1:15" ht="15" x14ac:dyDescent="0.2">
      <c r="A382" s="13">
        <v>52475</v>
      </c>
      <c r="B382" s="9">
        <f>5.719 * CHOOSE(CONTROL!$C$32, $C$9, 100%, $E$9)</f>
        <v>5.7190000000000003</v>
      </c>
      <c r="C382" s="9">
        <f>5.719 * CHOOSE(CONTROL!$C$32, $C$9, 100%, $E$9)</f>
        <v>5.7190000000000003</v>
      </c>
      <c r="D382" s="9">
        <f>5.7206 * CHOOSE(CONTROL!$C$32, $C$9, 100%, $E$9)</f>
        <v>5.7206000000000001</v>
      </c>
      <c r="E382" s="11">
        <f>6.6795 * CHOOSE(CONTROL!$C$32, $C$9, 100%, $E$9)</f>
        <v>6.6795</v>
      </c>
      <c r="F382" s="11">
        <f>6.6795 * CHOOSE(CONTROL!$C$32, $C$9, 100%, $E$9)</f>
        <v>6.6795</v>
      </c>
      <c r="G382" s="11">
        <f>6.6848 * CHOOSE(CONTROL!$C$32, $C$9, 100%, $E$9)</f>
        <v>6.6848000000000001</v>
      </c>
      <c r="H382" s="11">
        <f>11.9263 * CHOOSE(CONTROL!$C$32, $C$9, 100%, $E$9)</f>
        <v>11.926299999999999</v>
      </c>
      <c r="I382" s="11">
        <f>11.9316 * CHOOSE(CONTROL!$C$32, $C$9, 100%, $E$9)</f>
        <v>11.9316</v>
      </c>
      <c r="J382" s="11">
        <f>11.9263 * CHOOSE(CONTROL!$C$32, $C$9, 100%, $E$9)</f>
        <v>11.926299999999999</v>
      </c>
      <c r="K382" s="11">
        <f>11.9316 * CHOOSE(CONTROL!$C$32, $C$9, 100%, $E$9)</f>
        <v>11.9316</v>
      </c>
      <c r="L382" s="11">
        <f>6.6795 * CHOOSE(CONTROL!$C$32, $C$9, 100%, $E$9)</f>
        <v>6.6795</v>
      </c>
      <c r="M382" s="11">
        <f>6.6848 * CHOOSE(CONTROL!$C$32, $C$9, 100%, $E$9)</f>
        <v>6.6848000000000001</v>
      </c>
      <c r="N382" s="11">
        <f>6.6795 * CHOOSE(CONTROL!$C$32, $C$9, 100%, $E$9)</f>
        <v>6.6795</v>
      </c>
      <c r="O382" s="11">
        <f>6.6848 * CHOOSE(CONTROL!$C$32, $C$9, 100%, $E$9)</f>
        <v>6.6848000000000001</v>
      </c>
    </row>
    <row r="383" spans="1:15" ht="15" x14ac:dyDescent="0.2">
      <c r="A383" s="13">
        <v>52505</v>
      </c>
      <c r="B383" s="9">
        <f>5.7205 * CHOOSE(CONTROL!$C$32, $C$9, 100%, $E$9)</f>
        <v>5.7205000000000004</v>
      </c>
      <c r="C383" s="9">
        <f>5.7205 * CHOOSE(CONTROL!$C$32, $C$9, 100%, $E$9)</f>
        <v>5.7205000000000004</v>
      </c>
      <c r="D383" s="9">
        <f>5.7215 * CHOOSE(CONTROL!$C$32, $C$9, 100%, $E$9)</f>
        <v>5.7214999999999998</v>
      </c>
      <c r="E383" s="11">
        <f>6.7197 * CHOOSE(CONTROL!$C$32, $C$9, 100%, $E$9)</f>
        <v>6.7196999999999996</v>
      </c>
      <c r="F383" s="11">
        <f>6.7197 * CHOOSE(CONTROL!$C$32, $C$9, 100%, $E$9)</f>
        <v>6.7196999999999996</v>
      </c>
      <c r="G383" s="11">
        <f>6.7233 * CHOOSE(CONTROL!$C$32, $C$9, 100%, $E$9)</f>
        <v>6.7233000000000001</v>
      </c>
      <c r="H383" s="11">
        <f>11.9512 * CHOOSE(CONTROL!$C$32, $C$9, 100%, $E$9)</f>
        <v>11.9512</v>
      </c>
      <c r="I383" s="11">
        <f>11.9548 * CHOOSE(CONTROL!$C$32, $C$9, 100%, $E$9)</f>
        <v>11.954800000000001</v>
      </c>
      <c r="J383" s="11">
        <f>11.9512 * CHOOSE(CONTROL!$C$32, $C$9, 100%, $E$9)</f>
        <v>11.9512</v>
      </c>
      <c r="K383" s="11">
        <f>11.9548 * CHOOSE(CONTROL!$C$32, $C$9, 100%, $E$9)</f>
        <v>11.954800000000001</v>
      </c>
      <c r="L383" s="11">
        <f>6.7197 * CHOOSE(CONTROL!$C$32, $C$9, 100%, $E$9)</f>
        <v>6.7196999999999996</v>
      </c>
      <c r="M383" s="11">
        <f>6.7233 * CHOOSE(CONTROL!$C$32, $C$9, 100%, $E$9)</f>
        <v>6.7233000000000001</v>
      </c>
      <c r="N383" s="11">
        <f>6.7197 * CHOOSE(CONTROL!$C$32, $C$9, 100%, $E$9)</f>
        <v>6.7196999999999996</v>
      </c>
      <c r="O383" s="11">
        <f>6.7233 * CHOOSE(CONTROL!$C$32, $C$9, 100%, $E$9)</f>
        <v>6.7233000000000001</v>
      </c>
    </row>
    <row r="384" spans="1:15" ht="15" x14ac:dyDescent="0.2">
      <c r="A384" s="13">
        <v>52536</v>
      </c>
      <c r="B384" s="9">
        <f>5.7235 * CHOOSE(CONTROL!$C$32, $C$9, 100%, $E$9)</f>
        <v>5.7234999999999996</v>
      </c>
      <c r="C384" s="9">
        <f>5.7235 * CHOOSE(CONTROL!$C$32, $C$9, 100%, $E$9)</f>
        <v>5.7234999999999996</v>
      </c>
      <c r="D384" s="9">
        <f>5.7246 * CHOOSE(CONTROL!$C$32, $C$9, 100%, $E$9)</f>
        <v>5.7245999999999997</v>
      </c>
      <c r="E384" s="11">
        <f>6.7486 * CHOOSE(CONTROL!$C$32, $C$9, 100%, $E$9)</f>
        <v>6.7485999999999997</v>
      </c>
      <c r="F384" s="11">
        <f>6.7486 * CHOOSE(CONTROL!$C$32, $C$9, 100%, $E$9)</f>
        <v>6.7485999999999997</v>
      </c>
      <c r="G384" s="11">
        <f>6.7522 * CHOOSE(CONTROL!$C$32, $C$9, 100%, $E$9)</f>
        <v>6.7522000000000002</v>
      </c>
      <c r="H384" s="11">
        <f>11.9761 * CHOOSE(CONTROL!$C$32, $C$9, 100%, $E$9)</f>
        <v>11.976100000000001</v>
      </c>
      <c r="I384" s="11">
        <f>11.9797 * CHOOSE(CONTROL!$C$32, $C$9, 100%, $E$9)</f>
        <v>11.979699999999999</v>
      </c>
      <c r="J384" s="11">
        <f>11.9761 * CHOOSE(CONTROL!$C$32, $C$9, 100%, $E$9)</f>
        <v>11.976100000000001</v>
      </c>
      <c r="K384" s="11">
        <f>11.9797 * CHOOSE(CONTROL!$C$32, $C$9, 100%, $E$9)</f>
        <v>11.979699999999999</v>
      </c>
      <c r="L384" s="11">
        <f>6.7486 * CHOOSE(CONTROL!$C$32, $C$9, 100%, $E$9)</f>
        <v>6.7485999999999997</v>
      </c>
      <c r="M384" s="11">
        <f>6.7522 * CHOOSE(CONTROL!$C$32, $C$9, 100%, $E$9)</f>
        <v>6.7522000000000002</v>
      </c>
      <c r="N384" s="11">
        <f>6.7486 * CHOOSE(CONTROL!$C$32, $C$9, 100%, $E$9)</f>
        <v>6.7485999999999997</v>
      </c>
      <c r="O384" s="11">
        <f>6.7522 * CHOOSE(CONTROL!$C$32, $C$9, 100%, $E$9)</f>
        <v>6.7522000000000002</v>
      </c>
    </row>
    <row r="385" spans="1:15" ht="15" x14ac:dyDescent="0.2">
      <c r="A385" s="13">
        <v>52566</v>
      </c>
      <c r="B385" s="9">
        <f>5.7235 * CHOOSE(CONTROL!$C$32, $C$9, 100%, $E$9)</f>
        <v>5.7234999999999996</v>
      </c>
      <c r="C385" s="9">
        <f>5.7235 * CHOOSE(CONTROL!$C$32, $C$9, 100%, $E$9)</f>
        <v>5.7234999999999996</v>
      </c>
      <c r="D385" s="9">
        <f>5.7246 * CHOOSE(CONTROL!$C$32, $C$9, 100%, $E$9)</f>
        <v>5.7245999999999997</v>
      </c>
      <c r="E385" s="11">
        <f>6.6816 * CHOOSE(CONTROL!$C$32, $C$9, 100%, $E$9)</f>
        <v>6.6816000000000004</v>
      </c>
      <c r="F385" s="11">
        <f>6.6816 * CHOOSE(CONTROL!$C$32, $C$9, 100%, $E$9)</f>
        <v>6.6816000000000004</v>
      </c>
      <c r="G385" s="11">
        <f>6.6852 * CHOOSE(CONTROL!$C$32, $C$9, 100%, $E$9)</f>
        <v>6.6852</v>
      </c>
      <c r="H385" s="11">
        <f>12.001 * CHOOSE(CONTROL!$C$32, $C$9, 100%, $E$9)</f>
        <v>12.000999999999999</v>
      </c>
      <c r="I385" s="11">
        <f>12.0046 * CHOOSE(CONTROL!$C$32, $C$9, 100%, $E$9)</f>
        <v>12.0046</v>
      </c>
      <c r="J385" s="11">
        <f>12.001 * CHOOSE(CONTROL!$C$32, $C$9, 100%, $E$9)</f>
        <v>12.000999999999999</v>
      </c>
      <c r="K385" s="11">
        <f>12.0046 * CHOOSE(CONTROL!$C$32, $C$9, 100%, $E$9)</f>
        <v>12.0046</v>
      </c>
      <c r="L385" s="11">
        <f>6.6816 * CHOOSE(CONTROL!$C$32, $C$9, 100%, $E$9)</f>
        <v>6.6816000000000004</v>
      </c>
      <c r="M385" s="11">
        <f>6.6852 * CHOOSE(CONTROL!$C$32, $C$9, 100%, $E$9)</f>
        <v>6.6852</v>
      </c>
      <c r="N385" s="11">
        <f>6.6816 * CHOOSE(CONTROL!$C$32, $C$9, 100%, $E$9)</f>
        <v>6.6816000000000004</v>
      </c>
      <c r="O385" s="11">
        <f>6.6852 * CHOOSE(CONTROL!$C$32, $C$9, 100%, $E$9)</f>
        <v>6.6852</v>
      </c>
    </row>
    <row r="386" spans="1:15" ht="15" x14ac:dyDescent="0.2">
      <c r="A386" s="13">
        <v>52597</v>
      </c>
      <c r="B386" s="9">
        <f>5.7676 * CHOOSE(CONTROL!$C$32, $C$9, 100%, $E$9)</f>
        <v>5.7675999999999998</v>
      </c>
      <c r="C386" s="9">
        <f>5.7676 * CHOOSE(CONTROL!$C$32, $C$9, 100%, $E$9)</f>
        <v>5.7675999999999998</v>
      </c>
      <c r="D386" s="9">
        <f>5.7686 * CHOOSE(CONTROL!$C$32, $C$9, 100%, $E$9)</f>
        <v>5.7686000000000002</v>
      </c>
      <c r="E386" s="11">
        <f>6.7573 * CHOOSE(CONTROL!$C$32, $C$9, 100%, $E$9)</f>
        <v>6.7572999999999999</v>
      </c>
      <c r="F386" s="11">
        <f>6.7573 * CHOOSE(CONTROL!$C$32, $C$9, 100%, $E$9)</f>
        <v>6.7572999999999999</v>
      </c>
      <c r="G386" s="11">
        <f>6.7609 * CHOOSE(CONTROL!$C$32, $C$9, 100%, $E$9)</f>
        <v>6.7609000000000004</v>
      </c>
      <c r="H386" s="11">
        <f>12.026 * CHOOSE(CONTROL!$C$32, $C$9, 100%, $E$9)</f>
        <v>12.026</v>
      </c>
      <c r="I386" s="11">
        <f>12.0297 * CHOOSE(CONTROL!$C$32, $C$9, 100%, $E$9)</f>
        <v>12.0297</v>
      </c>
      <c r="J386" s="11">
        <f>12.026 * CHOOSE(CONTROL!$C$32, $C$9, 100%, $E$9)</f>
        <v>12.026</v>
      </c>
      <c r="K386" s="11">
        <f>12.0297 * CHOOSE(CONTROL!$C$32, $C$9, 100%, $E$9)</f>
        <v>12.0297</v>
      </c>
      <c r="L386" s="11">
        <f>6.7573 * CHOOSE(CONTROL!$C$32, $C$9, 100%, $E$9)</f>
        <v>6.7572999999999999</v>
      </c>
      <c r="M386" s="11">
        <f>6.7609 * CHOOSE(CONTROL!$C$32, $C$9, 100%, $E$9)</f>
        <v>6.7609000000000004</v>
      </c>
      <c r="N386" s="11">
        <f>6.7573 * CHOOSE(CONTROL!$C$32, $C$9, 100%, $E$9)</f>
        <v>6.7572999999999999</v>
      </c>
      <c r="O386" s="11">
        <f>6.7609 * CHOOSE(CONTROL!$C$32, $C$9, 100%, $E$9)</f>
        <v>6.7609000000000004</v>
      </c>
    </row>
    <row r="387" spans="1:15" ht="15" x14ac:dyDescent="0.2">
      <c r="A387" s="13">
        <v>52628</v>
      </c>
      <c r="B387" s="9">
        <f>5.7645 * CHOOSE(CONTROL!$C$32, $C$9, 100%, $E$9)</f>
        <v>5.7645</v>
      </c>
      <c r="C387" s="9">
        <f>5.7645 * CHOOSE(CONTROL!$C$32, $C$9, 100%, $E$9)</f>
        <v>5.7645</v>
      </c>
      <c r="D387" s="9">
        <f>5.7656 * CHOOSE(CONTROL!$C$32, $C$9, 100%, $E$9)</f>
        <v>5.7656000000000001</v>
      </c>
      <c r="E387" s="11">
        <f>6.6244 * CHOOSE(CONTROL!$C$32, $C$9, 100%, $E$9)</f>
        <v>6.6243999999999996</v>
      </c>
      <c r="F387" s="11">
        <f>6.6244 * CHOOSE(CONTROL!$C$32, $C$9, 100%, $E$9)</f>
        <v>6.6243999999999996</v>
      </c>
      <c r="G387" s="11">
        <f>6.628 * CHOOSE(CONTROL!$C$32, $C$9, 100%, $E$9)</f>
        <v>6.6280000000000001</v>
      </c>
      <c r="H387" s="11">
        <f>12.0511 * CHOOSE(CONTROL!$C$32, $C$9, 100%, $E$9)</f>
        <v>12.0511</v>
      </c>
      <c r="I387" s="11">
        <f>12.0547 * CHOOSE(CONTROL!$C$32, $C$9, 100%, $E$9)</f>
        <v>12.0547</v>
      </c>
      <c r="J387" s="11">
        <f>12.0511 * CHOOSE(CONTROL!$C$32, $C$9, 100%, $E$9)</f>
        <v>12.0511</v>
      </c>
      <c r="K387" s="11">
        <f>12.0547 * CHOOSE(CONTROL!$C$32, $C$9, 100%, $E$9)</f>
        <v>12.0547</v>
      </c>
      <c r="L387" s="11">
        <f>6.6244 * CHOOSE(CONTROL!$C$32, $C$9, 100%, $E$9)</f>
        <v>6.6243999999999996</v>
      </c>
      <c r="M387" s="11">
        <f>6.628 * CHOOSE(CONTROL!$C$32, $C$9, 100%, $E$9)</f>
        <v>6.6280000000000001</v>
      </c>
      <c r="N387" s="11">
        <f>6.6244 * CHOOSE(CONTROL!$C$32, $C$9, 100%, $E$9)</f>
        <v>6.6243999999999996</v>
      </c>
      <c r="O387" s="11">
        <f>6.628 * CHOOSE(CONTROL!$C$32, $C$9, 100%, $E$9)</f>
        <v>6.6280000000000001</v>
      </c>
    </row>
    <row r="388" spans="1:15" ht="15" x14ac:dyDescent="0.2">
      <c r="A388" s="13">
        <v>52657</v>
      </c>
      <c r="B388" s="9">
        <f>5.7615 * CHOOSE(CONTROL!$C$32, $C$9, 100%, $E$9)</f>
        <v>5.7614999999999998</v>
      </c>
      <c r="C388" s="9">
        <f>5.7615 * CHOOSE(CONTROL!$C$32, $C$9, 100%, $E$9)</f>
        <v>5.7614999999999998</v>
      </c>
      <c r="D388" s="9">
        <f>5.7626 * CHOOSE(CONTROL!$C$32, $C$9, 100%, $E$9)</f>
        <v>5.7625999999999999</v>
      </c>
      <c r="E388" s="11">
        <f>6.7254 * CHOOSE(CONTROL!$C$32, $C$9, 100%, $E$9)</f>
        <v>6.7253999999999996</v>
      </c>
      <c r="F388" s="11">
        <f>6.7254 * CHOOSE(CONTROL!$C$32, $C$9, 100%, $E$9)</f>
        <v>6.7253999999999996</v>
      </c>
      <c r="G388" s="11">
        <f>6.729 * CHOOSE(CONTROL!$C$32, $C$9, 100%, $E$9)</f>
        <v>6.7290000000000001</v>
      </c>
      <c r="H388" s="11">
        <f>12.0762 * CHOOSE(CONTROL!$C$32, $C$9, 100%, $E$9)</f>
        <v>12.0762</v>
      </c>
      <c r="I388" s="11">
        <f>12.0798 * CHOOSE(CONTROL!$C$32, $C$9, 100%, $E$9)</f>
        <v>12.079800000000001</v>
      </c>
      <c r="J388" s="11">
        <f>12.0762 * CHOOSE(CONTROL!$C$32, $C$9, 100%, $E$9)</f>
        <v>12.0762</v>
      </c>
      <c r="K388" s="11">
        <f>12.0798 * CHOOSE(CONTROL!$C$32, $C$9, 100%, $E$9)</f>
        <v>12.079800000000001</v>
      </c>
      <c r="L388" s="11">
        <f>6.7254 * CHOOSE(CONTROL!$C$32, $C$9, 100%, $E$9)</f>
        <v>6.7253999999999996</v>
      </c>
      <c r="M388" s="11">
        <f>6.729 * CHOOSE(CONTROL!$C$32, $C$9, 100%, $E$9)</f>
        <v>6.7290000000000001</v>
      </c>
      <c r="N388" s="11">
        <f>6.7254 * CHOOSE(CONTROL!$C$32, $C$9, 100%, $E$9)</f>
        <v>6.7253999999999996</v>
      </c>
      <c r="O388" s="11">
        <f>6.729 * CHOOSE(CONTROL!$C$32, $C$9, 100%, $E$9)</f>
        <v>6.7290000000000001</v>
      </c>
    </row>
    <row r="389" spans="1:15" ht="15" x14ac:dyDescent="0.2">
      <c r="A389" s="13">
        <v>52688</v>
      </c>
      <c r="B389" s="9">
        <f>5.7608 * CHOOSE(CONTROL!$C$32, $C$9, 100%, $E$9)</f>
        <v>5.7607999999999997</v>
      </c>
      <c r="C389" s="9">
        <f>5.7608 * CHOOSE(CONTROL!$C$32, $C$9, 100%, $E$9)</f>
        <v>5.7607999999999997</v>
      </c>
      <c r="D389" s="9">
        <f>5.7619 * CHOOSE(CONTROL!$C$32, $C$9, 100%, $E$9)</f>
        <v>5.7618999999999998</v>
      </c>
      <c r="E389" s="11">
        <f>6.8318 * CHOOSE(CONTROL!$C$32, $C$9, 100%, $E$9)</f>
        <v>6.8318000000000003</v>
      </c>
      <c r="F389" s="11">
        <f>6.8318 * CHOOSE(CONTROL!$C$32, $C$9, 100%, $E$9)</f>
        <v>6.8318000000000003</v>
      </c>
      <c r="G389" s="11">
        <f>6.8354 * CHOOSE(CONTROL!$C$32, $C$9, 100%, $E$9)</f>
        <v>6.8353999999999999</v>
      </c>
      <c r="H389" s="11">
        <f>12.1014 * CHOOSE(CONTROL!$C$32, $C$9, 100%, $E$9)</f>
        <v>12.1014</v>
      </c>
      <c r="I389" s="11">
        <f>12.105 * CHOOSE(CONTROL!$C$32, $C$9, 100%, $E$9)</f>
        <v>12.105</v>
      </c>
      <c r="J389" s="11">
        <f>12.1014 * CHOOSE(CONTROL!$C$32, $C$9, 100%, $E$9)</f>
        <v>12.1014</v>
      </c>
      <c r="K389" s="11">
        <f>12.105 * CHOOSE(CONTROL!$C$32, $C$9, 100%, $E$9)</f>
        <v>12.105</v>
      </c>
      <c r="L389" s="11">
        <f>6.8318 * CHOOSE(CONTROL!$C$32, $C$9, 100%, $E$9)</f>
        <v>6.8318000000000003</v>
      </c>
      <c r="M389" s="11">
        <f>6.8354 * CHOOSE(CONTROL!$C$32, $C$9, 100%, $E$9)</f>
        <v>6.8353999999999999</v>
      </c>
      <c r="N389" s="11">
        <f>6.8318 * CHOOSE(CONTROL!$C$32, $C$9, 100%, $E$9)</f>
        <v>6.8318000000000003</v>
      </c>
      <c r="O389" s="11">
        <f>6.8354 * CHOOSE(CONTROL!$C$32, $C$9, 100%, $E$9)</f>
        <v>6.8353999999999999</v>
      </c>
    </row>
    <row r="390" spans="1:15" ht="15" x14ac:dyDescent="0.2">
      <c r="A390" s="13">
        <v>52718</v>
      </c>
      <c r="B390" s="9">
        <f>5.7608 * CHOOSE(CONTROL!$C$32, $C$9, 100%, $E$9)</f>
        <v>5.7607999999999997</v>
      </c>
      <c r="C390" s="9">
        <f>5.7608 * CHOOSE(CONTROL!$C$32, $C$9, 100%, $E$9)</f>
        <v>5.7607999999999997</v>
      </c>
      <c r="D390" s="9">
        <f>5.7624 * CHOOSE(CONTROL!$C$32, $C$9, 100%, $E$9)</f>
        <v>5.7624000000000004</v>
      </c>
      <c r="E390" s="11">
        <f>6.8733 * CHOOSE(CONTROL!$C$32, $C$9, 100%, $E$9)</f>
        <v>6.8733000000000004</v>
      </c>
      <c r="F390" s="11">
        <f>6.8733 * CHOOSE(CONTROL!$C$32, $C$9, 100%, $E$9)</f>
        <v>6.8733000000000004</v>
      </c>
      <c r="G390" s="11">
        <f>6.8786 * CHOOSE(CONTROL!$C$32, $C$9, 100%, $E$9)</f>
        <v>6.8785999999999996</v>
      </c>
      <c r="H390" s="11">
        <f>12.1266 * CHOOSE(CONTROL!$C$32, $C$9, 100%, $E$9)</f>
        <v>12.1266</v>
      </c>
      <c r="I390" s="11">
        <f>12.1319 * CHOOSE(CONTROL!$C$32, $C$9, 100%, $E$9)</f>
        <v>12.1319</v>
      </c>
      <c r="J390" s="11">
        <f>12.1266 * CHOOSE(CONTROL!$C$32, $C$9, 100%, $E$9)</f>
        <v>12.1266</v>
      </c>
      <c r="K390" s="11">
        <f>12.1319 * CHOOSE(CONTROL!$C$32, $C$9, 100%, $E$9)</f>
        <v>12.1319</v>
      </c>
      <c r="L390" s="11">
        <f>6.8733 * CHOOSE(CONTROL!$C$32, $C$9, 100%, $E$9)</f>
        <v>6.8733000000000004</v>
      </c>
      <c r="M390" s="11">
        <f>6.8786 * CHOOSE(CONTROL!$C$32, $C$9, 100%, $E$9)</f>
        <v>6.8785999999999996</v>
      </c>
      <c r="N390" s="11">
        <f>6.8733 * CHOOSE(CONTROL!$C$32, $C$9, 100%, $E$9)</f>
        <v>6.8733000000000004</v>
      </c>
      <c r="O390" s="11">
        <f>6.8786 * CHOOSE(CONTROL!$C$32, $C$9, 100%, $E$9)</f>
        <v>6.8785999999999996</v>
      </c>
    </row>
    <row r="391" spans="1:15" ht="15" x14ac:dyDescent="0.2">
      <c r="A391" s="13">
        <v>52749</v>
      </c>
      <c r="B391" s="9">
        <f>5.7669 * CHOOSE(CONTROL!$C$32, $C$9, 100%, $E$9)</f>
        <v>5.7668999999999997</v>
      </c>
      <c r="C391" s="9">
        <f>5.7669 * CHOOSE(CONTROL!$C$32, $C$9, 100%, $E$9)</f>
        <v>5.7668999999999997</v>
      </c>
      <c r="D391" s="9">
        <f>5.7685 * CHOOSE(CONTROL!$C$32, $C$9, 100%, $E$9)</f>
        <v>5.7685000000000004</v>
      </c>
      <c r="E391" s="11">
        <f>6.836 * CHOOSE(CONTROL!$C$32, $C$9, 100%, $E$9)</f>
        <v>6.8360000000000003</v>
      </c>
      <c r="F391" s="11">
        <f>6.836 * CHOOSE(CONTROL!$C$32, $C$9, 100%, $E$9)</f>
        <v>6.8360000000000003</v>
      </c>
      <c r="G391" s="11">
        <f>6.8413 * CHOOSE(CONTROL!$C$32, $C$9, 100%, $E$9)</f>
        <v>6.8413000000000004</v>
      </c>
      <c r="H391" s="11">
        <f>12.1518 * CHOOSE(CONTROL!$C$32, $C$9, 100%, $E$9)</f>
        <v>12.1518</v>
      </c>
      <c r="I391" s="11">
        <f>12.1571 * CHOOSE(CONTROL!$C$32, $C$9, 100%, $E$9)</f>
        <v>12.1571</v>
      </c>
      <c r="J391" s="11">
        <f>12.1518 * CHOOSE(CONTROL!$C$32, $C$9, 100%, $E$9)</f>
        <v>12.1518</v>
      </c>
      <c r="K391" s="11">
        <f>12.1571 * CHOOSE(CONTROL!$C$32, $C$9, 100%, $E$9)</f>
        <v>12.1571</v>
      </c>
      <c r="L391" s="11">
        <f>6.836 * CHOOSE(CONTROL!$C$32, $C$9, 100%, $E$9)</f>
        <v>6.8360000000000003</v>
      </c>
      <c r="M391" s="11">
        <f>6.8413 * CHOOSE(CONTROL!$C$32, $C$9, 100%, $E$9)</f>
        <v>6.8413000000000004</v>
      </c>
      <c r="N391" s="11">
        <f>6.836 * CHOOSE(CONTROL!$C$32, $C$9, 100%, $E$9)</f>
        <v>6.8360000000000003</v>
      </c>
      <c r="O391" s="11">
        <f>6.8413 * CHOOSE(CONTROL!$C$32, $C$9, 100%, $E$9)</f>
        <v>6.8413000000000004</v>
      </c>
    </row>
    <row r="392" spans="1:15" ht="15" x14ac:dyDescent="0.2">
      <c r="A392" s="13">
        <v>52779</v>
      </c>
      <c r="B392" s="9">
        <f>5.845 * CHOOSE(CONTROL!$C$32, $C$9, 100%, $E$9)</f>
        <v>5.8449999999999998</v>
      </c>
      <c r="C392" s="9">
        <f>5.845 * CHOOSE(CONTROL!$C$32, $C$9, 100%, $E$9)</f>
        <v>5.8449999999999998</v>
      </c>
      <c r="D392" s="9">
        <f>5.8465 * CHOOSE(CONTROL!$C$32, $C$9, 100%, $E$9)</f>
        <v>5.8464999999999998</v>
      </c>
      <c r="E392" s="11">
        <f>6.8655 * CHOOSE(CONTROL!$C$32, $C$9, 100%, $E$9)</f>
        <v>6.8654999999999999</v>
      </c>
      <c r="F392" s="11">
        <f>6.8655 * CHOOSE(CONTROL!$C$32, $C$9, 100%, $E$9)</f>
        <v>6.8654999999999999</v>
      </c>
      <c r="G392" s="11">
        <f>6.8708 * CHOOSE(CONTROL!$C$32, $C$9, 100%, $E$9)</f>
        <v>6.8708</v>
      </c>
      <c r="H392" s="11">
        <f>12.1771 * CHOOSE(CONTROL!$C$32, $C$9, 100%, $E$9)</f>
        <v>12.177099999999999</v>
      </c>
      <c r="I392" s="11">
        <f>12.1824 * CHOOSE(CONTROL!$C$32, $C$9, 100%, $E$9)</f>
        <v>12.182399999999999</v>
      </c>
      <c r="J392" s="11">
        <f>12.1771 * CHOOSE(CONTROL!$C$32, $C$9, 100%, $E$9)</f>
        <v>12.177099999999999</v>
      </c>
      <c r="K392" s="11">
        <f>12.1824 * CHOOSE(CONTROL!$C$32, $C$9, 100%, $E$9)</f>
        <v>12.182399999999999</v>
      </c>
      <c r="L392" s="11">
        <f>6.8655 * CHOOSE(CONTROL!$C$32, $C$9, 100%, $E$9)</f>
        <v>6.8654999999999999</v>
      </c>
      <c r="M392" s="11">
        <f>6.8708 * CHOOSE(CONTROL!$C$32, $C$9, 100%, $E$9)</f>
        <v>6.8708</v>
      </c>
      <c r="N392" s="11">
        <f>6.8655 * CHOOSE(CONTROL!$C$32, $C$9, 100%, $E$9)</f>
        <v>6.8654999999999999</v>
      </c>
      <c r="O392" s="11">
        <f>6.8708 * CHOOSE(CONTROL!$C$32, $C$9, 100%, $E$9)</f>
        <v>6.8708</v>
      </c>
    </row>
    <row r="393" spans="1:15" ht="15" x14ac:dyDescent="0.2">
      <c r="A393" s="13">
        <v>52810</v>
      </c>
      <c r="B393" s="9">
        <f>5.8516 * CHOOSE(CONTROL!$C$32, $C$9, 100%, $E$9)</f>
        <v>5.8516000000000004</v>
      </c>
      <c r="C393" s="9">
        <f>5.8516 * CHOOSE(CONTROL!$C$32, $C$9, 100%, $E$9)</f>
        <v>5.8516000000000004</v>
      </c>
      <c r="D393" s="9">
        <f>5.8532 * CHOOSE(CONTROL!$C$32, $C$9, 100%, $E$9)</f>
        <v>5.8532000000000002</v>
      </c>
      <c r="E393" s="11">
        <f>6.7456 * CHOOSE(CONTROL!$C$32, $C$9, 100%, $E$9)</f>
        <v>6.7455999999999996</v>
      </c>
      <c r="F393" s="11">
        <f>6.7456 * CHOOSE(CONTROL!$C$32, $C$9, 100%, $E$9)</f>
        <v>6.7455999999999996</v>
      </c>
      <c r="G393" s="11">
        <f>6.7509 * CHOOSE(CONTROL!$C$32, $C$9, 100%, $E$9)</f>
        <v>6.7508999999999997</v>
      </c>
      <c r="H393" s="11">
        <f>12.2025 * CHOOSE(CONTROL!$C$32, $C$9, 100%, $E$9)</f>
        <v>12.202500000000001</v>
      </c>
      <c r="I393" s="11">
        <f>12.2078 * CHOOSE(CONTROL!$C$32, $C$9, 100%, $E$9)</f>
        <v>12.207800000000001</v>
      </c>
      <c r="J393" s="11">
        <f>12.2025 * CHOOSE(CONTROL!$C$32, $C$9, 100%, $E$9)</f>
        <v>12.202500000000001</v>
      </c>
      <c r="K393" s="11">
        <f>12.2078 * CHOOSE(CONTROL!$C$32, $C$9, 100%, $E$9)</f>
        <v>12.207800000000001</v>
      </c>
      <c r="L393" s="11">
        <f>6.7456 * CHOOSE(CONTROL!$C$32, $C$9, 100%, $E$9)</f>
        <v>6.7455999999999996</v>
      </c>
      <c r="M393" s="11">
        <f>6.7509 * CHOOSE(CONTROL!$C$32, $C$9, 100%, $E$9)</f>
        <v>6.7508999999999997</v>
      </c>
      <c r="N393" s="11">
        <f>6.7456 * CHOOSE(CONTROL!$C$32, $C$9, 100%, $E$9)</f>
        <v>6.7455999999999996</v>
      </c>
      <c r="O393" s="11">
        <f>6.7509 * CHOOSE(CONTROL!$C$32, $C$9, 100%, $E$9)</f>
        <v>6.7508999999999997</v>
      </c>
    </row>
    <row r="394" spans="1:15" ht="15" x14ac:dyDescent="0.2">
      <c r="A394" s="13">
        <v>52841</v>
      </c>
      <c r="B394" s="9">
        <f>5.8486 * CHOOSE(CONTROL!$C$32, $C$9, 100%, $E$9)</f>
        <v>5.8486000000000002</v>
      </c>
      <c r="C394" s="9">
        <f>5.8486 * CHOOSE(CONTROL!$C$32, $C$9, 100%, $E$9)</f>
        <v>5.8486000000000002</v>
      </c>
      <c r="D394" s="9">
        <f>5.8502 * CHOOSE(CONTROL!$C$32, $C$9, 100%, $E$9)</f>
        <v>5.8502000000000001</v>
      </c>
      <c r="E394" s="11">
        <f>6.7297 * CHOOSE(CONTROL!$C$32, $C$9, 100%, $E$9)</f>
        <v>6.7297000000000002</v>
      </c>
      <c r="F394" s="11">
        <f>6.7297 * CHOOSE(CONTROL!$C$32, $C$9, 100%, $E$9)</f>
        <v>6.7297000000000002</v>
      </c>
      <c r="G394" s="11">
        <f>6.735 * CHOOSE(CONTROL!$C$32, $C$9, 100%, $E$9)</f>
        <v>6.7350000000000003</v>
      </c>
      <c r="H394" s="11">
        <f>12.2279 * CHOOSE(CONTROL!$C$32, $C$9, 100%, $E$9)</f>
        <v>12.2279</v>
      </c>
      <c r="I394" s="11">
        <f>12.2332 * CHOOSE(CONTROL!$C$32, $C$9, 100%, $E$9)</f>
        <v>12.2332</v>
      </c>
      <c r="J394" s="11">
        <f>12.2279 * CHOOSE(CONTROL!$C$32, $C$9, 100%, $E$9)</f>
        <v>12.2279</v>
      </c>
      <c r="K394" s="11">
        <f>12.2332 * CHOOSE(CONTROL!$C$32, $C$9, 100%, $E$9)</f>
        <v>12.2332</v>
      </c>
      <c r="L394" s="11">
        <f>6.7297 * CHOOSE(CONTROL!$C$32, $C$9, 100%, $E$9)</f>
        <v>6.7297000000000002</v>
      </c>
      <c r="M394" s="11">
        <f>6.735 * CHOOSE(CONTROL!$C$32, $C$9, 100%, $E$9)</f>
        <v>6.7350000000000003</v>
      </c>
      <c r="N394" s="11">
        <f>6.7297 * CHOOSE(CONTROL!$C$32, $C$9, 100%, $E$9)</f>
        <v>6.7297000000000002</v>
      </c>
      <c r="O394" s="11">
        <f>6.735 * CHOOSE(CONTROL!$C$32, $C$9, 100%, $E$9)</f>
        <v>6.7350000000000003</v>
      </c>
    </row>
    <row r="395" spans="1:15" ht="15" x14ac:dyDescent="0.2">
      <c r="A395" s="13">
        <v>52871</v>
      </c>
      <c r="B395" s="9">
        <f>5.8505 * CHOOSE(CONTROL!$C$32, $C$9, 100%, $E$9)</f>
        <v>5.8505000000000003</v>
      </c>
      <c r="C395" s="9">
        <f>5.8505 * CHOOSE(CONTROL!$C$32, $C$9, 100%, $E$9)</f>
        <v>5.8505000000000003</v>
      </c>
      <c r="D395" s="9">
        <f>5.8516 * CHOOSE(CONTROL!$C$32, $C$9, 100%, $E$9)</f>
        <v>5.8516000000000004</v>
      </c>
      <c r="E395" s="11">
        <f>6.7716 * CHOOSE(CONTROL!$C$32, $C$9, 100%, $E$9)</f>
        <v>6.7716000000000003</v>
      </c>
      <c r="F395" s="11">
        <f>6.7716 * CHOOSE(CONTROL!$C$32, $C$9, 100%, $E$9)</f>
        <v>6.7716000000000003</v>
      </c>
      <c r="G395" s="11">
        <f>6.7752 * CHOOSE(CONTROL!$C$32, $C$9, 100%, $E$9)</f>
        <v>6.7751999999999999</v>
      </c>
      <c r="H395" s="11">
        <f>12.2534 * CHOOSE(CONTROL!$C$32, $C$9, 100%, $E$9)</f>
        <v>12.253399999999999</v>
      </c>
      <c r="I395" s="11">
        <f>12.257 * CHOOSE(CONTROL!$C$32, $C$9, 100%, $E$9)</f>
        <v>12.257</v>
      </c>
      <c r="J395" s="11">
        <f>12.2534 * CHOOSE(CONTROL!$C$32, $C$9, 100%, $E$9)</f>
        <v>12.253399999999999</v>
      </c>
      <c r="K395" s="11">
        <f>12.257 * CHOOSE(CONTROL!$C$32, $C$9, 100%, $E$9)</f>
        <v>12.257</v>
      </c>
      <c r="L395" s="11">
        <f>6.7716 * CHOOSE(CONTROL!$C$32, $C$9, 100%, $E$9)</f>
        <v>6.7716000000000003</v>
      </c>
      <c r="M395" s="11">
        <f>6.7752 * CHOOSE(CONTROL!$C$32, $C$9, 100%, $E$9)</f>
        <v>6.7751999999999999</v>
      </c>
      <c r="N395" s="11">
        <f>6.7716 * CHOOSE(CONTROL!$C$32, $C$9, 100%, $E$9)</f>
        <v>6.7716000000000003</v>
      </c>
      <c r="O395" s="11">
        <f>6.7752 * CHOOSE(CONTROL!$C$32, $C$9, 100%, $E$9)</f>
        <v>6.7751999999999999</v>
      </c>
    </row>
    <row r="396" spans="1:15" ht="15" x14ac:dyDescent="0.2">
      <c r="A396" s="13">
        <v>52902</v>
      </c>
      <c r="B396" s="9">
        <f>5.8536 * CHOOSE(CONTROL!$C$32, $C$9, 100%, $E$9)</f>
        <v>5.8536000000000001</v>
      </c>
      <c r="C396" s="9">
        <f>5.8536 * CHOOSE(CONTROL!$C$32, $C$9, 100%, $E$9)</f>
        <v>5.8536000000000001</v>
      </c>
      <c r="D396" s="9">
        <f>5.8546 * CHOOSE(CONTROL!$C$32, $C$9, 100%, $E$9)</f>
        <v>5.8545999999999996</v>
      </c>
      <c r="E396" s="11">
        <f>6.8014 * CHOOSE(CONTROL!$C$32, $C$9, 100%, $E$9)</f>
        <v>6.8014000000000001</v>
      </c>
      <c r="F396" s="11">
        <f>6.8014 * CHOOSE(CONTROL!$C$32, $C$9, 100%, $E$9)</f>
        <v>6.8014000000000001</v>
      </c>
      <c r="G396" s="11">
        <f>6.805 * CHOOSE(CONTROL!$C$32, $C$9, 100%, $E$9)</f>
        <v>6.8049999999999997</v>
      </c>
      <c r="H396" s="11">
        <f>12.2789 * CHOOSE(CONTROL!$C$32, $C$9, 100%, $E$9)</f>
        <v>12.2789</v>
      </c>
      <c r="I396" s="11">
        <f>12.2826 * CHOOSE(CONTROL!$C$32, $C$9, 100%, $E$9)</f>
        <v>12.2826</v>
      </c>
      <c r="J396" s="11">
        <f>12.2789 * CHOOSE(CONTROL!$C$32, $C$9, 100%, $E$9)</f>
        <v>12.2789</v>
      </c>
      <c r="K396" s="11">
        <f>12.2826 * CHOOSE(CONTROL!$C$32, $C$9, 100%, $E$9)</f>
        <v>12.2826</v>
      </c>
      <c r="L396" s="11">
        <f>6.8014 * CHOOSE(CONTROL!$C$32, $C$9, 100%, $E$9)</f>
        <v>6.8014000000000001</v>
      </c>
      <c r="M396" s="11">
        <f>6.805 * CHOOSE(CONTROL!$C$32, $C$9, 100%, $E$9)</f>
        <v>6.8049999999999997</v>
      </c>
      <c r="N396" s="11">
        <f>6.8014 * CHOOSE(CONTROL!$C$32, $C$9, 100%, $E$9)</f>
        <v>6.8014000000000001</v>
      </c>
      <c r="O396" s="11">
        <f>6.805 * CHOOSE(CONTROL!$C$32, $C$9, 100%, $E$9)</f>
        <v>6.8049999999999997</v>
      </c>
    </row>
    <row r="397" spans="1:15" ht="15" x14ac:dyDescent="0.2">
      <c r="A397" s="13">
        <v>52932</v>
      </c>
      <c r="B397" s="9">
        <f>5.8536 * CHOOSE(CONTROL!$C$32, $C$9, 100%, $E$9)</f>
        <v>5.8536000000000001</v>
      </c>
      <c r="C397" s="9">
        <f>5.8536 * CHOOSE(CONTROL!$C$32, $C$9, 100%, $E$9)</f>
        <v>5.8536000000000001</v>
      </c>
      <c r="D397" s="9">
        <f>5.8546 * CHOOSE(CONTROL!$C$32, $C$9, 100%, $E$9)</f>
        <v>5.8545999999999996</v>
      </c>
      <c r="E397" s="11">
        <f>6.7322 * CHOOSE(CONTROL!$C$32, $C$9, 100%, $E$9)</f>
        <v>6.7321999999999997</v>
      </c>
      <c r="F397" s="11">
        <f>6.7322 * CHOOSE(CONTROL!$C$32, $C$9, 100%, $E$9)</f>
        <v>6.7321999999999997</v>
      </c>
      <c r="G397" s="11">
        <f>6.7358 * CHOOSE(CONTROL!$C$32, $C$9, 100%, $E$9)</f>
        <v>6.7358000000000002</v>
      </c>
      <c r="H397" s="11">
        <f>12.3045 * CHOOSE(CONTROL!$C$32, $C$9, 100%, $E$9)</f>
        <v>12.304500000000001</v>
      </c>
      <c r="I397" s="11">
        <f>12.3081 * CHOOSE(CONTROL!$C$32, $C$9, 100%, $E$9)</f>
        <v>12.3081</v>
      </c>
      <c r="J397" s="11">
        <f>12.3045 * CHOOSE(CONTROL!$C$32, $C$9, 100%, $E$9)</f>
        <v>12.304500000000001</v>
      </c>
      <c r="K397" s="11">
        <f>12.3081 * CHOOSE(CONTROL!$C$32, $C$9, 100%, $E$9)</f>
        <v>12.3081</v>
      </c>
      <c r="L397" s="11">
        <f>6.7322 * CHOOSE(CONTROL!$C$32, $C$9, 100%, $E$9)</f>
        <v>6.7321999999999997</v>
      </c>
      <c r="M397" s="11">
        <f>6.7358 * CHOOSE(CONTROL!$C$32, $C$9, 100%, $E$9)</f>
        <v>6.7358000000000002</v>
      </c>
      <c r="N397" s="11">
        <f>6.7322 * CHOOSE(CONTROL!$C$32, $C$9, 100%, $E$9)</f>
        <v>6.7321999999999997</v>
      </c>
      <c r="O397" s="11">
        <f>6.7358 * CHOOSE(CONTROL!$C$32, $C$9, 100%, $E$9)</f>
        <v>6.7358000000000002</v>
      </c>
    </row>
    <row r="398" spans="1:15" ht="15" x14ac:dyDescent="0.2">
      <c r="A398" s="13">
        <v>52963</v>
      </c>
      <c r="B398" s="9">
        <f>5.8984 * CHOOSE(CONTROL!$C$32, $C$9, 100%, $E$9)</f>
        <v>5.8983999999999996</v>
      </c>
      <c r="C398" s="9">
        <f>5.8984 * CHOOSE(CONTROL!$C$32, $C$9, 100%, $E$9)</f>
        <v>5.8983999999999996</v>
      </c>
      <c r="D398" s="9">
        <f>5.8995 * CHOOSE(CONTROL!$C$32, $C$9, 100%, $E$9)</f>
        <v>5.8994999999999997</v>
      </c>
      <c r="E398" s="11">
        <f>6.8151 * CHOOSE(CONTROL!$C$32, $C$9, 100%, $E$9)</f>
        <v>6.8151000000000002</v>
      </c>
      <c r="F398" s="11">
        <f>6.8151 * CHOOSE(CONTROL!$C$32, $C$9, 100%, $E$9)</f>
        <v>6.8151000000000002</v>
      </c>
      <c r="G398" s="11">
        <f>6.8187 * CHOOSE(CONTROL!$C$32, $C$9, 100%, $E$9)</f>
        <v>6.8186999999999998</v>
      </c>
      <c r="H398" s="11">
        <f>12.3302 * CHOOSE(CONTROL!$C$32, $C$9, 100%, $E$9)</f>
        <v>12.3302</v>
      </c>
      <c r="I398" s="11">
        <f>12.3338 * CHOOSE(CONTROL!$C$32, $C$9, 100%, $E$9)</f>
        <v>12.3338</v>
      </c>
      <c r="J398" s="11">
        <f>12.3302 * CHOOSE(CONTROL!$C$32, $C$9, 100%, $E$9)</f>
        <v>12.3302</v>
      </c>
      <c r="K398" s="11">
        <f>12.3338 * CHOOSE(CONTROL!$C$32, $C$9, 100%, $E$9)</f>
        <v>12.3338</v>
      </c>
      <c r="L398" s="11">
        <f>6.8151 * CHOOSE(CONTROL!$C$32, $C$9, 100%, $E$9)</f>
        <v>6.8151000000000002</v>
      </c>
      <c r="M398" s="11">
        <f>6.8187 * CHOOSE(CONTROL!$C$32, $C$9, 100%, $E$9)</f>
        <v>6.8186999999999998</v>
      </c>
      <c r="N398" s="11">
        <f>6.8151 * CHOOSE(CONTROL!$C$32, $C$9, 100%, $E$9)</f>
        <v>6.8151000000000002</v>
      </c>
      <c r="O398" s="11">
        <f>6.8187 * CHOOSE(CONTROL!$C$32, $C$9, 100%, $E$9)</f>
        <v>6.8186999999999998</v>
      </c>
    </row>
    <row r="399" spans="1:15" ht="15" x14ac:dyDescent="0.2">
      <c r="A399" s="13">
        <v>52994</v>
      </c>
      <c r="B399" s="9">
        <f>5.8954 * CHOOSE(CONTROL!$C$32, $C$9, 100%, $E$9)</f>
        <v>5.8954000000000004</v>
      </c>
      <c r="C399" s="9">
        <f>5.8954 * CHOOSE(CONTROL!$C$32, $C$9, 100%, $E$9)</f>
        <v>5.8954000000000004</v>
      </c>
      <c r="D399" s="9">
        <f>5.8965 * CHOOSE(CONTROL!$C$32, $C$9, 100%, $E$9)</f>
        <v>5.8964999999999996</v>
      </c>
      <c r="E399" s="11">
        <f>6.678 * CHOOSE(CONTROL!$C$32, $C$9, 100%, $E$9)</f>
        <v>6.6779999999999999</v>
      </c>
      <c r="F399" s="11">
        <f>6.678 * CHOOSE(CONTROL!$C$32, $C$9, 100%, $E$9)</f>
        <v>6.6779999999999999</v>
      </c>
      <c r="G399" s="11">
        <f>6.6816 * CHOOSE(CONTROL!$C$32, $C$9, 100%, $E$9)</f>
        <v>6.6816000000000004</v>
      </c>
      <c r="H399" s="11">
        <f>12.3558 * CHOOSE(CONTROL!$C$32, $C$9, 100%, $E$9)</f>
        <v>12.3558</v>
      </c>
      <c r="I399" s="11">
        <f>12.3595 * CHOOSE(CONTROL!$C$32, $C$9, 100%, $E$9)</f>
        <v>12.359500000000001</v>
      </c>
      <c r="J399" s="11">
        <f>12.3558 * CHOOSE(CONTROL!$C$32, $C$9, 100%, $E$9)</f>
        <v>12.3558</v>
      </c>
      <c r="K399" s="11">
        <f>12.3595 * CHOOSE(CONTROL!$C$32, $C$9, 100%, $E$9)</f>
        <v>12.359500000000001</v>
      </c>
      <c r="L399" s="11">
        <f>6.678 * CHOOSE(CONTROL!$C$32, $C$9, 100%, $E$9)</f>
        <v>6.6779999999999999</v>
      </c>
      <c r="M399" s="11">
        <f>6.6816 * CHOOSE(CONTROL!$C$32, $C$9, 100%, $E$9)</f>
        <v>6.6816000000000004</v>
      </c>
      <c r="N399" s="11">
        <f>6.678 * CHOOSE(CONTROL!$C$32, $C$9, 100%, $E$9)</f>
        <v>6.6779999999999999</v>
      </c>
      <c r="O399" s="11">
        <f>6.6816 * CHOOSE(CONTROL!$C$32, $C$9, 100%, $E$9)</f>
        <v>6.6816000000000004</v>
      </c>
    </row>
    <row r="400" spans="1:15" ht="15" x14ac:dyDescent="0.2">
      <c r="A400" s="13">
        <v>53022</v>
      </c>
      <c r="B400" s="9">
        <f>5.8924 * CHOOSE(CONTROL!$C$32, $C$9, 100%, $E$9)</f>
        <v>5.8924000000000003</v>
      </c>
      <c r="C400" s="9">
        <f>5.8924 * CHOOSE(CONTROL!$C$32, $C$9, 100%, $E$9)</f>
        <v>5.8924000000000003</v>
      </c>
      <c r="D400" s="9">
        <f>5.8934 * CHOOSE(CONTROL!$C$32, $C$9, 100%, $E$9)</f>
        <v>5.8933999999999997</v>
      </c>
      <c r="E400" s="11">
        <f>6.7823 * CHOOSE(CONTROL!$C$32, $C$9, 100%, $E$9)</f>
        <v>6.7823000000000002</v>
      </c>
      <c r="F400" s="11">
        <f>6.7823 * CHOOSE(CONTROL!$C$32, $C$9, 100%, $E$9)</f>
        <v>6.7823000000000002</v>
      </c>
      <c r="G400" s="11">
        <f>6.7859 * CHOOSE(CONTROL!$C$32, $C$9, 100%, $E$9)</f>
        <v>6.7858999999999998</v>
      </c>
      <c r="H400" s="11">
        <f>12.3816 * CHOOSE(CONTROL!$C$32, $C$9, 100%, $E$9)</f>
        <v>12.381600000000001</v>
      </c>
      <c r="I400" s="11">
        <f>12.3852 * CHOOSE(CONTROL!$C$32, $C$9, 100%, $E$9)</f>
        <v>12.385199999999999</v>
      </c>
      <c r="J400" s="11">
        <f>12.3816 * CHOOSE(CONTROL!$C$32, $C$9, 100%, $E$9)</f>
        <v>12.381600000000001</v>
      </c>
      <c r="K400" s="11">
        <f>12.3852 * CHOOSE(CONTROL!$C$32, $C$9, 100%, $E$9)</f>
        <v>12.385199999999999</v>
      </c>
      <c r="L400" s="11">
        <f>6.7823 * CHOOSE(CONTROL!$C$32, $C$9, 100%, $E$9)</f>
        <v>6.7823000000000002</v>
      </c>
      <c r="M400" s="11">
        <f>6.7859 * CHOOSE(CONTROL!$C$32, $C$9, 100%, $E$9)</f>
        <v>6.7858999999999998</v>
      </c>
      <c r="N400" s="11">
        <f>6.7823 * CHOOSE(CONTROL!$C$32, $C$9, 100%, $E$9)</f>
        <v>6.7823000000000002</v>
      </c>
      <c r="O400" s="11">
        <f>6.7859 * CHOOSE(CONTROL!$C$32, $C$9, 100%, $E$9)</f>
        <v>6.7858999999999998</v>
      </c>
    </row>
    <row r="401" spans="1:15" ht="15" x14ac:dyDescent="0.2">
      <c r="A401" s="13">
        <v>53053</v>
      </c>
      <c r="B401" s="9">
        <f>5.8918 * CHOOSE(CONTROL!$C$32, $C$9, 100%, $E$9)</f>
        <v>5.8917999999999999</v>
      </c>
      <c r="C401" s="9">
        <f>5.8918 * CHOOSE(CONTROL!$C$32, $C$9, 100%, $E$9)</f>
        <v>5.8917999999999999</v>
      </c>
      <c r="D401" s="9">
        <f>5.8929 * CHOOSE(CONTROL!$C$32, $C$9, 100%, $E$9)</f>
        <v>5.8929</v>
      </c>
      <c r="E401" s="11">
        <f>6.8923 * CHOOSE(CONTROL!$C$32, $C$9, 100%, $E$9)</f>
        <v>6.8922999999999996</v>
      </c>
      <c r="F401" s="11">
        <f>6.8923 * CHOOSE(CONTROL!$C$32, $C$9, 100%, $E$9)</f>
        <v>6.8922999999999996</v>
      </c>
      <c r="G401" s="11">
        <f>6.896 * CHOOSE(CONTROL!$C$32, $C$9, 100%, $E$9)</f>
        <v>6.8959999999999999</v>
      </c>
      <c r="H401" s="11">
        <f>12.4074 * CHOOSE(CONTROL!$C$32, $C$9, 100%, $E$9)</f>
        <v>12.407400000000001</v>
      </c>
      <c r="I401" s="11">
        <f>12.411 * CHOOSE(CONTROL!$C$32, $C$9, 100%, $E$9)</f>
        <v>12.411</v>
      </c>
      <c r="J401" s="11">
        <f>12.4074 * CHOOSE(CONTROL!$C$32, $C$9, 100%, $E$9)</f>
        <v>12.407400000000001</v>
      </c>
      <c r="K401" s="11">
        <f>12.411 * CHOOSE(CONTROL!$C$32, $C$9, 100%, $E$9)</f>
        <v>12.411</v>
      </c>
      <c r="L401" s="11">
        <f>6.8923 * CHOOSE(CONTROL!$C$32, $C$9, 100%, $E$9)</f>
        <v>6.8922999999999996</v>
      </c>
      <c r="M401" s="11">
        <f>6.896 * CHOOSE(CONTROL!$C$32, $C$9, 100%, $E$9)</f>
        <v>6.8959999999999999</v>
      </c>
      <c r="N401" s="11">
        <f>6.8923 * CHOOSE(CONTROL!$C$32, $C$9, 100%, $E$9)</f>
        <v>6.8922999999999996</v>
      </c>
      <c r="O401" s="11">
        <f>6.896 * CHOOSE(CONTROL!$C$32, $C$9, 100%, $E$9)</f>
        <v>6.8959999999999999</v>
      </c>
    </row>
    <row r="402" spans="1:15" ht="15" x14ac:dyDescent="0.2">
      <c r="A402" s="13">
        <v>53083</v>
      </c>
      <c r="B402" s="9">
        <f>5.8918 * CHOOSE(CONTROL!$C$32, $C$9, 100%, $E$9)</f>
        <v>5.8917999999999999</v>
      </c>
      <c r="C402" s="9">
        <f>5.8918 * CHOOSE(CONTROL!$C$32, $C$9, 100%, $E$9)</f>
        <v>5.8917999999999999</v>
      </c>
      <c r="D402" s="9">
        <f>5.8934 * CHOOSE(CONTROL!$C$32, $C$9, 100%, $E$9)</f>
        <v>5.8933999999999997</v>
      </c>
      <c r="E402" s="11">
        <f>6.9352 * CHOOSE(CONTROL!$C$32, $C$9, 100%, $E$9)</f>
        <v>6.9352</v>
      </c>
      <c r="F402" s="11">
        <f>6.9352 * CHOOSE(CONTROL!$C$32, $C$9, 100%, $E$9)</f>
        <v>6.9352</v>
      </c>
      <c r="G402" s="11">
        <f>6.9405 * CHOOSE(CONTROL!$C$32, $C$9, 100%, $E$9)</f>
        <v>6.9405000000000001</v>
      </c>
      <c r="H402" s="11">
        <f>12.4332 * CHOOSE(CONTROL!$C$32, $C$9, 100%, $E$9)</f>
        <v>12.433199999999999</v>
      </c>
      <c r="I402" s="11">
        <f>12.4385 * CHOOSE(CONTROL!$C$32, $C$9, 100%, $E$9)</f>
        <v>12.438499999999999</v>
      </c>
      <c r="J402" s="11">
        <f>12.4332 * CHOOSE(CONTROL!$C$32, $C$9, 100%, $E$9)</f>
        <v>12.433199999999999</v>
      </c>
      <c r="K402" s="11">
        <f>12.4385 * CHOOSE(CONTROL!$C$32, $C$9, 100%, $E$9)</f>
        <v>12.438499999999999</v>
      </c>
      <c r="L402" s="11">
        <f>6.9352 * CHOOSE(CONTROL!$C$32, $C$9, 100%, $E$9)</f>
        <v>6.9352</v>
      </c>
      <c r="M402" s="11">
        <f>6.9405 * CHOOSE(CONTROL!$C$32, $C$9, 100%, $E$9)</f>
        <v>6.9405000000000001</v>
      </c>
      <c r="N402" s="11">
        <f>6.9352 * CHOOSE(CONTROL!$C$32, $C$9, 100%, $E$9)</f>
        <v>6.9352</v>
      </c>
      <c r="O402" s="11">
        <f>6.9405 * CHOOSE(CONTROL!$C$32, $C$9, 100%, $E$9)</f>
        <v>6.9405000000000001</v>
      </c>
    </row>
    <row r="403" spans="1:15" ht="15" x14ac:dyDescent="0.2">
      <c r="A403" s="13">
        <v>53114</v>
      </c>
      <c r="B403" s="9">
        <f>5.8979 * CHOOSE(CONTROL!$C$32, $C$9, 100%, $E$9)</f>
        <v>5.8978999999999999</v>
      </c>
      <c r="C403" s="9">
        <f>5.8979 * CHOOSE(CONTROL!$C$32, $C$9, 100%, $E$9)</f>
        <v>5.8978999999999999</v>
      </c>
      <c r="D403" s="9">
        <f>5.8995 * CHOOSE(CONTROL!$C$32, $C$9, 100%, $E$9)</f>
        <v>5.8994999999999997</v>
      </c>
      <c r="E403" s="11">
        <f>6.8966 * CHOOSE(CONTROL!$C$32, $C$9, 100%, $E$9)</f>
        <v>6.8966000000000003</v>
      </c>
      <c r="F403" s="11">
        <f>6.8966 * CHOOSE(CONTROL!$C$32, $C$9, 100%, $E$9)</f>
        <v>6.8966000000000003</v>
      </c>
      <c r="G403" s="11">
        <f>6.9019 * CHOOSE(CONTROL!$C$32, $C$9, 100%, $E$9)</f>
        <v>6.9019000000000004</v>
      </c>
      <c r="H403" s="11">
        <f>12.4591 * CHOOSE(CONTROL!$C$32, $C$9, 100%, $E$9)</f>
        <v>12.459099999999999</v>
      </c>
      <c r="I403" s="11">
        <f>12.4644 * CHOOSE(CONTROL!$C$32, $C$9, 100%, $E$9)</f>
        <v>12.464399999999999</v>
      </c>
      <c r="J403" s="11">
        <f>12.4591 * CHOOSE(CONTROL!$C$32, $C$9, 100%, $E$9)</f>
        <v>12.459099999999999</v>
      </c>
      <c r="K403" s="11">
        <f>12.4644 * CHOOSE(CONTROL!$C$32, $C$9, 100%, $E$9)</f>
        <v>12.464399999999999</v>
      </c>
      <c r="L403" s="11">
        <f>6.8966 * CHOOSE(CONTROL!$C$32, $C$9, 100%, $E$9)</f>
        <v>6.8966000000000003</v>
      </c>
      <c r="M403" s="11">
        <f>6.9019 * CHOOSE(CONTROL!$C$32, $C$9, 100%, $E$9)</f>
        <v>6.9019000000000004</v>
      </c>
      <c r="N403" s="11">
        <f>6.8966 * CHOOSE(CONTROL!$C$32, $C$9, 100%, $E$9)</f>
        <v>6.8966000000000003</v>
      </c>
      <c r="O403" s="11">
        <f>6.9019 * CHOOSE(CONTROL!$C$32, $C$9, 100%, $E$9)</f>
        <v>6.9019000000000004</v>
      </c>
    </row>
    <row r="404" spans="1:15" ht="15" x14ac:dyDescent="0.2">
      <c r="A404" s="13">
        <v>53144</v>
      </c>
      <c r="B404" s="9">
        <f>5.9772 * CHOOSE(CONTROL!$C$32, $C$9, 100%, $E$9)</f>
        <v>5.9771999999999998</v>
      </c>
      <c r="C404" s="9">
        <f>5.9772 * CHOOSE(CONTROL!$C$32, $C$9, 100%, $E$9)</f>
        <v>5.9771999999999998</v>
      </c>
      <c r="D404" s="9">
        <f>5.9788 * CHOOSE(CONTROL!$C$32, $C$9, 100%, $E$9)</f>
        <v>5.9787999999999997</v>
      </c>
      <c r="E404" s="11">
        <f>6.9386 * CHOOSE(CONTROL!$C$32, $C$9, 100%, $E$9)</f>
        <v>6.9386000000000001</v>
      </c>
      <c r="F404" s="11">
        <f>6.9386 * CHOOSE(CONTROL!$C$32, $C$9, 100%, $E$9)</f>
        <v>6.9386000000000001</v>
      </c>
      <c r="G404" s="11">
        <f>6.9439 * CHOOSE(CONTROL!$C$32, $C$9, 100%, $E$9)</f>
        <v>6.9439000000000002</v>
      </c>
      <c r="H404" s="11">
        <f>12.4851 * CHOOSE(CONTROL!$C$32, $C$9, 100%, $E$9)</f>
        <v>12.485099999999999</v>
      </c>
      <c r="I404" s="11">
        <f>12.4904 * CHOOSE(CONTROL!$C$32, $C$9, 100%, $E$9)</f>
        <v>12.490399999999999</v>
      </c>
      <c r="J404" s="11">
        <f>12.4851 * CHOOSE(CONTROL!$C$32, $C$9, 100%, $E$9)</f>
        <v>12.485099999999999</v>
      </c>
      <c r="K404" s="11">
        <f>12.4904 * CHOOSE(CONTROL!$C$32, $C$9, 100%, $E$9)</f>
        <v>12.490399999999999</v>
      </c>
      <c r="L404" s="11">
        <f>6.9386 * CHOOSE(CONTROL!$C$32, $C$9, 100%, $E$9)</f>
        <v>6.9386000000000001</v>
      </c>
      <c r="M404" s="11">
        <f>6.9439 * CHOOSE(CONTROL!$C$32, $C$9, 100%, $E$9)</f>
        <v>6.9439000000000002</v>
      </c>
      <c r="N404" s="11">
        <f>6.9386 * CHOOSE(CONTROL!$C$32, $C$9, 100%, $E$9)</f>
        <v>6.9386000000000001</v>
      </c>
      <c r="O404" s="11">
        <f>6.9439 * CHOOSE(CONTROL!$C$32, $C$9, 100%, $E$9)</f>
        <v>6.9439000000000002</v>
      </c>
    </row>
    <row r="405" spans="1:15" ht="15" x14ac:dyDescent="0.2">
      <c r="A405" s="13">
        <v>53175</v>
      </c>
      <c r="B405" s="9">
        <f>5.9839 * CHOOSE(CONTROL!$C$32, $C$9, 100%, $E$9)</f>
        <v>5.9839000000000002</v>
      </c>
      <c r="C405" s="9">
        <f>5.9839 * CHOOSE(CONTROL!$C$32, $C$9, 100%, $E$9)</f>
        <v>5.9839000000000002</v>
      </c>
      <c r="D405" s="9">
        <f>5.9855 * CHOOSE(CONTROL!$C$32, $C$9, 100%, $E$9)</f>
        <v>5.9855</v>
      </c>
      <c r="E405" s="11">
        <f>6.8147 * CHOOSE(CONTROL!$C$32, $C$9, 100%, $E$9)</f>
        <v>6.8147000000000002</v>
      </c>
      <c r="F405" s="11">
        <f>6.8147 * CHOOSE(CONTROL!$C$32, $C$9, 100%, $E$9)</f>
        <v>6.8147000000000002</v>
      </c>
      <c r="G405" s="11">
        <f>6.82 * CHOOSE(CONTROL!$C$32, $C$9, 100%, $E$9)</f>
        <v>6.82</v>
      </c>
      <c r="H405" s="11">
        <f>12.5111 * CHOOSE(CONTROL!$C$32, $C$9, 100%, $E$9)</f>
        <v>12.511100000000001</v>
      </c>
      <c r="I405" s="11">
        <f>12.5164 * CHOOSE(CONTROL!$C$32, $C$9, 100%, $E$9)</f>
        <v>12.516400000000001</v>
      </c>
      <c r="J405" s="11">
        <f>12.5111 * CHOOSE(CONTROL!$C$32, $C$9, 100%, $E$9)</f>
        <v>12.511100000000001</v>
      </c>
      <c r="K405" s="11">
        <f>12.5164 * CHOOSE(CONTROL!$C$32, $C$9, 100%, $E$9)</f>
        <v>12.516400000000001</v>
      </c>
      <c r="L405" s="11">
        <f>6.8147 * CHOOSE(CONTROL!$C$32, $C$9, 100%, $E$9)</f>
        <v>6.8147000000000002</v>
      </c>
      <c r="M405" s="11">
        <f>6.82 * CHOOSE(CONTROL!$C$32, $C$9, 100%, $E$9)</f>
        <v>6.82</v>
      </c>
      <c r="N405" s="11">
        <f>6.8147 * CHOOSE(CONTROL!$C$32, $C$9, 100%, $E$9)</f>
        <v>6.8147000000000002</v>
      </c>
      <c r="O405" s="11">
        <f>6.82 * CHOOSE(CONTROL!$C$32, $C$9, 100%, $E$9)</f>
        <v>6.82</v>
      </c>
    </row>
    <row r="406" spans="1:15" ht="15" x14ac:dyDescent="0.2">
      <c r="A406" s="13">
        <v>53206</v>
      </c>
      <c r="B406" s="9">
        <f>5.9809 * CHOOSE(CONTROL!$C$32, $C$9, 100%, $E$9)</f>
        <v>5.9809000000000001</v>
      </c>
      <c r="C406" s="9">
        <f>5.9809 * CHOOSE(CONTROL!$C$32, $C$9, 100%, $E$9)</f>
        <v>5.9809000000000001</v>
      </c>
      <c r="D406" s="9">
        <f>5.9824 * CHOOSE(CONTROL!$C$32, $C$9, 100%, $E$9)</f>
        <v>5.9824000000000002</v>
      </c>
      <c r="E406" s="11">
        <f>6.7983 * CHOOSE(CONTROL!$C$32, $C$9, 100%, $E$9)</f>
        <v>6.7983000000000002</v>
      </c>
      <c r="F406" s="11">
        <f>6.7983 * CHOOSE(CONTROL!$C$32, $C$9, 100%, $E$9)</f>
        <v>6.7983000000000002</v>
      </c>
      <c r="G406" s="11">
        <f>6.8036 * CHOOSE(CONTROL!$C$32, $C$9, 100%, $E$9)</f>
        <v>6.8036000000000003</v>
      </c>
      <c r="H406" s="11">
        <f>12.5372 * CHOOSE(CONTROL!$C$32, $C$9, 100%, $E$9)</f>
        <v>12.5372</v>
      </c>
      <c r="I406" s="11">
        <f>12.5425 * CHOOSE(CONTROL!$C$32, $C$9, 100%, $E$9)</f>
        <v>12.5425</v>
      </c>
      <c r="J406" s="11">
        <f>12.5372 * CHOOSE(CONTROL!$C$32, $C$9, 100%, $E$9)</f>
        <v>12.5372</v>
      </c>
      <c r="K406" s="11">
        <f>12.5425 * CHOOSE(CONTROL!$C$32, $C$9, 100%, $E$9)</f>
        <v>12.5425</v>
      </c>
      <c r="L406" s="11">
        <f>6.7983 * CHOOSE(CONTROL!$C$32, $C$9, 100%, $E$9)</f>
        <v>6.7983000000000002</v>
      </c>
      <c r="M406" s="11">
        <f>6.8036 * CHOOSE(CONTROL!$C$32, $C$9, 100%, $E$9)</f>
        <v>6.8036000000000003</v>
      </c>
      <c r="N406" s="11">
        <f>6.7983 * CHOOSE(CONTROL!$C$32, $C$9, 100%, $E$9)</f>
        <v>6.7983000000000002</v>
      </c>
      <c r="O406" s="11">
        <f>6.8036 * CHOOSE(CONTROL!$C$32, $C$9, 100%, $E$9)</f>
        <v>6.8036000000000003</v>
      </c>
    </row>
    <row r="407" spans="1:15" ht="15" x14ac:dyDescent="0.2">
      <c r="A407" s="13">
        <v>53236</v>
      </c>
      <c r="B407" s="9">
        <f>5.9833 * CHOOSE(CONTROL!$C$32, $C$9, 100%, $E$9)</f>
        <v>5.9832999999999998</v>
      </c>
      <c r="C407" s="9">
        <f>5.9833 * CHOOSE(CONTROL!$C$32, $C$9, 100%, $E$9)</f>
        <v>5.9832999999999998</v>
      </c>
      <c r="D407" s="9">
        <f>5.9844 * CHOOSE(CONTROL!$C$32, $C$9, 100%, $E$9)</f>
        <v>5.9843999999999999</v>
      </c>
      <c r="E407" s="11">
        <f>6.842 * CHOOSE(CONTROL!$C$32, $C$9, 100%, $E$9)</f>
        <v>6.8419999999999996</v>
      </c>
      <c r="F407" s="11">
        <f>6.842 * CHOOSE(CONTROL!$C$32, $C$9, 100%, $E$9)</f>
        <v>6.8419999999999996</v>
      </c>
      <c r="G407" s="11">
        <f>6.8456 * CHOOSE(CONTROL!$C$32, $C$9, 100%, $E$9)</f>
        <v>6.8456000000000001</v>
      </c>
      <c r="H407" s="11">
        <f>12.5633 * CHOOSE(CONTROL!$C$32, $C$9, 100%, $E$9)</f>
        <v>12.5633</v>
      </c>
      <c r="I407" s="11">
        <f>12.5669 * CHOOSE(CONTROL!$C$32, $C$9, 100%, $E$9)</f>
        <v>12.5669</v>
      </c>
      <c r="J407" s="11">
        <f>12.5633 * CHOOSE(CONTROL!$C$32, $C$9, 100%, $E$9)</f>
        <v>12.5633</v>
      </c>
      <c r="K407" s="11">
        <f>12.5669 * CHOOSE(CONTROL!$C$32, $C$9, 100%, $E$9)</f>
        <v>12.5669</v>
      </c>
      <c r="L407" s="11">
        <f>6.842 * CHOOSE(CONTROL!$C$32, $C$9, 100%, $E$9)</f>
        <v>6.8419999999999996</v>
      </c>
      <c r="M407" s="11">
        <f>6.8456 * CHOOSE(CONTROL!$C$32, $C$9, 100%, $E$9)</f>
        <v>6.8456000000000001</v>
      </c>
      <c r="N407" s="11">
        <f>6.842 * CHOOSE(CONTROL!$C$32, $C$9, 100%, $E$9)</f>
        <v>6.8419999999999996</v>
      </c>
      <c r="O407" s="11">
        <f>6.8456 * CHOOSE(CONTROL!$C$32, $C$9, 100%, $E$9)</f>
        <v>6.8456000000000001</v>
      </c>
    </row>
    <row r="408" spans="1:15" ht="15" x14ac:dyDescent="0.2">
      <c r="A408" s="13">
        <v>53267</v>
      </c>
      <c r="B408" s="9">
        <f>5.9863 * CHOOSE(CONTROL!$C$32, $C$9, 100%, $E$9)</f>
        <v>5.9863</v>
      </c>
      <c r="C408" s="9">
        <f>5.9863 * CHOOSE(CONTROL!$C$32, $C$9, 100%, $E$9)</f>
        <v>5.9863</v>
      </c>
      <c r="D408" s="9">
        <f>5.9874 * CHOOSE(CONTROL!$C$32, $C$9, 100%, $E$9)</f>
        <v>5.9874000000000001</v>
      </c>
      <c r="E408" s="11">
        <f>6.8727 * CHOOSE(CONTROL!$C$32, $C$9, 100%, $E$9)</f>
        <v>6.8727</v>
      </c>
      <c r="F408" s="11">
        <f>6.8727 * CHOOSE(CONTROL!$C$32, $C$9, 100%, $E$9)</f>
        <v>6.8727</v>
      </c>
      <c r="G408" s="11">
        <f>6.8763 * CHOOSE(CONTROL!$C$32, $C$9, 100%, $E$9)</f>
        <v>6.8762999999999996</v>
      </c>
      <c r="H408" s="11">
        <f>12.5895 * CHOOSE(CONTROL!$C$32, $C$9, 100%, $E$9)</f>
        <v>12.589499999999999</v>
      </c>
      <c r="I408" s="11">
        <f>12.5931 * CHOOSE(CONTROL!$C$32, $C$9, 100%, $E$9)</f>
        <v>12.5931</v>
      </c>
      <c r="J408" s="11">
        <f>12.5895 * CHOOSE(CONTROL!$C$32, $C$9, 100%, $E$9)</f>
        <v>12.589499999999999</v>
      </c>
      <c r="K408" s="11">
        <f>12.5931 * CHOOSE(CONTROL!$C$32, $C$9, 100%, $E$9)</f>
        <v>12.5931</v>
      </c>
      <c r="L408" s="11">
        <f>6.8727 * CHOOSE(CONTROL!$C$32, $C$9, 100%, $E$9)</f>
        <v>6.8727</v>
      </c>
      <c r="M408" s="11">
        <f>6.8763 * CHOOSE(CONTROL!$C$32, $C$9, 100%, $E$9)</f>
        <v>6.8762999999999996</v>
      </c>
      <c r="N408" s="11">
        <f>6.8727 * CHOOSE(CONTROL!$C$32, $C$9, 100%, $E$9)</f>
        <v>6.8727</v>
      </c>
      <c r="O408" s="11">
        <f>6.8763 * CHOOSE(CONTROL!$C$32, $C$9, 100%, $E$9)</f>
        <v>6.8762999999999996</v>
      </c>
    </row>
    <row r="409" spans="1:15" ht="15" x14ac:dyDescent="0.2">
      <c r="A409" s="13">
        <v>53297</v>
      </c>
      <c r="B409" s="9">
        <f>5.9863 * CHOOSE(CONTROL!$C$32, $C$9, 100%, $E$9)</f>
        <v>5.9863</v>
      </c>
      <c r="C409" s="9">
        <f>5.9863 * CHOOSE(CONTROL!$C$32, $C$9, 100%, $E$9)</f>
        <v>5.9863</v>
      </c>
      <c r="D409" s="9">
        <f>5.9874 * CHOOSE(CONTROL!$C$32, $C$9, 100%, $E$9)</f>
        <v>5.9874000000000001</v>
      </c>
      <c r="E409" s="11">
        <f>6.8013 * CHOOSE(CONTROL!$C$32, $C$9, 100%, $E$9)</f>
        <v>6.8013000000000003</v>
      </c>
      <c r="F409" s="11">
        <f>6.8013 * CHOOSE(CONTROL!$C$32, $C$9, 100%, $E$9)</f>
        <v>6.8013000000000003</v>
      </c>
      <c r="G409" s="11">
        <f>6.8049 * CHOOSE(CONTROL!$C$32, $C$9, 100%, $E$9)</f>
        <v>6.8048999999999999</v>
      </c>
      <c r="H409" s="11">
        <f>12.6157 * CHOOSE(CONTROL!$C$32, $C$9, 100%, $E$9)</f>
        <v>12.6157</v>
      </c>
      <c r="I409" s="11">
        <f>12.6193 * CHOOSE(CONTROL!$C$32, $C$9, 100%, $E$9)</f>
        <v>12.619300000000001</v>
      </c>
      <c r="J409" s="11">
        <f>12.6157 * CHOOSE(CONTROL!$C$32, $C$9, 100%, $E$9)</f>
        <v>12.6157</v>
      </c>
      <c r="K409" s="11">
        <f>12.6193 * CHOOSE(CONTROL!$C$32, $C$9, 100%, $E$9)</f>
        <v>12.619300000000001</v>
      </c>
      <c r="L409" s="11">
        <f>6.8013 * CHOOSE(CONTROL!$C$32, $C$9, 100%, $E$9)</f>
        <v>6.8013000000000003</v>
      </c>
      <c r="M409" s="11">
        <f>6.8049 * CHOOSE(CONTROL!$C$32, $C$9, 100%, $E$9)</f>
        <v>6.8048999999999999</v>
      </c>
      <c r="N409" s="11">
        <f>6.8013 * CHOOSE(CONTROL!$C$32, $C$9, 100%, $E$9)</f>
        <v>6.8013000000000003</v>
      </c>
      <c r="O409" s="11">
        <f>6.8049 * CHOOSE(CONTROL!$C$32, $C$9, 100%, $E$9)</f>
        <v>6.8048999999999999</v>
      </c>
    </row>
    <row r="410" spans="1:15" ht="15" x14ac:dyDescent="0.2">
      <c r="A410" s="13">
        <v>53328</v>
      </c>
      <c r="B410" s="9">
        <f>6.0321 * CHOOSE(CONTROL!$C$32, $C$9, 100%, $E$9)</f>
        <v>6.0320999999999998</v>
      </c>
      <c r="C410" s="9">
        <f>6.0321 * CHOOSE(CONTROL!$C$32, $C$9, 100%, $E$9)</f>
        <v>6.0320999999999998</v>
      </c>
      <c r="D410" s="9">
        <f>6.0332 * CHOOSE(CONTROL!$C$32, $C$9, 100%, $E$9)</f>
        <v>6.0331999999999999</v>
      </c>
      <c r="E410" s="11">
        <f>6.8926 * CHOOSE(CONTROL!$C$32, $C$9, 100%, $E$9)</f>
        <v>6.8925999999999998</v>
      </c>
      <c r="F410" s="11">
        <f>6.8926 * CHOOSE(CONTROL!$C$32, $C$9, 100%, $E$9)</f>
        <v>6.8925999999999998</v>
      </c>
      <c r="G410" s="11">
        <f>6.8962 * CHOOSE(CONTROL!$C$32, $C$9, 100%, $E$9)</f>
        <v>6.8962000000000003</v>
      </c>
      <c r="H410" s="11">
        <f>12.642 * CHOOSE(CONTROL!$C$32, $C$9, 100%, $E$9)</f>
        <v>12.641999999999999</v>
      </c>
      <c r="I410" s="11">
        <f>12.6456 * CHOOSE(CONTROL!$C$32, $C$9, 100%, $E$9)</f>
        <v>12.6456</v>
      </c>
      <c r="J410" s="11">
        <f>12.642 * CHOOSE(CONTROL!$C$32, $C$9, 100%, $E$9)</f>
        <v>12.641999999999999</v>
      </c>
      <c r="K410" s="11">
        <f>12.6456 * CHOOSE(CONTROL!$C$32, $C$9, 100%, $E$9)</f>
        <v>12.6456</v>
      </c>
      <c r="L410" s="11">
        <f>6.8926 * CHOOSE(CONTROL!$C$32, $C$9, 100%, $E$9)</f>
        <v>6.8925999999999998</v>
      </c>
      <c r="M410" s="11">
        <f>6.8962 * CHOOSE(CONTROL!$C$32, $C$9, 100%, $E$9)</f>
        <v>6.8962000000000003</v>
      </c>
      <c r="N410" s="11">
        <f>6.8926 * CHOOSE(CONTROL!$C$32, $C$9, 100%, $E$9)</f>
        <v>6.8925999999999998</v>
      </c>
      <c r="O410" s="11">
        <f>6.8962 * CHOOSE(CONTROL!$C$32, $C$9, 100%, $E$9)</f>
        <v>6.8962000000000003</v>
      </c>
    </row>
    <row r="411" spans="1:15" ht="15" x14ac:dyDescent="0.2">
      <c r="A411" s="13">
        <v>53359</v>
      </c>
      <c r="B411" s="9">
        <f>6.0291 * CHOOSE(CONTROL!$C$32, $C$9, 100%, $E$9)</f>
        <v>6.0290999999999997</v>
      </c>
      <c r="C411" s="9">
        <f>6.0291 * CHOOSE(CONTROL!$C$32, $C$9, 100%, $E$9)</f>
        <v>6.0290999999999997</v>
      </c>
      <c r="D411" s="9">
        <f>6.0302 * CHOOSE(CONTROL!$C$32, $C$9, 100%, $E$9)</f>
        <v>6.0301999999999998</v>
      </c>
      <c r="E411" s="11">
        <f>6.7511 * CHOOSE(CONTROL!$C$32, $C$9, 100%, $E$9)</f>
        <v>6.7511000000000001</v>
      </c>
      <c r="F411" s="11">
        <f>6.7511 * CHOOSE(CONTROL!$C$32, $C$9, 100%, $E$9)</f>
        <v>6.7511000000000001</v>
      </c>
      <c r="G411" s="11">
        <f>6.7547 * CHOOSE(CONTROL!$C$32, $C$9, 100%, $E$9)</f>
        <v>6.7546999999999997</v>
      </c>
      <c r="H411" s="11">
        <f>12.6683 * CHOOSE(CONTROL!$C$32, $C$9, 100%, $E$9)</f>
        <v>12.6683</v>
      </c>
      <c r="I411" s="11">
        <f>12.6719 * CHOOSE(CONTROL!$C$32, $C$9, 100%, $E$9)</f>
        <v>12.671900000000001</v>
      </c>
      <c r="J411" s="11">
        <f>12.6683 * CHOOSE(CONTROL!$C$32, $C$9, 100%, $E$9)</f>
        <v>12.6683</v>
      </c>
      <c r="K411" s="11">
        <f>12.6719 * CHOOSE(CONTROL!$C$32, $C$9, 100%, $E$9)</f>
        <v>12.671900000000001</v>
      </c>
      <c r="L411" s="11">
        <f>6.7511 * CHOOSE(CONTROL!$C$32, $C$9, 100%, $E$9)</f>
        <v>6.7511000000000001</v>
      </c>
      <c r="M411" s="11">
        <f>6.7547 * CHOOSE(CONTROL!$C$32, $C$9, 100%, $E$9)</f>
        <v>6.7546999999999997</v>
      </c>
      <c r="N411" s="11">
        <f>6.7511 * CHOOSE(CONTROL!$C$32, $C$9, 100%, $E$9)</f>
        <v>6.7511000000000001</v>
      </c>
      <c r="O411" s="11">
        <f>6.7547 * CHOOSE(CONTROL!$C$32, $C$9, 100%, $E$9)</f>
        <v>6.7546999999999997</v>
      </c>
    </row>
    <row r="412" spans="1:15" ht="15" x14ac:dyDescent="0.2">
      <c r="A412" s="13">
        <v>53387</v>
      </c>
      <c r="B412" s="9">
        <f>6.0261 * CHOOSE(CONTROL!$C$32, $C$9, 100%, $E$9)</f>
        <v>6.0260999999999996</v>
      </c>
      <c r="C412" s="9">
        <f>6.0261 * CHOOSE(CONTROL!$C$32, $C$9, 100%, $E$9)</f>
        <v>6.0260999999999996</v>
      </c>
      <c r="D412" s="9">
        <f>6.0271 * CHOOSE(CONTROL!$C$32, $C$9, 100%, $E$9)</f>
        <v>6.0270999999999999</v>
      </c>
      <c r="E412" s="11">
        <f>6.8589 * CHOOSE(CONTROL!$C$32, $C$9, 100%, $E$9)</f>
        <v>6.8589000000000002</v>
      </c>
      <c r="F412" s="11">
        <f>6.8589 * CHOOSE(CONTROL!$C$32, $C$9, 100%, $E$9)</f>
        <v>6.8589000000000002</v>
      </c>
      <c r="G412" s="11">
        <f>6.8625 * CHOOSE(CONTROL!$C$32, $C$9, 100%, $E$9)</f>
        <v>6.8624999999999998</v>
      </c>
      <c r="H412" s="11">
        <f>12.6947 * CHOOSE(CONTROL!$C$32, $C$9, 100%, $E$9)</f>
        <v>12.694699999999999</v>
      </c>
      <c r="I412" s="11">
        <f>12.6983 * CHOOSE(CONTROL!$C$32, $C$9, 100%, $E$9)</f>
        <v>12.6983</v>
      </c>
      <c r="J412" s="11">
        <f>12.6947 * CHOOSE(CONTROL!$C$32, $C$9, 100%, $E$9)</f>
        <v>12.694699999999999</v>
      </c>
      <c r="K412" s="11">
        <f>12.6983 * CHOOSE(CONTROL!$C$32, $C$9, 100%, $E$9)</f>
        <v>12.6983</v>
      </c>
      <c r="L412" s="11">
        <f>6.8589 * CHOOSE(CONTROL!$C$32, $C$9, 100%, $E$9)</f>
        <v>6.8589000000000002</v>
      </c>
      <c r="M412" s="11">
        <f>6.8625 * CHOOSE(CONTROL!$C$32, $C$9, 100%, $E$9)</f>
        <v>6.8624999999999998</v>
      </c>
      <c r="N412" s="11">
        <f>6.8589 * CHOOSE(CONTROL!$C$32, $C$9, 100%, $E$9)</f>
        <v>6.8589000000000002</v>
      </c>
      <c r="O412" s="11">
        <f>6.8625 * CHOOSE(CONTROL!$C$32, $C$9, 100%, $E$9)</f>
        <v>6.8624999999999998</v>
      </c>
    </row>
    <row r="413" spans="1:15" ht="15" x14ac:dyDescent="0.2">
      <c r="A413" s="13">
        <v>53418</v>
      </c>
      <c r="B413" s="9">
        <f>6.0257 * CHOOSE(CONTROL!$C$32, $C$9, 100%, $E$9)</f>
        <v>6.0256999999999996</v>
      </c>
      <c r="C413" s="9">
        <f>6.0257 * CHOOSE(CONTROL!$C$32, $C$9, 100%, $E$9)</f>
        <v>6.0256999999999996</v>
      </c>
      <c r="D413" s="9">
        <f>6.0268 * CHOOSE(CONTROL!$C$32, $C$9, 100%, $E$9)</f>
        <v>6.0267999999999997</v>
      </c>
      <c r="E413" s="11">
        <f>6.9726 * CHOOSE(CONTROL!$C$32, $C$9, 100%, $E$9)</f>
        <v>6.9725999999999999</v>
      </c>
      <c r="F413" s="11">
        <f>6.9726 * CHOOSE(CONTROL!$C$32, $C$9, 100%, $E$9)</f>
        <v>6.9725999999999999</v>
      </c>
      <c r="G413" s="11">
        <f>6.9762 * CHOOSE(CONTROL!$C$32, $C$9, 100%, $E$9)</f>
        <v>6.9762000000000004</v>
      </c>
      <c r="H413" s="11">
        <f>12.7211 * CHOOSE(CONTROL!$C$32, $C$9, 100%, $E$9)</f>
        <v>12.7211</v>
      </c>
      <c r="I413" s="11">
        <f>12.7248 * CHOOSE(CONTROL!$C$32, $C$9, 100%, $E$9)</f>
        <v>12.7248</v>
      </c>
      <c r="J413" s="11">
        <f>12.7211 * CHOOSE(CONTROL!$C$32, $C$9, 100%, $E$9)</f>
        <v>12.7211</v>
      </c>
      <c r="K413" s="11">
        <f>12.7248 * CHOOSE(CONTROL!$C$32, $C$9, 100%, $E$9)</f>
        <v>12.7248</v>
      </c>
      <c r="L413" s="11">
        <f>6.9726 * CHOOSE(CONTROL!$C$32, $C$9, 100%, $E$9)</f>
        <v>6.9725999999999999</v>
      </c>
      <c r="M413" s="11">
        <f>6.9762 * CHOOSE(CONTROL!$C$32, $C$9, 100%, $E$9)</f>
        <v>6.9762000000000004</v>
      </c>
      <c r="N413" s="11">
        <f>6.9726 * CHOOSE(CONTROL!$C$32, $C$9, 100%, $E$9)</f>
        <v>6.9725999999999999</v>
      </c>
      <c r="O413" s="11">
        <f>6.9762 * CHOOSE(CONTROL!$C$32, $C$9, 100%, $E$9)</f>
        <v>6.9762000000000004</v>
      </c>
    </row>
    <row r="414" spans="1:15" ht="15" x14ac:dyDescent="0.2">
      <c r="A414" s="13">
        <v>53448</v>
      </c>
      <c r="B414" s="9">
        <f>6.0257 * CHOOSE(CONTROL!$C$32, $C$9, 100%, $E$9)</f>
        <v>6.0256999999999996</v>
      </c>
      <c r="C414" s="9">
        <f>6.0257 * CHOOSE(CONTROL!$C$32, $C$9, 100%, $E$9)</f>
        <v>6.0256999999999996</v>
      </c>
      <c r="D414" s="9">
        <f>6.0273 * CHOOSE(CONTROL!$C$32, $C$9, 100%, $E$9)</f>
        <v>6.0273000000000003</v>
      </c>
      <c r="E414" s="11">
        <f>7.0168 * CHOOSE(CONTROL!$C$32, $C$9, 100%, $E$9)</f>
        <v>7.0167999999999999</v>
      </c>
      <c r="F414" s="11">
        <f>7.0168 * CHOOSE(CONTROL!$C$32, $C$9, 100%, $E$9)</f>
        <v>7.0167999999999999</v>
      </c>
      <c r="G414" s="11">
        <f>7.0221 * CHOOSE(CONTROL!$C$32, $C$9, 100%, $E$9)</f>
        <v>7.0221</v>
      </c>
      <c r="H414" s="11">
        <f>12.7476 * CHOOSE(CONTROL!$C$32, $C$9, 100%, $E$9)</f>
        <v>12.7476</v>
      </c>
      <c r="I414" s="11">
        <f>12.7529 * CHOOSE(CONTROL!$C$32, $C$9, 100%, $E$9)</f>
        <v>12.7529</v>
      </c>
      <c r="J414" s="11">
        <f>12.7476 * CHOOSE(CONTROL!$C$32, $C$9, 100%, $E$9)</f>
        <v>12.7476</v>
      </c>
      <c r="K414" s="11">
        <f>12.7529 * CHOOSE(CONTROL!$C$32, $C$9, 100%, $E$9)</f>
        <v>12.7529</v>
      </c>
      <c r="L414" s="11">
        <f>7.0168 * CHOOSE(CONTROL!$C$32, $C$9, 100%, $E$9)</f>
        <v>7.0167999999999999</v>
      </c>
      <c r="M414" s="11">
        <f>7.0221 * CHOOSE(CONTROL!$C$32, $C$9, 100%, $E$9)</f>
        <v>7.0221</v>
      </c>
      <c r="N414" s="11">
        <f>7.0168 * CHOOSE(CONTROL!$C$32, $C$9, 100%, $E$9)</f>
        <v>7.0167999999999999</v>
      </c>
      <c r="O414" s="11">
        <f>7.0221 * CHOOSE(CONTROL!$C$32, $C$9, 100%, $E$9)</f>
        <v>7.0221</v>
      </c>
    </row>
    <row r="415" spans="1:15" ht="15" x14ac:dyDescent="0.2">
      <c r="A415" s="13">
        <v>53479</v>
      </c>
      <c r="B415" s="9">
        <f>6.0318 * CHOOSE(CONTROL!$C$32, $C$9, 100%, $E$9)</f>
        <v>6.0317999999999996</v>
      </c>
      <c r="C415" s="9">
        <f>6.0318 * CHOOSE(CONTROL!$C$32, $C$9, 100%, $E$9)</f>
        <v>6.0317999999999996</v>
      </c>
      <c r="D415" s="9">
        <f>6.0333 * CHOOSE(CONTROL!$C$32, $C$9, 100%, $E$9)</f>
        <v>6.0332999999999997</v>
      </c>
      <c r="E415" s="11">
        <f>6.9768 * CHOOSE(CONTROL!$C$32, $C$9, 100%, $E$9)</f>
        <v>6.9767999999999999</v>
      </c>
      <c r="F415" s="11">
        <f>6.9768 * CHOOSE(CONTROL!$C$32, $C$9, 100%, $E$9)</f>
        <v>6.9767999999999999</v>
      </c>
      <c r="G415" s="11">
        <f>6.9821 * CHOOSE(CONTROL!$C$32, $C$9, 100%, $E$9)</f>
        <v>6.9821</v>
      </c>
      <c r="H415" s="11">
        <f>12.7742 * CHOOSE(CONTROL!$C$32, $C$9, 100%, $E$9)</f>
        <v>12.7742</v>
      </c>
      <c r="I415" s="11">
        <f>12.7795 * CHOOSE(CONTROL!$C$32, $C$9, 100%, $E$9)</f>
        <v>12.779500000000001</v>
      </c>
      <c r="J415" s="11">
        <f>12.7742 * CHOOSE(CONTROL!$C$32, $C$9, 100%, $E$9)</f>
        <v>12.7742</v>
      </c>
      <c r="K415" s="11">
        <f>12.7795 * CHOOSE(CONTROL!$C$32, $C$9, 100%, $E$9)</f>
        <v>12.779500000000001</v>
      </c>
      <c r="L415" s="11">
        <f>6.9768 * CHOOSE(CONTROL!$C$32, $C$9, 100%, $E$9)</f>
        <v>6.9767999999999999</v>
      </c>
      <c r="M415" s="11">
        <f>6.9821 * CHOOSE(CONTROL!$C$32, $C$9, 100%, $E$9)</f>
        <v>6.9821</v>
      </c>
      <c r="N415" s="11">
        <f>6.9768 * CHOOSE(CONTROL!$C$32, $C$9, 100%, $E$9)</f>
        <v>6.9767999999999999</v>
      </c>
      <c r="O415" s="11">
        <f>6.9821 * CHOOSE(CONTROL!$C$32, $C$9, 100%, $E$9)</f>
        <v>6.9821</v>
      </c>
    </row>
    <row r="416" spans="1:15" ht="15" x14ac:dyDescent="0.2">
      <c r="A416" s="13">
        <v>53509</v>
      </c>
      <c r="B416" s="9">
        <f>6.1126 * CHOOSE(CONTROL!$C$32, $C$9, 100%, $E$9)</f>
        <v>6.1125999999999996</v>
      </c>
      <c r="C416" s="9">
        <f>6.1126 * CHOOSE(CONTROL!$C$32, $C$9, 100%, $E$9)</f>
        <v>6.1125999999999996</v>
      </c>
      <c r="D416" s="9">
        <f>6.1142 * CHOOSE(CONTROL!$C$32, $C$9, 100%, $E$9)</f>
        <v>6.1142000000000003</v>
      </c>
      <c r="E416" s="11">
        <f>7.0342 * CHOOSE(CONTROL!$C$32, $C$9, 100%, $E$9)</f>
        <v>7.0342000000000002</v>
      </c>
      <c r="F416" s="11">
        <f>7.0342 * CHOOSE(CONTROL!$C$32, $C$9, 100%, $E$9)</f>
        <v>7.0342000000000002</v>
      </c>
      <c r="G416" s="11">
        <f>7.0395 * CHOOSE(CONTROL!$C$32, $C$9, 100%, $E$9)</f>
        <v>7.0395000000000003</v>
      </c>
      <c r="H416" s="11">
        <f>12.8008 * CHOOSE(CONTROL!$C$32, $C$9, 100%, $E$9)</f>
        <v>12.800800000000001</v>
      </c>
      <c r="I416" s="11">
        <f>12.8061 * CHOOSE(CONTROL!$C$32, $C$9, 100%, $E$9)</f>
        <v>12.806100000000001</v>
      </c>
      <c r="J416" s="11">
        <f>12.8008 * CHOOSE(CONTROL!$C$32, $C$9, 100%, $E$9)</f>
        <v>12.800800000000001</v>
      </c>
      <c r="K416" s="11">
        <f>12.8061 * CHOOSE(CONTROL!$C$32, $C$9, 100%, $E$9)</f>
        <v>12.806100000000001</v>
      </c>
      <c r="L416" s="11">
        <f>7.0342 * CHOOSE(CONTROL!$C$32, $C$9, 100%, $E$9)</f>
        <v>7.0342000000000002</v>
      </c>
      <c r="M416" s="11">
        <f>7.0395 * CHOOSE(CONTROL!$C$32, $C$9, 100%, $E$9)</f>
        <v>7.0395000000000003</v>
      </c>
      <c r="N416" s="11">
        <f>7.0342 * CHOOSE(CONTROL!$C$32, $C$9, 100%, $E$9)</f>
        <v>7.0342000000000002</v>
      </c>
      <c r="O416" s="11">
        <f>7.0395 * CHOOSE(CONTROL!$C$32, $C$9, 100%, $E$9)</f>
        <v>7.0395000000000003</v>
      </c>
    </row>
    <row r="417" spans="1:15" ht="15" x14ac:dyDescent="0.2">
      <c r="A417" s="13">
        <v>53540</v>
      </c>
      <c r="B417" s="9">
        <f>6.1193 * CHOOSE(CONTROL!$C$32, $C$9, 100%, $E$9)</f>
        <v>6.1193</v>
      </c>
      <c r="C417" s="9">
        <f>6.1193 * CHOOSE(CONTROL!$C$32, $C$9, 100%, $E$9)</f>
        <v>6.1193</v>
      </c>
      <c r="D417" s="9">
        <f>6.1209 * CHOOSE(CONTROL!$C$32, $C$9, 100%, $E$9)</f>
        <v>6.1208999999999998</v>
      </c>
      <c r="E417" s="11">
        <f>6.9061 * CHOOSE(CONTROL!$C$32, $C$9, 100%, $E$9)</f>
        <v>6.9061000000000003</v>
      </c>
      <c r="F417" s="11">
        <f>6.9061 * CHOOSE(CONTROL!$C$32, $C$9, 100%, $E$9)</f>
        <v>6.9061000000000003</v>
      </c>
      <c r="G417" s="11">
        <f>6.9114 * CHOOSE(CONTROL!$C$32, $C$9, 100%, $E$9)</f>
        <v>6.9114000000000004</v>
      </c>
      <c r="H417" s="11">
        <f>12.8275 * CHOOSE(CONTROL!$C$32, $C$9, 100%, $E$9)</f>
        <v>12.827500000000001</v>
      </c>
      <c r="I417" s="11">
        <f>12.8328 * CHOOSE(CONTROL!$C$32, $C$9, 100%, $E$9)</f>
        <v>12.832800000000001</v>
      </c>
      <c r="J417" s="11">
        <f>12.8275 * CHOOSE(CONTROL!$C$32, $C$9, 100%, $E$9)</f>
        <v>12.827500000000001</v>
      </c>
      <c r="K417" s="11">
        <f>12.8328 * CHOOSE(CONTROL!$C$32, $C$9, 100%, $E$9)</f>
        <v>12.832800000000001</v>
      </c>
      <c r="L417" s="11">
        <f>6.9061 * CHOOSE(CONTROL!$C$32, $C$9, 100%, $E$9)</f>
        <v>6.9061000000000003</v>
      </c>
      <c r="M417" s="11">
        <f>6.9114 * CHOOSE(CONTROL!$C$32, $C$9, 100%, $E$9)</f>
        <v>6.9114000000000004</v>
      </c>
      <c r="N417" s="11">
        <f>6.9061 * CHOOSE(CONTROL!$C$32, $C$9, 100%, $E$9)</f>
        <v>6.9061000000000003</v>
      </c>
      <c r="O417" s="11">
        <f>6.9114 * CHOOSE(CONTROL!$C$32, $C$9, 100%, $E$9)</f>
        <v>6.9114000000000004</v>
      </c>
    </row>
    <row r="418" spans="1:15" ht="15" x14ac:dyDescent="0.2">
      <c r="A418" s="13">
        <v>53571</v>
      </c>
      <c r="B418" s="9">
        <f>6.1163 * CHOOSE(CONTROL!$C$32, $C$9, 100%, $E$9)</f>
        <v>6.1162999999999998</v>
      </c>
      <c r="C418" s="9">
        <f>6.1163 * CHOOSE(CONTROL!$C$32, $C$9, 100%, $E$9)</f>
        <v>6.1162999999999998</v>
      </c>
      <c r="D418" s="9">
        <f>6.1178 * CHOOSE(CONTROL!$C$32, $C$9, 100%, $E$9)</f>
        <v>6.1177999999999999</v>
      </c>
      <c r="E418" s="11">
        <f>6.8892 * CHOOSE(CONTROL!$C$32, $C$9, 100%, $E$9)</f>
        <v>6.8891999999999998</v>
      </c>
      <c r="F418" s="11">
        <f>6.8892 * CHOOSE(CONTROL!$C$32, $C$9, 100%, $E$9)</f>
        <v>6.8891999999999998</v>
      </c>
      <c r="G418" s="11">
        <f>6.8945 * CHOOSE(CONTROL!$C$32, $C$9, 100%, $E$9)</f>
        <v>6.8944999999999999</v>
      </c>
      <c r="H418" s="11">
        <f>12.8542 * CHOOSE(CONTROL!$C$32, $C$9, 100%, $E$9)</f>
        <v>12.854200000000001</v>
      </c>
      <c r="I418" s="11">
        <f>12.8595 * CHOOSE(CONTROL!$C$32, $C$9, 100%, $E$9)</f>
        <v>12.859500000000001</v>
      </c>
      <c r="J418" s="11">
        <f>12.8542 * CHOOSE(CONTROL!$C$32, $C$9, 100%, $E$9)</f>
        <v>12.854200000000001</v>
      </c>
      <c r="K418" s="11">
        <f>12.8595 * CHOOSE(CONTROL!$C$32, $C$9, 100%, $E$9)</f>
        <v>12.859500000000001</v>
      </c>
      <c r="L418" s="11">
        <f>6.8892 * CHOOSE(CONTROL!$C$32, $C$9, 100%, $E$9)</f>
        <v>6.8891999999999998</v>
      </c>
      <c r="M418" s="11">
        <f>6.8945 * CHOOSE(CONTROL!$C$32, $C$9, 100%, $E$9)</f>
        <v>6.8944999999999999</v>
      </c>
      <c r="N418" s="11">
        <f>6.8892 * CHOOSE(CONTROL!$C$32, $C$9, 100%, $E$9)</f>
        <v>6.8891999999999998</v>
      </c>
      <c r="O418" s="11">
        <f>6.8945 * CHOOSE(CONTROL!$C$32, $C$9, 100%, $E$9)</f>
        <v>6.8944999999999999</v>
      </c>
    </row>
    <row r="419" spans="1:15" ht="15" x14ac:dyDescent="0.2">
      <c r="A419" s="13">
        <v>53601</v>
      </c>
      <c r="B419" s="9">
        <f>6.1192 * CHOOSE(CONTROL!$C$32, $C$9, 100%, $E$9)</f>
        <v>6.1192000000000002</v>
      </c>
      <c r="C419" s="9">
        <f>6.1192 * CHOOSE(CONTROL!$C$32, $C$9, 100%, $E$9)</f>
        <v>6.1192000000000002</v>
      </c>
      <c r="D419" s="9">
        <f>6.1203 * CHOOSE(CONTROL!$C$32, $C$9, 100%, $E$9)</f>
        <v>6.1203000000000003</v>
      </c>
      <c r="E419" s="11">
        <f>6.9348 * CHOOSE(CONTROL!$C$32, $C$9, 100%, $E$9)</f>
        <v>6.9348000000000001</v>
      </c>
      <c r="F419" s="11">
        <f>6.9348 * CHOOSE(CONTROL!$C$32, $C$9, 100%, $E$9)</f>
        <v>6.9348000000000001</v>
      </c>
      <c r="G419" s="11">
        <f>6.9384 * CHOOSE(CONTROL!$C$32, $C$9, 100%, $E$9)</f>
        <v>6.9383999999999997</v>
      </c>
      <c r="H419" s="11">
        <f>12.881 * CHOOSE(CONTROL!$C$32, $C$9, 100%, $E$9)</f>
        <v>12.881</v>
      </c>
      <c r="I419" s="11">
        <f>12.8846 * CHOOSE(CONTROL!$C$32, $C$9, 100%, $E$9)</f>
        <v>12.884600000000001</v>
      </c>
      <c r="J419" s="11">
        <f>12.881 * CHOOSE(CONTROL!$C$32, $C$9, 100%, $E$9)</f>
        <v>12.881</v>
      </c>
      <c r="K419" s="11">
        <f>12.8846 * CHOOSE(CONTROL!$C$32, $C$9, 100%, $E$9)</f>
        <v>12.884600000000001</v>
      </c>
      <c r="L419" s="11">
        <f>6.9348 * CHOOSE(CONTROL!$C$32, $C$9, 100%, $E$9)</f>
        <v>6.9348000000000001</v>
      </c>
      <c r="M419" s="11">
        <f>6.9384 * CHOOSE(CONTROL!$C$32, $C$9, 100%, $E$9)</f>
        <v>6.9383999999999997</v>
      </c>
      <c r="N419" s="11">
        <f>6.9348 * CHOOSE(CONTROL!$C$32, $C$9, 100%, $E$9)</f>
        <v>6.9348000000000001</v>
      </c>
      <c r="O419" s="11">
        <f>6.9384 * CHOOSE(CONTROL!$C$32, $C$9, 100%, $E$9)</f>
        <v>6.9383999999999997</v>
      </c>
    </row>
    <row r="420" spans="1:15" ht="15" x14ac:dyDescent="0.2">
      <c r="A420" s="13">
        <v>53632</v>
      </c>
      <c r="B420" s="9">
        <f>6.1222 * CHOOSE(CONTROL!$C$32, $C$9, 100%, $E$9)</f>
        <v>6.1222000000000003</v>
      </c>
      <c r="C420" s="9">
        <f>6.1222 * CHOOSE(CONTROL!$C$32, $C$9, 100%, $E$9)</f>
        <v>6.1222000000000003</v>
      </c>
      <c r="D420" s="9">
        <f>6.1233 * CHOOSE(CONTROL!$C$32, $C$9, 100%, $E$9)</f>
        <v>6.1233000000000004</v>
      </c>
      <c r="E420" s="11">
        <f>6.9664 * CHOOSE(CONTROL!$C$32, $C$9, 100%, $E$9)</f>
        <v>6.9664000000000001</v>
      </c>
      <c r="F420" s="11">
        <f>6.9664 * CHOOSE(CONTROL!$C$32, $C$9, 100%, $E$9)</f>
        <v>6.9664000000000001</v>
      </c>
      <c r="G420" s="11">
        <f>6.97 * CHOOSE(CONTROL!$C$32, $C$9, 100%, $E$9)</f>
        <v>6.97</v>
      </c>
      <c r="H420" s="11">
        <f>12.9078 * CHOOSE(CONTROL!$C$32, $C$9, 100%, $E$9)</f>
        <v>12.9078</v>
      </c>
      <c r="I420" s="11">
        <f>12.9114 * CHOOSE(CONTROL!$C$32, $C$9, 100%, $E$9)</f>
        <v>12.9114</v>
      </c>
      <c r="J420" s="11">
        <f>12.9078 * CHOOSE(CONTROL!$C$32, $C$9, 100%, $E$9)</f>
        <v>12.9078</v>
      </c>
      <c r="K420" s="11">
        <f>12.9114 * CHOOSE(CONTROL!$C$32, $C$9, 100%, $E$9)</f>
        <v>12.9114</v>
      </c>
      <c r="L420" s="11">
        <f>6.9664 * CHOOSE(CONTROL!$C$32, $C$9, 100%, $E$9)</f>
        <v>6.9664000000000001</v>
      </c>
      <c r="M420" s="11">
        <f>6.97 * CHOOSE(CONTROL!$C$32, $C$9, 100%, $E$9)</f>
        <v>6.97</v>
      </c>
      <c r="N420" s="11">
        <f>6.9664 * CHOOSE(CONTROL!$C$32, $C$9, 100%, $E$9)</f>
        <v>6.9664000000000001</v>
      </c>
      <c r="O420" s="11">
        <f>6.97 * CHOOSE(CONTROL!$C$32, $C$9, 100%, $E$9)</f>
        <v>6.97</v>
      </c>
    </row>
    <row r="421" spans="1:15" ht="15" x14ac:dyDescent="0.2">
      <c r="A421" s="13">
        <v>53662</v>
      </c>
      <c r="B421" s="9">
        <f>6.1222 * CHOOSE(CONTROL!$C$32, $C$9, 100%, $E$9)</f>
        <v>6.1222000000000003</v>
      </c>
      <c r="C421" s="9">
        <f>6.1222 * CHOOSE(CONTROL!$C$32, $C$9, 100%, $E$9)</f>
        <v>6.1222000000000003</v>
      </c>
      <c r="D421" s="9">
        <f>6.1233 * CHOOSE(CONTROL!$C$32, $C$9, 100%, $E$9)</f>
        <v>6.1233000000000004</v>
      </c>
      <c r="E421" s="11">
        <f>6.8927 * CHOOSE(CONTROL!$C$32, $C$9, 100%, $E$9)</f>
        <v>6.8926999999999996</v>
      </c>
      <c r="F421" s="11">
        <f>6.8927 * CHOOSE(CONTROL!$C$32, $C$9, 100%, $E$9)</f>
        <v>6.8926999999999996</v>
      </c>
      <c r="G421" s="11">
        <f>6.8963 * CHOOSE(CONTROL!$C$32, $C$9, 100%, $E$9)</f>
        <v>6.8963000000000001</v>
      </c>
      <c r="H421" s="11">
        <f>12.9347 * CHOOSE(CONTROL!$C$32, $C$9, 100%, $E$9)</f>
        <v>12.934699999999999</v>
      </c>
      <c r="I421" s="11">
        <f>12.9383 * CHOOSE(CONTROL!$C$32, $C$9, 100%, $E$9)</f>
        <v>12.9383</v>
      </c>
      <c r="J421" s="11">
        <f>12.9347 * CHOOSE(CONTROL!$C$32, $C$9, 100%, $E$9)</f>
        <v>12.934699999999999</v>
      </c>
      <c r="K421" s="11">
        <f>12.9383 * CHOOSE(CONTROL!$C$32, $C$9, 100%, $E$9)</f>
        <v>12.9383</v>
      </c>
      <c r="L421" s="11">
        <f>6.8927 * CHOOSE(CONTROL!$C$32, $C$9, 100%, $E$9)</f>
        <v>6.8926999999999996</v>
      </c>
      <c r="M421" s="11">
        <f>6.8963 * CHOOSE(CONTROL!$C$32, $C$9, 100%, $E$9)</f>
        <v>6.8963000000000001</v>
      </c>
      <c r="N421" s="11">
        <f>6.8927 * CHOOSE(CONTROL!$C$32, $C$9, 100%, $E$9)</f>
        <v>6.8926999999999996</v>
      </c>
      <c r="O421" s="11">
        <f>6.8963 * CHOOSE(CONTROL!$C$32, $C$9, 100%, $E$9)</f>
        <v>6.8963000000000001</v>
      </c>
    </row>
    <row r="422" spans="1:15" ht="15" x14ac:dyDescent="0.2">
      <c r="A422" s="13">
        <v>53693</v>
      </c>
      <c r="B422" s="9">
        <f>6.169 * CHOOSE(CONTROL!$C$32, $C$9, 100%, $E$9)</f>
        <v>6.1689999999999996</v>
      </c>
      <c r="C422" s="9">
        <f>6.169 * CHOOSE(CONTROL!$C$32, $C$9, 100%, $E$9)</f>
        <v>6.1689999999999996</v>
      </c>
      <c r="D422" s="9">
        <f>6.17 * CHOOSE(CONTROL!$C$32, $C$9, 100%, $E$9)</f>
        <v>6.17</v>
      </c>
      <c r="E422" s="11">
        <f>6.9915 * CHOOSE(CONTROL!$C$32, $C$9, 100%, $E$9)</f>
        <v>6.9915000000000003</v>
      </c>
      <c r="F422" s="11">
        <f>6.9915 * CHOOSE(CONTROL!$C$32, $C$9, 100%, $E$9)</f>
        <v>6.9915000000000003</v>
      </c>
      <c r="G422" s="11">
        <f>6.9951 * CHOOSE(CONTROL!$C$32, $C$9, 100%, $E$9)</f>
        <v>6.9950999999999999</v>
      </c>
      <c r="H422" s="11">
        <f>12.9617 * CHOOSE(CONTROL!$C$32, $C$9, 100%, $E$9)</f>
        <v>12.9617</v>
      </c>
      <c r="I422" s="11">
        <f>12.9653 * CHOOSE(CONTROL!$C$32, $C$9, 100%, $E$9)</f>
        <v>12.965299999999999</v>
      </c>
      <c r="J422" s="11">
        <f>12.9617 * CHOOSE(CONTROL!$C$32, $C$9, 100%, $E$9)</f>
        <v>12.9617</v>
      </c>
      <c r="K422" s="11">
        <f>12.9653 * CHOOSE(CONTROL!$C$32, $C$9, 100%, $E$9)</f>
        <v>12.965299999999999</v>
      </c>
      <c r="L422" s="11">
        <f>6.9915 * CHOOSE(CONTROL!$C$32, $C$9, 100%, $E$9)</f>
        <v>6.9915000000000003</v>
      </c>
      <c r="M422" s="11">
        <f>6.9951 * CHOOSE(CONTROL!$C$32, $C$9, 100%, $E$9)</f>
        <v>6.9950999999999999</v>
      </c>
      <c r="N422" s="11">
        <f>6.9915 * CHOOSE(CONTROL!$C$32, $C$9, 100%, $E$9)</f>
        <v>6.9915000000000003</v>
      </c>
      <c r="O422" s="11">
        <f>6.9951 * CHOOSE(CONTROL!$C$32, $C$9, 100%, $E$9)</f>
        <v>6.9950999999999999</v>
      </c>
    </row>
    <row r="423" spans="1:15" ht="15" x14ac:dyDescent="0.2">
      <c r="A423" s="13">
        <v>53724</v>
      </c>
      <c r="B423" s="9">
        <f>6.1659 * CHOOSE(CONTROL!$C$32, $C$9, 100%, $E$9)</f>
        <v>6.1658999999999997</v>
      </c>
      <c r="C423" s="9">
        <f>6.1659 * CHOOSE(CONTROL!$C$32, $C$9, 100%, $E$9)</f>
        <v>6.1658999999999997</v>
      </c>
      <c r="D423" s="9">
        <f>6.167 * CHOOSE(CONTROL!$C$32, $C$9, 100%, $E$9)</f>
        <v>6.1669999999999998</v>
      </c>
      <c r="E423" s="11">
        <f>6.8455 * CHOOSE(CONTROL!$C$32, $C$9, 100%, $E$9)</f>
        <v>6.8455000000000004</v>
      </c>
      <c r="F423" s="11">
        <f>6.8455 * CHOOSE(CONTROL!$C$32, $C$9, 100%, $E$9)</f>
        <v>6.8455000000000004</v>
      </c>
      <c r="G423" s="11">
        <f>6.8491 * CHOOSE(CONTROL!$C$32, $C$9, 100%, $E$9)</f>
        <v>6.8491</v>
      </c>
      <c r="H423" s="11">
        <f>12.9887 * CHOOSE(CONTROL!$C$32, $C$9, 100%, $E$9)</f>
        <v>12.9887</v>
      </c>
      <c r="I423" s="11">
        <f>12.9923 * CHOOSE(CONTROL!$C$32, $C$9, 100%, $E$9)</f>
        <v>12.9923</v>
      </c>
      <c r="J423" s="11">
        <f>12.9887 * CHOOSE(CONTROL!$C$32, $C$9, 100%, $E$9)</f>
        <v>12.9887</v>
      </c>
      <c r="K423" s="11">
        <f>12.9923 * CHOOSE(CONTROL!$C$32, $C$9, 100%, $E$9)</f>
        <v>12.9923</v>
      </c>
      <c r="L423" s="11">
        <f>6.8455 * CHOOSE(CONTROL!$C$32, $C$9, 100%, $E$9)</f>
        <v>6.8455000000000004</v>
      </c>
      <c r="M423" s="11">
        <f>6.8491 * CHOOSE(CONTROL!$C$32, $C$9, 100%, $E$9)</f>
        <v>6.8491</v>
      </c>
      <c r="N423" s="11">
        <f>6.8455 * CHOOSE(CONTROL!$C$32, $C$9, 100%, $E$9)</f>
        <v>6.8455000000000004</v>
      </c>
      <c r="O423" s="11">
        <f>6.8491 * CHOOSE(CONTROL!$C$32, $C$9, 100%, $E$9)</f>
        <v>6.8491</v>
      </c>
    </row>
    <row r="424" spans="1:15" ht="15" x14ac:dyDescent="0.2">
      <c r="A424" s="13">
        <v>53752</v>
      </c>
      <c r="B424" s="9">
        <f>6.1629 * CHOOSE(CONTROL!$C$32, $C$9, 100%, $E$9)</f>
        <v>6.1628999999999996</v>
      </c>
      <c r="C424" s="9">
        <f>6.1629 * CHOOSE(CONTROL!$C$32, $C$9, 100%, $E$9)</f>
        <v>6.1628999999999996</v>
      </c>
      <c r="D424" s="9">
        <f>6.164 * CHOOSE(CONTROL!$C$32, $C$9, 100%, $E$9)</f>
        <v>6.1639999999999997</v>
      </c>
      <c r="E424" s="11">
        <f>6.9568 * CHOOSE(CONTROL!$C$32, $C$9, 100%, $E$9)</f>
        <v>6.9568000000000003</v>
      </c>
      <c r="F424" s="11">
        <f>6.9568 * CHOOSE(CONTROL!$C$32, $C$9, 100%, $E$9)</f>
        <v>6.9568000000000003</v>
      </c>
      <c r="G424" s="11">
        <f>6.9605 * CHOOSE(CONTROL!$C$32, $C$9, 100%, $E$9)</f>
        <v>6.9604999999999997</v>
      </c>
      <c r="H424" s="11">
        <f>13.0157 * CHOOSE(CONTROL!$C$32, $C$9, 100%, $E$9)</f>
        <v>13.015700000000001</v>
      </c>
      <c r="I424" s="11">
        <f>13.0193 * CHOOSE(CONTROL!$C$32, $C$9, 100%, $E$9)</f>
        <v>13.019299999999999</v>
      </c>
      <c r="J424" s="11">
        <f>13.0157 * CHOOSE(CONTROL!$C$32, $C$9, 100%, $E$9)</f>
        <v>13.015700000000001</v>
      </c>
      <c r="K424" s="11">
        <f>13.0193 * CHOOSE(CONTROL!$C$32, $C$9, 100%, $E$9)</f>
        <v>13.019299999999999</v>
      </c>
      <c r="L424" s="11">
        <f>6.9568 * CHOOSE(CONTROL!$C$32, $C$9, 100%, $E$9)</f>
        <v>6.9568000000000003</v>
      </c>
      <c r="M424" s="11">
        <f>6.9605 * CHOOSE(CONTROL!$C$32, $C$9, 100%, $E$9)</f>
        <v>6.9604999999999997</v>
      </c>
      <c r="N424" s="11">
        <f>6.9568 * CHOOSE(CONTROL!$C$32, $C$9, 100%, $E$9)</f>
        <v>6.9568000000000003</v>
      </c>
      <c r="O424" s="11">
        <f>6.9605 * CHOOSE(CONTROL!$C$32, $C$9, 100%, $E$9)</f>
        <v>6.9604999999999997</v>
      </c>
    </row>
    <row r="425" spans="1:15" ht="15" x14ac:dyDescent="0.2">
      <c r="A425" s="13">
        <v>53783</v>
      </c>
      <c r="B425" s="9">
        <f>6.1626 * CHOOSE(CONTROL!$C$32, $C$9, 100%, $E$9)</f>
        <v>6.1626000000000003</v>
      </c>
      <c r="C425" s="9">
        <f>6.1626 * CHOOSE(CONTROL!$C$32, $C$9, 100%, $E$9)</f>
        <v>6.1626000000000003</v>
      </c>
      <c r="D425" s="9">
        <f>6.1637 * CHOOSE(CONTROL!$C$32, $C$9, 100%, $E$9)</f>
        <v>6.1637000000000004</v>
      </c>
      <c r="E425" s="11">
        <f>7.0744 * CHOOSE(CONTROL!$C$32, $C$9, 100%, $E$9)</f>
        <v>7.0743999999999998</v>
      </c>
      <c r="F425" s="11">
        <f>7.0744 * CHOOSE(CONTROL!$C$32, $C$9, 100%, $E$9)</f>
        <v>7.0743999999999998</v>
      </c>
      <c r="G425" s="11">
        <f>7.078 * CHOOSE(CONTROL!$C$32, $C$9, 100%, $E$9)</f>
        <v>7.0780000000000003</v>
      </c>
      <c r="H425" s="11">
        <f>13.0428 * CHOOSE(CONTROL!$C$32, $C$9, 100%, $E$9)</f>
        <v>13.0428</v>
      </c>
      <c r="I425" s="11">
        <f>13.0465 * CHOOSE(CONTROL!$C$32, $C$9, 100%, $E$9)</f>
        <v>13.0465</v>
      </c>
      <c r="J425" s="11">
        <f>13.0428 * CHOOSE(CONTROL!$C$32, $C$9, 100%, $E$9)</f>
        <v>13.0428</v>
      </c>
      <c r="K425" s="11">
        <f>13.0465 * CHOOSE(CONTROL!$C$32, $C$9, 100%, $E$9)</f>
        <v>13.0465</v>
      </c>
      <c r="L425" s="11">
        <f>7.0744 * CHOOSE(CONTROL!$C$32, $C$9, 100%, $E$9)</f>
        <v>7.0743999999999998</v>
      </c>
      <c r="M425" s="11">
        <f>7.078 * CHOOSE(CONTROL!$C$32, $C$9, 100%, $E$9)</f>
        <v>7.0780000000000003</v>
      </c>
      <c r="N425" s="11">
        <f>7.0744 * CHOOSE(CONTROL!$C$32, $C$9, 100%, $E$9)</f>
        <v>7.0743999999999998</v>
      </c>
      <c r="O425" s="11">
        <f>7.078 * CHOOSE(CONTROL!$C$32, $C$9, 100%, $E$9)</f>
        <v>7.0780000000000003</v>
      </c>
    </row>
    <row r="426" spans="1:15" ht="15" x14ac:dyDescent="0.2">
      <c r="A426" s="13">
        <v>53813</v>
      </c>
      <c r="B426" s="9">
        <f>6.1626 * CHOOSE(CONTROL!$C$32, $C$9, 100%, $E$9)</f>
        <v>6.1626000000000003</v>
      </c>
      <c r="C426" s="9">
        <f>6.1626 * CHOOSE(CONTROL!$C$32, $C$9, 100%, $E$9)</f>
        <v>6.1626000000000003</v>
      </c>
      <c r="D426" s="9">
        <f>6.1642 * CHOOSE(CONTROL!$C$32, $C$9, 100%, $E$9)</f>
        <v>6.1642000000000001</v>
      </c>
      <c r="E426" s="11">
        <f>7.1201 * CHOOSE(CONTROL!$C$32, $C$9, 100%, $E$9)</f>
        <v>7.1200999999999999</v>
      </c>
      <c r="F426" s="11">
        <f>7.1201 * CHOOSE(CONTROL!$C$32, $C$9, 100%, $E$9)</f>
        <v>7.1200999999999999</v>
      </c>
      <c r="G426" s="11">
        <f>7.1254 * CHOOSE(CONTROL!$C$32, $C$9, 100%, $E$9)</f>
        <v>7.1254</v>
      </c>
      <c r="H426" s="11">
        <f>13.07 * CHOOSE(CONTROL!$C$32, $C$9, 100%, $E$9)</f>
        <v>13.07</v>
      </c>
      <c r="I426" s="11">
        <f>13.0753 * CHOOSE(CONTROL!$C$32, $C$9, 100%, $E$9)</f>
        <v>13.0753</v>
      </c>
      <c r="J426" s="11">
        <f>13.07 * CHOOSE(CONTROL!$C$32, $C$9, 100%, $E$9)</f>
        <v>13.07</v>
      </c>
      <c r="K426" s="11">
        <f>13.0753 * CHOOSE(CONTROL!$C$32, $C$9, 100%, $E$9)</f>
        <v>13.0753</v>
      </c>
      <c r="L426" s="11">
        <f>7.1201 * CHOOSE(CONTROL!$C$32, $C$9, 100%, $E$9)</f>
        <v>7.1200999999999999</v>
      </c>
      <c r="M426" s="11">
        <f>7.1254 * CHOOSE(CONTROL!$C$32, $C$9, 100%, $E$9)</f>
        <v>7.1254</v>
      </c>
      <c r="N426" s="11">
        <f>7.1201 * CHOOSE(CONTROL!$C$32, $C$9, 100%, $E$9)</f>
        <v>7.1200999999999999</v>
      </c>
      <c r="O426" s="11">
        <f>7.1254 * CHOOSE(CONTROL!$C$32, $C$9, 100%, $E$9)</f>
        <v>7.1254</v>
      </c>
    </row>
    <row r="427" spans="1:15" ht="15" x14ac:dyDescent="0.2">
      <c r="A427" s="13">
        <v>53844</v>
      </c>
      <c r="B427" s="9">
        <f>6.1687 * CHOOSE(CONTROL!$C$32, $C$9, 100%, $E$9)</f>
        <v>6.1687000000000003</v>
      </c>
      <c r="C427" s="9">
        <f>6.1687 * CHOOSE(CONTROL!$C$32, $C$9, 100%, $E$9)</f>
        <v>6.1687000000000003</v>
      </c>
      <c r="D427" s="9">
        <f>6.1703 * CHOOSE(CONTROL!$C$32, $C$9, 100%, $E$9)</f>
        <v>6.1703000000000001</v>
      </c>
      <c r="E427" s="11">
        <f>7.0787 * CHOOSE(CONTROL!$C$32, $C$9, 100%, $E$9)</f>
        <v>7.0787000000000004</v>
      </c>
      <c r="F427" s="11">
        <f>7.0787 * CHOOSE(CONTROL!$C$32, $C$9, 100%, $E$9)</f>
        <v>7.0787000000000004</v>
      </c>
      <c r="G427" s="11">
        <f>7.0839 * CHOOSE(CONTROL!$C$32, $C$9, 100%, $E$9)</f>
        <v>7.0838999999999999</v>
      </c>
      <c r="H427" s="11">
        <f>13.0972 * CHOOSE(CONTROL!$C$32, $C$9, 100%, $E$9)</f>
        <v>13.097200000000001</v>
      </c>
      <c r="I427" s="11">
        <f>13.1025 * CHOOSE(CONTROL!$C$32, $C$9, 100%, $E$9)</f>
        <v>13.102499999999999</v>
      </c>
      <c r="J427" s="11">
        <f>13.0972 * CHOOSE(CONTROL!$C$32, $C$9, 100%, $E$9)</f>
        <v>13.097200000000001</v>
      </c>
      <c r="K427" s="11">
        <f>13.1025 * CHOOSE(CONTROL!$C$32, $C$9, 100%, $E$9)</f>
        <v>13.102499999999999</v>
      </c>
      <c r="L427" s="11">
        <f>7.0787 * CHOOSE(CONTROL!$C$32, $C$9, 100%, $E$9)</f>
        <v>7.0787000000000004</v>
      </c>
      <c r="M427" s="11">
        <f>7.0839 * CHOOSE(CONTROL!$C$32, $C$9, 100%, $E$9)</f>
        <v>7.0838999999999999</v>
      </c>
      <c r="N427" s="11">
        <f>7.0787 * CHOOSE(CONTROL!$C$32, $C$9, 100%, $E$9)</f>
        <v>7.0787000000000004</v>
      </c>
      <c r="O427" s="11">
        <f>7.0839 * CHOOSE(CONTROL!$C$32, $C$9, 100%, $E$9)</f>
        <v>7.0838999999999999</v>
      </c>
    </row>
    <row r="428" spans="1:15" ht="15" x14ac:dyDescent="0.2">
      <c r="A428" s="13">
        <v>53874</v>
      </c>
      <c r="B428" s="9">
        <f>6.251 * CHOOSE(CONTROL!$C$32, $C$9, 100%, $E$9)</f>
        <v>6.2510000000000003</v>
      </c>
      <c r="C428" s="9">
        <f>6.251 * CHOOSE(CONTROL!$C$32, $C$9, 100%, $E$9)</f>
        <v>6.2510000000000003</v>
      </c>
      <c r="D428" s="9">
        <f>6.2526 * CHOOSE(CONTROL!$C$32, $C$9, 100%, $E$9)</f>
        <v>6.2526000000000002</v>
      </c>
      <c r="E428" s="11">
        <f>7.149 * CHOOSE(CONTROL!$C$32, $C$9, 100%, $E$9)</f>
        <v>7.149</v>
      </c>
      <c r="F428" s="11">
        <f>7.149 * CHOOSE(CONTROL!$C$32, $C$9, 100%, $E$9)</f>
        <v>7.149</v>
      </c>
      <c r="G428" s="11">
        <f>7.1543 * CHOOSE(CONTROL!$C$32, $C$9, 100%, $E$9)</f>
        <v>7.1543000000000001</v>
      </c>
      <c r="H428" s="11">
        <f>13.1245 * CHOOSE(CONTROL!$C$32, $C$9, 100%, $E$9)</f>
        <v>13.124499999999999</v>
      </c>
      <c r="I428" s="11">
        <f>13.1298 * CHOOSE(CONTROL!$C$32, $C$9, 100%, $E$9)</f>
        <v>13.129799999999999</v>
      </c>
      <c r="J428" s="11">
        <f>13.1245 * CHOOSE(CONTROL!$C$32, $C$9, 100%, $E$9)</f>
        <v>13.124499999999999</v>
      </c>
      <c r="K428" s="11">
        <f>13.1298 * CHOOSE(CONTROL!$C$32, $C$9, 100%, $E$9)</f>
        <v>13.129799999999999</v>
      </c>
      <c r="L428" s="11">
        <f>7.149 * CHOOSE(CONTROL!$C$32, $C$9, 100%, $E$9)</f>
        <v>7.149</v>
      </c>
      <c r="M428" s="11">
        <f>7.1543 * CHOOSE(CONTROL!$C$32, $C$9, 100%, $E$9)</f>
        <v>7.1543000000000001</v>
      </c>
      <c r="N428" s="11">
        <f>7.149 * CHOOSE(CONTROL!$C$32, $C$9, 100%, $E$9)</f>
        <v>7.149</v>
      </c>
      <c r="O428" s="11">
        <f>7.1543 * CHOOSE(CONTROL!$C$32, $C$9, 100%, $E$9)</f>
        <v>7.1543000000000001</v>
      </c>
    </row>
    <row r="429" spans="1:15" ht="15" x14ac:dyDescent="0.2">
      <c r="A429" s="13">
        <v>53905</v>
      </c>
      <c r="B429" s="9">
        <f>6.2577 * CHOOSE(CONTROL!$C$32, $C$9, 100%, $E$9)</f>
        <v>6.2576999999999998</v>
      </c>
      <c r="C429" s="9">
        <f>6.2577 * CHOOSE(CONTROL!$C$32, $C$9, 100%, $E$9)</f>
        <v>6.2576999999999998</v>
      </c>
      <c r="D429" s="9">
        <f>6.2593 * CHOOSE(CONTROL!$C$32, $C$9, 100%, $E$9)</f>
        <v>6.2592999999999996</v>
      </c>
      <c r="E429" s="11">
        <f>7.0166 * CHOOSE(CONTROL!$C$32, $C$9, 100%, $E$9)</f>
        <v>7.0166000000000004</v>
      </c>
      <c r="F429" s="11">
        <f>7.0166 * CHOOSE(CONTROL!$C$32, $C$9, 100%, $E$9)</f>
        <v>7.0166000000000004</v>
      </c>
      <c r="G429" s="11">
        <f>7.0219 * CHOOSE(CONTROL!$C$32, $C$9, 100%, $E$9)</f>
        <v>7.0218999999999996</v>
      </c>
      <c r="H429" s="11">
        <f>13.1519 * CHOOSE(CONTROL!$C$32, $C$9, 100%, $E$9)</f>
        <v>13.151899999999999</v>
      </c>
      <c r="I429" s="11">
        <f>13.1572 * CHOOSE(CONTROL!$C$32, $C$9, 100%, $E$9)</f>
        <v>13.1572</v>
      </c>
      <c r="J429" s="11">
        <f>13.1519 * CHOOSE(CONTROL!$C$32, $C$9, 100%, $E$9)</f>
        <v>13.151899999999999</v>
      </c>
      <c r="K429" s="11">
        <f>13.1572 * CHOOSE(CONTROL!$C$32, $C$9, 100%, $E$9)</f>
        <v>13.1572</v>
      </c>
      <c r="L429" s="11">
        <f>7.0166 * CHOOSE(CONTROL!$C$32, $C$9, 100%, $E$9)</f>
        <v>7.0166000000000004</v>
      </c>
      <c r="M429" s="11">
        <f>7.0219 * CHOOSE(CONTROL!$C$32, $C$9, 100%, $E$9)</f>
        <v>7.0218999999999996</v>
      </c>
      <c r="N429" s="11">
        <f>7.0166 * CHOOSE(CONTROL!$C$32, $C$9, 100%, $E$9)</f>
        <v>7.0166000000000004</v>
      </c>
      <c r="O429" s="11">
        <f>7.0219 * CHOOSE(CONTROL!$C$32, $C$9, 100%, $E$9)</f>
        <v>7.0218999999999996</v>
      </c>
    </row>
    <row r="430" spans="1:15" ht="15" x14ac:dyDescent="0.2">
      <c r="A430" s="13">
        <v>53936</v>
      </c>
      <c r="B430" s="9">
        <f>6.2547 * CHOOSE(CONTROL!$C$32, $C$9, 100%, $E$9)</f>
        <v>6.2546999999999997</v>
      </c>
      <c r="C430" s="9">
        <f>6.2547 * CHOOSE(CONTROL!$C$32, $C$9, 100%, $E$9)</f>
        <v>6.2546999999999997</v>
      </c>
      <c r="D430" s="9">
        <f>6.2562 * CHOOSE(CONTROL!$C$32, $C$9, 100%, $E$9)</f>
        <v>6.2561999999999998</v>
      </c>
      <c r="E430" s="11">
        <f>6.9993 * CHOOSE(CONTROL!$C$32, $C$9, 100%, $E$9)</f>
        <v>6.9992999999999999</v>
      </c>
      <c r="F430" s="11">
        <f>6.9993 * CHOOSE(CONTROL!$C$32, $C$9, 100%, $E$9)</f>
        <v>6.9992999999999999</v>
      </c>
      <c r="G430" s="11">
        <f>7.0045 * CHOOSE(CONTROL!$C$32, $C$9, 100%, $E$9)</f>
        <v>7.0045000000000002</v>
      </c>
      <c r="H430" s="11">
        <f>13.1793 * CHOOSE(CONTROL!$C$32, $C$9, 100%, $E$9)</f>
        <v>13.1793</v>
      </c>
      <c r="I430" s="11">
        <f>13.1846 * CHOOSE(CONTROL!$C$32, $C$9, 100%, $E$9)</f>
        <v>13.1846</v>
      </c>
      <c r="J430" s="11">
        <f>13.1793 * CHOOSE(CONTROL!$C$32, $C$9, 100%, $E$9)</f>
        <v>13.1793</v>
      </c>
      <c r="K430" s="11">
        <f>13.1846 * CHOOSE(CONTROL!$C$32, $C$9, 100%, $E$9)</f>
        <v>13.1846</v>
      </c>
      <c r="L430" s="11">
        <f>6.9993 * CHOOSE(CONTROL!$C$32, $C$9, 100%, $E$9)</f>
        <v>6.9992999999999999</v>
      </c>
      <c r="M430" s="11">
        <f>7.0045 * CHOOSE(CONTROL!$C$32, $C$9, 100%, $E$9)</f>
        <v>7.0045000000000002</v>
      </c>
      <c r="N430" s="11">
        <f>6.9993 * CHOOSE(CONTROL!$C$32, $C$9, 100%, $E$9)</f>
        <v>6.9992999999999999</v>
      </c>
      <c r="O430" s="11">
        <f>7.0045 * CHOOSE(CONTROL!$C$32, $C$9, 100%, $E$9)</f>
        <v>7.0045000000000002</v>
      </c>
    </row>
    <row r="431" spans="1:15" ht="15" x14ac:dyDescent="0.2">
      <c r="A431" s="13">
        <v>53966</v>
      </c>
      <c r="B431" s="9">
        <f>6.2581 * CHOOSE(CONTROL!$C$32, $C$9, 100%, $E$9)</f>
        <v>6.2580999999999998</v>
      </c>
      <c r="C431" s="9">
        <f>6.2581 * CHOOSE(CONTROL!$C$32, $C$9, 100%, $E$9)</f>
        <v>6.2580999999999998</v>
      </c>
      <c r="D431" s="9">
        <f>6.2592 * CHOOSE(CONTROL!$C$32, $C$9, 100%, $E$9)</f>
        <v>6.2591999999999999</v>
      </c>
      <c r="E431" s="11">
        <f>7.0467 * CHOOSE(CONTROL!$C$32, $C$9, 100%, $E$9)</f>
        <v>7.0467000000000004</v>
      </c>
      <c r="F431" s="11">
        <f>7.0467 * CHOOSE(CONTROL!$C$32, $C$9, 100%, $E$9)</f>
        <v>7.0467000000000004</v>
      </c>
      <c r="G431" s="11">
        <f>7.0504 * CHOOSE(CONTROL!$C$32, $C$9, 100%, $E$9)</f>
        <v>7.0503999999999998</v>
      </c>
      <c r="H431" s="11">
        <f>13.2067 * CHOOSE(CONTROL!$C$32, $C$9, 100%, $E$9)</f>
        <v>13.2067</v>
      </c>
      <c r="I431" s="11">
        <f>13.2103 * CHOOSE(CONTROL!$C$32, $C$9, 100%, $E$9)</f>
        <v>13.2103</v>
      </c>
      <c r="J431" s="11">
        <f>13.2067 * CHOOSE(CONTROL!$C$32, $C$9, 100%, $E$9)</f>
        <v>13.2067</v>
      </c>
      <c r="K431" s="11">
        <f>13.2103 * CHOOSE(CONTROL!$C$32, $C$9, 100%, $E$9)</f>
        <v>13.2103</v>
      </c>
      <c r="L431" s="11">
        <f>7.0467 * CHOOSE(CONTROL!$C$32, $C$9, 100%, $E$9)</f>
        <v>7.0467000000000004</v>
      </c>
      <c r="M431" s="11">
        <f>7.0504 * CHOOSE(CONTROL!$C$32, $C$9, 100%, $E$9)</f>
        <v>7.0503999999999998</v>
      </c>
      <c r="N431" s="11">
        <f>7.0467 * CHOOSE(CONTROL!$C$32, $C$9, 100%, $E$9)</f>
        <v>7.0467000000000004</v>
      </c>
      <c r="O431" s="11">
        <f>7.0504 * CHOOSE(CONTROL!$C$32, $C$9, 100%, $E$9)</f>
        <v>7.0503999999999998</v>
      </c>
    </row>
    <row r="432" spans="1:15" ht="15" x14ac:dyDescent="0.2">
      <c r="A432" s="13">
        <v>53997</v>
      </c>
      <c r="B432" s="9">
        <f>6.2611 * CHOOSE(CONTROL!$C$32, $C$9, 100%, $E$9)</f>
        <v>6.2610999999999999</v>
      </c>
      <c r="C432" s="9">
        <f>6.2611 * CHOOSE(CONTROL!$C$32, $C$9, 100%, $E$9)</f>
        <v>6.2610999999999999</v>
      </c>
      <c r="D432" s="9">
        <f>6.2622 * CHOOSE(CONTROL!$C$32, $C$9, 100%, $E$9)</f>
        <v>6.2622</v>
      </c>
      <c r="E432" s="11">
        <f>7.0793 * CHOOSE(CONTROL!$C$32, $C$9, 100%, $E$9)</f>
        <v>7.0792999999999999</v>
      </c>
      <c r="F432" s="11">
        <f>7.0793 * CHOOSE(CONTROL!$C$32, $C$9, 100%, $E$9)</f>
        <v>7.0792999999999999</v>
      </c>
      <c r="G432" s="11">
        <f>7.0829 * CHOOSE(CONTROL!$C$32, $C$9, 100%, $E$9)</f>
        <v>7.0829000000000004</v>
      </c>
      <c r="H432" s="11">
        <f>13.2342 * CHOOSE(CONTROL!$C$32, $C$9, 100%, $E$9)</f>
        <v>13.2342</v>
      </c>
      <c r="I432" s="11">
        <f>13.2379 * CHOOSE(CONTROL!$C$32, $C$9, 100%, $E$9)</f>
        <v>13.2379</v>
      </c>
      <c r="J432" s="11">
        <f>13.2342 * CHOOSE(CONTROL!$C$32, $C$9, 100%, $E$9)</f>
        <v>13.2342</v>
      </c>
      <c r="K432" s="11">
        <f>13.2379 * CHOOSE(CONTROL!$C$32, $C$9, 100%, $E$9)</f>
        <v>13.2379</v>
      </c>
      <c r="L432" s="11">
        <f>7.0793 * CHOOSE(CONTROL!$C$32, $C$9, 100%, $E$9)</f>
        <v>7.0792999999999999</v>
      </c>
      <c r="M432" s="11">
        <f>7.0829 * CHOOSE(CONTROL!$C$32, $C$9, 100%, $E$9)</f>
        <v>7.0829000000000004</v>
      </c>
      <c r="N432" s="11">
        <f>7.0793 * CHOOSE(CONTROL!$C$32, $C$9, 100%, $E$9)</f>
        <v>7.0792999999999999</v>
      </c>
      <c r="O432" s="11">
        <f>7.0829 * CHOOSE(CONTROL!$C$32, $C$9, 100%, $E$9)</f>
        <v>7.0829000000000004</v>
      </c>
    </row>
    <row r="433" spans="1:15" ht="15" x14ac:dyDescent="0.2">
      <c r="A433" s="13">
        <v>54027</v>
      </c>
      <c r="B433" s="9">
        <f>6.2611 * CHOOSE(CONTROL!$C$32, $C$9, 100%, $E$9)</f>
        <v>6.2610999999999999</v>
      </c>
      <c r="C433" s="9">
        <f>6.2611 * CHOOSE(CONTROL!$C$32, $C$9, 100%, $E$9)</f>
        <v>6.2610999999999999</v>
      </c>
      <c r="D433" s="9">
        <f>6.2622 * CHOOSE(CONTROL!$C$32, $C$9, 100%, $E$9)</f>
        <v>6.2622</v>
      </c>
      <c r="E433" s="11">
        <f>7.0032 * CHOOSE(CONTROL!$C$32, $C$9, 100%, $E$9)</f>
        <v>7.0031999999999996</v>
      </c>
      <c r="F433" s="11">
        <f>7.0032 * CHOOSE(CONTROL!$C$32, $C$9, 100%, $E$9)</f>
        <v>7.0031999999999996</v>
      </c>
      <c r="G433" s="11">
        <f>7.0068 * CHOOSE(CONTROL!$C$32, $C$9, 100%, $E$9)</f>
        <v>7.0068000000000001</v>
      </c>
      <c r="H433" s="11">
        <f>13.2618 * CHOOSE(CONTROL!$C$32, $C$9, 100%, $E$9)</f>
        <v>13.261799999999999</v>
      </c>
      <c r="I433" s="11">
        <f>13.2654 * CHOOSE(CONTROL!$C$32, $C$9, 100%, $E$9)</f>
        <v>13.2654</v>
      </c>
      <c r="J433" s="11">
        <f>13.2618 * CHOOSE(CONTROL!$C$32, $C$9, 100%, $E$9)</f>
        <v>13.261799999999999</v>
      </c>
      <c r="K433" s="11">
        <f>13.2654 * CHOOSE(CONTROL!$C$32, $C$9, 100%, $E$9)</f>
        <v>13.2654</v>
      </c>
      <c r="L433" s="11">
        <f>7.0032 * CHOOSE(CONTROL!$C$32, $C$9, 100%, $E$9)</f>
        <v>7.0031999999999996</v>
      </c>
      <c r="M433" s="11">
        <f>7.0068 * CHOOSE(CONTROL!$C$32, $C$9, 100%, $E$9)</f>
        <v>7.0068000000000001</v>
      </c>
      <c r="N433" s="11">
        <f>7.0032 * CHOOSE(CONTROL!$C$32, $C$9, 100%, $E$9)</f>
        <v>7.0031999999999996</v>
      </c>
      <c r="O433" s="11">
        <f>7.0068 * CHOOSE(CONTROL!$C$32, $C$9, 100%, $E$9)</f>
        <v>7.0068000000000001</v>
      </c>
    </row>
    <row r="434" spans="1:15" ht="15" x14ac:dyDescent="0.2">
      <c r="A434" s="13">
        <v>54058</v>
      </c>
      <c r="B434" s="9">
        <f>6.3089 * CHOOSE(CONTROL!$C$32, $C$9, 100%, $E$9)</f>
        <v>6.3089000000000004</v>
      </c>
      <c r="C434" s="9">
        <f>6.3089 * CHOOSE(CONTROL!$C$32, $C$9, 100%, $E$9)</f>
        <v>6.3089000000000004</v>
      </c>
      <c r="D434" s="9">
        <f>6.3099 * CHOOSE(CONTROL!$C$32, $C$9, 100%, $E$9)</f>
        <v>6.3098999999999998</v>
      </c>
      <c r="E434" s="11">
        <f>7.1107 * CHOOSE(CONTROL!$C$32, $C$9, 100%, $E$9)</f>
        <v>7.1106999999999996</v>
      </c>
      <c r="F434" s="11">
        <f>7.1107 * CHOOSE(CONTROL!$C$32, $C$9, 100%, $E$9)</f>
        <v>7.1106999999999996</v>
      </c>
      <c r="G434" s="11">
        <f>7.1143 * CHOOSE(CONTROL!$C$32, $C$9, 100%, $E$9)</f>
        <v>7.1143000000000001</v>
      </c>
      <c r="H434" s="11">
        <f>13.2894 * CHOOSE(CONTROL!$C$32, $C$9, 100%, $E$9)</f>
        <v>13.289400000000001</v>
      </c>
      <c r="I434" s="11">
        <f>13.2931 * CHOOSE(CONTROL!$C$32, $C$9, 100%, $E$9)</f>
        <v>13.293100000000001</v>
      </c>
      <c r="J434" s="11">
        <f>13.2894 * CHOOSE(CONTROL!$C$32, $C$9, 100%, $E$9)</f>
        <v>13.289400000000001</v>
      </c>
      <c r="K434" s="11">
        <f>13.2931 * CHOOSE(CONTROL!$C$32, $C$9, 100%, $E$9)</f>
        <v>13.293100000000001</v>
      </c>
      <c r="L434" s="11">
        <f>7.1107 * CHOOSE(CONTROL!$C$32, $C$9, 100%, $E$9)</f>
        <v>7.1106999999999996</v>
      </c>
      <c r="M434" s="11">
        <f>7.1143 * CHOOSE(CONTROL!$C$32, $C$9, 100%, $E$9)</f>
        <v>7.1143000000000001</v>
      </c>
      <c r="N434" s="11">
        <f>7.1107 * CHOOSE(CONTROL!$C$32, $C$9, 100%, $E$9)</f>
        <v>7.1106999999999996</v>
      </c>
      <c r="O434" s="11">
        <f>7.1143 * CHOOSE(CONTROL!$C$32, $C$9, 100%, $E$9)</f>
        <v>7.1143000000000001</v>
      </c>
    </row>
    <row r="435" spans="1:15" ht="15" x14ac:dyDescent="0.2">
      <c r="A435" s="13">
        <v>54089</v>
      </c>
      <c r="B435" s="9">
        <f>6.3058 * CHOOSE(CONTROL!$C$32, $C$9, 100%, $E$9)</f>
        <v>6.3057999999999996</v>
      </c>
      <c r="C435" s="9">
        <f>6.3058 * CHOOSE(CONTROL!$C$32, $C$9, 100%, $E$9)</f>
        <v>6.3057999999999996</v>
      </c>
      <c r="D435" s="9">
        <f>6.3069 * CHOOSE(CONTROL!$C$32, $C$9, 100%, $E$9)</f>
        <v>6.3068999999999997</v>
      </c>
      <c r="E435" s="11">
        <f>6.96 * CHOOSE(CONTROL!$C$32, $C$9, 100%, $E$9)</f>
        <v>6.96</v>
      </c>
      <c r="F435" s="11">
        <f>6.96 * CHOOSE(CONTROL!$C$32, $C$9, 100%, $E$9)</f>
        <v>6.96</v>
      </c>
      <c r="G435" s="11">
        <f>6.9636 * CHOOSE(CONTROL!$C$32, $C$9, 100%, $E$9)</f>
        <v>6.9635999999999996</v>
      </c>
      <c r="H435" s="11">
        <f>13.3171 * CHOOSE(CONTROL!$C$32, $C$9, 100%, $E$9)</f>
        <v>13.3171</v>
      </c>
      <c r="I435" s="11">
        <f>13.3207 * CHOOSE(CONTROL!$C$32, $C$9, 100%, $E$9)</f>
        <v>13.3207</v>
      </c>
      <c r="J435" s="11">
        <f>13.3171 * CHOOSE(CONTROL!$C$32, $C$9, 100%, $E$9)</f>
        <v>13.3171</v>
      </c>
      <c r="K435" s="11">
        <f>13.3207 * CHOOSE(CONTROL!$C$32, $C$9, 100%, $E$9)</f>
        <v>13.3207</v>
      </c>
      <c r="L435" s="11">
        <f>6.96 * CHOOSE(CONTROL!$C$32, $C$9, 100%, $E$9)</f>
        <v>6.96</v>
      </c>
      <c r="M435" s="11">
        <f>6.9636 * CHOOSE(CONTROL!$C$32, $C$9, 100%, $E$9)</f>
        <v>6.9635999999999996</v>
      </c>
      <c r="N435" s="11">
        <f>6.96 * CHOOSE(CONTROL!$C$32, $C$9, 100%, $E$9)</f>
        <v>6.96</v>
      </c>
      <c r="O435" s="11">
        <f>6.9636 * CHOOSE(CONTROL!$C$32, $C$9, 100%, $E$9)</f>
        <v>6.9635999999999996</v>
      </c>
    </row>
    <row r="436" spans="1:15" ht="15" x14ac:dyDescent="0.2">
      <c r="A436" s="13">
        <v>54118</v>
      </c>
      <c r="B436" s="9">
        <f>6.3028 * CHOOSE(CONTROL!$C$32, $C$9, 100%, $E$9)</f>
        <v>6.3028000000000004</v>
      </c>
      <c r="C436" s="9">
        <f>6.3028 * CHOOSE(CONTROL!$C$32, $C$9, 100%, $E$9)</f>
        <v>6.3028000000000004</v>
      </c>
      <c r="D436" s="9">
        <f>6.3038 * CHOOSE(CONTROL!$C$32, $C$9, 100%, $E$9)</f>
        <v>6.3037999999999998</v>
      </c>
      <c r="E436" s="11">
        <f>7.075 * CHOOSE(CONTROL!$C$32, $C$9, 100%, $E$9)</f>
        <v>7.0750000000000002</v>
      </c>
      <c r="F436" s="11">
        <f>7.075 * CHOOSE(CONTROL!$C$32, $C$9, 100%, $E$9)</f>
        <v>7.0750000000000002</v>
      </c>
      <c r="G436" s="11">
        <f>7.0786 * CHOOSE(CONTROL!$C$32, $C$9, 100%, $E$9)</f>
        <v>7.0785999999999998</v>
      </c>
      <c r="H436" s="11">
        <f>13.3449 * CHOOSE(CONTROL!$C$32, $C$9, 100%, $E$9)</f>
        <v>13.344900000000001</v>
      </c>
      <c r="I436" s="11">
        <f>13.3485 * CHOOSE(CONTROL!$C$32, $C$9, 100%, $E$9)</f>
        <v>13.3485</v>
      </c>
      <c r="J436" s="11">
        <f>13.3449 * CHOOSE(CONTROL!$C$32, $C$9, 100%, $E$9)</f>
        <v>13.344900000000001</v>
      </c>
      <c r="K436" s="11">
        <f>13.3485 * CHOOSE(CONTROL!$C$32, $C$9, 100%, $E$9)</f>
        <v>13.3485</v>
      </c>
      <c r="L436" s="11">
        <f>7.075 * CHOOSE(CONTROL!$C$32, $C$9, 100%, $E$9)</f>
        <v>7.0750000000000002</v>
      </c>
      <c r="M436" s="11">
        <f>7.0786 * CHOOSE(CONTROL!$C$32, $C$9, 100%, $E$9)</f>
        <v>7.0785999999999998</v>
      </c>
      <c r="N436" s="11">
        <f>7.075 * CHOOSE(CONTROL!$C$32, $C$9, 100%, $E$9)</f>
        <v>7.0750000000000002</v>
      </c>
      <c r="O436" s="11">
        <f>7.0786 * CHOOSE(CONTROL!$C$32, $C$9, 100%, $E$9)</f>
        <v>7.0785999999999998</v>
      </c>
    </row>
    <row r="437" spans="1:15" ht="15" x14ac:dyDescent="0.2">
      <c r="A437" s="13">
        <v>54149</v>
      </c>
      <c r="B437" s="9">
        <f>6.3027 * CHOOSE(CONTROL!$C$32, $C$9, 100%, $E$9)</f>
        <v>6.3026999999999997</v>
      </c>
      <c r="C437" s="9">
        <f>6.3027 * CHOOSE(CONTROL!$C$32, $C$9, 100%, $E$9)</f>
        <v>6.3026999999999997</v>
      </c>
      <c r="D437" s="9">
        <f>6.3037 * CHOOSE(CONTROL!$C$32, $C$9, 100%, $E$9)</f>
        <v>6.3037000000000001</v>
      </c>
      <c r="E437" s="11">
        <f>7.1965 * CHOOSE(CONTROL!$C$32, $C$9, 100%, $E$9)</f>
        <v>7.1965000000000003</v>
      </c>
      <c r="F437" s="11">
        <f>7.1965 * CHOOSE(CONTROL!$C$32, $C$9, 100%, $E$9)</f>
        <v>7.1965000000000003</v>
      </c>
      <c r="G437" s="11">
        <f>7.2001 * CHOOSE(CONTROL!$C$32, $C$9, 100%, $E$9)</f>
        <v>7.2000999999999999</v>
      </c>
      <c r="H437" s="11">
        <f>13.3727 * CHOOSE(CONTROL!$C$32, $C$9, 100%, $E$9)</f>
        <v>13.3727</v>
      </c>
      <c r="I437" s="11">
        <f>13.3763 * CHOOSE(CONTROL!$C$32, $C$9, 100%, $E$9)</f>
        <v>13.376300000000001</v>
      </c>
      <c r="J437" s="11">
        <f>13.3727 * CHOOSE(CONTROL!$C$32, $C$9, 100%, $E$9)</f>
        <v>13.3727</v>
      </c>
      <c r="K437" s="11">
        <f>13.3763 * CHOOSE(CONTROL!$C$32, $C$9, 100%, $E$9)</f>
        <v>13.376300000000001</v>
      </c>
      <c r="L437" s="11">
        <f>7.1965 * CHOOSE(CONTROL!$C$32, $C$9, 100%, $E$9)</f>
        <v>7.1965000000000003</v>
      </c>
      <c r="M437" s="11">
        <f>7.2001 * CHOOSE(CONTROL!$C$32, $C$9, 100%, $E$9)</f>
        <v>7.2000999999999999</v>
      </c>
      <c r="N437" s="11">
        <f>7.1965 * CHOOSE(CONTROL!$C$32, $C$9, 100%, $E$9)</f>
        <v>7.1965000000000003</v>
      </c>
      <c r="O437" s="11">
        <f>7.2001 * CHOOSE(CONTROL!$C$32, $C$9, 100%, $E$9)</f>
        <v>7.2000999999999999</v>
      </c>
    </row>
    <row r="438" spans="1:15" ht="15" x14ac:dyDescent="0.2">
      <c r="A438" s="13">
        <v>54179</v>
      </c>
      <c r="B438" s="9">
        <f>6.3027 * CHOOSE(CONTROL!$C$32, $C$9, 100%, $E$9)</f>
        <v>6.3026999999999997</v>
      </c>
      <c r="C438" s="9">
        <f>6.3027 * CHOOSE(CONTROL!$C$32, $C$9, 100%, $E$9)</f>
        <v>6.3026999999999997</v>
      </c>
      <c r="D438" s="9">
        <f>6.3042 * CHOOSE(CONTROL!$C$32, $C$9, 100%, $E$9)</f>
        <v>6.3041999999999998</v>
      </c>
      <c r="E438" s="11">
        <f>7.2437 * CHOOSE(CONTROL!$C$32, $C$9, 100%, $E$9)</f>
        <v>7.2436999999999996</v>
      </c>
      <c r="F438" s="11">
        <f>7.2437 * CHOOSE(CONTROL!$C$32, $C$9, 100%, $E$9)</f>
        <v>7.2436999999999996</v>
      </c>
      <c r="G438" s="11">
        <f>7.249 * CHOOSE(CONTROL!$C$32, $C$9, 100%, $E$9)</f>
        <v>7.2489999999999997</v>
      </c>
      <c r="H438" s="11">
        <f>13.4005 * CHOOSE(CONTROL!$C$32, $C$9, 100%, $E$9)</f>
        <v>13.400499999999999</v>
      </c>
      <c r="I438" s="11">
        <f>13.4058 * CHOOSE(CONTROL!$C$32, $C$9, 100%, $E$9)</f>
        <v>13.405799999999999</v>
      </c>
      <c r="J438" s="11">
        <f>13.4005 * CHOOSE(CONTROL!$C$32, $C$9, 100%, $E$9)</f>
        <v>13.400499999999999</v>
      </c>
      <c r="K438" s="11">
        <f>13.4058 * CHOOSE(CONTROL!$C$32, $C$9, 100%, $E$9)</f>
        <v>13.405799999999999</v>
      </c>
      <c r="L438" s="11">
        <f>7.2437 * CHOOSE(CONTROL!$C$32, $C$9, 100%, $E$9)</f>
        <v>7.2436999999999996</v>
      </c>
      <c r="M438" s="11">
        <f>7.249 * CHOOSE(CONTROL!$C$32, $C$9, 100%, $E$9)</f>
        <v>7.2489999999999997</v>
      </c>
      <c r="N438" s="11">
        <f>7.2437 * CHOOSE(CONTROL!$C$32, $C$9, 100%, $E$9)</f>
        <v>7.2436999999999996</v>
      </c>
      <c r="O438" s="11">
        <f>7.249 * CHOOSE(CONTROL!$C$32, $C$9, 100%, $E$9)</f>
        <v>7.2489999999999997</v>
      </c>
    </row>
    <row r="439" spans="1:15" ht="15" x14ac:dyDescent="0.2">
      <c r="A439" s="13">
        <v>54210</v>
      </c>
      <c r="B439" s="9">
        <f>6.3087 * CHOOSE(CONTROL!$C$32, $C$9, 100%, $E$9)</f>
        <v>6.3087</v>
      </c>
      <c r="C439" s="9">
        <f>6.3087 * CHOOSE(CONTROL!$C$32, $C$9, 100%, $E$9)</f>
        <v>6.3087</v>
      </c>
      <c r="D439" s="9">
        <f>6.3103 * CHOOSE(CONTROL!$C$32, $C$9, 100%, $E$9)</f>
        <v>6.3102999999999998</v>
      </c>
      <c r="E439" s="11">
        <f>7.2008 * CHOOSE(CONTROL!$C$32, $C$9, 100%, $E$9)</f>
        <v>7.2008000000000001</v>
      </c>
      <c r="F439" s="11">
        <f>7.2008 * CHOOSE(CONTROL!$C$32, $C$9, 100%, $E$9)</f>
        <v>7.2008000000000001</v>
      </c>
      <c r="G439" s="11">
        <f>7.206 * CHOOSE(CONTROL!$C$32, $C$9, 100%, $E$9)</f>
        <v>7.2060000000000004</v>
      </c>
      <c r="H439" s="11">
        <f>13.4285 * CHOOSE(CONTROL!$C$32, $C$9, 100%, $E$9)</f>
        <v>13.4285</v>
      </c>
      <c r="I439" s="11">
        <f>13.4337 * CHOOSE(CONTROL!$C$32, $C$9, 100%, $E$9)</f>
        <v>13.4337</v>
      </c>
      <c r="J439" s="11">
        <f>13.4285 * CHOOSE(CONTROL!$C$32, $C$9, 100%, $E$9)</f>
        <v>13.4285</v>
      </c>
      <c r="K439" s="11">
        <f>13.4337 * CHOOSE(CONTROL!$C$32, $C$9, 100%, $E$9)</f>
        <v>13.4337</v>
      </c>
      <c r="L439" s="11">
        <f>7.2008 * CHOOSE(CONTROL!$C$32, $C$9, 100%, $E$9)</f>
        <v>7.2008000000000001</v>
      </c>
      <c r="M439" s="11">
        <f>7.206 * CHOOSE(CONTROL!$C$32, $C$9, 100%, $E$9)</f>
        <v>7.2060000000000004</v>
      </c>
      <c r="N439" s="11">
        <f>7.2008 * CHOOSE(CONTROL!$C$32, $C$9, 100%, $E$9)</f>
        <v>7.2008000000000001</v>
      </c>
      <c r="O439" s="11">
        <f>7.206 * CHOOSE(CONTROL!$C$32, $C$9, 100%, $E$9)</f>
        <v>7.2060000000000004</v>
      </c>
    </row>
    <row r="440" spans="1:15" ht="15" x14ac:dyDescent="0.2">
      <c r="A440" s="13">
        <v>54240</v>
      </c>
      <c r="B440" s="9">
        <f>6.3926 * CHOOSE(CONTROL!$C$32, $C$9, 100%, $E$9)</f>
        <v>6.3925999999999998</v>
      </c>
      <c r="C440" s="9">
        <f>6.3926 * CHOOSE(CONTROL!$C$32, $C$9, 100%, $E$9)</f>
        <v>6.3925999999999998</v>
      </c>
      <c r="D440" s="9">
        <f>6.3942 * CHOOSE(CONTROL!$C$32, $C$9, 100%, $E$9)</f>
        <v>6.3941999999999997</v>
      </c>
      <c r="E440" s="11">
        <f>7.2866 * CHOOSE(CONTROL!$C$32, $C$9, 100%, $E$9)</f>
        <v>7.2866</v>
      </c>
      <c r="F440" s="11">
        <f>7.2866 * CHOOSE(CONTROL!$C$32, $C$9, 100%, $E$9)</f>
        <v>7.2866</v>
      </c>
      <c r="G440" s="11">
        <f>7.2919 * CHOOSE(CONTROL!$C$32, $C$9, 100%, $E$9)</f>
        <v>7.2919</v>
      </c>
      <c r="H440" s="11">
        <f>13.4564 * CHOOSE(CONTROL!$C$32, $C$9, 100%, $E$9)</f>
        <v>13.4564</v>
      </c>
      <c r="I440" s="11">
        <f>13.4617 * CHOOSE(CONTROL!$C$32, $C$9, 100%, $E$9)</f>
        <v>13.4617</v>
      </c>
      <c r="J440" s="11">
        <f>13.4564 * CHOOSE(CONTROL!$C$32, $C$9, 100%, $E$9)</f>
        <v>13.4564</v>
      </c>
      <c r="K440" s="11">
        <f>13.4617 * CHOOSE(CONTROL!$C$32, $C$9, 100%, $E$9)</f>
        <v>13.4617</v>
      </c>
      <c r="L440" s="11">
        <f>7.2866 * CHOOSE(CONTROL!$C$32, $C$9, 100%, $E$9)</f>
        <v>7.2866</v>
      </c>
      <c r="M440" s="11">
        <f>7.2919 * CHOOSE(CONTROL!$C$32, $C$9, 100%, $E$9)</f>
        <v>7.2919</v>
      </c>
      <c r="N440" s="11">
        <f>7.2866 * CHOOSE(CONTROL!$C$32, $C$9, 100%, $E$9)</f>
        <v>7.2866</v>
      </c>
      <c r="O440" s="11">
        <f>7.2919 * CHOOSE(CONTROL!$C$32, $C$9, 100%, $E$9)</f>
        <v>7.2919</v>
      </c>
    </row>
    <row r="441" spans="1:15" ht="15" x14ac:dyDescent="0.2">
      <c r="A441" s="13">
        <v>54271</v>
      </c>
      <c r="B441" s="9">
        <f>6.3993 * CHOOSE(CONTROL!$C$32, $C$9, 100%, $E$9)</f>
        <v>6.3993000000000002</v>
      </c>
      <c r="C441" s="9">
        <f>6.3993 * CHOOSE(CONTROL!$C$32, $C$9, 100%, $E$9)</f>
        <v>6.3993000000000002</v>
      </c>
      <c r="D441" s="9">
        <f>6.4009 * CHOOSE(CONTROL!$C$32, $C$9, 100%, $E$9)</f>
        <v>6.4009</v>
      </c>
      <c r="E441" s="11">
        <f>7.1497 * CHOOSE(CONTROL!$C$32, $C$9, 100%, $E$9)</f>
        <v>7.1497000000000002</v>
      </c>
      <c r="F441" s="11">
        <f>7.1497 * CHOOSE(CONTROL!$C$32, $C$9, 100%, $E$9)</f>
        <v>7.1497000000000002</v>
      </c>
      <c r="G441" s="11">
        <f>7.155 * CHOOSE(CONTROL!$C$32, $C$9, 100%, $E$9)</f>
        <v>7.1550000000000002</v>
      </c>
      <c r="H441" s="11">
        <f>13.4845 * CHOOSE(CONTROL!$C$32, $C$9, 100%, $E$9)</f>
        <v>13.484500000000001</v>
      </c>
      <c r="I441" s="11">
        <f>13.4898 * CHOOSE(CONTROL!$C$32, $C$9, 100%, $E$9)</f>
        <v>13.489800000000001</v>
      </c>
      <c r="J441" s="11">
        <f>13.4845 * CHOOSE(CONTROL!$C$32, $C$9, 100%, $E$9)</f>
        <v>13.484500000000001</v>
      </c>
      <c r="K441" s="11">
        <f>13.4898 * CHOOSE(CONTROL!$C$32, $C$9, 100%, $E$9)</f>
        <v>13.489800000000001</v>
      </c>
      <c r="L441" s="11">
        <f>7.1497 * CHOOSE(CONTROL!$C$32, $C$9, 100%, $E$9)</f>
        <v>7.1497000000000002</v>
      </c>
      <c r="M441" s="11">
        <f>7.155 * CHOOSE(CONTROL!$C$32, $C$9, 100%, $E$9)</f>
        <v>7.1550000000000002</v>
      </c>
      <c r="N441" s="11">
        <f>7.1497 * CHOOSE(CONTROL!$C$32, $C$9, 100%, $E$9)</f>
        <v>7.1497000000000002</v>
      </c>
      <c r="O441" s="11">
        <f>7.155 * CHOOSE(CONTROL!$C$32, $C$9, 100%, $E$9)</f>
        <v>7.1550000000000002</v>
      </c>
    </row>
    <row r="442" spans="1:15" ht="15" x14ac:dyDescent="0.2">
      <c r="A442" s="13">
        <v>54302</v>
      </c>
      <c r="B442" s="9">
        <f>6.3963 * CHOOSE(CONTROL!$C$32, $C$9, 100%, $E$9)</f>
        <v>6.3963000000000001</v>
      </c>
      <c r="C442" s="9">
        <f>6.3963 * CHOOSE(CONTROL!$C$32, $C$9, 100%, $E$9)</f>
        <v>6.3963000000000001</v>
      </c>
      <c r="D442" s="9">
        <f>6.3978 * CHOOSE(CONTROL!$C$32, $C$9, 100%, $E$9)</f>
        <v>6.3978000000000002</v>
      </c>
      <c r="E442" s="11">
        <f>7.1319 * CHOOSE(CONTROL!$C$32, $C$9, 100%, $E$9)</f>
        <v>7.1318999999999999</v>
      </c>
      <c r="F442" s="11">
        <f>7.1319 * CHOOSE(CONTROL!$C$32, $C$9, 100%, $E$9)</f>
        <v>7.1318999999999999</v>
      </c>
      <c r="G442" s="11">
        <f>7.1372 * CHOOSE(CONTROL!$C$32, $C$9, 100%, $E$9)</f>
        <v>7.1372</v>
      </c>
      <c r="H442" s="11">
        <f>13.5126 * CHOOSE(CONTROL!$C$32, $C$9, 100%, $E$9)</f>
        <v>13.512600000000001</v>
      </c>
      <c r="I442" s="11">
        <f>13.5178 * CHOOSE(CONTROL!$C$32, $C$9, 100%, $E$9)</f>
        <v>13.517799999999999</v>
      </c>
      <c r="J442" s="11">
        <f>13.5126 * CHOOSE(CONTROL!$C$32, $C$9, 100%, $E$9)</f>
        <v>13.512600000000001</v>
      </c>
      <c r="K442" s="11">
        <f>13.5178 * CHOOSE(CONTROL!$C$32, $C$9, 100%, $E$9)</f>
        <v>13.517799999999999</v>
      </c>
      <c r="L442" s="11">
        <f>7.1319 * CHOOSE(CONTROL!$C$32, $C$9, 100%, $E$9)</f>
        <v>7.1318999999999999</v>
      </c>
      <c r="M442" s="11">
        <f>7.1372 * CHOOSE(CONTROL!$C$32, $C$9, 100%, $E$9)</f>
        <v>7.1372</v>
      </c>
      <c r="N442" s="11">
        <f>7.1319 * CHOOSE(CONTROL!$C$32, $C$9, 100%, $E$9)</f>
        <v>7.1318999999999999</v>
      </c>
      <c r="O442" s="11">
        <f>7.1372 * CHOOSE(CONTROL!$C$32, $C$9, 100%, $E$9)</f>
        <v>7.1372</v>
      </c>
    </row>
    <row r="443" spans="1:15" ht="15" x14ac:dyDescent="0.2">
      <c r="A443" s="13">
        <v>54332</v>
      </c>
      <c r="B443" s="9">
        <f>6.4002 * CHOOSE(CONTROL!$C$32, $C$9, 100%, $E$9)</f>
        <v>6.4001999999999999</v>
      </c>
      <c r="C443" s="9">
        <f>6.4002 * CHOOSE(CONTROL!$C$32, $C$9, 100%, $E$9)</f>
        <v>6.4001999999999999</v>
      </c>
      <c r="D443" s="9">
        <f>6.4013 * CHOOSE(CONTROL!$C$32, $C$9, 100%, $E$9)</f>
        <v>6.4013</v>
      </c>
      <c r="E443" s="11">
        <f>7.1814 * CHOOSE(CONTROL!$C$32, $C$9, 100%, $E$9)</f>
        <v>7.1814</v>
      </c>
      <c r="F443" s="11">
        <f>7.1814 * CHOOSE(CONTROL!$C$32, $C$9, 100%, $E$9)</f>
        <v>7.1814</v>
      </c>
      <c r="G443" s="11">
        <f>7.185 * CHOOSE(CONTROL!$C$32, $C$9, 100%, $E$9)</f>
        <v>7.1849999999999996</v>
      </c>
      <c r="H443" s="11">
        <f>13.5407 * CHOOSE(CONTROL!$C$32, $C$9, 100%, $E$9)</f>
        <v>13.540699999999999</v>
      </c>
      <c r="I443" s="11">
        <f>13.5443 * CHOOSE(CONTROL!$C$32, $C$9, 100%, $E$9)</f>
        <v>13.5443</v>
      </c>
      <c r="J443" s="11">
        <f>13.5407 * CHOOSE(CONTROL!$C$32, $C$9, 100%, $E$9)</f>
        <v>13.540699999999999</v>
      </c>
      <c r="K443" s="11">
        <f>13.5443 * CHOOSE(CONTROL!$C$32, $C$9, 100%, $E$9)</f>
        <v>13.5443</v>
      </c>
      <c r="L443" s="11">
        <f>7.1814 * CHOOSE(CONTROL!$C$32, $C$9, 100%, $E$9)</f>
        <v>7.1814</v>
      </c>
      <c r="M443" s="11">
        <f>7.185 * CHOOSE(CONTROL!$C$32, $C$9, 100%, $E$9)</f>
        <v>7.1849999999999996</v>
      </c>
      <c r="N443" s="11">
        <f>7.1814 * CHOOSE(CONTROL!$C$32, $C$9, 100%, $E$9)</f>
        <v>7.1814</v>
      </c>
      <c r="O443" s="11">
        <f>7.185 * CHOOSE(CONTROL!$C$32, $C$9, 100%, $E$9)</f>
        <v>7.1849999999999996</v>
      </c>
    </row>
    <row r="444" spans="1:15" ht="15" x14ac:dyDescent="0.2">
      <c r="A444" s="13">
        <v>54363</v>
      </c>
      <c r="B444" s="9">
        <f>6.4033 * CHOOSE(CONTROL!$C$32, $C$9, 100%, $E$9)</f>
        <v>6.4032999999999998</v>
      </c>
      <c r="C444" s="9">
        <f>6.4033 * CHOOSE(CONTROL!$C$32, $C$9, 100%, $E$9)</f>
        <v>6.4032999999999998</v>
      </c>
      <c r="D444" s="9">
        <f>6.4043 * CHOOSE(CONTROL!$C$32, $C$9, 100%, $E$9)</f>
        <v>6.4043000000000001</v>
      </c>
      <c r="E444" s="11">
        <f>7.2149 * CHOOSE(CONTROL!$C$32, $C$9, 100%, $E$9)</f>
        <v>7.2149000000000001</v>
      </c>
      <c r="F444" s="11">
        <f>7.2149 * CHOOSE(CONTROL!$C$32, $C$9, 100%, $E$9)</f>
        <v>7.2149000000000001</v>
      </c>
      <c r="G444" s="11">
        <f>7.2185 * CHOOSE(CONTROL!$C$32, $C$9, 100%, $E$9)</f>
        <v>7.2184999999999997</v>
      </c>
      <c r="H444" s="11">
        <f>13.5689 * CHOOSE(CONTROL!$C$32, $C$9, 100%, $E$9)</f>
        <v>13.568899999999999</v>
      </c>
      <c r="I444" s="11">
        <f>13.5725 * CHOOSE(CONTROL!$C$32, $C$9, 100%, $E$9)</f>
        <v>13.5725</v>
      </c>
      <c r="J444" s="11">
        <f>13.5689 * CHOOSE(CONTROL!$C$32, $C$9, 100%, $E$9)</f>
        <v>13.568899999999999</v>
      </c>
      <c r="K444" s="11">
        <f>13.5725 * CHOOSE(CONTROL!$C$32, $C$9, 100%, $E$9)</f>
        <v>13.5725</v>
      </c>
      <c r="L444" s="11">
        <f>7.2149 * CHOOSE(CONTROL!$C$32, $C$9, 100%, $E$9)</f>
        <v>7.2149000000000001</v>
      </c>
      <c r="M444" s="11">
        <f>7.2185 * CHOOSE(CONTROL!$C$32, $C$9, 100%, $E$9)</f>
        <v>7.2184999999999997</v>
      </c>
      <c r="N444" s="11">
        <f>7.2149 * CHOOSE(CONTROL!$C$32, $C$9, 100%, $E$9)</f>
        <v>7.2149000000000001</v>
      </c>
      <c r="O444" s="11">
        <f>7.2185 * CHOOSE(CONTROL!$C$32, $C$9, 100%, $E$9)</f>
        <v>7.2184999999999997</v>
      </c>
    </row>
    <row r="445" spans="1:15" ht="15" x14ac:dyDescent="0.2">
      <c r="A445" s="13">
        <v>54393</v>
      </c>
      <c r="B445" s="9">
        <f>6.4033 * CHOOSE(CONTROL!$C$32, $C$9, 100%, $E$9)</f>
        <v>6.4032999999999998</v>
      </c>
      <c r="C445" s="9">
        <f>6.4033 * CHOOSE(CONTROL!$C$32, $C$9, 100%, $E$9)</f>
        <v>6.4032999999999998</v>
      </c>
      <c r="D445" s="9">
        <f>6.4043 * CHOOSE(CONTROL!$C$32, $C$9, 100%, $E$9)</f>
        <v>6.4043000000000001</v>
      </c>
      <c r="E445" s="11">
        <f>7.1363 * CHOOSE(CONTROL!$C$32, $C$9, 100%, $E$9)</f>
        <v>7.1363000000000003</v>
      </c>
      <c r="F445" s="11">
        <f>7.1363 * CHOOSE(CONTROL!$C$32, $C$9, 100%, $E$9)</f>
        <v>7.1363000000000003</v>
      </c>
      <c r="G445" s="11">
        <f>7.1399 * CHOOSE(CONTROL!$C$32, $C$9, 100%, $E$9)</f>
        <v>7.1398999999999999</v>
      </c>
      <c r="H445" s="11">
        <f>13.5972 * CHOOSE(CONTROL!$C$32, $C$9, 100%, $E$9)</f>
        <v>13.597200000000001</v>
      </c>
      <c r="I445" s="11">
        <f>13.6008 * CHOOSE(CONTROL!$C$32, $C$9, 100%, $E$9)</f>
        <v>13.6008</v>
      </c>
      <c r="J445" s="11">
        <f>13.5972 * CHOOSE(CONTROL!$C$32, $C$9, 100%, $E$9)</f>
        <v>13.597200000000001</v>
      </c>
      <c r="K445" s="11">
        <f>13.6008 * CHOOSE(CONTROL!$C$32, $C$9, 100%, $E$9)</f>
        <v>13.6008</v>
      </c>
      <c r="L445" s="11">
        <f>7.1363 * CHOOSE(CONTROL!$C$32, $C$9, 100%, $E$9)</f>
        <v>7.1363000000000003</v>
      </c>
      <c r="M445" s="11">
        <f>7.1399 * CHOOSE(CONTROL!$C$32, $C$9, 100%, $E$9)</f>
        <v>7.1398999999999999</v>
      </c>
      <c r="N445" s="11">
        <f>7.1363 * CHOOSE(CONTROL!$C$32, $C$9, 100%, $E$9)</f>
        <v>7.1363000000000003</v>
      </c>
      <c r="O445" s="11">
        <f>7.1399 * CHOOSE(CONTROL!$C$32, $C$9, 100%, $E$9)</f>
        <v>7.1398999999999999</v>
      </c>
    </row>
    <row r="446" spans="1:15" ht="15" x14ac:dyDescent="0.2">
      <c r="A446" s="13">
        <v>54424</v>
      </c>
      <c r="B446" s="9">
        <f>6.4519 * CHOOSE(CONTROL!$C$32, $C$9, 100%, $E$9)</f>
        <v>6.4519000000000002</v>
      </c>
      <c r="C446" s="9">
        <f>6.4519 * CHOOSE(CONTROL!$C$32, $C$9, 100%, $E$9)</f>
        <v>6.4519000000000002</v>
      </c>
      <c r="D446" s="9">
        <f>6.453 * CHOOSE(CONTROL!$C$32, $C$9, 100%, $E$9)</f>
        <v>6.4530000000000003</v>
      </c>
      <c r="E446" s="11">
        <f>7.2513 * CHOOSE(CONTROL!$C$32, $C$9, 100%, $E$9)</f>
        <v>7.2512999999999996</v>
      </c>
      <c r="F446" s="11">
        <f>7.2513 * CHOOSE(CONTROL!$C$32, $C$9, 100%, $E$9)</f>
        <v>7.2512999999999996</v>
      </c>
      <c r="G446" s="11">
        <f>7.2549 * CHOOSE(CONTROL!$C$32, $C$9, 100%, $E$9)</f>
        <v>7.2549000000000001</v>
      </c>
      <c r="H446" s="11">
        <f>13.6255 * CHOOSE(CONTROL!$C$32, $C$9, 100%, $E$9)</f>
        <v>13.625500000000001</v>
      </c>
      <c r="I446" s="11">
        <f>13.6291 * CHOOSE(CONTROL!$C$32, $C$9, 100%, $E$9)</f>
        <v>13.629099999999999</v>
      </c>
      <c r="J446" s="11">
        <f>13.6255 * CHOOSE(CONTROL!$C$32, $C$9, 100%, $E$9)</f>
        <v>13.625500000000001</v>
      </c>
      <c r="K446" s="11">
        <f>13.6291 * CHOOSE(CONTROL!$C$32, $C$9, 100%, $E$9)</f>
        <v>13.629099999999999</v>
      </c>
      <c r="L446" s="11">
        <f>7.2513 * CHOOSE(CONTROL!$C$32, $C$9, 100%, $E$9)</f>
        <v>7.2512999999999996</v>
      </c>
      <c r="M446" s="11">
        <f>7.2549 * CHOOSE(CONTROL!$C$32, $C$9, 100%, $E$9)</f>
        <v>7.2549000000000001</v>
      </c>
      <c r="N446" s="11">
        <f>7.2513 * CHOOSE(CONTROL!$C$32, $C$9, 100%, $E$9)</f>
        <v>7.2512999999999996</v>
      </c>
      <c r="O446" s="11">
        <f>7.2549 * CHOOSE(CONTROL!$C$32, $C$9, 100%, $E$9)</f>
        <v>7.2549000000000001</v>
      </c>
    </row>
    <row r="447" spans="1:15" ht="15" x14ac:dyDescent="0.2">
      <c r="A447" s="13">
        <v>54455</v>
      </c>
      <c r="B447" s="9">
        <f>6.4489 * CHOOSE(CONTROL!$C$32, $C$9, 100%, $E$9)</f>
        <v>6.4489000000000001</v>
      </c>
      <c r="C447" s="9">
        <f>6.4489 * CHOOSE(CONTROL!$C$32, $C$9, 100%, $E$9)</f>
        <v>6.4489000000000001</v>
      </c>
      <c r="D447" s="9">
        <f>6.45 * CHOOSE(CONTROL!$C$32, $C$9, 100%, $E$9)</f>
        <v>6.45</v>
      </c>
      <c r="E447" s="11">
        <f>7.0958 * CHOOSE(CONTROL!$C$32, $C$9, 100%, $E$9)</f>
        <v>7.0957999999999997</v>
      </c>
      <c r="F447" s="11">
        <f>7.0958 * CHOOSE(CONTROL!$C$32, $C$9, 100%, $E$9)</f>
        <v>7.0957999999999997</v>
      </c>
      <c r="G447" s="11">
        <f>7.0994 * CHOOSE(CONTROL!$C$32, $C$9, 100%, $E$9)</f>
        <v>7.0994000000000002</v>
      </c>
      <c r="H447" s="11">
        <f>13.6539 * CHOOSE(CONTROL!$C$32, $C$9, 100%, $E$9)</f>
        <v>13.6539</v>
      </c>
      <c r="I447" s="11">
        <f>13.6575 * CHOOSE(CONTROL!$C$32, $C$9, 100%, $E$9)</f>
        <v>13.657500000000001</v>
      </c>
      <c r="J447" s="11">
        <f>13.6539 * CHOOSE(CONTROL!$C$32, $C$9, 100%, $E$9)</f>
        <v>13.6539</v>
      </c>
      <c r="K447" s="11">
        <f>13.6575 * CHOOSE(CONTROL!$C$32, $C$9, 100%, $E$9)</f>
        <v>13.657500000000001</v>
      </c>
      <c r="L447" s="11">
        <f>7.0958 * CHOOSE(CONTROL!$C$32, $C$9, 100%, $E$9)</f>
        <v>7.0957999999999997</v>
      </c>
      <c r="M447" s="11">
        <f>7.0994 * CHOOSE(CONTROL!$C$32, $C$9, 100%, $E$9)</f>
        <v>7.0994000000000002</v>
      </c>
      <c r="N447" s="11">
        <f>7.0958 * CHOOSE(CONTROL!$C$32, $C$9, 100%, $E$9)</f>
        <v>7.0957999999999997</v>
      </c>
      <c r="O447" s="11">
        <f>7.0994 * CHOOSE(CONTROL!$C$32, $C$9, 100%, $E$9)</f>
        <v>7.0994000000000002</v>
      </c>
    </row>
    <row r="448" spans="1:15" ht="15" x14ac:dyDescent="0.2">
      <c r="A448" s="13">
        <v>54483</v>
      </c>
      <c r="B448" s="9">
        <f>6.4459 * CHOOSE(CONTROL!$C$32, $C$9, 100%, $E$9)</f>
        <v>6.4459</v>
      </c>
      <c r="C448" s="9">
        <f>6.4459 * CHOOSE(CONTROL!$C$32, $C$9, 100%, $E$9)</f>
        <v>6.4459</v>
      </c>
      <c r="D448" s="9">
        <f>6.4469 * CHOOSE(CONTROL!$C$32, $C$9, 100%, $E$9)</f>
        <v>6.4469000000000003</v>
      </c>
      <c r="E448" s="11">
        <f>7.2146 * CHOOSE(CONTROL!$C$32, $C$9, 100%, $E$9)</f>
        <v>7.2145999999999999</v>
      </c>
      <c r="F448" s="11">
        <f>7.2146 * CHOOSE(CONTROL!$C$32, $C$9, 100%, $E$9)</f>
        <v>7.2145999999999999</v>
      </c>
      <c r="G448" s="11">
        <f>7.2182 * CHOOSE(CONTROL!$C$32, $C$9, 100%, $E$9)</f>
        <v>7.2182000000000004</v>
      </c>
      <c r="H448" s="11">
        <f>13.6823 * CHOOSE(CONTROL!$C$32, $C$9, 100%, $E$9)</f>
        <v>13.6823</v>
      </c>
      <c r="I448" s="11">
        <f>13.686 * CHOOSE(CONTROL!$C$32, $C$9, 100%, $E$9)</f>
        <v>13.686</v>
      </c>
      <c r="J448" s="11">
        <f>13.6823 * CHOOSE(CONTROL!$C$32, $C$9, 100%, $E$9)</f>
        <v>13.6823</v>
      </c>
      <c r="K448" s="11">
        <f>13.686 * CHOOSE(CONTROL!$C$32, $C$9, 100%, $E$9)</f>
        <v>13.686</v>
      </c>
      <c r="L448" s="11">
        <f>7.2146 * CHOOSE(CONTROL!$C$32, $C$9, 100%, $E$9)</f>
        <v>7.2145999999999999</v>
      </c>
      <c r="M448" s="11">
        <f>7.2182 * CHOOSE(CONTROL!$C$32, $C$9, 100%, $E$9)</f>
        <v>7.2182000000000004</v>
      </c>
      <c r="N448" s="11">
        <f>7.2146 * CHOOSE(CONTROL!$C$32, $C$9, 100%, $E$9)</f>
        <v>7.2145999999999999</v>
      </c>
      <c r="O448" s="11">
        <f>7.2182 * CHOOSE(CONTROL!$C$32, $C$9, 100%, $E$9)</f>
        <v>7.2182000000000004</v>
      </c>
    </row>
    <row r="449" spans="1:15" ht="15" x14ac:dyDescent="0.2">
      <c r="A449" s="13">
        <v>54514</v>
      </c>
      <c r="B449" s="9">
        <f>6.4459 * CHOOSE(CONTROL!$C$32, $C$9, 100%, $E$9)</f>
        <v>6.4459</v>
      </c>
      <c r="C449" s="9">
        <f>6.4459 * CHOOSE(CONTROL!$C$32, $C$9, 100%, $E$9)</f>
        <v>6.4459</v>
      </c>
      <c r="D449" s="9">
        <f>6.447 * CHOOSE(CONTROL!$C$32, $C$9, 100%, $E$9)</f>
        <v>6.4470000000000001</v>
      </c>
      <c r="E449" s="11">
        <f>7.3402 * CHOOSE(CONTROL!$C$32, $C$9, 100%, $E$9)</f>
        <v>7.3402000000000003</v>
      </c>
      <c r="F449" s="11">
        <f>7.3402 * CHOOSE(CONTROL!$C$32, $C$9, 100%, $E$9)</f>
        <v>7.3402000000000003</v>
      </c>
      <c r="G449" s="11">
        <f>7.3438 * CHOOSE(CONTROL!$C$32, $C$9, 100%, $E$9)</f>
        <v>7.3437999999999999</v>
      </c>
      <c r="H449" s="11">
        <f>13.7108 * CHOOSE(CONTROL!$C$32, $C$9, 100%, $E$9)</f>
        <v>13.710800000000001</v>
      </c>
      <c r="I449" s="11">
        <f>13.7145 * CHOOSE(CONTROL!$C$32, $C$9, 100%, $E$9)</f>
        <v>13.714499999999999</v>
      </c>
      <c r="J449" s="11">
        <f>13.7108 * CHOOSE(CONTROL!$C$32, $C$9, 100%, $E$9)</f>
        <v>13.710800000000001</v>
      </c>
      <c r="K449" s="11">
        <f>13.7145 * CHOOSE(CONTROL!$C$32, $C$9, 100%, $E$9)</f>
        <v>13.714499999999999</v>
      </c>
      <c r="L449" s="11">
        <f>7.3402 * CHOOSE(CONTROL!$C$32, $C$9, 100%, $E$9)</f>
        <v>7.3402000000000003</v>
      </c>
      <c r="M449" s="11">
        <f>7.3438 * CHOOSE(CONTROL!$C$32, $C$9, 100%, $E$9)</f>
        <v>7.3437999999999999</v>
      </c>
      <c r="N449" s="11">
        <f>7.3402 * CHOOSE(CONTROL!$C$32, $C$9, 100%, $E$9)</f>
        <v>7.3402000000000003</v>
      </c>
      <c r="O449" s="11">
        <f>7.3438 * CHOOSE(CONTROL!$C$32, $C$9, 100%, $E$9)</f>
        <v>7.3437999999999999</v>
      </c>
    </row>
    <row r="450" spans="1:15" ht="15" x14ac:dyDescent="0.2">
      <c r="A450" s="13">
        <v>54544</v>
      </c>
      <c r="B450" s="9">
        <f>6.4459 * CHOOSE(CONTROL!$C$32, $C$9, 100%, $E$9)</f>
        <v>6.4459</v>
      </c>
      <c r="C450" s="9">
        <f>6.4459 * CHOOSE(CONTROL!$C$32, $C$9, 100%, $E$9)</f>
        <v>6.4459</v>
      </c>
      <c r="D450" s="9">
        <f>6.4475 * CHOOSE(CONTROL!$C$32, $C$9, 100%, $E$9)</f>
        <v>6.4474999999999998</v>
      </c>
      <c r="E450" s="11">
        <f>7.3889 * CHOOSE(CONTROL!$C$32, $C$9, 100%, $E$9)</f>
        <v>7.3888999999999996</v>
      </c>
      <c r="F450" s="11">
        <f>7.3889 * CHOOSE(CONTROL!$C$32, $C$9, 100%, $E$9)</f>
        <v>7.3888999999999996</v>
      </c>
      <c r="G450" s="11">
        <f>7.3942 * CHOOSE(CONTROL!$C$32, $C$9, 100%, $E$9)</f>
        <v>7.3941999999999997</v>
      </c>
      <c r="H450" s="11">
        <f>13.7394 * CHOOSE(CONTROL!$C$32, $C$9, 100%, $E$9)</f>
        <v>13.7394</v>
      </c>
      <c r="I450" s="11">
        <f>13.7447 * CHOOSE(CONTROL!$C$32, $C$9, 100%, $E$9)</f>
        <v>13.7447</v>
      </c>
      <c r="J450" s="11">
        <f>13.7394 * CHOOSE(CONTROL!$C$32, $C$9, 100%, $E$9)</f>
        <v>13.7394</v>
      </c>
      <c r="K450" s="11">
        <f>13.7447 * CHOOSE(CONTROL!$C$32, $C$9, 100%, $E$9)</f>
        <v>13.7447</v>
      </c>
      <c r="L450" s="11">
        <f>7.3889 * CHOOSE(CONTROL!$C$32, $C$9, 100%, $E$9)</f>
        <v>7.3888999999999996</v>
      </c>
      <c r="M450" s="11">
        <f>7.3942 * CHOOSE(CONTROL!$C$32, $C$9, 100%, $E$9)</f>
        <v>7.3941999999999997</v>
      </c>
      <c r="N450" s="11">
        <f>7.3889 * CHOOSE(CONTROL!$C$32, $C$9, 100%, $E$9)</f>
        <v>7.3888999999999996</v>
      </c>
      <c r="O450" s="11">
        <f>7.3942 * CHOOSE(CONTROL!$C$32, $C$9, 100%, $E$9)</f>
        <v>7.3941999999999997</v>
      </c>
    </row>
    <row r="451" spans="1:15" ht="15" x14ac:dyDescent="0.2">
      <c r="A451" s="13">
        <v>54575</v>
      </c>
      <c r="B451" s="9">
        <f>6.452 * CHOOSE(CONTROL!$C$32, $C$9, 100%, $E$9)</f>
        <v>6.452</v>
      </c>
      <c r="C451" s="9">
        <f>6.452 * CHOOSE(CONTROL!$C$32, $C$9, 100%, $E$9)</f>
        <v>6.452</v>
      </c>
      <c r="D451" s="9">
        <f>6.4535 * CHOOSE(CONTROL!$C$32, $C$9, 100%, $E$9)</f>
        <v>6.4535</v>
      </c>
      <c r="E451" s="11">
        <f>7.3444 * CHOOSE(CONTROL!$C$32, $C$9, 100%, $E$9)</f>
        <v>7.3444000000000003</v>
      </c>
      <c r="F451" s="11">
        <f>7.3444 * CHOOSE(CONTROL!$C$32, $C$9, 100%, $E$9)</f>
        <v>7.3444000000000003</v>
      </c>
      <c r="G451" s="11">
        <f>7.3497 * CHOOSE(CONTROL!$C$32, $C$9, 100%, $E$9)</f>
        <v>7.3497000000000003</v>
      </c>
      <c r="H451" s="11">
        <f>13.768 * CHOOSE(CONTROL!$C$32, $C$9, 100%, $E$9)</f>
        <v>13.768000000000001</v>
      </c>
      <c r="I451" s="11">
        <f>13.7733 * CHOOSE(CONTROL!$C$32, $C$9, 100%, $E$9)</f>
        <v>13.773300000000001</v>
      </c>
      <c r="J451" s="11">
        <f>13.768 * CHOOSE(CONTROL!$C$32, $C$9, 100%, $E$9)</f>
        <v>13.768000000000001</v>
      </c>
      <c r="K451" s="11">
        <f>13.7733 * CHOOSE(CONTROL!$C$32, $C$9, 100%, $E$9)</f>
        <v>13.773300000000001</v>
      </c>
      <c r="L451" s="11">
        <f>7.3444 * CHOOSE(CONTROL!$C$32, $C$9, 100%, $E$9)</f>
        <v>7.3444000000000003</v>
      </c>
      <c r="M451" s="11">
        <f>7.3497 * CHOOSE(CONTROL!$C$32, $C$9, 100%, $E$9)</f>
        <v>7.3497000000000003</v>
      </c>
      <c r="N451" s="11">
        <f>7.3444 * CHOOSE(CONTROL!$C$32, $C$9, 100%, $E$9)</f>
        <v>7.3444000000000003</v>
      </c>
      <c r="O451" s="11">
        <f>7.3497 * CHOOSE(CONTROL!$C$32, $C$9, 100%, $E$9)</f>
        <v>7.3497000000000003</v>
      </c>
    </row>
    <row r="452" spans="1:15" ht="15" x14ac:dyDescent="0.2">
      <c r="A452" s="13">
        <v>54605</v>
      </c>
      <c r="B452" s="9">
        <f>6.5374 * CHOOSE(CONTROL!$C$32, $C$9, 100%, $E$9)</f>
        <v>6.5373999999999999</v>
      </c>
      <c r="C452" s="9">
        <f>6.5374 * CHOOSE(CONTROL!$C$32, $C$9, 100%, $E$9)</f>
        <v>6.5373999999999999</v>
      </c>
      <c r="D452" s="9">
        <f>6.539 * CHOOSE(CONTROL!$C$32, $C$9, 100%, $E$9)</f>
        <v>6.5389999999999997</v>
      </c>
      <c r="E452" s="11">
        <f>7.4428 * CHOOSE(CONTROL!$C$32, $C$9, 100%, $E$9)</f>
        <v>7.4428000000000001</v>
      </c>
      <c r="F452" s="11">
        <f>7.4428 * CHOOSE(CONTROL!$C$32, $C$9, 100%, $E$9)</f>
        <v>7.4428000000000001</v>
      </c>
      <c r="G452" s="11">
        <f>7.448 * CHOOSE(CONTROL!$C$32, $C$9, 100%, $E$9)</f>
        <v>7.4480000000000004</v>
      </c>
      <c r="H452" s="11">
        <f>13.7967 * CHOOSE(CONTROL!$C$32, $C$9, 100%, $E$9)</f>
        <v>13.7967</v>
      </c>
      <c r="I452" s="11">
        <f>13.802 * CHOOSE(CONTROL!$C$32, $C$9, 100%, $E$9)</f>
        <v>13.802</v>
      </c>
      <c r="J452" s="11">
        <f>13.7967 * CHOOSE(CONTROL!$C$32, $C$9, 100%, $E$9)</f>
        <v>13.7967</v>
      </c>
      <c r="K452" s="11">
        <f>13.802 * CHOOSE(CONTROL!$C$32, $C$9, 100%, $E$9)</f>
        <v>13.802</v>
      </c>
      <c r="L452" s="11">
        <f>7.4428 * CHOOSE(CONTROL!$C$32, $C$9, 100%, $E$9)</f>
        <v>7.4428000000000001</v>
      </c>
      <c r="M452" s="11">
        <f>7.448 * CHOOSE(CONTROL!$C$32, $C$9, 100%, $E$9)</f>
        <v>7.4480000000000004</v>
      </c>
      <c r="N452" s="11">
        <f>7.4428 * CHOOSE(CONTROL!$C$32, $C$9, 100%, $E$9)</f>
        <v>7.4428000000000001</v>
      </c>
      <c r="O452" s="11">
        <f>7.448 * CHOOSE(CONTROL!$C$32, $C$9, 100%, $E$9)</f>
        <v>7.4480000000000004</v>
      </c>
    </row>
    <row r="453" spans="1:15" ht="15" x14ac:dyDescent="0.2">
      <c r="A453" s="13">
        <v>54636</v>
      </c>
      <c r="B453" s="9">
        <f>6.5441 * CHOOSE(CONTROL!$C$32, $C$9, 100%, $E$9)</f>
        <v>6.5441000000000003</v>
      </c>
      <c r="C453" s="9">
        <f>6.5441 * CHOOSE(CONTROL!$C$32, $C$9, 100%, $E$9)</f>
        <v>6.5441000000000003</v>
      </c>
      <c r="D453" s="9">
        <f>6.5457 * CHOOSE(CONTROL!$C$32, $C$9, 100%, $E$9)</f>
        <v>6.5457000000000001</v>
      </c>
      <c r="E453" s="11">
        <f>7.3013 * CHOOSE(CONTROL!$C$32, $C$9, 100%, $E$9)</f>
        <v>7.3013000000000003</v>
      </c>
      <c r="F453" s="11">
        <f>7.3013 * CHOOSE(CONTROL!$C$32, $C$9, 100%, $E$9)</f>
        <v>7.3013000000000003</v>
      </c>
      <c r="G453" s="11">
        <f>7.3066 * CHOOSE(CONTROL!$C$32, $C$9, 100%, $E$9)</f>
        <v>7.3066000000000004</v>
      </c>
      <c r="H453" s="11">
        <f>13.8255 * CHOOSE(CONTROL!$C$32, $C$9, 100%, $E$9)</f>
        <v>13.8255</v>
      </c>
      <c r="I453" s="11">
        <f>13.8308 * CHOOSE(CONTROL!$C$32, $C$9, 100%, $E$9)</f>
        <v>13.8308</v>
      </c>
      <c r="J453" s="11">
        <f>13.8255 * CHOOSE(CONTROL!$C$32, $C$9, 100%, $E$9)</f>
        <v>13.8255</v>
      </c>
      <c r="K453" s="11">
        <f>13.8308 * CHOOSE(CONTROL!$C$32, $C$9, 100%, $E$9)</f>
        <v>13.8308</v>
      </c>
      <c r="L453" s="11">
        <f>7.3013 * CHOOSE(CONTROL!$C$32, $C$9, 100%, $E$9)</f>
        <v>7.3013000000000003</v>
      </c>
      <c r="M453" s="11">
        <f>7.3066 * CHOOSE(CONTROL!$C$32, $C$9, 100%, $E$9)</f>
        <v>7.3066000000000004</v>
      </c>
      <c r="N453" s="11">
        <f>7.3013 * CHOOSE(CONTROL!$C$32, $C$9, 100%, $E$9)</f>
        <v>7.3013000000000003</v>
      </c>
      <c r="O453" s="11">
        <f>7.3066 * CHOOSE(CONTROL!$C$32, $C$9, 100%, $E$9)</f>
        <v>7.3066000000000004</v>
      </c>
    </row>
    <row r="454" spans="1:15" ht="15" x14ac:dyDescent="0.2">
      <c r="A454" s="13">
        <v>54667</v>
      </c>
      <c r="B454" s="9">
        <f>6.541 * CHOOSE(CONTROL!$C$32, $C$9, 100%, $E$9)</f>
        <v>6.5410000000000004</v>
      </c>
      <c r="C454" s="9">
        <f>6.541 * CHOOSE(CONTROL!$C$32, $C$9, 100%, $E$9)</f>
        <v>6.5410000000000004</v>
      </c>
      <c r="D454" s="9">
        <f>6.5426 * CHOOSE(CONTROL!$C$32, $C$9, 100%, $E$9)</f>
        <v>6.5426000000000002</v>
      </c>
      <c r="E454" s="11">
        <f>7.283 * CHOOSE(CONTROL!$C$32, $C$9, 100%, $E$9)</f>
        <v>7.2830000000000004</v>
      </c>
      <c r="F454" s="11">
        <f>7.283 * CHOOSE(CONTROL!$C$32, $C$9, 100%, $E$9)</f>
        <v>7.2830000000000004</v>
      </c>
      <c r="G454" s="11">
        <f>7.2883 * CHOOSE(CONTROL!$C$32, $C$9, 100%, $E$9)</f>
        <v>7.2882999999999996</v>
      </c>
      <c r="H454" s="11">
        <f>13.8543 * CHOOSE(CONTROL!$C$32, $C$9, 100%, $E$9)</f>
        <v>13.8543</v>
      </c>
      <c r="I454" s="11">
        <f>13.8596 * CHOOSE(CONTROL!$C$32, $C$9, 100%, $E$9)</f>
        <v>13.8596</v>
      </c>
      <c r="J454" s="11">
        <f>13.8543 * CHOOSE(CONTROL!$C$32, $C$9, 100%, $E$9)</f>
        <v>13.8543</v>
      </c>
      <c r="K454" s="11">
        <f>13.8596 * CHOOSE(CONTROL!$C$32, $C$9, 100%, $E$9)</f>
        <v>13.8596</v>
      </c>
      <c r="L454" s="11">
        <f>7.283 * CHOOSE(CONTROL!$C$32, $C$9, 100%, $E$9)</f>
        <v>7.2830000000000004</v>
      </c>
      <c r="M454" s="11">
        <f>7.2883 * CHOOSE(CONTROL!$C$32, $C$9, 100%, $E$9)</f>
        <v>7.2882999999999996</v>
      </c>
      <c r="N454" s="11">
        <f>7.283 * CHOOSE(CONTROL!$C$32, $C$9, 100%, $E$9)</f>
        <v>7.2830000000000004</v>
      </c>
      <c r="O454" s="11">
        <f>7.2883 * CHOOSE(CONTROL!$C$32, $C$9, 100%, $E$9)</f>
        <v>7.2882999999999996</v>
      </c>
    </row>
    <row r="455" spans="1:15" ht="15" x14ac:dyDescent="0.2">
      <c r="A455" s="13">
        <v>54697</v>
      </c>
      <c r="B455" s="9">
        <f>6.5456 * CHOOSE(CONTROL!$C$32, $C$9, 100%, $E$9)</f>
        <v>6.5456000000000003</v>
      </c>
      <c r="C455" s="9">
        <f>6.5456 * CHOOSE(CONTROL!$C$32, $C$9, 100%, $E$9)</f>
        <v>6.5456000000000003</v>
      </c>
      <c r="D455" s="9">
        <f>6.5466 * CHOOSE(CONTROL!$C$32, $C$9, 100%, $E$9)</f>
        <v>6.5465999999999998</v>
      </c>
      <c r="E455" s="11">
        <f>7.3345 * CHOOSE(CONTROL!$C$32, $C$9, 100%, $E$9)</f>
        <v>7.3345000000000002</v>
      </c>
      <c r="F455" s="11">
        <f>7.3345 * CHOOSE(CONTROL!$C$32, $C$9, 100%, $E$9)</f>
        <v>7.3345000000000002</v>
      </c>
      <c r="G455" s="11">
        <f>7.3381 * CHOOSE(CONTROL!$C$32, $C$9, 100%, $E$9)</f>
        <v>7.3380999999999998</v>
      </c>
      <c r="H455" s="11">
        <f>13.8831 * CHOOSE(CONTROL!$C$32, $C$9, 100%, $E$9)</f>
        <v>13.883100000000001</v>
      </c>
      <c r="I455" s="11">
        <f>13.8867 * CHOOSE(CONTROL!$C$32, $C$9, 100%, $E$9)</f>
        <v>13.886699999999999</v>
      </c>
      <c r="J455" s="11">
        <f>13.8831 * CHOOSE(CONTROL!$C$32, $C$9, 100%, $E$9)</f>
        <v>13.883100000000001</v>
      </c>
      <c r="K455" s="11">
        <f>13.8867 * CHOOSE(CONTROL!$C$32, $C$9, 100%, $E$9)</f>
        <v>13.886699999999999</v>
      </c>
      <c r="L455" s="11">
        <f>7.3345 * CHOOSE(CONTROL!$C$32, $C$9, 100%, $E$9)</f>
        <v>7.3345000000000002</v>
      </c>
      <c r="M455" s="11">
        <f>7.3381 * CHOOSE(CONTROL!$C$32, $C$9, 100%, $E$9)</f>
        <v>7.3380999999999998</v>
      </c>
      <c r="N455" s="11">
        <f>7.3345 * CHOOSE(CONTROL!$C$32, $C$9, 100%, $E$9)</f>
        <v>7.3345000000000002</v>
      </c>
      <c r="O455" s="11">
        <f>7.3381 * CHOOSE(CONTROL!$C$32, $C$9, 100%, $E$9)</f>
        <v>7.3380999999999998</v>
      </c>
    </row>
    <row r="456" spans="1:15" ht="15" x14ac:dyDescent="0.2">
      <c r="A456" s="13">
        <v>54728</v>
      </c>
      <c r="B456" s="9">
        <f>6.5486 * CHOOSE(CONTROL!$C$32, $C$9, 100%, $E$9)</f>
        <v>6.5486000000000004</v>
      </c>
      <c r="C456" s="9">
        <f>6.5486 * CHOOSE(CONTROL!$C$32, $C$9, 100%, $E$9)</f>
        <v>6.5486000000000004</v>
      </c>
      <c r="D456" s="9">
        <f>6.5497 * CHOOSE(CONTROL!$C$32, $C$9, 100%, $E$9)</f>
        <v>6.5496999999999996</v>
      </c>
      <c r="E456" s="11">
        <f>7.3691 * CHOOSE(CONTROL!$C$32, $C$9, 100%, $E$9)</f>
        <v>7.3691000000000004</v>
      </c>
      <c r="F456" s="11">
        <f>7.3691 * CHOOSE(CONTROL!$C$32, $C$9, 100%, $E$9)</f>
        <v>7.3691000000000004</v>
      </c>
      <c r="G456" s="11">
        <f>7.3727 * CHOOSE(CONTROL!$C$32, $C$9, 100%, $E$9)</f>
        <v>7.3727</v>
      </c>
      <c r="H456" s="11">
        <f>13.9121 * CHOOSE(CONTROL!$C$32, $C$9, 100%, $E$9)</f>
        <v>13.912100000000001</v>
      </c>
      <c r="I456" s="11">
        <f>13.9157 * CHOOSE(CONTROL!$C$32, $C$9, 100%, $E$9)</f>
        <v>13.915699999999999</v>
      </c>
      <c r="J456" s="11">
        <f>13.9121 * CHOOSE(CONTROL!$C$32, $C$9, 100%, $E$9)</f>
        <v>13.912100000000001</v>
      </c>
      <c r="K456" s="11">
        <f>13.9157 * CHOOSE(CONTROL!$C$32, $C$9, 100%, $E$9)</f>
        <v>13.915699999999999</v>
      </c>
      <c r="L456" s="11">
        <f>7.3691 * CHOOSE(CONTROL!$C$32, $C$9, 100%, $E$9)</f>
        <v>7.3691000000000004</v>
      </c>
      <c r="M456" s="11">
        <f>7.3727 * CHOOSE(CONTROL!$C$32, $C$9, 100%, $E$9)</f>
        <v>7.3727</v>
      </c>
      <c r="N456" s="11">
        <f>7.3691 * CHOOSE(CONTROL!$C$32, $C$9, 100%, $E$9)</f>
        <v>7.3691000000000004</v>
      </c>
      <c r="O456" s="11">
        <f>7.3727 * CHOOSE(CONTROL!$C$32, $C$9, 100%, $E$9)</f>
        <v>7.3727</v>
      </c>
    </row>
    <row r="457" spans="1:15" ht="15" x14ac:dyDescent="0.2">
      <c r="A457" s="13">
        <v>54758</v>
      </c>
      <c r="B457" s="9">
        <f>6.5486 * CHOOSE(CONTROL!$C$32, $C$9, 100%, $E$9)</f>
        <v>6.5486000000000004</v>
      </c>
      <c r="C457" s="9">
        <f>6.5486 * CHOOSE(CONTROL!$C$32, $C$9, 100%, $E$9)</f>
        <v>6.5486000000000004</v>
      </c>
      <c r="D457" s="9">
        <f>6.5497 * CHOOSE(CONTROL!$C$32, $C$9, 100%, $E$9)</f>
        <v>6.5496999999999996</v>
      </c>
      <c r="E457" s="11">
        <f>7.2879 * CHOOSE(CONTROL!$C$32, $C$9, 100%, $E$9)</f>
        <v>7.2878999999999996</v>
      </c>
      <c r="F457" s="11">
        <f>7.2879 * CHOOSE(CONTROL!$C$32, $C$9, 100%, $E$9)</f>
        <v>7.2878999999999996</v>
      </c>
      <c r="G457" s="11">
        <f>7.2915 * CHOOSE(CONTROL!$C$32, $C$9, 100%, $E$9)</f>
        <v>7.2915000000000001</v>
      </c>
      <c r="H457" s="11">
        <f>13.941 * CHOOSE(CONTROL!$C$32, $C$9, 100%, $E$9)</f>
        <v>13.941000000000001</v>
      </c>
      <c r="I457" s="11">
        <f>13.9447 * CHOOSE(CONTROL!$C$32, $C$9, 100%, $E$9)</f>
        <v>13.944699999999999</v>
      </c>
      <c r="J457" s="11">
        <f>13.941 * CHOOSE(CONTROL!$C$32, $C$9, 100%, $E$9)</f>
        <v>13.941000000000001</v>
      </c>
      <c r="K457" s="11">
        <f>13.9447 * CHOOSE(CONTROL!$C$32, $C$9, 100%, $E$9)</f>
        <v>13.944699999999999</v>
      </c>
      <c r="L457" s="11">
        <f>7.2879 * CHOOSE(CONTROL!$C$32, $C$9, 100%, $E$9)</f>
        <v>7.2878999999999996</v>
      </c>
      <c r="M457" s="11">
        <f>7.2915 * CHOOSE(CONTROL!$C$32, $C$9, 100%, $E$9)</f>
        <v>7.2915000000000001</v>
      </c>
      <c r="N457" s="11">
        <f>7.2879 * CHOOSE(CONTROL!$C$32, $C$9, 100%, $E$9)</f>
        <v>7.2878999999999996</v>
      </c>
      <c r="O457" s="11">
        <f>7.2915 * CHOOSE(CONTROL!$C$32, $C$9, 100%, $E$9)</f>
        <v>7.2915000000000001</v>
      </c>
    </row>
    <row r="458" spans="1:15" ht="15" x14ac:dyDescent="0.2">
      <c r="A458" s="13">
        <v>54789</v>
      </c>
      <c r="B458" s="9">
        <f>6.5983 * CHOOSE(CONTROL!$C$32, $C$9, 100%, $E$9)</f>
        <v>6.5983000000000001</v>
      </c>
      <c r="C458" s="9">
        <f>6.5983 * CHOOSE(CONTROL!$C$32, $C$9, 100%, $E$9)</f>
        <v>6.5983000000000001</v>
      </c>
      <c r="D458" s="9">
        <f>6.5993 * CHOOSE(CONTROL!$C$32, $C$9, 100%, $E$9)</f>
        <v>6.5993000000000004</v>
      </c>
      <c r="E458" s="11">
        <f>7.4077 * CHOOSE(CONTROL!$C$32, $C$9, 100%, $E$9)</f>
        <v>7.4077000000000002</v>
      </c>
      <c r="F458" s="11">
        <f>7.4077 * CHOOSE(CONTROL!$C$32, $C$9, 100%, $E$9)</f>
        <v>7.4077000000000002</v>
      </c>
      <c r="G458" s="11">
        <f>7.4113 * CHOOSE(CONTROL!$C$32, $C$9, 100%, $E$9)</f>
        <v>7.4112999999999998</v>
      </c>
      <c r="H458" s="11">
        <f>13.9701 * CHOOSE(CONTROL!$C$32, $C$9, 100%, $E$9)</f>
        <v>13.9701</v>
      </c>
      <c r="I458" s="11">
        <f>13.9737 * CHOOSE(CONTROL!$C$32, $C$9, 100%, $E$9)</f>
        <v>13.973699999999999</v>
      </c>
      <c r="J458" s="11">
        <f>13.9701 * CHOOSE(CONTROL!$C$32, $C$9, 100%, $E$9)</f>
        <v>13.9701</v>
      </c>
      <c r="K458" s="11">
        <f>13.9737 * CHOOSE(CONTROL!$C$32, $C$9, 100%, $E$9)</f>
        <v>13.973699999999999</v>
      </c>
      <c r="L458" s="11">
        <f>7.4077 * CHOOSE(CONTROL!$C$32, $C$9, 100%, $E$9)</f>
        <v>7.4077000000000002</v>
      </c>
      <c r="M458" s="11">
        <f>7.4113 * CHOOSE(CONTROL!$C$32, $C$9, 100%, $E$9)</f>
        <v>7.4112999999999998</v>
      </c>
      <c r="N458" s="11">
        <f>7.4077 * CHOOSE(CONTROL!$C$32, $C$9, 100%, $E$9)</f>
        <v>7.4077000000000002</v>
      </c>
      <c r="O458" s="11">
        <f>7.4113 * CHOOSE(CONTROL!$C$32, $C$9, 100%, $E$9)</f>
        <v>7.4112999999999998</v>
      </c>
    </row>
    <row r="459" spans="1:15" ht="15" x14ac:dyDescent="0.2">
      <c r="A459" s="13">
        <v>54820</v>
      </c>
      <c r="B459" s="9">
        <f>6.5952 * CHOOSE(CONTROL!$C$32, $C$9, 100%, $E$9)</f>
        <v>6.5952000000000002</v>
      </c>
      <c r="C459" s="9">
        <f>6.5952 * CHOOSE(CONTROL!$C$32, $C$9, 100%, $E$9)</f>
        <v>6.5952000000000002</v>
      </c>
      <c r="D459" s="9">
        <f>6.5963 * CHOOSE(CONTROL!$C$32, $C$9, 100%, $E$9)</f>
        <v>6.5963000000000003</v>
      </c>
      <c r="E459" s="11">
        <f>7.2472 * CHOOSE(CONTROL!$C$32, $C$9, 100%, $E$9)</f>
        <v>7.2472000000000003</v>
      </c>
      <c r="F459" s="11">
        <f>7.2472 * CHOOSE(CONTROL!$C$32, $C$9, 100%, $E$9)</f>
        <v>7.2472000000000003</v>
      </c>
      <c r="G459" s="11">
        <f>7.2508 * CHOOSE(CONTROL!$C$32, $C$9, 100%, $E$9)</f>
        <v>7.2507999999999999</v>
      </c>
      <c r="H459" s="11">
        <f>13.9992 * CHOOSE(CONTROL!$C$32, $C$9, 100%, $E$9)</f>
        <v>13.9992</v>
      </c>
      <c r="I459" s="11">
        <f>14.0028 * CHOOSE(CONTROL!$C$32, $C$9, 100%, $E$9)</f>
        <v>14.002800000000001</v>
      </c>
      <c r="J459" s="11">
        <f>13.9992 * CHOOSE(CONTROL!$C$32, $C$9, 100%, $E$9)</f>
        <v>13.9992</v>
      </c>
      <c r="K459" s="11">
        <f>14.0028 * CHOOSE(CONTROL!$C$32, $C$9, 100%, $E$9)</f>
        <v>14.002800000000001</v>
      </c>
      <c r="L459" s="11">
        <f>7.2472 * CHOOSE(CONTROL!$C$32, $C$9, 100%, $E$9)</f>
        <v>7.2472000000000003</v>
      </c>
      <c r="M459" s="11">
        <f>7.2508 * CHOOSE(CONTROL!$C$32, $C$9, 100%, $E$9)</f>
        <v>7.2507999999999999</v>
      </c>
      <c r="N459" s="11">
        <f>7.2472 * CHOOSE(CONTROL!$C$32, $C$9, 100%, $E$9)</f>
        <v>7.2472000000000003</v>
      </c>
      <c r="O459" s="11">
        <f>7.2508 * CHOOSE(CONTROL!$C$32, $C$9, 100%, $E$9)</f>
        <v>7.2507999999999999</v>
      </c>
    </row>
    <row r="460" spans="1:15" ht="15" x14ac:dyDescent="0.2">
      <c r="A460" s="13">
        <v>54848</v>
      </c>
      <c r="B460" s="9">
        <f>6.5922 * CHOOSE(CONTROL!$C$32, $C$9, 100%, $E$9)</f>
        <v>6.5922000000000001</v>
      </c>
      <c r="C460" s="9">
        <f>6.5922 * CHOOSE(CONTROL!$C$32, $C$9, 100%, $E$9)</f>
        <v>6.5922000000000001</v>
      </c>
      <c r="D460" s="9">
        <f>6.5933 * CHOOSE(CONTROL!$C$32, $C$9, 100%, $E$9)</f>
        <v>6.5933000000000002</v>
      </c>
      <c r="E460" s="11">
        <f>7.3699 * CHOOSE(CONTROL!$C$32, $C$9, 100%, $E$9)</f>
        <v>7.3699000000000003</v>
      </c>
      <c r="F460" s="11">
        <f>7.3699 * CHOOSE(CONTROL!$C$32, $C$9, 100%, $E$9)</f>
        <v>7.3699000000000003</v>
      </c>
      <c r="G460" s="11">
        <f>7.3735 * CHOOSE(CONTROL!$C$32, $C$9, 100%, $E$9)</f>
        <v>7.3734999999999999</v>
      </c>
      <c r="H460" s="11">
        <f>14.0283 * CHOOSE(CONTROL!$C$32, $C$9, 100%, $E$9)</f>
        <v>14.0283</v>
      </c>
      <c r="I460" s="11">
        <f>14.032 * CHOOSE(CONTROL!$C$32, $C$9, 100%, $E$9)</f>
        <v>14.032</v>
      </c>
      <c r="J460" s="11">
        <f>14.0283 * CHOOSE(CONTROL!$C$32, $C$9, 100%, $E$9)</f>
        <v>14.0283</v>
      </c>
      <c r="K460" s="11">
        <f>14.032 * CHOOSE(CONTROL!$C$32, $C$9, 100%, $E$9)</f>
        <v>14.032</v>
      </c>
      <c r="L460" s="11">
        <f>7.3699 * CHOOSE(CONTROL!$C$32, $C$9, 100%, $E$9)</f>
        <v>7.3699000000000003</v>
      </c>
      <c r="M460" s="11">
        <f>7.3735 * CHOOSE(CONTROL!$C$32, $C$9, 100%, $E$9)</f>
        <v>7.3734999999999999</v>
      </c>
      <c r="N460" s="11">
        <f>7.3699 * CHOOSE(CONTROL!$C$32, $C$9, 100%, $E$9)</f>
        <v>7.3699000000000003</v>
      </c>
      <c r="O460" s="11">
        <f>7.3735 * CHOOSE(CONTROL!$C$32, $C$9, 100%, $E$9)</f>
        <v>7.3734999999999999</v>
      </c>
    </row>
    <row r="461" spans="1:15" ht="15" x14ac:dyDescent="0.2">
      <c r="A461" s="13">
        <v>54879</v>
      </c>
      <c r="B461" s="9">
        <f>6.5923 * CHOOSE(CONTROL!$C$32, $C$9, 100%, $E$9)</f>
        <v>6.5922999999999998</v>
      </c>
      <c r="C461" s="9">
        <f>6.5923 * CHOOSE(CONTROL!$C$32, $C$9, 100%, $E$9)</f>
        <v>6.5922999999999998</v>
      </c>
      <c r="D461" s="9">
        <f>6.5934 * CHOOSE(CONTROL!$C$32, $C$9, 100%, $E$9)</f>
        <v>6.5933999999999999</v>
      </c>
      <c r="E461" s="11">
        <f>7.4998 * CHOOSE(CONTROL!$C$32, $C$9, 100%, $E$9)</f>
        <v>7.4997999999999996</v>
      </c>
      <c r="F461" s="11">
        <f>7.4998 * CHOOSE(CONTROL!$C$32, $C$9, 100%, $E$9)</f>
        <v>7.4997999999999996</v>
      </c>
      <c r="G461" s="11">
        <f>7.5034 * CHOOSE(CONTROL!$C$32, $C$9, 100%, $E$9)</f>
        <v>7.5034000000000001</v>
      </c>
      <c r="H461" s="11">
        <f>14.0576 * CHOOSE(CONTROL!$C$32, $C$9, 100%, $E$9)</f>
        <v>14.057600000000001</v>
      </c>
      <c r="I461" s="11">
        <f>14.0612 * CHOOSE(CONTROL!$C$32, $C$9, 100%, $E$9)</f>
        <v>14.061199999999999</v>
      </c>
      <c r="J461" s="11">
        <f>14.0576 * CHOOSE(CONTROL!$C$32, $C$9, 100%, $E$9)</f>
        <v>14.057600000000001</v>
      </c>
      <c r="K461" s="11">
        <f>14.0612 * CHOOSE(CONTROL!$C$32, $C$9, 100%, $E$9)</f>
        <v>14.061199999999999</v>
      </c>
      <c r="L461" s="11">
        <f>7.4998 * CHOOSE(CONTROL!$C$32, $C$9, 100%, $E$9)</f>
        <v>7.4997999999999996</v>
      </c>
      <c r="M461" s="11">
        <f>7.5034 * CHOOSE(CONTROL!$C$32, $C$9, 100%, $E$9)</f>
        <v>7.5034000000000001</v>
      </c>
      <c r="N461" s="11">
        <f>7.4998 * CHOOSE(CONTROL!$C$32, $C$9, 100%, $E$9)</f>
        <v>7.4997999999999996</v>
      </c>
      <c r="O461" s="11">
        <f>7.5034 * CHOOSE(CONTROL!$C$32, $C$9, 100%, $E$9)</f>
        <v>7.5034000000000001</v>
      </c>
    </row>
    <row r="462" spans="1:15" ht="15" x14ac:dyDescent="0.2">
      <c r="A462" s="13">
        <v>54909</v>
      </c>
      <c r="B462" s="9">
        <f>6.5923 * CHOOSE(CONTROL!$C$32, $C$9, 100%, $E$9)</f>
        <v>6.5922999999999998</v>
      </c>
      <c r="C462" s="9">
        <f>6.5923 * CHOOSE(CONTROL!$C$32, $C$9, 100%, $E$9)</f>
        <v>6.5922999999999998</v>
      </c>
      <c r="D462" s="9">
        <f>6.5939 * CHOOSE(CONTROL!$C$32, $C$9, 100%, $E$9)</f>
        <v>6.5938999999999997</v>
      </c>
      <c r="E462" s="11">
        <f>7.55 * CHOOSE(CONTROL!$C$32, $C$9, 100%, $E$9)</f>
        <v>7.55</v>
      </c>
      <c r="F462" s="11">
        <f>7.55 * CHOOSE(CONTROL!$C$32, $C$9, 100%, $E$9)</f>
        <v>7.55</v>
      </c>
      <c r="G462" s="11">
        <f>7.5553 * CHOOSE(CONTROL!$C$32, $C$9, 100%, $E$9)</f>
        <v>7.5552999999999999</v>
      </c>
      <c r="H462" s="11">
        <f>14.0869 * CHOOSE(CONTROL!$C$32, $C$9, 100%, $E$9)</f>
        <v>14.0869</v>
      </c>
      <c r="I462" s="11">
        <f>14.0922 * CHOOSE(CONTROL!$C$32, $C$9, 100%, $E$9)</f>
        <v>14.0922</v>
      </c>
      <c r="J462" s="11">
        <f>14.0869 * CHOOSE(CONTROL!$C$32, $C$9, 100%, $E$9)</f>
        <v>14.0869</v>
      </c>
      <c r="K462" s="11">
        <f>14.0922 * CHOOSE(CONTROL!$C$32, $C$9, 100%, $E$9)</f>
        <v>14.0922</v>
      </c>
      <c r="L462" s="11">
        <f>7.55 * CHOOSE(CONTROL!$C$32, $C$9, 100%, $E$9)</f>
        <v>7.55</v>
      </c>
      <c r="M462" s="11">
        <f>7.5553 * CHOOSE(CONTROL!$C$32, $C$9, 100%, $E$9)</f>
        <v>7.5552999999999999</v>
      </c>
      <c r="N462" s="11">
        <f>7.55 * CHOOSE(CONTROL!$C$32, $C$9, 100%, $E$9)</f>
        <v>7.55</v>
      </c>
      <c r="O462" s="11">
        <f>7.5553 * CHOOSE(CONTROL!$C$32, $C$9, 100%, $E$9)</f>
        <v>7.5552999999999999</v>
      </c>
    </row>
    <row r="463" spans="1:15" ht="15" x14ac:dyDescent="0.2">
      <c r="A463" s="13">
        <v>54940</v>
      </c>
      <c r="B463" s="9">
        <f>6.5984 * CHOOSE(CONTROL!$C$32, $C$9, 100%, $E$9)</f>
        <v>6.5983999999999998</v>
      </c>
      <c r="C463" s="9">
        <f>6.5984 * CHOOSE(CONTROL!$C$32, $C$9, 100%, $E$9)</f>
        <v>6.5983999999999998</v>
      </c>
      <c r="D463" s="9">
        <f>6.6 * CHOOSE(CONTROL!$C$32, $C$9, 100%, $E$9)</f>
        <v>6.6</v>
      </c>
      <c r="E463" s="11">
        <f>7.504 * CHOOSE(CONTROL!$C$32, $C$9, 100%, $E$9)</f>
        <v>7.5039999999999996</v>
      </c>
      <c r="F463" s="11">
        <f>7.504 * CHOOSE(CONTROL!$C$32, $C$9, 100%, $E$9)</f>
        <v>7.5039999999999996</v>
      </c>
      <c r="G463" s="11">
        <f>7.5093 * CHOOSE(CONTROL!$C$32, $C$9, 100%, $E$9)</f>
        <v>7.5092999999999996</v>
      </c>
      <c r="H463" s="11">
        <f>14.1162 * CHOOSE(CONTROL!$C$32, $C$9, 100%, $E$9)</f>
        <v>14.116199999999999</v>
      </c>
      <c r="I463" s="11">
        <f>14.1215 * CHOOSE(CONTROL!$C$32, $C$9, 100%, $E$9)</f>
        <v>14.121499999999999</v>
      </c>
      <c r="J463" s="11">
        <f>14.1162 * CHOOSE(CONTROL!$C$32, $C$9, 100%, $E$9)</f>
        <v>14.116199999999999</v>
      </c>
      <c r="K463" s="11">
        <f>14.1215 * CHOOSE(CONTROL!$C$32, $C$9, 100%, $E$9)</f>
        <v>14.121499999999999</v>
      </c>
      <c r="L463" s="11">
        <f>7.504 * CHOOSE(CONTROL!$C$32, $C$9, 100%, $E$9)</f>
        <v>7.5039999999999996</v>
      </c>
      <c r="M463" s="11">
        <f>7.5093 * CHOOSE(CONTROL!$C$32, $C$9, 100%, $E$9)</f>
        <v>7.5092999999999996</v>
      </c>
      <c r="N463" s="11">
        <f>7.504 * CHOOSE(CONTROL!$C$32, $C$9, 100%, $E$9)</f>
        <v>7.5039999999999996</v>
      </c>
      <c r="O463" s="11">
        <f>7.5093 * CHOOSE(CONTROL!$C$32, $C$9, 100%, $E$9)</f>
        <v>7.5092999999999996</v>
      </c>
    </row>
    <row r="464" spans="1:15" ht="15" x14ac:dyDescent="0.2">
      <c r="A464" s="13">
        <v>54970</v>
      </c>
      <c r="B464" s="9">
        <f>6.6855 * CHOOSE(CONTROL!$C$32, $C$9, 100%, $E$9)</f>
        <v>6.6855000000000002</v>
      </c>
      <c r="C464" s="9">
        <f>6.6855 * CHOOSE(CONTROL!$C$32, $C$9, 100%, $E$9)</f>
        <v>6.6855000000000002</v>
      </c>
      <c r="D464" s="9">
        <f>6.6871 * CHOOSE(CONTROL!$C$32, $C$9, 100%, $E$9)</f>
        <v>6.6871</v>
      </c>
      <c r="E464" s="11">
        <f>7.6081 * CHOOSE(CONTROL!$C$32, $C$9, 100%, $E$9)</f>
        <v>7.6081000000000003</v>
      </c>
      <c r="F464" s="11">
        <f>7.6081 * CHOOSE(CONTROL!$C$32, $C$9, 100%, $E$9)</f>
        <v>7.6081000000000003</v>
      </c>
      <c r="G464" s="11">
        <f>7.6134 * CHOOSE(CONTROL!$C$32, $C$9, 100%, $E$9)</f>
        <v>7.6134000000000004</v>
      </c>
      <c r="H464" s="11">
        <f>14.1456 * CHOOSE(CONTROL!$C$32, $C$9, 100%, $E$9)</f>
        <v>14.1456</v>
      </c>
      <c r="I464" s="11">
        <f>14.1509 * CHOOSE(CONTROL!$C$32, $C$9, 100%, $E$9)</f>
        <v>14.1509</v>
      </c>
      <c r="J464" s="11">
        <f>14.1456 * CHOOSE(CONTROL!$C$32, $C$9, 100%, $E$9)</f>
        <v>14.1456</v>
      </c>
      <c r="K464" s="11">
        <f>14.1509 * CHOOSE(CONTROL!$C$32, $C$9, 100%, $E$9)</f>
        <v>14.1509</v>
      </c>
      <c r="L464" s="11">
        <f>7.6081 * CHOOSE(CONTROL!$C$32, $C$9, 100%, $E$9)</f>
        <v>7.6081000000000003</v>
      </c>
      <c r="M464" s="11">
        <f>7.6134 * CHOOSE(CONTROL!$C$32, $C$9, 100%, $E$9)</f>
        <v>7.6134000000000004</v>
      </c>
      <c r="N464" s="11">
        <f>7.6081 * CHOOSE(CONTROL!$C$32, $C$9, 100%, $E$9)</f>
        <v>7.6081000000000003</v>
      </c>
      <c r="O464" s="11">
        <f>7.6134 * CHOOSE(CONTROL!$C$32, $C$9, 100%, $E$9)</f>
        <v>7.6134000000000004</v>
      </c>
    </row>
    <row r="465" spans="1:15" ht="15" x14ac:dyDescent="0.2">
      <c r="A465" s="13">
        <v>55001</v>
      </c>
      <c r="B465" s="9">
        <f>6.6922 * CHOOSE(CONTROL!$C$32, $C$9, 100%, $E$9)</f>
        <v>6.6921999999999997</v>
      </c>
      <c r="C465" s="9">
        <f>6.6922 * CHOOSE(CONTROL!$C$32, $C$9, 100%, $E$9)</f>
        <v>6.6921999999999997</v>
      </c>
      <c r="D465" s="9">
        <f>6.6937 * CHOOSE(CONTROL!$C$32, $C$9, 100%, $E$9)</f>
        <v>6.6936999999999998</v>
      </c>
      <c r="E465" s="11">
        <f>7.4619 * CHOOSE(CONTROL!$C$32, $C$9, 100%, $E$9)</f>
        <v>7.4619</v>
      </c>
      <c r="F465" s="11">
        <f>7.4619 * CHOOSE(CONTROL!$C$32, $C$9, 100%, $E$9)</f>
        <v>7.4619</v>
      </c>
      <c r="G465" s="11">
        <f>7.4672 * CHOOSE(CONTROL!$C$32, $C$9, 100%, $E$9)</f>
        <v>7.4672000000000001</v>
      </c>
      <c r="H465" s="11">
        <f>14.1751 * CHOOSE(CONTROL!$C$32, $C$9, 100%, $E$9)</f>
        <v>14.1751</v>
      </c>
      <c r="I465" s="11">
        <f>14.1804 * CHOOSE(CONTROL!$C$32, $C$9, 100%, $E$9)</f>
        <v>14.180400000000001</v>
      </c>
      <c r="J465" s="11">
        <f>14.1751 * CHOOSE(CONTROL!$C$32, $C$9, 100%, $E$9)</f>
        <v>14.1751</v>
      </c>
      <c r="K465" s="11">
        <f>14.1804 * CHOOSE(CONTROL!$C$32, $C$9, 100%, $E$9)</f>
        <v>14.180400000000001</v>
      </c>
      <c r="L465" s="11">
        <f>7.4619 * CHOOSE(CONTROL!$C$32, $C$9, 100%, $E$9)</f>
        <v>7.4619</v>
      </c>
      <c r="M465" s="11">
        <f>7.4672 * CHOOSE(CONTROL!$C$32, $C$9, 100%, $E$9)</f>
        <v>7.4672000000000001</v>
      </c>
      <c r="N465" s="11">
        <f>7.4619 * CHOOSE(CONTROL!$C$32, $C$9, 100%, $E$9)</f>
        <v>7.4619</v>
      </c>
      <c r="O465" s="11">
        <f>7.4672 * CHOOSE(CONTROL!$C$32, $C$9, 100%, $E$9)</f>
        <v>7.4672000000000001</v>
      </c>
    </row>
    <row r="466" spans="1:15" ht="15" x14ac:dyDescent="0.2">
      <c r="A466" s="13">
        <v>55032</v>
      </c>
      <c r="B466" s="9">
        <f>6.6891 * CHOOSE(CONTROL!$C$32, $C$9, 100%, $E$9)</f>
        <v>6.6890999999999998</v>
      </c>
      <c r="C466" s="9">
        <f>6.6891 * CHOOSE(CONTROL!$C$32, $C$9, 100%, $E$9)</f>
        <v>6.6890999999999998</v>
      </c>
      <c r="D466" s="9">
        <f>6.6907 * CHOOSE(CONTROL!$C$32, $C$9, 100%, $E$9)</f>
        <v>6.6906999999999996</v>
      </c>
      <c r="E466" s="11">
        <f>7.443 * CHOOSE(CONTROL!$C$32, $C$9, 100%, $E$9)</f>
        <v>7.4429999999999996</v>
      </c>
      <c r="F466" s="11">
        <f>7.443 * CHOOSE(CONTROL!$C$32, $C$9, 100%, $E$9)</f>
        <v>7.4429999999999996</v>
      </c>
      <c r="G466" s="11">
        <f>7.4483 * CHOOSE(CONTROL!$C$32, $C$9, 100%, $E$9)</f>
        <v>7.4482999999999997</v>
      </c>
      <c r="H466" s="11">
        <f>14.2046 * CHOOSE(CONTROL!$C$32, $C$9, 100%, $E$9)</f>
        <v>14.204599999999999</v>
      </c>
      <c r="I466" s="11">
        <f>14.2099 * CHOOSE(CONTROL!$C$32, $C$9, 100%, $E$9)</f>
        <v>14.209899999999999</v>
      </c>
      <c r="J466" s="11">
        <f>14.2046 * CHOOSE(CONTROL!$C$32, $C$9, 100%, $E$9)</f>
        <v>14.204599999999999</v>
      </c>
      <c r="K466" s="11">
        <f>14.2099 * CHOOSE(CONTROL!$C$32, $C$9, 100%, $E$9)</f>
        <v>14.209899999999999</v>
      </c>
      <c r="L466" s="11">
        <f>7.443 * CHOOSE(CONTROL!$C$32, $C$9, 100%, $E$9)</f>
        <v>7.4429999999999996</v>
      </c>
      <c r="M466" s="11">
        <f>7.4483 * CHOOSE(CONTROL!$C$32, $C$9, 100%, $E$9)</f>
        <v>7.4482999999999997</v>
      </c>
      <c r="N466" s="11">
        <f>7.443 * CHOOSE(CONTROL!$C$32, $C$9, 100%, $E$9)</f>
        <v>7.4429999999999996</v>
      </c>
      <c r="O466" s="11">
        <f>7.4483 * CHOOSE(CONTROL!$C$32, $C$9, 100%, $E$9)</f>
        <v>7.4482999999999997</v>
      </c>
    </row>
    <row r="467" spans="1:15" ht="15" x14ac:dyDescent="0.2">
      <c r="A467" s="13">
        <v>55062</v>
      </c>
      <c r="B467" s="9">
        <f>6.6942 * CHOOSE(CONTROL!$C$32, $C$9, 100%, $E$9)</f>
        <v>6.6942000000000004</v>
      </c>
      <c r="C467" s="9">
        <f>6.6942 * CHOOSE(CONTROL!$C$32, $C$9, 100%, $E$9)</f>
        <v>6.6942000000000004</v>
      </c>
      <c r="D467" s="9">
        <f>6.6953 * CHOOSE(CONTROL!$C$32, $C$9, 100%, $E$9)</f>
        <v>6.6952999999999996</v>
      </c>
      <c r="E467" s="11">
        <f>7.4966 * CHOOSE(CONTROL!$C$32, $C$9, 100%, $E$9)</f>
        <v>7.4965999999999999</v>
      </c>
      <c r="F467" s="11">
        <f>7.4966 * CHOOSE(CONTROL!$C$32, $C$9, 100%, $E$9)</f>
        <v>7.4965999999999999</v>
      </c>
      <c r="G467" s="11">
        <f>7.5002 * CHOOSE(CONTROL!$C$32, $C$9, 100%, $E$9)</f>
        <v>7.5002000000000004</v>
      </c>
      <c r="H467" s="11">
        <f>14.2342 * CHOOSE(CONTROL!$C$32, $C$9, 100%, $E$9)</f>
        <v>14.2342</v>
      </c>
      <c r="I467" s="11">
        <f>14.2378 * CHOOSE(CONTROL!$C$32, $C$9, 100%, $E$9)</f>
        <v>14.2378</v>
      </c>
      <c r="J467" s="11">
        <f>14.2342 * CHOOSE(CONTROL!$C$32, $C$9, 100%, $E$9)</f>
        <v>14.2342</v>
      </c>
      <c r="K467" s="11">
        <f>14.2378 * CHOOSE(CONTROL!$C$32, $C$9, 100%, $E$9)</f>
        <v>14.2378</v>
      </c>
      <c r="L467" s="11">
        <f>7.4966 * CHOOSE(CONTROL!$C$32, $C$9, 100%, $E$9)</f>
        <v>7.4965999999999999</v>
      </c>
      <c r="M467" s="11">
        <f>7.5002 * CHOOSE(CONTROL!$C$32, $C$9, 100%, $E$9)</f>
        <v>7.5002000000000004</v>
      </c>
      <c r="N467" s="11">
        <f>7.4966 * CHOOSE(CONTROL!$C$32, $C$9, 100%, $E$9)</f>
        <v>7.4965999999999999</v>
      </c>
      <c r="O467" s="11">
        <f>7.5002 * CHOOSE(CONTROL!$C$32, $C$9, 100%, $E$9)</f>
        <v>7.5002000000000004</v>
      </c>
    </row>
    <row r="468" spans="1:15" ht="15" x14ac:dyDescent="0.2">
      <c r="A468" s="13">
        <v>55093</v>
      </c>
      <c r="B468" s="9">
        <f>6.6972 * CHOOSE(CONTROL!$C$32, $C$9, 100%, $E$9)</f>
        <v>6.6971999999999996</v>
      </c>
      <c r="C468" s="9">
        <f>6.6972 * CHOOSE(CONTROL!$C$32, $C$9, 100%, $E$9)</f>
        <v>6.6971999999999996</v>
      </c>
      <c r="D468" s="9">
        <f>6.6983 * CHOOSE(CONTROL!$C$32, $C$9, 100%, $E$9)</f>
        <v>6.6982999999999997</v>
      </c>
      <c r="E468" s="11">
        <f>7.5323 * CHOOSE(CONTROL!$C$32, $C$9, 100%, $E$9)</f>
        <v>7.5323000000000002</v>
      </c>
      <c r="F468" s="11">
        <f>7.5323 * CHOOSE(CONTROL!$C$32, $C$9, 100%, $E$9)</f>
        <v>7.5323000000000002</v>
      </c>
      <c r="G468" s="11">
        <f>7.5359 * CHOOSE(CONTROL!$C$32, $C$9, 100%, $E$9)</f>
        <v>7.5358999999999998</v>
      </c>
      <c r="H468" s="11">
        <f>14.2639 * CHOOSE(CONTROL!$C$32, $C$9, 100%, $E$9)</f>
        <v>14.2639</v>
      </c>
      <c r="I468" s="11">
        <f>14.2675 * CHOOSE(CONTROL!$C$32, $C$9, 100%, $E$9)</f>
        <v>14.2675</v>
      </c>
      <c r="J468" s="11">
        <f>14.2639 * CHOOSE(CONTROL!$C$32, $C$9, 100%, $E$9)</f>
        <v>14.2639</v>
      </c>
      <c r="K468" s="11">
        <f>14.2675 * CHOOSE(CONTROL!$C$32, $C$9, 100%, $E$9)</f>
        <v>14.2675</v>
      </c>
      <c r="L468" s="11">
        <f>7.5323 * CHOOSE(CONTROL!$C$32, $C$9, 100%, $E$9)</f>
        <v>7.5323000000000002</v>
      </c>
      <c r="M468" s="11">
        <f>7.5359 * CHOOSE(CONTROL!$C$32, $C$9, 100%, $E$9)</f>
        <v>7.5358999999999998</v>
      </c>
      <c r="N468" s="11">
        <f>7.5323 * CHOOSE(CONTROL!$C$32, $C$9, 100%, $E$9)</f>
        <v>7.5323000000000002</v>
      </c>
      <c r="O468" s="11">
        <f>7.5359 * CHOOSE(CONTROL!$C$32, $C$9, 100%, $E$9)</f>
        <v>7.5358999999999998</v>
      </c>
    </row>
    <row r="469" spans="1:15" ht="15" x14ac:dyDescent="0.2">
      <c r="A469" s="13">
        <v>55123</v>
      </c>
      <c r="B469" s="9">
        <f>6.6972 * CHOOSE(CONTROL!$C$32, $C$9, 100%, $E$9)</f>
        <v>6.6971999999999996</v>
      </c>
      <c r="C469" s="9">
        <f>6.6972 * CHOOSE(CONTROL!$C$32, $C$9, 100%, $E$9)</f>
        <v>6.6971999999999996</v>
      </c>
      <c r="D469" s="9">
        <f>6.6983 * CHOOSE(CONTROL!$C$32, $C$9, 100%, $E$9)</f>
        <v>6.6982999999999997</v>
      </c>
      <c r="E469" s="11">
        <f>7.4485 * CHOOSE(CONTROL!$C$32, $C$9, 100%, $E$9)</f>
        <v>7.4485000000000001</v>
      </c>
      <c r="F469" s="11">
        <f>7.4485 * CHOOSE(CONTROL!$C$32, $C$9, 100%, $E$9)</f>
        <v>7.4485000000000001</v>
      </c>
      <c r="G469" s="11">
        <f>7.4521 * CHOOSE(CONTROL!$C$32, $C$9, 100%, $E$9)</f>
        <v>7.4520999999999997</v>
      </c>
      <c r="H469" s="11">
        <f>14.2936 * CHOOSE(CONTROL!$C$32, $C$9, 100%, $E$9)</f>
        <v>14.2936</v>
      </c>
      <c r="I469" s="11">
        <f>14.2972 * CHOOSE(CONTROL!$C$32, $C$9, 100%, $E$9)</f>
        <v>14.2972</v>
      </c>
      <c r="J469" s="11">
        <f>14.2936 * CHOOSE(CONTROL!$C$32, $C$9, 100%, $E$9)</f>
        <v>14.2936</v>
      </c>
      <c r="K469" s="11">
        <f>14.2972 * CHOOSE(CONTROL!$C$32, $C$9, 100%, $E$9)</f>
        <v>14.2972</v>
      </c>
      <c r="L469" s="11">
        <f>7.4485 * CHOOSE(CONTROL!$C$32, $C$9, 100%, $E$9)</f>
        <v>7.4485000000000001</v>
      </c>
      <c r="M469" s="11">
        <f>7.4521 * CHOOSE(CONTROL!$C$32, $C$9, 100%, $E$9)</f>
        <v>7.4520999999999997</v>
      </c>
      <c r="N469" s="11">
        <f>7.4485 * CHOOSE(CONTROL!$C$32, $C$9, 100%, $E$9)</f>
        <v>7.4485000000000001</v>
      </c>
      <c r="O469" s="11">
        <f>7.4521 * CHOOSE(CONTROL!$C$32, $C$9, 100%, $E$9)</f>
        <v>7.4520999999999997</v>
      </c>
    </row>
    <row r="470" spans="1:15" ht="15" x14ac:dyDescent="0.2">
      <c r="A470" s="13">
        <v>55154</v>
      </c>
      <c r="B470" s="9">
        <f>6.7479 * CHOOSE(CONTROL!$C$32, $C$9, 100%, $E$9)</f>
        <v>6.7478999999999996</v>
      </c>
      <c r="C470" s="9">
        <f>6.7479 * CHOOSE(CONTROL!$C$32, $C$9, 100%, $E$9)</f>
        <v>6.7478999999999996</v>
      </c>
      <c r="D470" s="9">
        <f>6.749 * CHOOSE(CONTROL!$C$32, $C$9, 100%, $E$9)</f>
        <v>6.7489999999999997</v>
      </c>
      <c r="E470" s="11">
        <f>7.571 * CHOOSE(CONTROL!$C$32, $C$9, 100%, $E$9)</f>
        <v>7.5709999999999997</v>
      </c>
      <c r="F470" s="11">
        <f>7.571 * CHOOSE(CONTROL!$C$32, $C$9, 100%, $E$9)</f>
        <v>7.5709999999999997</v>
      </c>
      <c r="G470" s="11">
        <f>7.5746 * CHOOSE(CONTROL!$C$32, $C$9, 100%, $E$9)</f>
        <v>7.5746000000000002</v>
      </c>
      <c r="H470" s="11">
        <f>14.3234 * CHOOSE(CONTROL!$C$32, $C$9, 100%, $E$9)</f>
        <v>14.323399999999999</v>
      </c>
      <c r="I470" s="11">
        <f>14.327 * CHOOSE(CONTROL!$C$32, $C$9, 100%, $E$9)</f>
        <v>14.327</v>
      </c>
      <c r="J470" s="11">
        <f>14.3234 * CHOOSE(CONTROL!$C$32, $C$9, 100%, $E$9)</f>
        <v>14.323399999999999</v>
      </c>
      <c r="K470" s="11">
        <f>14.327 * CHOOSE(CONTROL!$C$32, $C$9, 100%, $E$9)</f>
        <v>14.327</v>
      </c>
      <c r="L470" s="11">
        <f>7.571 * CHOOSE(CONTROL!$C$32, $C$9, 100%, $E$9)</f>
        <v>7.5709999999999997</v>
      </c>
      <c r="M470" s="11">
        <f>7.5746 * CHOOSE(CONTROL!$C$32, $C$9, 100%, $E$9)</f>
        <v>7.5746000000000002</v>
      </c>
      <c r="N470" s="11">
        <f>7.571 * CHOOSE(CONTROL!$C$32, $C$9, 100%, $E$9)</f>
        <v>7.5709999999999997</v>
      </c>
      <c r="O470" s="11">
        <f>7.5746 * CHOOSE(CONTROL!$C$32, $C$9, 100%, $E$9)</f>
        <v>7.5746000000000002</v>
      </c>
    </row>
    <row r="471" spans="1:15" ht="15" x14ac:dyDescent="0.2">
      <c r="A471" s="13">
        <v>55185</v>
      </c>
      <c r="B471" s="9">
        <f>6.7449 * CHOOSE(CONTROL!$C$32, $C$9, 100%, $E$9)</f>
        <v>6.7449000000000003</v>
      </c>
      <c r="C471" s="9">
        <f>6.7449 * CHOOSE(CONTROL!$C$32, $C$9, 100%, $E$9)</f>
        <v>6.7449000000000003</v>
      </c>
      <c r="D471" s="9">
        <f>6.746 * CHOOSE(CONTROL!$C$32, $C$9, 100%, $E$9)</f>
        <v>6.7460000000000004</v>
      </c>
      <c r="E471" s="11">
        <f>7.4053 * CHOOSE(CONTROL!$C$32, $C$9, 100%, $E$9)</f>
        <v>7.4053000000000004</v>
      </c>
      <c r="F471" s="11">
        <f>7.4053 * CHOOSE(CONTROL!$C$32, $C$9, 100%, $E$9)</f>
        <v>7.4053000000000004</v>
      </c>
      <c r="G471" s="11">
        <f>7.409 * CHOOSE(CONTROL!$C$32, $C$9, 100%, $E$9)</f>
        <v>7.4089999999999998</v>
      </c>
      <c r="H471" s="11">
        <f>14.3532 * CHOOSE(CONTROL!$C$32, $C$9, 100%, $E$9)</f>
        <v>14.353199999999999</v>
      </c>
      <c r="I471" s="11">
        <f>14.3568 * CHOOSE(CONTROL!$C$32, $C$9, 100%, $E$9)</f>
        <v>14.3568</v>
      </c>
      <c r="J471" s="11">
        <f>14.3532 * CHOOSE(CONTROL!$C$32, $C$9, 100%, $E$9)</f>
        <v>14.353199999999999</v>
      </c>
      <c r="K471" s="11">
        <f>14.3568 * CHOOSE(CONTROL!$C$32, $C$9, 100%, $E$9)</f>
        <v>14.3568</v>
      </c>
      <c r="L471" s="11">
        <f>7.4053 * CHOOSE(CONTROL!$C$32, $C$9, 100%, $E$9)</f>
        <v>7.4053000000000004</v>
      </c>
      <c r="M471" s="11">
        <f>7.409 * CHOOSE(CONTROL!$C$32, $C$9, 100%, $E$9)</f>
        <v>7.4089999999999998</v>
      </c>
      <c r="N471" s="11">
        <f>7.4053 * CHOOSE(CONTROL!$C$32, $C$9, 100%, $E$9)</f>
        <v>7.4053000000000004</v>
      </c>
      <c r="O471" s="11">
        <f>7.409 * CHOOSE(CONTROL!$C$32, $C$9, 100%, $E$9)</f>
        <v>7.4089999999999998</v>
      </c>
    </row>
    <row r="472" spans="1:15" ht="15" x14ac:dyDescent="0.2">
      <c r="A472" s="13">
        <v>55213</v>
      </c>
      <c r="B472" s="9">
        <f>6.7418 * CHOOSE(CONTROL!$C$32, $C$9, 100%, $E$9)</f>
        <v>6.7417999999999996</v>
      </c>
      <c r="C472" s="9">
        <f>6.7418 * CHOOSE(CONTROL!$C$32, $C$9, 100%, $E$9)</f>
        <v>6.7417999999999996</v>
      </c>
      <c r="D472" s="9">
        <f>6.7429 * CHOOSE(CONTROL!$C$32, $C$9, 100%, $E$9)</f>
        <v>6.7428999999999997</v>
      </c>
      <c r="E472" s="11">
        <f>7.5321 * CHOOSE(CONTROL!$C$32, $C$9, 100%, $E$9)</f>
        <v>7.5320999999999998</v>
      </c>
      <c r="F472" s="11">
        <f>7.5321 * CHOOSE(CONTROL!$C$32, $C$9, 100%, $E$9)</f>
        <v>7.5320999999999998</v>
      </c>
      <c r="G472" s="11">
        <f>7.5357 * CHOOSE(CONTROL!$C$32, $C$9, 100%, $E$9)</f>
        <v>7.5357000000000003</v>
      </c>
      <c r="H472" s="11">
        <f>14.3831 * CHOOSE(CONTROL!$C$32, $C$9, 100%, $E$9)</f>
        <v>14.383100000000001</v>
      </c>
      <c r="I472" s="11">
        <f>14.3867 * CHOOSE(CONTROL!$C$32, $C$9, 100%, $E$9)</f>
        <v>14.386699999999999</v>
      </c>
      <c r="J472" s="11">
        <f>14.3831 * CHOOSE(CONTROL!$C$32, $C$9, 100%, $E$9)</f>
        <v>14.383100000000001</v>
      </c>
      <c r="K472" s="11">
        <f>14.3867 * CHOOSE(CONTROL!$C$32, $C$9, 100%, $E$9)</f>
        <v>14.386699999999999</v>
      </c>
      <c r="L472" s="11">
        <f>7.5321 * CHOOSE(CONTROL!$C$32, $C$9, 100%, $E$9)</f>
        <v>7.5320999999999998</v>
      </c>
      <c r="M472" s="11">
        <f>7.5357 * CHOOSE(CONTROL!$C$32, $C$9, 100%, $E$9)</f>
        <v>7.5357000000000003</v>
      </c>
      <c r="N472" s="11">
        <f>7.5321 * CHOOSE(CONTROL!$C$32, $C$9, 100%, $E$9)</f>
        <v>7.5320999999999998</v>
      </c>
      <c r="O472" s="11">
        <f>7.5357 * CHOOSE(CONTROL!$C$32, $C$9, 100%, $E$9)</f>
        <v>7.5357000000000003</v>
      </c>
    </row>
    <row r="473" spans="1:15" ht="15" x14ac:dyDescent="0.2">
      <c r="A473" s="13">
        <v>55244</v>
      </c>
      <c r="B473" s="9">
        <f>6.7421 * CHOOSE(CONTROL!$C$32, $C$9, 100%, $E$9)</f>
        <v>6.7420999999999998</v>
      </c>
      <c r="C473" s="9">
        <f>6.7421 * CHOOSE(CONTROL!$C$32, $C$9, 100%, $E$9)</f>
        <v>6.7420999999999998</v>
      </c>
      <c r="D473" s="9">
        <f>6.7432 * CHOOSE(CONTROL!$C$32, $C$9, 100%, $E$9)</f>
        <v>6.7431999999999999</v>
      </c>
      <c r="E473" s="11">
        <f>7.6663 * CHOOSE(CONTROL!$C$32, $C$9, 100%, $E$9)</f>
        <v>7.6662999999999997</v>
      </c>
      <c r="F473" s="11">
        <f>7.6663 * CHOOSE(CONTROL!$C$32, $C$9, 100%, $E$9)</f>
        <v>7.6662999999999997</v>
      </c>
      <c r="G473" s="11">
        <f>7.6699 * CHOOSE(CONTROL!$C$32, $C$9, 100%, $E$9)</f>
        <v>7.6699000000000002</v>
      </c>
      <c r="H473" s="11">
        <f>14.4131 * CHOOSE(CONTROL!$C$32, $C$9, 100%, $E$9)</f>
        <v>14.4131</v>
      </c>
      <c r="I473" s="11">
        <f>14.4167 * CHOOSE(CONTROL!$C$32, $C$9, 100%, $E$9)</f>
        <v>14.416700000000001</v>
      </c>
      <c r="J473" s="11">
        <f>14.4131 * CHOOSE(CONTROL!$C$32, $C$9, 100%, $E$9)</f>
        <v>14.4131</v>
      </c>
      <c r="K473" s="11">
        <f>14.4167 * CHOOSE(CONTROL!$C$32, $C$9, 100%, $E$9)</f>
        <v>14.416700000000001</v>
      </c>
      <c r="L473" s="11">
        <f>7.6663 * CHOOSE(CONTROL!$C$32, $C$9, 100%, $E$9)</f>
        <v>7.6662999999999997</v>
      </c>
      <c r="M473" s="11">
        <f>7.6699 * CHOOSE(CONTROL!$C$32, $C$9, 100%, $E$9)</f>
        <v>7.6699000000000002</v>
      </c>
      <c r="N473" s="11">
        <f>7.6663 * CHOOSE(CONTROL!$C$32, $C$9, 100%, $E$9)</f>
        <v>7.6662999999999997</v>
      </c>
      <c r="O473" s="11">
        <f>7.6699 * CHOOSE(CONTROL!$C$32, $C$9, 100%, $E$9)</f>
        <v>7.6699000000000002</v>
      </c>
    </row>
    <row r="474" spans="1:15" ht="15" x14ac:dyDescent="0.2">
      <c r="A474" s="13">
        <v>55274</v>
      </c>
      <c r="B474" s="9">
        <f>6.7421 * CHOOSE(CONTROL!$C$32, $C$9, 100%, $E$9)</f>
        <v>6.7420999999999998</v>
      </c>
      <c r="C474" s="9">
        <f>6.7421 * CHOOSE(CONTROL!$C$32, $C$9, 100%, $E$9)</f>
        <v>6.7420999999999998</v>
      </c>
      <c r="D474" s="9">
        <f>6.7437 * CHOOSE(CONTROL!$C$32, $C$9, 100%, $E$9)</f>
        <v>6.7436999999999996</v>
      </c>
      <c r="E474" s="11">
        <f>7.7182 * CHOOSE(CONTROL!$C$32, $C$9, 100%, $E$9)</f>
        <v>7.7182000000000004</v>
      </c>
      <c r="F474" s="11">
        <f>7.7182 * CHOOSE(CONTROL!$C$32, $C$9, 100%, $E$9)</f>
        <v>7.7182000000000004</v>
      </c>
      <c r="G474" s="11">
        <f>7.7235 * CHOOSE(CONTROL!$C$32, $C$9, 100%, $E$9)</f>
        <v>7.7234999999999996</v>
      </c>
      <c r="H474" s="11">
        <f>14.4431 * CHOOSE(CONTROL!$C$32, $C$9, 100%, $E$9)</f>
        <v>14.443099999999999</v>
      </c>
      <c r="I474" s="11">
        <f>14.4484 * CHOOSE(CONTROL!$C$32, $C$9, 100%, $E$9)</f>
        <v>14.448399999999999</v>
      </c>
      <c r="J474" s="11">
        <f>14.4431 * CHOOSE(CONTROL!$C$32, $C$9, 100%, $E$9)</f>
        <v>14.443099999999999</v>
      </c>
      <c r="K474" s="11">
        <f>14.4484 * CHOOSE(CONTROL!$C$32, $C$9, 100%, $E$9)</f>
        <v>14.448399999999999</v>
      </c>
      <c r="L474" s="11">
        <f>7.7182 * CHOOSE(CONTROL!$C$32, $C$9, 100%, $E$9)</f>
        <v>7.7182000000000004</v>
      </c>
      <c r="M474" s="11">
        <f>7.7235 * CHOOSE(CONTROL!$C$32, $C$9, 100%, $E$9)</f>
        <v>7.7234999999999996</v>
      </c>
      <c r="N474" s="11">
        <f>7.7182 * CHOOSE(CONTROL!$C$32, $C$9, 100%, $E$9)</f>
        <v>7.7182000000000004</v>
      </c>
      <c r="O474" s="11">
        <f>7.7235 * CHOOSE(CONTROL!$C$32, $C$9, 100%, $E$9)</f>
        <v>7.7234999999999996</v>
      </c>
    </row>
    <row r="475" spans="1:15" ht="15" x14ac:dyDescent="0.2">
      <c r="A475" s="13">
        <v>55305</v>
      </c>
      <c r="B475" s="9">
        <f>6.7482 * CHOOSE(CONTROL!$C$32, $C$9, 100%, $E$9)</f>
        <v>6.7481999999999998</v>
      </c>
      <c r="C475" s="9">
        <f>6.7482 * CHOOSE(CONTROL!$C$32, $C$9, 100%, $E$9)</f>
        <v>6.7481999999999998</v>
      </c>
      <c r="D475" s="9">
        <f>6.7498 * CHOOSE(CONTROL!$C$32, $C$9, 100%, $E$9)</f>
        <v>6.7497999999999996</v>
      </c>
      <c r="E475" s="11">
        <f>7.6706 * CHOOSE(CONTROL!$C$32, $C$9, 100%, $E$9)</f>
        <v>7.6706000000000003</v>
      </c>
      <c r="F475" s="11">
        <f>7.6706 * CHOOSE(CONTROL!$C$32, $C$9, 100%, $E$9)</f>
        <v>7.6706000000000003</v>
      </c>
      <c r="G475" s="11">
        <f>7.6759 * CHOOSE(CONTROL!$C$32, $C$9, 100%, $E$9)</f>
        <v>7.6759000000000004</v>
      </c>
      <c r="H475" s="11">
        <f>14.4732 * CHOOSE(CONTROL!$C$32, $C$9, 100%, $E$9)</f>
        <v>14.4732</v>
      </c>
      <c r="I475" s="11">
        <f>14.4785 * CHOOSE(CONTROL!$C$32, $C$9, 100%, $E$9)</f>
        <v>14.4785</v>
      </c>
      <c r="J475" s="11">
        <f>14.4732 * CHOOSE(CONTROL!$C$32, $C$9, 100%, $E$9)</f>
        <v>14.4732</v>
      </c>
      <c r="K475" s="11">
        <f>14.4785 * CHOOSE(CONTROL!$C$32, $C$9, 100%, $E$9)</f>
        <v>14.4785</v>
      </c>
      <c r="L475" s="11">
        <f>7.6706 * CHOOSE(CONTROL!$C$32, $C$9, 100%, $E$9)</f>
        <v>7.6706000000000003</v>
      </c>
      <c r="M475" s="11">
        <f>7.6759 * CHOOSE(CONTROL!$C$32, $C$9, 100%, $E$9)</f>
        <v>7.6759000000000004</v>
      </c>
      <c r="N475" s="11">
        <f>7.6706 * CHOOSE(CONTROL!$C$32, $C$9, 100%, $E$9)</f>
        <v>7.6706000000000003</v>
      </c>
      <c r="O475" s="11">
        <f>7.6759 * CHOOSE(CONTROL!$C$32, $C$9, 100%, $E$9)</f>
        <v>7.6759000000000004</v>
      </c>
    </row>
    <row r="476" spans="1:15" ht="15" x14ac:dyDescent="0.2">
      <c r="A476" s="13">
        <v>55335</v>
      </c>
      <c r="B476" s="9">
        <f>6.8369 * CHOOSE(CONTROL!$C$32, $C$9, 100%, $E$9)</f>
        <v>6.8369</v>
      </c>
      <c r="C476" s="9">
        <f>6.8369 * CHOOSE(CONTROL!$C$32, $C$9, 100%, $E$9)</f>
        <v>6.8369</v>
      </c>
      <c r="D476" s="9">
        <f>6.8385 * CHOOSE(CONTROL!$C$32, $C$9, 100%, $E$9)</f>
        <v>6.8384999999999998</v>
      </c>
      <c r="E476" s="11">
        <f>7.7751 * CHOOSE(CONTROL!$C$32, $C$9, 100%, $E$9)</f>
        <v>7.7751000000000001</v>
      </c>
      <c r="F476" s="11">
        <f>7.7751 * CHOOSE(CONTROL!$C$32, $C$9, 100%, $E$9)</f>
        <v>7.7751000000000001</v>
      </c>
      <c r="G476" s="11">
        <f>7.7804 * CHOOSE(CONTROL!$C$32, $C$9, 100%, $E$9)</f>
        <v>7.7804000000000002</v>
      </c>
      <c r="H476" s="11">
        <f>14.5033 * CHOOSE(CONTROL!$C$32, $C$9, 100%, $E$9)</f>
        <v>14.503299999999999</v>
      </c>
      <c r="I476" s="11">
        <f>14.5086 * CHOOSE(CONTROL!$C$32, $C$9, 100%, $E$9)</f>
        <v>14.508599999999999</v>
      </c>
      <c r="J476" s="11">
        <f>14.5033 * CHOOSE(CONTROL!$C$32, $C$9, 100%, $E$9)</f>
        <v>14.503299999999999</v>
      </c>
      <c r="K476" s="11">
        <f>14.5086 * CHOOSE(CONTROL!$C$32, $C$9, 100%, $E$9)</f>
        <v>14.508599999999999</v>
      </c>
      <c r="L476" s="11">
        <f>7.7751 * CHOOSE(CONTROL!$C$32, $C$9, 100%, $E$9)</f>
        <v>7.7751000000000001</v>
      </c>
      <c r="M476" s="11">
        <f>7.7804 * CHOOSE(CONTROL!$C$32, $C$9, 100%, $E$9)</f>
        <v>7.7804000000000002</v>
      </c>
      <c r="N476" s="11">
        <f>7.7751 * CHOOSE(CONTROL!$C$32, $C$9, 100%, $E$9)</f>
        <v>7.7751000000000001</v>
      </c>
      <c r="O476" s="11">
        <f>7.7804 * CHOOSE(CONTROL!$C$32, $C$9, 100%, $E$9)</f>
        <v>7.7804000000000002</v>
      </c>
    </row>
    <row r="477" spans="1:15" ht="15" x14ac:dyDescent="0.2">
      <c r="A477" s="13">
        <v>55366</v>
      </c>
      <c r="B477" s="9">
        <f>6.8436 * CHOOSE(CONTROL!$C$32, $C$9, 100%, $E$9)</f>
        <v>6.8436000000000003</v>
      </c>
      <c r="C477" s="9">
        <f>6.8436 * CHOOSE(CONTROL!$C$32, $C$9, 100%, $E$9)</f>
        <v>6.8436000000000003</v>
      </c>
      <c r="D477" s="9">
        <f>6.8452 * CHOOSE(CONTROL!$C$32, $C$9, 100%, $E$9)</f>
        <v>6.8452000000000002</v>
      </c>
      <c r="E477" s="11">
        <f>7.6241 * CHOOSE(CONTROL!$C$32, $C$9, 100%, $E$9)</f>
        <v>7.6241000000000003</v>
      </c>
      <c r="F477" s="11">
        <f>7.6241 * CHOOSE(CONTROL!$C$32, $C$9, 100%, $E$9)</f>
        <v>7.6241000000000003</v>
      </c>
      <c r="G477" s="11">
        <f>7.6294 * CHOOSE(CONTROL!$C$32, $C$9, 100%, $E$9)</f>
        <v>7.6294000000000004</v>
      </c>
      <c r="H477" s="11">
        <f>14.5336 * CHOOSE(CONTROL!$C$32, $C$9, 100%, $E$9)</f>
        <v>14.5336</v>
      </c>
      <c r="I477" s="11">
        <f>14.5388 * CHOOSE(CONTROL!$C$32, $C$9, 100%, $E$9)</f>
        <v>14.5388</v>
      </c>
      <c r="J477" s="11">
        <f>14.5336 * CHOOSE(CONTROL!$C$32, $C$9, 100%, $E$9)</f>
        <v>14.5336</v>
      </c>
      <c r="K477" s="11">
        <f>14.5388 * CHOOSE(CONTROL!$C$32, $C$9, 100%, $E$9)</f>
        <v>14.5388</v>
      </c>
      <c r="L477" s="11">
        <f>7.6241 * CHOOSE(CONTROL!$C$32, $C$9, 100%, $E$9)</f>
        <v>7.6241000000000003</v>
      </c>
      <c r="M477" s="11">
        <f>7.6294 * CHOOSE(CONTROL!$C$32, $C$9, 100%, $E$9)</f>
        <v>7.6294000000000004</v>
      </c>
      <c r="N477" s="11">
        <f>7.6241 * CHOOSE(CONTROL!$C$32, $C$9, 100%, $E$9)</f>
        <v>7.6241000000000003</v>
      </c>
      <c r="O477" s="11">
        <f>7.6294 * CHOOSE(CONTROL!$C$32, $C$9, 100%, $E$9)</f>
        <v>7.6294000000000004</v>
      </c>
    </row>
    <row r="478" spans="1:15" ht="15" x14ac:dyDescent="0.2">
      <c r="A478" s="13">
        <v>55397</v>
      </c>
      <c r="B478" s="9">
        <f>6.8406 * CHOOSE(CONTROL!$C$32, $C$9, 100%, $E$9)</f>
        <v>6.8406000000000002</v>
      </c>
      <c r="C478" s="9">
        <f>6.8406 * CHOOSE(CONTROL!$C$32, $C$9, 100%, $E$9)</f>
        <v>6.8406000000000002</v>
      </c>
      <c r="D478" s="9">
        <f>6.8422 * CHOOSE(CONTROL!$C$32, $C$9, 100%, $E$9)</f>
        <v>6.8422000000000001</v>
      </c>
      <c r="E478" s="11">
        <f>7.6046 * CHOOSE(CONTROL!$C$32, $C$9, 100%, $E$9)</f>
        <v>7.6045999999999996</v>
      </c>
      <c r="F478" s="11">
        <f>7.6046 * CHOOSE(CONTROL!$C$32, $C$9, 100%, $E$9)</f>
        <v>7.6045999999999996</v>
      </c>
      <c r="G478" s="11">
        <f>7.6099 * CHOOSE(CONTROL!$C$32, $C$9, 100%, $E$9)</f>
        <v>7.6098999999999997</v>
      </c>
      <c r="H478" s="11">
        <f>14.5638 * CHOOSE(CONTROL!$C$32, $C$9, 100%, $E$9)</f>
        <v>14.563800000000001</v>
      </c>
      <c r="I478" s="11">
        <f>14.5691 * CHOOSE(CONTROL!$C$32, $C$9, 100%, $E$9)</f>
        <v>14.569100000000001</v>
      </c>
      <c r="J478" s="11">
        <f>14.5638 * CHOOSE(CONTROL!$C$32, $C$9, 100%, $E$9)</f>
        <v>14.563800000000001</v>
      </c>
      <c r="K478" s="11">
        <f>14.5691 * CHOOSE(CONTROL!$C$32, $C$9, 100%, $E$9)</f>
        <v>14.569100000000001</v>
      </c>
      <c r="L478" s="11">
        <f>7.6046 * CHOOSE(CONTROL!$C$32, $C$9, 100%, $E$9)</f>
        <v>7.6045999999999996</v>
      </c>
      <c r="M478" s="11">
        <f>7.6099 * CHOOSE(CONTROL!$C$32, $C$9, 100%, $E$9)</f>
        <v>7.6098999999999997</v>
      </c>
      <c r="N478" s="11">
        <f>7.6046 * CHOOSE(CONTROL!$C$32, $C$9, 100%, $E$9)</f>
        <v>7.6045999999999996</v>
      </c>
      <c r="O478" s="11">
        <f>7.6099 * CHOOSE(CONTROL!$C$32, $C$9, 100%, $E$9)</f>
        <v>7.6098999999999997</v>
      </c>
    </row>
    <row r="479" spans="1:15" ht="15" x14ac:dyDescent="0.2">
      <c r="A479" s="13">
        <v>55427</v>
      </c>
      <c r="B479" s="9">
        <f>6.8462 * CHOOSE(CONTROL!$C$32, $C$9, 100%, $E$9)</f>
        <v>6.8461999999999996</v>
      </c>
      <c r="C479" s="9">
        <f>6.8462 * CHOOSE(CONTROL!$C$32, $C$9, 100%, $E$9)</f>
        <v>6.8461999999999996</v>
      </c>
      <c r="D479" s="9">
        <f>6.8473 * CHOOSE(CONTROL!$C$32, $C$9, 100%, $E$9)</f>
        <v>6.8472999999999997</v>
      </c>
      <c r="E479" s="11">
        <f>7.6604 * CHOOSE(CONTROL!$C$32, $C$9, 100%, $E$9)</f>
        <v>7.6604000000000001</v>
      </c>
      <c r="F479" s="11">
        <f>7.6604 * CHOOSE(CONTROL!$C$32, $C$9, 100%, $E$9)</f>
        <v>7.6604000000000001</v>
      </c>
      <c r="G479" s="11">
        <f>7.6641 * CHOOSE(CONTROL!$C$32, $C$9, 100%, $E$9)</f>
        <v>7.6641000000000004</v>
      </c>
      <c r="H479" s="11">
        <f>14.5942 * CHOOSE(CONTROL!$C$32, $C$9, 100%, $E$9)</f>
        <v>14.594200000000001</v>
      </c>
      <c r="I479" s="11">
        <f>14.5978 * CHOOSE(CONTROL!$C$32, $C$9, 100%, $E$9)</f>
        <v>14.597799999999999</v>
      </c>
      <c r="J479" s="11">
        <f>14.5942 * CHOOSE(CONTROL!$C$32, $C$9, 100%, $E$9)</f>
        <v>14.594200000000001</v>
      </c>
      <c r="K479" s="11">
        <f>14.5978 * CHOOSE(CONTROL!$C$32, $C$9, 100%, $E$9)</f>
        <v>14.597799999999999</v>
      </c>
      <c r="L479" s="11">
        <f>7.6604 * CHOOSE(CONTROL!$C$32, $C$9, 100%, $E$9)</f>
        <v>7.6604000000000001</v>
      </c>
      <c r="M479" s="11">
        <f>7.6641 * CHOOSE(CONTROL!$C$32, $C$9, 100%, $E$9)</f>
        <v>7.6641000000000004</v>
      </c>
      <c r="N479" s="11">
        <f>7.6604 * CHOOSE(CONTROL!$C$32, $C$9, 100%, $E$9)</f>
        <v>7.6604000000000001</v>
      </c>
      <c r="O479" s="11">
        <f>7.6641 * CHOOSE(CONTROL!$C$32, $C$9, 100%, $E$9)</f>
        <v>7.6641000000000004</v>
      </c>
    </row>
    <row r="480" spans="1:15" ht="15" x14ac:dyDescent="0.2">
      <c r="A480" s="13">
        <v>55458</v>
      </c>
      <c r="B480" s="9">
        <f>6.8492 * CHOOSE(CONTROL!$C$32, $C$9, 100%, $E$9)</f>
        <v>6.8491999999999997</v>
      </c>
      <c r="C480" s="9">
        <f>6.8492 * CHOOSE(CONTROL!$C$32, $C$9, 100%, $E$9)</f>
        <v>6.8491999999999997</v>
      </c>
      <c r="D480" s="9">
        <f>6.8503 * CHOOSE(CONTROL!$C$32, $C$9, 100%, $E$9)</f>
        <v>6.8502999999999998</v>
      </c>
      <c r="E480" s="11">
        <f>7.6972 * CHOOSE(CONTROL!$C$32, $C$9, 100%, $E$9)</f>
        <v>7.6971999999999996</v>
      </c>
      <c r="F480" s="11">
        <f>7.6972 * CHOOSE(CONTROL!$C$32, $C$9, 100%, $E$9)</f>
        <v>7.6971999999999996</v>
      </c>
      <c r="G480" s="11">
        <f>7.7008 * CHOOSE(CONTROL!$C$32, $C$9, 100%, $E$9)</f>
        <v>7.7008000000000001</v>
      </c>
      <c r="H480" s="11">
        <f>14.6246 * CHOOSE(CONTROL!$C$32, $C$9, 100%, $E$9)</f>
        <v>14.624599999999999</v>
      </c>
      <c r="I480" s="11">
        <f>14.6282 * CHOOSE(CONTROL!$C$32, $C$9, 100%, $E$9)</f>
        <v>14.6282</v>
      </c>
      <c r="J480" s="11">
        <f>14.6246 * CHOOSE(CONTROL!$C$32, $C$9, 100%, $E$9)</f>
        <v>14.624599999999999</v>
      </c>
      <c r="K480" s="11">
        <f>14.6282 * CHOOSE(CONTROL!$C$32, $C$9, 100%, $E$9)</f>
        <v>14.6282</v>
      </c>
      <c r="L480" s="11">
        <f>7.6972 * CHOOSE(CONTROL!$C$32, $C$9, 100%, $E$9)</f>
        <v>7.6971999999999996</v>
      </c>
      <c r="M480" s="11">
        <f>7.7008 * CHOOSE(CONTROL!$C$32, $C$9, 100%, $E$9)</f>
        <v>7.7008000000000001</v>
      </c>
      <c r="N480" s="11">
        <f>7.6972 * CHOOSE(CONTROL!$C$32, $C$9, 100%, $E$9)</f>
        <v>7.6971999999999996</v>
      </c>
      <c r="O480" s="11">
        <f>7.7008 * CHOOSE(CONTROL!$C$32, $C$9, 100%, $E$9)</f>
        <v>7.7008000000000001</v>
      </c>
    </row>
    <row r="481" spans="1:15" ht="15" x14ac:dyDescent="0.2">
      <c r="A481" s="13">
        <v>55488</v>
      </c>
      <c r="B481" s="9">
        <f>6.8492 * CHOOSE(CONTROL!$C$32, $C$9, 100%, $E$9)</f>
        <v>6.8491999999999997</v>
      </c>
      <c r="C481" s="9">
        <f>6.8492 * CHOOSE(CONTROL!$C$32, $C$9, 100%, $E$9)</f>
        <v>6.8491999999999997</v>
      </c>
      <c r="D481" s="9">
        <f>6.8503 * CHOOSE(CONTROL!$C$32, $C$9, 100%, $E$9)</f>
        <v>6.8502999999999998</v>
      </c>
      <c r="E481" s="11">
        <f>7.6106 * CHOOSE(CONTROL!$C$32, $C$9, 100%, $E$9)</f>
        <v>7.6105999999999998</v>
      </c>
      <c r="F481" s="11">
        <f>7.6106 * CHOOSE(CONTROL!$C$32, $C$9, 100%, $E$9)</f>
        <v>7.6105999999999998</v>
      </c>
      <c r="G481" s="11">
        <f>7.6143 * CHOOSE(CONTROL!$C$32, $C$9, 100%, $E$9)</f>
        <v>7.6143000000000001</v>
      </c>
      <c r="H481" s="11">
        <f>14.655 * CHOOSE(CONTROL!$C$32, $C$9, 100%, $E$9)</f>
        <v>14.654999999999999</v>
      </c>
      <c r="I481" s="11">
        <f>14.6587 * CHOOSE(CONTROL!$C$32, $C$9, 100%, $E$9)</f>
        <v>14.6587</v>
      </c>
      <c r="J481" s="11">
        <f>14.655 * CHOOSE(CONTROL!$C$32, $C$9, 100%, $E$9)</f>
        <v>14.654999999999999</v>
      </c>
      <c r="K481" s="11">
        <f>14.6587 * CHOOSE(CONTROL!$C$32, $C$9, 100%, $E$9)</f>
        <v>14.6587</v>
      </c>
      <c r="L481" s="11">
        <f>7.6106 * CHOOSE(CONTROL!$C$32, $C$9, 100%, $E$9)</f>
        <v>7.6105999999999998</v>
      </c>
      <c r="M481" s="11">
        <f>7.6143 * CHOOSE(CONTROL!$C$32, $C$9, 100%, $E$9)</f>
        <v>7.6143000000000001</v>
      </c>
      <c r="N481" s="11">
        <f>7.6106 * CHOOSE(CONTROL!$C$32, $C$9, 100%, $E$9)</f>
        <v>7.6105999999999998</v>
      </c>
      <c r="O481" s="11">
        <f>7.6143 * CHOOSE(CONTROL!$C$32, $C$9, 100%, $E$9)</f>
        <v>7.6143000000000001</v>
      </c>
    </row>
    <row r="482" spans="1:15" ht="15" x14ac:dyDescent="0.2">
      <c r="A482" s="13">
        <v>55519</v>
      </c>
      <c r="B482" s="9">
        <f>6.901 * CHOOSE(CONTROL!$C$32, $C$9, 100%, $E$9)</f>
        <v>6.9009999999999998</v>
      </c>
      <c r="C482" s="9">
        <f>6.901 * CHOOSE(CONTROL!$C$32, $C$9, 100%, $E$9)</f>
        <v>6.9009999999999998</v>
      </c>
      <c r="D482" s="9">
        <f>6.9021 * CHOOSE(CONTROL!$C$32, $C$9, 100%, $E$9)</f>
        <v>6.9020999999999999</v>
      </c>
      <c r="E482" s="11">
        <f>7.7372 * CHOOSE(CONTROL!$C$32, $C$9, 100%, $E$9)</f>
        <v>7.7371999999999996</v>
      </c>
      <c r="F482" s="11">
        <f>7.7372 * CHOOSE(CONTROL!$C$32, $C$9, 100%, $E$9)</f>
        <v>7.7371999999999996</v>
      </c>
      <c r="G482" s="11">
        <f>7.7408 * CHOOSE(CONTROL!$C$32, $C$9, 100%, $E$9)</f>
        <v>7.7408000000000001</v>
      </c>
      <c r="H482" s="11">
        <f>14.6856 * CHOOSE(CONTROL!$C$32, $C$9, 100%, $E$9)</f>
        <v>14.685600000000001</v>
      </c>
      <c r="I482" s="11">
        <f>14.6892 * CHOOSE(CONTROL!$C$32, $C$9, 100%, $E$9)</f>
        <v>14.6892</v>
      </c>
      <c r="J482" s="11">
        <f>14.6856 * CHOOSE(CONTROL!$C$32, $C$9, 100%, $E$9)</f>
        <v>14.685600000000001</v>
      </c>
      <c r="K482" s="11">
        <f>14.6892 * CHOOSE(CONTROL!$C$32, $C$9, 100%, $E$9)</f>
        <v>14.6892</v>
      </c>
      <c r="L482" s="11">
        <f>7.7372 * CHOOSE(CONTROL!$C$32, $C$9, 100%, $E$9)</f>
        <v>7.7371999999999996</v>
      </c>
      <c r="M482" s="11">
        <f>7.7408 * CHOOSE(CONTROL!$C$32, $C$9, 100%, $E$9)</f>
        <v>7.7408000000000001</v>
      </c>
      <c r="N482" s="11">
        <f>7.7372 * CHOOSE(CONTROL!$C$32, $C$9, 100%, $E$9)</f>
        <v>7.7371999999999996</v>
      </c>
      <c r="O482" s="11">
        <f>7.7408 * CHOOSE(CONTROL!$C$32, $C$9, 100%, $E$9)</f>
        <v>7.7408000000000001</v>
      </c>
    </row>
    <row r="483" spans="1:15" ht="15" x14ac:dyDescent="0.2">
      <c r="A483" s="13">
        <v>55550</v>
      </c>
      <c r="B483" s="9">
        <f>6.8979 * CHOOSE(CONTROL!$C$32, $C$9, 100%, $E$9)</f>
        <v>6.8978999999999999</v>
      </c>
      <c r="C483" s="9">
        <f>6.8979 * CHOOSE(CONTROL!$C$32, $C$9, 100%, $E$9)</f>
        <v>6.8978999999999999</v>
      </c>
      <c r="D483" s="9">
        <f>6.899 * CHOOSE(CONTROL!$C$32, $C$9, 100%, $E$9)</f>
        <v>6.899</v>
      </c>
      <c r="E483" s="11">
        <f>7.5663 * CHOOSE(CONTROL!$C$32, $C$9, 100%, $E$9)</f>
        <v>7.5663</v>
      </c>
      <c r="F483" s="11">
        <f>7.5663 * CHOOSE(CONTROL!$C$32, $C$9, 100%, $E$9)</f>
        <v>7.5663</v>
      </c>
      <c r="G483" s="11">
        <f>7.5699 * CHOOSE(CONTROL!$C$32, $C$9, 100%, $E$9)</f>
        <v>7.5698999999999996</v>
      </c>
      <c r="H483" s="11">
        <f>14.7162 * CHOOSE(CONTROL!$C$32, $C$9, 100%, $E$9)</f>
        <v>14.716200000000001</v>
      </c>
      <c r="I483" s="11">
        <f>14.7198 * CHOOSE(CONTROL!$C$32, $C$9, 100%, $E$9)</f>
        <v>14.719799999999999</v>
      </c>
      <c r="J483" s="11">
        <f>14.7162 * CHOOSE(CONTROL!$C$32, $C$9, 100%, $E$9)</f>
        <v>14.716200000000001</v>
      </c>
      <c r="K483" s="11">
        <f>14.7198 * CHOOSE(CONTROL!$C$32, $C$9, 100%, $E$9)</f>
        <v>14.719799999999999</v>
      </c>
      <c r="L483" s="11">
        <f>7.5663 * CHOOSE(CONTROL!$C$32, $C$9, 100%, $E$9)</f>
        <v>7.5663</v>
      </c>
      <c r="M483" s="11">
        <f>7.5699 * CHOOSE(CONTROL!$C$32, $C$9, 100%, $E$9)</f>
        <v>7.5698999999999996</v>
      </c>
      <c r="N483" s="11">
        <f>7.5663 * CHOOSE(CONTROL!$C$32, $C$9, 100%, $E$9)</f>
        <v>7.5663</v>
      </c>
      <c r="O483" s="11">
        <f>7.5699 * CHOOSE(CONTROL!$C$32, $C$9, 100%, $E$9)</f>
        <v>7.5698999999999996</v>
      </c>
    </row>
    <row r="484" spans="1:15" ht="15" x14ac:dyDescent="0.2">
      <c r="A484" s="13">
        <v>55579</v>
      </c>
      <c r="B484" s="9">
        <f>6.8949 * CHOOSE(CONTROL!$C$32, $C$9, 100%, $E$9)</f>
        <v>6.8948999999999998</v>
      </c>
      <c r="C484" s="9">
        <f>6.8949 * CHOOSE(CONTROL!$C$32, $C$9, 100%, $E$9)</f>
        <v>6.8948999999999998</v>
      </c>
      <c r="D484" s="9">
        <f>6.896 * CHOOSE(CONTROL!$C$32, $C$9, 100%, $E$9)</f>
        <v>6.8959999999999999</v>
      </c>
      <c r="E484" s="11">
        <f>7.6972 * CHOOSE(CONTROL!$C$32, $C$9, 100%, $E$9)</f>
        <v>7.6971999999999996</v>
      </c>
      <c r="F484" s="11">
        <f>7.6972 * CHOOSE(CONTROL!$C$32, $C$9, 100%, $E$9)</f>
        <v>7.6971999999999996</v>
      </c>
      <c r="G484" s="11">
        <f>7.7008 * CHOOSE(CONTROL!$C$32, $C$9, 100%, $E$9)</f>
        <v>7.7008000000000001</v>
      </c>
      <c r="H484" s="11">
        <f>14.7468 * CHOOSE(CONTROL!$C$32, $C$9, 100%, $E$9)</f>
        <v>14.7468</v>
      </c>
      <c r="I484" s="11">
        <f>14.7504 * CHOOSE(CONTROL!$C$32, $C$9, 100%, $E$9)</f>
        <v>14.750400000000001</v>
      </c>
      <c r="J484" s="11">
        <f>14.7468 * CHOOSE(CONTROL!$C$32, $C$9, 100%, $E$9)</f>
        <v>14.7468</v>
      </c>
      <c r="K484" s="11">
        <f>14.7504 * CHOOSE(CONTROL!$C$32, $C$9, 100%, $E$9)</f>
        <v>14.750400000000001</v>
      </c>
      <c r="L484" s="11">
        <f>7.6972 * CHOOSE(CONTROL!$C$32, $C$9, 100%, $E$9)</f>
        <v>7.6971999999999996</v>
      </c>
      <c r="M484" s="11">
        <f>7.7008 * CHOOSE(CONTROL!$C$32, $C$9, 100%, $E$9)</f>
        <v>7.7008000000000001</v>
      </c>
      <c r="N484" s="11">
        <f>7.6972 * CHOOSE(CONTROL!$C$32, $C$9, 100%, $E$9)</f>
        <v>7.6971999999999996</v>
      </c>
      <c r="O484" s="11">
        <f>7.7008 * CHOOSE(CONTROL!$C$32, $C$9, 100%, $E$9)</f>
        <v>7.7008000000000001</v>
      </c>
    </row>
    <row r="485" spans="1:15" ht="15" x14ac:dyDescent="0.2">
      <c r="A485" s="13">
        <v>55610</v>
      </c>
      <c r="B485" s="9">
        <f>6.8953 * CHOOSE(CONTROL!$C$32, $C$9, 100%, $E$9)</f>
        <v>6.8952999999999998</v>
      </c>
      <c r="C485" s="9">
        <f>6.8953 * CHOOSE(CONTROL!$C$32, $C$9, 100%, $E$9)</f>
        <v>6.8952999999999998</v>
      </c>
      <c r="D485" s="9">
        <f>6.8964 * CHOOSE(CONTROL!$C$32, $C$9, 100%, $E$9)</f>
        <v>6.8963999999999999</v>
      </c>
      <c r="E485" s="11">
        <f>7.8359 * CHOOSE(CONTROL!$C$32, $C$9, 100%, $E$9)</f>
        <v>7.8358999999999996</v>
      </c>
      <c r="F485" s="11">
        <f>7.8359 * CHOOSE(CONTROL!$C$32, $C$9, 100%, $E$9)</f>
        <v>7.8358999999999996</v>
      </c>
      <c r="G485" s="11">
        <f>7.8395 * CHOOSE(CONTROL!$C$32, $C$9, 100%, $E$9)</f>
        <v>7.8395000000000001</v>
      </c>
      <c r="H485" s="11">
        <f>14.7776 * CHOOSE(CONTROL!$C$32, $C$9, 100%, $E$9)</f>
        <v>14.7776</v>
      </c>
      <c r="I485" s="11">
        <f>14.7812 * CHOOSE(CONTROL!$C$32, $C$9, 100%, $E$9)</f>
        <v>14.7812</v>
      </c>
      <c r="J485" s="11">
        <f>14.7776 * CHOOSE(CONTROL!$C$32, $C$9, 100%, $E$9)</f>
        <v>14.7776</v>
      </c>
      <c r="K485" s="11">
        <f>14.7812 * CHOOSE(CONTROL!$C$32, $C$9, 100%, $E$9)</f>
        <v>14.7812</v>
      </c>
      <c r="L485" s="11">
        <f>7.8359 * CHOOSE(CONTROL!$C$32, $C$9, 100%, $E$9)</f>
        <v>7.8358999999999996</v>
      </c>
      <c r="M485" s="11">
        <f>7.8395 * CHOOSE(CONTROL!$C$32, $C$9, 100%, $E$9)</f>
        <v>7.8395000000000001</v>
      </c>
      <c r="N485" s="11">
        <f>7.8359 * CHOOSE(CONTROL!$C$32, $C$9, 100%, $E$9)</f>
        <v>7.8358999999999996</v>
      </c>
      <c r="O485" s="11">
        <f>7.8395 * CHOOSE(CONTROL!$C$32, $C$9, 100%, $E$9)</f>
        <v>7.8395000000000001</v>
      </c>
    </row>
    <row r="486" spans="1:15" ht="15" x14ac:dyDescent="0.2">
      <c r="A486" s="13">
        <v>55640</v>
      </c>
      <c r="B486" s="9">
        <f>6.8953 * CHOOSE(CONTROL!$C$32, $C$9, 100%, $E$9)</f>
        <v>6.8952999999999998</v>
      </c>
      <c r="C486" s="9">
        <f>6.8953 * CHOOSE(CONTROL!$C$32, $C$9, 100%, $E$9)</f>
        <v>6.8952999999999998</v>
      </c>
      <c r="D486" s="9">
        <f>6.8969 * CHOOSE(CONTROL!$C$32, $C$9, 100%, $E$9)</f>
        <v>6.8968999999999996</v>
      </c>
      <c r="E486" s="11">
        <f>7.8895 * CHOOSE(CONTROL!$C$32, $C$9, 100%, $E$9)</f>
        <v>7.8895</v>
      </c>
      <c r="F486" s="11">
        <f>7.8895 * CHOOSE(CONTROL!$C$32, $C$9, 100%, $E$9)</f>
        <v>7.8895</v>
      </c>
      <c r="G486" s="11">
        <f>7.8948 * CHOOSE(CONTROL!$C$32, $C$9, 100%, $E$9)</f>
        <v>7.8948</v>
      </c>
      <c r="H486" s="11">
        <f>14.8083 * CHOOSE(CONTROL!$C$32, $C$9, 100%, $E$9)</f>
        <v>14.808299999999999</v>
      </c>
      <c r="I486" s="11">
        <f>14.8136 * CHOOSE(CONTROL!$C$32, $C$9, 100%, $E$9)</f>
        <v>14.813599999999999</v>
      </c>
      <c r="J486" s="11">
        <f>14.8083 * CHOOSE(CONTROL!$C$32, $C$9, 100%, $E$9)</f>
        <v>14.808299999999999</v>
      </c>
      <c r="K486" s="11">
        <f>14.8136 * CHOOSE(CONTROL!$C$32, $C$9, 100%, $E$9)</f>
        <v>14.813599999999999</v>
      </c>
      <c r="L486" s="11">
        <f>7.8895 * CHOOSE(CONTROL!$C$32, $C$9, 100%, $E$9)</f>
        <v>7.8895</v>
      </c>
      <c r="M486" s="11">
        <f>7.8948 * CHOOSE(CONTROL!$C$32, $C$9, 100%, $E$9)</f>
        <v>7.8948</v>
      </c>
      <c r="N486" s="11">
        <f>7.8895 * CHOOSE(CONTROL!$C$32, $C$9, 100%, $E$9)</f>
        <v>7.8895</v>
      </c>
      <c r="O486" s="11">
        <f>7.8948 * CHOOSE(CONTROL!$C$32, $C$9, 100%, $E$9)</f>
        <v>7.8948</v>
      </c>
    </row>
    <row r="487" spans="1:15" ht="15" x14ac:dyDescent="0.2">
      <c r="A487" s="13">
        <v>55671</v>
      </c>
      <c r="B487" s="9">
        <f>6.9014 * CHOOSE(CONTROL!$C$32, $C$9, 100%, $E$9)</f>
        <v>6.9013999999999998</v>
      </c>
      <c r="C487" s="9">
        <f>6.9014 * CHOOSE(CONTROL!$C$32, $C$9, 100%, $E$9)</f>
        <v>6.9013999999999998</v>
      </c>
      <c r="D487" s="9">
        <f>6.903 * CHOOSE(CONTROL!$C$32, $C$9, 100%, $E$9)</f>
        <v>6.9029999999999996</v>
      </c>
      <c r="E487" s="11">
        <f>7.8402 * CHOOSE(CONTROL!$C$32, $C$9, 100%, $E$9)</f>
        <v>7.8402000000000003</v>
      </c>
      <c r="F487" s="11">
        <f>7.8402 * CHOOSE(CONTROL!$C$32, $C$9, 100%, $E$9)</f>
        <v>7.8402000000000003</v>
      </c>
      <c r="G487" s="11">
        <f>7.8455 * CHOOSE(CONTROL!$C$32, $C$9, 100%, $E$9)</f>
        <v>7.8455000000000004</v>
      </c>
      <c r="H487" s="11">
        <f>14.8392 * CHOOSE(CONTROL!$C$32, $C$9, 100%, $E$9)</f>
        <v>14.8392</v>
      </c>
      <c r="I487" s="11">
        <f>14.8445 * CHOOSE(CONTROL!$C$32, $C$9, 100%, $E$9)</f>
        <v>14.8445</v>
      </c>
      <c r="J487" s="11">
        <f>14.8392 * CHOOSE(CONTROL!$C$32, $C$9, 100%, $E$9)</f>
        <v>14.8392</v>
      </c>
      <c r="K487" s="11">
        <f>14.8445 * CHOOSE(CONTROL!$C$32, $C$9, 100%, $E$9)</f>
        <v>14.8445</v>
      </c>
      <c r="L487" s="11">
        <f>7.8402 * CHOOSE(CONTROL!$C$32, $C$9, 100%, $E$9)</f>
        <v>7.8402000000000003</v>
      </c>
      <c r="M487" s="11">
        <f>7.8455 * CHOOSE(CONTROL!$C$32, $C$9, 100%, $E$9)</f>
        <v>7.8455000000000004</v>
      </c>
      <c r="N487" s="11">
        <f>7.8402 * CHOOSE(CONTROL!$C$32, $C$9, 100%, $E$9)</f>
        <v>7.8402000000000003</v>
      </c>
      <c r="O487" s="11">
        <f>7.8455 * CHOOSE(CONTROL!$C$32, $C$9, 100%, $E$9)</f>
        <v>7.8455000000000004</v>
      </c>
    </row>
    <row r="488" spans="1:15" ht="15" x14ac:dyDescent="0.2">
      <c r="A488" s="13">
        <v>55701</v>
      </c>
      <c r="B488" s="9">
        <f>6.9918 * CHOOSE(CONTROL!$C$32, $C$9, 100%, $E$9)</f>
        <v>6.9917999999999996</v>
      </c>
      <c r="C488" s="9">
        <f>6.9918 * CHOOSE(CONTROL!$C$32, $C$9, 100%, $E$9)</f>
        <v>6.9917999999999996</v>
      </c>
      <c r="D488" s="9">
        <f>6.9934 * CHOOSE(CONTROL!$C$32, $C$9, 100%, $E$9)</f>
        <v>6.9934000000000003</v>
      </c>
      <c r="E488" s="11">
        <f>7.9482 * CHOOSE(CONTROL!$C$32, $C$9, 100%, $E$9)</f>
        <v>7.9481999999999999</v>
      </c>
      <c r="F488" s="11">
        <f>7.9482 * CHOOSE(CONTROL!$C$32, $C$9, 100%, $E$9)</f>
        <v>7.9481999999999999</v>
      </c>
      <c r="G488" s="11">
        <f>7.9535 * CHOOSE(CONTROL!$C$32, $C$9, 100%, $E$9)</f>
        <v>7.9535</v>
      </c>
      <c r="H488" s="11">
        <f>14.8701 * CHOOSE(CONTROL!$C$32, $C$9, 100%, $E$9)</f>
        <v>14.870100000000001</v>
      </c>
      <c r="I488" s="11">
        <f>14.8754 * CHOOSE(CONTROL!$C$32, $C$9, 100%, $E$9)</f>
        <v>14.875400000000001</v>
      </c>
      <c r="J488" s="11">
        <f>14.8701 * CHOOSE(CONTROL!$C$32, $C$9, 100%, $E$9)</f>
        <v>14.870100000000001</v>
      </c>
      <c r="K488" s="11">
        <f>14.8754 * CHOOSE(CONTROL!$C$32, $C$9, 100%, $E$9)</f>
        <v>14.875400000000001</v>
      </c>
      <c r="L488" s="11">
        <f>7.9482 * CHOOSE(CONTROL!$C$32, $C$9, 100%, $E$9)</f>
        <v>7.9481999999999999</v>
      </c>
      <c r="M488" s="11">
        <f>7.9535 * CHOOSE(CONTROL!$C$32, $C$9, 100%, $E$9)</f>
        <v>7.9535</v>
      </c>
      <c r="N488" s="11">
        <f>7.9482 * CHOOSE(CONTROL!$C$32, $C$9, 100%, $E$9)</f>
        <v>7.9481999999999999</v>
      </c>
      <c r="O488" s="11">
        <f>7.9535 * CHOOSE(CONTROL!$C$32, $C$9, 100%, $E$9)</f>
        <v>7.9535</v>
      </c>
    </row>
    <row r="489" spans="1:15" ht="15" x14ac:dyDescent="0.2">
      <c r="A489" s="13">
        <v>55732</v>
      </c>
      <c r="B489" s="9">
        <f>6.9985 * CHOOSE(CONTROL!$C$32, $C$9, 100%, $E$9)</f>
        <v>6.9984999999999999</v>
      </c>
      <c r="C489" s="9">
        <f>6.9985 * CHOOSE(CONTROL!$C$32, $C$9, 100%, $E$9)</f>
        <v>6.9984999999999999</v>
      </c>
      <c r="D489" s="9">
        <f>7.0001 * CHOOSE(CONTROL!$C$32, $C$9, 100%, $E$9)</f>
        <v>7.0000999999999998</v>
      </c>
      <c r="E489" s="11">
        <f>7.7921 * CHOOSE(CONTROL!$C$32, $C$9, 100%, $E$9)</f>
        <v>7.7920999999999996</v>
      </c>
      <c r="F489" s="11">
        <f>7.7921 * CHOOSE(CONTROL!$C$32, $C$9, 100%, $E$9)</f>
        <v>7.7920999999999996</v>
      </c>
      <c r="G489" s="11">
        <f>7.7974 * CHOOSE(CONTROL!$C$32, $C$9, 100%, $E$9)</f>
        <v>7.7973999999999997</v>
      </c>
      <c r="H489" s="11">
        <f>14.9011 * CHOOSE(CONTROL!$C$32, $C$9, 100%, $E$9)</f>
        <v>14.9011</v>
      </c>
      <c r="I489" s="11">
        <f>14.9064 * CHOOSE(CONTROL!$C$32, $C$9, 100%, $E$9)</f>
        <v>14.9064</v>
      </c>
      <c r="J489" s="11">
        <f>14.9011 * CHOOSE(CONTROL!$C$32, $C$9, 100%, $E$9)</f>
        <v>14.9011</v>
      </c>
      <c r="K489" s="11">
        <f>14.9064 * CHOOSE(CONTROL!$C$32, $C$9, 100%, $E$9)</f>
        <v>14.9064</v>
      </c>
      <c r="L489" s="11">
        <f>7.7921 * CHOOSE(CONTROL!$C$32, $C$9, 100%, $E$9)</f>
        <v>7.7920999999999996</v>
      </c>
      <c r="M489" s="11">
        <f>7.7974 * CHOOSE(CONTROL!$C$32, $C$9, 100%, $E$9)</f>
        <v>7.7973999999999997</v>
      </c>
      <c r="N489" s="11">
        <f>7.7921 * CHOOSE(CONTROL!$C$32, $C$9, 100%, $E$9)</f>
        <v>7.7920999999999996</v>
      </c>
      <c r="O489" s="11">
        <f>7.7974 * CHOOSE(CONTROL!$C$32, $C$9, 100%, $E$9)</f>
        <v>7.7973999999999997</v>
      </c>
    </row>
    <row r="490" spans="1:15" ht="15" x14ac:dyDescent="0.2">
      <c r="A490" s="13">
        <v>55763</v>
      </c>
      <c r="B490" s="9">
        <f>6.9955 * CHOOSE(CONTROL!$C$32, $C$9, 100%, $E$9)</f>
        <v>6.9954999999999998</v>
      </c>
      <c r="C490" s="9">
        <f>6.9955 * CHOOSE(CONTROL!$C$32, $C$9, 100%, $E$9)</f>
        <v>6.9954999999999998</v>
      </c>
      <c r="D490" s="9">
        <f>6.997 * CHOOSE(CONTROL!$C$32, $C$9, 100%, $E$9)</f>
        <v>6.9969999999999999</v>
      </c>
      <c r="E490" s="11">
        <f>7.7721 * CHOOSE(CONTROL!$C$32, $C$9, 100%, $E$9)</f>
        <v>7.7721</v>
      </c>
      <c r="F490" s="11">
        <f>7.7721 * CHOOSE(CONTROL!$C$32, $C$9, 100%, $E$9)</f>
        <v>7.7721</v>
      </c>
      <c r="G490" s="11">
        <f>7.7774 * CHOOSE(CONTROL!$C$32, $C$9, 100%, $E$9)</f>
        <v>7.7774000000000001</v>
      </c>
      <c r="H490" s="11">
        <f>14.9321 * CHOOSE(CONTROL!$C$32, $C$9, 100%, $E$9)</f>
        <v>14.9321</v>
      </c>
      <c r="I490" s="11">
        <f>14.9374 * CHOOSE(CONTROL!$C$32, $C$9, 100%, $E$9)</f>
        <v>14.9374</v>
      </c>
      <c r="J490" s="11">
        <f>14.9321 * CHOOSE(CONTROL!$C$32, $C$9, 100%, $E$9)</f>
        <v>14.9321</v>
      </c>
      <c r="K490" s="11">
        <f>14.9374 * CHOOSE(CONTROL!$C$32, $C$9, 100%, $E$9)</f>
        <v>14.9374</v>
      </c>
      <c r="L490" s="11">
        <f>7.7721 * CHOOSE(CONTROL!$C$32, $C$9, 100%, $E$9)</f>
        <v>7.7721</v>
      </c>
      <c r="M490" s="11">
        <f>7.7774 * CHOOSE(CONTROL!$C$32, $C$9, 100%, $E$9)</f>
        <v>7.7774000000000001</v>
      </c>
      <c r="N490" s="11">
        <f>7.7721 * CHOOSE(CONTROL!$C$32, $C$9, 100%, $E$9)</f>
        <v>7.7721</v>
      </c>
      <c r="O490" s="11">
        <f>7.7774 * CHOOSE(CONTROL!$C$32, $C$9, 100%, $E$9)</f>
        <v>7.7774000000000001</v>
      </c>
    </row>
    <row r="491" spans="1:15" ht="15" x14ac:dyDescent="0.2">
      <c r="A491" s="13">
        <v>55793</v>
      </c>
      <c r="B491" s="9">
        <f>7.0017 * CHOOSE(CONTROL!$C$32, $C$9, 100%, $E$9)</f>
        <v>7.0016999999999996</v>
      </c>
      <c r="C491" s="9">
        <f>7.0017 * CHOOSE(CONTROL!$C$32, $C$9, 100%, $E$9)</f>
        <v>7.0016999999999996</v>
      </c>
      <c r="D491" s="9">
        <f>7.0027 * CHOOSE(CONTROL!$C$32, $C$9, 100%, $E$9)</f>
        <v>7.0026999999999999</v>
      </c>
      <c r="E491" s="11">
        <f>7.8302 * CHOOSE(CONTROL!$C$32, $C$9, 100%, $E$9)</f>
        <v>7.8301999999999996</v>
      </c>
      <c r="F491" s="11">
        <f>7.8302 * CHOOSE(CONTROL!$C$32, $C$9, 100%, $E$9)</f>
        <v>7.8301999999999996</v>
      </c>
      <c r="G491" s="11">
        <f>7.8338 * CHOOSE(CONTROL!$C$32, $C$9, 100%, $E$9)</f>
        <v>7.8338000000000001</v>
      </c>
      <c r="H491" s="11">
        <f>14.9632 * CHOOSE(CONTROL!$C$32, $C$9, 100%, $E$9)</f>
        <v>14.963200000000001</v>
      </c>
      <c r="I491" s="11">
        <f>14.9669 * CHOOSE(CONTROL!$C$32, $C$9, 100%, $E$9)</f>
        <v>14.966900000000001</v>
      </c>
      <c r="J491" s="11">
        <f>14.9632 * CHOOSE(CONTROL!$C$32, $C$9, 100%, $E$9)</f>
        <v>14.963200000000001</v>
      </c>
      <c r="K491" s="11">
        <f>14.9669 * CHOOSE(CONTROL!$C$32, $C$9, 100%, $E$9)</f>
        <v>14.966900000000001</v>
      </c>
      <c r="L491" s="11">
        <f>7.8302 * CHOOSE(CONTROL!$C$32, $C$9, 100%, $E$9)</f>
        <v>7.8301999999999996</v>
      </c>
      <c r="M491" s="11">
        <f>7.8338 * CHOOSE(CONTROL!$C$32, $C$9, 100%, $E$9)</f>
        <v>7.8338000000000001</v>
      </c>
      <c r="N491" s="11">
        <f>7.8302 * CHOOSE(CONTROL!$C$32, $C$9, 100%, $E$9)</f>
        <v>7.8301999999999996</v>
      </c>
      <c r="O491" s="11">
        <f>7.8338 * CHOOSE(CONTROL!$C$32, $C$9, 100%, $E$9)</f>
        <v>7.8338000000000001</v>
      </c>
    </row>
    <row r="492" spans="1:15" ht="15" x14ac:dyDescent="0.2">
      <c r="A492" s="13">
        <v>55824</v>
      </c>
      <c r="B492" s="9">
        <f>7.0047 * CHOOSE(CONTROL!$C$32, $C$9, 100%, $E$9)</f>
        <v>7.0046999999999997</v>
      </c>
      <c r="C492" s="9">
        <f>7.0047 * CHOOSE(CONTROL!$C$32, $C$9, 100%, $E$9)</f>
        <v>7.0046999999999997</v>
      </c>
      <c r="D492" s="9">
        <f>7.0058 * CHOOSE(CONTROL!$C$32, $C$9, 100%, $E$9)</f>
        <v>7.0057999999999998</v>
      </c>
      <c r="E492" s="11">
        <f>7.868 * CHOOSE(CONTROL!$C$32, $C$9, 100%, $E$9)</f>
        <v>7.8680000000000003</v>
      </c>
      <c r="F492" s="11">
        <f>7.868 * CHOOSE(CONTROL!$C$32, $C$9, 100%, $E$9)</f>
        <v>7.8680000000000003</v>
      </c>
      <c r="G492" s="11">
        <f>7.8716 * CHOOSE(CONTROL!$C$32, $C$9, 100%, $E$9)</f>
        <v>7.8715999999999999</v>
      </c>
      <c r="H492" s="11">
        <f>14.9944 * CHOOSE(CONTROL!$C$32, $C$9, 100%, $E$9)</f>
        <v>14.994400000000001</v>
      </c>
      <c r="I492" s="11">
        <f>14.998 * CHOOSE(CONTROL!$C$32, $C$9, 100%, $E$9)</f>
        <v>14.997999999999999</v>
      </c>
      <c r="J492" s="11">
        <f>14.9944 * CHOOSE(CONTROL!$C$32, $C$9, 100%, $E$9)</f>
        <v>14.994400000000001</v>
      </c>
      <c r="K492" s="11">
        <f>14.998 * CHOOSE(CONTROL!$C$32, $C$9, 100%, $E$9)</f>
        <v>14.997999999999999</v>
      </c>
      <c r="L492" s="11">
        <f>7.868 * CHOOSE(CONTROL!$C$32, $C$9, 100%, $E$9)</f>
        <v>7.8680000000000003</v>
      </c>
      <c r="M492" s="11">
        <f>7.8716 * CHOOSE(CONTROL!$C$32, $C$9, 100%, $E$9)</f>
        <v>7.8715999999999999</v>
      </c>
      <c r="N492" s="11">
        <f>7.868 * CHOOSE(CONTROL!$C$32, $C$9, 100%, $E$9)</f>
        <v>7.8680000000000003</v>
      </c>
      <c r="O492" s="11">
        <f>7.8716 * CHOOSE(CONTROL!$C$32, $C$9, 100%, $E$9)</f>
        <v>7.8715999999999999</v>
      </c>
    </row>
    <row r="493" spans="1:15" ht="15" x14ac:dyDescent="0.2">
      <c r="A493" s="13">
        <v>55854</v>
      </c>
      <c r="B493" s="9">
        <f>7.0047 * CHOOSE(CONTROL!$C$32, $C$9, 100%, $E$9)</f>
        <v>7.0046999999999997</v>
      </c>
      <c r="C493" s="9">
        <f>7.0047 * CHOOSE(CONTROL!$C$32, $C$9, 100%, $E$9)</f>
        <v>7.0046999999999997</v>
      </c>
      <c r="D493" s="9">
        <f>7.0058 * CHOOSE(CONTROL!$C$32, $C$9, 100%, $E$9)</f>
        <v>7.0057999999999998</v>
      </c>
      <c r="E493" s="11">
        <f>7.7787 * CHOOSE(CONTROL!$C$32, $C$9, 100%, $E$9)</f>
        <v>7.7786999999999997</v>
      </c>
      <c r="F493" s="11">
        <f>7.7787 * CHOOSE(CONTROL!$C$32, $C$9, 100%, $E$9)</f>
        <v>7.7786999999999997</v>
      </c>
      <c r="G493" s="11">
        <f>7.7823 * CHOOSE(CONTROL!$C$32, $C$9, 100%, $E$9)</f>
        <v>7.7823000000000002</v>
      </c>
      <c r="H493" s="11">
        <f>15.0256 * CHOOSE(CONTROL!$C$32, $C$9, 100%, $E$9)</f>
        <v>15.025600000000001</v>
      </c>
      <c r="I493" s="11">
        <f>15.0293 * CHOOSE(CONTROL!$C$32, $C$9, 100%, $E$9)</f>
        <v>15.029299999999999</v>
      </c>
      <c r="J493" s="11">
        <f>15.0256 * CHOOSE(CONTROL!$C$32, $C$9, 100%, $E$9)</f>
        <v>15.025600000000001</v>
      </c>
      <c r="K493" s="11">
        <f>15.0293 * CHOOSE(CONTROL!$C$32, $C$9, 100%, $E$9)</f>
        <v>15.029299999999999</v>
      </c>
      <c r="L493" s="11">
        <f>7.7787 * CHOOSE(CONTROL!$C$32, $C$9, 100%, $E$9)</f>
        <v>7.7786999999999997</v>
      </c>
      <c r="M493" s="11">
        <f>7.7823 * CHOOSE(CONTROL!$C$32, $C$9, 100%, $E$9)</f>
        <v>7.7823000000000002</v>
      </c>
      <c r="N493" s="11">
        <f>7.7787 * CHOOSE(CONTROL!$C$32, $C$9, 100%, $E$9)</f>
        <v>7.7786999999999997</v>
      </c>
      <c r="O493" s="11">
        <f>7.7823 * CHOOSE(CONTROL!$C$32, $C$9, 100%, $E$9)</f>
        <v>7.7823000000000002</v>
      </c>
    </row>
    <row r="494" spans="1:15" ht="15" x14ac:dyDescent="0.2">
      <c r="A494" s="13">
        <v>55885</v>
      </c>
      <c r="B494" s="9">
        <f>7.0575 * CHOOSE(CONTROL!$C$32, $C$9, 100%, $E$9)</f>
        <v>7.0575000000000001</v>
      </c>
      <c r="C494" s="9">
        <f>7.0575 * CHOOSE(CONTROL!$C$32, $C$9, 100%, $E$9)</f>
        <v>7.0575000000000001</v>
      </c>
      <c r="D494" s="9">
        <f>7.0586 * CHOOSE(CONTROL!$C$32, $C$9, 100%, $E$9)</f>
        <v>7.0586000000000002</v>
      </c>
      <c r="E494" s="11">
        <f>7.9087 * CHOOSE(CONTROL!$C$32, $C$9, 100%, $E$9)</f>
        <v>7.9086999999999996</v>
      </c>
      <c r="F494" s="11">
        <f>7.9087 * CHOOSE(CONTROL!$C$32, $C$9, 100%, $E$9)</f>
        <v>7.9086999999999996</v>
      </c>
      <c r="G494" s="11">
        <f>7.9124 * CHOOSE(CONTROL!$C$32, $C$9, 100%, $E$9)</f>
        <v>7.9123999999999999</v>
      </c>
      <c r="H494" s="11">
        <f>15.057 * CHOOSE(CONTROL!$C$32, $C$9, 100%, $E$9)</f>
        <v>15.057</v>
      </c>
      <c r="I494" s="11">
        <f>15.0606 * CHOOSE(CONTROL!$C$32, $C$9, 100%, $E$9)</f>
        <v>15.060600000000001</v>
      </c>
      <c r="J494" s="11">
        <f>15.057 * CHOOSE(CONTROL!$C$32, $C$9, 100%, $E$9)</f>
        <v>15.057</v>
      </c>
      <c r="K494" s="11">
        <f>15.0606 * CHOOSE(CONTROL!$C$32, $C$9, 100%, $E$9)</f>
        <v>15.060600000000001</v>
      </c>
      <c r="L494" s="11">
        <f>7.9087 * CHOOSE(CONTROL!$C$32, $C$9, 100%, $E$9)</f>
        <v>7.9086999999999996</v>
      </c>
      <c r="M494" s="11">
        <f>7.9124 * CHOOSE(CONTROL!$C$32, $C$9, 100%, $E$9)</f>
        <v>7.9123999999999999</v>
      </c>
      <c r="N494" s="11">
        <f>7.9087 * CHOOSE(CONTROL!$C$32, $C$9, 100%, $E$9)</f>
        <v>7.9086999999999996</v>
      </c>
      <c r="O494" s="11">
        <f>7.9124 * CHOOSE(CONTROL!$C$32, $C$9, 100%, $E$9)</f>
        <v>7.9123999999999999</v>
      </c>
    </row>
    <row r="495" spans="1:15" ht="15" x14ac:dyDescent="0.2">
      <c r="A495" s="13">
        <v>55916</v>
      </c>
      <c r="B495" s="9">
        <f>7.0545 * CHOOSE(CONTROL!$C$32, $C$9, 100%, $E$9)</f>
        <v>7.0545</v>
      </c>
      <c r="C495" s="9">
        <f>7.0545 * CHOOSE(CONTROL!$C$32, $C$9, 100%, $E$9)</f>
        <v>7.0545</v>
      </c>
      <c r="D495" s="9">
        <f>7.0555 * CHOOSE(CONTROL!$C$32, $C$9, 100%, $E$9)</f>
        <v>7.0555000000000003</v>
      </c>
      <c r="E495" s="11">
        <f>7.7323 * CHOOSE(CONTROL!$C$32, $C$9, 100%, $E$9)</f>
        <v>7.7323000000000004</v>
      </c>
      <c r="F495" s="11">
        <f>7.7323 * CHOOSE(CONTROL!$C$32, $C$9, 100%, $E$9)</f>
        <v>7.7323000000000004</v>
      </c>
      <c r="G495" s="11">
        <f>7.7359 * CHOOSE(CONTROL!$C$32, $C$9, 100%, $E$9)</f>
        <v>7.7359</v>
      </c>
      <c r="H495" s="11">
        <f>15.0883 * CHOOSE(CONTROL!$C$32, $C$9, 100%, $E$9)</f>
        <v>15.0883</v>
      </c>
      <c r="I495" s="11">
        <f>15.0919 * CHOOSE(CONTROL!$C$32, $C$9, 100%, $E$9)</f>
        <v>15.091900000000001</v>
      </c>
      <c r="J495" s="11">
        <f>15.0883 * CHOOSE(CONTROL!$C$32, $C$9, 100%, $E$9)</f>
        <v>15.0883</v>
      </c>
      <c r="K495" s="11">
        <f>15.0919 * CHOOSE(CONTROL!$C$32, $C$9, 100%, $E$9)</f>
        <v>15.091900000000001</v>
      </c>
      <c r="L495" s="11">
        <f>7.7323 * CHOOSE(CONTROL!$C$32, $C$9, 100%, $E$9)</f>
        <v>7.7323000000000004</v>
      </c>
      <c r="M495" s="11">
        <f>7.7359 * CHOOSE(CONTROL!$C$32, $C$9, 100%, $E$9)</f>
        <v>7.7359</v>
      </c>
      <c r="N495" s="11">
        <f>7.7323 * CHOOSE(CONTROL!$C$32, $C$9, 100%, $E$9)</f>
        <v>7.7323000000000004</v>
      </c>
      <c r="O495" s="11">
        <f>7.7359 * CHOOSE(CONTROL!$C$32, $C$9, 100%, $E$9)</f>
        <v>7.7359</v>
      </c>
    </row>
    <row r="496" spans="1:15" ht="15" x14ac:dyDescent="0.2">
      <c r="A496" s="13">
        <v>55944</v>
      </c>
      <c r="B496" s="9">
        <f>7.0514 * CHOOSE(CONTROL!$C$32, $C$9, 100%, $E$9)</f>
        <v>7.0514000000000001</v>
      </c>
      <c r="C496" s="9">
        <f>7.0514 * CHOOSE(CONTROL!$C$32, $C$9, 100%, $E$9)</f>
        <v>7.0514000000000001</v>
      </c>
      <c r="D496" s="9">
        <f>7.0525 * CHOOSE(CONTROL!$C$32, $C$9, 100%, $E$9)</f>
        <v>7.0525000000000002</v>
      </c>
      <c r="E496" s="11">
        <f>7.8676 * CHOOSE(CONTROL!$C$32, $C$9, 100%, $E$9)</f>
        <v>7.8676000000000004</v>
      </c>
      <c r="F496" s="11">
        <f>7.8676 * CHOOSE(CONTROL!$C$32, $C$9, 100%, $E$9)</f>
        <v>7.8676000000000004</v>
      </c>
      <c r="G496" s="11">
        <f>7.8712 * CHOOSE(CONTROL!$C$32, $C$9, 100%, $E$9)</f>
        <v>7.8712</v>
      </c>
      <c r="H496" s="11">
        <f>15.1198 * CHOOSE(CONTROL!$C$32, $C$9, 100%, $E$9)</f>
        <v>15.1198</v>
      </c>
      <c r="I496" s="11">
        <f>15.1234 * CHOOSE(CONTROL!$C$32, $C$9, 100%, $E$9)</f>
        <v>15.1234</v>
      </c>
      <c r="J496" s="11">
        <f>15.1198 * CHOOSE(CONTROL!$C$32, $C$9, 100%, $E$9)</f>
        <v>15.1198</v>
      </c>
      <c r="K496" s="11">
        <f>15.1234 * CHOOSE(CONTROL!$C$32, $C$9, 100%, $E$9)</f>
        <v>15.1234</v>
      </c>
      <c r="L496" s="11">
        <f>7.8676 * CHOOSE(CONTROL!$C$32, $C$9, 100%, $E$9)</f>
        <v>7.8676000000000004</v>
      </c>
      <c r="M496" s="11">
        <f>7.8712 * CHOOSE(CONTROL!$C$32, $C$9, 100%, $E$9)</f>
        <v>7.8712</v>
      </c>
      <c r="N496" s="11">
        <f>7.8676 * CHOOSE(CONTROL!$C$32, $C$9, 100%, $E$9)</f>
        <v>7.8676000000000004</v>
      </c>
      <c r="O496" s="11">
        <f>7.8712 * CHOOSE(CONTROL!$C$32, $C$9, 100%, $E$9)</f>
        <v>7.8712</v>
      </c>
    </row>
    <row r="497" spans="1:15" ht="15" x14ac:dyDescent="0.2">
      <c r="A497" s="13">
        <v>55975</v>
      </c>
      <c r="B497" s="9">
        <f>7.052 * CHOOSE(CONTROL!$C$32, $C$9, 100%, $E$9)</f>
        <v>7.0519999999999996</v>
      </c>
      <c r="C497" s="9">
        <f>7.052 * CHOOSE(CONTROL!$C$32, $C$9, 100%, $E$9)</f>
        <v>7.0519999999999996</v>
      </c>
      <c r="D497" s="9">
        <f>7.0531 * CHOOSE(CONTROL!$C$32, $C$9, 100%, $E$9)</f>
        <v>7.0530999999999997</v>
      </c>
      <c r="E497" s="11">
        <f>8.011 * CHOOSE(CONTROL!$C$32, $C$9, 100%, $E$9)</f>
        <v>8.0109999999999992</v>
      </c>
      <c r="F497" s="11">
        <f>8.011 * CHOOSE(CONTROL!$C$32, $C$9, 100%, $E$9)</f>
        <v>8.0109999999999992</v>
      </c>
      <c r="G497" s="11">
        <f>8.0146 * CHOOSE(CONTROL!$C$32, $C$9, 100%, $E$9)</f>
        <v>8.0145999999999997</v>
      </c>
      <c r="H497" s="11">
        <f>15.1513 * CHOOSE(CONTROL!$C$32, $C$9, 100%, $E$9)</f>
        <v>15.151300000000001</v>
      </c>
      <c r="I497" s="11">
        <f>15.1549 * CHOOSE(CONTROL!$C$32, $C$9, 100%, $E$9)</f>
        <v>15.1549</v>
      </c>
      <c r="J497" s="11">
        <f>15.1513 * CHOOSE(CONTROL!$C$32, $C$9, 100%, $E$9)</f>
        <v>15.151300000000001</v>
      </c>
      <c r="K497" s="11">
        <f>15.1549 * CHOOSE(CONTROL!$C$32, $C$9, 100%, $E$9)</f>
        <v>15.1549</v>
      </c>
      <c r="L497" s="11">
        <f>8.011 * CHOOSE(CONTROL!$C$32, $C$9, 100%, $E$9)</f>
        <v>8.0109999999999992</v>
      </c>
      <c r="M497" s="11">
        <f>8.0146 * CHOOSE(CONTROL!$C$32, $C$9, 100%, $E$9)</f>
        <v>8.0145999999999997</v>
      </c>
      <c r="N497" s="11">
        <f>8.011 * CHOOSE(CONTROL!$C$32, $C$9, 100%, $E$9)</f>
        <v>8.0109999999999992</v>
      </c>
      <c r="O497" s="11">
        <f>8.0146 * CHOOSE(CONTROL!$C$32, $C$9, 100%, $E$9)</f>
        <v>8.0145999999999997</v>
      </c>
    </row>
    <row r="498" spans="1:15" ht="15" x14ac:dyDescent="0.2">
      <c r="A498" s="13">
        <v>56005</v>
      </c>
      <c r="B498" s="9">
        <f>7.052 * CHOOSE(CONTROL!$C$32, $C$9, 100%, $E$9)</f>
        <v>7.0519999999999996</v>
      </c>
      <c r="C498" s="9">
        <f>7.052 * CHOOSE(CONTROL!$C$32, $C$9, 100%, $E$9)</f>
        <v>7.0519999999999996</v>
      </c>
      <c r="D498" s="9">
        <f>7.0536 * CHOOSE(CONTROL!$C$32, $C$9, 100%, $E$9)</f>
        <v>7.0536000000000003</v>
      </c>
      <c r="E498" s="11">
        <f>8.0663 * CHOOSE(CONTROL!$C$32, $C$9, 100%, $E$9)</f>
        <v>8.0663</v>
      </c>
      <c r="F498" s="11">
        <f>8.0663 * CHOOSE(CONTROL!$C$32, $C$9, 100%, $E$9)</f>
        <v>8.0663</v>
      </c>
      <c r="G498" s="11">
        <f>8.0716 * CHOOSE(CONTROL!$C$32, $C$9, 100%, $E$9)</f>
        <v>8.0716000000000001</v>
      </c>
      <c r="H498" s="11">
        <f>15.1828 * CHOOSE(CONTROL!$C$32, $C$9, 100%, $E$9)</f>
        <v>15.1828</v>
      </c>
      <c r="I498" s="11">
        <f>15.1881 * CHOOSE(CONTROL!$C$32, $C$9, 100%, $E$9)</f>
        <v>15.1881</v>
      </c>
      <c r="J498" s="11">
        <f>15.1828 * CHOOSE(CONTROL!$C$32, $C$9, 100%, $E$9)</f>
        <v>15.1828</v>
      </c>
      <c r="K498" s="11">
        <f>15.1881 * CHOOSE(CONTROL!$C$32, $C$9, 100%, $E$9)</f>
        <v>15.1881</v>
      </c>
      <c r="L498" s="11">
        <f>8.0663 * CHOOSE(CONTROL!$C$32, $C$9, 100%, $E$9)</f>
        <v>8.0663</v>
      </c>
      <c r="M498" s="11">
        <f>8.0716 * CHOOSE(CONTROL!$C$32, $C$9, 100%, $E$9)</f>
        <v>8.0716000000000001</v>
      </c>
      <c r="N498" s="11">
        <f>8.0663 * CHOOSE(CONTROL!$C$32, $C$9, 100%, $E$9)</f>
        <v>8.0663</v>
      </c>
      <c r="O498" s="11">
        <f>8.0716 * CHOOSE(CONTROL!$C$32, $C$9, 100%, $E$9)</f>
        <v>8.0716000000000001</v>
      </c>
    </row>
    <row r="499" spans="1:15" ht="15" x14ac:dyDescent="0.2">
      <c r="A499" s="13">
        <v>56036</v>
      </c>
      <c r="B499" s="9">
        <f>7.0581 * CHOOSE(CONTROL!$C$32, $C$9, 100%, $E$9)</f>
        <v>7.0580999999999996</v>
      </c>
      <c r="C499" s="9">
        <f>7.0581 * CHOOSE(CONTROL!$C$32, $C$9, 100%, $E$9)</f>
        <v>7.0580999999999996</v>
      </c>
      <c r="D499" s="9">
        <f>7.0597 * CHOOSE(CONTROL!$C$32, $C$9, 100%, $E$9)</f>
        <v>7.0597000000000003</v>
      </c>
      <c r="E499" s="11">
        <f>8.0152 * CHOOSE(CONTROL!$C$32, $C$9, 100%, $E$9)</f>
        <v>8.0152000000000001</v>
      </c>
      <c r="F499" s="11">
        <f>8.0152 * CHOOSE(CONTROL!$C$32, $C$9, 100%, $E$9)</f>
        <v>8.0152000000000001</v>
      </c>
      <c r="G499" s="11">
        <f>8.0205 * CHOOSE(CONTROL!$C$32, $C$9, 100%, $E$9)</f>
        <v>8.0205000000000002</v>
      </c>
      <c r="H499" s="11">
        <f>15.2145 * CHOOSE(CONTROL!$C$32, $C$9, 100%, $E$9)</f>
        <v>15.214499999999999</v>
      </c>
      <c r="I499" s="11">
        <f>15.2197 * CHOOSE(CONTROL!$C$32, $C$9, 100%, $E$9)</f>
        <v>15.2197</v>
      </c>
      <c r="J499" s="11">
        <f>15.2145 * CHOOSE(CONTROL!$C$32, $C$9, 100%, $E$9)</f>
        <v>15.214499999999999</v>
      </c>
      <c r="K499" s="11">
        <f>15.2197 * CHOOSE(CONTROL!$C$32, $C$9, 100%, $E$9)</f>
        <v>15.2197</v>
      </c>
      <c r="L499" s="11">
        <f>8.0152 * CHOOSE(CONTROL!$C$32, $C$9, 100%, $E$9)</f>
        <v>8.0152000000000001</v>
      </c>
      <c r="M499" s="11">
        <f>8.0205 * CHOOSE(CONTROL!$C$32, $C$9, 100%, $E$9)</f>
        <v>8.0205000000000002</v>
      </c>
      <c r="N499" s="11">
        <f>8.0152 * CHOOSE(CONTROL!$C$32, $C$9, 100%, $E$9)</f>
        <v>8.0152000000000001</v>
      </c>
      <c r="O499" s="11">
        <f>8.0205 * CHOOSE(CONTROL!$C$32, $C$9, 100%, $E$9)</f>
        <v>8.0205000000000002</v>
      </c>
    </row>
    <row r="500" spans="1:15" ht="15" x14ac:dyDescent="0.2">
      <c r="A500" s="13">
        <v>56066</v>
      </c>
      <c r="B500" s="9">
        <f>7.1502 * CHOOSE(CONTROL!$C$32, $C$9, 100%, $E$9)</f>
        <v>7.1501999999999999</v>
      </c>
      <c r="C500" s="9">
        <f>7.1502 * CHOOSE(CONTROL!$C$32, $C$9, 100%, $E$9)</f>
        <v>7.1501999999999999</v>
      </c>
      <c r="D500" s="9">
        <f>7.1518 * CHOOSE(CONTROL!$C$32, $C$9, 100%, $E$9)</f>
        <v>7.1517999999999997</v>
      </c>
      <c r="E500" s="11">
        <f>8.1252 * CHOOSE(CONTROL!$C$32, $C$9, 100%, $E$9)</f>
        <v>8.1251999999999995</v>
      </c>
      <c r="F500" s="11">
        <f>8.1252 * CHOOSE(CONTROL!$C$32, $C$9, 100%, $E$9)</f>
        <v>8.1251999999999995</v>
      </c>
      <c r="G500" s="11">
        <f>8.1305 * CHOOSE(CONTROL!$C$32, $C$9, 100%, $E$9)</f>
        <v>8.1304999999999996</v>
      </c>
      <c r="H500" s="11">
        <f>15.2461 * CHOOSE(CONTROL!$C$32, $C$9, 100%, $E$9)</f>
        <v>15.2461</v>
      </c>
      <c r="I500" s="11">
        <f>15.2514 * CHOOSE(CONTROL!$C$32, $C$9, 100%, $E$9)</f>
        <v>15.2514</v>
      </c>
      <c r="J500" s="11">
        <f>15.2461 * CHOOSE(CONTROL!$C$32, $C$9, 100%, $E$9)</f>
        <v>15.2461</v>
      </c>
      <c r="K500" s="11">
        <f>15.2514 * CHOOSE(CONTROL!$C$32, $C$9, 100%, $E$9)</f>
        <v>15.2514</v>
      </c>
      <c r="L500" s="11">
        <f>8.1252 * CHOOSE(CONTROL!$C$32, $C$9, 100%, $E$9)</f>
        <v>8.1251999999999995</v>
      </c>
      <c r="M500" s="11">
        <f>8.1305 * CHOOSE(CONTROL!$C$32, $C$9, 100%, $E$9)</f>
        <v>8.1304999999999996</v>
      </c>
      <c r="N500" s="11">
        <f>8.1252 * CHOOSE(CONTROL!$C$32, $C$9, 100%, $E$9)</f>
        <v>8.1251999999999995</v>
      </c>
      <c r="O500" s="11">
        <f>8.1305 * CHOOSE(CONTROL!$C$32, $C$9, 100%, $E$9)</f>
        <v>8.1304999999999996</v>
      </c>
    </row>
    <row r="501" spans="1:15" ht="15" x14ac:dyDescent="0.2">
      <c r="A501" s="13">
        <v>56097</v>
      </c>
      <c r="B501" s="9">
        <f>7.1569 * CHOOSE(CONTROL!$C$32, $C$9, 100%, $E$9)</f>
        <v>7.1569000000000003</v>
      </c>
      <c r="C501" s="9">
        <f>7.1569 * CHOOSE(CONTROL!$C$32, $C$9, 100%, $E$9)</f>
        <v>7.1569000000000003</v>
      </c>
      <c r="D501" s="9">
        <f>7.1585 * CHOOSE(CONTROL!$C$32, $C$9, 100%, $E$9)</f>
        <v>7.1585000000000001</v>
      </c>
      <c r="E501" s="11">
        <f>7.9639 * CHOOSE(CONTROL!$C$32, $C$9, 100%, $E$9)</f>
        <v>7.9638999999999998</v>
      </c>
      <c r="F501" s="11">
        <f>7.9639 * CHOOSE(CONTROL!$C$32, $C$9, 100%, $E$9)</f>
        <v>7.9638999999999998</v>
      </c>
      <c r="G501" s="11">
        <f>7.9692 * CHOOSE(CONTROL!$C$32, $C$9, 100%, $E$9)</f>
        <v>7.9691999999999998</v>
      </c>
      <c r="H501" s="11">
        <f>15.2779 * CHOOSE(CONTROL!$C$32, $C$9, 100%, $E$9)</f>
        <v>15.277900000000001</v>
      </c>
      <c r="I501" s="11">
        <f>15.2832 * CHOOSE(CONTROL!$C$32, $C$9, 100%, $E$9)</f>
        <v>15.283200000000001</v>
      </c>
      <c r="J501" s="11">
        <f>15.2779 * CHOOSE(CONTROL!$C$32, $C$9, 100%, $E$9)</f>
        <v>15.277900000000001</v>
      </c>
      <c r="K501" s="11">
        <f>15.2832 * CHOOSE(CONTROL!$C$32, $C$9, 100%, $E$9)</f>
        <v>15.283200000000001</v>
      </c>
      <c r="L501" s="11">
        <f>7.9639 * CHOOSE(CONTROL!$C$32, $C$9, 100%, $E$9)</f>
        <v>7.9638999999999998</v>
      </c>
      <c r="M501" s="11">
        <f>7.9692 * CHOOSE(CONTROL!$C$32, $C$9, 100%, $E$9)</f>
        <v>7.9691999999999998</v>
      </c>
      <c r="N501" s="11">
        <f>7.9639 * CHOOSE(CONTROL!$C$32, $C$9, 100%, $E$9)</f>
        <v>7.9638999999999998</v>
      </c>
      <c r="O501" s="11">
        <f>7.9692 * CHOOSE(CONTROL!$C$32, $C$9, 100%, $E$9)</f>
        <v>7.9691999999999998</v>
      </c>
    </row>
    <row r="502" spans="1:15" ht="15" x14ac:dyDescent="0.2">
      <c r="A502" s="13">
        <v>56128</v>
      </c>
      <c r="B502" s="9">
        <f>7.1539 * CHOOSE(CONTROL!$C$32, $C$9, 100%, $E$9)</f>
        <v>7.1539000000000001</v>
      </c>
      <c r="C502" s="9">
        <f>7.1539 * CHOOSE(CONTROL!$C$32, $C$9, 100%, $E$9)</f>
        <v>7.1539000000000001</v>
      </c>
      <c r="D502" s="9">
        <f>7.1554 * CHOOSE(CONTROL!$C$32, $C$9, 100%, $E$9)</f>
        <v>7.1554000000000002</v>
      </c>
      <c r="E502" s="11">
        <f>7.9433 * CHOOSE(CONTROL!$C$32, $C$9, 100%, $E$9)</f>
        <v>7.9432999999999998</v>
      </c>
      <c r="F502" s="11">
        <f>7.9433 * CHOOSE(CONTROL!$C$32, $C$9, 100%, $E$9)</f>
        <v>7.9432999999999998</v>
      </c>
      <c r="G502" s="11">
        <f>7.9486 * CHOOSE(CONTROL!$C$32, $C$9, 100%, $E$9)</f>
        <v>7.9485999999999999</v>
      </c>
      <c r="H502" s="11">
        <f>15.3097 * CHOOSE(CONTROL!$C$32, $C$9, 100%, $E$9)</f>
        <v>15.309699999999999</v>
      </c>
      <c r="I502" s="11">
        <f>15.315 * CHOOSE(CONTROL!$C$32, $C$9, 100%, $E$9)</f>
        <v>15.315</v>
      </c>
      <c r="J502" s="11">
        <f>15.3097 * CHOOSE(CONTROL!$C$32, $C$9, 100%, $E$9)</f>
        <v>15.309699999999999</v>
      </c>
      <c r="K502" s="11">
        <f>15.315 * CHOOSE(CONTROL!$C$32, $C$9, 100%, $E$9)</f>
        <v>15.315</v>
      </c>
      <c r="L502" s="11">
        <f>7.9433 * CHOOSE(CONTROL!$C$32, $C$9, 100%, $E$9)</f>
        <v>7.9432999999999998</v>
      </c>
      <c r="M502" s="11">
        <f>7.9486 * CHOOSE(CONTROL!$C$32, $C$9, 100%, $E$9)</f>
        <v>7.9485999999999999</v>
      </c>
      <c r="N502" s="11">
        <f>7.9433 * CHOOSE(CONTROL!$C$32, $C$9, 100%, $E$9)</f>
        <v>7.9432999999999998</v>
      </c>
      <c r="O502" s="11">
        <f>7.9486 * CHOOSE(CONTROL!$C$32, $C$9, 100%, $E$9)</f>
        <v>7.9485999999999999</v>
      </c>
    </row>
    <row r="503" spans="1:15" ht="15" x14ac:dyDescent="0.2">
      <c r="A503" s="13">
        <v>56158</v>
      </c>
      <c r="B503" s="9">
        <f>7.1607 * CHOOSE(CONTROL!$C$32, $C$9, 100%, $E$9)</f>
        <v>7.1607000000000003</v>
      </c>
      <c r="C503" s="9">
        <f>7.1607 * CHOOSE(CONTROL!$C$32, $C$9, 100%, $E$9)</f>
        <v>7.1607000000000003</v>
      </c>
      <c r="D503" s="9">
        <f>7.1617 * CHOOSE(CONTROL!$C$32, $C$9, 100%, $E$9)</f>
        <v>7.1616999999999997</v>
      </c>
      <c r="E503" s="11">
        <f>8.0037 * CHOOSE(CONTROL!$C$32, $C$9, 100%, $E$9)</f>
        <v>8.0037000000000003</v>
      </c>
      <c r="F503" s="11">
        <f>8.0037 * CHOOSE(CONTROL!$C$32, $C$9, 100%, $E$9)</f>
        <v>8.0037000000000003</v>
      </c>
      <c r="G503" s="11">
        <f>8.0073 * CHOOSE(CONTROL!$C$32, $C$9, 100%, $E$9)</f>
        <v>8.0073000000000008</v>
      </c>
      <c r="H503" s="11">
        <f>15.3416 * CHOOSE(CONTROL!$C$32, $C$9, 100%, $E$9)</f>
        <v>15.3416</v>
      </c>
      <c r="I503" s="11">
        <f>15.3453 * CHOOSE(CONTROL!$C$32, $C$9, 100%, $E$9)</f>
        <v>15.3453</v>
      </c>
      <c r="J503" s="11">
        <f>15.3416 * CHOOSE(CONTROL!$C$32, $C$9, 100%, $E$9)</f>
        <v>15.3416</v>
      </c>
      <c r="K503" s="11">
        <f>15.3453 * CHOOSE(CONTROL!$C$32, $C$9, 100%, $E$9)</f>
        <v>15.3453</v>
      </c>
      <c r="L503" s="11">
        <f>8.0037 * CHOOSE(CONTROL!$C$32, $C$9, 100%, $E$9)</f>
        <v>8.0037000000000003</v>
      </c>
      <c r="M503" s="11">
        <f>8.0073 * CHOOSE(CONTROL!$C$32, $C$9, 100%, $E$9)</f>
        <v>8.0073000000000008</v>
      </c>
      <c r="N503" s="11">
        <f>8.0037 * CHOOSE(CONTROL!$C$32, $C$9, 100%, $E$9)</f>
        <v>8.0037000000000003</v>
      </c>
      <c r="O503" s="11">
        <f>8.0073 * CHOOSE(CONTROL!$C$32, $C$9, 100%, $E$9)</f>
        <v>8.0073000000000008</v>
      </c>
    </row>
    <row r="504" spans="1:15" ht="15" x14ac:dyDescent="0.2">
      <c r="A504" s="13">
        <v>56189</v>
      </c>
      <c r="B504" s="9">
        <f>7.1637 * CHOOSE(CONTROL!$C$32, $C$9, 100%, $E$9)</f>
        <v>7.1637000000000004</v>
      </c>
      <c r="C504" s="9">
        <f>7.1637 * CHOOSE(CONTROL!$C$32, $C$9, 100%, $E$9)</f>
        <v>7.1637000000000004</v>
      </c>
      <c r="D504" s="9">
        <f>7.1648 * CHOOSE(CONTROL!$C$32, $C$9, 100%, $E$9)</f>
        <v>7.1647999999999996</v>
      </c>
      <c r="E504" s="11">
        <f>8.0427 * CHOOSE(CONTROL!$C$32, $C$9, 100%, $E$9)</f>
        <v>8.0427</v>
      </c>
      <c r="F504" s="11">
        <f>8.0427 * CHOOSE(CONTROL!$C$32, $C$9, 100%, $E$9)</f>
        <v>8.0427</v>
      </c>
      <c r="G504" s="11">
        <f>8.0463 * CHOOSE(CONTROL!$C$32, $C$9, 100%, $E$9)</f>
        <v>8.0463000000000005</v>
      </c>
      <c r="H504" s="11">
        <f>15.3736 * CHOOSE(CONTROL!$C$32, $C$9, 100%, $E$9)</f>
        <v>15.3736</v>
      </c>
      <c r="I504" s="11">
        <f>15.3772 * CHOOSE(CONTROL!$C$32, $C$9, 100%, $E$9)</f>
        <v>15.3772</v>
      </c>
      <c r="J504" s="11">
        <f>15.3736 * CHOOSE(CONTROL!$C$32, $C$9, 100%, $E$9)</f>
        <v>15.3736</v>
      </c>
      <c r="K504" s="11">
        <f>15.3772 * CHOOSE(CONTROL!$C$32, $C$9, 100%, $E$9)</f>
        <v>15.3772</v>
      </c>
      <c r="L504" s="11">
        <f>8.0427 * CHOOSE(CONTROL!$C$32, $C$9, 100%, $E$9)</f>
        <v>8.0427</v>
      </c>
      <c r="M504" s="11">
        <f>8.0463 * CHOOSE(CONTROL!$C$32, $C$9, 100%, $E$9)</f>
        <v>8.0463000000000005</v>
      </c>
      <c r="N504" s="11">
        <f>8.0427 * CHOOSE(CONTROL!$C$32, $C$9, 100%, $E$9)</f>
        <v>8.0427</v>
      </c>
      <c r="O504" s="11">
        <f>8.0463 * CHOOSE(CONTROL!$C$32, $C$9, 100%, $E$9)</f>
        <v>8.0463000000000005</v>
      </c>
    </row>
    <row r="505" spans="1:15" ht="15" x14ac:dyDescent="0.2">
      <c r="A505" s="13">
        <v>56219</v>
      </c>
      <c r="B505" s="9">
        <f>7.1637 * CHOOSE(CONTROL!$C$32, $C$9, 100%, $E$9)</f>
        <v>7.1637000000000004</v>
      </c>
      <c r="C505" s="9">
        <f>7.1637 * CHOOSE(CONTROL!$C$32, $C$9, 100%, $E$9)</f>
        <v>7.1637000000000004</v>
      </c>
      <c r="D505" s="9">
        <f>7.1648 * CHOOSE(CONTROL!$C$32, $C$9, 100%, $E$9)</f>
        <v>7.1647999999999996</v>
      </c>
      <c r="E505" s="11">
        <f>7.9504 * CHOOSE(CONTROL!$C$32, $C$9, 100%, $E$9)</f>
        <v>7.9504000000000001</v>
      </c>
      <c r="F505" s="11">
        <f>7.9504 * CHOOSE(CONTROL!$C$32, $C$9, 100%, $E$9)</f>
        <v>7.9504000000000001</v>
      </c>
      <c r="G505" s="11">
        <f>7.9541 * CHOOSE(CONTROL!$C$32, $C$9, 100%, $E$9)</f>
        <v>7.9541000000000004</v>
      </c>
      <c r="H505" s="11">
        <f>15.4056 * CHOOSE(CONTROL!$C$32, $C$9, 100%, $E$9)</f>
        <v>15.4056</v>
      </c>
      <c r="I505" s="11">
        <f>15.4092 * CHOOSE(CONTROL!$C$32, $C$9, 100%, $E$9)</f>
        <v>15.4092</v>
      </c>
      <c r="J505" s="11">
        <f>15.4056 * CHOOSE(CONTROL!$C$32, $C$9, 100%, $E$9)</f>
        <v>15.4056</v>
      </c>
      <c r="K505" s="11">
        <f>15.4092 * CHOOSE(CONTROL!$C$32, $C$9, 100%, $E$9)</f>
        <v>15.4092</v>
      </c>
      <c r="L505" s="11">
        <f>7.9504 * CHOOSE(CONTROL!$C$32, $C$9, 100%, $E$9)</f>
        <v>7.9504000000000001</v>
      </c>
      <c r="M505" s="11">
        <f>7.9541 * CHOOSE(CONTROL!$C$32, $C$9, 100%, $E$9)</f>
        <v>7.9541000000000004</v>
      </c>
      <c r="N505" s="11">
        <f>7.9504 * CHOOSE(CONTROL!$C$32, $C$9, 100%, $E$9)</f>
        <v>7.9504000000000001</v>
      </c>
      <c r="O505" s="11">
        <f>7.9541 * CHOOSE(CONTROL!$C$32, $C$9, 100%, $E$9)</f>
        <v>7.9541000000000004</v>
      </c>
    </row>
    <row r="506" spans="1:15" ht="15" x14ac:dyDescent="0.2">
      <c r="A506" s="13">
        <v>56250</v>
      </c>
      <c r="B506" s="9">
        <f>7.2176 * CHOOSE(CONTROL!$C$32, $C$9, 100%, $E$9)</f>
        <v>7.2176</v>
      </c>
      <c r="C506" s="9">
        <f>7.2176 * CHOOSE(CONTROL!$C$32, $C$9, 100%, $E$9)</f>
        <v>7.2176</v>
      </c>
      <c r="D506" s="9">
        <f>7.2187 * CHOOSE(CONTROL!$C$32, $C$9, 100%, $E$9)</f>
        <v>7.2187000000000001</v>
      </c>
      <c r="E506" s="11">
        <f>8.0845 * CHOOSE(CONTROL!$C$32, $C$9, 100%, $E$9)</f>
        <v>8.0845000000000002</v>
      </c>
      <c r="F506" s="11">
        <f>8.0845 * CHOOSE(CONTROL!$C$32, $C$9, 100%, $E$9)</f>
        <v>8.0845000000000002</v>
      </c>
      <c r="G506" s="11">
        <f>8.0881 * CHOOSE(CONTROL!$C$32, $C$9, 100%, $E$9)</f>
        <v>8.0881000000000007</v>
      </c>
      <c r="H506" s="11">
        <f>15.4377 * CHOOSE(CONTROL!$C$32, $C$9, 100%, $E$9)</f>
        <v>15.4377</v>
      </c>
      <c r="I506" s="11">
        <f>15.4413 * CHOOSE(CONTROL!$C$32, $C$9, 100%, $E$9)</f>
        <v>15.4413</v>
      </c>
      <c r="J506" s="11">
        <f>15.4377 * CHOOSE(CONTROL!$C$32, $C$9, 100%, $E$9)</f>
        <v>15.4377</v>
      </c>
      <c r="K506" s="11">
        <f>15.4413 * CHOOSE(CONTROL!$C$32, $C$9, 100%, $E$9)</f>
        <v>15.4413</v>
      </c>
      <c r="L506" s="11">
        <f>8.0845 * CHOOSE(CONTROL!$C$32, $C$9, 100%, $E$9)</f>
        <v>8.0845000000000002</v>
      </c>
      <c r="M506" s="11">
        <f>8.0881 * CHOOSE(CONTROL!$C$32, $C$9, 100%, $E$9)</f>
        <v>8.0881000000000007</v>
      </c>
      <c r="N506" s="11">
        <f>8.0845 * CHOOSE(CONTROL!$C$32, $C$9, 100%, $E$9)</f>
        <v>8.0845000000000002</v>
      </c>
      <c r="O506" s="11">
        <f>8.0881 * CHOOSE(CONTROL!$C$32, $C$9, 100%, $E$9)</f>
        <v>8.0881000000000007</v>
      </c>
    </row>
    <row r="507" spans="1:15" ht="15" x14ac:dyDescent="0.2">
      <c r="A507" s="13">
        <v>56281</v>
      </c>
      <c r="B507" s="9">
        <f>7.2146 * CHOOSE(CONTROL!$C$32, $C$9, 100%, $E$9)</f>
        <v>7.2145999999999999</v>
      </c>
      <c r="C507" s="9">
        <f>7.2146 * CHOOSE(CONTROL!$C$32, $C$9, 100%, $E$9)</f>
        <v>7.2145999999999999</v>
      </c>
      <c r="D507" s="9">
        <f>7.2156 * CHOOSE(CONTROL!$C$32, $C$9, 100%, $E$9)</f>
        <v>7.2156000000000002</v>
      </c>
      <c r="E507" s="11">
        <f>7.9024 * CHOOSE(CONTROL!$C$32, $C$9, 100%, $E$9)</f>
        <v>7.9024000000000001</v>
      </c>
      <c r="F507" s="11">
        <f>7.9024 * CHOOSE(CONTROL!$C$32, $C$9, 100%, $E$9)</f>
        <v>7.9024000000000001</v>
      </c>
      <c r="G507" s="11">
        <f>7.906 * CHOOSE(CONTROL!$C$32, $C$9, 100%, $E$9)</f>
        <v>7.9059999999999997</v>
      </c>
      <c r="H507" s="11">
        <f>15.4699 * CHOOSE(CONTROL!$C$32, $C$9, 100%, $E$9)</f>
        <v>15.469900000000001</v>
      </c>
      <c r="I507" s="11">
        <f>15.4735 * CHOOSE(CONTROL!$C$32, $C$9, 100%, $E$9)</f>
        <v>15.4735</v>
      </c>
      <c r="J507" s="11">
        <f>15.4699 * CHOOSE(CONTROL!$C$32, $C$9, 100%, $E$9)</f>
        <v>15.469900000000001</v>
      </c>
      <c r="K507" s="11">
        <f>15.4735 * CHOOSE(CONTROL!$C$32, $C$9, 100%, $E$9)</f>
        <v>15.4735</v>
      </c>
      <c r="L507" s="11">
        <f>7.9024 * CHOOSE(CONTROL!$C$32, $C$9, 100%, $E$9)</f>
        <v>7.9024000000000001</v>
      </c>
      <c r="M507" s="11">
        <f>7.906 * CHOOSE(CONTROL!$C$32, $C$9, 100%, $E$9)</f>
        <v>7.9059999999999997</v>
      </c>
      <c r="N507" s="11">
        <f>7.9024 * CHOOSE(CONTROL!$C$32, $C$9, 100%, $E$9)</f>
        <v>7.9024000000000001</v>
      </c>
      <c r="O507" s="11">
        <f>7.906 * CHOOSE(CONTROL!$C$32, $C$9, 100%, $E$9)</f>
        <v>7.9059999999999997</v>
      </c>
    </row>
    <row r="508" spans="1:15" ht="15" x14ac:dyDescent="0.2">
      <c r="A508" s="13">
        <v>56309</v>
      </c>
      <c r="B508" s="9">
        <f>7.2115 * CHOOSE(CONTROL!$C$32, $C$9, 100%, $E$9)</f>
        <v>7.2115</v>
      </c>
      <c r="C508" s="9">
        <f>7.2115 * CHOOSE(CONTROL!$C$32, $C$9, 100%, $E$9)</f>
        <v>7.2115</v>
      </c>
      <c r="D508" s="9">
        <f>7.2126 * CHOOSE(CONTROL!$C$32, $C$9, 100%, $E$9)</f>
        <v>7.2126000000000001</v>
      </c>
      <c r="E508" s="11">
        <f>8.0422 * CHOOSE(CONTROL!$C$32, $C$9, 100%, $E$9)</f>
        <v>8.0421999999999993</v>
      </c>
      <c r="F508" s="11">
        <f>8.0422 * CHOOSE(CONTROL!$C$32, $C$9, 100%, $E$9)</f>
        <v>8.0421999999999993</v>
      </c>
      <c r="G508" s="11">
        <f>8.0458 * CHOOSE(CONTROL!$C$32, $C$9, 100%, $E$9)</f>
        <v>8.0457999999999998</v>
      </c>
      <c r="H508" s="11">
        <f>15.5021 * CHOOSE(CONTROL!$C$32, $C$9, 100%, $E$9)</f>
        <v>15.5021</v>
      </c>
      <c r="I508" s="11">
        <f>15.5057 * CHOOSE(CONTROL!$C$32, $C$9, 100%, $E$9)</f>
        <v>15.505699999999999</v>
      </c>
      <c r="J508" s="11">
        <f>15.5021 * CHOOSE(CONTROL!$C$32, $C$9, 100%, $E$9)</f>
        <v>15.5021</v>
      </c>
      <c r="K508" s="11">
        <f>15.5057 * CHOOSE(CONTROL!$C$32, $C$9, 100%, $E$9)</f>
        <v>15.505699999999999</v>
      </c>
      <c r="L508" s="11">
        <f>8.0422 * CHOOSE(CONTROL!$C$32, $C$9, 100%, $E$9)</f>
        <v>8.0421999999999993</v>
      </c>
      <c r="M508" s="11">
        <f>8.0458 * CHOOSE(CONTROL!$C$32, $C$9, 100%, $E$9)</f>
        <v>8.0457999999999998</v>
      </c>
      <c r="N508" s="11">
        <f>8.0422 * CHOOSE(CONTROL!$C$32, $C$9, 100%, $E$9)</f>
        <v>8.0421999999999993</v>
      </c>
      <c r="O508" s="11">
        <f>8.0458 * CHOOSE(CONTROL!$C$32, $C$9, 100%, $E$9)</f>
        <v>8.0457999999999998</v>
      </c>
    </row>
    <row r="509" spans="1:15" ht="15" x14ac:dyDescent="0.2">
      <c r="A509" s="13">
        <v>56340</v>
      </c>
      <c r="B509" s="9">
        <f>7.2123 * CHOOSE(CONTROL!$C$32, $C$9, 100%, $E$9)</f>
        <v>7.2122999999999999</v>
      </c>
      <c r="C509" s="9">
        <f>7.2123 * CHOOSE(CONTROL!$C$32, $C$9, 100%, $E$9)</f>
        <v>7.2122999999999999</v>
      </c>
      <c r="D509" s="9">
        <f>7.2134 * CHOOSE(CONTROL!$C$32, $C$9, 100%, $E$9)</f>
        <v>7.2134</v>
      </c>
      <c r="E509" s="11">
        <f>8.1903 * CHOOSE(CONTROL!$C$32, $C$9, 100%, $E$9)</f>
        <v>8.1903000000000006</v>
      </c>
      <c r="F509" s="11">
        <f>8.1903 * CHOOSE(CONTROL!$C$32, $C$9, 100%, $E$9)</f>
        <v>8.1903000000000006</v>
      </c>
      <c r="G509" s="11">
        <f>8.1939 * CHOOSE(CONTROL!$C$32, $C$9, 100%, $E$9)</f>
        <v>8.1938999999999993</v>
      </c>
      <c r="H509" s="11">
        <f>15.5344 * CHOOSE(CONTROL!$C$32, $C$9, 100%, $E$9)</f>
        <v>15.5344</v>
      </c>
      <c r="I509" s="11">
        <f>15.538 * CHOOSE(CONTROL!$C$32, $C$9, 100%, $E$9)</f>
        <v>15.538</v>
      </c>
      <c r="J509" s="11">
        <f>15.5344 * CHOOSE(CONTROL!$C$32, $C$9, 100%, $E$9)</f>
        <v>15.5344</v>
      </c>
      <c r="K509" s="11">
        <f>15.538 * CHOOSE(CONTROL!$C$32, $C$9, 100%, $E$9)</f>
        <v>15.538</v>
      </c>
      <c r="L509" s="11">
        <f>8.1903 * CHOOSE(CONTROL!$C$32, $C$9, 100%, $E$9)</f>
        <v>8.1903000000000006</v>
      </c>
      <c r="M509" s="11">
        <f>8.1939 * CHOOSE(CONTROL!$C$32, $C$9, 100%, $E$9)</f>
        <v>8.1938999999999993</v>
      </c>
      <c r="N509" s="11">
        <f>8.1903 * CHOOSE(CONTROL!$C$32, $C$9, 100%, $E$9)</f>
        <v>8.1903000000000006</v>
      </c>
      <c r="O509" s="11">
        <f>8.1939 * CHOOSE(CONTROL!$C$32, $C$9, 100%, $E$9)</f>
        <v>8.1938999999999993</v>
      </c>
    </row>
    <row r="510" spans="1:15" ht="15" x14ac:dyDescent="0.2">
      <c r="A510" s="13">
        <v>56370</v>
      </c>
      <c r="B510" s="9">
        <f>7.2123 * CHOOSE(CONTROL!$C$32, $C$9, 100%, $E$9)</f>
        <v>7.2122999999999999</v>
      </c>
      <c r="C510" s="9">
        <f>7.2123 * CHOOSE(CONTROL!$C$32, $C$9, 100%, $E$9)</f>
        <v>7.2122999999999999</v>
      </c>
      <c r="D510" s="9">
        <f>7.2139 * CHOOSE(CONTROL!$C$32, $C$9, 100%, $E$9)</f>
        <v>7.2138999999999998</v>
      </c>
      <c r="E510" s="11">
        <f>8.2474 * CHOOSE(CONTROL!$C$32, $C$9, 100%, $E$9)</f>
        <v>8.2474000000000007</v>
      </c>
      <c r="F510" s="11">
        <f>8.2474 * CHOOSE(CONTROL!$C$32, $C$9, 100%, $E$9)</f>
        <v>8.2474000000000007</v>
      </c>
      <c r="G510" s="11">
        <f>8.2527 * CHOOSE(CONTROL!$C$32, $C$9, 100%, $E$9)</f>
        <v>8.2527000000000008</v>
      </c>
      <c r="H510" s="11">
        <f>15.5668 * CHOOSE(CONTROL!$C$32, $C$9, 100%, $E$9)</f>
        <v>15.566800000000001</v>
      </c>
      <c r="I510" s="11">
        <f>15.5721 * CHOOSE(CONTROL!$C$32, $C$9, 100%, $E$9)</f>
        <v>15.572100000000001</v>
      </c>
      <c r="J510" s="11">
        <f>15.5668 * CHOOSE(CONTROL!$C$32, $C$9, 100%, $E$9)</f>
        <v>15.566800000000001</v>
      </c>
      <c r="K510" s="11">
        <f>15.5721 * CHOOSE(CONTROL!$C$32, $C$9, 100%, $E$9)</f>
        <v>15.572100000000001</v>
      </c>
      <c r="L510" s="11">
        <f>8.2474 * CHOOSE(CONTROL!$C$32, $C$9, 100%, $E$9)</f>
        <v>8.2474000000000007</v>
      </c>
      <c r="M510" s="11">
        <f>8.2527 * CHOOSE(CONTROL!$C$32, $C$9, 100%, $E$9)</f>
        <v>8.2527000000000008</v>
      </c>
      <c r="N510" s="11">
        <f>8.2474 * CHOOSE(CONTROL!$C$32, $C$9, 100%, $E$9)</f>
        <v>8.2474000000000007</v>
      </c>
      <c r="O510" s="11">
        <f>8.2527 * CHOOSE(CONTROL!$C$32, $C$9, 100%, $E$9)</f>
        <v>8.2527000000000008</v>
      </c>
    </row>
    <row r="511" spans="1:15" ht="15" x14ac:dyDescent="0.2">
      <c r="A511" s="13">
        <v>56401</v>
      </c>
      <c r="B511" s="9">
        <f>7.2184 * CHOOSE(CONTROL!$C$32, $C$9, 100%, $E$9)</f>
        <v>7.2183999999999999</v>
      </c>
      <c r="C511" s="9">
        <f>7.2184 * CHOOSE(CONTROL!$C$32, $C$9, 100%, $E$9)</f>
        <v>7.2183999999999999</v>
      </c>
      <c r="D511" s="9">
        <f>7.2199 * CHOOSE(CONTROL!$C$32, $C$9, 100%, $E$9)</f>
        <v>7.2199</v>
      </c>
      <c r="E511" s="11">
        <f>8.1945 * CHOOSE(CONTROL!$C$32, $C$9, 100%, $E$9)</f>
        <v>8.1944999999999997</v>
      </c>
      <c r="F511" s="11">
        <f>8.1945 * CHOOSE(CONTROL!$C$32, $C$9, 100%, $E$9)</f>
        <v>8.1944999999999997</v>
      </c>
      <c r="G511" s="11">
        <f>8.1998 * CHOOSE(CONTROL!$C$32, $C$9, 100%, $E$9)</f>
        <v>8.1997999999999998</v>
      </c>
      <c r="H511" s="11">
        <f>15.5992 * CHOOSE(CONTROL!$C$32, $C$9, 100%, $E$9)</f>
        <v>15.5992</v>
      </c>
      <c r="I511" s="11">
        <f>15.6045 * CHOOSE(CONTROL!$C$32, $C$9, 100%, $E$9)</f>
        <v>15.6045</v>
      </c>
      <c r="J511" s="11">
        <f>15.5992 * CHOOSE(CONTROL!$C$32, $C$9, 100%, $E$9)</f>
        <v>15.5992</v>
      </c>
      <c r="K511" s="11">
        <f>15.6045 * CHOOSE(CONTROL!$C$32, $C$9, 100%, $E$9)</f>
        <v>15.6045</v>
      </c>
      <c r="L511" s="11">
        <f>8.1945 * CHOOSE(CONTROL!$C$32, $C$9, 100%, $E$9)</f>
        <v>8.1944999999999997</v>
      </c>
      <c r="M511" s="11">
        <f>8.1998 * CHOOSE(CONTROL!$C$32, $C$9, 100%, $E$9)</f>
        <v>8.1997999999999998</v>
      </c>
      <c r="N511" s="11">
        <f>8.1945 * CHOOSE(CONTROL!$C$32, $C$9, 100%, $E$9)</f>
        <v>8.1944999999999997</v>
      </c>
      <c r="O511" s="11">
        <f>8.1998 * CHOOSE(CONTROL!$C$32, $C$9, 100%, $E$9)</f>
        <v>8.1997999999999998</v>
      </c>
    </row>
    <row r="512" spans="1:15" ht="15" x14ac:dyDescent="0.2">
      <c r="A512" s="13">
        <v>56431</v>
      </c>
      <c r="B512" s="9">
        <f>7.3122 * CHOOSE(CONTROL!$C$32, $C$9, 100%, $E$9)</f>
        <v>7.3121999999999998</v>
      </c>
      <c r="C512" s="9">
        <f>7.3122 * CHOOSE(CONTROL!$C$32, $C$9, 100%, $E$9)</f>
        <v>7.3121999999999998</v>
      </c>
      <c r="D512" s="9">
        <f>7.3138 * CHOOSE(CONTROL!$C$32, $C$9, 100%, $E$9)</f>
        <v>7.3137999999999996</v>
      </c>
      <c r="E512" s="11">
        <f>8.3075 * CHOOSE(CONTROL!$C$32, $C$9, 100%, $E$9)</f>
        <v>8.3074999999999992</v>
      </c>
      <c r="F512" s="11">
        <f>8.3075 * CHOOSE(CONTROL!$C$32, $C$9, 100%, $E$9)</f>
        <v>8.3074999999999992</v>
      </c>
      <c r="G512" s="11">
        <f>8.3128 * CHOOSE(CONTROL!$C$32, $C$9, 100%, $E$9)</f>
        <v>8.3127999999999993</v>
      </c>
      <c r="H512" s="11">
        <f>15.6317 * CHOOSE(CONTROL!$C$32, $C$9, 100%, $E$9)</f>
        <v>15.6317</v>
      </c>
      <c r="I512" s="11">
        <f>15.637 * CHOOSE(CONTROL!$C$32, $C$9, 100%, $E$9)</f>
        <v>15.637</v>
      </c>
      <c r="J512" s="11">
        <f>15.6317 * CHOOSE(CONTROL!$C$32, $C$9, 100%, $E$9)</f>
        <v>15.6317</v>
      </c>
      <c r="K512" s="11">
        <f>15.637 * CHOOSE(CONTROL!$C$32, $C$9, 100%, $E$9)</f>
        <v>15.637</v>
      </c>
      <c r="L512" s="11">
        <f>8.3075 * CHOOSE(CONTROL!$C$32, $C$9, 100%, $E$9)</f>
        <v>8.3074999999999992</v>
      </c>
      <c r="M512" s="11">
        <f>8.3128 * CHOOSE(CONTROL!$C$32, $C$9, 100%, $E$9)</f>
        <v>8.3127999999999993</v>
      </c>
      <c r="N512" s="11">
        <f>8.3075 * CHOOSE(CONTROL!$C$32, $C$9, 100%, $E$9)</f>
        <v>8.3074999999999992</v>
      </c>
      <c r="O512" s="11">
        <f>8.3128 * CHOOSE(CONTROL!$C$32, $C$9, 100%, $E$9)</f>
        <v>8.3127999999999993</v>
      </c>
    </row>
    <row r="513" spans="1:15" ht="15" x14ac:dyDescent="0.2">
      <c r="A513" s="13">
        <v>56462</v>
      </c>
      <c r="B513" s="9">
        <f>7.3189 * CHOOSE(CONTROL!$C$32, $C$9, 100%, $E$9)</f>
        <v>7.3189000000000002</v>
      </c>
      <c r="C513" s="9">
        <f>7.3189 * CHOOSE(CONTROL!$C$32, $C$9, 100%, $E$9)</f>
        <v>7.3189000000000002</v>
      </c>
      <c r="D513" s="9">
        <f>7.3205 * CHOOSE(CONTROL!$C$32, $C$9, 100%, $E$9)</f>
        <v>7.3205</v>
      </c>
      <c r="E513" s="11">
        <f>8.1407 * CHOOSE(CONTROL!$C$32, $C$9, 100%, $E$9)</f>
        <v>8.1407000000000007</v>
      </c>
      <c r="F513" s="11">
        <f>8.1407 * CHOOSE(CONTROL!$C$32, $C$9, 100%, $E$9)</f>
        <v>8.1407000000000007</v>
      </c>
      <c r="G513" s="11">
        <f>8.146 * CHOOSE(CONTROL!$C$32, $C$9, 100%, $E$9)</f>
        <v>8.1460000000000008</v>
      </c>
      <c r="H513" s="11">
        <f>15.6643 * CHOOSE(CONTROL!$C$32, $C$9, 100%, $E$9)</f>
        <v>15.664300000000001</v>
      </c>
      <c r="I513" s="11">
        <f>15.6696 * CHOOSE(CONTROL!$C$32, $C$9, 100%, $E$9)</f>
        <v>15.669600000000001</v>
      </c>
      <c r="J513" s="11">
        <f>15.6643 * CHOOSE(CONTROL!$C$32, $C$9, 100%, $E$9)</f>
        <v>15.664300000000001</v>
      </c>
      <c r="K513" s="11">
        <f>15.6696 * CHOOSE(CONTROL!$C$32, $C$9, 100%, $E$9)</f>
        <v>15.669600000000001</v>
      </c>
      <c r="L513" s="11">
        <f>8.1407 * CHOOSE(CONTROL!$C$32, $C$9, 100%, $E$9)</f>
        <v>8.1407000000000007</v>
      </c>
      <c r="M513" s="11">
        <f>8.146 * CHOOSE(CONTROL!$C$32, $C$9, 100%, $E$9)</f>
        <v>8.1460000000000008</v>
      </c>
      <c r="N513" s="11">
        <f>8.1407 * CHOOSE(CONTROL!$C$32, $C$9, 100%, $E$9)</f>
        <v>8.1407000000000007</v>
      </c>
      <c r="O513" s="11">
        <f>8.146 * CHOOSE(CONTROL!$C$32, $C$9, 100%, $E$9)</f>
        <v>8.1460000000000008</v>
      </c>
    </row>
    <row r="514" spans="1:15" ht="15" x14ac:dyDescent="0.2">
      <c r="A514" s="13">
        <v>56493</v>
      </c>
      <c r="B514" s="9">
        <f>7.3159 * CHOOSE(CONTROL!$C$32, $C$9, 100%, $E$9)</f>
        <v>7.3159000000000001</v>
      </c>
      <c r="C514" s="9">
        <f>7.3159 * CHOOSE(CONTROL!$C$32, $C$9, 100%, $E$9)</f>
        <v>7.3159000000000001</v>
      </c>
      <c r="D514" s="9">
        <f>7.3174 * CHOOSE(CONTROL!$C$32, $C$9, 100%, $E$9)</f>
        <v>7.3174000000000001</v>
      </c>
      <c r="E514" s="11">
        <f>8.1196 * CHOOSE(CONTROL!$C$32, $C$9, 100%, $E$9)</f>
        <v>8.1196000000000002</v>
      </c>
      <c r="F514" s="11">
        <f>8.1196 * CHOOSE(CONTROL!$C$32, $C$9, 100%, $E$9)</f>
        <v>8.1196000000000002</v>
      </c>
      <c r="G514" s="11">
        <f>8.1249 * CHOOSE(CONTROL!$C$32, $C$9, 100%, $E$9)</f>
        <v>8.1249000000000002</v>
      </c>
      <c r="H514" s="11">
        <f>15.6969 * CHOOSE(CONTROL!$C$32, $C$9, 100%, $E$9)</f>
        <v>15.696899999999999</v>
      </c>
      <c r="I514" s="11">
        <f>15.7022 * CHOOSE(CONTROL!$C$32, $C$9, 100%, $E$9)</f>
        <v>15.702199999999999</v>
      </c>
      <c r="J514" s="11">
        <f>15.6969 * CHOOSE(CONTROL!$C$32, $C$9, 100%, $E$9)</f>
        <v>15.696899999999999</v>
      </c>
      <c r="K514" s="11">
        <f>15.7022 * CHOOSE(CONTROL!$C$32, $C$9, 100%, $E$9)</f>
        <v>15.702199999999999</v>
      </c>
      <c r="L514" s="11">
        <f>8.1196 * CHOOSE(CONTROL!$C$32, $C$9, 100%, $E$9)</f>
        <v>8.1196000000000002</v>
      </c>
      <c r="M514" s="11">
        <f>8.1249 * CHOOSE(CONTROL!$C$32, $C$9, 100%, $E$9)</f>
        <v>8.1249000000000002</v>
      </c>
      <c r="N514" s="11">
        <f>8.1196 * CHOOSE(CONTROL!$C$32, $C$9, 100%, $E$9)</f>
        <v>8.1196000000000002</v>
      </c>
      <c r="O514" s="11">
        <f>8.1249 * CHOOSE(CONTROL!$C$32, $C$9, 100%, $E$9)</f>
        <v>8.1249000000000002</v>
      </c>
    </row>
    <row r="515" spans="1:15" ht="15" x14ac:dyDescent="0.2">
      <c r="A515" s="13">
        <v>56523</v>
      </c>
      <c r="B515" s="9">
        <f>7.3233 * CHOOSE(CONTROL!$C$32, $C$9, 100%, $E$9)</f>
        <v>7.3232999999999997</v>
      </c>
      <c r="C515" s="9">
        <f>7.3233 * CHOOSE(CONTROL!$C$32, $C$9, 100%, $E$9)</f>
        <v>7.3232999999999997</v>
      </c>
      <c r="D515" s="9">
        <f>7.3243 * CHOOSE(CONTROL!$C$32, $C$9, 100%, $E$9)</f>
        <v>7.3243</v>
      </c>
      <c r="E515" s="11">
        <f>8.1823 * CHOOSE(CONTROL!$C$32, $C$9, 100%, $E$9)</f>
        <v>8.1822999999999997</v>
      </c>
      <c r="F515" s="11">
        <f>8.1823 * CHOOSE(CONTROL!$C$32, $C$9, 100%, $E$9)</f>
        <v>8.1822999999999997</v>
      </c>
      <c r="G515" s="11">
        <f>8.186 * CHOOSE(CONTROL!$C$32, $C$9, 100%, $E$9)</f>
        <v>8.1859999999999999</v>
      </c>
      <c r="H515" s="11">
        <f>15.7296 * CHOOSE(CONTROL!$C$32, $C$9, 100%, $E$9)</f>
        <v>15.7296</v>
      </c>
      <c r="I515" s="11">
        <f>15.7332 * CHOOSE(CONTROL!$C$32, $C$9, 100%, $E$9)</f>
        <v>15.7332</v>
      </c>
      <c r="J515" s="11">
        <f>15.7296 * CHOOSE(CONTROL!$C$32, $C$9, 100%, $E$9)</f>
        <v>15.7296</v>
      </c>
      <c r="K515" s="11">
        <f>15.7332 * CHOOSE(CONTROL!$C$32, $C$9, 100%, $E$9)</f>
        <v>15.7332</v>
      </c>
      <c r="L515" s="11">
        <f>8.1823 * CHOOSE(CONTROL!$C$32, $C$9, 100%, $E$9)</f>
        <v>8.1822999999999997</v>
      </c>
      <c r="M515" s="11">
        <f>8.186 * CHOOSE(CONTROL!$C$32, $C$9, 100%, $E$9)</f>
        <v>8.1859999999999999</v>
      </c>
      <c r="N515" s="11">
        <f>8.1823 * CHOOSE(CONTROL!$C$32, $C$9, 100%, $E$9)</f>
        <v>8.1822999999999997</v>
      </c>
      <c r="O515" s="11">
        <f>8.186 * CHOOSE(CONTROL!$C$32, $C$9, 100%, $E$9)</f>
        <v>8.1859999999999999</v>
      </c>
    </row>
    <row r="516" spans="1:15" ht="15" x14ac:dyDescent="0.2">
      <c r="A516" s="13">
        <v>56554</v>
      </c>
      <c r="B516" s="9">
        <f>7.3263 * CHOOSE(CONTROL!$C$32, $C$9, 100%, $E$9)</f>
        <v>7.3262999999999998</v>
      </c>
      <c r="C516" s="9">
        <f>7.3263 * CHOOSE(CONTROL!$C$32, $C$9, 100%, $E$9)</f>
        <v>7.3262999999999998</v>
      </c>
      <c r="D516" s="9">
        <f>7.3274 * CHOOSE(CONTROL!$C$32, $C$9, 100%, $E$9)</f>
        <v>7.3273999999999999</v>
      </c>
      <c r="E516" s="11">
        <f>8.2226 * CHOOSE(CONTROL!$C$32, $C$9, 100%, $E$9)</f>
        <v>8.2225999999999999</v>
      </c>
      <c r="F516" s="11">
        <f>8.2226 * CHOOSE(CONTROL!$C$32, $C$9, 100%, $E$9)</f>
        <v>8.2225999999999999</v>
      </c>
      <c r="G516" s="11">
        <f>8.2262 * CHOOSE(CONTROL!$C$32, $C$9, 100%, $E$9)</f>
        <v>8.2262000000000004</v>
      </c>
      <c r="H516" s="11">
        <f>15.7624 * CHOOSE(CONTROL!$C$32, $C$9, 100%, $E$9)</f>
        <v>15.7624</v>
      </c>
      <c r="I516" s="11">
        <f>15.766 * CHOOSE(CONTROL!$C$32, $C$9, 100%, $E$9)</f>
        <v>15.766</v>
      </c>
      <c r="J516" s="11">
        <f>15.7624 * CHOOSE(CONTROL!$C$32, $C$9, 100%, $E$9)</f>
        <v>15.7624</v>
      </c>
      <c r="K516" s="11">
        <f>15.766 * CHOOSE(CONTROL!$C$32, $C$9, 100%, $E$9)</f>
        <v>15.766</v>
      </c>
      <c r="L516" s="11">
        <f>8.2226 * CHOOSE(CONTROL!$C$32, $C$9, 100%, $E$9)</f>
        <v>8.2225999999999999</v>
      </c>
      <c r="M516" s="11">
        <f>8.2262 * CHOOSE(CONTROL!$C$32, $C$9, 100%, $E$9)</f>
        <v>8.2262000000000004</v>
      </c>
      <c r="N516" s="11">
        <f>8.2226 * CHOOSE(CONTROL!$C$32, $C$9, 100%, $E$9)</f>
        <v>8.2225999999999999</v>
      </c>
      <c r="O516" s="11">
        <f>8.2262 * CHOOSE(CONTROL!$C$32, $C$9, 100%, $E$9)</f>
        <v>8.2262000000000004</v>
      </c>
    </row>
    <row r="517" spans="1:15" ht="15" x14ac:dyDescent="0.2">
      <c r="A517" s="13">
        <v>56584</v>
      </c>
      <c r="B517" s="9">
        <f>7.3263 * CHOOSE(CONTROL!$C$32, $C$9, 100%, $E$9)</f>
        <v>7.3262999999999998</v>
      </c>
      <c r="C517" s="9">
        <f>7.3263 * CHOOSE(CONTROL!$C$32, $C$9, 100%, $E$9)</f>
        <v>7.3262999999999998</v>
      </c>
      <c r="D517" s="9">
        <f>7.3274 * CHOOSE(CONTROL!$C$32, $C$9, 100%, $E$9)</f>
        <v>7.3273999999999999</v>
      </c>
      <c r="E517" s="11">
        <f>8.1273 * CHOOSE(CONTROL!$C$32, $C$9, 100%, $E$9)</f>
        <v>8.1273</v>
      </c>
      <c r="F517" s="11">
        <f>8.1273 * CHOOSE(CONTROL!$C$32, $C$9, 100%, $E$9)</f>
        <v>8.1273</v>
      </c>
      <c r="G517" s="11">
        <f>8.1309 * CHOOSE(CONTROL!$C$32, $C$9, 100%, $E$9)</f>
        <v>8.1309000000000005</v>
      </c>
      <c r="H517" s="11">
        <f>15.7952 * CHOOSE(CONTROL!$C$32, $C$9, 100%, $E$9)</f>
        <v>15.795199999999999</v>
      </c>
      <c r="I517" s="11">
        <f>15.7988 * CHOOSE(CONTROL!$C$32, $C$9, 100%, $E$9)</f>
        <v>15.7988</v>
      </c>
      <c r="J517" s="11">
        <f>15.7952 * CHOOSE(CONTROL!$C$32, $C$9, 100%, $E$9)</f>
        <v>15.795199999999999</v>
      </c>
      <c r="K517" s="11">
        <f>15.7988 * CHOOSE(CONTROL!$C$32, $C$9, 100%, $E$9)</f>
        <v>15.7988</v>
      </c>
      <c r="L517" s="11">
        <f>8.1273 * CHOOSE(CONTROL!$C$32, $C$9, 100%, $E$9)</f>
        <v>8.1273</v>
      </c>
      <c r="M517" s="11">
        <f>8.1309 * CHOOSE(CONTROL!$C$32, $C$9, 100%, $E$9)</f>
        <v>8.1309000000000005</v>
      </c>
      <c r="N517" s="11">
        <f>8.1273 * CHOOSE(CONTROL!$C$32, $C$9, 100%, $E$9)</f>
        <v>8.1273</v>
      </c>
      <c r="O517" s="11">
        <f>8.1309 * CHOOSE(CONTROL!$C$32, $C$9, 100%, $E$9)</f>
        <v>8.1309000000000005</v>
      </c>
    </row>
    <row r="518" spans="1:15" ht="15" x14ac:dyDescent="0.2">
      <c r="A518" s="13">
        <v>56615</v>
      </c>
      <c r="B518" s="9">
        <f>7.3813 * CHOOSE(CONTROL!$C$32, $C$9, 100%, $E$9)</f>
        <v>7.3813000000000004</v>
      </c>
      <c r="C518" s="9">
        <f>7.3813 * CHOOSE(CONTROL!$C$32, $C$9, 100%, $E$9)</f>
        <v>7.3813000000000004</v>
      </c>
      <c r="D518" s="9">
        <f>7.3824 * CHOOSE(CONTROL!$C$32, $C$9, 100%, $E$9)</f>
        <v>7.3823999999999996</v>
      </c>
      <c r="E518" s="11">
        <f>8.2653 * CHOOSE(CONTROL!$C$32, $C$9, 100%, $E$9)</f>
        <v>8.2652999999999999</v>
      </c>
      <c r="F518" s="11">
        <f>8.2653 * CHOOSE(CONTROL!$C$32, $C$9, 100%, $E$9)</f>
        <v>8.2652999999999999</v>
      </c>
      <c r="G518" s="11">
        <f>8.2689 * CHOOSE(CONTROL!$C$32, $C$9, 100%, $E$9)</f>
        <v>8.2689000000000004</v>
      </c>
      <c r="H518" s="11">
        <f>15.8281 * CHOOSE(CONTROL!$C$32, $C$9, 100%, $E$9)</f>
        <v>15.828099999999999</v>
      </c>
      <c r="I518" s="11">
        <f>15.8317 * CHOOSE(CONTROL!$C$32, $C$9, 100%, $E$9)</f>
        <v>15.8317</v>
      </c>
      <c r="J518" s="11">
        <f>15.8281 * CHOOSE(CONTROL!$C$32, $C$9, 100%, $E$9)</f>
        <v>15.828099999999999</v>
      </c>
      <c r="K518" s="11">
        <f>15.8317 * CHOOSE(CONTROL!$C$32, $C$9, 100%, $E$9)</f>
        <v>15.8317</v>
      </c>
      <c r="L518" s="11">
        <f>8.2653 * CHOOSE(CONTROL!$C$32, $C$9, 100%, $E$9)</f>
        <v>8.2652999999999999</v>
      </c>
      <c r="M518" s="11">
        <f>8.2689 * CHOOSE(CONTROL!$C$32, $C$9, 100%, $E$9)</f>
        <v>8.2689000000000004</v>
      </c>
      <c r="N518" s="11">
        <f>8.2653 * CHOOSE(CONTROL!$C$32, $C$9, 100%, $E$9)</f>
        <v>8.2652999999999999</v>
      </c>
      <c r="O518" s="11">
        <f>8.2689 * CHOOSE(CONTROL!$C$32, $C$9, 100%, $E$9)</f>
        <v>8.2689000000000004</v>
      </c>
    </row>
    <row r="519" spans="1:15" ht="15" x14ac:dyDescent="0.2">
      <c r="A519" s="13">
        <v>56646</v>
      </c>
      <c r="B519" s="9">
        <f>7.3783 * CHOOSE(CONTROL!$C$32, $C$9, 100%, $E$9)</f>
        <v>7.3783000000000003</v>
      </c>
      <c r="C519" s="9">
        <f>7.3783 * CHOOSE(CONTROL!$C$32, $C$9, 100%, $E$9)</f>
        <v>7.3783000000000003</v>
      </c>
      <c r="D519" s="9">
        <f>7.3794 * CHOOSE(CONTROL!$C$32, $C$9, 100%, $E$9)</f>
        <v>7.3794000000000004</v>
      </c>
      <c r="E519" s="11">
        <f>8.0773 * CHOOSE(CONTROL!$C$32, $C$9, 100%, $E$9)</f>
        <v>8.0772999999999993</v>
      </c>
      <c r="F519" s="11">
        <f>8.0773 * CHOOSE(CONTROL!$C$32, $C$9, 100%, $E$9)</f>
        <v>8.0772999999999993</v>
      </c>
      <c r="G519" s="11">
        <f>8.0809 * CHOOSE(CONTROL!$C$32, $C$9, 100%, $E$9)</f>
        <v>8.0808999999999997</v>
      </c>
      <c r="H519" s="11">
        <f>15.8611 * CHOOSE(CONTROL!$C$32, $C$9, 100%, $E$9)</f>
        <v>15.8611</v>
      </c>
      <c r="I519" s="11">
        <f>15.8647 * CHOOSE(CONTROL!$C$32, $C$9, 100%, $E$9)</f>
        <v>15.864699999999999</v>
      </c>
      <c r="J519" s="11">
        <f>15.8611 * CHOOSE(CONTROL!$C$32, $C$9, 100%, $E$9)</f>
        <v>15.8611</v>
      </c>
      <c r="K519" s="11">
        <f>15.8647 * CHOOSE(CONTROL!$C$32, $C$9, 100%, $E$9)</f>
        <v>15.864699999999999</v>
      </c>
      <c r="L519" s="11">
        <f>8.0773 * CHOOSE(CONTROL!$C$32, $C$9, 100%, $E$9)</f>
        <v>8.0772999999999993</v>
      </c>
      <c r="M519" s="11">
        <f>8.0809 * CHOOSE(CONTROL!$C$32, $C$9, 100%, $E$9)</f>
        <v>8.0808999999999997</v>
      </c>
      <c r="N519" s="11">
        <f>8.0773 * CHOOSE(CONTROL!$C$32, $C$9, 100%, $E$9)</f>
        <v>8.0772999999999993</v>
      </c>
      <c r="O519" s="11">
        <f>8.0809 * CHOOSE(CONTROL!$C$32, $C$9, 100%, $E$9)</f>
        <v>8.0808999999999997</v>
      </c>
    </row>
    <row r="520" spans="1:15" ht="15" x14ac:dyDescent="0.2">
      <c r="A520" s="13">
        <v>56674</v>
      </c>
      <c r="B520" s="9">
        <f>7.3752 * CHOOSE(CONTROL!$C$32, $C$9, 100%, $E$9)</f>
        <v>7.3752000000000004</v>
      </c>
      <c r="C520" s="9">
        <f>7.3752 * CHOOSE(CONTROL!$C$32, $C$9, 100%, $E$9)</f>
        <v>7.3752000000000004</v>
      </c>
      <c r="D520" s="9">
        <f>7.3763 * CHOOSE(CONTROL!$C$32, $C$9, 100%, $E$9)</f>
        <v>7.3762999999999996</v>
      </c>
      <c r="E520" s="11">
        <f>8.2217 * CHOOSE(CONTROL!$C$32, $C$9, 100%, $E$9)</f>
        <v>8.2217000000000002</v>
      </c>
      <c r="F520" s="11">
        <f>8.2217 * CHOOSE(CONTROL!$C$32, $C$9, 100%, $E$9)</f>
        <v>8.2217000000000002</v>
      </c>
      <c r="G520" s="11">
        <f>8.2253 * CHOOSE(CONTROL!$C$32, $C$9, 100%, $E$9)</f>
        <v>8.2253000000000007</v>
      </c>
      <c r="H520" s="11">
        <f>15.8941 * CHOOSE(CONTROL!$C$32, $C$9, 100%, $E$9)</f>
        <v>15.8941</v>
      </c>
      <c r="I520" s="11">
        <f>15.8978 * CHOOSE(CONTROL!$C$32, $C$9, 100%, $E$9)</f>
        <v>15.8978</v>
      </c>
      <c r="J520" s="11">
        <f>15.8941 * CHOOSE(CONTROL!$C$32, $C$9, 100%, $E$9)</f>
        <v>15.8941</v>
      </c>
      <c r="K520" s="11">
        <f>15.8978 * CHOOSE(CONTROL!$C$32, $C$9, 100%, $E$9)</f>
        <v>15.8978</v>
      </c>
      <c r="L520" s="11">
        <f>8.2217 * CHOOSE(CONTROL!$C$32, $C$9, 100%, $E$9)</f>
        <v>8.2217000000000002</v>
      </c>
      <c r="M520" s="11">
        <f>8.2253 * CHOOSE(CONTROL!$C$32, $C$9, 100%, $E$9)</f>
        <v>8.2253000000000007</v>
      </c>
      <c r="N520" s="11">
        <f>8.2217 * CHOOSE(CONTROL!$C$32, $C$9, 100%, $E$9)</f>
        <v>8.2217000000000002</v>
      </c>
      <c r="O520" s="11">
        <f>8.2253 * CHOOSE(CONTROL!$C$32, $C$9, 100%, $E$9)</f>
        <v>8.2253000000000007</v>
      </c>
    </row>
    <row r="521" spans="1:15" ht="15" x14ac:dyDescent="0.2">
      <c r="A521" s="13">
        <v>56705</v>
      </c>
      <c r="B521" s="9">
        <f>7.3762 * CHOOSE(CONTROL!$C$32, $C$9, 100%, $E$9)</f>
        <v>7.3761999999999999</v>
      </c>
      <c r="C521" s="9">
        <f>7.3762 * CHOOSE(CONTROL!$C$32, $C$9, 100%, $E$9)</f>
        <v>7.3761999999999999</v>
      </c>
      <c r="D521" s="9">
        <f>7.3772 * CHOOSE(CONTROL!$C$32, $C$9, 100%, $E$9)</f>
        <v>7.3772000000000002</v>
      </c>
      <c r="E521" s="11">
        <f>8.3748 * CHOOSE(CONTROL!$C$32, $C$9, 100%, $E$9)</f>
        <v>8.3748000000000005</v>
      </c>
      <c r="F521" s="11">
        <f>8.3748 * CHOOSE(CONTROL!$C$32, $C$9, 100%, $E$9)</f>
        <v>8.3748000000000005</v>
      </c>
      <c r="G521" s="11">
        <f>8.3784 * CHOOSE(CONTROL!$C$32, $C$9, 100%, $E$9)</f>
        <v>8.3783999999999992</v>
      </c>
      <c r="H521" s="11">
        <f>15.9272 * CHOOSE(CONTROL!$C$32, $C$9, 100%, $E$9)</f>
        <v>15.927199999999999</v>
      </c>
      <c r="I521" s="11">
        <f>15.9309 * CHOOSE(CONTROL!$C$32, $C$9, 100%, $E$9)</f>
        <v>15.930899999999999</v>
      </c>
      <c r="J521" s="11">
        <f>15.9272 * CHOOSE(CONTROL!$C$32, $C$9, 100%, $E$9)</f>
        <v>15.927199999999999</v>
      </c>
      <c r="K521" s="11">
        <f>15.9309 * CHOOSE(CONTROL!$C$32, $C$9, 100%, $E$9)</f>
        <v>15.930899999999999</v>
      </c>
      <c r="L521" s="11">
        <f>8.3748 * CHOOSE(CONTROL!$C$32, $C$9, 100%, $E$9)</f>
        <v>8.3748000000000005</v>
      </c>
      <c r="M521" s="11">
        <f>8.3784 * CHOOSE(CONTROL!$C$32, $C$9, 100%, $E$9)</f>
        <v>8.3783999999999992</v>
      </c>
      <c r="N521" s="11">
        <f>8.3748 * CHOOSE(CONTROL!$C$32, $C$9, 100%, $E$9)</f>
        <v>8.3748000000000005</v>
      </c>
      <c r="O521" s="11">
        <f>8.3784 * CHOOSE(CONTROL!$C$32, $C$9, 100%, $E$9)</f>
        <v>8.3783999999999992</v>
      </c>
    </row>
    <row r="522" spans="1:15" ht="15" x14ac:dyDescent="0.2">
      <c r="A522" s="13">
        <v>56735</v>
      </c>
      <c r="B522" s="9">
        <f>7.3762 * CHOOSE(CONTROL!$C$32, $C$9, 100%, $E$9)</f>
        <v>7.3761999999999999</v>
      </c>
      <c r="C522" s="9">
        <f>7.3762 * CHOOSE(CONTROL!$C$32, $C$9, 100%, $E$9)</f>
        <v>7.3761999999999999</v>
      </c>
      <c r="D522" s="9">
        <f>7.3777 * CHOOSE(CONTROL!$C$32, $C$9, 100%, $E$9)</f>
        <v>7.3776999999999999</v>
      </c>
      <c r="E522" s="11">
        <f>8.4338 * CHOOSE(CONTROL!$C$32, $C$9, 100%, $E$9)</f>
        <v>8.4337999999999997</v>
      </c>
      <c r="F522" s="11">
        <f>8.4338 * CHOOSE(CONTROL!$C$32, $C$9, 100%, $E$9)</f>
        <v>8.4337999999999997</v>
      </c>
      <c r="G522" s="11">
        <f>8.4391 * CHOOSE(CONTROL!$C$32, $C$9, 100%, $E$9)</f>
        <v>8.4390999999999998</v>
      </c>
      <c r="H522" s="11">
        <f>15.9604 * CHOOSE(CONTROL!$C$32, $C$9, 100%, $E$9)</f>
        <v>15.9604</v>
      </c>
      <c r="I522" s="11">
        <f>15.9657 * CHOOSE(CONTROL!$C$32, $C$9, 100%, $E$9)</f>
        <v>15.9657</v>
      </c>
      <c r="J522" s="11">
        <f>15.9604 * CHOOSE(CONTROL!$C$32, $C$9, 100%, $E$9)</f>
        <v>15.9604</v>
      </c>
      <c r="K522" s="11">
        <f>15.9657 * CHOOSE(CONTROL!$C$32, $C$9, 100%, $E$9)</f>
        <v>15.9657</v>
      </c>
      <c r="L522" s="11">
        <f>8.4338 * CHOOSE(CONTROL!$C$32, $C$9, 100%, $E$9)</f>
        <v>8.4337999999999997</v>
      </c>
      <c r="M522" s="11">
        <f>8.4391 * CHOOSE(CONTROL!$C$32, $C$9, 100%, $E$9)</f>
        <v>8.4390999999999998</v>
      </c>
      <c r="N522" s="11">
        <f>8.4338 * CHOOSE(CONTROL!$C$32, $C$9, 100%, $E$9)</f>
        <v>8.4337999999999997</v>
      </c>
      <c r="O522" s="11">
        <f>8.4391 * CHOOSE(CONTROL!$C$32, $C$9, 100%, $E$9)</f>
        <v>8.4390999999999998</v>
      </c>
    </row>
    <row r="523" spans="1:15" ht="15" x14ac:dyDescent="0.2">
      <c r="A523" s="13">
        <v>56766</v>
      </c>
      <c r="B523" s="9">
        <f>7.3822 * CHOOSE(CONTROL!$C$32, $C$9, 100%, $E$9)</f>
        <v>7.3822000000000001</v>
      </c>
      <c r="C523" s="9">
        <f>7.3822 * CHOOSE(CONTROL!$C$32, $C$9, 100%, $E$9)</f>
        <v>7.3822000000000001</v>
      </c>
      <c r="D523" s="9">
        <f>7.3838 * CHOOSE(CONTROL!$C$32, $C$9, 100%, $E$9)</f>
        <v>7.3837999999999999</v>
      </c>
      <c r="E523" s="11">
        <f>8.379 * CHOOSE(CONTROL!$C$32, $C$9, 100%, $E$9)</f>
        <v>8.3789999999999996</v>
      </c>
      <c r="F523" s="11">
        <f>8.379 * CHOOSE(CONTROL!$C$32, $C$9, 100%, $E$9)</f>
        <v>8.3789999999999996</v>
      </c>
      <c r="G523" s="11">
        <f>8.3843 * CHOOSE(CONTROL!$C$32, $C$9, 100%, $E$9)</f>
        <v>8.3842999999999996</v>
      </c>
      <c r="H523" s="11">
        <f>15.9937 * CHOOSE(CONTROL!$C$32, $C$9, 100%, $E$9)</f>
        <v>15.9937</v>
      </c>
      <c r="I523" s="11">
        <f>15.999 * CHOOSE(CONTROL!$C$32, $C$9, 100%, $E$9)</f>
        <v>15.999000000000001</v>
      </c>
      <c r="J523" s="11">
        <f>15.9937 * CHOOSE(CONTROL!$C$32, $C$9, 100%, $E$9)</f>
        <v>15.9937</v>
      </c>
      <c r="K523" s="11">
        <f>15.999 * CHOOSE(CONTROL!$C$32, $C$9, 100%, $E$9)</f>
        <v>15.999000000000001</v>
      </c>
      <c r="L523" s="11">
        <f>8.379 * CHOOSE(CONTROL!$C$32, $C$9, 100%, $E$9)</f>
        <v>8.3789999999999996</v>
      </c>
      <c r="M523" s="11">
        <f>8.3843 * CHOOSE(CONTROL!$C$32, $C$9, 100%, $E$9)</f>
        <v>8.3842999999999996</v>
      </c>
      <c r="N523" s="11">
        <f>8.379 * CHOOSE(CONTROL!$C$32, $C$9, 100%, $E$9)</f>
        <v>8.3789999999999996</v>
      </c>
      <c r="O523" s="11">
        <f>8.3843 * CHOOSE(CONTROL!$C$32, $C$9, 100%, $E$9)</f>
        <v>8.3842999999999996</v>
      </c>
    </row>
    <row r="524" spans="1:15" ht="15" x14ac:dyDescent="0.2">
      <c r="A524" s="13">
        <v>56796</v>
      </c>
      <c r="B524" s="9">
        <f>7.4779 * CHOOSE(CONTROL!$C$32, $C$9, 100%, $E$9)</f>
        <v>7.4779</v>
      </c>
      <c r="C524" s="9">
        <f>7.4779 * CHOOSE(CONTROL!$C$32, $C$9, 100%, $E$9)</f>
        <v>7.4779</v>
      </c>
      <c r="D524" s="9">
        <f>7.4795 * CHOOSE(CONTROL!$C$32, $C$9, 100%, $E$9)</f>
        <v>7.4794999999999998</v>
      </c>
      <c r="E524" s="11">
        <f>8.4945 * CHOOSE(CONTROL!$C$32, $C$9, 100%, $E$9)</f>
        <v>8.4945000000000004</v>
      </c>
      <c r="F524" s="11">
        <f>8.4945 * CHOOSE(CONTROL!$C$32, $C$9, 100%, $E$9)</f>
        <v>8.4945000000000004</v>
      </c>
      <c r="G524" s="11">
        <f>8.4998 * CHOOSE(CONTROL!$C$32, $C$9, 100%, $E$9)</f>
        <v>8.4998000000000005</v>
      </c>
      <c r="H524" s="11">
        <f>16.027 * CHOOSE(CONTROL!$C$32, $C$9, 100%, $E$9)</f>
        <v>16.027000000000001</v>
      </c>
      <c r="I524" s="11">
        <f>16.0323 * CHOOSE(CONTROL!$C$32, $C$9, 100%, $E$9)</f>
        <v>16.032299999999999</v>
      </c>
      <c r="J524" s="11">
        <f>16.027 * CHOOSE(CONTROL!$C$32, $C$9, 100%, $E$9)</f>
        <v>16.027000000000001</v>
      </c>
      <c r="K524" s="11">
        <f>16.0323 * CHOOSE(CONTROL!$C$32, $C$9, 100%, $E$9)</f>
        <v>16.032299999999999</v>
      </c>
      <c r="L524" s="11">
        <f>8.4945 * CHOOSE(CONTROL!$C$32, $C$9, 100%, $E$9)</f>
        <v>8.4945000000000004</v>
      </c>
      <c r="M524" s="11">
        <f>8.4998 * CHOOSE(CONTROL!$C$32, $C$9, 100%, $E$9)</f>
        <v>8.4998000000000005</v>
      </c>
      <c r="N524" s="11">
        <f>8.4945 * CHOOSE(CONTROL!$C$32, $C$9, 100%, $E$9)</f>
        <v>8.4945000000000004</v>
      </c>
      <c r="O524" s="11">
        <f>8.4998 * CHOOSE(CONTROL!$C$32, $C$9, 100%, $E$9)</f>
        <v>8.4998000000000005</v>
      </c>
    </row>
    <row r="525" spans="1:15" ht="15" x14ac:dyDescent="0.2">
      <c r="A525" s="13">
        <v>56827</v>
      </c>
      <c r="B525" s="9">
        <f>7.4846 * CHOOSE(CONTROL!$C$32, $C$9, 100%, $E$9)</f>
        <v>7.4846000000000004</v>
      </c>
      <c r="C525" s="9">
        <f>7.4846 * CHOOSE(CONTROL!$C$32, $C$9, 100%, $E$9)</f>
        <v>7.4846000000000004</v>
      </c>
      <c r="D525" s="9">
        <f>7.4862 * CHOOSE(CONTROL!$C$32, $C$9, 100%, $E$9)</f>
        <v>7.4862000000000002</v>
      </c>
      <c r="E525" s="11">
        <f>8.3222 * CHOOSE(CONTROL!$C$32, $C$9, 100%, $E$9)</f>
        <v>8.3222000000000005</v>
      </c>
      <c r="F525" s="11">
        <f>8.3222 * CHOOSE(CONTROL!$C$32, $C$9, 100%, $E$9)</f>
        <v>8.3222000000000005</v>
      </c>
      <c r="G525" s="11">
        <f>8.3275 * CHOOSE(CONTROL!$C$32, $C$9, 100%, $E$9)</f>
        <v>8.3275000000000006</v>
      </c>
      <c r="H525" s="11">
        <f>16.0604 * CHOOSE(CONTROL!$C$32, $C$9, 100%, $E$9)</f>
        <v>16.060400000000001</v>
      </c>
      <c r="I525" s="11">
        <f>16.0657 * CHOOSE(CONTROL!$C$32, $C$9, 100%, $E$9)</f>
        <v>16.0657</v>
      </c>
      <c r="J525" s="11">
        <f>16.0604 * CHOOSE(CONTROL!$C$32, $C$9, 100%, $E$9)</f>
        <v>16.060400000000001</v>
      </c>
      <c r="K525" s="11">
        <f>16.0657 * CHOOSE(CONTROL!$C$32, $C$9, 100%, $E$9)</f>
        <v>16.0657</v>
      </c>
      <c r="L525" s="11">
        <f>8.3222 * CHOOSE(CONTROL!$C$32, $C$9, 100%, $E$9)</f>
        <v>8.3222000000000005</v>
      </c>
      <c r="M525" s="11">
        <f>8.3275 * CHOOSE(CONTROL!$C$32, $C$9, 100%, $E$9)</f>
        <v>8.3275000000000006</v>
      </c>
      <c r="N525" s="11">
        <f>8.3222 * CHOOSE(CONTROL!$C$32, $C$9, 100%, $E$9)</f>
        <v>8.3222000000000005</v>
      </c>
      <c r="O525" s="11">
        <f>8.3275 * CHOOSE(CONTROL!$C$32, $C$9, 100%, $E$9)</f>
        <v>8.3275000000000006</v>
      </c>
    </row>
    <row r="526" spans="1:15" ht="15" x14ac:dyDescent="0.2">
      <c r="A526" s="13">
        <v>56858</v>
      </c>
      <c r="B526" s="9">
        <f>7.4816 * CHOOSE(CONTROL!$C$32, $C$9, 100%, $E$9)</f>
        <v>7.4816000000000003</v>
      </c>
      <c r="C526" s="9">
        <f>7.4816 * CHOOSE(CONTROL!$C$32, $C$9, 100%, $E$9)</f>
        <v>7.4816000000000003</v>
      </c>
      <c r="D526" s="9">
        <f>7.4831 * CHOOSE(CONTROL!$C$32, $C$9, 100%, $E$9)</f>
        <v>7.4831000000000003</v>
      </c>
      <c r="E526" s="11">
        <f>8.3004 * CHOOSE(CONTROL!$C$32, $C$9, 100%, $E$9)</f>
        <v>8.3003999999999998</v>
      </c>
      <c r="F526" s="11">
        <f>8.3004 * CHOOSE(CONTROL!$C$32, $C$9, 100%, $E$9)</f>
        <v>8.3003999999999998</v>
      </c>
      <c r="G526" s="11">
        <f>8.3057 * CHOOSE(CONTROL!$C$32, $C$9, 100%, $E$9)</f>
        <v>8.3056999999999999</v>
      </c>
      <c r="H526" s="11">
        <f>16.0938 * CHOOSE(CONTROL!$C$32, $C$9, 100%, $E$9)</f>
        <v>16.093800000000002</v>
      </c>
      <c r="I526" s="11">
        <f>16.0991 * CHOOSE(CONTROL!$C$32, $C$9, 100%, $E$9)</f>
        <v>16.0991</v>
      </c>
      <c r="J526" s="11">
        <f>16.0938 * CHOOSE(CONTROL!$C$32, $C$9, 100%, $E$9)</f>
        <v>16.093800000000002</v>
      </c>
      <c r="K526" s="11">
        <f>16.0991 * CHOOSE(CONTROL!$C$32, $C$9, 100%, $E$9)</f>
        <v>16.0991</v>
      </c>
      <c r="L526" s="11">
        <f>8.3004 * CHOOSE(CONTROL!$C$32, $C$9, 100%, $E$9)</f>
        <v>8.3003999999999998</v>
      </c>
      <c r="M526" s="11">
        <f>8.3057 * CHOOSE(CONTROL!$C$32, $C$9, 100%, $E$9)</f>
        <v>8.3056999999999999</v>
      </c>
      <c r="N526" s="11">
        <f>8.3004 * CHOOSE(CONTROL!$C$32, $C$9, 100%, $E$9)</f>
        <v>8.3003999999999998</v>
      </c>
      <c r="O526" s="11">
        <f>8.3057 * CHOOSE(CONTROL!$C$32, $C$9, 100%, $E$9)</f>
        <v>8.3056999999999999</v>
      </c>
    </row>
    <row r="527" spans="1:15" ht="15" x14ac:dyDescent="0.2">
      <c r="A527" s="13">
        <v>56888</v>
      </c>
      <c r="B527" s="9">
        <f>7.4896 * CHOOSE(CONTROL!$C$32, $C$9, 100%, $E$9)</f>
        <v>7.4896000000000003</v>
      </c>
      <c r="C527" s="9">
        <f>7.4896 * CHOOSE(CONTROL!$C$32, $C$9, 100%, $E$9)</f>
        <v>7.4896000000000003</v>
      </c>
      <c r="D527" s="9">
        <f>7.4906 * CHOOSE(CONTROL!$C$32, $C$9, 100%, $E$9)</f>
        <v>7.4905999999999997</v>
      </c>
      <c r="E527" s="11">
        <f>8.3656 * CHOOSE(CONTROL!$C$32, $C$9, 100%, $E$9)</f>
        <v>8.3656000000000006</v>
      </c>
      <c r="F527" s="11">
        <f>8.3656 * CHOOSE(CONTROL!$C$32, $C$9, 100%, $E$9)</f>
        <v>8.3656000000000006</v>
      </c>
      <c r="G527" s="11">
        <f>8.3692 * CHOOSE(CONTROL!$C$32, $C$9, 100%, $E$9)</f>
        <v>8.3691999999999993</v>
      </c>
      <c r="H527" s="11">
        <f>16.1274 * CHOOSE(CONTROL!$C$32, $C$9, 100%, $E$9)</f>
        <v>16.127400000000002</v>
      </c>
      <c r="I527" s="11">
        <f>16.131 * CHOOSE(CONTROL!$C$32, $C$9, 100%, $E$9)</f>
        <v>16.131</v>
      </c>
      <c r="J527" s="11">
        <f>16.1274 * CHOOSE(CONTROL!$C$32, $C$9, 100%, $E$9)</f>
        <v>16.127400000000002</v>
      </c>
      <c r="K527" s="11">
        <f>16.131 * CHOOSE(CONTROL!$C$32, $C$9, 100%, $E$9)</f>
        <v>16.131</v>
      </c>
      <c r="L527" s="11">
        <f>8.3656 * CHOOSE(CONTROL!$C$32, $C$9, 100%, $E$9)</f>
        <v>8.3656000000000006</v>
      </c>
      <c r="M527" s="11">
        <f>8.3692 * CHOOSE(CONTROL!$C$32, $C$9, 100%, $E$9)</f>
        <v>8.3691999999999993</v>
      </c>
      <c r="N527" s="11">
        <f>8.3656 * CHOOSE(CONTROL!$C$32, $C$9, 100%, $E$9)</f>
        <v>8.3656000000000006</v>
      </c>
      <c r="O527" s="11">
        <f>8.3692 * CHOOSE(CONTROL!$C$32, $C$9, 100%, $E$9)</f>
        <v>8.3691999999999993</v>
      </c>
    </row>
    <row r="528" spans="1:15" ht="15" x14ac:dyDescent="0.2">
      <c r="A528" s="13">
        <v>56919</v>
      </c>
      <c r="B528" s="9">
        <f>7.4926 * CHOOSE(CONTROL!$C$32, $C$9, 100%, $E$9)</f>
        <v>7.4926000000000004</v>
      </c>
      <c r="C528" s="9">
        <f>7.4926 * CHOOSE(CONTROL!$C$32, $C$9, 100%, $E$9)</f>
        <v>7.4926000000000004</v>
      </c>
      <c r="D528" s="9">
        <f>7.4937 * CHOOSE(CONTROL!$C$32, $C$9, 100%, $E$9)</f>
        <v>7.4936999999999996</v>
      </c>
      <c r="E528" s="11">
        <f>8.4071 * CHOOSE(CONTROL!$C$32, $C$9, 100%, $E$9)</f>
        <v>8.4070999999999998</v>
      </c>
      <c r="F528" s="11">
        <f>8.4071 * CHOOSE(CONTROL!$C$32, $C$9, 100%, $E$9)</f>
        <v>8.4070999999999998</v>
      </c>
      <c r="G528" s="11">
        <f>8.4107 * CHOOSE(CONTROL!$C$32, $C$9, 100%, $E$9)</f>
        <v>8.4107000000000003</v>
      </c>
      <c r="H528" s="11">
        <f>16.161 * CHOOSE(CONTROL!$C$32, $C$9, 100%, $E$9)</f>
        <v>16.161000000000001</v>
      </c>
      <c r="I528" s="11">
        <f>16.1646 * CHOOSE(CONTROL!$C$32, $C$9, 100%, $E$9)</f>
        <v>16.1646</v>
      </c>
      <c r="J528" s="11">
        <f>16.161 * CHOOSE(CONTROL!$C$32, $C$9, 100%, $E$9)</f>
        <v>16.161000000000001</v>
      </c>
      <c r="K528" s="11">
        <f>16.1646 * CHOOSE(CONTROL!$C$32, $C$9, 100%, $E$9)</f>
        <v>16.1646</v>
      </c>
      <c r="L528" s="11">
        <f>8.4071 * CHOOSE(CONTROL!$C$32, $C$9, 100%, $E$9)</f>
        <v>8.4070999999999998</v>
      </c>
      <c r="M528" s="11">
        <f>8.4107 * CHOOSE(CONTROL!$C$32, $C$9, 100%, $E$9)</f>
        <v>8.4107000000000003</v>
      </c>
      <c r="N528" s="11">
        <f>8.4071 * CHOOSE(CONTROL!$C$32, $C$9, 100%, $E$9)</f>
        <v>8.4070999999999998</v>
      </c>
      <c r="O528" s="11">
        <f>8.4107 * CHOOSE(CONTROL!$C$32, $C$9, 100%, $E$9)</f>
        <v>8.4107000000000003</v>
      </c>
    </row>
    <row r="529" spans="1:15" ht="15" x14ac:dyDescent="0.2">
      <c r="A529" s="13">
        <v>56949</v>
      </c>
      <c r="B529" s="9">
        <f>7.4926 * CHOOSE(CONTROL!$C$32, $C$9, 100%, $E$9)</f>
        <v>7.4926000000000004</v>
      </c>
      <c r="C529" s="9">
        <f>7.4926 * CHOOSE(CONTROL!$C$32, $C$9, 100%, $E$9)</f>
        <v>7.4926000000000004</v>
      </c>
      <c r="D529" s="9">
        <f>7.4937 * CHOOSE(CONTROL!$C$32, $C$9, 100%, $E$9)</f>
        <v>7.4936999999999996</v>
      </c>
      <c r="E529" s="11">
        <f>8.3087 * CHOOSE(CONTROL!$C$32, $C$9, 100%, $E$9)</f>
        <v>8.3087</v>
      </c>
      <c r="F529" s="11">
        <f>8.3087 * CHOOSE(CONTROL!$C$32, $C$9, 100%, $E$9)</f>
        <v>8.3087</v>
      </c>
      <c r="G529" s="11">
        <f>8.3124 * CHOOSE(CONTROL!$C$32, $C$9, 100%, $E$9)</f>
        <v>8.3124000000000002</v>
      </c>
      <c r="H529" s="11">
        <f>16.1946 * CHOOSE(CONTROL!$C$32, $C$9, 100%, $E$9)</f>
        <v>16.194600000000001</v>
      </c>
      <c r="I529" s="11">
        <f>16.1983 * CHOOSE(CONTROL!$C$32, $C$9, 100%, $E$9)</f>
        <v>16.1983</v>
      </c>
      <c r="J529" s="11">
        <f>16.1946 * CHOOSE(CONTROL!$C$32, $C$9, 100%, $E$9)</f>
        <v>16.194600000000001</v>
      </c>
      <c r="K529" s="11">
        <f>16.1983 * CHOOSE(CONTROL!$C$32, $C$9, 100%, $E$9)</f>
        <v>16.1983</v>
      </c>
      <c r="L529" s="11">
        <f>8.3087 * CHOOSE(CONTROL!$C$32, $C$9, 100%, $E$9)</f>
        <v>8.3087</v>
      </c>
      <c r="M529" s="11">
        <f>8.3124 * CHOOSE(CONTROL!$C$32, $C$9, 100%, $E$9)</f>
        <v>8.3124000000000002</v>
      </c>
      <c r="N529" s="11">
        <f>8.3087 * CHOOSE(CONTROL!$C$32, $C$9, 100%, $E$9)</f>
        <v>8.3087</v>
      </c>
      <c r="O529" s="11">
        <f>8.3124 * CHOOSE(CONTROL!$C$32, $C$9, 100%, $E$9)</f>
        <v>8.3124000000000002</v>
      </c>
    </row>
    <row r="530" spans="1:15" ht="15" x14ac:dyDescent="0.2">
      <c r="A530" s="13">
        <v>56980</v>
      </c>
      <c r="B530" s="9">
        <f>7.5488 * CHOOSE(CONTROL!$C$32, $C$9, 100%, $E$9)</f>
        <v>7.5488</v>
      </c>
      <c r="C530" s="9">
        <f>7.5488 * CHOOSE(CONTROL!$C$32, $C$9, 100%, $E$9)</f>
        <v>7.5488</v>
      </c>
      <c r="D530" s="9">
        <f>7.5498 * CHOOSE(CONTROL!$C$32, $C$9, 100%, $E$9)</f>
        <v>7.5498000000000003</v>
      </c>
      <c r="E530" s="11">
        <f>8.4508 * CHOOSE(CONTROL!$C$32, $C$9, 100%, $E$9)</f>
        <v>8.4507999999999992</v>
      </c>
      <c r="F530" s="11">
        <f>8.4508 * CHOOSE(CONTROL!$C$32, $C$9, 100%, $E$9)</f>
        <v>8.4507999999999992</v>
      </c>
      <c r="G530" s="11">
        <f>8.4544 * CHOOSE(CONTROL!$C$32, $C$9, 100%, $E$9)</f>
        <v>8.4543999999999997</v>
      </c>
      <c r="H530" s="11">
        <f>16.2284 * CHOOSE(CONTROL!$C$32, $C$9, 100%, $E$9)</f>
        <v>16.228400000000001</v>
      </c>
      <c r="I530" s="11">
        <f>16.232 * CHOOSE(CONTROL!$C$32, $C$9, 100%, $E$9)</f>
        <v>16.231999999999999</v>
      </c>
      <c r="J530" s="11">
        <f>16.2284 * CHOOSE(CONTROL!$C$32, $C$9, 100%, $E$9)</f>
        <v>16.228400000000001</v>
      </c>
      <c r="K530" s="11">
        <f>16.232 * CHOOSE(CONTROL!$C$32, $C$9, 100%, $E$9)</f>
        <v>16.231999999999999</v>
      </c>
      <c r="L530" s="11">
        <f>8.4508 * CHOOSE(CONTROL!$C$32, $C$9, 100%, $E$9)</f>
        <v>8.4507999999999992</v>
      </c>
      <c r="M530" s="11">
        <f>8.4544 * CHOOSE(CONTROL!$C$32, $C$9, 100%, $E$9)</f>
        <v>8.4543999999999997</v>
      </c>
      <c r="N530" s="11">
        <f>8.4508 * CHOOSE(CONTROL!$C$32, $C$9, 100%, $E$9)</f>
        <v>8.4507999999999992</v>
      </c>
      <c r="O530" s="11">
        <f>8.4544 * CHOOSE(CONTROL!$C$32, $C$9, 100%, $E$9)</f>
        <v>8.4543999999999997</v>
      </c>
    </row>
    <row r="531" spans="1:15" ht="15" x14ac:dyDescent="0.2">
      <c r="A531" s="13">
        <v>57011</v>
      </c>
      <c r="B531" s="9">
        <f>7.5457 * CHOOSE(CONTROL!$C$32, $C$9, 100%, $E$9)</f>
        <v>7.5457000000000001</v>
      </c>
      <c r="C531" s="9">
        <f>7.5457 * CHOOSE(CONTROL!$C$32, $C$9, 100%, $E$9)</f>
        <v>7.5457000000000001</v>
      </c>
      <c r="D531" s="9">
        <f>7.5468 * CHOOSE(CONTROL!$C$32, $C$9, 100%, $E$9)</f>
        <v>7.5468000000000002</v>
      </c>
      <c r="E531" s="11">
        <f>8.2568 * CHOOSE(CONTROL!$C$32, $C$9, 100%, $E$9)</f>
        <v>8.2568000000000001</v>
      </c>
      <c r="F531" s="11">
        <f>8.2568 * CHOOSE(CONTROL!$C$32, $C$9, 100%, $E$9)</f>
        <v>8.2568000000000001</v>
      </c>
      <c r="G531" s="11">
        <f>8.2604 * CHOOSE(CONTROL!$C$32, $C$9, 100%, $E$9)</f>
        <v>8.2604000000000006</v>
      </c>
      <c r="H531" s="11">
        <f>16.2622 * CHOOSE(CONTROL!$C$32, $C$9, 100%, $E$9)</f>
        <v>16.2622</v>
      </c>
      <c r="I531" s="11">
        <f>16.2658 * CHOOSE(CONTROL!$C$32, $C$9, 100%, $E$9)</f>
        <v>16.265799999999999</v>
      </c>
      <c r="J531" s="11">
        <f>16.2622 * CHOOSE(CONTROL!$C$32, $C$9, 100%, $E$9)</f>
        <v>16.2622</v>
      </c>
      <c r="K531" s="11">
        <f>16.2658 * CHOOSE(CONTROL!$C$32, $C$9, 100%, $E$9)</f>
        <v>16.265799999999999</v>
      </c>
      <c r="L531" s="11">
        <f>8.2568 * CHOOSE(CONTROL!$C$32, $C$9, 100%, $E$9)</f>
        <v>8.2568000000000001</v>
      </c>
      <c r="M531" s="11">
        <f>8.2604 * CHOOSE(CONTROL!$C$32, $C$9, 100%, $E$9)</f>
        <v>8.2604000000000006</v>
      </c>
      <c r="N531" s="11">
        <f>8.2568 * CHOOSE(CONTROL!$C$32, $C$9, 100%, $E$9)</f>
        <v>8.2568000000000001</v>
      </c>
      <c r="O531" s="11">
        <f>8.2604 * CHOOSE(CONTROL!$C$32, $C$9, 100%, $E$9)</f>
        <v>8.2604000000000006</v>
      </c>
    </row>
    <row r="532" spans="1:15" ht="15" x14ac:dyDescent="0.2">
      <c r="A532" s="13">
        <v>57040</v>
      </c>
      <c r="B532" s="9">
        <f>7.5427 * CHOOSE(CONTROL!$C$32, $C$9, 100%, $E$9)</f>
        <v>7.5427</v>
      </c>
      <c r="C532" s="9">
        <f>7.5427 * CHOOSE(CONTROL!$C$32, $C$9, 100%, $E$9)</f>
        <v>7.5427</v>
      </c>
      <c r="D532" s="9">
        <f>7.5438 * CHOOSE(CONTROL!$C$32, $C$9, 100%, $E$9)</f>
        <v>7.5438000000000001</v>
      </c>
      <c r="E532" s="11">
        <f>8.406 * CHOOSE(CONTROL!$C$32, $C$9, 100%, $E$9)</f>
        <v>8.4060000000000006</v>
      </c>
      <c r="F532" s="11">
        <f>8.406 * CHOOSE(CONTROL!$C$32, $C$9, 100%, $E$9)</f>
        <v>8.4060000000000006</v>
      </c>
      <c r="G532" s="11">
        <f>8.4096 * CHOOSE(CONTROL!$C$32, $C$9, 100%, $E$9)</f>
        <v>8.4095999999999993</v>
      </c>
      <c r="H532" s="11">
        <f>16.2961 * CHOOSE(CONTROL!$C$32, $C$9, 100%, $E$9)</f>
        <v>16.296099999999999</v>
      </c>
      <c r="I532" s="11">
        <f>16.2997 * CHOOSE(CONTROL!$C$32, $C$9, 100%, $E$9)</f>
        <v>16.299700000000001</v>
      </c>
      <c r="J532" s="11">
        <f>16.2961 * CHOOSE(CONTROL!$C$32, $C$9, 100%, $E$9)</f>
        <v>16.296099999999999</v>
      </c>
      <c r="K532" s="11">
        <f>16.2997 * CHOOSE(CONTROL!$C$32, $C$9, 100%, $E$9)</f>
        <v>16.299700000000001</v>
      </c>
      <c r="L532" s="11">
        <f>8.406 * CHOOSE(CONTROL!$C$32, $C$9, 100%, $E$9)</f>
        <v>8.4060000000000006</v>
      </c>
      <c r="M532" s="11">
        <f>8.4096 * CHOOSE(CONTROL!$C$32, $C$9, 100%, $E$9)</f>
        <v>8.4095999999999993</v>
      </c>
      <c r="N532" s="11">
        <f>8.406 * CHOOSE(CONTROL!$C$32, $C$9, 100%, $E$9)</f>
        <v>8.4060000000000006</v>
      </c>
      <c r="O532" s="11">
        <f>8.4096 * CHOOSE(CONTROL!$C$32, $C$9, 100%, $E$9)</f>
        <v>8.4095999999999993</v>
      </c>
    </row>
    <row r="533" spans="1:15" ht="15" x14ac:dyDescent="0.2">
      <c r="A533" s="13">
        <v>57071</v>
      </c>
      <c r="B533" s="9">
        <f>7.5438 * CHOOSE(CONTROL!$C$32, $C$9, 100%, $E$9)</f>
        <v>7.5438000000000001</v>
      </c>
      <c r="C533" s="9">
        <f>7.5438 * CHOOSE(CONTROL!$C$32, $C$9, 100%, $E$9)</f>
        <v>7.5438000000000001</v>
      </c>
      <c r="D533" s="9">
        <f>7.5448 * CHOOSE(CONTROL!$C$32, $C$9, 100%, $E$9)</f>
        <v>7.5448000000000004</v>
      </c>
      <c r="E533" s="11">
        <f>8.5642 * CHOOSE(CONTROL!$C$32, $C$9, 100%, $E$9)</f>
        <v>8.5641999999999996</v>
      </c>
      <c r="F533" s="11">
        <f>8.5642 * CHOOSE(CONTROL!$C$32, $C$9, 100%, $E$9)</f>
        <v>8.5641999999999996</v>
      </c>
      <c r="G533" s="11">
        <f>8.5678 * CHOOSE(CONTROL!$C$32, $C$9, 100%, $E$9)</f>
        <v>8.5678000000000001</v>
      </c>
      <c r="H533" s="11">
        <f>16.33 * CHOOSE(CONTROL!$C$32, $C$9, 100%, $E$9)</f>
        <v>16.329999999999998</v>
      </c>
      <c r="I533" s="11">
        <f>16.3336 * CHOOSE(CONTROL!$C$32, $C$9, 100%, $E$9)</f>
        <v>16.333600000000001</v>
      </c>
      <c r="J533" s="11">
        <f>16.33 * CHOOSE(CONTROL!$C$32, $C$9, 100%, $E$9)</f>
        <v>16.329999999999998</v>
      </c>
      <c r="K533" s="11">
        <f>16.3336 * CHOOSE(CONTROL!$C$32, $C$9, 100%, $E$9)</f>
        <v>16.333600000000001</v>
      </c>
      <c r="L533" s="11">
        <f>8.5642 * CHOOSE(CONTROL!$C$32, $C$9, 100%, $E$9)</f>
        <v>8.5641999999999996</v>
      </c>
      <c r="M533" s="11">
        <f>8.5678 * CHOOSE(CONTROL!$C$32, $C$9, 100%, $E$9)</f>
        <v>8.5678000000000001</v>
      </c>
      <c r="N533" s="11">
        <f>8.5642 * CHOOSE(CONTROL!$C$32, $C$9, 100%, $E$9)</f>
        <v>8.5641999999999996</v>
      </c>
      <c r="O533" s="11">
        <f>8.5678 * CHOOSE(CONTROL!$C$32, $C$9, 100%, $E$9)</f>
        <v>8.5678000000000001</v>
      </c>
    </row>
    <row r="534" spans="1:15" ht="15" x14ac:dyDescent="0.2">
      <c r="A534" s="13">
        <v>57101</v>
      </c>
      <c r="B534" s="9">
        <f>7.5438 * CHOOSE(CONTROL!$C$32, $C$9, 100%, $E$9)</f>
        <v>7.5438000000000001</v>
      </c>
      <c r="C534" s="9">
        <f>7.5438 * CHOOSE(CONTROL!$C$32, $C$9, 100%, $E$9)</f>
        <v>7.5438000000000001</v>
      </c>
      <c r="D534" s="9">
        <f>7.5454 * CHOOSE(CONTROL!$C$32, $C$9, 100%, $E$9)</f>
        <v>7.5453999999999999</v>
      </c>
      <c r="E534" s="11">
        <f>8.6251 * CHOOSE(CONTROL!$C$32, $C$9, 100%, $E$9)</f>
        <v>8.6250999999999998</v>
      </c>
      <c r="F534" s="11">
        <f>8.6251 * CHOOSE(CONTROL!$C$32, $C$9, 100%, $E$9)</f>
        <v>8.6250999999999998</v>
      </c>
      <c r="G534" s="11">
        <f>8.6304 * CHOOSE(CONTROL!$C$32, $C$9, 100%, $E$9)</f>
        <v>8.6303999999999998</v>
      </c>
      <c r="H534" s="11">
        <f>16.364 * CHOOSE(CONTROL!$C$32, $C$9, 100%, $E$9)</f>
        <v>16.364000000000001</v>
      </c>
      <c r="I534" s="11">
        <f>16.3693 * CHOOSE(CONTROL!$C$32, $C$9, 100%, $E$9)</f>
        <v>16.369299999999999</v>
      </c>
      <c r="J534" s="11">
        <f>16.364 * CHOOSE(CONTROL!$C$32, $C$9, 100%, $E$9)</f>
        <v>16.364000000000001</v>
      </c>
      <c r="K534" s="11">
        <f>16.3693 * CHOOSE(CONTROL!$C$32, $C$9, 100%, $E$9)</f>
        <v>16.369299999999999</v>
      </c>
      <c r="L534" s="11">
        <f>8.6251 * CHOOSE(CONTROL!$C$32, $C$9, 100%, $E$9)</f>
        <v>8.6250999999999998</v>
      </c>
      <c r="M534" s="11">
        <f>8.6304 * CHOOSE(CONTROL!$C$32, $C$9, 100%, $E$9)</f>
        <v>8.6303999999999998</v>
      </c>
      <c r="N534" s="11">
        <f>8.6251 * CHOOSE(CONTROL!$C$32, $C$9, 100%, $E$9)</f>
        <v>8.6250999999999998</v>
      </c>
      <c r="O534" s="11">
        <f>8.6304 * CHOOSE(CONTROL!$C$32, $C$9, 100%, $E$9)</f>
        <v>8.6303999999999998</v>
      </c>
    </row>
    <row r="535" spans="1:15" ht="15" x14ac:dyDescent="0.2">
      <c r="A535" s="13">
        <v>57132</v>
      </c>
      <c r="B535" s="9">
        <f>7.5499 * CHOOSE(CONTROL!$C$32, $C$9, 100%, $E$9)</f>
        <v>7.5499000000000001</v>
      </c>
      <c r="C535" s="9">
        <f>7.5499 * CHOOSE(CONTROL!$C$32, $C$9, 100%, $E$9)</f>
        <v>7.5499000000000001</v>
      </c>
      <c r="D535" s="9">
        <f>7.5514 * CHOOSE(CONTROL!$C$32, $C$9, 100%, $E$9)</f>
        <v>7.5514000000000001</v>
      </c>
      <c r="E535" s="11">
        <f>8.5684 * CHOOSE(CONTROL!$C$32, $C$9, 100%, $E$9)</f>
        <v>8.5684000000000005</v>
      </c>
      <c r="F535" s="11">
        <f>8.5684 * CHOOSE(CONTROL!$C$32, $C$9, 100%, $E$9)</f>
        <v>8.5684000000000005</v>
      </c>
      <c r="G535" s="11">
        <f>8.5737 * CHOOSE(CONTROL!$C$32, $C$9, 100%, $E$9)</f>
        <v>8.5737000000000005</v>
      </c>
      <c r="H535" s="11">
        <f>16.3981 * CHOOSE(CONTROL!$C$32, $C$9, 100%, $E$9)</f>
        <v>16.398099999999999</v>
      </c>
      <c r="I535" s="11">
        <f>16.4034 * CHOOSE(CONTROL!$C$32, $C$9, 100%, $E$9)</f>
        <v>16.403400000000001</v>
      </c>
      <c r="J535" s="11">
        <f>16.3981 * CHOOSE(CONTROL!$C$32, $C$9, 100%, $E$9)</f>
        <v>16.398099999999999</v>
      </c>
      <c r="K535" s="11">
        <f>16.4034 * CHOOSE(CONTROL!$C$32, $C$9, 100%, $E$9)</f>
        <v>16.403400000000001</v>
      </c>
      <c r="L535" s="11">
        <f>8.5684 * CHOOSE(CONTROL!$C$32, $C$9, 100%, $E$9)</f>
        <v>8.5684000000000005</v>
      </c>
      <c r="M535" s="11">
        <f>8.5737 * CHOOSE(CONTROL!$C$32, $C$9, 100%, $E$9)</f>
        <v>8.5737000000000005</v>
      </c>
      <c r="N535" s="11">
        <f>8.5684 * CHOOSE(CONTROL!$C$32, $C$9, 100%, $E$9)</f>
        <v>8.5684000000000005</v>
      </c>
      <c r="O535" s="11">
        <f>8.5737 * CHOOSE(CONTROL!$C$32, $C$9, 100%, $E$9)</f>
        <v>8.5737000000000005</v>
      </c>
    </row>
    <row r="536" spans="1:15" ht="15" x14ac:dyDescent="0.2">
      <c r="A536" s="13">
        <v>57162</v>
      </c>
      <c r="B536" s="9">
        <f>7.6474 * CHOOSE(CONTROL!$C$32, $C$9, 100%, $E$9)</f>
        <v>7.6474000000000002</v>
      </c>
      <c r="C536" s="9">
        <f>7.6474 * CHOOSE(CONTROL!$C$32, $C$9, 100%, $E$9)</f>
        <v>7.6474000000000002</v>
      </c>
      <c r="D536" s="9">
        <f>7.6489 * CHOOSE(CONTROL!$C$32, $C$9, 100%, $E$9)</f>
        <v>7.6489000000000003</v>
      </c>
      <c r="E536" s="11">
        <f>8.6867 * CHOOSE(CONTROL!$C$32, $C$9, 100%, $E$9)</f>
        <v>8.6867000000000001</v>
      </c>
      <c r="F536" s="11">
        <f>8.6867 * CHOOSE(CONTROL!$C$32, $C$9, 100%, $E$9)</f>
        <v>8.6867000000000001</v>
      </c>
      <c r="G536" s="11">
        <f>8.692 * CHOOSE(CONTROL!$C$32, $C$9, 100%, $E$9)</f>
        <v>8.6920000000000002</v>
      </c>
      <c r="H536" s="11">
        <f>16.4323 * CHOOSE(CONTROL!$C$32, $C$9, 100%, $E$9)</f>
        <v>16.432300000000001</v>
      </c>
      <c r="I536" s="11">
        <f>16.4376 * CHOOSE(CONTROL!$C$32, $C$9, 100%, $E$9)</f>
        <v>16.4376</v>
      </c>
      <c r="J536" s="11">
        <f>16.4323 * CHOOSE(CONTROL!$C$32, $C$9, 100%, $E$9)</f>
        <v>16.432300000000001</v>
      </c>
      <c r="K536" s="11">
        <f>16.4376 * CHOOSE(CONTROL!$C$32, $C$9, 100%, $E$9)</f>
        <v>16.4376</v>
      </c>
      <c r="L536" s="11">
        <f>8.6867 * CHOOSE(CONTROL!$C$32, $C$9, 100%, $E$9)</f>
        <v>8.6867000000000001</v>
      </c>
      <c r="M536" s="11">
        <f>8.692 * CHOOSE(CONTROL!$C$32, $C$9, 100%, $E$9)</f>
        <v>8.6920000000000002</v>
      </c>
      <c r="N536" s="11">
        <f>8.6867 * CHOOSE(CONTROL!$C$32, $C$9, 100%, $E$9)</f>
        <v>8.6867000000000001</v>
      </c>
      <c r="O536" s="11">
        <f>8.692 * CHOOSE(CONTROL!$C$32, $C$9, 100%, $E$9)</f>
        <v>8.6920000000000002</v>
      </c>
    </row>
    <row r="537" spans="1:15" ht="15" x14ac:dyDescent="0.2">
      <c r="A537" s="13">
        <v>57193</v>
      </c>
      <c r="B537" s="9">
        <f>7.654 * CHOOSE(CONTROL!$C$32, $C$9, 100%, $E$9)</f>
        <v>7.6539999999999999</v>
      </c>
      <c r="C537" s="9">
        <f>7.654 * CHOOSE(CONTROL!$C$32, $C$9, 100%, $E$9)</f>
        <v>7.6539999999999999</v>
      </c>
      <c r="D537" s="9">
        <f>7.6556 * CHOOSE(CONTROL!$C$32, $C$9, 100%, $E$9)</f>
        <v>7.6555999999999997</v>
      </c>
      <c r="E537" s="11">
        <f>8.5087 * CHOOSE(CONTROL!$C$32, $C$9, 100%, $E$9)</f>
        <v>8.5086999999999993</v>
      </c>
      <c r="F537" s="11">
        <f>8.5087 * CHOOSE(CONTROL!$C$32, $C$9, 100%, $E$9)</f>
        <v>8.5086999999999993</v>
      </c>
      <c r="G537" s="11">
        <f>8.5139 * CHOOSE(CONTROL!$C$32, $C$9, 100%, $E$9)</f>
        <v>8.5138999999999996</v>
      </c>
      <c r="H537" s="11">
        <f>16.4665 * CHOOSE(CONTROL!$C$32, $C$9, 100%, $E$9)</f>
        <v>16.4665</v>
      </c>
      <c r="I537" s="11">
        <f>16.4718 * CHOOSE(CONTROL!$C$32, $C$9, 100%, $E$9)</f>
        <v>16.471800000000002</v>
      </c>
      <c r="J537" s="11">
        <f>16.4665 * CHOOSE(CONTROL!$C$32, $C$9, 100%, $E$9)</f>
        <v>16.4665</v>
      </c>
      <c r="K537" s="11">
        <f>16.4718 * CHOOSE(CONTROL!$C$32, $C$9, 100%, $E$9)</f>
        <v>16.471800000000002</v>
      </c>
      <c r="L537" s="11">
        <f>8.5087 * CHOOSE(CONTROL!$C$32, $C$9, 100%, $E$9)</f>
        <v>8.5086999999999993</v>
      </c>
      <c r="M537" s="11">
        <f>8.5139 * CHOOSE(CONTROL!$C$32, $C$9, 100%, $E$9)</f>
        <v>8.5138999999999996</v>
      </c>
      <c r="N537" s="11">
        <f>8.5087 * CHOOSE(CONTROL!$C$32, $C$9, 100%, $E$9)</f>
        <v>8.5086999999999993</v>
      </c>
      <c r="O537" s="11">
        <f>8.5139 * CHOOSE(CONTROL!$C$32, $C$9, 100%, $E$9)</f>
        <v>8.5138999999999996</v>
      </c>
    </row>
    <row r="538" spans="1:15" ht="15" x14ac:dyDescent="0.2">
      <c r="A538" s="13">
        <v>57224</v>
      </c>
      <c r="B538" s="9">
        <f>7.651 * CHOOSE(CONTROL!$C$32, $C$9, 100%, $E$9)</f>
        <v>7.6509999999999998</v>
      </c>
      <c r="C538" s="9">
        <f>7.651 * CHOOSE(CONTROL!$C$32, $C$9, 100%, $E$9)</f>
        <v>7.6509999999999998</v>
      </c>
      <c r="D538" s="9">
        <f>7.6526 * CHOOSE(CONTROL!$C$32, $C$9, 100%, $E$9)</f>
        <v>7.6525999999999996</v>
      </c>
      <c r="E538" s="11">
        <f>8.4862 * CHOOSE(CONTROL!$C$32, $C$9, 100%, $E$9)</f>
        <v>8.4862000000000002</v>
      </c>
      <c r="F538" s="11">
        <f>8.4862 * CHOOSE(CONTROL!$C$32, $C$9, 100%, $E$9)</f>
        <v>8.4862000000000002</v>
      </c>
      <c r="G538" s="11">
        <f>8.4915 * CHOOSE(CONTROL!$C$32, $C$9, 100%, $E$9)</f>
        <v>8.4915000000000003</v>
      </c>
      <c r="H538" s="11">
        <f>16.5008 * CHOOSE(CONTROL!$C$32, $C$9, 100%, $E$9)</f>
        <v>16.500800000000002</v>
      </c>
      <c r="I538" s="11">
        <f>16.5061 * CHOOSE(CONTROL!$C$32, $C$9, 100%, $E$9)</f>
        <v>16.5061</v>
      </c>
      <c r="J538" s="11">
        <f>16.5008 * CHOOSE(CONTROL!$C$32, $C$9, 100%, $E$9)</f>
        <v>16.500800000000002</v>
      </c>
      <c r="K538" s="11">
        <f>16.5061 * CHOOSE(CONTROL!$C$32, $C$9, 100%, $E$9)</f>
        <v>16.5061</v>
      </c>
      <c r="L538" s="11">
        <f>8.4862 * CHOOSE(CONTROL!$C$32, $C$9, 100%, $E$9)</f>
        <v>8.4862000000000002</v>
      </c>
      <c r="M538" s="11">
        <f>8.4915 * CHOOSE(CONTROL!$C$32, $C$9, 100%, $E$9)</f>
        <v>8.4915000000000003</v>
      </c>
      <c r="N538" s="11">
        <f>8.4862 * CHOOSE(CONTROL!$C$32, $C$9, 100%, $E$9)</f>
        <v>8.4862000000000002</v>
      </c>
      <c r="O538" s="11">
        <f>8.4915 * CHOOSE(CONTROL!$C$32, $C$9, 100%, $E$9)</f>
        <v>8.4915000000000003</v>
      </c>
    </row>
    <row r="539" spans="1:15" ht="15" x14ac:dyDescent="0.2">
      <c r="A539" s="13">
        <v>57254</v>
      </c>
      <c r="B539" s="9">
        <f>7.6597 * CHOOSE(CONTROL!$C$32, $C$9, 100%, $E$9)</f>
        <v>7.6597</v>
      </c>
      <c r="C539" s="9">
        <f>7.6597 * CHOOSE(CONTROL!$C$32, $C$9, 100%, $E$9)</f>
        <v>7.6597</v>
      </c>
      <c r="D539" s="9">
        <f>7.6607 * CHOOSE(CONTROL!$C$32, $C$9, 100%, $E$9)</f>
        <v>7.6607000000000003</v>
      </c>
      <c r="E539" s="11">
        <f>8.554 * CHOOSE(CONTROL!$C$32, $C$9, 100%, $E$9)</f>
        <v>8.5540000000000003</v>
      </c>
      <c r="F539" s="11">
        <f>8.554 * CHOOSE(CONTROL!$C$32, $C$9, 100%, $E$9)</f>
        <v>8.5540000000000003</v>
      </c>
      <c r="G539" s="11">
        <f>8.5577 * CHOOSE(CONTROL!$C$32, $C$9, 100%, $E$9)</f>
        <v>8.5577000000000005</v>
      </c>
      <c r="H539" s="11">
        <f>16.5352 * CHOOSE(CONTROL!$C$32, $C$9, 100%, $E$9)</f>
        <v>16.5352</v>
      </c>
      <c r="I539" s="11">
        <f>16.5388 * CHOOSE(CONTROL!$C$32, $C$9, 100%, $E$9)</f>
        <v>16.538799999999998</v>
      </c>
      <c r="J539" s="11">
        <f>16.5352 * CHOOSE(CONTROL!$C$32, $C$9, 100%, $E$9)</f>
        <v>16.5352</v>
      </c>
      <c r="K539" s="11">
        <f>16.5388 * CHOOSE(CONTROL!$C$32, $C$9, 100%, $E$9)</f>
        <v>16.538799999999998</v>
      </c>
      <c r="L539" s="11">
        <f>8.554 * CHOOSE(CONTROL!$C$32, $C$9, 100%, $E$9)</f>
        <v>8.5540000000000003</v>
      </c>
      <c r="M539" s="11">
        <f>8.5577 * CHOOSE(CONTROL!$C$32, $C$9, 100%, $E$9)</f>
        <v>8.5577000000000005</v>
      </c>
      <c r="N539" s="11">
        <f>8.554 * CHOOSE(CONTROL!$C$32, $C$9, 100%, $E$9)</f>
        <v>8.5540000000000003</v>
      </c>
      <c r="O539" s="11">
        <f>8.5577 * CHOOSE(CONTROL!$C$32, $C$9, 100%, $E$9)</f>
        <v>8.5577000000000005</v>
      </c>
    </row>
    <row r="540" spans="1:15" ht="15" x14ac:dyDescent="0.2">
      <c r="A540" s="13">
        <v>57285</v>
      </c>
      <c r="B540" s="9">
        <f>7.6627 * CHOOSE(CONTROL!$C$32, $C$9, 100%, $E$9)</f>
        <v>7.6627000000000001</v>
      </c>
      <c r="C540" s="9">
        <f>7.6627 * CHOOSE(CONTROL!$C$32, $C$9, 100%, $E$9)</f>
        <v>7.6627000000000001</v>
      </c>
      <c r="D540" s="9">
        <f>7.6638 * CHOOSE(CONTROL!$C$32, $C$9, 100%, $E$9)</f>
        <v>7.6638000000000002</v>
      </c>
      <c r="E540" s="11">
        <f>8.5968 * CHOOSE(CONTROL!$C$32, $C$9, 100%, $E$9)</f>
        <v>8.5968</v>
      </c>
      <c r="F540" s="11">
        <f>8.5968 * CHOOSE(CONTROL!$C$32, $C$9, 100%, $E$9)</f>
        <v>8.5968</v>
      </c>
      <c r="G540" s="11">
        <f>8.6004 * CHOOSE(CONTROL!$C$32, $C$9, 100%, $E$9)</f>
        <v>8.6004000000000005</v>
      </c>
      <c r="H540" s="11">
        <f>16.5697 * CHOOSE(CONTROL!$C$32, $C$9, 100%, $E$9)</f>
        <v>16.569700000000001</v>
      </c>
      <c r="I540" s="11">
        <f>16.5733 * CHOOSE(CONTROL!$C$32, $C$9, 100%, $E$9)</f>
        <v>16.5733</v>
      </c>
      <c r="J540" s="11">
        <f>16.5697 * CHOOSE(CONTROL!$C$32, $C$9, 100%, $E$9)</f>
        <v>16.569700000000001</v>
      </c>
      <c r="K540" s="11">
        <f>16.5733 * CHOOSE(CONTROL!$C$32, $C$9, 100%, $E$9)</f>
        <v>16.5733</v>
      </c>
      <c r="L540" s="11">
        <f>8.5968 * CHOOSE(CONTROL!$C$32, $C$9, 100%, $E$9)</f>
        <v>8.5968</v>
      </c>
      <c r="M540" s="11">
        <f>8.6004 * CHOOSE(CONTROL!$C$32, $C$9, 100%, $E$9)</f>
        <v>8.6004000000000005</v>
      </c>
      <c r="N540" s="11">
        <f>8.5968 * CHOOSE(CONTROL!$C$32, $C$9, 100%, $E$9)</f>
        <v>8.5968</v>
      </c>
      <c r="O540" s="11">
        <f>8.6004 * CHOOSE(CONTROL!$C$32, $C$9, 100%, $E$9)</f>
        <v>8.6004000000000005</v>
      </c>
    </row>
    <row r="541" spans="1:15" ht="15" x14ac:dyDescent="0.2">
      <c r="A541" s="13">
        <v>57315</v>
      </c>
      <c r="B541" s="9">
        <f>7.6627 * CHOOSE(CONTROL!$C$32, $C$9, 100%, $E$9)</f>
        <v>7.6627000000000001</v>
      </c>
      <c r="C541" s="9">
        <f>7.6627 * CHOOSE(CONTROL!$C$32, $C$9, 100%, $E$9)</f>
        <v>7.6627000000000001</v>
      </c>
      <c r="D541" s="9">
        <f>7.6638 * CHOOSE(CONTROL!$C$32, $C$9, 100%, $E$9)</f>
        <v>7.6638000000000002</v>
      </c>
      <c r="E541" s="11">
        <f>8.4952 * CHOOSE(CONTROL!$C$32, $C$9, 100%, $E$9)</f>
        <v>8.4952000000000005</v>
      </c>
      <c r="F541" s="11">
        <f>8.4952 * CHOOSE(CONTROL!$C$32, $C$9, 100%, $E$9)</f>
        <v>8.4952000000000005</v>
      </c>
      <c r="G541" s="11">
        <f>8.4989 * CHOOSE(CONTROL!$C$32, $C$9, 100%, $E$9)</f>
        <v>8.4989000000000008</v>
      </c>
      <c r="H541" s="11">
        <f>16.6042 * CHOOSE(CONTROL!$C$32, $C$9, 100%, $E$9)</f>
        <v>16.604199999999999</v>
      </c>
      <c r="I541" s="11">
        <f>16.6078 * CHOOSE(CONTROL!$C$32, $C$9, 100%, $E$9)</f>
        <v>16.607800000000001</v>
      </c>
      <c r="J541" s="11">
        <f>16.6042 * CHOOSE(CONTROL!$C$32, $C$9, 100%, $E$9)</f>
        <v>16.604199999999999</v>
      </c>
      <c r="K541" s="11">
        <f>16.6078 * CHOOSE(CONTROL!$C$32, $C$9, 100%, $E$9)</f>
        <v>16.607800000000001</v>
      </c>
      <c r="L541" s="11">
        <f>8.4952 * CHOOSE(CONTROL!$C$32, $C$9, 100%, $E$9)</f>
        <v>8.4952000000000005</v>
      </c>
      <c r="M541" s="11">
        <f>8.4989 * CHOOSE(CONTROL!$C$32, $C$9, 100%, $E$9)</f>
        <v>8.4989000000000008</v>
      </c>
      <c r="N541" s="11">
        <f>8.4952 * CHOOSE(CONTROL!$C$32, $C$9, 100%, $E$9)</f>
        <v>8.4952000000000005</v>
      </c>
      <c r="O541" s="11">
        <f>8.4989 * CHOOSE(CONTROL!$C$32, $C$9, 100%, $E$9)</f>
        <v>8.4989000000000008</v>
      </c>
    </row>
    <row r="542" spans="1:15" ht="15" x14ac:dyDescent="0.2">
      <c r="A542" s="13">
        <v>57346</v>
      </c>
      <c r="B542" s="9">
        <f>7.72 * CHOOSE(CONTROL!$C$32, $C$9, 100%, $E$9)</f>
        <v>7.72</v>
      </c>
      <c r="C542" s="9">
        <f>7.72 * CHOOSE(CONTROL!$C$32, $C$9, 100%, $E$9)</f>
        <v>7.72</v>
      </c>
      <c r="D542" s="9">
        <f>7.7211 * CHOOSE(CONTROL!$C$32, $C$9, 100%, $E$9)</f>
        <v>7.7210999999999999</v>
      </c>
      <c r="E542" s="11">
        <f>8.6415 * CHOOSE(CONTROL!$C$32, $C$9, 100%, $E$9)</f>
        <v>8.6415000000000006</v>
      </c>
      <c r="F542" s="11">
        <f>8.6415 * CHOOSE(CONTROL!$C$32, $C$9, 100%, $E$9)</f>
        <v>8.6415000000000006</v>
      </c>
      <c r="G542" s="11">
        <f>8.6451 * CHOOSE(CONTROL!$C$32, $C$9, 100%, $E$9)</f>
        <v>8.6450999999999993</v>
      </c>
      <c r="H542" s="11">
        <f>16.6388 * CHOOSE(CONTROL!$C$32, $C$9, 100%, $E$9)</f>
        <v>16.6388</v>
      </c>
      <c r="I542" s="11">
        <f>16.6424 * CHOOSE(CONTROL!$C$32, $C$9, 100%, $E$9)</f>
        <v>16.642399999999999</v>
      </c>
      <c r="J542" s="11">
        <f>16.6388 * CHOOSE(CONTROL!$C$32, $C$9, 100%, $E$9)</f>
        <v>16.6388</v>
      </c>
      <c r="K542" s="11">
        <f>16.6424 * CHOOSE(CONTROL!$C$32, $C$9, 100%, $E$9)</f>
        <v>16.642399999999999</v>
      </c>
      <c r="L542" s="11">
        <f>8.6415 * CHOOSE(CONTROL!$C$32, $C$9, 100%, $E$9)</f>
        <v>8.6415000000000006</v>
      </c>
      <c r="M542" s="11">
        <f>8.6451 * CHOOSE(CONTROL!$C$32, $C$9, 100%, $E$9)</f>
        <v>8.6450999999999993</v>
      </c>
      <c r="N542" s="11">
        <f>8.6415 * CHOOSE(CONTROL!$C$32, $C$9, 100%, $E$9)</f>
        <v>8.6415000000000006</v>
      </c>
      <c r="O542" s="11">
        <f>8.6451 * CHOOSE(CONTROL!$C$32, $C$9, 100%, $E$9)</f>
        <v>8.6450999999999993</v>
      </c>
    </row>
    <row r="543" spans="1:15" ht="15" x14ac:dyDescent="0.2">
      <c r="A543" s="13">
        <v>57377</v>
      </c>
      <c r="B543" s="9">
        <f>7.717 * CHOOSE(CONTROL!$C$32, $C$9, 100%, $E$9)</f>
        <v>7.7169999999999996</v>
      </c>
      <c r="C543" s="9">
        <f>7.717 * CHOOSE(CONTROL!$C$32, $C$9, 100%, $E$9)</f>
        <v>7.7169999999999996</v>
      </c>
      <c r="D543" s="9">
        <f>7.7181 * CHOOSE(CONTROL!$C$32, $C$9, 100%, $E$9)</f>
        <v>7.7180999999999997</v>
      </c>
      <c r="E543" s="11">
        <f>8.4413 * CHOOSE(CONTROL!$C$32, $C$9, 100%, $E$9)</f>
        <v>8.4413</v>
      </c>
      <c r="F543" s="11">
        <f>8.4413 * CHOOSE(CONTROL!$C$32, $C$9, 100%, $E$9)</f>
        <v>8.4413</v>
      </c>
      <c r="G543" s="11">
        <f>8.4449 * CHOOSE(CONTROL!$C$32, $C$9, 100%, $E$9)</f>
        <v>8.4449000000000005</v>
      </c>
      <c r="H543" s="11">
        <f>16.6734 * CHOOSE(CONTROL!$C$32, $C$9, 100%, $E$9)</f>
        <v>16.673400000000001</v>
      </c>
      <c r="I543" s="11">
        <f>16.6771 * CHOOSE(CONTROL!$C$32, $C$9, 100%, $E$9)</f>
        <v>16.677099999999999</v>
      </c>
      <c r="J543" s="11">
        <f>16.6734 * CHOOSE(CONTROL!$C$32, $C$9, 100%, $E$9)</f>
        <v>16.673400000000001</v>
      </c>
      <c r="K543" s="11">
        <f>16.6771 * CHOOSE(CONTROL!$C$32, $C$9, 100%, $E$9)</f>
        <v>16.677099999999999</v>
      </c>
      <c r="L543" s="11">
        <f>8.4413 * CHOOSE(CONTROL!$C$32, $C$9, 100%, $E$9)</f>
        <v>8.4413</v>
      </c>
      <c r="M543" s="11">
        <f>8.4449 * CHOOSE(CONTROL!$C$32, $C$9, 100%, $E$9)</f>
        <v>8.4449000000000005</v>
      </c>
      <c r="N543" s="11">
        <f>8.4413 * CHOOSE(CONTROL!$C$32, $C$9, 100%, $E$9)</f>
        <v>8.4413</v>
      </c>
      <c r="O543" s="11">
        <f>8.4449 * CHOOSE(CONTROL!$C$32, $C$9, 100%, $E$9)</f>
        <v>8.4449000000000005</v>
      </c>
    </row>
    <row r="544" spans="1:15" ht="15" x14ac:dyDescent="0.2">
      <c r="A544" s="13">
        <v>57405</v>
      </c>
      <c r="B544" s="9">
        <f>7.7139 * CHOOSE(CONTROL!$C$32, $C$9, 100%, $E$9)</f>
        <v>7.7138999999999998</v>
      </c>
      <c r="C544" s="9">
        <f>7.7139 * CHOOSE(CONTROL!$C$32, $C$9, 100%, $E$9)</f>
        <v>7.7138999999999998</v>
      </c>
      <c r="D544" s="9">
        <f>7.715 * CHOOSE(CONTROL!$C$32, $C$9, 100%, $E$9)</f>
        <v>7.7149999999999999</v>
      </c>
      <c r="E544" s="11">
        <f>8.5954 * CHOOSE(CONTROL!$C$32, $C$9, 100%, $E$9)</f>
        <v>8.5953999999999997</v>
      </c>
      <c r="F544" s="11">
        <f>8.5954 * CHOOSE(CONTROL!$C$32, $C$9, 100%, $E$9)</f>
        <v>8.5953999999999997</v>
      </c>
      <c r="G544" s="11">
        <f>8.599 * CHOOSE(CONTROL!$C$32, $C$9, 100%, $E$9)</f>
        <v>8.5990000000000002</v>
      </c>
      <c r="H544" s="11">
        <f>16.7082 * CHOOSE(CONTROL!$C$32, $C$9, 100%, $E$9)</f>
        <v>16.708200000000001</v>
      </c>
      <c r="I544" s="11">
        <f>16.7118 * CHOOSE(CONTROL!$C$32, $C$9, 100%, $E$9)</f>
        <v>16.7118</v>
      </c>
      <c r="J544" s="11">
        <f>16.7082 * CHOOSE(CONTROL!$C$32, $C$9, 100%, $E$9)</f>
        <v>16.708200000000001</v>
      </c>
      <c r="K544" s="11">
        <f>16.7118 * CHOOSE(CONTROL!$C$32, $C$9, 100%, $E$9)</f>
        <v>16.7118</v>
      </c>
      <c r="L544" s="11">
        <f>8.5954 * CHOOSE(CONTROL!$C$32, $C$9, 100%, $E$9)</f>
        <v>8.5953999999999997</v>
      </c>
      <c r="M544" s="11">
        <f>8.599 * CHOOSE(CONTROL!$C$32, $C$9, 100%, $E$9)</f>
        <v>8.5990000000000002</v>
      </c>
      <c r="N544" s="11">
        <f>8.5954 * CHOOSE(CONTROL!$C$32, $C$9, 100%, $E$9)</f>
        <v>8.5953999999999997</v>
      </c>
      <c r="O544" s="11">
        <f>8.599 * CHOOSE(CONTROL!$C$32, $C$9, 100%, $E$9)</f>
        <v>8.5990000000000002</v>
      </c>
    </row>
    <row r="545" spans="1:15" ht="15" x14ac:dyDescent="0.2">
      <c r="A545" s="13">
        <v>57436</v>
      </c>
      <c r="B545" s="9">
        <f>7.7152 * CHOOSE(CONTROL!$C$32, $C$9, 100%, $E$9)</f>
        <v>7.7152000000000003</v>
      </c>
      <c r="C545" s="9">
        <f>7.7152 * CHOOSE(CONTROL!$C$32, $C$9, 100%, $E$9)</f>
        <v>7.7152000000000003</v>
      </c>
      <c r="D545" s="9">
        <f>7.7163 * CHOOSE(CONTROL!$C$32, $C$9, 100%, $E$9)</f>
        <v>7.7163000000000004</v>
      </c>
      <c r="E545" s="11">
        <f>8.7588 * CHOOSE(CONTROL!$C$32, $C$9, 100%, $E$9)</f>
        <v>8.7588000000000008</v>
      </c>
      <c r="F545" s="11">
        <f>8.7588 * CHOOSE(CONTROL!$C$32, $C$9, 100%, $E$9)</f>
        <v>8.7588000000000008</v>
      </c>
      <c r="G545" s="11">
        <f>8.7625 * CHOOSE(CONTROL!$C$32, $C$9, 100%, $E$9)</f>
        <v>8.7624999999999993</v>
      </c>
      <c r="H545" s="11">
        <f>16.743 * CHOOSE(CONTROL!$C$32, $C$9, 100%, $E$9)</f>
        <v>16.742999999999999</v>
      </c>
      <c r="I545" s="11">
        <f>16.7466 * CHOOSE(CONTROL!$C$32, $C$9, 100%, $E$9)</f>
        <v>16.746600000000001</v>
      </c>
      <c r="J545" s="11">
        <f>16.743 * CHOOSE(CONTROL!$C$32, $C$9, 100%, $E$9)</f>
        <v>16.742999999999999</v>
      </c>
      <c r="K545" s="11">
        <f>16.7466 * CHOOSE(CONTROL!$C$32, $C$9, 100%, $E$9)</f>
        <v>16.746600000000001</v>
      </c>
      <c r="L545" s="11">
        <f>8.7588 * CHOOSE(CONTROL!$C$32, $C$9, 100%, $E$9)</f>
        <v>8.7588000000000008</v>
      </c>
      <c r="M545" s="11">
        <f>8.7625 * CHOOSE(CONTROL!$C$32, $C$9, 100%, $E$9)</f>
        <v>8.7624999999999993</v>
      </c>
      <c r="N545" s="11">
        <f>8.7588 * CHOOSE(CONTROL!$C$32, $C$9, 100%, $E$9)</f>
        <v>8.7588000000000008</v>
      </c>
      <c r="O545" s="11">
        <f>8.7625 * CHOOSE(CONTROL!$C$32, $C$9, 100%, $E$9)</f>
        <v>8.7624999999999993</v>
      </c>
    </row>
    <row r="546" spans="1:15" ht="15" x14ac:dyDescent="0.2">
      <c r="A546" s="13">
        <v>57466</v>
      </c>
      <c r="B546" s="9">
        <f>7.7152 * CHOOSE(CONTROL!$C$32, $C$9, 100%, $E$9)</f>
        <v>7.7152000000000003</v>
      </c>
      <c r="C546" s="9">
        <f>7.7152 * CHOOSE(CONTROL!$C$32, $C$9, 100%, $E$9)</f>
        <v>7.7152000000000003</v>
      </c>
      <c r="D546" s="9">
        <f>7.7168 * CHOOSE(CONTROL!$C$32, $C$9, 100%, $E$9)</f>
        <v>7.7168000000000001</v>
      </c>
      <c r="E546" s="11">
        <f>8.8217 * CHOOSE(CONTROL!$C$32, $C$9, 100%, $E$9)</f>
        <v>8.8216999999999999</v>
      </c>
      <c r="F546" s="11">
        <f>8.8217 * CHOOSE(CONTROL!$C$32, $C$9, 100%, $E$9)</f>
        <v>8.8216999999999999</v>
      </c>
      <c r="G546" s="11">
        <f>8.827 * CHOOSE(CONTROL!$C$32, $C$9, 100%, $E$9)</f>
        <v>8.827</v>
      </c>
      <c r="H546" s="11">
        <f>16.7779 * CHOOSE(CONTROL!$C$32, $C$9, 100%, $E$9)</f>
        <v>16.777899999999999</v>
      </c>
      <c r="I546" s="11">
        <f>16.7832 * CHOOSE(CONTROL!$C$32, $C$9, 100%, $E$9)</f>
        <v>16.783200000000001</v>
      </c>
      <c r="J546" s="11">
        <f>16.7779 * CHOOSE(CONTROL!$C$32, $C$9, 100%, $E$9)</f>
        <v>16.777899999999999</v>
      </c>
      <c r="K546" s="11">
        <f>16.7832 * CHOOSE(CONTROL!$C$32, $C$9, 100%, $E$9)</f>
        <v>16.783200000000001</v>
      </c>
      <c r="L546" s="11">
        <f>8.8217 * CHOOSE(CONTROL!$C$32, $C$9, 100%, $E$9)</f>
        <v>8.8216999999999999</v>
      </c>
      <c r="M546" s="11">
        <f>8.827 * CHOOSE(CONTROL!$C$32, $C$9, 100%, $E$9)</f>
        <v>8.827</v>
      </c>
      <c r="N546" s="11">
        <f>8.8217 * CHOOSE(CONTROL!$C$32, $C$9, 100%, $E$9)</f>
        <v>8.8216999999999999</v>
      </c>
      <c r="O546" s="11">
        <f>8.827 * CHOOSE(CONTROL!$C$32, $C$9, 100%, $E$9)</f>
        <v>8.827</v>
      </c>
    </row>
    <row r="547" spans="1:15" ht="15" x14ac:dyDescent="0.2">
      <c r="A547" s="13">
        <v>57497</v>
      </c>
      <c r="B547" s="9">
        <f>7.7213 * CHOOSE(CONTROL!$C$32, $C$9, 100%, $E$9)</f>
        <v>7.7213000000000003</v>
      </c>
      <c r="C547" s="9">
        <f>7.7213 * CHOOSE(CONTROL!$C$32, $C$9, 100%, $E$9)</f>
        <v>7.7213000000000003</v>
      </c>
      <c r="D547" s="9">
        <f>7.7228 * CHOOSE(CONTROL!$C$32, $C$9, 100%, $E$9)</f>
        <v>7.7228000000000003</v>
      </c>
      <c r="E547" s="11">
        <f>8.7631 * CHOOSE(CONTROL!$C$32, $C$9, 100%, $E$9)</f>
        <v>8.7630999999999997</v>
      </c>
      <c r="F547" s="11">
        <f>8.7631 * CHOOSE(CONTROL!$C$32, $C$9, 100%, $E$9)</f>
        <v>8.7630999999999997</v>
      </c>
      <c r="G547" s="11">
        <f>8.7684 * CHOOSE(CONTROL!$C$32, $C$9, 100%, $E$9)</f>
        <v>8.7683999999999997</v>
      </c>
      <c r="H547" s="11">
        <f>16.8128 * CHOOSE(CONTROL!$C$32, $C$9, 100%, $E$9)</f>
        <v>16.812799999999999</v>
      </c>
      <c r="I547" s="11">
        <f>16.8181 * CHOOSE(CONTROL!$C$32, $C$9, 100%, $E$9)</f>
        <v>16.818100000000001</v>
      </c>
      <c r="J547" s="11">
        <f>16.8128 * CHOOSE(CONTROL!$C$32, $C$9, 100%, $E$9)</f>
        <v>16.812799999999999</v>
      </c>
      <c r="K547" s="11">
        <f>16.8181 * CHOOSE(CONTROL!$C$32, $C$9, 100%, $E$9)</f>
        <v>16.818100000000001</v>
      </c>
      <c r="L547" s="11">
        <f>8.7631 * CHOOSE(CONTROL!$C$32, $C$9, 100%, $E$9)</f>
        <v>8.7630999999999997</v>
      </c>
      <c r="M547" s="11">
        <f>8.7684 * CHOOSE(CONTROL!$C$32, $C$9, 100%, $E$9)</f>
        <v>8.7683999999999997</v>
      </c>
      <c r="N547" s="11">
        <f>8.7631 * CHOOSE(CONTROL!$C$32, $C$9, 100%, $E$9)</f>
        <v>8.7630999999999997</v>
      </c>
      <c r="O547" s="11">
        <f>8.7684 * CHOOSE(CONTROL!$C$32, $C$9, 100%, $E$9)</f>
        <v>8.7683999999999997</v>
      </c>
    </row>
    <row r="548" spans="1:15" ht="15" x14ac:dyDescent="0.2">
      <c r="A548" s="13">
        <v>57527</v>
      </c>
      <c r="B548" s="9">
        <f>7.8207 * CHOOSE(CONTROL!$C$32, $C$9, 100%, $E$9)</f>
        <v>7.8207000000000004</v>
      </c>
      <c r="C548" s="9">
        <f>7.8207 * CHOOSE(CONTROL!$C$32, $C$9, 100%, $E$9)</f>
        <v>7.8207000000000004</v>
      </c>
      <c r="D548" s="9">
        <f>7.8222 * CHOOSE(CONTROL!$C$32, $C$9, 100%, $E$9)</f>
        <v>7.8221999999999996</v>
      </c>
      <c r="E548" s="11">
        <f>8.8842 * CHOOSE(CONTROL!$C$32, $C$9, 100%, $E$9)</f>
        <v>8.8841999999999999</v>
      </c>
      <c r="F548" s="11">
        <f>8.8842 * CHOOSE(CONTROL!$C$32, $C$9, 100%, $E$9)</f>
        <v>8.8841999999999999</v>
      </c>
      <c r="G548" s="11">
        <f>8.8895 * CHOOSE(CONTROL!$C$32, $C$9, 100%, $E$9)</f>
        <v>8.8895</v>
      </c>
      <c r="H548" s="11">
        <f>16.8478 * CHOOSE(CONTROL!$C$32, $C$9, 100%, $E$9)</f>
        <v>16.847799999999999</v>
      </c>
      <c r="I548" s="11">
        <f>16.8531 * CHOOSE(CONTROL!$C$32, $C$9, 100%, $E$9)</f>
        <v>16.853100000000001</v>
      </c>
      <c r="J548" s="11">
        <f>16.8478 * CHOOSE(CONTROL!$C$32, $C$9, 100%, $E$9)</f>
        <v>16.847799999999999</v>
      </c>
      <c r="K548" s="11">
        <f>16.8531 * CHOOSE(CONTROL!$C$32, $C$9, 100%, $E$9)</f>
        <v>16.853100000000001</v>
      </c>
      <c r="L548" s="11">
        <f>8.8842 * CHOOSE(CONTROL!$C$32, $C$9, 100%, $E$9)</f>
        <v>8.8841999999999999</v>
      </c>
      <c r="M548" s="11">
        <f>8.8895 * CHOOSE(CONTROL!$C$32, $C$9, 100%, $E$9)</f>
        <v>8.8895</v>
      </c>
      <c r="N548" s="11">
        <f>8.8842 * CHOOSE(CONTROL!$C$32, $C$9, 100%, $E$9)</f>
        <v>8.8841999999999999</v>
      </c>
      <c r="O548" s="11">
        <f>8.8895 * CHOOSE(CONTROL!$C$32, $C$9, 100%, $E$9)</f>
        <v>8.8895</v>
      </c>
    </row>
    <row r="549" spans="1:15" ht="15" x14ac:dyDescent="0.2">
      <c r="A549" s="13">
        <v>57558</v>
      </c>
      <c r="B549" s="9">
        <f>7.8273 * CHOOSE(CONTROL!$C$32, $C$9, 100%, $E$9)</f>
        <v>7.8273000000000001</v>
      </c>
      <c r="C549" s="9">
        <f>7.8273 * CHOOSE(CONTROL!$C$32, $C$9, 100%, $E$9)</f>
        <v>7.8273000000000001</v>
      </c>
      <c r="D549" s="9">
        <f>7.8289 * CHOOSE(CONTROL!$C$32, $C$9, 100%, $E$9)</f>
        <v>7.8289</v>
      </c>
      <c r="E549" s="11">
        <f>8.7002 * CHOOSE(CONTROL!$C$32, $C$9, 100%, $E$9)</f>
        <v>8.7002000000000006</v>
      </c>
      <c r="F549" s="11">
        <f>8.7002 * CHOOSE(CONTROL!$C$32, $C$9, 100%, $E$9)</f>
        <v>8.7002000000000006</v>
      </c>
      <c r="G549" s="11">
        <f>8.7055 * CHOOSE(CONTROL!$C$32, $C$9, 100%, $E$9)</f>
        <v>8.7055000000000007</v>
      </c>
      <c r="H549" s="11">
        <f>16.8829 * CHOOSE(CONTROL!$C$32, $C$9, 100%, $E$9)</f>
        <v>16.882899999999999</v>
      </c>
      <c r="I549" s="11">
        <f>16.8882 * CHOOSE(CONTROL!$C$32, $C$9, 100%, $E$9)</f>
        <v>16.888200000000001</v>
      </c>
      <c r="J549" s="11">
        <f>16.8829 * CHOOSE(CONTROL!$C$32, $C$9, 100%, $E$9)</f>
        <v>16.882899999999999</v>
      </c>
      <c r="K549" s="11">
        <f>16.8882 * CHOOSE(CONTROL!$C$32, $C$9, 100%, $E$9)</f>
        <v>16.888200000000001</v>
      </c>
      <c r="L549" s="11">
        <f>8.7002 * CHOOSE(CONTROL!$C$32, $C$9, 100%, $E$9)</f>
        <v>8.7002000000000006</v>
      </c>
      <c r="M549" s="11">
        <f>8.7055 * CHOOSE(CONTROL!$C$32, $C$9, 100%, $E$9)</f>
        <v>8.7055000000000007</v>
      </c>
      <c r="N549" s="11">
        <f>8.7002 * CHOOSE(CONTROL!$C$32, $C$9, 100%, $E$9)</f>
        <v>8.7002000000000006</v>
      </c>
      <c r="O549" s="11">
        <f>8.7055 * CHOOSE(CONTROL!$C$32, $C$9, 100%, $E$9)</f>
        <v>8.7055000000000007</v>
      </c>
    </row>
    <row r="550" spans="1:15" ht="15" x14ac:dyDescent="0.2">
      <c r="A550" s="13">
        <v>57589</v>
      </c>
      <c r="B550" s="9">
        <f>7.8243 * CHOOSE(CONTROL!$C$32, $C$9, 100%, $E$9)</f>
        <v>7.8243</v>
      </c>
      <c r="C550" s="9">
        <f>7.8243 * CHOOSE(CONTROL!$C$32, $C$9, 100%, $E$9)</f>
        <v>7.8243</v>
      </c>
      <c r="D550" s="9">
        <f>7.8259 * CHOOSE(CONTROL!$C$32, $C$9, 100%, $E$9)</f>
        <v>7.8258999999999999</v>
      </c>
      <c r="E550" s="11">
        <f>8.6771 * CHOOSE(CONTROL!$C$32, $C$9, 100%, $E$9)</f>
        <v>8.6770999999999994</v>
      </c>
      <c r="F550" s="11">
        <f>8.6771 * CHOOSE(CONTROL!$C$32, $C$9, 100%, $E$9)</f>
        <v>8.6770999999999994</v>
      </c>
      <c r="G550" s="11">
        <f>8.6824 * CHOOSE(CONTROL!$C$32, $C$9, 100%, $E$9)</f>
        <v>8.6823999999999995</v>
      </c>
      <c r="H550" s="11">
        <f>16.9181 * CHOOSE(CONTROL!$C$32, $C$9, 100%, $E$9)</f>
        <v>16.918099999999999</v>
      </c>
      <c r="I550" s="11">
        <f>16.9234 * CHOOSE(CONTROL!$C$32, $C$9, 100%, $E$9)</f>
        <v>16.923400000000001</v>
      </c>
      <c r="J550" s="11">
        <f>16.9181 * CHOOSE(CONTROL!$C$32, $C$9, 100%, $E$9)</f>
        <v>16.918099999999999</v>
      </c>
      <c r="K550" s="11">
        <f>16.9234 * CHOOSE(CONTROL!$C$32, $C$9, 100%, $E$9)</f>
        <v>16.923400000000001</v>
      </c>
      <c r="L550" s="11">
        <f>8.6771 * CHOOSE(CONTROL!$C$32, $C$9, 100%, $E$9)</f>
        <v>8.6770999999999994</v>
      </c>
      <c r="M550" s="11">
        <f>8.6824 * CHOOSE(CONTROL!$C$32, $C$9, 100%, $E$9)</f>
        <v>8.6823999999999995</v>
      </c>
      <c r="N550" s="11">
        <f>8.6771 * CHOOSE(CONTROL!$C$32, $C$9, 100%, $E$9)</f>
        <v>8.6770999999999994</v>
      </c>
      <c r="O550" s="11">
        <f>8.6824 * CHOOSE(CONTROL!$C$32, $C$9, 100%, $E$9)</f>
        <v>8.6823999999999995</v>
      </c>
    </row>
    <row r="551" spans="1:15" ht="15" x14ac:dyDescent="0.2">
      <c r="A551" s="13">
        <v>57619</v>
      </c>
      <c r="B551" s="9">
        <f>7.8336 * CHOOSE(CONTROL!$C$32, $C$9, 100%, $E$9)</f>
        <v>7.8335999999999997</v>
      </c>
      <c r="C551" s="9">
        <f>7.8336 * CHOOSE(CONTROL!$C$32, $C$9, 100%, $E$9)</f>
        <v>7.8335999999999997</v>
      </c>
      <c r="D551" s="9">
        <f>7.8347 * CHOOSE(CONTROL!$C$32, $C$9, 100%, $E$9)</f>
        <v>7.8346999999999998</v>
      </c>
      <c r="E551" s="11">
        <f>8.7475 * CHOOSE(CONTROL!$C$32, $C$9, 100%, $E$9)</f>
        <v>8.7475000000000005</v>
      </c>
      <c r="F551" s="11">
        <f>8.7475 * CHOOSE(CONTROL!$C$32, $C$9, 100%, $E$9)</f>
        <v>8.7475000000000005</v>
      </c>
      <c r="G551" s="11">
        <f>8.7511 * CHOOSE(CONTROL!$C$32, $C$9, 100%, $E$9)</f>
        <v>8.7510999999999992</v>
      </c>
      <c r="H551" s="11">
        <f>16.9534 * CHOOSE(CONTROL!$C$32, $C$9, 100%, $E$9)</f>
        <v>16.953399999999998</v>
      </c>
      <c r="I551" s="11">
        <f>16.957 * CHOOSE(CONTROL!$C$32, $C$9, 100%, $E$9)</f>
        <v>16.957000000000001</v>
      </c>
      <c r="J551" s="11">
        <f>16.9534 * CHOOSE(CONTROL!$C$32, $C$9, 100%, $E$9)</f>
        <v>16.953399999999998</v>
      </c>
      <c r="K551" s="11">
        <f>16.957 * CHOOSE(CONTROL!$C$32, $C$9, 100%, $E$9)</f>
        <v>16.957000000000001</v>
      </c>
      <c r="L551" s="11">
        <f>8.7475 * CHOOSE(CONTROL!$C$32, $C$9, 100%, $E$9)</f>
        <v>8.7475000000000005</v>
      </c>
      <c r="M551" s="11">
        <f>8.7511 * CHOOSE(CONTROL!$C$32, $C$9, 100%, $E$9)</f>
        <v>8.7510999999999992</v>
      </c>
      <c r="N551" s="11">
        <f>8.7475 * CHOOSE(CONTROL!$C$32, $C$9, 100%, $E$9)</f>
        <v>8.7475000000000005</v>
      </c>
      <c r="O551" s="11">
        <f>8.7511 * CHOOSE(CONTROL!$C$32, $C$9, 100%, $E$9)</f>
        <v>8.7510999999999992</v>
      </c>
    </row>
    <row r="552" spans="1:15" ht="15" x14ac:dyDescent="0.2">
      <c r="A552" s="13">
        <v>57650</v>
      </c>
      <c r="B552" s="9">
        <f>7.8366 * CHOOSE(CONTROL!$C$32, $C$9, 100%, $E$9)</f>
        <v>7.8365999999999998</v>
      </c>
      <c r="C552" s="9">
        <f>7.8366 * CHOOSE(CONTROL!$C$32, $C$9, 100%, $E$9)</f>
        <v>7.8365999999999998</v>
      </c>
      <c r="D552" s="9">
        <f>7.8377 * CHOOSE(CONTROL!$C$32, $C$9, 100%, $E$9)</f>
        <v>7.8376999999999999</v>
      </c>
      <c r="E552" s="11">
        <f>8.7916 * CHOOSE(CONTROL!$C$32, $C$9, 100%, $E$9)</f>
        <v>8.7916000000000007</v>
      </c>
      <c r="F552" s="11">
        <f>8.7916 * CHOOSE(CONTROL!$C$32, $C$9, 100%, $E$9)</f>
        <v>8.7916000000000007</v>
      </c>
      <c r="G552" s="11">
        <f>8.7952 * CHOOSE(CONTROL!$C$32, $C$9, 100%, $E$9)</f>
        <v>8.7951999999999995</v>
      </c>
      <c r="H552" s="11">
        <f>16.9887 * CHOOSE(CONTROL!$C$32, $C$9, 100%, $E$9)</f>
        <v>16.988700000000001</v>
      </c>
      <c r="I552" s="11">
        <f>16.9923 * CHOOSE(CONTROL!$C$32, $C$9, 100%, $E$9)</f>
        <v>16.9923</v>
      </c>
      <c r="J552" s="11">
        <f>16.9887 * CHOOSE(CONTROL!$C$32, $C$9, 100%, $E$9)</f>
        <v>16.988700000000001</v>
      </c>
      <c r="K552" s="11">
        <f>16.9923 * CHOOSE(CONTROL!$C$32, $C$9, 100%, $E$9)</f>
        <v>16.9923</v>
      </c>
      <c r="L552" s="11">
        <f>8.7916 * CHOOSE(CONTROL!$C$32, $C$9, 100%, $E$9)</f>
        <v>8.7916000000000007</v>
      </c>
      <c r="M552" s="11">
        <f>8.7952 * CHOOSE(CONTROL!$C$32, $C$9, 100%, $E$9)</f>
        <v>8.7951999999999995</v>
      </c>
      <c r="N552" s="11">
        <f>8.7916 * CHOOSE(CONTROL!$C$32, $C$9, 100%, $E$9)</f>
        <v>8.7916000000000007</v>
      </c>
      <c r="O552" s="11">
        <f>8.7952 * CHOOSE(CONTROL!$C$32, $C$9, 100%, $E$9)</f>
        <v>8.7951999999999995</v>
      </c>
    </row>
    <row r="553" spans="1:15" ht="15" x14ac:dyDescent="0.2">
      <c r="A553" s="13">
        <v>57680</v>
      </c>
      <c r="B553" s="9">
        <f>7.8366 * CHOOSE(CONTROL!$C$32, $C$9, 100%, $E$9)</f>
        <v>7.8365999999999998</v>
      </c>
      <c r="C553" s="9">
        <f>7.8366 * CHOOSE(CONTROL!$C$32, $C$9, 100%, $E$9)</f>
        <v>7.8365999999999998</v>
      </c>
      <c r="D553" s="9">
        <f>7.8377 * CHOOSE(CONTROL!$C$32, $C$9, 100%, $E$9)</f>
        <v>7.8376999999999999</v>
      </c>
      <c r="E553" s="11">
        <f>8.6867 * CHOOSE(CONTROL!$C$32, $C$9, 100%, $E$9)</f>
        <v>8.6867000000000001</v>
      </c>
      <c r="F553" s="11">
        <f>8.6867 * CHOOSE(CONTROL!$C$32, $C$9, 100%, $E$9)</f>
        <v>8.6867000000000001</v>
      </c>
      <c r="G553" s="11">
        <f>8.6904 * CHOOSE(CONTROL!$C$32, $C$9, 100%, $E$9)</f>
        <v>8.6904000000000003</v>
      </c>
      <c r="H553" s="11">
        <f>17.0241 * CHOOSE(CONTROL!$C$32, $C$9, 100%, $E$9)</f>
        <v>17.024100000000001</v>
      </c>
      <c r="I553" s="11">
        <f>17.0277 * CHOOSE(CONTROL!$C$32, $C$9, 100%, $E$9)</f>
        <v>17.027699999999999</v>
      </c>
      <c r="J553" s="11">
        <f>17.0241 * CHOOSE(CONTROL!$C$32, $C$9, 100%, $E$9)</f>
        <v>17.024100000000001</v>
      </c>
      <c r="K553" s="11">
        <f>17.0277 * CHOOSE(CONTROL!$C$32, $C$9, 100%, $E$9)</f>
        <v>17.027699999999999</v>
      </c>
      <c r="L553" s="11">
        <f>8.6867 * CHOOSE(CONTROL!$C$32, $C$9, 100%, $E$9)</f>
        <v>8.6867000000000001</v>
      </c>
      <c r="M553" s="11">
        <f>8.6904 * CHOOSE(CONTROL!$C$32, $C$9, 100%, $E$9)</f>
        <v>8.6904000000000003</v>
      </c>
      <c r="N553" s="11">
        <f>8.6867 * CHOOSE(CONTROL!$C$32, $C$9, 100%, $E$9)</f>
        <v>8.6867000000000001</v>
      </c>
      <c r="O553" s="11">
        <f>8.6904 * CHOOSE(CONTROL!$C$32, $C$9, 100%, $E$9)</f>
        <v>8.6904000000000003</v>
      </c>
    </row>
    <row r="554" spans="1:15" ht="15" x14ac:dyDescent="0.2">
      <c r="A554" s="13">
        <v>57711</v>
      </c>
      <c r="B554" s="9">
        <f>7.8952 * CHOOSE(CONTROL!$C$32, $C$9, 100%, $E$9)</f>
        <v>7.8952</v>
      </c>
      <c r="C554" s="9">
        <f>7.8952 * CHOOSE(CONTROL!$C$32, $C$9, 100%, $E$9)</f>
        <v>7.8952</v>
      </c>
      <c r="D554" s="9">
        <f>7.8962 * CHOOSE(CONTROL!$C$32, $C$9, 100%, $E$9)</f>
        <v>7.8962000000000003</v>
      </c>
      <c r="E554" s="11">
        <f>8.8374 * CHOOSE(CONTROL!$C$32, $C$9, 100%, $E$9)</f>
        <v>8.8374000000000006</v>
      </c>
      <c r="F554" s="11">
        <f>8.8374 * CHOOSE(CONTROL!$C$32, $C$9, 100%, $E$9)</f>
        <v>8.8374000000000006</v>
      </c>
      <c r="G554" s="11">
        <f>8.841 * CHOOSE(CONTROL!$C$32, $C$9, 100%, $E$9)</f>
        <v>8.8409999999999993</v>
      </c>
      <c r="H554" s="11">
        <f>17.0595 * CHOOSE(CONTROL!$C$32, $C$9, 100%, $E$9)</f>
        <v>17.0595</v>
      </c>
      <c r="I554" s="11">
        <f>17.0632 * CHOOSE(CONTROL!$C$32, $C$9, 100%, $E$9)</f>
        <v>17.063199999999998</v>
      </c>
      <c r="J554" s="11">
        <f>17.0595 * CHOOSE(CONTROL!$C$32, $C$9, 100%, $E$9)</f>
        <v>17.0595</v>
      </c>
      <c r="K554" s="11">
        <f>17.0632 * CHOOSE(CONTROL!$C$32, $C$9, 100%, $E$9)</f>
        <v>17.063199999999998</v>
      </c>
      <c r="L554" s="11">
        <f>8.8374 * CHOOSE(CONTROL!$C$32, $C$9, 100%, $E$9)</f>
        <v>8.8374000000000006</v>
      </c>
      <c r="M554" s="11">
        <f>8.841 * CHOOSE(CONTROL!$C$32, $C$9, 100%, $E$9)</f>
        <v>8.8409999999999993</v>
      </c>
      <c r="N554" s="11">
        <f>8.8374 * CHOOSE(CONTROL!$C$32, $C$9, 100%, $E$9)</f>
        <v>8.8374000000000006</v>
      </c>
      <c r="O554" s="11">
        <f>8.841 * CHOOSE(CONTROL!$C$32, $C$9, 100%, $E$9)</f>
        <v>8.8409999999999993</v>
      </c>
    </row>
    <row r="555" spans="1:15" ht="15" x14ac:dyDescent="0.2">
      <c r="A555" s="13">
        <v>57742</v>
      </c>
      <c r="B555" s="9">
        <f>7.8921 * CHOOSE(CONTROL!$C$32, $C$9, 100%, $E$9)</f>
        <v>7.8921000000000001</v>
      </c>
      <c r="C555" s="9">
        <f>7.8921 * CHOOSE(CONTROL!$C$32, $C$9, 100%, $E$9)</f>
        <v>7.8921000000000001</v>
      </c>
      <c r="D555" s="9">
        <f>7.8932 * CHOOSE(CONTROL!$C$32, $C$9, 100%, $E$9)</f>
        <v>7.8932000000000002</v>
      </c>
      <c r="E555" s="11">
        <f>8.6307 * CHOOSE(CONTROL!$C$32, $C$9, 100%, $E$9)</f>
        <v>8.6306999999999992</v>
      </c>
      <c r="F555" s="11">
        <f>8.6307 * CHOOSE(CONTROL!$C$32, $C$9, 100%, $E$9)</f>
        <v>8.6306999999999992</v>
      </c>
      <c r="G555" s="11">
        <f>8.6344 * CHOOSE(CONTROL!$C$32, $C$9, 100%, $E$9)</f>
        <v>8.6343999999999994</v>
      </c>
      <c r="H555" s="11">
        <f>17.0951 * CHOOSE(CONTROL!$C$32, $C$9, 100%, $E$9)</f>
        <v>17.095099999999999</v>
      </c>
      <c r="I555" s="11">
        <f>17.0987 * CHOOSE(CONTROL!$C$32, $C$9, 100%, $E$9)</f>
        <v>17.098700000000001</v>
      </c>
      <c r="J555" s="11">
        <f>17.0951 * CHOOSE(CONTROL!$C$32, $C$9, 100%, $E$9)</f>
        <v>17.095099999999999</v>
      </c>
      <c r="K555" s="11">
        <f>17.0987 * CHOOSE(CONTROL!$C$32, $C$9, 100%, $E$9)</f>
        <v>17.098700000000001</v>
      </c>
      <c r="L555" s="11">
        <f>8.6307 * CHOOSE(CONTROL!$C$32, $C$9, 100%, $E$9)</f>
        <v>8.6306999999999992</v>
      </c>
      <c r="M555" s="11">
        <f>8.6344 * CHOOSE(CONTROL!$C$32, $C$9, 100%, $E$9)</f>
        <v>8.6343999999999994</v>
      </c>
      <c r="N555" s="11">
        <f>8.6307 * CHOOSE(CONTROL!$C$32, $C$9, 100%, $E$9)</f>
        <v>8.6306999999999992</v>
      </c>
      <c r="O555" s="11">
        <f>8.6344 * CHOOSE(CONTROL!$C$32, $C$9, 100%, $E$9)</f>
        <v>8.6343999999999994</v>
      </c>
    </row>
    <row r="556" spans="1:15" ht="15" x14ac:dyDescent="0.2">
      <c r="A556" s="13">
        <v>57770</v>
      </c>
      <c r="B556" s="9">
        <f>7.8891 * CHOOSE(CONTROL!$C$32, $C$9, 100%, $E$9)</f>
        <v>7.8891</v>
      </c>
      <c r="C556" s="9">
        <f>7.8891 * CHOOSE(CONTROL!$C$32, $C$9, 100%, $E$9)</f>
        <v>7.8891</v>
      </c>
      <c r="D556" s="9">
        <f>7.8902 * CHOOSE(CONTROL!$C$32, $C$9, 100%, $E$9)</f>
        <v>7.8902000000000001</v>
      </c>
      <c r="E556" s="11">
        <f>8.7899 * CHOOSE(CONTROL!$C$32, $C$9, 100%, $E$9)</f>
        <v>8.7898999999999994</v>
      </c>
      <c r="F556" s="11">
        <f>8.7899 * CHOOSE(CONTROL!$C$32, $C$9, 100%, $E$9)</f>
        <v>8.7898999999999994</v>
      </c>
      <c r="G556" s="11">
        <f>8.7935 * CHOOSE(CONTROL!$C$32, $C$9, 100%, $E$9)</f>
        <v>8.7934999999999999</v>
      </c>
      <c r="H556" s="11">
        <f>17.1307 * CHOOSE(CONTROL!$C$32, $C$9, 100%, $E$9)</f>
        <v>17.130700000000001</v>
      </c>
      <c r="I556" s="11">
        <f>17.1343 * CHOOSE(CONTROL!$C$32, $C$9, 100%, $E$9)</f>
        <v>17.1343</v>
      </c>
      <c r="J556" s="11">
        <f>17.1307 * CHOOSE(CONTROL!$C$32, $C$9, 100%, $E$9)</f>
        <v>17.130700000000001</v>
      </c>
      <c r="K556" s="11">
        <f>17.1343 * CHOOSE(CONTROL!$C$32, $C$9, 100%, $E$9)</f>
        <v>17.1343</v>
      </c>
      <c r="L556" s="11">
        <f>8.7899 * CHOOSE(CONTROL!$C$32, $C$9, 100%, $E$9)</f>
        <v>8.7898999999999994</v>
      </c>
      <c r="M556" s="11">
        <f>8.7935 * CHOOSE(CONTROL!$C$32, $C$9, 100%, $E$9)</f>
        <v>8.7934999999999999</v>
      </c>
      <c r="N556" s="11">
        <f>8.7899 * CHOOSE(CONTROL!$C$32, $C$9, 100%, $E$9)</f>
        <v>8.7898999999999994</v>
      </c>
      <c r="O556" s="11">
        <f>8.7935 * CHOOSE(CONTROL!$C$32, $C$9, 100%, $E$9)</f>
        <v>8.7934999999999999</v>
      </c>
    </row>
    <row r="557" spans="1:15" ht="15" x14ac:dyDescent="0.2">
      <c r="A557" s="13">
        <v>57801</v>
      </c>
      <c r="B557" s="9">
        <f>7.8905 * CHOOSE(CONTROL!$C$32, $C$9, 100%, $E$9)</f>
        <v>7.8905000000000003</v>
      </c>
      <c r="C557" s="9">
        <f>7.8905 * CHOOSE(CONTROL!$C$32, $C$9, 100%, $E$9)</f>
        <v>7.8905000000000003</v>
      </c>
      <c r="D557" s="9">
        <f>7.8916 * CHOOSE(CONTROL!$C$32, $C$9, 100%, $E$9)</f>
        <v>7.8916000000000004</v>
      </c>
      <c r="E557" s="11">
        <f>8.9588 * CHOOSE(CONTROL!$C$32, $C$9, 100%, $E$9)</f>
        <v>8.9588000000000001</v>
      </c>
      <c r="F557" s="11">
        <f>8.9588 * CHOOSE(CONTROL!$C$32, $C$9, 100%, $E$9)</f>
        <v>8.9588000000000001</v>
      </c>
      <c r="G557" s="11">
        <f>8.9624 * CHOOSE(CONTROL!$C$32, $C$9, 100%, $E$9)</f>
        <v>8.9624000000000006</v>
      </c>
      <c r="H557" s="11">
        <f>17.1664 * CHOOSE(CONTROL!$C$32, $C$9, 100%, $E$9)</f>
        <v>17.166399999999999</v>
      </c>
      <c r="I557" s="11">
        <f>17.17 * CHOOSE(CONTROL!$C$32, $C$9, 100%, $E$9)</f>
        <v>17.170000000000002</v>
      </c>
      <c r="J557" s="11">
        <f>17.1664 * CHOOSE(CONTROL!$C$32, $C$9, 100%, $E$9)</f>
        <v>17.166399999999999</v>
      </c>
      <c r="K557" s="11">
        <f>17.17 * CHOOSE(CONTROL!$C$32, $C$9, 100%, $E$9)</f>
        <v>17.170000000000002</v>
      </c>
      <c r="L557" s="11">
        <f>8.9588 * CHOOSE(CONTROL!$C$32, $C$9, 100%, $E$9)</f>
        <v>8.9588000000000001</v>
      </c>
      <c r="M557" s="11">
        <f>8.9624 * CHOOSE(CONTROL!$C$32, $C$9, 100%, $E$9)</f>
        <v>8.9624000000000006</v>
      </c>
      <c r="N557" s="11">
        <f>8.9588 * CHOOSE(CONTROL!$C$32, $C$9, 100%, $E$9)</f>
        <v>8.9588000000000001</v>
      </c>
      <c r="O557" s="11">
        <f>8.9624 * CHOOSE(CONTROL!$C$32, $C$9, 100%, $E$9)</f>
        <v>8.9624000000000006</v>
      </c>
    </row>
    <row r="558" spans="1:15" ht="15" x14ac:dyDescent="0.2">
      <c r="A558" s="13">
        <v>57831</v>
      </c>
      <c r="B558" s="9">
        <f>7.8905 * CHOOSE(CONTROL!$C$32, $C$9, 100%, $E$9)</f>
        <v>7.8905000000000003</v>
      </c>
      <c r="C558" s="9">
        <f>7.8905 * CHOOSE(CONTROL!$C$32, $C$9, 100%, $E$9)</f>
        <v>7.8905000000000003</v>
      </c>
      <c r="D558" s="9">
        <f>7.8921 * CHOOSE(CONTROL!$C$32, $C$9, 100%, $E$9)</f>
        <v>7.8921000000000001</v>
      </c>
      <c r="E558" s="11">
        <f>9.0237 * CHOOSE(CONTROL!$C$32, $C$9, 100%, $E$9)</f>
        <v>9.0236999999999998</v>
      </c>
      <c r="F558" s="11">
        <f>9.0237 * CHOOSE(CONTROL!$C$32, $C$9, 100%, $E$9)</f>
        <v>9.0236999999999998</v>
      </c>
      <c r="G558" s="11">
        <f>9.029 * CHOOSE(CONTROL!$C$32, $C$9, 100%, $E$9)</f>
        <v>9.0289999999999999</v>
      </c>
      <c r="H558" s="11">
        <f>17.2022 * CHOOSE(CONTROL!$C$32, $C$9, 100%, $E$9)</f>
        <v>17.202200000000001</v>
      </c>
      <c r="I558" s="11">
        <f>17.2074 * CHOOSE(CONTROL!$C$32, $C$9, 100%, $E$9)</f>
        <v>17.2074</v>
      </c>
      <c r="J558" s="11">
        <f>17.2022 * CHOOSE(CONTROL!$C$32, $C$9, 100%, $E$9)</f>
        <v>17.202200000000001</v>
      </c>
      <c r="K558" s="11">
        <f>17.2074 * CHOOSE(CONTROL!$C$32, $C$9, 100%, $E$9)</f>
        <v>17.2074</v>
      </c>
      <c r="L558" s="11">
        <f>9.0237 * CHOOSE(CONTROL!$C$32, $C$9, 100%, $E$9)</f>
        <v>9.0236999999999998</v>
      </c>
      <c r="M558" s="11">
        <f>9.029 * CHOOSE(CONTROL!$C$32, $C$9, 100%, $E$9)</f>
        <v>9.0289999999999999</v>
      </c>
      <c r="N558" s="11">
        <f>9.0237 * CHOOSE(CONTROL!$C$32, $C$9, 100%, $E$9)</f>
        <v>9.0236999999999998</v>
      </c>
      <c r="O558" s="11">
        <f>9.029 * CHOOSE(CONTROL!$C$32, $C$9, 100%, $E$9)</f>
        <v>9.0289999999999999</v>
      </c>
    </row>
    <row r="559" spans="1:15" ht="15" x14ac:dyDescent="0.2">
      <c r="A559" s="13">
        <v>57862</v>
      </c>
      <c r="B559" s="9">
        <f>7.8966 * CHOOSE(CONTROL!$C$32, $C$9, 100%, $E$9)</f>
        <v>7.8966000000000003</v>
      </c>
      <c r="C559" s="9">
        <f>7.8966 * CHOOSE(CONTROL!$C$32, $C$9, 100%, $E$9)</f>
        <v>7.8966000000000003</v>
      </c>
      <c r="D559" s="9">
        <f>7.8982 * CHOOSE(CONTROL!$C$32, $C$9, 100%, $E$9)</f>
        <v>7.8982000000000001</v>
      </c>
      <c r="E559" s="11">
        <f>8.963 * CHOOSE(CONTROL!$C$32, $C$9, 100%, $E$9)</f>
        <v>8.9629999999999992</v>
      </c>
      <c r="F559" s="11">
        <f>8.963 * CHOOSE(CONTROL!$C$32, $C$9, 100%, $E$9)</f>
        <v>8.9629999999999992</v>
      </c>
      <c r="G559" s="11">
        <f>8.9683 * CHOOSE(CONTROL!$C$32, $C$9, 100%, $E$9)</f>
        <v>8.9682999999999993</v>
      </c>
      <c r="H559" s="11">
        <f>17.238 * CHOOSE(CONTROL!$C$32, $C$9, 100%, $E$9)</f>
        <v>17.238</v>
      </c>
      <c r="I559" s="11">
        <f>17.2433 * CHOOSE(CONTROL!$C$32, $C$9, 100%, $E$9)</f>
        <v>17.243300000000001</v>
      </c>
      <c r="J559" s="11">
        <f>17.238 * CHOOSE(CONTROL!$C$32, $C$9, 100%, $E$9)</f>
        <v>17.238</v>
      </c>
      <c r="K559" s="11">
        <f>17.2433 * CHOOSE(CONTROL!$C$32, $C$9, 100%, $E$9)</f>
        <v>17.243300000000001</v>
      </c>
      <c r="L559" s="11">
        <f>8.963 * CHOOSE(CONTROL!$C$32, $C$9, 100%, $E$9)</f>
        <v>8.9629999999999992</v>
      </c>
      <c r="M559" s="11">
        <f>8.9683 * CHOOSE(CONTROL!$C$32, $C$9, 100%, $E$9)</f>
        <v>8.9682999999999993</v>
      </c>
      <c r="N559" s="11">
        <f>8.963 * CHOOSE(CONTROL!$C$32, $C$9, 100%, $E$9)</f>
        <v>8.9629999999999992</v>
      </c>
      <c r="O559" s="11">
        <f>8.9683 * CHOOSE(CONTROL!$C$32, $C$9, 100%, $E$9)</f>
        <v>8.9682999999999993</v>
      </c>
    </row>
    <row r="560" spans="1:15" ht="15" x14ac:dyDescent="0.2">
      <c r="A560" s="13">
        <v>57892</v>
      </c>
      <c r="B560" s="9">
        <f>7.9979 * CHOOSE(CONTROL!$C$32, $C$9, 100%, $E$9)</f>
        <v>7.9978999999999996</v>
      </c>
      <c r="C560" s="9">
        <f>7.9979 * CHOOSE(CONTROL!$C$32, $C$9, 100%, $E$9)</f>
        <v>7.9978999999999996</v>
      </c>
      <c r="D560" s="9">
        <f>7.9995 * CHOOSE(CONTROL!$C$32, $C$9, 100%, $E$9)</f>
        <v>7.9995000000000003</v>
      </c>
      <c r="E560" s="11">
        <f>9.0871 * CHOOSE(CONTROL!$C$32, $C$9, 100%, $E$9)</f>
        <v>9.0870999999999995</v>
      </c>
      <c r="F560" s="11">
        <f>9.0871 * CHOOSE(CONTROL!$C$32, $C$9, 100%, $E$9)</f>
        <v>9.0870999999999995</v>
      </c>
      <c r="G560" s="11">
        <f>9.0924 * CHOOSE(CONTROL!$C$32, $C$9, 100%, $E$9)</f>
        <v>9.0923999999999996</v>
      </c>
      <c r="H560" s="11">
        <f>17.2739 * CHOOSE(CONTROL!$C$32, $C$9, 100%, $E$9)</f>
        <v>17.273900000000001</v>
      </c>
      <c r="I560" s="11">
        <f>17.2792 * CHOOSE(CONTROL!$C$32, $C$9, 100%, $E$9)</f>
        <v>17.279199999999999</v>
      </c>
      <c r="J560" s="11">
        <f>17.2739 * CHOOSE(CONTROL!$C$32, $C$9, 100%, $E$9)</f>
        <v>17.273900000000001</v>
      </c>
      <c r="K560" s="11">
        <f>17.2792 * CHOOSE(CONTROL!$C$32, $C$9, 100%, $E$9)</f>
        <v>17.279199999999999</v>
      </c>
      <c r="L560" s="11">
        <f>9.0871 * CHOOSE(CONTROL!$C$32, $C$9, 100%, $E$9)</f>
        <v>9.0870999999999995</v>
      </c>
      <c r="M560" s="11">
        <f>9.0924 * CHOOSE(CONTROL!$C$32, $C$9, 100%, $E$9)</f>
        <v>9.0923999999999996</v>
      </c>
      <c r="N560" s="11">
        <f>9.0871 * CHOOSE(CONTROL!$C$32, $C$9, 100%, $E$9)</f>
        <v>9.0870999999999995</v>
      </c>
      <c r="O560" s="11">
        <f>9.0924 * CHOOSE(CONTROL!$C$32, $C$9, 100%, $E$9)</f>
        <v>9.0923999999999996</v>
      </c>
    </row>
    <row r="561" spans="1:15" ht="15" x14ac:dyDescent="0.2">
      <c r="A561" s="13">
        <v>57923</v>
      </c>
      <c r="B561" s="9">
        <f>8.0046 * CHOOSE(CONTROL!$C$32, $C$9, 100%, $E$9)</f>
        <v>8.0045999999999999</v>
      </c>
      <c r="C561" s="9">
        <f>8.0046 * CHOOSE(CONTROL!$C$32, $C$9, 100%, $E$9)</f>
        <v>8.0045999999999999</v>
      </c>
      <c r="D561" s="9">
        <f>8.0062 * CHOOSE(CONTROL!$C$32, $C$9, 100%, $E$9)</f>
        <v>8.0061999999999998</v>
      </c>
      <c r="E561" s="11">
        <f>8.897 * CHOOSE(CONTROL!$C$32, $C$9, 100%, $E$9)</f>
        <v>8.8970000000000002</v>
      </c>
      <c r="F561" s="11">
        <f>8.897 * CHOOSE(CONTROL!$C$32, $C$9, 100%, $E$9)</f>
        <v>8.8970000000000002</v>
      </c>
      <c r="G561" s="11">
        <f>8.9022 * CHOOSE(CONTROL!$C$32, $C$9, 100%, $E$9)</f>
        <v>8.9022000000000006</v>
      </c>
      <c r="H561" s="11">
        <f>17.3099 * CHOOSE(CONTROL!$C$32, $C$9, 100%, $E$9)</f>
        <v>17.309899999999999</v>
      </c>
      <c r="I561" s="11">
        <f>17.3152 * CHOOSE(CONTROL!$C$32, $C$9, 100%, $E$9)</f>
        <v>17.315200000000001</v>
      </c>
      <c r="J561" s="11">
        <f>17.3099 * CHOOSE(CONTROL!$C$32, $C$9, 100%, $E$9)</f>
        <v>17.309899999999999</v>
      </c>
      <c r="K561" s="11">
        <f>17.3152 * CHOOSE(CONTROL!$C$32, $C$9, 100%, $E$9)</f>
        <v>17.315200000000001</v>
      </c>
      <c r="L561" s="11">
        <f>8.897 * CHOOSE(CONTROL!$C$32, $C$9, 100%, $E$9)</f>
        <v>8.8970000000000002</v>
      </c>
      <c r="M561" s="11">
        <f>8.9022 * CHOOSE(CONTROL!$C$32, $C$9, 100%, $E$9)</f>
        <v>8.9022000000000006</v>
      </c>
      <c r="N561" s="11">
        <f>8.897 * CHOOSE(CONTROL!$C$32, $C$9, 100%, $E$9)</f>
        <v>8.8970000000000002</v>
      </c>
      <c r="O561" s="11">
        <f>8.9022 * CHOOSE(CONTROL!$C$32, $C$9, 100%, $E$9)</f>
        <v>8.9022000000000006</v>
      </c>
    </row>
    <row r="562" spans="1:15" ht="15" x14ac:dyDescent="0.2">
      <c r="A562" s="13">
        <v>57954</v>
      </c>
      <c r="B562" s="9">
        <f>8.0015 * CHOOSE(CONTROL!$C$32, $C$9, 100%, $E$9)</f>
        <v>8.0015000000000001</v>
      </c>
      <c r="C562" s="9">
        <f>8.0015 * CHOOSE(CONTROL!$C$32, $C$9, 100%, $E$9)</f>
        <v>8.0015000000000001</v>
      </c>
      <c r="D562" s="9">
        <f>8.0031 * CHOOSE(CONTROL!$C$32, $C$9, 100%, $E$9)</f>
        <v>8.0030999999999999</v>
      </c>
      <c r="E562" s="11">
        <f>8.8732 * CHOOSE(CONTROL!$C$32, $C$9, 100%, $E$9)</f>
        <v>8.8732000000000006</v>
      </c>
      <c r="F562" s="11">
        <f>8.8732 * CHOOSE(CONTROL!$C$32, $C$9, 100%, $E$9)</f>
        <v>8.8732000000000006</v>
      </c>
      <c r="G562" s="11">
        <f>8.8785 * CHOOSE(CONTROL!$C$32, $C$9, 100%, $E$9)</f>
        <v>8.8785000000000007</v>
      </c>
      <c r="H562" s="11">
        <f>17.346 * CHOOSE(CONTROL!$C$32, $C$9, 100%, $E$9)</f>
        <v>17.346</v>
      </c>
      <c r="I562" s="11">
        <f>17.3512 * CHOOSE(CONTROL!$C$32, $C$9, 100%, $E$9)</f>
        <v>17.351199999999999</v>
      </c>
      <c r="J562" s="11">
        <f>17.346 * CHOOSE(CONTROL!$C$32, $C$9, 100%, $E$9)</f>
        <v>17.346</v>
      </c>
      <c r="K562" s="11">
        <f>17.3512 * CHOOSE(CONTROL!$C$32, $C$9, 100%, $E$9)</f>
        <v>17.351199999999999</v>
      </c>
      <c r="L562" s="11">
        <f>8.8732 * CHOOSE(CONTROL!$C$32, $C$9, 100%, $E$9)</f>
        <v>8.8732000000000006</v>
      </c>
      <c r="M562" s="11">
        <f>8.8785 * CHOOSE(CONTROL!$C$32, $C$9, 100%, $E$9)</f>
        <v>8.8785000000000007</v>
      </c>
      <c r="N562" s="11">
        <f>8.8732 * CHOOSE(CONTROL!$C$32, $C$9, 100%, $E$9)</f>
        <v>8.8732000000000006</v>
      </c>
      <c r="O562" s="11">
        <f>8.8785 * CHOOSE(CONTROL!$C$32, $C$9, 100%, $E$9)</f>
        <v>8.8785000000000007</v>
      </c>
    </row>
    <row r="563" spans="1:15" ht="15" x14ac:dyDescent="0.2">
      <c r="A563" s="13">
        <v>57984</v>
      </c>
      <c r="B563" s="9">
        <f>8.0115 * CHOOSE(CONTROL!$C$32, $C$9, 100%, $E$9)</f>
        <v>8.0114999999999998</v>
      </c>
      <c r="C563" s="9">
        <f>8.0115 * CHOOSE(CONTROL!$C$32, $C$9, 100%, $E$9)</f>
        <v>8.0114999999999998</v>
      </c>
      <c r="D563" s="9">
        <f>8.0126 * CHOOSE(CONTROL!$C$32, $C$9, 100%, $E$9)</f>
        <v>8.0126000000000008</v>
      </c>
      <c r="E563" s="11">
        <f>8.9464 * CHOOSE(CONTROL!$C$32, $C$9, 100%, $E$9)</f>
        <v>8.9464000000000006</v>
      </c>
      <c r="F563" s="11">
        <f>8.9464 * CHOOSE(CONTROL!$C$32, $C$9, 100%, $E$9)</f>
        <v>8.9464000000000006</v>
      </c>
      <c r="G563" s="11">
        <f>8.95 * CHOOSE(CONTROL!$C$32, $C$9, 100%, $E$9)</f>
        <v>8.9499999999999993</v>
      </c>
      <c r="H563" s="11">
        <f>17.3821 * CHOOSE(CONTROL!$C$32, $C$9, 100%, $E$9)</f>
        <v>17.382100000000001</v>
      </c>
      <c r="I563" s="11">
        <f>17.3857 * CHOOSE(CONTROL!$C$32, $C$9, 100%, $E$9)</f>
        <v>17.3857</v>
      </c>
      <c r="J563" s="11">
        <f>17.3821 * CHOOSE(CONTROL!$C$32, $C$9, 100%, $E$9)</f>
        <v>17.382100000000001</v>
      </c>
      <c r="K563" s="11">
        <f>17.3857 * CHOOSE(CONTROL!$C$32, $C$9, 100%, $E$9)</f>
        <v>17.3857</v>
      </c>
      <c r="L563" s="11">
        <f>8.9464 * CHOOSE(CONTROL!$C$32, $C$9, 100%, $E$9)</f>
        <v>8.9464000000000006</v>
      </c>
      <c r="M563" s="11">
        <f>8.95 * CHOOSE(CONTROL!$C$32, $C$9, 100%, $E$9)</f>
        <v>8.9499999999999993</v>
      </c>
      <c r="N563" s="11">
        <f>8.9464 * CHOOSE(CONTROL!$C$32, $C$9, 100%, $E$9)</f>
        <v>8.9464000000000006</v>
      </c>
      <c r="O563" s="11">
        <f>8.95 * CHOOSE(CONTROL!$C$32, $C$9, 100%, $E$9)</f>
        <v>8.9499999999999993</v>
      </c>
    </row>
    <row r="564" spans="1:15" ht="15" x14ac:dyDescent="0.2">
      <c r="A564" s="13">
        <v>58015</v>
      </c>
      <c r="B564" s="9">
        <f>8.0145 * CHOOSE(CONTROL!$C$32, $C$9, 100%, $E$9)</f>
        <v>8.0145</v>
      </c>
      <c r="C564" s="9">
        <f>8.0145 * CHOOSE(CONTROL!$C$32, $C$9, 100%, $E$9)</f>
        <v>8.0145</v>
      </c>
      <c r="D564" s="9">
        <f>8.0156 * CHOOSE(CONTROL!$C$32, $C$9, 100%, $E$9)</f>
        <v>8.0155999999999992</v>
      </c>
      <c r="E564" s="11">
        <f>8.9918 * CHOOSE(CONTROL!$C$32, $C$9, 100%, $E$9)</f>
        <v>8.9917999999999996</v>
      </c>
      <c r="F564" s="11">
        <f>8.9918 * CHOOSE(CONTROL!$C$32, $C$9, 100%, $E$9)</f>
        <v>8.9917999999999996</v>
      </c>
      <c r="G564" s="11">
        <f>8.9954 * CHOOSE(CONTROL!$C$32, $C$9, 100%, $E$9)</f>
        <v>8.9954000000000001</v>
      </c>
      <c r="H564" s="11">
        <f>17.4183 * CHOOSE(CONTROL!$C$32, $C$9, 100%, $E$9)</f>
        <v>17.418299999999999</v>
      </c>
      <c r="I564" s="11">
        <f>17.4219 * CHOOSE(CONTROL!$C$32, $C$9, 100%, $E$9)</f>
        <v>17.421900000000001</v>
      </c>
      <c r="J564" s="11">
        <f>17.4183 * CHOOSE(CONTROL!$C$32, $C$9, 100%, $E$9)</f>
        <v>17.418299999999999</v>
      </c>
      <c r="K564" s="11">
        <f>17.4219 * CHOOSE(CONTROL!$C$32, $C$9, 100%, $E$9)</f>
        <v>17.421900000000001</v>
      </c>
      <c r="L564" s="11">
        <f>8.9918 * CHOOSE(CONTROL!$C$32, $C$9, 100%, $E$9)</f>
        <v>8.9917999999999996</v>
      </c>
      <c r="M564" s="11">
        <f>8.9954 * CHOOSE(CONTROL!$C$32, $C$9, 100%, $E$9)</f>
        <v>8.9954000000000001</v>
      </c>
      <c r="N564" s="11">
        <f>8.9918 * CHOOSE(CONTROL!$C$32, $C$9, 100%, $E$9)</f>
        <v>8.9917999999999996</v>
      </c>
      <c r="O564" s="11">
        <f>8.9954 * CHOOSE(CONTROL!$C$32, $C$9, 100%, $E$9)</f>
        <v>8.9954000000000001</v>
      </c>
    </row>
    <row r="565" spans="1:15" ht="15" x14ac:dyDescent="0.2">
      <c r="A565" s="13">
        <v>58045</v>
      </c>
      <c r="B565" s="9">
        <f>8.0145 * CHOOSE(CONTROL!$C$32, $C$9, 100%, $E$9)</f>
        <v>8.0145</v>
      </c>
      <c r="C565" s="9">
        <f>8.0145 * CHOOSE(CONTROL!$C$32, $C$9, 100%, $E$9)</f>
        <v>8.0145</v>
      </c>
      <c r="D565" s="9">
        <f>8.0156 * CHOOSE(CONTROL!$C$32, $C$9, 100%, $E$9)</f>
        <v>8.0155999999999992</v>
      </c>
      <c r="E565" s="11">
        <f>8.8835 * CHOOSE(CONTROL!$C$32, $C$9, 100%, $E$9)</f>
        <v>8.8834999999999997</v>
      </c>
      <c r="F565" s="11">
        <f>8.8835 * CHOOSE(CONTROL!$C$32, $C$9, 100%, $E$9)</f>
        <v>8.8834999999999997</v>
      </c>
      <c r="G565" s="11">
        <f>8.8872 * CHOOSE(CONTROL!$C$32, $C$9, 100%, $E$9)</f>
        <v>8.8872</v>
      </c>
      <c r="H565" s="11">
        <f>17.4546 * CHOOSE(CONTROL!$C$32, $C$9, 100%, $E$9)</f>
        <v>17.454599999999999</v>
      </c>
      <c r="I565" s="11">
        <f>17.4582 * CHOOSE(CONTROL!$C$32, $C$9, 100%, $E$9)</f>
        <v>17.458200000000001</v>
      </c>
      <c r="J565" s="11">
        <f>17.4546 * CHOOSE(CONTROL!$C$32, $C$9, 100%, $E$9)</f>
        <v>17.454599999999999</v>
      </c>
      <c r="K565" s="11">
        <f>17.4582 * CHOOSE(CONTROL!$C$32, $C$9, 100%, $E$9)</f>
        <v>17.458200000000001</v>
      </c>
      <c r="L565" s="11">
        <f>8.8835 * CHOOSE(CONTROL!$C$32, $C$9, 100%, $E$9)</f>
        <v>8.8834999999999997</v>
      </c>
      <c r="M565" s="11">
        <f>8.8872 * CHOOSE(CONTROL!$C$32, $C$9, 100%, $E$9)</f>
        <v>8.8872</v>
      </c>
      <c r="N565" s="11">
        <f>8.8835 * CHOOSE(CONTROL!$C$32, $C$9, 100%, $E$9)</f>
        <v>8.8834999999999997</v>
      </c>
      <c r="O565" s="11">
        <f>8.8872 * CHOOSE(CONTROL!$C$32, $C$9, 100%, $E$9)</f>
        <v>8.8872</v>
      </c>
    </row>
    <row r="566" spans="1:15" ht="15" x14ac:dyDescent="0.2">
      <c r="A566" s="13">
        <v>58076</v>
      </c>
      <c r="B566" s="9">
        <f>8.0743 * CHOOSE(CONTROL!$C$32, $C$9, 100%, $E$9)</f>
        <v>8.0742999999999991</v>
      </c>
      <c r="C566" s="9">
        <f>8.0743 * CHOOSE(CONTROL!$C$32, $C$9, 100%, $E$9)</f>
        <v>8.0742999999999991</v>
      </c>
      <c r="D566" s="9">
        <f>8.0754 * CHOOSE(CONTROL!$C$32, $C$9, 100%, $E$9)</f>
        <v>8.0754000000000001</v>
      </c>
      <c r="E566" s="11">
        <f>9.0387 * CHOOSE(CONTROL!$C$32, $C$9, 100%, $E$9)</f>
        <v>9.0387000000000004</v>
      </c>
      <c r="F566" s="11">
        <f>9.0387 * CHOOSE(CONTROL!$C$32, $C$9, 100%, $E$9)</f>
        <v>9.0387000000000004</v>
      </c>
      <c r="G566" s="11">
        <f>9.0423 * CHOOSE(CONTROL!$C$32, $C$9, 100%, $E$9)</f>
        <v>9.0422999999999991</v>
      </c>
      <c r="H566" s="11">
        <f>17.491 * CHOOSE(CONTROL!$C$32, $C$9, 100%, $E$9)</f>
        <v>17.491</v>
      </c>
      <c r="I566" s="11">
        <f>17.4946 * CHOOSE(CONTROL!$C$32, $C$9, 100%, $E$9)</f>
        <v>17.494599999999998</v>
      </c>
      <c r="J566" s="11">
        <f>17.491 * CHOOSE(CONTROL!$C$32, $C$9, 100%, $E$9)</f>
        <v>17.491</v>
      </c>
      <c r="K566" s="11">
        <f>17.4946 * CHOOSE(CONTROL!$C$32, $C$9, 100%, $E$9)</f>
        <v>17.494599999999998</v>
      </c>
      <c r="L566" s="11">
        <f>9.0387 * CHOOSE(CONTROL!$C$32, $C$9, 100%, $E$9)</f>
        <v>9.0387000000000004</v>
      </c>
      <c r="M566" s="11">
        <f>9.0423 * CHOOSE(CONTROL!$C$32, $C$9, 100%, $E$9)</f>
        <v>9.0422999999999991</v>
      </c>
      <c r="N566" s="11">
        <f>9.0387 * CHOOSE(CONTROL!$C$32, $C$9, 100%, $E$9)</f>
        <v>9.0387000000000004</v>
      </c>
      <c r="O566" s="11">
        <f>9.0423 * CHOOSE(CONTROL!$C$32, $C$9, 100%, $E$9)</f>
        <v>9.0422999999999991</v>
      </c>
    </row>
    <row r="567" spans="1:15" ht="15" x14ac:dyDescent="0.2">
      <c r="A567" s="13">
        <v>58107</v>
      </c>
      <c r="B567" s="9">
        <f>8.0713 * CHOOSE(CONTROL!$C$32, $C$9, 100%, $E$9)</f>
        <v>8.0713000000000008</v>
      </c>
      <c r="C567" s="9">
        <f>8.0713 * CHOOSE(CONTROL!$C$32, $C$9, 100%, $E$9)</f>
        <v>8.0713000000000008</v>
      </c>
      <c r="D567" s="9">
        <f>8.0723 * CHOOSE(CONTROL!$C$32, $C$9, 100%, $E$9)</f>
        <v>8.0723000000000003</v>
      </c>
      <c r="E567" s="11">
        <f>8.8254 * CHOOSE(CONTROL!$C$32, $C$9, 100%, $E$9)</f>
        <v>8.8254000000000001</v>
      </c>
      <c r="F567" s="11">
        <f>8.8254 * CHOOSE(CONTROL!$C$32, $C$9, 100%, $E$9)</f>
        <v>8.8254000000000001</v>
      </c>
      <c r="G567" s="11">
        <f>8.829 * CHOOSE(CONTROL!$C$32, $C$9, 100%, $E$9)</f>
        <v>8.8290000000000006</v>
      </c>
      <c r="H567" s="11">
        <f>17.5274 * CHOOSE(CONTROL!$C$32, $C$9, 100%, $E$9)</f>
        <v>17.5274</v>
      </c>
      <c r="I567" s="11">
        <f>17.531 * CHOOSE(CONTROL!$C$32, $C$9, 100%, $E$9)</f>
        <v>17.530999999999999</v>
      </c>
      <c r="J567" s="11">
        <f>17.5274 * CHOOSE(CONTROL!$C$32, $C$9, 100%, $E$9)</f>
        <v>17.5274</v>
      </c>
      <c r="K567" s="11">
        <f>17.531 * CHOOSE(CONTROL!$C$32, $C$9, 100%, $E$9)</f>
        <v>17.530999999999999</v>
      </c>
      <c r="L567" s="11">
        <f>8.8254 * CHOOSE(CONTROL!$C$32, $C$9, 100%, $E$9)</f>
        <v>8.8254000000000001</v>
      </c>
      <c r="M567" s="11">
        <f>8.829 * CHOOSE(CONTROL!$C$32, $C$9, 100%, $E$9)</f>
        <v>8.8290000000000006</v>
      </c>
      <c r="N567" s="11">
        <f>8.8254 * CHOOSE(CONTROL!$C$32, $C$9, 100%, $E$9)</f>
        <v>8.8254000000000001</v>
      </c>
      <c r="O567" s="11">
        <f>8.829 * CHOOSE(CONTROL!$C$32, $C$9, 100%, $E$9)</f>
        <v>8.8290000000000006</v>
      </c>
    </row>
    <row r="568" spans="1:15" ht="15" x14ac:dyDescent="0.2">
      <c r="A568" s="13">
        <v>58135</v>
      </c>
      <c r="B568" s="9">
        <f>8.0682 * CHOOSE(CONTROL!$C$32, $C$9, 100%, $E$9)</f>
        <v>8.0681999999999992</v>
      </c>
      <c r="C568" s="9">
        <f>8.0682 * CHOOSE(CONTROL!$C$32, $C$9, 100%, $E$9)</f>
        <v>8.0681999999999992</v>
      </c>
      <c r="D568" s="9">
        <f>8.0693 * CHOOSE(CONTROL!$C$32, $C$9, 100%, $E$9)</f>
        <v>8.0693000000000001</v>
      </c>
      <c r="E568" s="11">
        <f>8.9897 * CHOOSE(CONTROL!$C$32, $C$9, 100%, $E$9)</f>
        <v>8.9896999999999991</v>
      </c>
      <c r="F568" s="11">
        <f>8.9897 * CHOOSE(CONTROL!$C$32, $C$9, 100%, $E$9)</f>
        <v>8.9896999999999991</v>
      </c>
      <c r="G568" s="11">
        <f>8.9934 * CHOOSE(CONTROL!$C$32, $C$9, 100%, $E$9)</f>
        <v>8.9933999999999994</v>
      </c>
      <c r="H568" s="11">
        <f>17.5639 * CHOOSE(CONTROL!$C$32, $C$9, 100%, $E$9)</f>
        <v>17.5639</v>
      </c>
      <c r="I568" s="11">
        <f>17.5675 * CHOOSE(CONTROL!$C$32, $C$9, 100%, $E$9)</f>
        <v>17.567499999999999</v>
      </c>
      <c r="J568" s="11">
        <f>17.5639 * CHOOSE(CONTROL!$C$32, $C$9, 100%, $E$9)</f>
        <v>17.5639</v>
      </c>
      <c r="K568" s="11">
        <f>17.5675 * CHOOSE(CONTROL!$C$32, $C$9, 100%, $E$9)</f>
        <v>17.567499999999999</v>
      </c>
      <c r="L568" s="11">
        <f>8.9897 * CHOOSE(CONTROL!$C$32, $C$9, 100%, $E$9)</f>
        <v>8.9896999999999991</v>
      </c>
      <c r="M568" s="11">
        <f>8.9934 * CHOOSE(CONTROL!$C$32, $C$9, 100%, $E$9)</f>
        <v>8.9933999999999994</v>
      </c>
      <c r="N568" s="11">
        <f>8.9897 * CHOOSE(CONTROL!$C$32, $C$9, 100%, $E$9)</f>
        <v>8.9896999999999991</v>
      </c>
      <c r="O568" s="11">
        <f>8.9934 * CHOOSE(CONTROL!$C$32, $C$9, 100%, $E$9)</f>
        <v>8.9933999999999994</v>
      </c>
    </row>
    <row r="569" spans="1:15" ht="15" x14ac:dyDescent="0.2">
      <c r="A569" s="13">
        <v>58166</v>
      </c>
      <c r="B569" s="9">
        <f>8.0698 * CHOOSE(CONTROL!$C$32, $C$9, 100%, $E$9)</f>
        <v>8.0698000000000008</v>
      </c>
      <c r="C569" s="9">
        <f>8.0698 * CHOOSE(CONTROL!$C$32, $C$9, 100%, $E$9)</f>
        <v>8.0698000000000008</v>
      </c>
      <c r="D569" s="9">
        <f>8.0709 * CHOOSE(CONTROL!$C$32, $C$9, 100%, $E$9)</f>
        <v>8.0709</v>
      </c>
      <c r="E569" s="11">
        <f>9.1643 * CHOOSE(CONTROL!$C$32, $C$9, 100%, $E$9)</f>
        <v>9.1643000000000008</v>
      </c>
      <c r="F569" s="11">
        <f>9.1643 * CHOOSE(CONTROL!$C$32, $C$9, 100%, $E$9)</f>
        <v>9.1643000000000008</v>
      </c>
      <c r="G569" s="11">
        <f>9.1679 * CHOOSE(CONTROL!$C$32, $C$9, 100%, $E$9)</f>
        <v>9.1678999999999995</v>
      </c>
      <c r="H569" s="11">
        <f>17.6005 * CHOOSE(CONTROL!$C$32, $C$9, 100%, $E$9)</f>
        <v>17.6005</v>
      </c>
      <c r="I569" s="11">
        <f>17.6041 * CHOOSE(CONTROL!$C$32, $C$9, 100%, $E$9)</f>
        <v>17.604099999999999</v>
      </c>
      <c r="J569" s="11">
        <f>17.6005 * CHOOSE(CONTROL!$C$32, $C$9, 100%, $E$9)</f>
        <v>17.6005</v>
      </c>
      <c r="K569" s="11">
        <f>17.6041 * CHOOSE(CONTROL!$C$32, $C$9, 100%, $E$9)</f>
        <v>17.604099999999999</v>
      </c>
      <c r="L569" s="11">
        <f>9.1643 * CHOOSE(CONTROL!$C$32, $C$9, 100%, $E$9)</f>
        <v>9.1643000000000008</v>
      </c>
      <c r="M569" s="11">
        <f>9.1679 * CHOOSE(CONTROL!$C$32, $C$9, 100%, $E$9)</f>
        <v>9.1678999999999995</v>
      </c>
      <c r="N569" s="11">
        <f>9.1643 * CHOOSE(CONTROL!$C$32, $C$9, 100%, $E$9)</f>
        <v>9.1643000000000008</v>
      </c>
      <c r="O569" s="11">
        <f>9.1679 * CHOOSE(CONTROL!$C$32, $C$9, 100%, $E$9)</f>
        <v>9.1678999999999995</v>
      </c>
    </row>
    <row r="570" spans="1:15" ht="15" x14ac:dyDescent="0.2">
      <c r="A570" s="13">
        <v>58196</v>
      </c>
      <c r="B570" s="9">
        <f>8.0698 * CHOOSE(CONTROL!$C$32, $C$9, 100%, $E$9)</f>
        <v>8.0698000000000008</v>
      </c>
      <c r="C570" s="9">
        <f>8.0698 * CHOOSE(CONTROL!$C$32, $C$9, 100%, $E$9)</f>
        <v>8.0698000000000008</v>
      </c>
      <c r="D570" s="9">
        <f>8.0714 * CHOOSE(CONTROL!$C$32, $C$9, 100%, $E$9)</f>
        <v>8.0714000000000006</v>
      </c>
      <c r="E570" s="11">
        <f>9.2313 * CHOOSE(CONTROL!$C$32, $C$9, 100%, $E$9)</f>
        <v>9.2312999999999992</v>
      </c>
      <c r="F570" s="11">
        <f>9.2313 * CHOOSE(CONTROL!$C$32, $C$9, 100%, $E$9)</f>
        <v>9.2312999999999992</v>
      </c>
      <c r="G570" s="11">
        <f>9.2366 * CHOOSE(CONTROL!$C$32, $C$9, 100%, $E$9)</f>
        <v>9.2365999999999993</v>
      </c>
      <c r="H570" s="11">
        <f>17.6372 * CHOOSE(CONTROL!$C$32, $C$9, 100%, $E$9)</f>
        <v>17.6372</v>
      </c>
      <c r="I570" s="11">
        <f>17.6425 * CHOOSE(CONTROL!$C$32, $C$9, 100%, $E$9)</f>
        <v>17.642499999999998</v>
      </c>
      <c r="J570" s="11">
        <f>17.6372 * CHOOSE(CONTROL!$C$32, $C$9, 100%, $E$9)</f>
        <v>17.6372</v>
      </c>
      <c r="K570" s="11">
        <f>17.6425 * CHOOSE(CONTROL!$C$32, $C$9, 100%, $E$9)</f>
        <v>17.642499999999998</v>
      </c>
      <c r="L570" s="11">
        <f>9.2313 * CHOOSE(CONTROL!$C$32, $C$9, 100%, $E$9)</f>
        <v>9.2312999999999992</v>
      </c>
      <c r="M570" s="11">
        <f>9.2366 * CHOOSE(CONTROL!$C$32, $C$9, 100%, $E$9)</f>
        <v>9.2365999999999993</v>
      </c>
      <c r="N570" s="11">
        <f>9.2313 * CHOOSE(CONTROL!$C$32, $C$9, 100%, $E$9)</f>
        <v>9.2312999999999992</v>
      </c>
      <c r="O570" s="11">
        <f>9.2366 * CHOOSE(CONTROL!$C$32, $C$9, 100%, $E$9)</f>
        <v>9.2365999999999993</v>
      </c>
    </row>
    <row r="571" spans="1:15" ht="15" x14ac:dyDescent="0.2">
      <c r="A571" s="13">
        <v>58227</v>
      </c>
      <c r="B571" s="9">
        <f>8.0759 * CHOOSE(CONTROL!$C$32, $C$9, 100%, $E$9)</f>
        <v>8.0759000000000007</v>
      </c>
      <c r="C571" s="9">
        <f>8.0759 * CHOOSE(CONTROL!$C$32, $C$9, 100%, $E$9)</f>
        <v>8.0759000000000007</v>
      </c>
      <c r="D571" s="9">
        <f>8.0775 * CHOOSE(CONTROL!$C$32, $C$9, 100%, $E$9)</f>
        <v>8.0775000000000006</v>
      </c>
      <c r="E571" s="11">
        <f>9.1685 * CHOOSE(CONTROL!$C$32, $C$9, 100%, $E$9)</f>
        <v>9.1684999999999999</v>
      </c>
      <c r="F571" s="11">
        <f>9.1685 * CHOOSE(CONTROL!$C$32, $C$9, 100%, $E$9)</f>
        <v>9.1684999999999999</v>
      </c>
      <c r="G571" s="11">
        <f>9.1738 * CHOOSE(CONTROL!$C$32, $C$9, 100%, $E$9)</f>
        <v>9.1738</v>
      </c>
      <c r="H571" s="11">
        <f>17.6739 * CHOOSE(CONTROL!$C$32, $C$9, 100%, $E$9)</f>
        <v>17.6739</v>
      </c>
      <c r="I571" s="11">
        <f>17.6792 * CHOOSE(CONTROL!$C$32, $C$9, 100%, $E$9)</f>
        <v>17.679200000000002</v>
      </c>
      <c r="J571" s="11">
        <f>17.6739 * CHOOSE(CONTROL!$C$32, $C$9, 100%, $E$9)</f>
        <v>17.6739</v>
      </c>
      <c r="K571" s="11">
        <f>17.6792 * CHOOSE(CONTROL!$C$32, $C$9, 100%, $E$9)</f>
        <v>17.679200000000002</v>
      </c>
      <c r="L571" s="11">
        <f>9.1685 * CHOOSE(CONTROL!$C$32, $C$9, 100%, $E$9)</f>
        <v>9.1684999999999999</v>
      </c>
      <c r="M571" s="11">
        <f>9.1738 * CHOOSE(CONTROL!$C$32, $C$9, 100%, $E$9)</f>
        <v>9.1738</v>
      </c>
      <c r="N571" s="11">
        <f>9.1685 * CHOOSE(CONTROL!$C$32, $C$9, 100%, $E$9)</f>
        <v>9.1684999999999999</v>
      </c>
      <c r="O571" s="11">
        <f>9.1738 * CHOOSE(CONTROL!$C$32, $C$9, 100%, $E$9)</f>
        <v>9.1738</v>
      </c>
    </row>
    <row r="572" spans="1:15" ht="15" x14ac:dyDescent="0.2">
      <c r="A572" s="13">
        <v>58257</v>
      </c>
      <c r="B572" s="9">
        <f>8.1792 * CHOOSE(CONTROL!$C$32, $C$9, 100%, $E$9)</f>
        <v>8.1791999999999998</v>
      </c>
      <c r="C572" s="9">
        <f>8.1792 * CHOOSE(CONTROL!$C$32, $C$9, 100%, $E$9)</f>
        <v>8.1791999999999998</v>
      </c>
      <c r="D572" s="9">
        <f>8.1807 * CHOOSE(CONTROL!$C$32, $C$9, 100%, $E$9)</f>
        <v>8.1806999999999999</v>
      </c>
      <c r="E572" s="11">
        <f>9.2956 * CHOOSE(CONTROL!$C$32, $C$9, 100%, $E$9)</f>
        <v>9.2956000000000003</v>
      </c>
      <c r="F572" s="11">
        <f>9.2956 * CHOOSE(CONTROL!$C$32, $C$9, 100%, $E$9)</f>
        <v>9.2956000000000003</v>
      </c>
      <c r="G572" s="11">
        <f>9.3009 * CHOOSE(CONTROL!$C$32, $C$9, 100%, $E$9)</f>
        <v>9.3009000000000004</v>
      </c>
      <c r="H572" s="11">
        <f>17.7107 * CHOOSE(CONTROL!$C$32, $C$9, 100%, $E$9)</f>
        <v>17.710699999999999</v>
      </c>
      <c r="I572" s="11">
        <f>17.716 * CHOOSE(CONTROL!$C$32, $C$9, 100%, $E$9)</f>
        <v>17.716000000000001</v>
      </c>
      <c r="J572" s="11">
        <f>17.7107 * CHOOSE(CONTROL!$C$32, $C$9, 100%, $E$9)</f>
        <v>17.710699999999999</v>
      </c>
      <c r="K572" s="11">
        <f>17.716 * CHOOSE(CONTROL!$C$32, $C$9, 100%, $E$9)</f>
        <v>17.716000000000001</v>
      </c>
      <c r="L572" s="11">
        <f>9.2956 * CHOOSE(CONTROL!$C$32, $C$9, 100%, $E$9)</f>
        <v>9.2956000000000003</v>
      </c>
      <c r="M572" s="11">
        <f>9.3009 * CHOOSE(CONTROL!$C$32, $C$9, 100%, $E$9)</f>
        <v>9.3009000000000004</v>
      </c>
      <c r="N572" s="11">
        <f>9.2956 * CHOOSE(CONTROL!$C$32, $C$9, 100%, $E$9)</f>
        <v>9.2956000000000003</v>
      </c>
      <c r="O572" s="11">
        <f>9.3009 * CHOOSE(CONTROL!$C$32, $C$9, 100%, $E$9)</f>
        <v>9.3009000000000004</v>
      </c>
    </row>
    <row r="573" spans="1:15" ht="15" x14ac:dyDescent="0.2">
      <c r="A573" s="13">
        <v>58288</v>
      </c>
      <c r="B573" s="9">
        <f>8.1858 * CHOOSE(CONTROL!$C$32, $C$9, 100%, $E$9)</f>
        <v>8.1858000000000004</v>
      </c>
      <c r="C573" s="9">
        <f>8.1858 * CHOOSE(CONTROL!$C$32, $C$9, 100%, $E$9)</f>
        <v>8.1858000000000004</v>
      </c>
      <c r="D573" s="9">
        <f>8.1874 * CHOOSE(CONTROL!$C$32, $C$9, 100%, $E$9)</f>
        <v>8.1874000000000002</v>
      </c>
      <c r="E573" s="11">
        <f>9.0991 * CHOOSE(CONTROL!$C$32, $C$9, 100%, $E$9)</f>
        <v>9.0991</v>
      </c>
      <c r="F573" s="11">
        <f>9.0991 * CHOOSE(CONTROL!$C$32, $C$9, 100%, $E$9)</f>
        <v>9.0991</v>
      </c>
      <c r="G573" s="11">
        <f>9.1044 * CHOOSE(CONTROL!$C$32, $C$9, 100%, $E$9)</f>
        <v>9.1044</v>
      </c>
      <c r="H573" s="11">
        <f>17.7476 * CHOOSE(CONTROL!$C$32, $C$9, 100%, $E$9)</f>
        <v>17.747599999999998</v>
      </c>
      <c r="I573" s="11">
        <f>17.7529 * CHOOSE(CONTROL!$C$32, $C$9, 100%, $E$9)</f>
        <v>17.7529</v>
      </c>
      <c r="J573" s="11">
        <f>17.7476 * CHOOSE(CONTROL!$C$32, $C$9, 100%, $E$9)</f>
        <v>17.747599999999998</v>
      </c>
      <c r="K573" s="11">
        <f>17.7529 * CHOOSE(CONTROL!$C$32, $C$9, 100%, $E$9)</f>
        <v>17.7529</v>
      </c>
      <c r="L573" s="11">
        <f>9.0991 * CHOOSE(CONTROL!$C$32, $C$9, 100%, $E$9)</f>
        <v>9.0991</v>
      </c>
      <c r="M573" s="11">
        <f>9.1044 * CHOOSE(CONTROL!$C$32, $C$9, 100%, $E$9)</f>
        <v>9.1044</v>
      </c>
      <c r="N573" s="11">
        <f>9.0991 * CHOOSE(CONTROL!$C$32, $C$9, 100%, $E$9)</f>
        <v>9.0991</v>
      </c>
      <c r="O573" s="11">
        <f>9.1044 * CHOOSE(CONTROL!$C$32, $C$9, 100%, $E$9)</f>
        <v>9.1044</v>
      </c>
    </row>
    <row r="574" spans="1:15" ht="15" x14ac:dyDescent="0.2">
      <c r="A574" s="13">
        <v>58319</v>
      </c>
      <c r="B574" s="9">
        <f>8.1828 * CHOOSE(CONTROL!$C$32, $C$9, 100%, $E$9)</f>
        <v>8.1828000000000003</v>
      </c>
      <c r="C574" s="9">
        <f>8.1828 * CHOOSE(CONTROL!$C$32, $C$9, 100%, $E$9)</f>
        <v>8.1828000000000003</v>
      </c>
      <c r="D574" s="9">
        <f>8.1844 * CHOOSE(CONTROL!$C$32, $C$9, 100%, $E$9)</f>
        <v>8.1844000000000001</v>
      </c>
      <c r="E574" s="11">
        <f>9.0746 * CHOOSE(CONTROL!$C$32, $C$9, 100%, $E$9)</f>
        <v>9.0746000000000002</v>
      </c>
      <c r="F574" s="11">
        <f>9.0746 * CHOOSE(CONTROL!$C$32, $C$9, 100%, $E$9)</f>
        <v>9.0746000000000002</v>
      </c>
      <c r="G574" s="11">
        <f>9.0799 * CHOOSE(CONTROL!$C$32, $C$9, 100%, $E$9)</f>
        <v>9.0799000000000003</v>
      </c>
      <c r="H574" s="11">
        <f>17.7846 * CHOOSE(CONTROL!$C$32, $C$9, 100%, $E$9)</f>
        <v>17.784600000000001</v>
      </c>
      <c r="I574" s="11">
        <f>17.7899 * CHOOSE(CONTROL!$C$32, $C$9, 100%, $E$9)</f>
        <v>17.789899999999999</v>
      </c>
      <c r="J574" s="11">
        <f>17.7846 * CHOOSE(CONTROL!$C$32, $C$9, 100%, $E$9)</f>
        <v>17.784600000000001</v>
      </c>
      <c r="K574" s="11">
        <f>17.7899 * CHOOSE(CONTROL!$C$32, $C$9, 100%, $E$9)</f>
        <v>17.789899999999999</v>
      </c>
      <c r="L574" s="11">
        <f>9.0746 * CHOOSE(CONTROL!$C$32, $C$9, 100%, $E$9)</f>
        <v>9.0746000000000002</v>
      </c>
      <c r="M574" s="11">
        <f>9.0799 * CHOOSE(CONTROL!$C$32, $C$9, 100%, $E$9)</f>
        <v>9.0799000000000003</v>
      </c>
      <c r="N574" s="11">
        <f>9.0746 * CHOOSE(CONTROL!$C$32, $C$9, 100%, $E$9)</f>
        <v>9.0746000000000002</v>
      </c>
      <c r="O574" s="11">
        <f>9.0799 * CHOOSE(CONTROL!$C$32, $C$9, 100%, $E$9)</f>
        <v>9.0799000000000003</v>
      </c>
    </row>
    <row r="575" spans="1:15" ht="15" x14ac:dyDescent="0.2">
      <c r="A575" s="13">
        <v>58349</v>
      </c>
      <c r="B575" s="9">
        <f>8.1934 * CHOOSE(CONTROL!$C$32, $C$9, 100%, $E$9)</f>
        <v>8.1934000000000005</v>
      </c>
      <c r="C575" s="9">
        <f>8.1934 * CHOOSE(CONTROL!$C$32, $C$9, 100%, $E$9)</f>
        <v>8.1934000000000005</v>
      </c>
      <c r="D575" s="9">
        <f>8.1945 * CHOOSE(CONTROL!$C$32, $C$9, 100%, $E$9)</f>
        <v>8.1944999999999997</v>
      </c>
      <c r="E575" s="11">
        <f>9.1506 * CHOOSE(CONTROL!$C$32, $C$9, 100%, $E$9)</f>
        <v>9.1506000000000007</v>
      </c>
      <c r="F575" s="11">
        <f>9.1506 * CHOOSE(CONTROL!$C$32, $C$9, 100%, $E$9)</f>
        <v>9.1506000000000007</v>
      </c>
      <c r="G575" s="11">
        <f>9.1542 * CHOOSE(CONTROL!$C$32, $C$9, 100%, $E$9)</f>
        <v>9.1541999999999994</v>
      </c>
      <c r="H575" s="11">
        <f>17.8217 * CHOOSE(CONTROL!$C$32, $C$9, 100%, $E$9)</f>
        <v>17.8217</v>
      </c>
      <c r="I575" s="11">
        <f>17.8253 * CHOOSE(CONTROL!$C$32, $C$9, 100%, $E$9)</f>
        <v>17.825299999999999</v>
      </c>
      <c r="J575" s="11">
        <f>17.8217 * CHOOSE(CONTROL!$C$32, $C$9, 100%, $E$9)</f>
        <v>17.8217</v>
      </c>
      <c r="K575" s="11">
        <f>17.8253 * CHOOSE(CONTROL!$C$32, $C$9, 100%, $E$9)</f>
        <v>17.825299999999999</v>
      </c>
      <c r="L575" s="11">
        <f>9.1506 * CHOOSE(CONTROL!$C$32, $C$9, 100%, $E$9)</f>
        <v>9.1506000000000007</v>
      </c>
      <c r="M575" s="11">
        <f>9.1542 * CHOOSE(CONTROL!$C$32, $C$9, 100%, $E$9)</f>
        <v>9.1541999999999994</v>
      </c>
      <c r="N575" s="11">
        <f>9.1506 * CHOOSE(CONTROL!$C$32, $C$9, 100%, $E$9)</f>
        <v>9.1506000000000007</v>
      </c>
      <c r="O575" s="11">
        <f>9.1542 * CHOOSE(CONTROL!$C$32, $C$9, 100%, $E$9)</f>
        <v>9.1541999999999994</v>
      </c>
    </row>
    <row r="576" spans="1:15" ht="15" x14ac:dyDescent="0.2">
      <c r="A576" s="13">
        <v>58380</v>
      </c>
      <c r="B576" s="9">
        <f>8.1965 * CHOOSE(CONTROL!$C$32, $C$9, 100%, $E$9)</f>
        <v>8.1965000000000003</v>
      </c>
      <c r="C576" s="9">
        <f>8.1965 * CHOOSE(CONTROL!$C$32, $C$9, 100%, $E$9)</f>
        <v>8.1965000000000003</v>
      </c>
      <c r="D576" s="9">
        <f>8.1976 * CHOOSE(CONTROL!$C$32, $C$9, 100%, $E$9)</f>
        <v>8.1975999999999996</v>
      </c>
      <c r="E576" s="11">
        <f>9.1974 * CHOOSE(CONTROL!$C$32, $C$9, 100%, $E$9)</f>
        <v>9.1974</v>
      </c>
      <c r="F576" s="11">
        <f>9.1974 * CHOOSE(CONTROL!$C$32, $C$9, 100%, $E$9)</f>
        <v>9.1974</v>
      </c>
      <c r="G576" s="11">
        <f>9.2011 * CHOOSE(CONTROL!$C$32, $C$9, 100%, $E$9)</f>
        <v>9.2011000000000003</v>
      </c>
      <c r="H576" s="11">
        <f>17.8588 * CHOOSE(CONTROL!$C$32, $C$9, 100%, $E$9)</f>
        <v>17.858799999999999</v>
      </c>
      <c r="I576" s="11">
        <f>17.8624 * CHOOSE(CONTROL!$C$32, $C$9, 100%, $E$9)</f>
        <v>17.862400000000001</v>
      </c>
      <c r="J576" s="11">
        <f>17.8588 * CHOOSE(CONTROL!$C$32, $C$9, 100%, $E$9)</f>
        <v>17.858799999999999</v>
      </c>
      <c r="K576" s="11">
        <f>17.8624 * CHOOSE(CONTROL!$C$32, $C$9, 100%, $E$9)</f>
        <v>17.862400000000001</v>
      </c>
      <c r="L576" s="11">
        <f>9.1974 * CHOOSE(CONTROL!$C$32, $C$9, 100%, $E$9)</f>
        <v>9.1974</v>
      </c>
      <c r="M576" s="11">
        <f>9.2011 * CHOOSE(CONTROL!$C$32, $C$9, 100%, $E$9)</f>
        <v>9.2011000000000003</v>
      </c>
      <c r="N576" s="11">
        <f>9.1974 * CHOOSE(CONTROL!$C$32, $C$9, 100%, $E$9)</f>
        <v>9.1974</v>
      </c>
      <c r="O576" s="11">
        <f>9.2011 * CHOOSE(CONTROL!$C$32, $C$9, 100%, $E$9)</f>
        <v>9.2011000000000003</v>
      </c>
    </row>
    <row r="577" spans="1:15" ht="15" x14ac:dyDescent="0.2">
      <c r="A577" s="13">
        <v>58410</v>
      </c>
      <c r="B577" s="9">
        <f>8.1965 * CHOOSE(CONTROL!$C$32, $C$9, 100%, $E$9)</f>
        <v>8.1965000000000003</v>
      </c>
      <c r="C577" s="9">
        <f>8.1965 * CHOOSE(CONTROL!$C$32, $C$9, 100%, $E$9)</f>
        <v>8.1965000000000003</v>
      </c>
      <c r="D577" s="9">
        <f>8.1976 * CHOOSE(CONTROL!$C$32, $C$9, 100%, $E$9)</f>
        <v>8.1975999999999996</v>
      </c>
      <c r="E577" s="11">
        <f>9.0857 * CHOOSE(CONTROL!$C$32, $C$9, 100%, $E$9)</f>
        <v>9.0856999999999992</v>
      </c>
      <c r="F577" s="11">
        <f>9.0857 * CHOOSE(CONTROL!$C$32, $C$9, 100%, $E$9)</f>
        <v>9.0856999999999992</v>
      </c>
      <c r="G577" s="11">
        <f>9.0893 * CHOOSE(CONTROL!$C$32, $C$9, 100%, $E$9)</f>
        <v>9.0892999999999997</v>
      </c>
      <c r="H577" s="11">
        <f>17.896 * CHOOSE(CONTROL!$C$32, $C$9, 100%, $E$9)</f>
        <v>17.896000000000001</v>
      </c>
      <c r="I577" s="11">
        <f>17.8996 * CHOOSE(CONTROL!$C$32, $C$9, 100%, $E$9)</f>
        <v>17.8996</v>
      </c>
      <c r="J577" s="11">
        <f>17.896 * CHOOSE(CONTROL!$C$32, $C$9, 100%, $E$9)</f>
        <v>17.896000000000001</v>
      </c>
      <c r="K577" s="11">
        <f>17.8996 * CHOOSE(CONTROL!$C$32, $C$9, 100%, $E$9)</f>
        <v>17.8996</v>
      </c>
      <c r="L577" s="11">
        <f>9.0857 * CHOOSE(CONTROL!$C$32, $C$9, 100%, $E$9)</f>
        <v>9.0856999999999992</v>
      </c>
      <c r="M577" s="11">
        <f>9.0893 * CHOOSE(CONTROL!$C$32, $C$9, 100%, $E$9)</f>
        <v>9.0892999999999997</v>
      </c>
      <c r="N577" s="11">
        <f>9.0857 * CHOOSE(CONTROL!$C$32, $C$9, 100%, $E$9)</f>
        <v>9.0856999999999992</v>
      </c>
      <c r="O577" s="11">
        <f>9.0893 * CHOOSE(CONTROL!$C$32, $C$9, 100%, $E$9)</f>
        <v>9.0892999999999997</v>
      </c>
    </row>
    <row r="578" spans="1:15" ht="15" x14ac:dyDescent="0.2">
      <c r="A578" s="13">
        <v>58441</v>
      </c>
      <c r="B578" s="9">
        <f>8.2575 * CHOOSE(CONTROL!$C$32, $C$9, 100%, $E$9)</f>
        <v>8.2575000000000003</v>
      </c>
      <c r="C578" s="9">
        <f>8.2575 * CHOOSE(CONTROL!$C$32, $C$9, 100%, $E$9)</f>
        <v>8.2575000000000003</v>
      </c>
      <c r="D578" s="9">
        <f>8.2586 * CHOOSE(CONTROL!$C$32, $C$9, 100%, $E$9)</f>
        <v>8.2585999999999995</v>
      </c>
      <c r="E578" s="11">
        <f>9.2455 * CHOOSE(CONTROL!$C$32, $C$9, 100%, $E$9)</f>
        <v>9.2454999999999998</v>
      </c>
      <c r="F578" s="11">
        <f>9.2455 * CHOOSE(CONTROL!$C$32, $C$9, 100%, $E$9)</f>
        <v>9.2454999999999998</v>
      </c>
      <c r="G578" s="11">
        <f>9.2491 * CHOOSE(CONTROL!$C$32, $C$9, 100%, $E$9)</f>
        <v>9.2491000000000003</v>
      </c>
      <c r="H578" s="11">
        <f>17.9333 * CHOOSE(CONTROL!$C$32, $C$9, 100%, $E$9)</f>
        <v>17.933299999999999</v>
      </c>
      <c r="I578" s="11">
        <f>17.9369 * CHOOSE(CONTROL!$C$32, $C$9, 100%, $E$9)</f>
        <v>17.936900000000001</v>
      </c>
      <c r="J578" s="11">
        <f>17.9333 * CHOOSE(CONTROL!$C$32, $C$9, 100%, $E$9)</f>
        <v>17.933299999999999</v>
      </c>
      <c r="K578" s="11">
        <f>17.9369 * CHOOSE(CONTROL!$C$32, $C$9, 100%, $E$9)</f>
        <v>17.936900000000001</v>
      </c>
      <c r="L578" s="11">
        <f>9.2455 * CHOOSE(CONTROL!$C$32, $C$9, 100%, $E$9)</f>
        <v>9.2454999999999998</v>
      </c>
      <c r="M578" s="11">
        <f>9.2491 * CHOOSE(CONTROL!$C$32, $C$9, 100%, $E$9)</f>
        <v>9.2491000000000003</v>
      </c>
      <c r="N578" s="11">
        <f>9.2455 * CHOOSE(CONTROL!$C$32, $C$9, 100%, $E$9)</f>
        <v>9.2454999999999998</v>
      </c>
      <c r="O578" s="11">
        <f>9.2491 * CHOOSE(CONTROL!$C$32, $C$9, 100%, $E$9)</f>
        <v>9.2491000000000003</v>
      </c>
    </row>
    <row r="579" spans="1:15" ht="15" x14ac:dyDescent="0.2">
      <c r="A579" s="13">
        <v>58472</v>
      </c>
      <c r="B579" s="9">
        <f>8.2544 * CHOOSE(CONTROL!$C$32, $C$9, 100%, $E$9)</f>
        <v>8.2544000000000004</v>
      </c>
      <c r="C579" s="9">
        <f>8.2544 * CHOOSE(CONTROL!$C$32, $C$9, 100%, $E$9)</f>
        <v>8.2544000000000004</v>
      </c>
      <c r="D579" s="9">
        <f>8.2555 * CHOOSE(CONTROL!$C$32, $C$9, 100%, $E$9)</f>
        <v>8.2554999999999996</v>
      </c>
      <c r="E579" s="11">
        <f>9.0253 * CHOOSE(CONTROL!$C$32, $C$9, 100%, $E$9)</f>
        <v>9.0252999999999997</v>
      </c>
      <c r="F579" s="11">
        <f>9.0253 * CHOOSE(CONTROL!$C$32, $C$9, 100%, $E$9)</f>
        <v>9.0252999999999997</v>
      </c>
      <c r="G579" s="11">
        <f>9.0289 * CHOOSE(CONTROL!$C$32, $C$9, 100%, $E$9)</f>
        <v>9.0289000000000001</v>
      </c>
      <c r="H579" s="11">
        <f>17.9706 * CHOOSE(CONTROL!$C$32, $C$9, 100%, $E$9)</f>
        <v>17.970600000000001</v>
      </c>
      <c r="I579" s="11">
        <f>17.9743 * CHOOSE(CONTROL!$C$32, $C$9, 100%, $E$9)</f>
        <v>17.974299999999999</v>
      </c>
      <c r="J579" s="11">
        <f>17.9706 * CHOOSE(CONTROL!$C$32, $C$9, 100%, $E$9)</f>
        <v>17.970600000000001</v>
      </c>
      <c r="K579" s="11">
        <f>17.9743 * CHOOSE(CONTROL!$C$32, $C$9, 100%, $E$9)</f>
        <v>17.974299999999999</v>
      </c>
      <c r="L579" s="11">
        <f>9.0253 * CHOOSE(CONTROL!$C$32, $C$9, 100%, $E$9)</f>
        <v>9.0252999999999997</v>
      </c>
      <c r="M579" s="11">
        <f>9.0289 * CHOOSE(CONTROL!$C$32, $C$9, 100%, $E$9)</f>
        <v>9.0289000000000001</v>
      </c>
      <c r="N579" s="11">
        <f>9.0253 * CHOOSE(CONTROL!$C$32, $C$9, 100%, $E$9)</f>
        <v>9.0252999999999997</v>
      </c>
      <c r="O579" s="11">
        <f>9.0289 * CHOOSE(CONTROL!$C$32, $C$9, 100%, $E$9)</f>
        <v>9.0289000000000001</v>
      </c>
    </row>
    <row r="580" spans="1:15" ht="15" x14ac:dyDescent="0.2">
      <c r="A580" s="13">
        <v>58501</v>
      </c>
      <c r="B580" s="9">
        <f>8.2514 * CHOOSE(CONTROL!$C$32, $C$9, 100%, $E$9)</f>
        <v>8.2514000000000003</v>
      </c>
      <c r="C580" s="9">
        <f>8.2514 * CHOOSE(CONTROL!$C$32, $C$9, 100%, $E$9)</f>
        <v>8.2514000000000003</v>
      </c>
      <c r="D580" s="9">
        <f>8.2525 * CHOOSE(CONTROL!$C$32, $C$9, 100%, $E$9)</f>
        <v>8.2524999999999995</v>
      </c>
      <c r="E580" s="11">
        <f>9.1951 * CHOOSE(CONTROL!$C$32, $C$9, 100%, $E$9)</f>
        <v>9.1951000000000001</v>
      </c>
      <c r="F580" s="11">
        <f>9.1951 * CHOOSE(CONTROL!$C$32, $C$9, 100%, $E$9)</f>
        <v>9.1951000000000001</v>
      </c>
      <c r="G580" s="11">
        <f>9.1987 * CHOOSE(CONTROL!$C$32, $C$9, 100%, $E$9)</f>
        <v>9.1987000000000005</v>
      </c>
      <c r="H580" s="11">
        <f>18.0081 * CHOOSE(CONTROL!$C$32, $C$9, 100%, $E$9)</f>
        <v>18.008099999999999</v>
      </c>
      <c r="I580" s="11">
        <f>18.0117 * CHOOSE(CONTROL!$C$32, $C$9, 100%, $E$9)</f>
        <v>18.011700000000001</v>
      </c>
      <c r="J580" s="11">
        <f>18.0081 * CHOOSE(CONTROL!$C$32, $C$9, 100%, $E$9)</f>
        <v>18.008099999999999</v>
      </c>
      <c r="K580" s="11">
        <f>18.0117 * CHOOSE(CONTROL!$C$32, $C$9, 100%, $E$9)</f>
        <v>18.011700000000001</v>
      </c>
      <c r="L580" s="11">
        <f>9.1951 * CHOOSE(CONTROL!$C$32, $C$9, 100%, $E$9)</f>
        <v>9.1951000000000001</v>
      </c>
      <c r="M580" s="11">
        <f>9.1987 * CHOOSE(CONTROL!$C$32, $C$9, 100%, $E$9)</f>
        <v>9.1987000000000005</v>
      </c>
      <c r="N580" s="11">
        <f>9.1951 * CHOOSE(CONTROL!$C$32, $C$9, 100%, $E$9)</f>
        <v>9.1951000000000001</v>
      </c>
      <c r="O580" s="11">
        <f>9.1987 * CHOOSE(CONTROL!$C$32, $C$9, 100%, $E$9)</f>
        <v>9.1987000000000005</v>
      </c>
    </row>
    <row r="581" spans="1:15" ht="15" x14ac:dyDescent="0.2">
      <c r="A581" s="13">
        <v>58532</v>
      </c>
      <c r="B581" s="9">
        <f>8.2532 * CHOOSE(CONTROL!$C$32, $C$9, 100%, $E$9)</f>
        <v>8.2531999999999996</v>
      </c>
      <c r="C581" s="9">
        <f>8.2532 * CHOOSE(CONTROL!$C$32, $C$9, 100%, $E$9)</f>
        <v>8.2531999999999996</v>
      </c>
      <c r="D581" s="9">
        <f>8.2542 * CHOOSE(CONTROL!$C$32, $C$9, 100%, $E$9)</f>
        <v>8.2542000000000009</v>
      </c>
      <c r="E581" s="11">
        <f>9.3755 * CHOOSE(CONTROL!$C$32, $C$9, 100%, $E$9)</f>
        <v>9.3755000000000006</v>
      </c>
      <c r="F581" s="11">
        <f>9.3755 * CHOOSE(CONTROL!$C$32, $C$9, 100%, $E$9)</f>
        <v>9.3755000000000006</v>
      </c>
      <c r="G581" s="11">
        <f>9.3791 * CHOOSE(CONTROL!$C$32, $C$9, 100%, $E$9)</f>
        <v>9.3790999999999993</v>
      </c>
      <c r="H581" s="11">
        <f>18.0456 * CHOOSE(CONTROL!$C$32, $C$9, 100%, $E$9)</f>
        <v>18.0456</v>
      </c>
      <c r="I581" s="11">
        <f>18.0492 * CHOOSE(CONTROL!$C$32, $C$9, 100%, $E$9)</f>
        <v>18.049199999999999</v>
      </c>
      <c r="J581" s="11">
        <f>18.0456 * CHOOSE(CONTROL!$C$32, $C$9, 100%, $E$9)</f>
        <v>18.0456</v>
      </c>
      <c r="K581" s="11">
        <f>18.0492 * CHOOSE(CONTROL!$C$32, $C$9, 100%, $E$9)</f>
        <v>18.049199999999999</v>
      </c>
      <c r="L581" s="11">
        <f>9.3755 * CHOOSE(CONTROL!$C$32, $C$9, 100%, $E$9)</f>
        <v>9.3755000000000006</v>
      </c>
      <c r="M581" s="11">
        <f>9.3791 * CHOOSE(CONTROL!$C$32, $C$9, 100%, $E$9)</f>
        <v>9.3790999999999993</v>
      </c>
      <c r="N581" s="11">
        <f>9.3755 * CHOOSE(CONTROL!$C$32, $C$9, 100%, $E$9)</f>
        <v>9.3755000000000006</v>
      </c>
      <c r="O581" s="11">
        <f>9.3791 * CHOOSE(CONTROL!$C$32, $C$9, 100%, $E$9)</f>
        <v>9.3790999999999993</v>
      </c>
    </row>
    <row r="582" spans="1:15" ht="15" x14ac:dyDescent="0.2">
      <c r="A582" s="13">
        <v>58562</v>
      </c>
      <c r="B582" s="9">
        <f>8.2532 * CHOOSE(CONTROL!$C$32, $C$9, 100%, $E$9)</f>
        <v>8.2531999999999996</v>
      </c>
      <c r="C582" s="9">
        <f>8.2532 * CHOOSE(CONTROL!$C$32, $C$9, 100%, $E$9)</f>
        <v>8.2531999999999996</v>
      </c>
      <c r="D582" s="9">
        <f>8.2548 * CHOOSE(CONTROL!$C$32, $C$9, 100%, $E$9)</f>
        <v>8.2547999999999995</v>
      </c>
      <c r="E582" s="11">
        <f>9.4447 * CHOOSE(CONTROL!$C$32, $C$9, 100%, $E$9)</f>
        <v>9.4446999999999992</v>
      </c>
      <c r="F582" s="11">
        <f>9.4447 * CHOOSE(CONTROL!$C$32, $C$9, 100%, $E$9)</f>
        <v>9.4446999999999992</v>
      </c>
      <c r="G582" s="11">
        <f>9.45 * CHOOSE(CONTROL!$C$32, $C$9, 100%, $E$9)</f>
        <v>9.4499999999999993</v>
      </c>
      <c r="H582" s="11">
        <f>18.0832 * CHOOSE(CONTROL!$C$32, $C$9, 100%, $E$9)</f>
        <v>18.083200000000001</v>
      </c>
      <c r="I582" s="11">
        <f>18.0885 * CHOOSE(CONTROL!$C$32, $C$9, 100%, $E$9)</f>
        <v>18.0885</v>
      </c>
      <c r="J582" s="11">
        <f>18.0832 * CHOOSE(CONTROL!$C$32, $C$9, 100%, $E$9)</f>
        <v>18.083200000000001</v>
      </c>
      <c r="K582" s="11">
        <f>18.0885 * CHOOSE(CONTROL!$C$32, $C$9, 100%, $E$9)</f>
        <v>18.0885</v>
      </c>
      <c r="L582" s="11">
        <f>9.4447 * CHOOSE(CONTROL!$C$32, $C$9, 100%, $E$9)</f>
        <v>9.4446999999999992</v>
      </c>
      <c r="M582" s="11">
        <f>9.45 * CHOOSE(CONTROL!$C$32, $C$9, 100%, $E$9)</f>
        <v>9.4499999999999993</v>
      </c>
      <c r="N582" s="11">
        <f>9.4447 * CHOOSE(CONTROL!$C$32, $C$9, 100%, $E$9)</f>
        <v>9.4446999999999992</v>
      </c>
      <c r="O582" s="11">
        <f>9.45 * CHOOSE(CONTROL!$C$32, $C$9, 100%, $E$9)</f>
        <v>9.4499999999999993</v>
      </c>
    </row>
    <row r="583" spans="1:15" ht="15" x14ac:dyDescent="0.2">
      <c r="A583" s="13">
        <v>58593</v>
      </c>
      <c r="B583" s="9">
        <f>8.2593 * CHOOSE(CONTROL!$C$32, $C$9, 100%, $E$9)</f>
        <v>8.2592999999999996</v>
      </c>
      <c r="C583" s="9">
        <f>8.2593 * CHOOSE(CONTROL!$C$32, $C$9, 100%, $E$9)</f>
        <v>8.2592999999999996</v>
      </c>
      <c r="D583" s="9">
        <f>8.2608 * CHOOSE(CONTROL!$C$32, $C$9, 100%, $E$9)</f>
        <v>8.2607999999999997</v>
      </c>
      <c r="E583" s="11">
        <f>9.3797 * CHOOSE(CONTROL!$C$32, $C$9, 100%, $E$9)</f>
        <v>9.3796999999999997</v>
      </c>
      <c r="F583" s="11">
        <f>9.3797 * CHOOSE(CONTROL!$C$32, $C$9, 100%, $E$9)</f>
        <v>9.3796999999999997</v>
      </c>
      <c r="G583" s="11">
        <f>9.385 * CHOOSE(CONTROL!$C$32, $C$9, 100%, $E$9)</f>
        <v>9.3849999999999998</v>
      </c>
      <c r="H583" s="11">
        <f>18.1209 * CHOOSE(CONTROL!$C$32, $C$9, 100%, $E$9)</f>
        <v>18.120899999999999</v>
      </c>
      <c r="I583" s="11">
        <f>18.1262 * CHOOSE(CONTROL!$C$32, $C$9, 100%, $E$9)</f>
        <v>18.126200000000001</v>
      </c>
      <c r="J583" s="11">
        <f>18.1209 * CHOOSE(CONTROL!$C$32, $C$9, 100%, $E$9)</f>
        <v>18.120899999999999</v>
      </c>
      <c r="K583" s="11">
        <f>18.1262 * CHOOSE(CONTROL!$C$32, $C$9, 100%, $E$9)</f>
        <v>18.126200000000001</v>
      </c>
      <c r="L583" s="11">
        <f>9.3797 * CHOOSE(CONTROL!$C$32, $C$9, 100%, $E$9)</f>
        <v>9.3796999999999997</v>
      </c>
      <c r="M583" s="11">
        <f>9.385 * CHOOSE(CONTROL!$C$32, $C$9, 100%, $E$9)</f>
        <v>9.3849999999999998</v>
      </c>
      <c r="N583" s="11">
        <f>9.3797 * CHOOSE(CONTROL!$C$32, $C$9, 100%, $E$9)</f>
        <v>9.3796999999999997</v>
      </c>
      <c r="O583" s="11">
        <f>9.385 * CHOOSE(CONTROL!$C$32, $C$9, 100%, $E$9)</f>
        <v>9.3849999999999998</v>
      </c>
    </row>
    <row r="584" spans="1:15" ht="15" x14ac:dyDescent="0.2">
      <c r="A584" s="13">
        <v>58623</v>
      </c>
      <c r="B584" s="9">
        <f>8.3645 * CHOOSE(CONTROL!$C$32, $C$9, 100%, $E$9)</f>
        <v>8.3644999999999996</v>
      </c>
      <c r="C584" s="9">
        <f>8.3645 * CHOOSE(CONTROL!$C$32, $C$9, 100%, $E$9)</f>
        <v>8.3644999999999996</v>
      </c>
      <c r="D584" s="9">
        <f>8.3661 * CHOOSE(CONTROL!$C$32, $C$9, 100%, $E$9)</f>
        <v>8.3660999999999994</v>
      </c>
      <c r="E584" s="11">
        <f>9.5099 * CHOOSE(CONTROL!$C$32, $C$9, 100%, $E$9)</f>
        <v>9.5099</v>
      </c>
      <c r="F584" s="11">
        <f>9.5099 * CHOOSE(CONTROL!$C$32, $C$9, 100%, $E$9)</f>
        <v>9.5099</v>
      </c>
      <c r="G584" s="11">
        <f>9.5151 * CHOOSE(CONTROL!$C$32, $C$9, 100%, $E$9)</f>
        <v>9.5151000000000003</v>
      </c>
      <c r="H584" s="11">
        <f>18.1586 * CHOOSE(CONTROL!$C$32, $C$9, 100%, $E$9)</f>
        <v>18.1586</v>
      </c>
      <c r="I584" s="11">
        <f>18.1639 * CHOOSE(CONTROL!$C$32, $C$9, 100%, $E$9)</f>
        <v>18.163900000000002</v>
      </c>
      <c r="J584" s="11">
        <f>18.1586 * CHOOSE(CONTROL!$C$32, $C$9, 100%, $E$9)</f>
        <v>18.1586</v>
      </c>
      <c r="K584" s="11">
        <f>18.1639 * CHOOSE(CONTROL!$C$32, $C$9, 100%, $E$9)</f>
        <v>18.163900000000002</v>
      </c>
      <c r="L584" s="11">
        <f>9.5099 * CHOOSE(CONTROL!$C$32, $C$9, 100%, $E$9)</f>
        <v>9.5099</v>
      </c>
      <c r="M584" s="11">
        <f>9.5151 * CHOOSE(CONTROL!$C$32, $C$9, 100%, $E$9)</f>
        <v>9.5151000000000003</v>
      </c>
      <c r="N584" s="11">
        <f>9.5099 * CHOOSE(CONTROL!$C$32, $C$9, 100%, $E$9)</f>
        <v>9.5099</v>
      </c>
      <c r="O584" s="11">
        <f>9.5151 * CHOOSE(CONTROL!$C$32, $C$9, 100%, $E$9)</f>
        <v>9.5151000000000003</v>
      </c>
    </row>
    <row r="585" spans="1:15" ht="15" x14ac:dyDescent="0.2">
      <c r="A585" s="13">
        <v>58654</v>
      </c>
      <c r="B585" s="9">
        <f>8.3712 * CHOOSE(CONTROL!$C$32, $C$9, 100%, $E$9)</f>
        <v>8.3712</v>
      </c>
      <c r="C585" s="9">
        <f>8.3712 * CHOOSE(CONTROL!$C$32, $C$9, 100%, $E$9)</f>
        <v>8.3712</v>
      </c>
      <c r="D585" s="9">
        <f>8.3728 * CHOOSE(CONTROL!$C$32, $C$9, 100%, $E$9)</f>
        <v>8.3727999999999998</v>
      </c>
      <c r="E585" s="11">
        <f>9.3068 * CHOOSE(CONTROL!$C$32, $C$9, 100%, $E$9)</f>
        <v>9.3068000000000008</v>
      </c>
      <c r="F585" s="11">
        <f>9.3068 * CHOOSE(CONTROL!$C$32, $C$9, 100%, $E$9)</f>
        <v>9.3068000000000008</v>
      </c>
      <c r="G585" s="11">
        <f>9.3121 * CHOOSE(CONTROL!$C$32, $C$9, 100%, $E$9)</f>
        <v>9.3120999999999992</v>
      </c>
      <c r="H585" s="11">
        <f>18.1964 * CHOOSE(CONTROL!$C$32, $C$9, 100%, $E$9)</f>
        <v>18.196400000000001</v>
      </c>
      <c r="I585" s="11">
        <f>18.2017 * CHOOSE(CONTROL!$C$32, $C$9, 100%, $E$9)</f>
        <v>18.201699999999999</v>
      </c>
      <c r="J585" s="11">
        <f>18.1964 * CHOOSE(CONTROL!$C$32, $C$9, 100%, $E$9)</f>
        <v>18.196400000000001</v>
      </c>
      <c r="K585" s="11">
        <f>18.2017 * CHOOSE(CONTROL!$C$32, $C$9, 100%, $E$9)</f>
        <v>18.201699999999999</v>
      </c>
      <c r="L585" s="11">
        <f>9.3068 * CHOOSE(CONTROL!$C$32, $C$9, 100%, $E$9)</f>
        <v>9.3068000000000008</v>
      </c>
      <c r="M585" s="11">
        <f>9.3121 * CHOOSE(CONTROL!$C$32, $C$9, 100%, $E$9)</f>
        <v>9.3120999999999992</v>
      </c>
      <c r="N585" s="11">
        <f>9.3068 * CHOOSE(CONTROL!$C$32, $C$9, 100%, $E$9)</f>
        <v>9.3068000000000008</v>
      </c>
      <c r="O585" s="11">
        <f>9.3121 * CHOOSE(CONTROL!$C$32, $C$9, 100%, $E$9)</f>
        <v>9.3120999999999992</v>
      </c>
    </row>
    <row r="586" spans="1:15" ht="15" x14ac:dyDescent="0.2">
      <c r="A586" s="13">
        <v>58685</v>
      </c>
      <c r="B586" s="9">
        <f>8.3682 * CHOOSE(CONTROL!$C$32, $C$9, 100%, $E$9)</f>
        <v>8.3681999999999999</v>
      </c>
      <c r="C586" s="9">
        <f>8.3682 * CHOOSE(CONTROL!$C$32, $C$9, 100%, $E$9)</f>
        <v>8.3681999999999999</v>
      </c>
      <c r="D586" s="9">
        <f>8.3698 * CHOOSE(CONTROL!$C$32, $C$9, 100%, $E$9)</f>
        <v>8.3697999999999997</v>
      </c>
      <c r="E586" s="11">
        <f>9.2816 * CHOOSE(CONTROL!$C$32, $C$9, 100%, $E$9)</f>
        <v>9.2815999999999992</v>
      </c>
      <c r="F586" s="11">
        <f>9.2816 * CHOOSE(CONTROL!$C$32, $C$9, 100%, $E$9)</f>
        <v>9.2815999999999992</v>
      </c>
      <c r="G586" s="11">
        <f>9.2869 * CHOOSE(CONTROL!$C$32, $C$9, 100%, $E$9)</f>
        <v>9.2868999999999993</v>
      </c>
      <c r="H586" s="11">
        <f>18.2343 * CHOOSE(CONTROL!$C$32, $C$9, 100%, $E$9)</f>
        <v>18.234300000000001</v>
      </c>
      <c r="I586" s="11">
        <f>18.2396 * CHOOSE(CONTROL!$C$32, $C$9, 100%, $E$9)</f>
        <v>18.239599999999999</v>
      </c>
      <c r="J586" s="11">
        <f>18.2343 * CHOOSE(CONTROL!$C$32, $C$9, 100%, $E$9)</f>
        <v>18.234300000000001</v>
      </c>
      <c r="K586" s="11">
        <f>18.2396 * CHOOSE(CONTROL!$C$32, $C$9, 100%, $E$9)</f>
        <v>18.239599999999999</v>
      </c>
      <c r="L586" s="11">
        <f>9.2816 * CHOOSE(CONTROL!$C$32, $C$9, 100%, $E$9)</f>
        <v>9.2815999999999992</v>
      </c>
      <c r="M586" s="11">
        <f>9.2869 * CHOOSE(CONTROL!$C$32, $C$9, 100%, $E$9)</f>
        <v>9.2868999999999993</v>
      </c>
      <c r="N586" s="11">
        <f>9.2816 * CHOOSE(CONTROL!$C$32, $C$9, 100%, $E$9)</f>
        <v>9.2815999999999992</v>
      </c>
      <c r="O586" s="11">
        <f>9.2869 * CHOOSE(CONTROL!$C$32, $C$9, 100%, $E$9)</f>
        <v>9.2868999999999993</v>
      </c>
    </row>
    <row r="587" spans="1:15" ht="15" x14ac:dyDescent="0.2">
      <c r="A587" s="13">
        <v>58715</v>
      </c>
      <c r="B587" s="9">
        <f>8.3795 * CHOOSE(CONTROL!$C$32, $C$9, 100%, $E$9)</f>
        <v>8.3795000000000002</v>
      </c>
      <c r="C587" s="9">
        <f>8.3795 * CHOOSE(CONTROL!$C$32, $C$9, 100%, $E$9)</f>
        <v>8.3795000000000002</v>
      </c>
      <c r="D587" s="9">
        <f>8.3806 * CHOOSE(CONTROL!$C$32, $C$9, 100%, $E$9)</f>
        <v>8.3805999999999994</v>
      </c>
      <c r="E587" s="11">
        <f>9.3605 * CHOOSE(CONTROL!$C$32, $C$9, 100%, $E$9)</f>
        <v>9.3605</v>
      </c>
      <c r="F587" s="11">
        <f>9.3605 * CHOOSE(CONTROL!$C$32, $C$9, 100%, $E$9)</f>
        <v>9.3605</v>
      </c>
      <c r="G587" s="11">
        <f>9.3641 * CHOOSE(CONTROL!$C$32, $C$9, 100%, $E$9)</f>
        <v>9.3641000000000005</v>
      </c>
      <c r="H587" s="11">
        <f>18.2723 * CHOOSE(CONTROL!$C$32, $C$9, 100%, $E$9)</f>
        <v>18.272300000000001</v>
      </c>
      <c r="I587" s="11">
        <f>18.276 * CHOOSE(CONTROL!$C$32, $C$9, 100%, $E$9)</f>
        <v>18.276</v>
      </c>
      <c r="J587" s="11">
        <f>18.2723 * CHOOSE(CONTROL!$C$32, $C$9, 100%, $E$9)</f>
        <v>18.272300000000001</v>
      </c>
      <c r="K587" s="11">
        <f>18.276 * CHOOSE(CONTROL!$C$32, $C$9, 100%, $E$9)</f>
        <v>18.276</v>
      </c>
      <c r="L587" s="11">
        <f>9.3605 * CHOOSE(CONTROL!$C$32, $C$9, 100%, $E$9)</f>
        <v>9.3605</v>
      </c>
      <c r="M587" s="11">
        <f>9.3641 * CHOOSE(CONTROL!$C$32, $C$9, 100%, $E$9)</f>
        <v>9.3641000000000005</v>
      </c>
      <c r="N587" s="11">
        <f>9.3605 * CHOOSE(CONTROL!$C$32, $C$9, 100%, $E$9)</f>
        <v>9.3605</v>
      </c>
      <c r="O587" s="11">
        <f>9.3641 * CHOOSE(CONTROL!$C$32, $C$9, 100%, $E$9)</f>
        <v>9.3641000000000005</v>
      </c>
    </row>
    <row r="588" spans="1:15" ht="15" x14ac:dyDescent="0.2">
      <c r="A588" s="13">
        <v>58746</v>
      </c>
      <c r="B588" s="9">
        <f>8.3826 * CHOOSE(CONTROL!$C$32, $C$9, 100%, $E$9)</f>
        <v>8.3826000000000001</v>
      </c>
      <c r="C588" s="9">
        <f>8.3826 * CHOOSE(CONTROL!$C$32, $C$9, 100%, $E$9)</f>
        <v>8.3826000000000001</v>
      </c>
      <c r="D588" s="9">
        <f>8.3836 * CHOOSE(CONTROL!$C$32, $C$9, 100%, $E$9)</f>
        <v>8.3835999999999995</v>
      </c>
      <c r="E588" s="11">
        <f>9.4088 * CHOOSE(CONTROL!$C$32, $C$9, 100%, $E$9)</f>
        <v>9.4087999999999994</v>
      </c>
      <c r="F588" s="11">
        <f>9.4088 * CHOOSE(CONTROL!$C$32, $C$9, 100%, $E$9)</f>
        <v>9.4087999999999994</v>
      </c>
      <c r="G588" s="11">
        <f>9.4124 * CHOOSE(CONTROL!$C$32, $C$9, 100%, $E$9)</f>
        <v>9.4123999999999999</v>
      </c>
      <c r="H588" s="11">
        <f>18.3104 * CHOOSE(CONTROL!$C$32, $C$9, 100%, $E$9)</f>
        <v>18.310400000000001</v>
      </c>
      <c r="I588" s="11">
        <f>18.314 * CHOOSE(CONTROL!$C$32, $C$9, 100%, $E$9)</f>
        <v>18.314</v>
      </c>
      <c r="J588" s="11">
        <f>18.3104 * CHOOSE(CONTROL!$C$32, $C$9, 100%, $E$9)</f>
        <v>18.310400000000001</v>
      </c>
      <c r="K588" s="11">
        <f>18.314 * CHOOSE(CONTROL!$C$32, $C$9, 100%, $E$9)</f>
        <v>18.314</v>
      </c>
      <c r="L588" s="11">
        <f>9.4088 * CHOOSE(CONTROL!$C$32, $C$9, 100%, $E$9)</f>
        <v>9.4087999999999994</v>
      </c>
      <c r="M588" s="11">
        <f>9.4124 * CHOOSE(CONTROL!$C$32, $C$9, 100%, $E$9)</f>
        <v>9.4123999999999999</v>
      </c>
      <c r="N588" s="11">
        <f>9.4088 * CHOOSE(CONTROL!$C$32, $C$9, 100%, $E$9)</f>
        <v>9.4087999999999994</v>
      </c>
      <c r="O588" s="11">
        <f>9.4124 * CHOOSE(CONTROL!$C$32, $C$9, 100%, $E$9)</f>
        <v>9.4123999999999999</v>
      </c>
    </row>
    <row r="589" spans="1:15" ht="15" x14ac:dyDescent="0.2">
      <c r="A589" s="13">
        <v>58776</v>
      </c>
      <c r="B589" s="9">
        <f>8.3826 * CHOOSE(CONTROL!$C$32, $C$9, 100%, $E$9)</f>
        <v>8.3826000000000001</v>
      </c>
      <c r="C589" s="9">
        <f>8.3826 * CHOOSE(CONTROL!$C$32, $C$9, 100%, $E$9)</f>
        <v>8.3826000000000001</v>
      </c>
      <c r="D589" s="9">
        <f>8.3836 * CHOOSE(CONTROL!$C$32, $C$9, 100%, $E$9)</f>
        <v>8.3835999999999995</v>
      </c>
      <c r="E589" s="11">
        <f>9.2934 * CHOOSE(CONTROL!$C$32, $C$9, 100%, $E$9)</f>
        <v>9.2934000000000001</v>
      </c>
      <c r="F589" s="11">
        <f>9.2934 * CHOOSE(CONTROL!$C$32, $C$9, 100%, $E$9)</f>
        <v>9.2934000000000001</v>
      </c>
      <c r="G589" s="11">
        <f>9.297 * CHOOSE(CONTROL!$C$32, $C$9, 100%, $E$9)</f>
        <v>9.2970000000000006</v>
      </c>
      <c r="H589" s="11">
        <f>18.3486 * CHOOSE(CONTROL!$C$32, $C$9, 100%, $E$9)</f>
        <v>18.348600000000001</v>
      </c>
      <c r="I589" s="11">
        <f>18.3522 * CHOOSE(CONTROL!$C$32, $C$9, 100%, $E$9)</f>
        <v>18.3522</v>
      </c>
      <c r="J589" s="11">
        <f>18.3486 * CHOOSE(CONTROL!$C$32, $C$9, 100%, $E$9)</f>
        <v>18.348600000000001</v>
      </c>
      <c r="K589" s="11">
        <f>18.3522 * CHOOSE(CONTROL!$C$32, $C$9, 100%, $E$9)</f>
        <v>18.3522</v>
      </c>
      <c r="L589" s="11">
        <f>9.2934 * CHOOSE(CONTROL!$C$32, $C$9, 100%, $E$9)</f>
        <v>9.2934000000000001</v>
      </c>
      <c r="M589" s="11">
        <f>9.297 * CHOOSE(CONTROL!$C$32, $C$9, 100%, $E$9)</f>
        <v>9.2970000000000006</v>
      </c>
      <c r="N589" s="11">
        <f>9.2934 * CHOOSE(CONTROL!$C$32, $C$9, 100%, $E$9)</f>
        <v>9.2934000000000001</v>
      </c>
      <c r="O589" s="11">
        <f>9.297 * CHOOSE(CONTROL!$C$32, $C$9, 100%, $E$9)</f>
        <v>9.2970000000000006</v>
      </c>
    </row>
    <row r="590" spans="1:15" ht="15" x14ac:dyDescent="0.2">
      <c r="A590" s="13">
        <v>58807</v>
      </c>
      <c r="B590" s="9">
        <f>8.4448 * CHOOSE(CONTROL!$C$32, $C$9, 100%, $E$9)</f>
        <v>8.4448000000000008</v>
      </c>
      <c r="C590" s="9">
        <f>8.4448 * CHOOSE(CONTROL!$C$32, $C$9, 100%, $E$9)</f>
        <v>8.4448000000000008</v>
      </c>
      <c r="D590" s="9">
        <f>8.4459 * CHOOSE(CONTROL!$C$32, $C$9, 100%, $E$9)</f>
        <v>8.4459</v>
      </c>
      <c r="E590" s="11">
        <f>9.458 * CHOOSE(CONTROL!$C$32, $C$9, 100%, $E$9)</f>
        <v>9.4580000000000002</v>
      </c>
      <c r="F590" s="11">
        <f>9.458 * CHOOSE(CONTROL!$C$32, $C$9, 100%, $E$9)</f>
        <v>9.4580000000000002</v>
      </c>
      <c r="G590" s="11">
        <f>9.4616 * CHOOSE(CONTROL!$C$32, $C$9, 100%, $E$9)</f>
        <v>9.4616000000000007</v>
      </c>
      <c r="H590" s="11">
        <f>18.3868 * CHOOSE(CONTROL!$C$32, $C$9, 100%, $E$9)</f>
        <v>18.386800000000001</v>
      </c>
      <c r="I590" s="11">
        <f>18.3904 * CHOOSE(CONTROL!$C$32, $C$9, 100%, $E$9)</f>
        <v>18.3904</v>
      </c>
      <c r="J590" s="11">
        <f>18.3868 * CHOOSE(CONTROL!$C$32, $C$9, 100%, $E$9)</f>
        <v>18.386800000000001</v>
      </c>
      <c r="K590" s="11">
        <f>18.3904 * CHOOSE(CONTROL!$C$32, $C$9, 100%, $E$9)</f>
        <v>18.3904</v>
      </c>
      <c r="L590" s="11">
        <f>9.458 * CHOOSE(CONTROL!$C$32, $C$9, 100%, $E$9)</f>
        <v>9.4580000000000002</v>
      </c>
      <c r="M590" s="11">
        <f>9.4616 * CHOOSE(CONTROL!$C$32, $C$9, 100%, $E$9)</f>
        <v>9.4616000000000007</v>
      </c>
      <c r="N590" s="11">
        <f>9.458 * CHOOSE(CONTROL!$C$32, $C$9, 100%, $E$9)</f>
        <v>9.4580000000000002</v>
      </c>
      <c r="O590" s="11">
        <f>9.4616 * CHOOSE(CONTROL!$C$32, $C$9, 100%, $E$9)</f>
        <v>9.4616000000000007</v>
      </c>
    </row>
    <row r="591" spans="1:15" ht="15" x14ac:dyDescent="0.2">
      <c r="A591" s="13">
        <v>58838</v>
      </c>
      <c r="B591" s="9">
        <f>8.4418 * CHOOSE(CONTROL!$C$32, $C$9, 100%, $E$9)</f>
        <v>8.4418000000000006</v>
      </c>
      <c r="C591" s="9">
        <f>8.4418 * CHOOSE(CONTROL!$C$32, $C$9, 100%, $E$9)</f>
        <v>8.4418000000000006</v>
      </c>
      <c r="D591" s="9">
        <f>8.4429 * CHOOSE(CONTROL!$C$32, $C$9, 100%, $E$9)</f>
        <v>8.4428999999999998</v>
      </c>
      <c r="E591" s="11">
        <f>9.2307 * CHOOSE(CONTROL!$C$32, $C$9, 100%, $E$9)</f>
        <v>9.2307000000000006</v>
      </c>
      <c r="F591" s="11">
        <f>9.2307 * CHOOSE(CONTROL!$C$32, $C$9, 100%, $E$9)</f>
        <v>9.2307000000000006</v>
      </c>
      <c r="G591" s="11">
        <f>9.2343 * CHOOSE(CONTROL!$C$32, $C$9, 100%, $E$9)</f>
        <v>9.2342999999999993</v>
      </c>
      <c r="H591" s="11">
        <f>18.4251 * CHOOSE(CONTROL!$C$32, $C$9, 100%, $E$9)</f>
        <v>18.4251</v>
      </c>
      <c r="I591" s="11">
        <f>18.4287 * CHOOSE(CONTROL!$C$32, $C$9, 100%, $E$9)</f>
        <v>18.428699999999999</v>
      </c>
      <c r="J591" s="11">
        <f>18.4251 * CHOOSE(CONTROL!$C$32, $C$9, 100%, $E$9)</f>
        <v>18.4251</v>
      </c>
      <c r="K591" s="11">
        <f>18.4287 * CHOOSE(CONTROL!$C$32, $C$9, 100%, $E$9)</f>
        <v>18.428699999999999</v>
      </c>
      <c r="L591" s="11">
        <f>9.2307 * CHOOSE(CONTROL!$C$32, $C$9, 100%, $E$9)</f>
        <v>9.2307000000000006</v>
      </c>
      <c r="M591" s="11">
        <f>9.2343 * CHOOSE(CONTROL!$C$32, $C$9, 100%, $E$9)</f>
        <v>9.2342999999999993</v>
      </c>
      <c r="N591" s="11">
        <f>9.2307 * CHOOSE(CONTROL!$C$32, $C$9, 100%, $E$9)</f>
        <v>9.2307000000000006</v>
      </c>
      <c r="O591" s="11">
        <f>9.2343 * CHOOSE(CONTROL!$C$32, $C$9, 100%, $E$9)</f>
        <v>9.2342999999999993</v>
      </c>
    </row>
    <row r="592" spans="1:15" ht="15" x14ac:dyDescent="0.2">
      <c r="A592" s="13">
        <v>58866</v>
      </c>
      <c r="B592" s="9">
        <f>8.4388 * CHOOSE(CONTROL!$C$32, $C$9, 100%, $E$9)</f>
        <v>8.4388000000000005</v>
      </c>
      <c r="C592" s="9">
        <f>8.4388 * CHOOSE(CONTROL!$C$32, $C$9, 100%, $E$9)</f>
        <v>8.4388000000000005</v>
      </c>
      <c r="D592" s="9">
        <f>8.4398 * CHOOSE(CONTROL!$C$32, $C$9, 100%, $E$9)</f>
        <v>8.4398</v>
      </c>
      <c r="E592" s="11">
        <f>9.4061 * CHOOSE(CONTROL!$C$32, $C$9, 100%, $E$9)</f>
        <v>9.4061000000000003</v>
      </c>
      <c r="F592" s="11">
        <f>9.4061 * CHOOSE(CONTROL!$C$32, $C$9, 100%, $E$9)</f>
        <v>9.4061000000000003</v>
      </c>
      <c r="G592" s="11">
        <f>9.4097 * CHOOSE(CONTROL!$C$32, $C$9, 100%, $E$9)</f>
        <v>9.4097000000000008</v>
      </c>
      <c r="H592" s="11">
        <f>18.4635 * CHOOSE(CONTROL!$C$32, $C$9, 100%, $E$9)</f>
        <v>18.4635</v>
      </c>
      <c r="I592" s="11">
        <f>18.4671 * CHOOSE(CONTROL!$C$32, $C$9, 100%, $E$9)</f>
        <v>18.467099999999999</v>
      </c>
      <c r="J592" s="11">
        <f>18.4635 * CHOOSE(CONTROL!$C$32, $C$9, 100%, $E$9)</f>
        <v>18.4635</v>
      </c>
      <c r="K592" s="11">
        <f>18.4671 * CHOOSE(CONTROL!$C$32, $C$9, 100%, $E$9)</f>
        <v>18.467099999999999</v>
      </c>
      <c r="L592" s="11">
        <f>9.4061 * CHOOSE(CONTROL!$C$32, $C$9, 100%, $E$9)</f>
        <v>9.4061000000000003</v>
      </c>
      <c r="M592" s="11">
        <f>9.4097 * CHOOSE(CONTROL!$C$32, $C$9, 100%, $E$9)</f>
        <v>9.4097000000000008</v>
      </c>
      <c r="N592" s="11">
        <f>9.4061 * CHOOSE(CONTROL!$C$32, $C$9, 100%, $E$9)</f>
        <v>9.4061000000000003</v>
      </c>
      <c r="O592" s="11">
        <f>9.4097 * CHOOSE(CONTROL!$C$32, $C$9, 100%, $E$9)</f>
        <v>9.4097000000000008</v>
      </c>
    </row>
    <row r="593" spans="1:15" ht="15" x14ac:dyDescent="0.2">
      <c r="A593" s="13">
        <v>58897</v>
      </c>
      <c r="B593" s="9">
        <f>8.4407 * CHOOSE(CONTROL!$C$32, $C$9, 100%, $E$9)</f>
        <v>8.4406999999999996</v>
      </c>
      <c r="C593" s="9">
        <f>8.4407 * CHOOSE(CONTROL!$C$32, $C$9, 100%, $E$9)</f>
        <v>8.4406999999999996</v>
      </c>
      <c r="D593" s="9">
        <f>8.4418 * CHOOSE(CONTROL!$C$32, $C$9, 100%, $E$9)</f>
        <v>8.4418000000000006</v>
      </c>
      <c r="E593" s="11">
        <f>9.5925 * CHOOSE(CONTROL!$C$32, $C$9, 100%, $E$9)</f>
        <v>9.5924999999999994</v>
      </c>
      <c r="F593" s="11">
        <f>9.5925 * CHOOSE(CONTROL!$C$32, $C$9, 100%, $E$9)</f>
        <v>9.5924999999999994</v>
      </c>
      <c r="G593" s="11">
        <f>9.5961 * CHOOSE(CONTROL!$C$32, $C$9, 100%, $E$9)</f>
        <v>9.5960999999999999</v>
      </c>
      <c r="H593" s="11">
        <f>18.5019 * CHOOSE(CONTROL!$C$32, $C$9, 100%, $E$9)</f>
        <v>18.501899999999999</v>
      </c>
      <c r="I593" s="11">
        <f>18.5056 * CHOOSE(CONTROL!$C$32, $C$9, 100%, $E$9)</f>
        <v>18.505600000000001</v>
      </c>
      <c r="J593" s="11">
        <f>18.5019 * CHOOSE(CONTROL!$C$32, $C$9, 100%, $E$9)</f>
        <v>18.501899999999999</v>
      </c>
      <c r="K593" s="11">
        <f>18.5056 * CHOOSE(CONTROL!$C$32, $C$9, 100%, $E$9)</f>
        <v>18.505600000000001</v>
      </c>
      <c r="L593" s="11">
        <f>9.5925 * CHOOSE(CONTROL!$C$32, $C$9, 100%, $E$9)</f>
        <v>9.5924999999999994</v>
      </c>
      <c r="M593" s="11">
        <f>9.5961 * CHOOSE(CONTROL!$C$32, $C$9, 100%, $E$9)</f>
        <v>9.5960999999999999</v>
      </c>
      <c r="N593" s="11">
        <f>9.5925 * CHOOSE(CONTROL!$C$32, $C$9, 100%, $E$9)</f>
        <v>9.5924999999999994</v>
      </c>
      <c r="O593" s="11">
        <f>9.5961 * CHOOSE(CONTROL!$C$32, $C$9, 100%, $E$9)</f>
        <v>9.5960999999999999</v>
      </c>
    </row>
    <row r="594" spans="1:15" ht="15" x14ac:dyDescent="0.2">
      <c r="A594" s="13">
        <v>58927</v>
      </c>
      <c r="B594" s="9">
        <f>8.4407 * CHOOSE(CONTROL!$C$32, $C$9, 100%, $E$9)</f>
        <v>8.4406999999999996</v>
      </c>
      <c r="C594" s="9">
        <f>8.4407 * CHOOSE(CONTROL!$C$32, $C$9, 100%, $E$9)</f>
        <v>8.4406999999999996</v>
      </c>
      <c r="D594" s="9">
        <f>8.4423 * CHOOSE(CONTROL!$C$32, $C$9, 100%, $E$9)</f>
        <v>8.4422999999999995</v>
      </c>
      <c r="E594" s="11">
        <f>9.6639 * CHOOSE(CONTROL!$C$32, $C$9, 100%, $E$9)</f>
        <v>9.6638999999999999</v>
      </c>
      <c r="F594" s="11">
        <f>9.6639 * CHOOSE(CONTROL!$C$32, $C$9, 100%, $E$9)</f>
        <v>9.6638999999999999</v>
      </c>
      <c r="G594" s="11">
        <f>9.6692 * CHOOSE(CONTROL!$C$32, $C$9, 100%, $E$9)</f>
        <v>9.6692</v>
      </c>
      <c r="H594" s="11">
        <f>18.5405 * CHOOSE(CONTROL!$C$32, $C$9, 100%, $E$9)</f>
        <v>18.540500000000002</v>
      </c>
      <c r="I594" s="11">
        <f>18.5458 * CHOOSE(CONTROL!$C$32, $C$9, 100%, $E$9)</f>
        <v>18.5458</v>
      </c>
      <c r="J594" s="11">
        <f>18.5405 * CHOOSE(CONTROL!$C$32, $C$9, 100%, $E$9)</f>
        <v>18.540500000000002</v>
      </c>
      <c r="K594" s="11">
        <f>18.5458 * CHOOSE(CONTROL!$C$32, $C$9, 100%, $E$9)</f>
        <v>18.5458</v>
      </c>
      <c r="L594" s="11">
        <f>9.6639 * CHOOSE(CONTROL!$C$32, $C$9, 100%, $E$9)</f>
        <v>9.6638999999999999</v>
      </c>
      <c r="M594" s="11">
        <f>9.6692 * CHOOSE(CONTROL!$C$32, $C$9, 100%, $E$9)</f>
        <v>9.6692</v>
      </c>
      <c r="N594" s="11">
        <f>9.6639 * CHOOSE(CONTROL!$C$32, $C$9, 100%, $E$9)</f>
        <v>9.6638999999999999</v>
      </c>
      <c r="O594" s="11">
        <f>9.6692 * CHOOSE(CONTROL!$C$32, $C$9, 100%, $E$9)</f>
        <v>9.6692</v>
      </c>
    </row>
    <row r="595" spans="1:15" ht="15" x14ac:dyDescent="0.2">
      <c r="A595" s="13">
        <v>58958</v>
      </c>
      <c r="B595" s="9">
        <f>8.4468 * CHOOSE(CONTROL!$C$32, $C$9, 100%, $E$9)</f>
        <v>8.4467999999999996</v>
      </c>
      <c r="C595" s="9">
        <f>8.4468 * CHOOSE(CONTROL!$C$32, $C$9, 100%, $E$9)</f>
        <v>8.4467999999999996</v>
      </c>
      <c r="D595" s="9">
        <f>8.4484 * CHOOSE(CONTROL!$C$32, $C$9, 100%, $E$9)</f>
        <v>8.4483999999999995</v>
      </c>
      <c r="E595" s="11">
        <f>9.5967 * CHOOSE(CONTROL!$C$32, $C$9, 100%, $E$9)</f>
        <v>9.5967000000000002</v>
      </c>
      <c r="F595" s="11">
        <f>9.5967 * CHOOSE(CONTROL!$C$32, $C$9, 100%, $E$9)</f>
        <v>9.5967000000000002</v>
      </c>
      <c r="G595" s="11">
        <f>9.602 * CHOOSE(CONTROL!$C$32, $C$9, 100%, $E$9)</f>
        <v>9.6020000000000003</v>
      </c>
      <c r="H595" s="11">
        <f>18.5791 * CHOOSE(CONTROL!$C$32, $C$9, 100%, $E$9)</f>
        <v>18.5791</v>
      </c>
      <c r="I595" s="11">
        <f>18.5844 * CHOOSE(CONTROL!$C$32, $C$9, 100%, $E$9)</f>
        <v>18.584399999999999</v>
      </c>
      <c r="J595" s="11">
        <f>18.5791 * CHOOSE(CONTROL!$C$32, $C$9, 100%, $E$9)</f>
        <v>18.5791</v>
      </c>
      <c r="K595" s="11">
        <f>18.5844 * CHOOSE(CONTROL!$C$32, $C$9, 100%, $E$9)</f>
        <v>18.584399999999999</v>
      </c>
      <c r="L595" s="11">
        <f>9.5967 * CHOOSE(CONTROL!$C$32, $C$9, 100%, $E$9)</f>
        <v>9.5967000000000002</v>
      </c>
      <c r="M595" s="11">
        <f>9.602 * CHOOSE(CONTROL!$C$32, $C$9, 100%, $E$9)</f>
        <v>9.6020000000000003</v>
      </c>
      <c r="N595" s="11">
        <f>9.5967 * CHOOSE(CONTROL!$C$32, $C$9, 100%, $E$9)</f>
        <v>9.5967000000000002</v>
      </c>
      <c r="O595" s="11">
        <f>9.602 * CHOOSE(CONTROL!$C$32, $C$9, 100%, $E$9)</f>
        <v>9.6020000000000003</v>
      </c>
    </row>
    <row r="596" spans="1:15" ht="15" x14ac:dyDescent="0.2">
      <c r="A596" s="13">
        <v>58988</v>
      </c>
      <c r="B596" s="9">
        <f>8.5541 * CHOOSE(CONTROL!$C$32, $C$9, 100%, $E$9)</f>
        <v>8.5541</v>
      </c>
      <c r="C596" s="9">
        <f>8.5541 * CHOOSE(CONTROL!$C$32, $C$9, 100%, $E$9)</f>
        <v>8.5541</v>
      </c>
      <c r="D596" s="9">
        <f>8.5557 * CHOOSE(CONTROL!$C$32, $C$9, 100%, $E$9)</f>
        <v>8.5556999999999999</v>
      </c>
      <c r="E596" s="11">
        <f>9.73 * CHOOSE(CONTROL!$C$32, $C$9, 100%, $E$9)</f>
        <v>9.73</v>
      </c>
      <c r="F596" s="11">
        <f>9.73 * CHOOSE(CONTROL!$C$32, $C$9, 100%, $E$9)</f>
        <v>9.73</v>
      </c>
      <c r="G596" s="11">
        <f>9.7353 * CHOOSE(CONTROL!$C$32, $C$9, 100%, $E$9)</f>
        <v>9.7353000000000005</v>
      </c>
      <c r="H596" s="11">
        <f>18.6178 * CHOOSE(CONTROL!$C$32, $C$9, 100%, $E$9)</f>
        <v>18.617799999999999</v>
      </c>
      <c r="I596" s="11">
        <f>18.6231 * CHOOSE(CONTROL!$C$32, $C$9, 100%, $E$9)</f>
        <v>18.623100000000001</v>
      </c>
      <c r="J596" s="11">
        <f>18.6178 * CHOOSE(CONTROL!$C$32, $C$9, 100%, $E$9)</f>
        <v>18.617799999999999</v>
      </c>
      <c r="K596" s="11">
        <f>18.6231 * CHOOSE(CONTROL!$C$32, $C$9, 100%, $E$9)</f>
        <v>18.623100000000001</v>
      </c>
      <c r="L596" s="11">
        <f>9.73 * CHOOSE(CONTROL!$C$32, $C$9, 100%, $E$9)</f>
        <v>9.73</v>
      </c>
      <c r="M596" s="11">
        <f>9.7353 * CHOOSE(CONTROL!$C$32, $C$9, 100%, $E$9)</f>
        <v>9.7353000000000005</v>
      </c>
      <c r="N596" s="11">
        <f>9.73 * CHOOSE(CONTROL!$C$32, $C$9, 100%, $E$9)</f>
        <v>9.73</v>
      </c>
      <c r="O596" s="11">
        <f>9.7353 * CHOOSE(CONTROL!$C$32, $C$9, 100%, $E$9)</f>
        <v>9.7353000000000005</v>
      </c>
    </row>
    <row r="597" spans="1:15" ht="15" x14ac:dyDescent="0.2">
      <c r="A597" s="13">
        <v>59019</v>
      </c>
      <c r="B597" s="9">
        <f>8.5608 * CHOOSE(CONTROL!$C$32, $C$9, 100%, $E$9)</f>
        <v>8.5608000000000004</v>
      </c>
      <c r="C597" s="9">
        <f>8.5608 * CHOOSE(CONTROL!$C$32, $C$9, 100%, $E$9)</f>
        <v>8.5608000000000004</v>
      </c>
      <c r="D597" s="9">
        <f>8.5624 * CHOOSE(CONTROL!$C$32, $C$9, 100%, $E$9)</f>
        <v>8.5624000000000002</v>
      </c>
      <c r="E597" s="11">
        <f>9.5203 * CHOOSE(CONTROL!$C$32, $C$9, 100%, $E$9)</f>
        <v>9.5203000000000007</v>
      </c>
      <c r="F597" s="11">
        <f>9.5203 * CHOOSE(CONTROL!$C$32, $C$9, 100%, $E$9)</f>
        <v>9.5203000000000007</v>
      </c>
      <c r="G597" s="11">
        <f>9.5256 * CHOOSE(CONTROL!$C$32, $C$9, 100%, $E$9)</f>
        <v>9.5256000000000007</v>
      </c>
      <c r="H597" s="11">
        <f>18.6566 * CHOOSE(CONTROL!$C$32, $C$9, 100%, $E$9)</f>
        <v>18.656600000000001</v>
      </c>
      <c r="I597" s="11">
        <f>18.6619 * CHOOSE(CONTROL!$C$32, $C$9, 100%, $E$9)</f>
        <v>18.661899999999999</v>
      </c>
      <c r="J597" s="11">
        <f>18.6566 * CHOOSE(CONTROL!$C$32, $C$9, 100%, $E$9)</f>
        <v>18.656600000000001</v>
      </c>
      <c r="K597" s="11">
        <f>18.6619 * CHOOSE(CONTROL!$C$32, $C$9, 100%, $E$9)</f>
        <v>18.661899999999999</v>
      </c>
      <c r="L597" s="11">
        <f>9.5203 * CHOOSE(CONTROL!$C$32, $C$9, 100%, $E$9)</f>
        <v>9.5203000000000007</v>
      </c>
      <c r="M597" s="11">
        <f>9.5256 * CHOOSE(CONTROL!$C$32, $C$9, 100%, $E$9)</f>
        <v>9.5256000000000007</v>
      </c>
      <c r="N597" s="11">
        <f>9.5203 * CHOOSE(CONTROL!$C$32, $C$9, 100%, $E$9)</f>
        <v>9.5203000000000007</v>
      </c>
      <c r="O597" s="11">
        <f>9.5256 * CHOOSE(CONTROL!$C$32, $C$9, 100%, $E$9)</f>
        <v>9.5256000000000007</v>
      </c>
    </row>
    <row r="598" spans="1:15" ht="15" x14ac:dyDescent="0.2">
      <c r="A598" s="13">
        <v>59050</v>
      </c>
      <c r="B598" s="9">
        <f>8.5578 * CHOOSE(CONTROL!$C$32, $C$9, 100%, $E$9)</f>
        <v>8.5578000000000003</v>
      </c>
      <c r="C598" s="9">
        <f>8.5578 * CHOOSE(CONTROL!$C$32, $C$9, 100%, $E$9)</f>
        <v>8.5578000000000003</v>
      </c>
      <c r="D598" s="9">
        <f>8.5594 * CHOOSE(CONTROL!$C$32, $C$9, 100%, $E$9)</f>
        <v>8.5594000000000001</v>
      </c>
      <c r="E598" s="11">
        <f>9.4943 * CHOOSE(CONTROL!$C$32, $C$9, 100%, $E$9)</f>
        <v>9.4943000000000008</v>
      </c>
      <c r="F598" s="11">
        <f>9.4943 * CHOOSE(CONTROL!$C$32, $C$9, 100%, $E$9)</f>
        <v>9.4943000000000008</v>
      </c>
      <c r="G598" s="11">
        <f>9.4996 * CHOOSE(CONTROL!$C$32, $C$9, 100%, $E$9)</f>
        <v>9.4995999999999992</v>
      </c>
      <c r="H598" s="11">
        <f>18.6955 * CHOOSE(CONTROL!$C$32, $C$9, 100%, $E$9)</f>
        <v>18.695499999999999</v>
      </c>
      <c r="I598" s="11">
        <f>18.7008 * CHOOSE(CONTROL!$C$32, $C$9, 100%, $E$9)</f>
        <v>18.700800000000001</v>
      </c>
      <c r="J598" s="11">
        <f>18.6955 * CHOOSE(CONTROL!$C$32, $C$9, 100%, $E$9)</f>
        <v>18.695499999999999</v>
      </c>
      <c r="K598" s="11">
        <f>18.7008 * CHOOSE(CONTROL!$C$32, $C$9, 100%, $E$9)</f>
        <v>18.700800000000001</v>
      </c>
      <c r="L598" s="11">
        <f>9.4943 * CHOOSE(CONTROL!$C$32, $C$9, 100%, $E$9)</f>
        <v>9.4943000000000008</v>
      </c>
      <c r="M598" s="11">
        <f>9.4996 * CHOOSE(CONTROL!$C$32, $C$9, 100%, $E$9)</f>
        <v>9.4995999999999992</v>
      </c>
      <c r="N598" s="11">
        <f>9.4943 * CHOOSE(CONTROL!$C$32, $C$9, 100%, $E$9)</f>
        <v>9.4943000000000008</v>
      </c>
      <c r="O598" s="11">
        <f>9.4996 * CHOOSE(CONTROL!$C$32, $C$9, 100%, $E$9)</f>
        <v>9.4995999999999992</v>
      </c>
    </row>
    <row r="599" spans="1:15" ht="15" x14ac:dyDescent="0.2">
      <c r="A599" s="13">
        <v>59080</v>
      </c>
      <c r="B599" s="9">
        <f>8.5698 * CHOOSE(CONTROL!$C$32, $C$9, 100%, $E$9)</f>
        <v>8.5698000000000008</v>
      </c>
      <c r="C599" s="9">
        <f>8.5698 * CHOOSE(CONTROL!$C$32, $C$9, 100%, $E$9)</f>
        <v>8.5698000000000008</v>
      </c>
      <c r="D599" s="9">
        <f>8.5709 * CHOOSE(CONTROL!$C$32, $C$9, 100%, $E$9)</f>
        <v>8.5709</v>
      </c>
      <c r="E599" s="11">
        <f>9.5762 * CHOOSE(CONTROL!$C$32, $C$9, 100%, $E$9)</f>
        <v>9.5762</v>
      </c>
      <c r="F599" s="11">
        <f>9.5762 * CHOOSE(CONTROL!$C$32, $C$9, 100%, $E$9)</f>
        <v>9.5762</v>
      </c>
      <c r="G599" s="11">
        <f>9.5798 * CHOOSE(CONTROL!$C$32, $C$9, 100%, $E$9)</f>
        <v>9.5798000000000005</v>
      </c>
      <c r="H599" s="11">
        <f>18.7344 * CHOOSE(CONTROL!$C$32, $C$9, 100%, $E$9)</f>
        <v>18.734400000000001</v>
      </c>
      <c r="I599" s="11">
        <f>18.738 * CHOOSE(CONTROL!$C$32, $C$9, 100%, $E$9)</f>
        <v>18.738</v>
      </c>
      <c r="J599" s="11">
        <f>18.7344 * CHOOSE(CONTROL!$C$32, $C$9, 100%, $E$9)</f>
        <v>18.734400000000001</v>
      </c>
      <c r="K599" s="11">
        <f>18.738 * CHOOSE(CONTROL!$C$32, $C$9, 100%, $E$9)</f>
        <v>18.738</v>
      </c>
      <c r="L599" s="11">
        <f>9.5762 * CHOOSE(CONTROL!$C$32, $C$9, 100%, $E$9)</f>
        <v>9.5762</v>
      </c>
      <c r="M599" s="11">
        <f>9.5798 * CHOOSE(CONTROL!$C$32, $C$9, 100%, $E$9)</f>
        <v>9.5798000000000005</v>
      </c>
      <c r="N599" s="11">
        <f>9.5762 * CHOOSE(CONTROL!$C$32, $C$9, 100%, $E$9)</f>
        <v>9.5762</v>
      </c>
      <c r="O599" s="11">
        <f>9.5798 * CHOOSE(CONTROL!$C$32, $C$9, 100%, $E$9)</f>
        <v>9.5798000000000005</v>
      </c>
    </row>
    <row r="600" spans="1:15" ht="15" x14ac:dyDescent="0.2">
      <c r="A600" s="13">
        <v>59111</v>
      </c>
      <c r="B600" s="9">
        <f>8.5729 * CHOOSE(CONTROL!$C$32, $C$9, 100%, $E$9)</f>
        <v>8.5729000000000006</v>
      </c>
      <c r="C600" s="9">
        <f>8.5729 * CHOOSE(CONTROL!$C$32, $C$9, 100%, $E$9)</f>
        <v>8.5729000000000006</v>
      </c>
      <c r="D600" s="9">
        <f>8.5739 * CHOOSE(CONTROL!$C$32, $C$9, 100%, $E$9)</f>
        <v>8.5739000000000001</v>
      </c>
      <c r="E600" s="11">
        <f>9.626 * CHOOSE(CONTROL!$C$32, $C$9, 100%, $E$9)</f>
        <v>9.6259999999999994</v>
      </c>
      <c r="F600" s="11">
        <f>9.626 * CHOOSE(CONTROL!$C$32, $C$9, 100%, $E$9)</f>
        <v>9.6259999999999994</v>
      </c>
      <c r="G600" s="11">
        <f>9.6296 * CHOOSE(CONTROL!$C$32, $C$9, 100%, $E$9)</f>
        <v>9.6295999999999999</v>
      </c>
      <c r="H600" s="11">
        <f>18.7734 * CHOOSE(CONTROL!$C$32, $C$9, 100%, $E$9)</f>
        <v>18.773399999999999</v>
      </c>
      <c r="I600" s="11">
        <f>18.7771 * CHOOSE(CONTROL!$C$32, $C$9, 100%, $E$9)</f>
        <v>18.777100000000001</v>
      </c>
      <c r="J600" s="11">
        <f>18.7734 * CHOOSE(CONTROL!$C$32, $C$9, 100%, $E$9)</f>
        <v>18.773399999999999</v>
      </c>
      <c r="K600" s="11">
        <f>18.7771 * CHOOSE(CONTROL!$C$32, $C$9, 100%, $E$9)</f>
        <v>18.777100000000001</v>
      </c>
      <c r="L600" s="11">
        <f>9.626 * CHOOSE(CONTROL!$C$32, $C$9, 100%, $E$9)</f>
        <v>9.6259999999999994</v>
      </c>
      <c r="M600" s="11">
        <f>9.6296 * CHOOSE(CONTROL!$C$32, $C$9, 100%, $E$9)</f>
        <v>9.6295999999999999</v>
      </c>
      <c r="N600" s="11">
        <f>9.626 * CHOOSE(CONTROL!$C$32, $C$9, 100%, $E$9)</f>
        <v>9.6259999999999994</v>
      </c>
      <c r="O600" s="11">
        <f>9.6296 * CHOOSE(CONTROL!$C$32, $C$9, 100%, $E$9)</f>
        <v>9.6295999999999999</v>
      </c>
    </row>
    <row r="601" spans="1:15" ht="15" x14ac:dyDescent="0.2">
      <c r="A601" s="13">
        <v>59141</v>
      </c>
      <c r="B601" s="9">
        <f>8.5729 * CHOOSE(CONTROL!$C$32, $C$9, 100%, $E$9)</f>
        <v>8.5729000000000006</v>
      </c>
      <c r="C601" s="9">
        <f>8.5729 * CHOOSE(CONTROL!$C$32, $C$9, 100%, $E$9)</f>
        <v>8.5729000000000006</v>
      </c>
      <c r="D601" s="9">
        <f>8.5739 * CHOOSE(CONTROL!$C$32, $C$9, 100%, $E$9)</f>
        <v>8.5739000000000001</v>
      </c>
      <c r="E601" s="11">
        <f>9.5068 * CHOOSE(CONTROL!$C$32, $C$9, 100%, $E$9)</f>
        <v>9.5068000000000001</v>
      </c>
      <c r="F601" s="11">
        <f>9.5068 * CHOOSE(CONTROL!$C$32, $C$9, 100%, $E$9)</f>
        <v>9.5068000000000001</v>
      </c>
      <c r="G601" s="11">
        <f>9.5105 * CHOOSE(CONTROL!$C$32, $C$9, 100%, $E$9)</f>
        <v>9.5105000000000004</v>
      </c>
      <c r="H601" s="11">
        <f>18.8126 * CHOOSE(CONTROL!$C$32, $C$9, 100%, $E$9)</f>
        <v>18.8126</v>
      </c>
      <c r="I601" s="11">
        <f>18.8162 * CHOOSE(CONTROL!$C$32, $C$9, 100%, $E$9)</f>
        <v>18.816199999999998</v>
      </c>
      <c r="J601" s="11">
        <f>18.8126 * CHOOSE(CONTROL!$C$32, $C$9, 100%, $E$9)</f>
        <v>18.8126</v>
      </c>
      <c r="K601" s="11">
        <f>18.8162 * CHOOSE(CONTROL!$C$32, $C$9, 100%, $E$9)</f>
        <v>18.816199999999998</v>
      </c>
      <c r="L601" s="11">
        <f>9.5068 * CHOOSE(CONTROL!$C$32, $C$9, 100%, $E$9)</f>
        <v>9.5068000000000001</v>
      </c>
      <c r="M601" s="11">
        <f>9.5105 * CHOOSE(CONTROL!$C$32, $C$9, 100%, $E$9)</f>
        <v>9.5105000000000004</v>
      </c>
      <c r="N601" s="11">
        <f>9.5068 * CHOOSE(CONTROL!$C$32, $C$9, 100%, $E$9)</f>
        <v>9.5068000000000001</v>
      </c>
      <c r="O601" s="11">
        <f>9.5105 * CHOOSE(CONTROL!$C$32, $C$9, 100%, $E$9)</f>
        <v>9.5105000000000004</v>
      </c>
    </row>
    <row r="602" spans="1:15" ht="15" x14ac:dyDescent="0.2">
      <c r="A602" s="13">
        <v>59172</v>
      </c>
      <c r="B602" s="9">
        <f>8.6322 * CHOOSE(CONTROL!$C$32, $C$9, 100%, $E$9)</f>
        <v>8.6321999999999992</v>
      </c>
      <c r="C602" s="9">
        <f>8.6322 * CHOOSE(CONTROL!$C$32, $C$9, 100%, $E$9)</f>
        <v>8.6321999999999992</v>
      </c>
      <c r="D602" s="9">
        <f>8.6333 * CHOOSE(CONTROL!$C$32, $C$9, 100%, $E$9)</f>
        <v>8.6333000000000002</v>
      </c>
      <c r="E602" s="11">
        <f>9.6705 * CHOOSE(CONTROL!$C$32, $C$9, 100%, $E$9)</f>
        <v>9.6705000000000005</v>
      </c>
      <c r="F602" s="11">
        <f>9.6705 * CHOOSE(CONTROL!$C$32, $C$9, 100%, $E$9)</f>
        <v>9.6705000000000005</v>
      </c>
      <c r="G602" s="11">
        <f>9.6741 * CHOOSE(CONTROL!$C$32, $C$9, 100%, $E$9)</f>
        <v>9.6740999999999993</v>
      </c>
      <c r="H602" s="11">
        <f>18.8403 * CHOOSE(CONTROL!$C$32, $C$9, 100%, $E$9)</f>
        <v>18.840299999999999</v>
      </c>
      <c r="I602" s="11">
        <f>18.8439 * CHOOSE(CONTROL!$C$32, $C$9, 100%, $E$9)</f>
        <v>18.843900000000001</v>
      </c>
      <c r="J602" s="11">
        <f>18.8403 * CHOOSE(CONTROL!$C$32, $C$9, 100%, $E$9)</f>
        <v>18.840299999999999</v>
      </c>
      <c r="K602" s="11">
        <f>18.8439 * CHOOSE(CONTROL!$C$32, $C$9, 100%, $E$9)</f>
        <v>18.843900000000001</v>
      </c>
      <c r="L602" s="11">
        <f>9.6705 * CHOOSE(CONTROL!$C$32, $C$9, 100%, $E$9)</f>
        <v>9.6705000000000005</v>
      </c>
      <c r="M602" s="11">
        <f>9.6741 * CHOOSE(CONTROL!$C$32, $C$9, 100%, $E$9)</f>
        <v>9.6740999999999993</v>
      </c>
      <c r="N602" s="11">
        <f>9.6705 * CHOOSE(CONTROL!$C$32, $C$9, 100%, $E$9)</f>
        <v>9.6705000000000005</v>
      </c>
      <c r="O602" s="11">
        <f>9.6741 * CHOOSE(CONTROL!$C$32, $C$9, 100%, $E$9)</f>
        <v>9.6740999999999993</v>
      </c>
    </row>
    <row r="603" spans="1:15" ht="15" x14ac:dyDescent="0.2">
      <c r="A603" s="13">
        <v>59203</v>
      </c>
      <c r="B603" s="9">
        <f>8.6292 * CHOOSE(CONTROL!$C$32, $C$9, 100%, $E$9)</f>
        <v>8.6292000000000009</v>
      </c>
      <c r="C603" s="9">
        <f>8.6292 * CHOOSE(CONTROL!$C$32, $C$9, 100%, $E$9)</f>
        <v>8.6292000000000009</v>
      </c>
      <c r="D603" s="9">
        <f>8.6302 * CHOOSE(CONTROL!$C$32, $C$9, 100%, $E$9)</f>
        <v>8.6302000000000003</v>
      </c>
      <c r="E603" s="11">
        <f>9.4361 * CHOOSE(CONTROL!$C$32, $C$9, 100%, $E$9)</f>
        <v>9.4360999999999997</v>
      </c>
      <c r="F603" s="11">
        <f>9.4361 * CHOOSE(CONTROL!$C$32, $C$9, 100%, $E$9)</f>
        <v>9.4360999999999997</v>
      </c>
      <c r="G603" s="11">
        <f>9.4398 * CHOOSE(CONTROL!$C$32, $C$9, 100%, $E$9)</f>
        <v>9.4398</v>
      </c>
      <c r="H603" s="11">
        <f>18.8795 * CHOOSE(CONTROL!$C$32, $C$9, 100%, $E$9)</f>
        <v>18.8795</v>
      </c>
      <c r="I603" s="11">
        <f>18.8831 * CHOOSE(CONTROL!$C$32, $C$9, 100%, $E$9)</f>
        <v>18.883099999999999</v>
      </c>
      <c r="J603" s="11">
        <f>18.8795 * CHOOSE(CONTROL!$C$32, $C$9, 100%, $E$9)</f>
        <v>18.8795</v>
      </c>
      <c r="K603" s="11">
        <f>18.8831 * CHOOSE(CONTROL!$C$32, $C$9, 100%, $E$9)</f>
        <v>18.883099999999999</v>
      </c>
      <c r="L603" s="11">
        <f>9.4361 * CHOOSE(CONTROL!$C$32, $C$9, 100%, $E$9)</f>
        <v>9.4360999999999997</v>
      </c>
      <c r="M603" s="11">
        <f>9.4398 * CHOOSE(CONTROL!$C$32, $C$9, 100%, $E$9)</f>
        <v>9.4398</v>
      </c>
      <c r="N603" s="11">
        <f>9.4361 * CHOOSE(CONTROL!$C$32, $C$9, 100%, $E$9)</f>
        <v>9.4360999999999997</v>
      </c>
      <c r="O603" s="11">
        <f>9.4398 * CHOOSE(CONTROL!$C$32, $C$9, 100%, $E$9)</f>
        <v>9.4398</v>
      </c>
    </row>
    <row r="604" spans="1:15" ht="15" x14ac:dyDescent="0.2">
      <c r="A604" s="13">
        <v>59231</v>
      </c>
      <c r="B604" s="9">
        <f>8.6261 * CHOOSE(CONTROL!$C$32, $C$9, 100%, $E$9)</f>
        <v>8.6260999999999992</v>
      </c>
      <c r="C604" s="9">
        <f>8.6261 * CHOOSE(CONTROL!$C$32, $C$9, 100%, $E$9)</f>
        <v>8.6260999999999992</v>
      </c>
      <c r="D604" s="9">
        <f>8.6272 * CHOOSE(CONTROL!$C$32, $C$9, 100%, $E$9)</f>
        <v>8.6272000000000002</v>
      </c>
      <c r="E604" s="11">
        <f>9.6171 * CHOOSE(CONTROL!$C$32, $C$9, 100%, $E$9)</f>
        <v>9.6171000000000006</v>
      </c>
      <c r="F604" s="11">
        <f>9.6171 * CHOOSE(CONTROL!$C$32, $C$9, 100%, $E$9)</f>
        <v>9.6171000000000006</v>
      </c>
      <c r="G604" s="11">
        <f>9.6207 * CHOOSE(CONTROL!$C$32, $C$9, 100%, $E$9)</f>
        <v>9.6206999999999994</v>
      </c>
      <c r="H604" s="11">
        <f>18.9189 * CHOOSE(CONTROL!$C$32, $C$9, 100%, $E$9)</f>
        <v>18.918900000000001</v>
      </c>
      <c r="I604" s="11">
        <f>18.9225 * CHOOSE(CONTROL!$C$32, $C$9, 100%, $E$9)</f>
        <v>18.922499999999999</v>
      </c>
      <c r="J604" s="11">
        <f>18.9189 * CHOOSE(CONTROL!$C$32, $C$9, 100%, $E$9)</f>
        <v>18.918900000000001</v>
      </c>
      <c r="K604" s="11">
        <f>18.9225 * CHOOSE(CONTROL!$C$32, $C$9, 100%, $E$9)</f>
        <v>18.922499999999999</v>
      </c>
      <c r="L604" s="11">
        <f>9.6171 * CHOOSE(CONTROL!$C$32, $C$9, 100%, $E$9)</f>
        <v>9.6171000000000006</v>
      </c>
      <c r="M604" s="11">
        <f>9.6207 * CHOOSE(CONTROL!$C$32, $C$9, 100%, $E$9)</f>
        <v>9.6206999999999994</v>
      </c>
      <c r="N604" s="11">
        <f>9.6171 * CHOOSE(CONTROL!$C$32, $C$9, 100%, $E$9)</f>
        <v>9.6171000000000006</v>
      </c>
      <c r="O604" s="11">
        <f>9.6207 * CHOOSE(CONTROL!$C$32, $C$9, 100%, $E$9)</f>
        <v>9.6206999999999994</v>
      </c>
    </row>
    <row r="605" spans="1:15" ht="15" x14ac:dyDescent="0.2">
      <c r="A605" s="13">
        <v>59262</v>
      </c>
      <c r="B605" s="9">
        <f>8.6283 * CHOOSE(CONTROL!$C$32, $C$9, 100%, $E$9)</f>
        <v>8.6282999999999994</v>
      </c>
      <c r="C605" s="9">
        <f>8.6283 * CHOOSE(CONTROL!$C$32, $C$9, 100%, $E$9)</f>
        <v>8.6282999999999994</v>
      </c>
      <c r="D605" s="9">
        <f>8.6293 * CHOOSE(CONTROL!$C$32, $C$9, 100%, $E$9)</f>
        <v>8.6293000000000006</v>
      </c>
      <c r="E605" s="11">
        <f>9.8095 * CHOOSE(CONTROL!$C$32, $C$9, 100%, $E$9)</f>
        <v>9.8094999999999999</v>
      </c>
      <c r="F605" s="11">
        <f>9.8095 * CHOOSE(CONTROL!$C$32, $C$9, 100%, $E$9)</f>
        <v>9.8094999999999999</v>
      </c>
      <c r="G605" s="11">
        <f>9.8131 * CHOOSE(CONTROL!$C$32, $C$9, 100%, $E$9)</f>
        <v>9.8131000000000004</v>
      </c>
      <c r="H605" s="11">
        <f>18.9583 * CHOOSE(CONTROL!$C$32, $C$9, 100%, $E$9)</f>
        <v>18.958300000000001</v>
      </c>
      <c r="I605" s="11">
        <f>18.9619 * CHOOSE(CONTROL!$C$32, $C$9, 100%, $E$9)</f>
        <v>18.9619</v>
      </c>
      <c r="J605" s="11">
        <f>18.9583 * CHOOSE(CONTROL!$C$32, $C$9, 100%, $E$9)</f>
        <v>18.958300000000001</v>
      </c>
      <c r="K605" s="11">
        <f>18.9619 * CHOOSE(CONTROL!$C$32, $C$9, 100%, $E$9)</f>
        <v>18.9619</v>
      </c>
      <c r="L605" s="11">
        <f>9.8095 * CHOOSE(CONTROL!$C$32, $C$9, 100%, $E$9)</f>
        <v>9.8094999999999999</v>
      </c>
      <c r="M605" s="11">
        <f>9.8131 * CHOOSE(CONTROL!$C$32, $C$9, 100%, $E$9)</f>
        <v>9.8131000000000004</v>
      </c>
      <c r="N605" s="11">
        <f>9.8095 * CHOOSE(CONTROL!$C$32, $C$9, 100%, $E$9)</f>
        <v>9.8094999999999999</v>
      </c>
      <c r="O605" s="11">
        <f>9.8131 * CHOOSE(CONTROL!$C$32, $C$9, 100%, $E$9)</f>
        <v>9.8131000000000004</v>
      </c>
    </row>
    <row r="606" spans="1:15" ht="15" x14ac:dyDescent="0.2">
      <c r="A606" s="13">
        <v>59292</v>
      </c>
      <c r="B606" s="9">
        <f>8.6283 * CHOOSE(CONTROL!$C$32, $C$9, 100%, $E$9)</f>
        <v>8.6282999999999994</v>
      </c>
      <c r="C606" s="9">
        <f>8.6283 * CHOOSE(CONTROL!$C$32, $C$9, 100%, $E$9)</f>
        <v>8.6282999999999994</v>
      </c>
      <c r="D606" s="9">
        <f>8.6298 * CHOOSE(CONTROL!$C$32, $C$9, 100%, $E$9)</f>
        <v>8.6297999999999995</v>
      </c>
      <c r="E606" s="11">
        <f>9.8832 * CHOOSE(CONTROL!$C$32, $C$9, 100%, $E$9)</f>
        <v>9.8832000000000004</v>
      </c>
      <c r="F606" s="11">
        <f>9.8832 * CHOOSE(CONTROL!$C$32, $C$9, 100%, $E$9)</f>
        <v>9.8832000000000004</v>
      </c>
      <c r="G606" s="11">
        <f>9.8885 * CHOOSE(CONTROL!$C$32, $C$9, 100%, $E$9)</f>
        <v>9.8885000000000005</v>
      </c>
      <c r="H606" s="11">
        <f>18.9978 * CHOOSE(CONTROL!$C$32, $C$9, 100%, $E$9)</f>
        <v>18.997800000000002</v>
      </c>
      <c r="I606" s="11">
        <f>19.0031 * CHOOSE(CONTROL!$C$32, $C$9, 100%, $E$9)</f>
        <v>19.0031</v>
      </c>
      <c r="J606" s="11">
        <f>18.9978 * CHOOSE(CONTROL!$C$32, $C$9, 100%, $E$9)</f>
        <v>18.997800000000002</v>
      </c>
      <c r="K606" s="11">
        <f>19.0031 * CHOOSE(CONTROL!$C$32, $C$9, 100%, $E$9)</f>
        <v>19.0031</v>
      </c>
      <c r="L606" s="11">
        <f>9.8832 * CHOOSE(CONTROL!$C$32, $C$9, 100%, $E$9)</f>
        <v>9.8832000000000004</v>
      </c>
      <c r="M606" s="11">
        <f>9.8885 * CHOOSE(CONTROL!$C$32, $C$9, 100%, $E$9)</f>
        <v>9.8885000000000005</v>
      </c>
      <c r="N606" s="11">
        <f>9.8832 * CHOOSE(CONTROL!$C$32, $C$9, 100%, $E$9)</f>
        <v>9.8832000000000004</v>
      </c>
      <c r="O606" s="11">
        <f>9.8885 * CHOOSE(CONTROL!$C$32, $C$9, 100%, $E$9)</f>
        <v>9.8885000000000005</v>
      </c>
    </row>
    <row r="607" spans="1:15" ht="15" x14ac:dyDescent="0.2">
      <c r="A607" s="13">
        <v>59323</v>
      </c>
      <c r="B607" s="9">
        <f>8.6343 * CHOOSE(CONTROL!$C$32, $C$9, 100%, $E$9)</f>
        <v>8.6342999999999996</v>
      </c>
      <c r="C607" s="9">
        <f>8.6343 * CHOOSE(CONTROL!$C$32, $C$9, 100%, $E$9)</f>
        <v>8.6342999999999996</v>
      </c>
      <c r="D607" s="9">
        <f>8.6359 * CHOOSE(CONTROL!$C$32, $C$9, 100%, $E$9)</f>
        <v>8.6358999999999995</v>
      </c>
      <c r="E607" s="11">
        <f>9.8137 * CHOOSE(CONTROL!$C$32, $C$9, 100%, $E$9)</f>
        <v>9.8137000000000008</v>
      </c>
      <c r="F607" s="11">
        <f>9.8137 * CHOOSE(CONTROL!$C$32, $C$9, 100%, $E$9)</f>
        <v>9.8137000000000008</v>
      </c>
      <c r="G607" s="11">
        <f>9.819 * CHOOSE(CONTROL!$C$32, $C$9, 100%, $E$9)</f>
        <v>9.8190000000000008</v>
      </c>
      <c r="H607" s="11">
        <f>19.0374 * CHOOSE(CONTROL!$C$32, $C$9, 100%, $E$9)</f>
        <v>19.037400000000002</v>
      </c>
      <c r="I607" s="11">
        <f>19.0426 * CHOOSE(CONTROL!$C$32, $C$9, 100%, $E$9)</f>
        <v>19.0426</v>
      </c>
      <c r="J607" s="11">
        <f>19.0374 * CHOOSE(CONTROL!$C$32, $C$9, 100%, $E$9)</f>
        <v>19.037400000000002</v>
      </c>
      <c r="K607" s="11">
        <f>19.0426 * CHOOSE(CONTROL!$C$32, $C$9, 100%, $E$9)</f>
        <v>19.0426</v>
      </c>
      <c r="L607" s="11">
        <f>9.8137 * CHOOSE(CONTROL!$C$32, $C$9, 100%, $E$9)</f>
        <v>9.8137000000000008</v>
      </c>
      <c r="M607" s="11">
        <f>9.819 * CHOOSE(CONTROL!$C$32, $C$9, 100%, $E$9)</f>
        <v>9.8190000000000008</v>
      </c>
      <c r="N607" s="11">
        <f>9.8137 * CHOOSE(CONTROL!$C$32, $C$9, 100%, $E$9)</f>
        <v>9.8137000000000008</v>
      </c>
      <c r="O607" s="11">
        <f>9.819 * CHOOSE(CONTROL!$C$32, $C$9, 100%, $E$9)</f>
        <v>9.8190000000000008</v>
      </c>
    </row>
    <row r="608" spans="1:15" ht="15" x14ac:dyDescent="0.2">
      <c r="A608" s="13">
        <v>59353</v>
      </c>
      <c r="B608" s="9">
        <f>8.7437 * CHOOSE(CONTROL!$C$32, $C$9, 100%, $E$9)</f>
        <v>8.7437000000000005</v>
      </c>
      <c r="C608" s="9">
        <f>8.7437 * CHOOSE(CONTROL!$C$32, $C$9, 100%, $E$9)</f>
        <v>8.7437000000000005</v>
      </c>
      <c r="D608" s="9">
        <f>8.7453 * CHOOSE(CONTROL!$C$32, $C$9, 100%, $E$9)</f>
        <v>8.7453000000000003</v>
      </c>
      <c r="E608" s="11">
        <f>9.9502 * CHOOSE(CONTROL!$C$32, $C$9, 100%, $E$9)</f>
        <v>9.9502000000000006</v>
      </c>
      <c r="F608" s="11">
        <f>9.9502 * CHOOSE(CONTROL!$C$32, $C$9, 100%, $E$9)</f>
        <v>9.9502000000000006</v>
      </c>
      <c r="G608" s="11">
        <f>9.9555 * CHOOSE(CONTROL!$C$32, $C$9, 100%, $E$9)</f>
        <v>9.9555000000000007</v>
      </c>
      <c r="H608" s="11">
        <f>19.077 * CHOOSE(CONTROL!$C$32, $C$9, 100%, $E$9)</f>
        <v>19.077000000000002</v>
      </c>
      <c r="I608" s="11">
        <f>19.0823 * CHOOSE(CONTROL!$C$32, $C$9, 100%, $E$9)</f>
        <v>19.0823</v>
      </c>
      <c r="J608" s="11">
        <f>19.077 * CHOOSE(CONTROL!$C$32, $C$9, 100%, $E$9)</f>
        <v>19.077000000000002</v>
      </c>
      <c r="K608" s="11">
        <f>19.0823 * CHOOSE(CONTROL!$C$32, $C$9, 100%, $E$9)</f>
        <v>19.0823</v>
      </c>
      <c r="L608" s="11">
        <f>9.9502 * CHOOSE(CONTROL!$C$32, $C$9, 100%, $E$9)</f>
        <v>9.9502000000000006</v>
      </c>
      <c r="M608" s="11">
        <f>9.9555 * CHOOSE(CONTROL!$C$32, $C$9, 100%, $E$9)</f>
        <v>9.9555000000000007</v>
      </c>
      <c r="N608" s="11">
        <f>9.9502 * CHOOSE(CONTROL!$C$32, $C$9, 100%, $E$9)</f>
        <v>9.9502000000000006</v>
      </c>
      <c r="O608" s="11">
        <f>9.9555 * CHOOSE(CONTROL!$C$32, $C$9, 100%, $E$9)</f>
        <v>9.9555000000000007</v>
      </c>
    </row>
    <row r="609" spans="1:15" ht="15" x14ac:dyDescent="0.2">
      <c r="A609" s="13">
        <v>59384</v>
      </c>
      <c r="B609" s="9">
        <f>8.7504 * CHOOSE(CONTROL!$C$32, $C$9, 100%, $E$9)</f>
        <v>8.7504000000000008</v>
      </c>
      <c r="C609" s="9">
        <f>8.7504 * CHOOSE(CONTROL!$C$32, $C$9, 100%, $E$9)</f>
        <v>8.7504000000000008</v>
      </c>
      <c r="D609" s="9">
        <f>8.752 * CHOOSE(CONTROL!$C$32, $C$9, 100%, $E$9)</f>
        <v>8.7520000000000007</v>
      </c>
      <c r="E609" s="11">
        <f>9.7337 * CHOOSE(CONTROL!$C$32, $C$9, 100%, $E$9)</f>
        <v>9.7337000000000007</v>
      </c>
      <c r="F609" s="11">
        <f>9.7337 * CHOOSE(CONTROL!$C$32, $C$9, 100%, $E$9)</f>
        <v>9.7337000000000007</v>
      </c>
      <c r="G609" s="11">
        <f>9.739 * CHOOSE(CONTROL!$C$32, $C$9, 100%, $E$9)</f>
        <v>9.7390000000000008</v>
      </c>
      <c r="H609" s="11">
        <f>19.1168 * CHOOSE(CONTROL!$C$32, $C$9, 100%, $E$9)</f>
        <v>19.116800000000001</v>
      </c>
      <c r="I609" s="11">
        <f>19.1221 * CHOOSE(CONTROL!$C$32, $C$9, 100%, $E$9)</f>
        <v>19.1221</v>
      </c>
      <c r="J609" s="11">
        <f>19.1168 * CHOOSE(CONTROL!$C$32, $C$9, 100%, $E$9)</f>
        <v>19.116800000000001</v>
      </c>
      <c r="K609" s="11">
        <f>19.1221 * CHOOSE(CONTROL!$C$32, $C$9, 100%, $E$9)</f>
        <v>19.1221</v>
      </c>
      <c r="L609" s="11">
        <f>9.7337 * CHOOSE(CONTROL!$C$32, $C$9, 100%, $E$9)</f>
        <v>9.7337000000000007</v>
      </c>
      <c r="M609" s="11">
        <f>9.739 * CHOOSE(CONTROL!$C$32, $C$9, 100%, $E$9)</f>
        <v>9.7390000000000008</v>
      </c>
      <c r="N609" s="11">
        <f>9.7337 * CHOOSE(CONTROL!$C$32, $C$9, 100%, $E$9)</f>
        <v>9.7337000000000007</v>
      </c>
      <c r="O609" s="11">
        <f>9.739 * CHOOSE(CONTROL!$C$32, $C$9, 100%, $E$9)</f>
        <v>9.7390000000000008</v>
      </c>
    </row>
    <row r="610" spans="1:15" ht="15" x14ac:dyDescent="0.2">
      <c r="A610" s="13">
        <v>59415</v>
      </c>
      <c r="B610" s="9">
        <f>8.7474 * CHOOSE(CONTROL!$C$32, $C$9, 100%, $E$9)</f>
        <v>8.7474000000000007</v>
      </c>
      <c r="C610" s="9">
        <f>8.7474 * CHOOSE(CONTROL!$C$32, $C$9, 100%, $E$9)</f>
        <v>8.7474000000000007</v>
      </c>
      <c r="D610" s="9">
        <f>8.749 * CHOOSE(CONTROL!$C$32, $C$9, 100%, $E$9)</f>
        <v>8.7490000000000006</v>
      </c>
      <c r="E610" s="11">
        <f>9.707 * CHOOSE(CONTROL!$C$32, $C$9, 100%, $E$9)</f>
        <v>9.7070000000000007</v>
      </c>
      <c r="F610" s="11">
        <f>9.707 * CHOOSE(CONTROL!$C$32, $C$9, 100%, $E$9)</f>
        <v>9.7070000000000007</v>
      </c>
      <c r="G610" s="11">
        <f>9.7123 * CHOOSE(CONTROL!$C$32, $C$9, 100%, $E$9)</f>
        <v>9.7123000000000008</v>
      </c>
      <c r="H610" s="11">
        <f>19.1566 * CHOOSE(CONTROL!$C$32, $C$9, 100%, $E$9)</f>
        <v>19.156600000000001</v>
      </c>
      <c r="I610" s="11">
        <f>19.1619 * CHOOSE(CONTROL!$C$32, $C$9, 100%, $E$9)</f>
        <v>19.161899999999999</v>
      </c>
      <c r="J610" s="11">
        <f>19.1566 * CHOOSE(CONTROL!$C$32, $C$9, 100%, $E$9)</f>
        <v>19.156600000000001</v>
      </c>
      <c r="K610" s="11">
        <f>19.1619 * CHOOSE(CONTROL!$C$32, $C$9, 100%, $E$9)</f>
        <v>19.161899999999999</v>
      </c>
      <c r="L610" s="11">
        <f>9.707 * CHOOSE(CONTROL!$C$32, $C$9, 100%, $E$9)</f>
        <v>9.7070000000000007</v>
      </c>
      <c r="M610" s="11">
        <f>9.7123 * CHOOSE(CONTROL!$C$32, $C$9, 100%, $E$9)</f>
        <v>9.7123000000000008</v>
      </c>
      <c r="N610" s="11">
        <f>9.707 * CHOOSE(CONTROL!$C$32, $C$9, 100%, $E$9)</f>
        <v>9.7070000000000007</v>
      </c>
      <c r="O610" s="11">
        <f>9.7123 * CHOOSE(CONTROL!$C$32, $C$9, 100%, $E$9)</f>
        <v>9.7123000000000008</v>
      </c>
    </row>
    <row r="611" spans="1:15" ht="15" x14ac:dyDescent="0.2">
      <c r="A611" s="13">
        <v>59445</v>
      </c>
      <c r="B611" s="9">
        <f>8.7601 * CHOOSE(CONTROL!$C$32, $C$9, 100%, $E$9)</f>
        <v>8.7600999999999996</v>
      </c>
      <c r="C611" s="9">
        <f>8.7601 * CHOOSE(CONTROL!$C$32, $C$9, 100%, $E$9)</f>
        <v>8.7600999999999996</v>
      </c>
      <c r="D611" s="9">
        <f>8.7612 * CHOOSE(CONTROL!$C$32, $C$9, 100%, $E$9)</f>
        <v>8.7612000000000005</v>
      </c>
      <c r="E611" s="11">
        <f>9.7919 * CHOOSE(CONTROL!$C$32, $C$9, 100%, $E$9)</f>
        <v>9.7919</v>
      </c>
      <c r="F611" s="11">
        <f>9.7919 * CHOOSE(CONTROL!$C$32, $C$9, 100%, $E$9)</f>
        <v>9.7919</v>
      </c>
      <c r="G611" s="11">
        <f>9.7955 * CHOOSE(CONTROL!$C$32, $C$9, 100%, $E$9)</f>
        <v>9.7955000000000005</v>
      </c>
      <c r="H611" s="11">
        <f>19.1965 * CHOOSE(CONTROL!$C$32, $C$9, 100%, $E$9)</f>
        <v>19.1965</v>
      </c>
      <c r="I611" s="11">
        <f>19.2001 * CHOOSE(CONTROL!$C$32, $C$9, 100%, $E$9)</f>
        <v>19.200099999999999</v>
      </c>
      <c r="J611" s="11">
        <f>19.1965 * CHOOSE(CONTROL!$C$32, $C$9, 100%, $E$9)</f>
        <v>19.1965</v>
      </c>
      <c r="K611" s="11">
        <f>19.2001 * CHOOSE(CONTROL!$C$32, $C$9, 100%, $E$9)</f>
        <v>19.200099999999999</v>
      </c>
      <c r="L611" s="11">
        <f>9.7919 * CHOOSE(CONTROL!$C$32, $C$9, 100%, $E$9)</f>
        <v>9.7919</v>
      </c>
      <c r="M611" s="11">
        <f>9.7955 * CHOOSE(CONTROL!$C$32, $C$9, 100%, $E$9)</f>
        <v>9.7955000000000005</v>
      </c>
      <c r="N611" s="11">
        <f>9.7919 * CHOOSE(CONTROL!$C$32, $C$9, 100%, $E$9)</f>
        <v>9.7919</v>
      </c>
      <c r="O611" s="11">
        <f>9.7955 * CHOOSE(CONTROL!$C$32, $C$9, 100%, $E$9)</f>
        <v>9.7955000000000005</v>
      </c>
    </row>
    <row r="612" spans="1:15" ht="15" x14ac:dyDescent="0.2">
      <c r="A612" s="13">
        <v>59476</v>
      </c>
      <c r="B612" s="9">
        <f>8.7632 * CHOOSE(CONTROL!$C$32, $C$9, 100%, $E$9)</f>
        <v>8.7631999999999994</v>
      </c>
      <c r="C612" s="9">
        <f>8.7632 * CHOOSE(CONTROL!$C$32, $C$9, 100%, $E$9)</f>
        <v>8.7631999999999994</v>
      </c>
      <c r="D612" s="9">
        <f>8.7643 * CHOOSE(CONTROL!$C$32, $C$9, 100%, $E$9)</f>
        <v>8.7643000000000004</v>
      </c>
      <c r="E612" s="11">
        <f>9.8432 * CHOOSE(CONTROL!$C$32, $C$9, 100%, $E$9)</f>
        <v>9.8431999999999995</v>
      </c>
      <c r="F612" s="11">
        <f>9.8432 * CHOOSE(CONTROL!$C$32, $C$9, 100%, $E$9)</f>
        <v>9.8431999999999995</v>
      </c>
      <c r="G612" s="11">
        <f>9.8468 * CHOOSE(CONTROL!$C$32, $C$9, 100%, $E$9)</f>
        <v>9.8468</v>
      </c>
      <c r="H612" s="11">
        <f>19.2365 * CHOOSE(CONTROL!$C$32, $C$9, 100%, $E$9)</f>
        <v>19.236499999999999</v>
      </c>
      <c r="I612" s="11">
        <f>19.2401 * CHOOSE(CONTROL!$C$32, $C$9, 100%, $E$9)</f>
        <v>19.240100000000002</v>
      </c>
      <c r="J612" s="11">
        <f>19.2365 * CHOOSE(CONTROL!$C$32, $C$9, 100%, $E$9)</f>
        <v>19.236499999999999</v>
      </c>
      <c r="K612" s="11">
        <f>19.2401 * CHOOSE(CONTROL!$C$32, $C$9, 100%, $E$9)</f>
        <v>19.240100000000002</v>
      </c>
      <c r="L612" s="11">
        <f>9.8432 * CHOOSE(CONTROL!$C$32, $C$9, 100%, $E$9)</f>
        <v>9.8431999999999995</v>
      </c>
      <c r="M612" s="11">
        <f>9.8468 * CHOOSE(CONTROL!$C$32, $C$9, 100%, $E$9)</f>
        <v>9.8468</v>
      </c>
      <c r="N612" s="11">
        <f>9.8432 * CHOOSE(CONTROL!$C$32, $C$9, 100%, $E$9)</f>
        <v>9.8431999999999995</v>
      </c>
      <c r="O612" s="11">
        <f>9.8468 * CHOOSE(CONTROL!$C$32, $C$9, 100%, $E$9)</f>
        <v>9.8468</v>
      </c>
    </row>
    <row r="613" spans="1:15" ht="15" x14ac:dyDescent="0.2">
      <c r="A613" s="13">
        <v>59506</v>
      </c>
      <c r="B613" s="9">
        <f>8.7632 * CHOOSE(CONTROL!$C$32, $C$9, 100%, $E$9)</f>
        <v>8.7631999999999994</v>
      </c>
      <c r="C613" s="9">
        <f>8.7632 * CHOOSE(CONTROL!$C$32, $C$9, 100%, $E$9)</f>
        <v>8.7631999999999994</v>
      </c>
      <c r="D613" s="9">
        <f>8.7643 * CHOOSE(CONTROL!$C$32, $C$9, 100%, $E$9)</f>
        <v>8.7643000000000004</v>
      </c>
      <c r="E613" s="11">
        <f>9.7203 * CHOOSE(CONTROL!$C$32, $C$9, 100%, $E$9)</f>
        <v>9.7202999999999999</v>
      </c>
      <c r="F613" s="11">
        <f>9.7203 * CHOOSE(CONTROL!$C$32, $C$9, 100%, $E$9)</f>
        <v>9.7202999999999999</v>
      </c>
      <c r="G613" s="11">
        <f>9.7239 * CHOOSE(CONTROL!$C$32, $C$9, 100%, $E$9)</f>
        <v>9.7239000000000004</v>
      </c>
      <c r="H613" s="11">
        <f>19.2766 * CHOOSE(CONTROL!$C$32, $C$9, 100%, $E$9)</f>
        <v>19.276599999999998</v>
      </c>
      <c r="I613" s="11">
        <f>19.2802 * CHOOSE(CONTROL!$C$32, $C$9, 100%, $E$9)</f>
        <v>19.280200000000001</v>
      </c>
      <c r="J613" s="11">
        <f>19.2766 * CHOOSE(CONTROL!$C$32, $C$9, 100%, $E$9)</f>
        <v>19.276599999999998</v>
      </c>
      <c r="K613" s="11">
        <f>19.2802 * CHOOSE(CONTROL!$C$32, $C$9, 100%, $E$9)</f>
        <v>19.280200000000001</v>
      </c>
      <c r="L613" s="11">
        <f>9.7203 * CHOOSE(CONTROL!$C$32, $C$9, 100%, $E$9)</f>
        <v>9.7202999999999999</v>
      </c>
      <c r="M613" s="11">
        <f>9.7239 * CHOOSE(CONTROL!$C$32, $C$9, 100%, $E$9)</f>
        <v>9.7239000000000004</v>
      </c>
      <c r="N613" s="11">
        <f>9.7203 * CHOOSE(CONTROL!$C$32, $C$9, 100%, $E$9)</f>
        <v>9.7202999999999999</v>
      </c>
      <c r="O613" s="11">
        <f>9.7239 * CHOOSE(CONTROL!$C$32, $C$9, 100%, $E$9)</f>
        <v>9.7239000000000004</v>
      </c>
    </row>
    <row r="614" spans="1:15" ht="15" x14ac:dyDescent="0.2">
      <c r="A614" s="13">
        <v>59537</v>
      </c>
      <c r="B614" s="9">
        <f>8.8196 * CHOOSE(CONTROL!$C$32, $C$9, 100%, $E$9)</f>
        <v>8.8195999999999994</v>
      </c>
      <c r="C614" s="9">
        <f>8.8196 * CHOOSE(CONTROL!$C$32, $C$9, 100%, $E$9)</f>
        <v>8.8195999999999994</v>
      </c>
      <c r="D614" s="9">
        <f>8.8206 * CHOOSE(CONTROL!$C$32, $C$9, 100%, $E$9)</f>
        <v>8.8206000000000007</v>
      </c>
      <c r="E614" s="11">
        <f>9.883 * CHOOSE(CONTROL!$C$32, $C$9, 100%, $E$9)</f>
        <v>9.8829999999999991</v>
      </c>
      <c r="F614" s="11">
        <f>9.883 * CHOOSE(CONTROL!$C$32, $C$9, 100%, $E$9)</f>
        <v>9.8829999999999991</v>
      </c>
      <c r="G614" s="11">
        <f>9.8866 * CHOOSE(CONTROL!$C$32, $C$9, 100%, $E$9)</f>
        <v>9.8865999999999996</v>
      </c>
      <c r="H614" s="11">
        <f>19.2938 * CHOOSE(CONTROL!$C$32, $C$9, 100%, $E$9)</f>
        <v>19.293800000000001</v>
      </c>
      <c r="I614" s="11">
        <f>19.2974 * CHOOSE(CONTROL!$C$32, $C$9, 100%, $E$9)</f>
        <v>19.2974</v>
      </c>
      <c r="J614" s="11">
        <f>19.2938 * CHOOSE(CONTROL!$C$32, $C$9, 100%, $E$9)</f>
        <v>19.293800000000001</v>
      </c>
      <c r="K614" s="11">
        <f>19.2974 * CHOOSE(CONTROL!$C$32, $C$9, 100%, $E$9)</f>
        <v>19.2974</v>
      </c>
      <c r="L614" s="11">
        <f>9.883 * CHOOSE(CONTROL!$C$32, $C$9, 100%, $E$9)</f>
        <v>9.8829999999999991</v>
      </c>
      <c r="M614" s="11">
        <f>9.8866 * CHOOSE(CONTROL!$C$32, $C$9, 100%, $E$9)</f>
        <v>9.8865999999999996</v>
      </c>
      <c r="N614" s="11">
        <f>9.883 * CHOOSE(CONTROL!$C$32, $C$9, 100%, $E$9)</f>
        <v>9.8829999999999991</v>
      </c>
      <c r="O614" s="11">
        <f>9.8866 * CHOOSE(CONTROL!$C$32, $C$9, 100%, $E$9)</f>
        <v>9.8865999999999996</v>
      </c>
    </row>
    <row r="615" spans="1:15" ht="15" x14ac:dyDescent="0.2">
      <c r="A615" s="13">
        <v>59568</v>
      </c>
      <c r="B615" s="9">
        <f>8.8165 * CHOOSE(CONTROL!$C$32, $C$9, 100%, $E$9)</f>
        <v>8.8164999999999996</v>
      </c>
      <c r="C615" s="9">
        <f>8.8165 * CHOOSE(CONTROL!$C$32, $C$9, 100%, $E$9)</f>
        <v>8.8164999999999996</v>
      </c>
      <c r="D615" s="9">
        <f>8.8176 * CHOOSE(CONTROL!$C$32, $C$9, 100%, $E$9)</f>
        <v>8.8176000000000005</v>
      </c>
      <c r="E615" s="11">
        <f>9.6416 * CHOOSE(CONTROL!$C$32, $C$9, 100%, $E$9)</f>
        <v>9.6416000000000004</v>
      </c>
      <c r="F615" s="11">
        <f>9.6416 * CHOOSE(CONTROL!$C$32, $C$9, 100%, $E$9)</f>
        <v>9.6416000000000004</v>
      </c>
      <c r="G615" s="11">
        <f>9.6452 * CHOOSE(CONTROL!$C$32, $C$9, 100%, $E$9)</f>
        <v>9.6452000000000009</v>
      </c>
      <c r="H615" s="11">
        <f>19.334 * CHOOSE(CONTROL!$C$32, $C$9, 100%, $E$9)</f>
        <v>19.334</v>
      </c>
      <c r="I615" s="11">
        <f>19.3376 * CHOOSE(CONTROL!$C$32, $C$9, 100%, $E$9)</f>
        <v>19.337599999999998</v>
      </c>
      <c r="J615" s="11">
        <f>19.334 * CHOOSE(CONTROL!$C$32, $C$9, 100%, $E$9)</f>
        <v>19.334</v>
      </c>
      <c r="K615" s="11">
        <f>19.3376 * CHOOSE(CONTROL!$C$32, $C$9, 100%, $E$9)</f>
        <v>19.337599999999998</v>
      </c>
      <c r="L615" s="11">
        <f>9.6416 * CHOOSE(CONTROL!$C$32, $C$9, 100%, $E$9)</f>
        <v>9.6416000000000004</v>
      </c>
      <c r="M615" s="11">
        <f>9.6452 * CHOOSE(CONTROL!$C$32, $C$9, 100%, $E$9)</f>
        <v>9.6452000000000009</v>
      </c>
      <c r="N615" s="11">
        <f>9.6416 * CHOOSE(CONTROL!$C$32, $C$9, 100%, $E$9)</f>
        <v>9.6416000000000004</v>
      </c>
      <c r="O615" s="11">
        <f>9.6452 * CHOOSE(CONTROL!$C$32, $C$9, 100%, $E$9)</f>
        <v>9.6452000000000009</v>
      </c>
    </row>
    <row r="616" spans="1:15" ht="15" x14ac:dyDescent="0.2">
      <c r="A616" s="13">
        <v>59596</v>
      </c>
      <c r="B616" s="9">
        <f>8.8135 * CHOOSE(CONTROL!$C$32, $C$9, 100%, $E$9)</f>
        <v>8.8134999999999994</v>
      </c>
      <c r="C616" s="9">
        <f>8.8135 * CHOOSE(CONTROL!$C$32, $C$9, 100%, $E$9)</f>
        <v>8.8134999999999994</v>
      </c>
      <c r="D616" s="9">
        <f>8.8146 * CHOOSE(CONTROL!$C$32, $C$9, 100%, $E$9)</f>
        <v>8.8146000000000004</v>
      </c>
      <c r="E616" s="11">
        <f>9.8281 * CHOOSE(CONTROL!$C$32, $C$9, 100%, $E$9)</f>
        <v>9.8280999999999992</v>
      </c>
      <c r="F616" s="11">
        <f>9.8281 * CHOOSE(CONTROL!$C$32, $C$9, 100%, $E$9)</f>
        <v>9.8280999999999992</v>
      </c>
      <c r="G616" s="11">
        <f>9.8317 * CHOOSE(CONTROL!$C$32, $C$9, 100%, $E$9)</f>
        <v>9.8316999999999997</v>
      </c>
      <c r="H616" s="11">
        <f>19.3743 * CHOOSE(CONTROL!$C$32, $C$9, 100%, $E$9)</f>
        <v>19.374300000000002</v>
      </c>
      <c r="I616" s="11">
        <f>19.3779 * CHOOSE(CONTROL!$C$32, $C$9, 100%, $E$9)</f>
        <v>19.3779</v>
      </c>
      <c r="J616" s="11">
        <f>19.3743 * CHOOSE(CONTROL!$C$32, $C$9, 100%, $E$9)</f>
        <v>19.374300000000002</v>
      </c>
      <c r="K616" s="11">
        <f>19.3779 * CHOOSE(CONTROL!$C$32, $C$9, 100%, $E$9)</f>
        <v>19.3779</v>
      </c>
      <c r="L616" s="11">
        <f>9.8281 * CHOOSE(CONTROL!$C$32, $C$9, 100%, $E$9)</f>
        <v>9.8280999999999992</v>
      </c>
      <c r="M616" s="11">
        <f>9.8317 * CHOOSE(CONTROL!$C$32, $C$9, 100%, $E$9)</f>
        <v>9.8316999999999997</v>
      </c>
      <c r="N616" s="11">
        <f>9.8281 * CHOOSE(CONTROL!$C$32, $C$9, 100%, $E$9)</f>
        <v>9.8280999999999992</v>
      </c>
      <c r="O616" s="11">
        <f>9.8317 * CHOOSE(CONTROL!$C$32, $C$9, 100%, $E$9)</f>
        <v>9.8316999999999997</v>
      </c>
    </row>
    <row r="617" spans="1:15" ht="15" x14ac:dyDescent="0.2">
      <c r="A617" s="13">
        <v>59627</v>
      </c>
      <c r="B617" s="9">
        <f>8.8158 * CHOOSE(CONTROL!$C$32, $C$9, 100%, $E$9)</f>
        <v>8.8157999999999994</v>
      </c>
      <c r="C617" s="9">
        <f>8.8158 * CHOOSE(CONTROL!$C$32, $C$9, 100%, $E$9)</f>
        <v>8.8157999999999994</v>
      </c>
      <c r="D617" s="9">
        <f>8.8169 * CHOOSE(CONTROL!$C$32, $C$9, 100%, $E$9)</f>
        <v>8.8169000000000004</v>
      </c>
      <c r="E617" s="11">
        <f>10.0265 * CHOOSE(CONTROL!$C$32, $C$9, 100%, $E$9)</f>
        <v>10.0265</v>
      </c>
      <c r="F617" s="11">
        <f>10.0265 * CHOOSE(CONTROL!$C$32, $C$9, 100%, $E$9)</f>
        <v>10.0265</v>
      </c>
      <c r="G617" s="11">
        <f>10.0301 * CHOOSE(CONTROL!$C$32, $C$9, 100%, $E$9)</f>
        <v>10.030099999999999</v>
      </c>
      <c r="H617" s="11">
        <f>19.4146 * CHOOSE(CONTROL!$C$32, $C$9, 100%, $E$9)</f>
        <v>19.4146</v>
      </c>
      <c r="I617" s="11">
        <f>19.4182 * CHOOSE(CONTROL!$C$32, $C$9, 100%, $E$9)</f>
        <v>19.418199999999999</v>
      </c>
      <c r="J617" s="11">
        <f>19.4146 * CHOOSE(CONTROL!$C$32, $C$9, 100%, $E$9)</f>
        <v>19.4146</v>
      </c>
      <c r="K617" s="11">
        <f>19.4182 * CHOOSE(CONTROL!$C$32, $C$9, 100%, $E$9)</f>
        <v>19.418199999999999</v>
      </c>
      <c r="L617" s="11">
        <f>10.0265 * CHOOSE(CONTROL!$C$32, $C$9, 100%, $E$9)</f>
        <v>10.0265</v>
      </c>
      <c r="M617" s="11">
        <f>10.0301 * CHOOSE(CONTROL!$C$32, $C$9, 100%, $E$9)</f>
        <v>10.030099999999999</v>
      </c>
      <c r="N617" s="11">
        <f>10.0265 * CHOOSE(CONTROL!$C$32, $C$9, 100%, $E$9)</f>
        <v>10.0265</v>
      </c>
      <c r="O617" s="11">
        <f>10.0301 * CHOOSE(CONTROL!$C$32, $C$9, 100%, $E$9)</f>
        <v>10.030099999999999</v>
      </c>
    </row>
    <row r="618" spans="1:15" ht="15" x14ac:dyDescent="0.2">
      <c r="A618" s="13">
        <v>59657</v>
      </c>
      <c r="B618" s="9">
        <f>8.8158 * CHOOSE(CONTROL!$C$32, $C$9, 100%, $E$9)</f>
        <v>8.8157999999999994</v>
      </c>
      <c r="C618" s="9">
        <f>8.8158 * CHOOSE(CONTROL!$C$32, $C$9, 100%, $E$9)</f>
        <v>8.8157999999999994</v>
      </c>
      <c r="D618" s="9">
        <f>8.8174 * CHOOSE(CONTROL!$C$32, $C$9, 100%, $E$9)</f>
        <v>8.8173999999999992</v>
      </c>
      <c r="E618" s="11">
        <f>10.1024 * CHOOSE(CONTROL!$C$32, $C$9, 100%, $E$9)</f>
        <v>10.102399999999999</v>
      </c>
      <c r="F618" s="11">
        <f>10.1024 * CHOOSE(CONTROL!$C$32, $C$9, 100%, $E$9)</f>
        <v>10.102399999999999</v>
      </c>
      <c r="G618" s="11">
        <f>10.1077 * CHOOSE(CONTROL!$C$32, $C$9, 100%, $E$9)</f>
        <v>10.107699999999999</v>
      </c>
      <c r="H618" s="11">
        <f>19.4551 * CHOOSE(CONTROL!$C$32, $C$9, 100%, $E$9)</f>
        <v>19.455100000000002</v>
      </c>
      <c r="I618" s="11">
        <f>19.4604 * CHOOSE(CONTROL!$C$32, $C$9, 100%, $E$9)</f>
        <v>19.4604</v>
      </c>
      <c r="J618" s="11">
        <f>19.4551 * CHOOSE(CONTROL!$C$32, $C$9, 100%, $E$9)</f>
        <v>19.455100000000002</v>
      </c>
      <c r="K618" s="11">
        <f>19.4604 * CHOOSE(CONTROL!$C$32, $C$9, 100%, $E$9)</f>
        <v>19.4604</v>
      </c>
      <c r="L618" s="11">
        <f>10.1024 * CHOOSE(CONTROL!$C$32, $C$9, 100%, $E$9)</f>
        <v>10.102399999999999</v>
      </c>
      <c r="M618" s="11">
        <f>10.1077 * CHOOSE(CONTROL!$C$32, $C$9, 100%, $E$9)</f>
        <v>10.107699999999999</v>
      </c>
      <c r="N618" s="11">
        <f>10.1024 * CHOOSE(CONTROL!$C$32, $C$9, 100%, $E$9)</f>
        <v>10.102399999999999</v>
      </c>
      <c r="O618" s="11">
        <f>10.1077 * CHOOSE(CONTROL!$C$32, $C$9, 100%, $E$9)</f>
        <v>10.107699999999999</v>
      </c>
    </row>
    <row r="619" spans="1:15" ht="15" x14ac:dyDescent="0.2">
      <c r="A619" s="13">
        <v>59688</v>
      </c>
      <c r="B619" s="9">
        <f>8.8219 * CHOOSE(CONTROL!$C$32, $C$9, 100%, $E$9)</f>
        <v>8.8218999999999994</v>
      </c>
      <c r="C619" s="9">
        <f>8.8219 * CHOOSE(CONTROL!$C$32, $C$9, 100%, $E$9)</f>
        <v>8.8218999999999994</v>
      </c>
      <c r="D619" s="9">
        <f>8.8235 * CHOOSE(CONTROL!$C$32, $C$9, 100%, $E$9)</f>
        <v>8.8234999999999992</v>
      </c>
      <c r="E619" s="11">
        <f>10.0307 * CHOOSE(CONTROL!$C$32, $C$9, 100%, $E$9)</f>
        <v>10.0307</v>
      </c>
      <c r="F619" s="11">
        <f>10.0307 * CHOOSE(CONTROL!$C$32, $C$9, 100%, $E$9)</f>
        <v>10.0307</v>
      </c>
      <c r="G619" s="11">
        <f>10.036 * CHOOSE(CONTROL!$C$32, $C$9, 100%, $E$9)</f>
        <v>10.036</v>
      </c>
      <c r="H619" s="11">
        <f>19.4956 * CHOOSE(CONTROL!$C$32, $C$9, 100%, $E$9)</f>
        <v>19.4956</v>
      </c>
      <c r="I619" s="11">
        <f>19.5009 * CHOOSE(CONTROL!$C$32, $C$9, 100%, $E$9)</f>
        <v>19.500900000000001</v>
      </c>
      <c r="J619" s="11">
        <f>19.4956 * CHOOSE(CONTROL!$C$32, $C$9, 100%, $E$9)</f>
        <v>19.4956</v>
      </c>
      <c r="K619" s="11">
        <f>19.5009 * CHOOSE(CONTROL!$C$32, $C$9, 100%, $E$9)</f>
        <v>19.500900000000001</v>
      </c>
      <c r="L619" s="11">
        <f>10.0307 * CHOOSE(CONTROL!$C$32, $C$9, 100%, $E$9)</f>
        <v>10.0307</v>
      </c>
      <c r="M619" s="11">
        <f>10.036 * CHOOSE(CONTROL!$C$32, $C$9, 100%, $E$9)</f>
        <v>10.036</v>
      </c>
      <c r="N619" s="11">
        <f>10.0307 * CHOOSE(CONTROL!$C$32, $C$9, 100%, $E$9)</f>
        <v>10.0307</v>
      </c>
      <c r="O619" s="11">
        <f>10.036 * CHOOSE(CONTROL!$C$32, $C$9, 100%, $E$9)</f>
        <v>10.036</v>
      </c>
    </row>
    <row r="620" spans="1:15" ht="15" x14ac:dyDescent="0.2">
      <c r="A620" s="13">
        <v>59718</v>
      </c>
      <c r="B620" s="9">
        <f>8.9333 * CHOOSE(CONTROL!$C$32, $C$9, 100%, $E$9)</f>
        <v>8.9332999999999991</v>
      </c>
      <c r="C620" s="9">
        <f>8.9333 * CHOOSE(CONTROL!$C$32, $C$9, 100%, $E$9)</f>
        <v>8.9332999999999991</v>
      </c>
      <c r="D620" s="9">
        <f>8.9349 * CHOOSE(CONTROL!$C$32, $C$9, 100%, $E$9)</f>
        <v>8.9349000000000007</v>
      </c>
      <c r="E620" s="11">
        <f>10.1704 * CHOOSE(CONTROL!$C$32, $C$9, 100%, $E$9)</f>
        <v>10.170400000000001</v>
      </c>
      <c r="F620" s="11">
        <f>10.1704 * CHOOSE(CONTROL!$C$32, $C$9, 100%, $E$9)</f>
        <v>10.170400000000001</v>
      </c>
      <c r="G620" s="11">
        <f>10.1757 * CHOOSE(CONTROL!$C$32, $C$9, 100%, $E$9)</f>
        <v>10.175700000000001</v>
      </c>
      <c r="H620" s="11">
        <f>19.5362 * CHOOSE(CONTROL!$C$32, $C$9, 100%, $E$9)</f>
        <v>19.536200000000001</v>
      </c>
      <c r="I620" s="11">
        <f>19.5415 * CHOOSE(CONTROL!$C$32, $C$9, 100%, $E$9)</f>
        <v>19.541499999999999</v>
      </c>
      <c r="J620" s="11">
        <f>19.5362 * CHOOSE(CONTROL!$C$32, $C$9, 100%, $E$9)</f>
        <v>19.536200000000001</v>
      </c>
      <c r="K620" s="11">
        <f>19.5415 * CHOOSE(CONTROL!$C$32, $C$9, 100%, $E$9)</f>
        <v>19.541499999999999</v>
      </c>
      <c r="L620" s="11">
        <f>10.1704 * CHOOSE(CONTROL!$C$32, $C$9, 100%, $E$9)</f>
        <v>10.170400000000001</v>
      </c>
      <c r="M620" s="11">
        <f>10.1757 * CHOOSE(CONTROL!$C$32, $C$9, 100%, $E$9)</f>
        <v>10.175700000000001</v>
      </c>
      <c r="N620" s="11">
        <f>10.1704 * CHOOSE(CONTROL!$C$32, $C$9, 100%, $E$9)</f>
        <v>10.170400000000001</v>
      </c>
      <c r="O620" s="11">
        <f>10.1757 * CHOOSE(CONTROL!$C$32, $C$9, 100%, $E$9)</f>
        <v>10.175700000000001</v>
      </c>
    </row>
    <row r="621" spans="1:15" ht="15" x14ac:dyDescent="0.2">
      <c r="A621" s="13">
        <v>59749</v>
      </c>
      <c r="B621" s="9">
        <f>8.94 * CHOOSE(CONTROL!$C$32, $C$9, 100%, $E$9)</f>
        <v>8.94</v>
      </c>
      <c r="C621" s="9">
        <f>8.94 * CHOOSE(CONTROL!$C$32, $C$9, 100%, $E$9)</f>
        <v>8.94</v>
      </c>
      <c r="D621" s="9">
        <f>8.9416 * CHOOSE(CONTROL!$C$32, $C$9, 100%, $E$9)</f>
        <v>8.9415999999999993</v>
      </c>
      <c r="E621" s="11">
        <f>9.9471 * CHOOSE(CONTROL!$C$32, $C$9, 100%, $E$9)</f>
        <v>9.9471000000000007</v>
      </c>
      <c r="F621" s="11">
        <f>9.9471 * CHOOSE(CONTROL!$C$32, $C$9, 100%, $E$9)</f>
        <v>9.9471000000000007</v>
      </c>
      <c r="G621" s="11">
        <f>9.9524 * CHOOSE(CONTROL!$C$32, $C$9, 100%, $E$9)</f>
        <v>9.9524000000000008</v>
      </c>
      <c r="H621" s="11">
        <f>19.5769 * CHOOSE(CONTROL!$C$32, $C$9, 100%, $E$9)</f>
        <v>19.576899999999998</v>
      </c>
      <c r="I621" s="11">
        <f>19.5822 * CHOOSE(CONTROL!$C$32, $C$9, 100%, $E$9)</f>
        <v>19.5822</v>
      </c>
      <c r="J621" s="11">
        <f>19.5769 * CHOOSE(CONTROL!$C$32, $C$9, 100%, $E$9)</f>
        <v>19.576899999999998</v>
      </c>
      <c r="K621" s="11">
        <f>19.5822 * CHOOSE(CONTROL!$C$32, $C$9, 100%, $E$9)</f>
        <v>19.5822</v>
      </c>
      <c r="L621" s="11">
        <f>9.9471 * CHOOSE(CONTROL!$C$32, $C$9, 100%, $E$9)</f>
        <v>9.9471000000000007</v>
      </c>
      <c r="M621" s="11">
        <f>9.9524 * CHOOSE(CONTROL!$C$32, $C$9, 100%, $E$9)</f>
        <v>9.9524000000000008</v>
      </c>
      <c r="N621" s="11">
        <f>9.9471 * CHOOSE(CONTROL!$C$32, $C$9, 100%, $E$9)</f>
        <v>9.9471000000000007</v>
      </c>
      <c r="O621" s="11">
        <f>9.9524 * CHOOSE(CONTROL!$C$32, $C$9, 100%, $E$9)</f>
        <v>9.9524000000000008</v>
      </c>
    </row>
    <row r="622" spans="1:15" ht="15" x14ac:dyDescent="0.2">
      <c r="A622" s="13">
        <v>59780</v>
      </c>
      <c r="B622" s="9">
        <f>8.937 * CHOOSE(CONTROL!$C$32, $C$9, 100%, $E$9)</f>
        <v>8.9369999999999994</v>
      </c>
      <c r="C622" s="9">
        <f>8.937 * CHOOSE(CONTROL!$C$32, $C$9, 100%, $E$9)</f>
        <v>8.9369999999999994</v>
      </c>
      <c r="D622" s="9">
        <f>8.9386 * CHOOSE(CONTROL!$C$32, $C$9, 100%, $E$9)</f>
        <v>8.9385999999999992</v>
      </c>
      <c r="E622" s="11">
        <f>9.9197 * CHOOSE(CONTROL!$C$32, $C$9, 100%, $E$9)</f>
        <v>9.9197000000000006</v>
      </c>
      <c r="F622" s="11">
        <f>9.9197 * CHOOSE(CONTROL!$C$32, $C$9, 100%, $E$9)</f>
        <v>9.9197000000000006</v>
      </c>
      <c r="G622" s="11">
        <f>9.925 * CHOOSE(CONTROL!$C$32, $C$9, 100%, $E$9)</f>
        <v>9.9250000000000007</v>
      </c>
      <c r="H622" s="11">
        <f>19.6177 * CHOOSE(CONTROL!$C$32, $C$9, 100%, $E$9)</f>
        <v>19.617699999999999</v>
      </c>
      <c r="I622" s="11">
        <f>19.623 * CHOOSE(CONTROL!$C$32, $C$9, 100%, $E$9)</f>
        <v>19.623000000000001</v>
      </c>
      <c r="J622" s="11">
        <f>19.6177 * CHOOSE(CONTROL!$C$32, $C$9, 100%, $E$9)</f>
        <v>19.617699999999999</v>
      </c>
      <c r="K622" s="11">
        <f>19.623 * CHOOSE(CONTROL!$C$32, $C$9, 100%, $E$9)</f>
        <v>19.623000000000001</v>
      </c>
      <c r="L622" s="11">
        <f>9.9197 * CHOOSE(CONTROL!$C$32, $C$9, 100%, $E$9)</f>
        <v>9.9197000000000006</v>
      </c>
      <c r="M622" s="11">
        <f>9.925 * CHOOSE(CONTROL!$C$32, $C$9, 100%, $E$9)</f>
        <v>9.9250000000000007</v>
      </c>
      <c r="N622" s="11">
        <f>9.9197 * CHOOSE(CONTROL!$C$32, $C$9, 100%, $E$9)</f>
        <v>9.9197000000000006</v>
      </c>
      <c r="O622" s="11">
        <f>9.925 * CHOOSE(CONTROL!$C$32, $C$9, 100%, $E$9)</f>
        <v>9.9250000000000007</v>
      </c>
    </row>
    <row r="623" spans="1:15" ht="15" x14ac:dyDescent="0.2">
      <c r="A623" s="13">
        <v>59810</v>
      </c>
      <c r="B623" s="9">
        <f>8.9505 * CHOOSE(CONTROL!$C$32, $C$9, 100%, $E$9)</f>
        <v>8.9504999999999999</v>
      </c>
      <c r="C623" s="9">
        <f>8.9505 * CHOOSE(CONTROL!$C$32, $C$9, 100%, $E$9)</f>
        <v>8.9504999999999999</v>
      </c>
      <c r="D623" s="9">
        <f>8.9515 * CHOOSE(CONTROL!$C$32, $C$9, 100%, $E$9)</f>
        <v>8.9514999999999993</v>
      </c>
      <c r="E623" s="11">
        <f>10.0076 * CHOOSE(CONTROL!$C$32, $C$9, 100%, $E$9)</f>
        <v>10.0076</v>
      </c>
      <c r="F623" s="11">
        <f>10.0076 * CHOOSE(CONTROL!$C$32, $C$9, 100%, $E$9)</f>
        <v>10.0076</v>
      </c>
      <c r="G623" s="11">
        <f>10.0112 * CHOOSE(CONTROL!$C$32, $C$9, 100%, $E$9)</f>
        <v>10.011200000000001</v>
      </c>
      <c r="H623" s="11">
        <f>19.6586 * CHOOSE(CONTROL!$C$32, $C$9, 100%, $E$9)</f>
        <v>19.6586</v>
      </c>
      <c r="I623" s="11">
        <f>19.6622 * CHOOSE(CONTROL!$C$32, $C$9, 100%, $E$9)</f>
        <v>19.662199999999999</v>
      </c>
      <c r="J623" s="11">
        <f>19.6586 * CHOOSE(CONTROL!$C$32, $C$9, 100%, $E$9)</f>
        <v>19.6586</v>
      </c>
      <c r="K623" s="11">
        <f>19.6622 * CHOOSE(CONTROL!$C$32, $C$9, 100%, $E$9)</f>
        <v>19.662199999999999</v>
      </c>
      <c r="L623" s="11">
        <f>10.0076 * CHOOSE(CONTROL!$C$32, $C$9, 100%, $E$9)</f>
        <v>10.0076</v>
      </c>
      <c r="M623" s="11">
        <f>10.0112 * CHOOSE(CONTROL!$C$32, $C$9, 100%, $E$9)</f>
        <v>10.011200000000001</v>
      </c>
      <c r="N623" s="11">
        <f>10.0076 * CHOOSE(CONTROL!$C$32, $C$9, 100%, $E$9)</f>
        <v>10.0076</v>
      </c>
      <c r="O623" s="11">
        <f>10.0112 * CHOOSE(CONTROL!$C$32, $C$9, 100%, $E$9)</f>
        <v>10.011200000000001</v>
      </c>
    </row>
    <row r="624" spans="1:15" ht="15" x14ac:dyDescent="0.2">
      <c r="A624" s="13">
        <v>59841</v>
      </c>
      <c r="B624" s="9">
        <f>8.9535 * CHOOSE(CONTROL!$C$32, $C$9, 100%, $E$9)</f>
        <v>8.9535</v>
      </c>
      <c r="C624" s="9">
        <f>8.9535 * CHOOSE(CONTROL!$C$32, $C$9, 100%, $E$9)</f>
        <v>8.9535</v>
      </c>
      <c r="D624" s="9">
        <f>8.9546 * CHOOSE(CONTROL!$C$32, $C$9, 100%, $E$9)</f>
        <v>8.9545999999999992</v>
      </c>
      <c r="E624" s="11">
        <f>10.0603 * CHOOSE(CONTROL!$C$32, $C$9, 100%, $E$9)</f>
        <v>10.0603</v>
      </c>
      <c r="F624" s="11">
        <f>10.0603 * CHOOSE(CONTROL!$C$32, $C$9, 100%, $E$9)</f>
        <v>10.0603</v>
      </c>
      <c r="G624" s="11">
        <f>10.064 * CHOOSE(CONTROL!$C$32, $C$9, 100%, $E$9)</f>
        <v>10.064</v>
      </c>
      <c r="H624" s="11">
        <f>19.6995 * CHOOSE(CONTROL!$C$32, $C$9, 100%, $E$9)</f>
        <v>19.6995</v>
      </c>
      <c r="I624" s="11">
        <f>19.7031 * CHOOSE(CONTROL!$C$32, $C$9, 100%, $E$9)</f>
        <v>19.703099999999999</v>
      </c>
      <c r="J624" s="11">
        <f>19.6995 * CHOOSE(CONTROL!$C$32, $C$9, 100%, $E$9)</f>
        <v>19.6995</v>
      </c>
      <c r="K624" s="11">
        <f>19.7031 * CHOOSE(CONTROL!$C$32, $C$9, 100%, $E$9)</f>
        <v>19.703099999999999</v>
      </c>
      <c r="L624" s="11">
        <f>10.0603 * CHOOSE(CONTROL!$C$32, $C$9, 100%, $E$9)</f>
        <v>10.0603</v>
      </c>
      <c r="M624" s="11">
        <f>10.064 * CHOOSE(CONTROL!$C$32, $C$9, 100%, $E$9)</f>
        <v>10.064</v>
      </c>
      <c r="N624" s="11">
        <f>10.0603 * CHOOSE(CONTROL!$C$32, $C$9, 100%, $E$9)</f>
        <v>10.0603</v>
      </c>
      <c r="O624" s="11">
        <f>10.064 * CHOOSE(CONTROL!$C$32, $C$9, 100%, $E$9)</f>
        <v>10.064</v>
      </c>
    </row>
    <row r="625" spans="1:15" ht="15" x14ac:dyDescent="0.2">
      <c r="A625" s="13">
        <v>59871</v>
      </c>
      <c r="B625" s="9">
        <f>8.9535 * CHOOSE(CONTROL!$C$32, $C$9, 100%, $E$9)</f>
        <v>8.9535</v>
      </c>
      <c r="C625" s="9">
        <f>8.9535 * CHOOSE(CONTROL!$C$32, $C$9, 100%, $E$9)</f>
        <v>8.9535</v>
      </c>
      <c r="D625" s="9">
        <f>8.9546 * CHOOSE(CONTROL!$C$32, $C$9, 100%, $E$9)</f>
        <v>8.9545999999999992</v>
      </c>
      <c r="E625" s="11">
        <f>9.9337 * CHOOSE(CONTROL!$C$32, $C$9, 100%, $E$9)</f>
        <v>9.9337</v>
      </c>
      <c r="F625" s="11">
        <f>9.9337 * CHOOSE(CONTROL!$C$32, $C$9, 100%, $E$9)</f>
        <v>9.9337</v>
      </c>
      <c r="G625" s="11">
        <f>9.9373 * CHOOSE(CONTROL!$C$32, $C$9, 100%, $E$9)</f>
        <v>9.9373000000000005</v>
      </c>
      <c r="H625" s="11">
        <f>19.7406 * CHOOSE(CONTROL!$C$32, $C$9, 100%, $E$9)</f>
        <v>19.740600000000001</v>
      </c>
      <c r="I625" s="11">
        <f>19.7442 * CHOOSE(CONTROL!$C$32, $C$9, 100%, $E$9)</f>
        <v>19.744199999999999</v>
      </c>
      <c r="J625" s="11">
        <f>19.7406 * CHOOSE(CONTROL!$C$32, $C$9, 100%, $E$9)</f>
        <v>19.740600000000001</v>
      </c>
      <c r="K625" s="11">
        <f>19.7442 * CHOOSE(CONTROL!$C$32, $C$9, 100%, $E$9)</f>
        <v>19.744199999999999</v>
      </c>
      <c r="L625" s="11">
        <f>9.9337 * CHOOSE(CONTROL!$C$32, $C$9, 100%, $E$9)</f>
        <v>9.9337</v>
      </c>
      <c r="M625" s="11">
        <f>9.9373 * CHOOSE(CONTROL!$C$32, $C$9, 100%, $E$9)</f>
        <v>9.9373000000000005</v>
      </c>
      <c r="N625" s="11">
        <f>9.9337 * CHOOSE(CONTROL!$C$32, $C$9, 100%, $E$9)</f>
        <v>9.9337</v>
      </c>
      <c r="O625" s="11">
        <f>9.9373 * CHOOSE(CONTROL!$C$32, $C$9, 100%, $E$9)</f>
        <v>9.9373000000000005</v>
      </c>
    </row>
    <row r="626" spans="1:15" ht="15" x14ac:dyDescent="0.2">
      <c r="A626" s="13">
        <v>59902</v>
      </c>
      <c r="B626" s="9">
        <f>9.0069 * CHOOSE(CONTROL!$C$32, $C$9, 100%, $E$9)</f>
        <v>9.0068999999999999</v>
      </c>
      <c r="C626" s="9">
        <f>9.0069 * CHOOSE(CONTROL!$C$32, $C$9, 100%, $E$9)</f>
        <v>9.0068999999999999</v>
      </c>
      <c r="D626" s="9">
        <f>9.008 * CHOOSE(CONTROL!$C$32, $C$9, 100%, $E$9)</f>
        <v>9.0079999999999991</v>
      </c>
      <c r="E626" s="11">
        <f>10.0955 * CHOOSE(CONTROL!$C$32, $C$9, 100%, $E$9)</f>
        <v>10.095499999999999</v>
      </c>
      <c r="F626" s="11">
        <f>10.0955 * CHOOSE(CONTROL!$C$32, $C$9, 100%, $E$9)</f>
        <v>10.095499999999999</v>
      </c>
      <c r="G626" s="11">
        <f>10.0991 * CHOOSE(CONTROL!$C$32, $C$9, 100%, $E$9)</f>
        <v>10.0991</v>
      </c>
      <c r="H626" s="11">
        <f>19.7473 * CHOOSE(CONTROL!$C$32, $C$9, 100%, $E$9)</f>
        <v>19.747299999999999</v>
      </c>
      <c r="I626" s="11">
        <f>19.7509 * CHOOSE(CONTROL!$C$32, $C$9, 100%, $E$9)</f>
        <v>19.750900000000001</v>
      </c>
      <c r="J626" s="11">
        <f>19.7473 * CHOOSE(CONTROL!$C$32, $C$9, 100%, $E$9)</f>
        <v>19.747299999999999</v>
      </c>
      <c r="K626" s="11">
        <f>19.7509 * CHOOSE(CONTROL!$C$32, $C$9, 100%, $E$9)</f>
        <v>19.750900000000001</v>
      </c>
      <c r="L626" s="11">
        <f>10.0955 * CHOOSE(CONTROL!$C$32, $C$9, 100%, $E$9)</f>
        <v>10.095499999999999</v>
      </c>
      <c r="M626" s="11">
        <f>10.0991 * CHOOSE(CONTROL!$C$32, $C$9, 100%, $E$9)</f>
        <v>10.0991</v>
      </c>
      <c r="N626" s="11">
        <f>10.0955 * CHOOSE(CONTROL!$C$32, $C$9, 100%, $E$9)</f>
        <v>10.095499999999999</v>
      </c>
      <c r="O626" s="11">
        <f>10.0991 * CHOOSE(CONTROL!$C$32, $C$9, 100%, $E$9)</f>
        <v>10.0991</v>
      </c>
    </row>
    <row r="627" spans="1:15" ht="15" x14ac:dyDescent="0.2">
      <c r="A627" s="13">
        <v>59933</v>
      </c>
      <c r="B627" s="9">
        <f>9.0039 * CHOOSE(CONTROL!$C$32, $C$9, 100%, $E$9)</f>
        <v>9.0038999999999998</v>
      </c>
      <c r="C627" s="9">
        <f>9.0039 * CHOOSE(CONTROL!$C$32, $C$9, 100%, $E$9)</f>
        <v>9.0038999999999998</v>
      </c>
      <c r="D627" s="9">
        <f>9.005 * CHOOSE(CONTROL!$C$32, $C$9, 100%, $E$9)</f>
        <v>9.0050000000000008</v>
      </c>
      <c r="E627" s="11">
        <f>9.847 * CHOOSE(CONTROL!$C$32, $C$9, 100%, $E$9)</f>
        <v>9.8469999999999995</v>
      </c>
      <c r="F627" s="11">
        <f>9.847 * CHOOSE(CONTROL!$C$32, $C$9, 100%, $E$9)</f>
        <v>9.8469999999999995</v>
      </c>
      <c r="G627" s="11">
        <f>9.8506 * CHOOSE(CONTROL!$C$32, $C$9, 100%, $E$9)</f>
        <v>9.8506</v>
      </c>
      <c r="H627" s="11">
        <f>19.7884 * CHOOSE(CONTROL!$C$32, $C$9, 100%, $E$9)</f>
        <v>19.788399999999999</v>
      </c>
      <c r="I627" s="11">
        <f>19.792 * CHOOSE(CONTROL!$C$32, $C$9, 100%, $E$9)</f>
        <v>19.792000000000002</v>
      </c>
      <c r="J627" s="11">
        <f>19.7884 * CHOOSE(CONTROL!$C$32, $C$9, 100%, $E$9)</f>
        <v>19.788399999999999</v>
      </c>
      <c r="K627" s="11">
        <f>19.792 * CHOOSE(CONTROL!$C$32, $C$9, 100%, $E$9)</f>
        <v>19.792000000000002</v>
      </c>
      <c r="L627" s="11">
        <f>9.847 * CHOOSE(CONTROL!$C$32, $C$9, 100%, $E$9)</f>
        <v>9.8469999999999995</v>
      </c>
      <c r="M627" s="11">
        <f>9.8506 * CHOOSE(CONTROL!$C$32, $C$9, 100%, $E$9)</f>
        <v>9.8506</v>
      </c>
      <c r="N627" s="11">
        <f>9.847 * CHOOSE(CONTROL!$C$32, $C$9, 100%, $E$9)</f>
        <v>9.8469999999999995</v>
      </c>
      <c r="O627" s="11">
        <f>9.8506 * CHOOSE(CONTROL!$C$32, $C$9, 100%, $E$9)</f>
        <v>9.8506</v>
      </c>
    </row>
    <row r="628" spans="1:15" ht="15" x14ac:dyDescent="0.2">
      <c r="A628" s="13">
        <v>59962</v>
      </c>
      <c r="B628" s="9">
        <f>9.0008 * CHOOSE(CONTROL!$C$32, $C$9, 100%, $E$9)</f>
        <v>9.0007999999999999</v>
      </c>
      <c r="C628" s="9">
        <f>9.0008 * CHOOSE(CONTROL!$C$32, $C$9, 100%, $E$9)</f>
        <v>9.0007999999999999</v>
      </c>
      <c r="D628" s="9">
        <f>9.0019 * CHOOSE(CONTROL!$C$32, $C$9, 100%, $E$9)</f>
        <v>9.0018999999999991</v>
      </c>
      <c r="E628" s="11">
        <f>10.0391 * CHOOSE(CONTROL!$C$32, $C$9, 100%, $E$9)</f>
        <v>10.039099999999999</v>
      </c>
      <c r="F628" s="11">
        <f>10.0391 * CHOOSE(CONTROL!$C$32, $C$9, 100%, $E$9)</f>
        <v>10.039099999999999</v>
      </c>
      <c r="G628" s="11">
        <f>10.0427 * CHOOSE(CONTROL!$C$32, $C$9, 100%, $E$9)</f>
        <v>10.0427</v>
      </c>
      <c r="H628" s="11">
        <f>19.8297 * CHOOSE(CONTROL!$C$32, $C$9, 100%, $E$9)</f>
        <v>19.829699999999999</v>
      </c>
      <c r="I628" s="11">
        <f>19.8333 * CHOOSE(CONTROL!$C$32, $C$9, 100%, $E$9)</f>
        <v>19.833300000000001</v>
      </c>
      <c r="J628" s="11">
        <f>19.8297 * CHOOSE(CONTROL!$C$32, $C$9, 100%, $E$9)</f>
        <v>19.829699999999999</v>
      </c>
      <c r="K628" s="11">
        <f>19.8333 * CHOOSE(CONTROL!$C$32, $C$9, 100%, $E$9)</f>
        <v>19.833300000000001</v>
      </c>
      <c r="L628" s="11">
        <f>10.0391 * CHOOSE(CONTROL!$C$32, $C$9, 100%, $E$9)</f>
        <v>10.039099999999999</v>
      </c>
      <c r="M628" s="11">
        <f>10.0427 * CHOOSE(CONTROL!$C$32, $C$9, 100%, $E$9)</f>
        <v>10.0427</v>
      </c>
      <c r="N628" s="11">
        <f>10.0391 * CHOOSE(CONTROL!$C$32, $C$9, 100%, $E$9)</f>
        <v>10.039099999999999</v>
      </c>
      <c r="O628" s="11">
        <f>10.0427 * CHOOSE(CONTROL!$C$32, $C$9, 100%, $E$9)</f>
        <v>10.0427</v>
      </c>
    </row>
    <row r="629" spans="1:15" ht="15" x14ac:dyDescent="0.2">
      <c r="A629" s="13">
        <v>59993</v>
      </c>
      <c r="B629" s="9">
        <f>9.0033 * CHOOSE(CONTROL!$C$32, $C$9, 100%, $E$9)</f>
        <v>9.0032999999999994</v>
      </c>
      <c r="C629" s="9">
        <f>9.0033 * CHOOSE(CONTROL!$C$32, $C$9, 100%, $E$9)</f>
        <v>9.0032999999999994</v>
      </c>
      <c r="D629" s="9">
        <f>9.0044 * CHOOSE(CONTROL!$C$32, $C$9, 100%, $E$9)</f>
        <v>9.0044000000000004</v>
      </c>
      <c r="E629" s="11">
        <f>10.2435 * CHOOSE(CONTROL!$C$32, $C$9, 100%, $E$9)</f>
        <v>10.243499999999999</v>
      </c>
      <c r="F629" s="11">
        <f>10.2435 * CHOOSE(CONTROL!$C$32, $C$9, 100%, $E$9)</f>
        <v>10.243499999999999</v>
      </c>
      <c r="G629" s="11">
        <f>10.2471 * CHOOSE(CONTROL!$C$32, $C$9, 100%, $E$9)</f>
        <v>10.2471</v>
      </c>
      <c r="H629" s="11">
        <f>19.871 * CHOOSE(CONTROL!$C$32, $C$9, 100%, $E$9)</f>
        <v>19.870999999999999</v>
      </c>
      <c r="I629" s="11">
        <f>19.8746 * CHOOSE(CONTROL!$C$32, $C$9, 100%, $E$9)</f>
        <v>19.874600000000001</v>
      </c>
      <c r="J629" s="11">
        <f>19.871 * CHOOSE(CONTROL!$C$32, $C$9, 100%, $E$9)</f>
        <v>19.870999999999999</v>
      </c>
      <c r="K629" s="11">
        <f>19.8746 * CHOOSE(CONTROL!$C$32, $C$9, 100%, $E$9)</f>
        <v>19.874600000000001</v>
      </c>
      <c r="L629" s="11">
        <f>10.2435 * CHOOSE(CONTROL!$C$32, $C$9, 100%, $E$9)</f>
        <v>10.243499999999999</v>
      </c>
      <c r="M629" s="11">
        <f>10.2471 * CHOOSE(CONTROL!$C$32, $C$9, 100%, $E$9)</f>
        <v>10.2471</v>
      </c>
      <c r="N629" s="11">
        <f>10.2435 * CHOOSE(CONTROL!$C$32, $C$9, 100%, $E$9)</f>
        <v>10.243499999999999</v>
      </c>
      <c r="O629" s="11">
        <f>10.2471 * CHOOSE(CONTROL!$C$32, $C$9, 100%, $E$9)</f>
        <v>10.2471</v>
      </c>
    </row>
    <row r="630" spans="1:15" ht="15" x14ac:dyDescent="0.2">
      <c r="A630" s="13">
        <v>60023</v>
      </c>
      <c r="B630" s="9">
        <f>9.0033 * CHOOSE(CONTROL!$C$32, $C$9, 100%, $E$9)</f>
        <v>9.0032999999999994</v>
      </c>
      <c r="C630" s="9">
        <f>9.0033 * CHOOSE(CONTROL!$C$32, $C$9, 100%, $E$9)</f>
        <v>9.0032999999999994</v>
      </c>
      <c r="D630" s="9">
        <f>9.0049 * CHOOSE(CONTROL!$C$32, $C$9, 100%, $E$9)</f>
        <v>9.0048999999999992</v>
      </c>
      <c r="E630" s="11">
        <f>10.3217 * CHOOSE(CONTROL!$C$32, $C$9, 100%, $E$9)</f>
        <v>10.3217</v>
      </c>
      <c r="F630" s="11">
        <f>10.3217 * CHOOSE(CONTROL!$C$32, $C$9, 100%, $E$9)</f>
        <v>10.3217</v>
      </c>
      <c r="G630" s="11">
        <f>10.327 * CHOOSE(CONTROL!$C$32, $C$9, 100%, $E$9)</f>
        <v>10.327</v>
      </c>
      <c r="H630" s="11">
        <f>19.9124 * CHOOSE(CONTROL!$C$32, $C$9, 100%, $E$9)</f>
        <v>19.912400000000002</v>
      </c>
      <c r="I630" s="11">
        <f>19.9177 * CHOOSE(CONTROL!$C$32, $C$9, 100%, $E$9)</f>
        <v>19.9177</v>
      </c>
      <c r="J630" s="11">
        <f>19.9124 * CHOOSE(CONTROL!$C$32, $C$9, 100%, $E$9)</f>
        <v>19.912400000000002</v>
      </c>
      <c r="K630" s="11">
        <f>19.9177 * CHOOSE(CONTROL!$C$32, $C$9, 100%, $E$9)</f>
        <v>19.9177</v>
      </c>
      <c r="L630" s="11">
        <f>10.3217 * CHOOSE(CONTROL!$C$32, $C$9, 100%, $E$9)</f>
        <v>10.3217</v>
      </c>
      <c r="M630" s="11">
        <f>10.327 * CHOOSE(CONTROL!$C$32, $C$9, 100%, $E$9)</f>
        <v>10.327</v>
      </c>
      <c r="N630" s="11">
        <f>10.3217 * CHOOSE(CONTROL!$C$32, $C$9, 100%, $E$9)</f>
        <v>10.3217</v>
      </c>
      <c r="O630" s="11">
        <f>10.327 * CHOOSE(CONTROL!$C$32, $C$9, 100%, $E$9)</f>
        <v>10.327</v>
      </c>
    </row>
    <row r="631" spans="1:15" ht="15" x14ac:dyDescent="0.2">
      <c r="A631" s="13">
        <v>60054</v>
      </c>
      <c r="B631" s="9">
        <f>9.0094 * CHOOSE(CONTROL!$C$32, $C$9, 100%, $E$9)</f>
        <v>9.0093999999999994</v>
      </c>
      <c r="C631" s="9">
        <f>9.0094 * CHOOSE(CONTROL!$C$32, $C$9, 100%, $E$9)</f>
        <v>9.0093999999999994</v>
      </c>
      <c r="D631" s="9">
        <f>9.011 * CHOOSE(CONTROL!$C$32, $C$9, 100%, $E$9)</f>
        <v>9.0109999999999992</v>
      </c>
      <c r="E631" s="11">
        <f>10.2477 * CHOOSE(CONTROL!$C$32, $C$9, 100%, $E$9)</f>
        <v>10.2477</v>
      </c>
      <c r="F631" s="11">
        <f>10.2477 * CHOOSE(CONTROL!$C$32, $C$9, 100%, $E$9)</f>
        <v>10.2477</v>
      </c>
      <c r="G631" s="11">
        <f>10.253 * CHOOSE(CONTROL!$C$32, $C$9, 100%, $E$9)</f>
        <v>10.253</v>
      </c>
      <c r="H631" s="11">
        <f>19.9539 * CHOOSE(CONTROL!$C$32, $C$9, 100%, $E$9)</f>
        <v>19.953900000000001</v>
      </c>
      <c r="I631" s="11">
        <f>19.9591 * CHOOSE(CONTROL!$C$32, $C$9, 100%, $E$9)</f>
        <v>19.959099999999999</v>
      </c>
      <c r="J631" s="11">
        <f>19.9539 * CHOOSE(CONTROL!$C$32, $C$9, 100%, $E$9)</f>
        <v>19.953900000000001</v>
      </c>
      <c r="K631" s="11">
        <f>19.9591 * CHOOSE(CONTROL!$C$32, $C$9, 100%, $E$9)</f>
        <v>19.959099999999999</v>
      </c>
      <c r="L631" s="11">
        <f>10.2477 * CHOOSE(CONTROL!$C$32, $C$9, 100%, $E$9)</f>
        <v>10.2477</v>
      </c>
      <c r="M631" s="11">
        <f>10.253 * CHOOSE(CONTROL!$C$32, $C$9, 100%, $E$9)</f>
        <v>10.253</v>
      </c>
      <c r="N631" s="11">
        <f>10.2477 * CHOOSE(CONTROL!$C$32, $C$9, 100%, $E$9)</f>
        <v>10.2477</v>
      </c>
      <c r="O631" s="11">
        <f>10.253 * CHOOSE(CONTROL!$C$32, $C$9, 100%, $E$9)</f>
        <v>10.253</v>
      </c>
    </row>
    <row r="632" spans="1:15" ht="15" x14ac:dyDescent="0.2">
      <c r="A632" s="13">
        <v>60084</v>
      </c>
      <c r="B632" s="9">
        <f>9.1229 * CHOOSE(CONTROL!$C$32, $C$9, 100%, $E$9)</f>
        <v>9.1228999999999996</v>
      </c>
      <c r="C632" s="9">
        <f>9.1229 * CHOOSE(CONTROL!$C$32, $C$9, 100%, $E$9)</f>
        <v>9.1228999999999996</v>
      </c>
      <c r="D632" s="9">
        <f>9.1245 * CHOOSE(CONTROL!$C$32, $C$9, 100%, $E$9)</f>
        <v>9.1244999999999994</v>
      </c>
      <c r="E632" s="11">
        <f>10.3906 * CHOOSE(CONTROL!$C$32, $C$9, 100%, $E$9)</f>
        <v>10.390599999999999</v>
      </c>
      <c r="F632" s="11">
        <f>10.3906 * CHOOSE(CONTROL!$C$32, $C$9, 100%, $E$9)</f>
        <v>10.390599999999999</v>
      </c>
      <c r="G632" s="11">
        <f>10.3959 * CHOOSE(CONTROL!$C$32, $C$9, 100%, $E$9)</f>
        <v>10.395899999999999</v>
      </c>
      <c r="H632" s="11">
        <f>19.9954 * CHOOSE(CONTROL!$C$32, $C$9, 100%, $E$9)</f>
        <v>19.9954</v>
      </c>
      <c r="I632" s="11">
        <f>20.0007 * CHOOSE(CONTROL!$C$32, $C$9, 100%, $E$9)</f>
        <v>20.000699999999998</v>
      </c>
      <c r="J632" s="11">
        <f>19.9954 * CHOOSE(CONTROL!$C$32, $C$9, 100%, $E$9)</f>
        <v>19.9954</v>
      </c>
      <c r="K632" s="11">
        <f>20.0007 * CHOOSE(CONTROL!$C$32, $C$9, 100%, $E$9)</f>
        <v>20.000699999999998</v>
      </c>
      <c r="L632" s="11">
        <f>10.3906 * CHOOSE(CONTROL!$C$32, $C$9, 100%, $E$9)</f>
        <v>10.390599999999999</v>
      </c>
      <c r="M632" s="11">
        <f>10.3959 * CHOOSE(CONTROL!$C$32, $C$9, 100%, $E$9)</f>
        <v>10.395899999999999</v>
      </c>
      <c r="N632" s="11">
        <f>10.3906 * CHOOSE(CONTROL!$C$32, $C$9, 100%, $E$9)</f>
        <v>10.390599999999999</v>
      </c>
      <c r="O632" s="11">
        <f>10.3959 * CHOOSE(CONTROL!$C$32, $C$9, 100%, $E$9)</f>
        <v>10.395899999999999</v>
      </c>
    </row>
    <row r="633" spans="1:15" ht="15" x14ac:dyDescent="0.2">
      <c r="A633" s="13">
        <v>60115</v>
      </c>
      <c r="B633" s="9">
        <f>9.1296 * CHOOSE(CONTROL!$C$32, $C$9, 100%, $E$9)</f>
        <v>9.1295999999999999</v>
      </c>
      <c r="C633" s="9">
        <f>9.1296 * CHOOSE(CONTROL!$C$32, $C$9, 100%, $E$9)</f>
        <v>9.1295999999999999</v>
      </c>
      <c r="D633" s="9">
        <f>9.1312 * CHOOSE(CONTROL!$C$32, $C$9, 100%, $E$9)</f>
        <v>9.1311999999999998</v>
      </c>
      <c r="E633" s="11">
        <f>10.1606 * CHOOSE(CONTROL!$C$32, $C$9, 100%, $E$9)</f>
        <v>10.160600000000001</v>
      </c>
      <c r="F633" s="11">
        <f>10.1606 * CHOOSE(CONTROL!$C$32, $C$9, 100%, $E$9)</f>
        <v>10.160600000000001</v>
      </c>
      <c r="G633" s="11">
        <f>10.1659 * CHOOSE(CONTROL!$C$32, $C$9, 100%, $E$9)</f>
        <v>10.165900000000001</v>
      </c>
      <c r="H633" s="11">
        <f>20.0371 * CHOOSE(CONTROL!$C$32, $C$9, 100%, $E$9)</f>
        <v>20.037099999999999</v>
      </c>
      <c r="I633" s="11">
        <f>20.0424 * CHOOSE(CONTROL!$C$32, $C$9, 100%, $E$9)</f>
        <v>20.042400000000001</v>
      </c>
      <c r="J633" s="11">
        <f>20.0371 * CHOOSE(CONTROL!$C$32, $C$9, 100%, $E$9)</f>
        <v>20.037099999999999</v>
      </c>
      <c r="K633" s="11">
        <f>20.0424 * CHOOSE(CONTROL!$C$32, $C$9, 100%, $E$9)</f>
        <v>20.042400000000001</v>
      </c>
      <c r="L633" s="11">
        <f>10.1606 * CHOOSE(CONTROL!$C$32, $C$9, 100%, $E$9)</f>
        <v>10.160600000000001</v>
      </c>
      <c r="M633" s="11">
        <f>10.1659 * CHOOSE(CONTROL!$C$32, $C$9, 100%, $E$9)</f>
        <v>10.165900000000001</v>
      </c>
      <c r="N633" s="11">
        <f>10.1606 * CHOOSE(CONTROL!$C$32, $C$9, 100%, $E$9)</f>
        <v>10.160600000000001</v>
      </c>
      <c r="O633" s="11">
        <f>10.1659 * CHOOSE(CONTROL!$C$32, $C$9, 100%, $E$9)</f>
        <v>10.165900000000001</v>
      </c>
    </row>
    <row r="634" spans="1:15" ht="15" x14ac:dyDescent="0.2">
      <c r="A634" s="13">
        <v>60146</v>
      </c>
      <c r="B634" s="9">
        <f>9.1266 * CHOOSE(CONTROL!$C$32, $C$9, 100%, $E$9)</f>
        <v>9.1265999999999998</v>
      </c>
      <c r="C634" s="9">
        <f>9.1266 * CHOOSE(CONTROL!$C$32, $C$9, 100%, $E$9)</f>
        <v>9.1265999999999998</v>
      </c>
      <c r="D634" s="9">
        <f>9.1282 * CHOOSE(CONTROL!$C$32, $C$9, 100%, $E$9)</f>
        <v>9.1281999999999996</v>
      </c>
      <c r="E634" s="11">
        <f>10.1324 * CHOOSE(CONTROL!$C$32, $C$9, 100%, $E$9)</f>
        <v>10.132400000000001</v>
      </c>
      <c r="F634" s="11">
        <f>10.1324 * CHOOSE(CONTROL!$C$32, $C$9, 100%, $E$9)</f>
        <v>10.132400000000001</v>
      </c>
      <c r="G634" s="11">
        <f>10.1377 * CHOOSE(CONTROL!$C$32, $C$9, 100%, $E$9)</f>
        <v>10.137700000000001</v>
      </c>
      <c r="H634" s="11">
        <f>20.0788 * CHOOSE(CONTROL!$C$32, $C$9, 100%, $E$9)</f>
        <v>20.078800000000001</v>
      </c>
      <c r="I634" s="11">
        <f>20.0841 * CHOOSE(CONTROL!$C$32, $C$9, 100%, $E$9)</f>
        <v>20.084099999999999</v>
      </c>
      <c r="J634" s="11">
        <f>20.0788 * CHOOSE(CONTROL!$C$32, $C$9, 100%, $E$9)</f>
        <v>20.078800000000001</v>
      </c>
      <c r="K634" s="11">
        <f>20.0841 * CHOOSE(CONTROL!$C$32, $C$9, 100%, $E$9)</f>
        <v>20.084099999999999</v>
      </c>
      <c r="L634" s="11">
        <f>10.1324 * CHOOSE(CONTROL!$C$32, $C$9, 100%, $E$9)</f>
        <v>10.132400000000001</v>
      </c>
      <c r="M634" s="11">
        <f>10.1377 * CHOOSE(CONTROL!$C$32, $C$9, 100%, $E$9)</f>
        <v>10.137700000000001</v>
      </c>
      <c r="N634" s="11">
        <f>10.1324 * CHOOSE(CONTROL!$C$32, $C$9, 100%, $E$9)</f>
        <v>10.132400000000001</v>
      </c>
      <c r="O634" s="11">
        <f>10.1377 * CHOOSE(CONTROL!$C$32, $C$9, 100%, $E$9)</f>
        <v>10.137700000000001</v>
      </c>
    </row>
    <row r="635" spans="1:15" ht="15" x14ac:dyDescent="0.2">
      <c r="A635" s="13">
        <v>60176</v>
      </c>
      <c r="B635" s="9">
        <f>9.1408 * CHOOSE(CONTROL!$C$32, $C$9, 100%, $E$9)</f>
        <v>9.1408000000000005</v>
      </c>
      <c r="C635" s="9">
        <f>9.1408 * CHOOSE(CONTROL!$C$32, $C$9, 100%, $E$9)</f>
        <v>9.1408000000000005</v>
      </c>
      <c r="D635" s="9">
        <f>9.1418 * CHOOSE(CONTROL!$C$32, $C$9, 100%, $E$9)</f>
        <v>9.1417999999999999</v>
      </c>
      <c r="E635" s="11">
        <f>10.2233 * CHOOSE(CONTROL!$C$32, $C$9, 100%, $E$9)</f>
        <v>10.2233</v>
      </c>
      <c r="F635" s="11">
        <f>10.2233 * CHOOSE(CONTROL!$C$32, $C$9, 100%, $E$9)</f>
        <v>10.2233</v>
      </c>
      <c r="G635" s="11">
        <f>10.2269 * CHOOSE(CONTROL!$C$32, $C$9, 100%, $E$9)</f>
        <v>10.226900000000001</v>
      </c>
      <c r="H635" s="11">
        <f>20.1207 * CHOOSE(CONTROL!$C$32, $C$9, 100%, $E$9)</f>
        <v>20.120699999999999</v>
      </c>
      <c r="I635" s="11">
        <f>20.1243 * CHOOSE(CONTROL!$C$32, $C$9, 100%, $E$9)</f>
        <v>20.124300000000002</v>
      </c>
      <c r="J635" s="11">
        <f>20.1207 * CHOOSE(CONTROL!$C$32, $C$9, 100%, $E$9)</f>
        <v>20.120699999999999</v>
      </c>
      <c r="K635" s="11">
        <f>20.1243 * CHOOSE(CONTROL!$C$32, $C$9, 100%, $E$9)</f>
        <v>20.124300000000002</v>
      </c>
      <c r="L635" s="11">
        <f>10.2233 * CHOOSE(CONTROL!$C$32, $C$9, 100%, $E$9)</f>
        <v>10.2233</v>
      </c>
      <c r="M635" s="11">
        <f>10.2269 * CHOOSE(CONTROL!$C$32, $C$9, 100%, $E$9)</f>
        <v>10.226900000000001</v>
      </c>
      <c r="N635" s="11">
        <f>10.2233 * CHOOSE(CONTROL!$C$32, $C$9, 100%, $E$9)</f>
        <v>10.2233</v>
      </c>
      <c r="O635" s="11">
        <f>10.2269 * CHOOSE(CONTROL!$C$32, $C$9, 100%, $E$9)</f>
        <v>10.226900000000001</v>
      </c>
    </row>
    <row r="636" spans="1:15" ht="15" x14ac:dyDescent="0.2">
      <c r="A636" s="13">
        <v>60207</v>
      </c>
      <c r="B636" s="9">
        <f>9.1438 * CHOOSE(CONTROL!$C$32, $C$9, 100%, $E$9)</f>
        <v>9.1438000000000006</v>
      </c>
      <c r="C636" s="9">
        <f>9.1438 * CHOOSE(CONTROL!$C$32, $C$9, 100%, $E$9)</f>
        <v>9.1438000000000006</v>
      </c>
      <c r="D636" s="9">
        <f>9.1449 * CHOOSE(CONTROL!$C$32, $C$9, 100%, $E$9)</f>
        <v>9.1448999999999998</v>
      </c>
      <c r="E636" s="11">
        <f>10.2775 * CHOOSE(CONTROL!$C$32, $C$9, 100%, $E$9)</f>
        <v>10.2775</v>
      </c>
      <c r="F636" s="11">
        <f>10.2775 * CHOOSE(CONTROL!$C$32, $C$9, 100%, $E$9)</f>
        <v>10.2775</v>
      </c>
      <c r="G636" s="11">
        <f>10.2811 * CHOOSE(CONTROL!$C$32, $C$9, 100%, $E$9)</f>
        <v>10.2811</v>
      </c>
      <c r="H636" s="11">
        <f>20.1626 * CHOOSE(CONTROL!$C$32, $C$9, 100%, $E$9)</f>
        <v>20.162600000000001</v>
      </c>
      <c r="I636" s="11">
        <f>20.1662 * CHOOSE(CONTROL!$C$32, $C$9, 100%, $E$9)</f>
        <v>20.1662</v>
      </c>
      <c r="J636" s="11">
        <f>20.1626 * CHOOSE(CONTROL!$C$32, $C$9, 100%, $E$9)</f>
        <v>20.162600000000001</v>
      </c>
      <c r="K636" s="11">
        <f>20.1662 * CHOOSE(CONTROL!$C$32, $C$9, 100%, $E$9)</f>
        <v>20.1662</v>
      </c>
      <c r="L636" s="11">
        <f>10.2775 * CHOOSE(CONTROL!$C$32, $C$9, 100%, $E$9)</f>
        <v>10.2775</v>
      </c>
      <c r="M636" s="11">
        <f>10.2811 * CHOOSE(CONTROL!$C$32, $C$9, 100%, $E$9)</f>
        <v>10.2811</v>
      </c>
      <c r="N636" s="11">
        <f>10.2775 * CHOOSE(CONTROL!$C$32, $C$9, 100%, $E$9)</f>
        <v>10.2775</v>
      </c>
      <c r="O636" s="11">
        <f>10.2811 * CHOOSE(CONTROL!$C$32, $C$9, 100%, $E$9)</f>
        <v>10.2811</v>
      </c>
    </row>
    <row r="637" spans="1:15" ht="15" x14ac:dyDescent="0.2">
      <c r="A637" s="13">
        <v>60237</v>
      </c>
      <c r="B637" s="9">
        <f>9.1438 * CHOOSE(CONTROL!$C$32, $C$9, 100%, $E$9)</f>
        <v>9.1438000000000006</v>
      </c>
      <c r="C637" s="9">
        <f>9.1438 * CHOOSE(CONTROL!$C$32, $C$9, 100%, $E$9)</f>
        <v>9.1438000000000006</v>
      </c>
      <c r="D637" s="9">
        <f>9.1449 * CHOOSE(CONTROL!$C$32, $C$9, 100%, $E$9)</f>
        <v>9.1448999999999998</v>
      </c>
      <c r="E637" s="11">
        <f>10.1471 * CHOOSE(CONTROL!$C$32, $C$9, 100%, $E$9)</f>
        <v>10.1471</v>
      </c>
      <c r="F637" s="11">
        <f>10.1471 * CHOOSE(CONTROL!$C$32, $C$9, 100%, $E$9)</f>
        <v>10.1471</v>
      </c>
      <c r="G637" s="11">
        <f>10.1508 * CHOOSE(CONTROL!$C$32, $C$9, 100%, $E$9)</f>
        <v>10.1508</v>
      </c>
      <c r="H637" s="11">
        <f>20.2046 * CHOOSE(CONTROL!$C$32, $C$9, 100%, $E$9)</f>
        <v>20.204599999999999</v>
      </c>
      <c r="I637" s="11">
        <f>20.2082 * CHOOSE(CONTROL!$C$32, $C$9, 100%, $E$9)</f>
        <v>20.208200000000001</v>
      </c>
      <c r="J637" s="11">
        <f>20.2046 * CHOOSE(CONTROL!$C$32, $C$9, 100%, $E$9)</f>
        <v>20.204599999999999</v>
      </c>
      <c r="K637" s="11">
        <f>20.2082 * CHOOSE(CONTROL!$C$32, $C$9, 100%, $E$9)</f>
        <v>20.208200000000001</v>
      </c>
      <c r="L637" s="11">
        <f>10.1471 * CHOOSE(CONTROL!$C$32, $C$9, 100%, $E$9)</f>
        <v>10.1471</v>
      </c>
      <c r="M637" s="11">
        <f>10.1508 * CHOOSE(CONTROL!$C$32, $C$9, 100%, $E$9)</f>
        <v>10.1508</v>
      </c>
      <c r="N637" s="11">
        <f>10.1471 * CHOOSE(CONTROL!$C$32, $C$9, 100%, $E$9)</f>
        <v>10.1471</v>
      </c>
      <c r="O637" s="11">
        <f>10.1508 * CHOOSE(CONTROL!$C$32, $C$9, 100%, $E$9)</f>
        <v>10.1508</v>
      </c>
    </row>
    <row r="638" spans="1:15" ht="15" x14ac:dyDescent="0.2">
      <c r="A638" s="13">
        <v>60268</v>
      </c>
      <c r="B638" s="9">
        <f>9.1943 * CHOOSE(CONTROL!$C$32, $C$9, 100%, $E$9)</f>
        <v>9.1943000000000001</v>
      </c>
      <c r="C638" s="9">
        <f>9.1943 * CHOOSE(CONTROL!$C$32, $C$9, 100%, $E$9)</f>
        <v>9.1943000000000001</v>
      </c>
      <c r="D638" s="9">
        <f>9.1954 * CHOOSE(CONTROL!$C$32, $C$9, 100%, $E$9)</f>
        <v>9.1953999999999994</v>
      </c>
      <c r="E638" s="11">
        <f>10.308 * CHOOSE(CONTROL!$C$32, $C$9, 100%, $E$9)</f>
        <v>10.308</v>
      </c>
      <c r="F638" s="11">
        <f>10.308 * CHOOSE(CONTROL!$C$32, $C$9, 100%, $E$9)</f>
        <v>10.308</v>
      </c>
      <c r="G638" s="11">
        <f>10.3116 * CHOOSE(CONTROL!$C$32, $C$9, 100%, $E$9)</f>
        <v>10.3116</v>
      </c>
      <c r="H638" s="11">
        <f>20.2008 * CHOOSE(CONTROL!$C$32, $C$9, 100%, $E$9)</f>
        <v>20.200800000000001</v>
      </c>
      <c r="I638" s="11">
        <f>20.2044 * CHOOSE(CONTROL!$C$32, $C$9, 100%, $E$9)</f>
        <v>20.2044</v>
      </c>
      <c r="J638" s="11">
        <f>20.2008 * CHOOSE(CONTROL!$C$32, $C$9, 100%, $E$9)</f>
        <v>20.200800000000001</v>
      </c>
      <c r="K638" s="11">
        <f>20.2044 * CHOOSE(CONTROL!$C$32, $C$9, 100%, $E$9)</f>
        <v>20.2044</v>
      </c>
      <c r="L638" s="11">
        <f>10.308 * CHOOSE(CONTROL!$C$32, $C$9, 100%, $E$9)</f>
        <v>10.308</v>
      </c>
      <c r="M638" s="11">
        <f>10.3116 * CHOOSE(CONTROL!$C$32, $C$9, 100%, $E$9)</f>
        <v>10.3116</v>
      </c>
      <c r="N638" s="11">
        <f>10.308 * CHOOSE(CONTROL!$C$32, $C$9, 100%, $E$9)</f>
        <v>10.308</v>
      </c>
      <c r="O638" s="11">
        <f>10.3116 * CHOOSE(CONTROL!$C$32, $C$9, 100%, $E$9)</f>
        <v>10.3116</v>
      </c>
    </row>
    <row r="639" spans="1:15" ht="15" x14ac:dyDescent="0.2">
      <c r="A639" s="13">
        <v>60299</v>
      </c>
      <c r="B639" s="9">
        <f>9.1912 * CHOOSE(CONTROL!$C$32, $C$9, 100%, $E$9)</f>
        <v>9.1912000000000003</v>
      </c>
      <c r="C639" s="9">
        <f>9.1912 * CHOOSE(CONTROL!$C$32, $C$9, 100%, $E$9)</f>
        <v>9.1912000000000003</v>
      </c>
      <c r="D639" s="9">
        <f>9.1923 * CHOOSE(CONTROL!$C$32, $C$9, 100%, $E$9)</f>
        <v>9.1922999999999995</v>
      </c>
      <c r="E639" s="11">
        <f>10.0524 * CHOOSE(CONTROL!$C$32, $C$9, 100%, $E$9)</f>
        <v>10.0524</v>
      </c>
      <c r="F639" s="11">
        <f>10.0524 * CHOOSE(CONTROL!$C$32, $C$9, 100%, $E$9)</f>
        <v>10.0524</v>
      </c>
      <c r="G639" s="11">
        <f>10.056 * CHOOSE(CONTROL!$C$32, $C$9, 100%, $E$9)</f>
        <v>10.055999999999999</v>
      </c>
      <c r="H639" s="11">
        <f>20.2429 * CHOOSE(CONTROL!$C$32, $C$9, 100%, $E$9)</f>
        <v>20.242899999999999</v>
      </c>
      <c r="I639" s="11">
        <f>20.2465 * CHOOSE(CONTROL!$C$32, $C$9, 100%, $E$9)</f>
        <v>20.246500000000001</v>
      </c>
      <c r="J639" s="11">
        <f>20.2429 * CHOOSE(CONTROL!$C$32, $C$9, 100%, $E$9)</f>
        <v>20.242899999999999</v>
      </c>
      <c r="K639" s="11">
        <f>20.2465 * CHOOSE(CONTROL!$C$32, $C$9, 100%, $E$9)</f>
        <v>20.246500000000001</v>
      </c>
      <c r="L639" s="11">
        <f>10.0524 * CHOOSE(CONTROL!$C$32, $C$9, 100%, $E$9)</f>
        <v>10.0524</v>
      </c>
      <c r="M639" s="11">
        <f>10.056 * CHOOSE(CONTROL!$C$32, $C$9, 100%, $E$9)</f>
        <v>10.055999999999999</v>
      </c>
      <c r="N639" s="11">
        <f>10.0524 * CHOOSE(CONTROL!$C$32, $C$9, 100%, $E$9)</f>
        <v>10.0524</v>
      </c>
      <c r="O639" s="11">
        <f>10.056 * CHOOSE(CONTROL!$C$32, $C$9, 100%, $E$9)</f>
        <v>10.055999999999999</v>
      </c>
    </row>
    <row r="640" spans="1:15" ht="15" x14ac:dyDescent="0.2">
      <c r="A640" s="13">
        <v>60327</v>
      </c>
      <c r="B640" s="9">
        <f>9.1882 * CHOOSE(CONTROL!$C$32, $C$9, 100%, $E$9)</f>
        <v>9.1882000000000001</v>
      </c>
      <c r="C640" s="9">
        <f>9.1882 * CHOOSE(CONTROL!$C$32, $C$9, 100%, $E$9)</f>
        <v>9.1882000000000001</v>
      </c>
      <c r="D640" s="9">
        <f>9.1893 * CHOOSE(CONTROL!$C$32, $C$9, 100%, $E$9)</f>
        <v>9.1892999999999994</v>
      </c>
      <c r="E640" s="11">
        <f>10.2501 * CHOOSE(CONTROL!$C$32, $C$9, 100%, $E$9)</f>
        <v>10.2501</v>
      </c>
      <c r="F640" s="11">
        <f>10.2501 * CHOOSE(CONTROL!$C$32, $C$9, 100%, $E$9)</f>
        <v>10.2501</v>
      </c>
      <c r="G640" s="11">
        <f>10.2537 * CHOOSE(CONTROL!$C$32, $C$9, 100%, $E$9)</f>
        <v>10.2537</v>
      </c>
      <c r="H640" s="11">
        <f>20.2851 * CHOOSE(CONTROL!$C$32, $C$9, 100%, $E$9)</f>
        <v>20.2851</v>
      </c>
      <c r="I640" s="11">
        <f>20.2887 * CHOOSE(CONTROL!$C$32, $C$9, 100%, $E$9)</f>
        <v>20.288699999999999</v>
      </c>
      <c r="J640" s="11">
        <f>20.2851 * CHOOSE(CONTROL!$C$32, $C$9, 100%, $E$9)</f>
        <v>20.2851</v>
      </c>
      <c r="K640" s="11">
        <f>20.2887 * CHOOSE(CONTROL!$C$32, $C$9, 100%, $E$9)</f>
        <v>20.288699999999999</v>
      </c>
      <c r="L640" s="11">
        <f>10.2501 * CHOOSE(CONTROL!$C$32, $C$9, 100%, $E$9)</f>
        <v>10.2501</v>
      </c>
      <c r="M640" s="11">
        <f>10.2537 * CHOOSE(CONTROL!$C$32, $C$9, 100%, $E$9)</f>
        <v>10.2537</v>
      </c>
      <c r="N640" s="11">
        <f>10.2501 * CHOOSE(CONTROL!$C$32, $C$9, 100%, $E$9)</f>
        <v>10.2501</v>
      </c>
      <c r="O640" s="11">
        <f>10.2537 * CHOOSE(CONTROL!$C$32, $C$9, 100%, $E$9)</f>
        <v>10.2537</v>
      </c>
    </row>
    <row r="641" spans="1:15" ht="15" x14ac:dyDescent="0.2">
      <c r="A641" s="13">
        <v>60358</v>
      </c>
      <c r="B641" s="9">
        <f>9.1909 * CHOOSE(CONTROL!$C$32, $C$9, 100%, $E$9)</f>
        <v>9.1908999999999992</v>
      </c>
      <c r="C641" s="9">
        <f>9.1909 * CHOOSE(CONTROL!$C$32, $C$9, 100%, $E$9)</f>
        <v>9.1908999999999992</v>
      </c>
      <c r="D641" s="9">
        <f>9.192 * CHOOSE(CONTROL!$C$32, $C$9, 100%, $E$9)</f>
        <v>9.1920000000000002</v>
      </c>
      <c r="E641" s="11">
        <f>10.4605 * CHOOSE(CONTROL!$C$32, $C$9, 100%, $E$9)</f>
        <v>10.4605</v>
      </c>
      <c r="F641" s="11">
        <f>10.4605 * CHOOSE(CONTROL!$C$32, $C$9, 100%, $E$9)</f>
        <v>10.4605</v>
      </c>
      <c r="G641" s="11">
        <f>10.4641 * CHOOSE(CONTROL!$C$32, $C$9, 100%, $E$9)</f>
        <v>10.4641</v>
      </c>
      <c r="H641" s="11">
        <f>20.3273 * CHOOSE(CONTROL!$C$32, $C$9, 100%, $E$9)</f>
        <v>20.327300000000001</v>
      </c>
      <c r="I641" s="11">
        <f>20.3309 * CHOOSE(CONTROL!$C$32, $C$9, 100%, $E$9)</f>
        <v>20.3309</v>
      </c>
      <c r="J641" s="11">
        <f>20.3273 * CHOOSE(CONTROL!$C$32, $C$9, 100%, $E$9)</f>
        <v>20.327300000000001</v>
      </c>
      <c r="K641" s="11">
        <f>20.3309 * CHOOSE(CONTROL!$C$32, $C$9, 100%, $E$9)</f>
        <v>20.3309</v>
      </c>
      <c r="L641" s="11">
        <f>10.4605 * CHOOSE(CONTROL!$C$32, $C$9, 100%, $E$9)</f>
        <v>10.4605</v>
      </c>
      <c r="M641" s="11">
        <f>10.4641 * CHOOSE(CONTROL!$C$32, $C$9, 100%, $E$9)</f>
        <v>10.4641</v>
      </c>
      <c r="N641" s="11">
        <f>10.4605 * CHOOSE(CONTROL!$C$32, $C$9, 100%, $E$9)</f>
        <v>10.4605</v>
      </c>
      <c r="O641" s="11">
        <f>10.4641 * CHOOSE(CONTROL!$C$32, $C$9, 100%, $E$9)</f>
        <v>10.4641</v>
      </c>
    </row>
    <row r="642" spans="1:15" ht="15" x14ac:dyDescent="0.2">
      <c r="A642" s="13">
        <v>60388</v>
      </c>
      <c r="B642" s="9">
        <f>9.1909 * CHOOSE(CONTROL!$C$32, $C$9, 100%, $E$9)</f>
        <v>9.1908999999999992</v>
      </c>
      <c r="C642" s="9">
        <f>9.1909 * CHOOSE(CONTROL!$C$32, $C$9, 100%, $E$9)</f>
        <v>9.1908999999999992</v>
      </c>
      <c r="D642" s="9">
        <f>9.1925 * CHOOSE(CONTROL!$C$32, $C$9, 100%, $E$9)</f>
        <v>9.1925000000000008</v>
      </c>
      <c r="E642" s="11">
        <f>10.541 * CHOOSE(CONTROL!$C$32, $C$9, 100%, $E$9)</f>
        <v>10.541</v>
      </c>
      <c r="F642" s="11">
        <f>10.541 * CHOOSE(CONTROL!$C$32, $C$9, 100%, $E$9)</f>
        <v>10.541</v>
      </c>
      <c r="G642" s="11">
        <f>10.5462 * CHOOSE(CONTROL!$C$32, $C$9, 100%, $E$9)</f>
        <v>10.546200000000001</v>
      </c>
      <c r="H642" s="11">
        <f>20.3697 * CHOOSE(CONTROL!$C$32, $C$9, 100%, $E$9)</f>
        <v>20.369700000000002</v>
      </c>
      <c r="I642" s="11">
        <f>20.375 * CHOOSE(CONTROL!$C$32, $C$9, 100%, $E$9)</f>
        <v>20.375</v>
      </c>
      <c r="J642" s="11">
        <f>20.3697 * CHOOSE(CONTROL!$C$32, $C$9, 100%, $E$9)</f>
        <v>20.369700000000002</v>
      </c>
      <c r="K642" s="11">
        <f>20.375 * CHOOSE(CONTROL!$C$32, $C$9, 100%, $E$9)</f>
        <v>20.375</v>
      </c>
      <c r="L642" s="11">
        <f>10.541 * CHOOSE(CONTROL!$C$32, $C$9, 100%, $E$9)</f>
        <v>10.541</v>
      </c>
      <c r="M642" s="11">
        <f>10.5462 * CHOOSE(CONTROL!$C$32, $C$9, 100%, $E$9)</f>
        <v>10.546200000000001</v>
      </c>
      <c r="N642" s="11">
        <f>10.541 * CHOOSE(CONTROL!$C$32, $C$9, 100%, $E$9)</f>
        <v>10.541</v>
      </c>
      <c r="O642" s="11">
        <f>10.5462 * CHOOSE(CONTROL!$C$32, $C$9, 100%, $E$9)</f>
        <v>10.546200000000001</v>
      </c>
    </row>
    <row r="643" spans="1:15" ht="15" x14ac:dyDescent="0.2">
      <c r="A643" s="13">
        <v>60419</v>
      </c>
      <c r="B643" s="9">
        <f>9.197 * CHOOSE(CONTROL!$C$32, $C$9, 100%, $E$9)</f>
        <v>9.1969999999999992</v>
      </c>
      <c r="C643" s="9">
        <f>9.197 * CHOOSE(CONTROL!$C$32, $C$9, 100%, $E$9)</f>
        <v>9.1969999999999992</v>
      </c>
      <c r="D643" s="9">
        <f>9.1985 * CHOOSE(CONTROL!$C$32, $C$9, 100%, $E$9)</f>
        <v>9.1984999999999992</v>
      </c>
      <c r="E643" s="11">
        <f>10.4647 * CHOOSE(CONTROL!$C$32, $C$9, 100%, $E$9)</f>
        <v>10.464700000000001</v>
      </c>
      <c r="F643" s="11">
        <f>10.4647 * CHOOSE(CONTROL!$C$32, $C$9, 100%, $E$9)</f>
        <v>10.464700000000001</v>
      </c>
      <c r="G643" s="11">
        <f>10.47 * CHOOSE(CONTROL!$C$32, $C$9, 100%, $E$9)</f>
        <v>10.47</v>
      </c>
      <c r="H643" s="11">
        <f>20.4121 * CHOOSE(CONTROL!$C$32, $C$9, 100%, $E$9)</f>
        <v>20.412099999999999</v>
      </c>
      <c r="I643" s="11">
        <f>20.4174 * CHOOSE(CONTROL!$C$32, $C$9, 100%, $E$9)</f>
        <v>20.417400000000001</v>
      </c>
      <c r="J643" s="11">
        <f>20.4121 * CHOOSE(CONTROL!$C$32, $C$9, 100%, $E$9)</f>
        <v>20.412099999999999</v>
      </c>
      <c r="K643" s="11">
        <f>20.4174 * CHOOSE(CONTROL!$C$32, $C$9, 100%, $E$9)</f>
        <v>20.417400000000001</v>
      </c>
      <c r="L643" s="11">
        <f>10.4647 * CHOOSE(CONTROL!$C$32, $C$9, 100%, $E$9)</f>
        <v>10.464700000000001</v>
      </c>
      <c r="M643" s="11">
        <f>10.47 * CHOOSE(CONTROL!$C$32, $C$9, 100%, $E$9)</f>
        <v>10.47</v>
      </c>
      <c r="N643" s="11">
        <f>10.4647 * CHOOSE(CONTROL!$C$32, $C$9, 100%, $E$9)</f>
        <v>10.464700000000001</v>
      </c>
      <c r="O643" s="11">
        <f>10.47 * CHOOSE(CONTROL!$C$32, $C$9, 100%, $E$9)</f>
        <v>10.47</v>
      </c>
    </row>
    <row r="644" spans="1:15" ht="15" x14ac:dyDescent="0.2">
      <c r="A644" s="13">
        <v>60449</v>
      </c>
      <c r="B644" s="9">
        <f>9.3125 * CHOOSE(CONTROL!$C$32, $C$9, 100%, $E$9)</f>
        <v>9.3125</v>
      </c>
      <c r="C644" s="9">
        <f>9.3125 * CHOOSE(CONTROL!$C$32, $C$9, 100%, $E$9)</f>
        <v>9.3125</v>
      </c>
      <c r="D644" s="9">
        <f>9.3141 * CHOOSE(CONTROL!$C$32, $C$9, 100%, $E$9)</f>
        <v>9.3140999999999998</v>
      </c>
      <c r="E644" s="11">
        <f>10.6108 * CHOOSE(CONTROL!$C$32, $C$9, 100%, $E$9)</f>
        <v>10.610799999999999</v>
      </c>
      <c r="F644" s="11">
        <f>10.6108 * CHOOSE(CONTROL!$C$32, $C$9, 100%, $E$9)</f>
        <v>10.610799999999999</v>
      </c>
      <c r="G644" s="11">
        <f>10.6161 * CHOOSE(CONTROL!$C$32, $C$9, 100%, $E$9)</f>
        <v>10.616099999999999</v>
      </c>
      <c r="H644" s="11">
        <f>20.4546 * CHOOSE(CONTROL!$C$32, $C$9, 100%, $E$9)</f>
        <v>20.454599999999999</v>
      </c>
      <c r="I644" s="11">
        <f>20.4599 * CHOOSE(CONTROL!$C$32, $C$9, 100%, $E$9)</f>
        <v>20.459900000000001</v>
      </c>
      <c r="J644" s="11">
        <f>20.4546 * CHOOSE(CONTROL!$C$32, $C$9, 100%, $E$9)</f>
        <v>20.454599999999999</v>
      </c>
      <c r="K644" s="11">
        <f>20.4599 * CHOOSE(CONTROL!$C$32, $C$9, 100%, $E$9)</f>
        <v>20.459900000000001</v>
      </c>
      <c r="L644" s="11">
        <f>10.6108 * CHOOSE(CONTROL!$C$32, $C$9, 100%, $E$9)</f>
        <v>10.610799999999999</v>
      </c>
      <c r="M644" s="11">
        <f>10.6161 * CHOOSE(CONTROL!$C$32, $C$9, 100%, $E$9)</f>
        <v>10.616099999999999</v>
      </c>
      <c r="N644" s="11">
        <f>10.6108 * CHOOSE(CONTROL!$C$32, $C$9, 100%, $E$9)</f>
        <v>10.610799999999999</v>
      </c>
      <c r="O644" s="11">
        <f>10.6161 * CHOOSE(CONTROL!$C$32, $C$9, 100%, $E$9)</f>
        <v>10.616099999999999</v>
      </c>
    </row>
    <row r="645" spans="1:15" ht="15" x14ac:dyDescent="0.2">
      <c r="A645" s="13">
        <v>60480</v>
      </c>
      <c r="B645" s="9">
        <f>9.3192 * CHOOSE(CONTROL!$C$32, $C$9, 100%, $E$9)</f>
        <v>9.3192000000000004</v>
      </c>
      <c r="C645" s="9">
        <f>9.3192 * CHOOSE(CONTROL!$C$32, $C$9, 100%, $E$9)</f>
        <v>9.3192000000000004</v>
      </c>
      <c r="D645" s="9">
        <f>9.3208 * CHOOSE(CONTROL!$C$32, $C$9, 100%, $E$9)</f>
        <v>9.3208000000000002</v>
      </c>
      <c r="E645" s="11">
        <f>10.374 * CHOOSE(CONTROL!$C$32, $C$9, 100%, $E$9)</f>
        <v>10.374000000000001</v>
      </c>
      <c r="F645" s="11">
        <f>10.374 * CHOOSE(CONTROL!$C$32, $C$9, 100%, $E$9)</f>
        <v>10.374000000000001</v>
      </c>
      <c r="G645" s="11">
        <f>10.3793 * CHOOSE(CONTROL!$C$32, $C$9, 100%, $E$9)</f>
        <v>10.379300000000001</v>
      </c>
      <c r="H645" s="11">
        <f>20.4972 * CHOOSE(CONTROL!$C$32, $C$9, 100%, $E$9)</f>
        <v>20.497199999999999</v>
      </c>
      <c r="I645" s="11">
        <f>20.5025 * CHOOSE(CONTROL!$C$32, $C$9, 100%, $E$9)</f>
        <v>20.502500000000001</v>
      </c>
      <c r="J645" s="11">
        <f>20.4972 * CHOOSE(CONTROL!$C$32, $C$9, 100%, $E$9)</f>
        <v>20.497199999999999</v>
      </c>
      <c r="K645" s="11">
        <f>20.5025 * CHOOSE(CONTROL!$C$32, $C$9, 100%, $E$9)</f>
        <v>20.502500000000001</v>
      </c>
      <c r="L645" s="11">
        <f>10.374 * CHOOSE(CONTROL!$C$32, $C$9, 100%, $E$9)</f>
        <v>10.374000000000001</v>
      </c>
      <c r="M645" s="11">
        <f>10.3793 * CHOOSE(CONTROL!$C$32, $C$9, 100%, $E$9)</f>
        <v>10.379300000000001</v>
      </c>
      <c r="N645" s="11">
        <f>10.374 * CHOOSE(CONTROL!$C$32, $C$9, 100%, $E$9)</f>
        <v>10.374000000000001</v>
      </c>
      <c r="O645" s="11">
        <f>10.3793 * CHOOSE(CONTROL!$C$32, $C$9, 100%, $E$9)</f>
        <v>10.379300000000001</v>
      </c>
    </row>
    <row r="646" spans="1:15" ht="15" x14ac:dyDescent="0.2">
      <c r="A646" s="13">
        <v>60511</v>
      </c>
      <c r="B646" s="9">
        <f>9.3162 * CHOOSE(CONTROL!$C$32, $C$9, 100%, $E$9)</f>
        <v>9.3162000000000003</v>
      </c>
      <c r="C646" s="9">
        <f>9.3162 * CHOOSE(CONTROL!$C$32, $C$9, 100%, $E$9)</f>
        <v>9.3162000000000003</v>
      </c>
      <c r="D646" s="9">
        <f>9.3178 * CHOOSE(CONTROL!$C$32, $C$9, 100%, $E$9)</f>
        <v>9.3178000000000001</v>
      </c>
      <c r="E646" s="11">
        <f>10.345 * CHOOSE(CONTROL!$C$32, $C$9, 100%, $E$9)</f>
        <v>10.345000000000001</v>
      </c>
      <c r="F646" s="11">
        <f>10.345 * CHOOSE(CONTROL!$C$32, $C$9, 100%, $E$9)</f>
        <v>10.345000000000001</v>
      </c>
      <c r="G646" s="11">
        <f>10.3503 * CHOOSE(CONTROL!$C$32, $C$9, 100%, $E$9)</f>
        <v>10.350300000000001</v>
      </c>
      <c r="H646" s="11">
        <f>20.5399 * CHOOSE(CONTROL!$C$32, $C$9, 100%, $E$9)</f>
        <v>20.539899999999999</v>
      </c>
      <c r="I646" s="11">
        <f>20.5452 * CHOOSE(CONTROL!$C$32, $C$9, 100%, $E$9)</f>
        <v>20.545200000000001</v>
      </c>
      <c r="J646" s="11">
        <f>20.5399 * CHOOSE(CONTROL!$C$32, $C$9, 100%, $E$9)</f>
        <v>20.539899999999999</v>
      </c>
      <c r="K646" s="11">
        <f>20.5452 * CHOOSE(CONTROL!$C$32, $C$9, 100%, $E$9)</f>
        <v>20.545200000000001</v>
      </c>
      <c r="L646" s="11">
        <f>10.345 * CHOOSE(CONTROL!$C$32, $C$9, 100%, $E$9)</f>
        <v>10.345000000000001</v>
      </c>
      <c r="M646" s="11">
        <f>10.3503 * CHOOSE(CONTROL!$C$32, $C$9, 100%, $E$9)</f>
        <v>10.350300000000001</v>
      </c>
      <c r="N646" s="11">
        <f>10.345 * CHOOSE(CONTROL!$C$32, $C$9, 100%, $E$9)</f>
        <v>10.345000000000001</v>
      </c>
      <c r="O646" s="11">
        <f>10.3503 * CHOOSE(CONTROL!$C$32, $C$9, 100%, $E$9)</f>
        <v>10.350300000000001</v>
      </c>
    </row>
    <row r="647" spans="1:15" ht="15" x14ac:dyDescent="0.2">
      <c r="A647" s="13">
        <v>60541</v>
      </c>
      <c r="B647" s="9">
        <f>9.3311 * CHOOSE(CONTROL!$C$32, $C$9, 100%, $E$9)</f>
        <v>9.3310999999999993</v>
      </c>
      <c r="C647" s="9">
        <f>9.3311 * CHOOSE(CONTROL!$C$32, $C$9, 100%, $E$9)</f>
        <v>9.3310999999999993</v>
      </c>
      <c r="D647" s="9">
        <f>9.3321 * CHOOSE(CONTROL!$C$32, $C$9, 100%, $E$9)</f>
        <v>9.3321000000000005</v>
      </c>
      <c r="E647" s="11">
        <f>10.4389 * CHOOSE(CONTROL!$C$32, $C$9, 100%, $E$9)</f>
        <v>10.4389</v>
      </c>
      <c r="F647" s="11">
        <f>10.4389 * CHOOSE(CONTROL!$C$32, $C$9, 100%, $E$9)</f>
        <v>10.4389</v>
      </c>
      <c r="G647" s="11">
        <f>10.4426 * CHOOSE(CONTROL!$C$32, $C$9, 100%, $E$9)</f>
        <v>10.442600000000001</v>
      </c>
      <c r="H647" s="11">
        <f>20.5827 * CHOOSE(CONTROL!$C$32, $C$9, 100%, $E$9)</f>
        <v>20.582699999999999</v>
      </c>
      <c r="I647" s="11">
        <f>20.5864 * CHOOSE(CONTROL!$C$32, $C$9, 100%, $E$9)</f>
        <v>20.586400000000001</v>
      </c>
      <c r="J647" s="11">
        <f>20.5827 * CHOOSE(CONTROL!$C$32, $C$9, 100%, $E$9)</f>
        <v>20.582699999999999</v>
      </c>
      <c r="K647" s="11">
        <f>20.5864 * CHOOSE(CONTROL!$C$32, $C$9, 100%, $E$9)</f>
        <v>20.586400000000001</v>
      </c>
      <c r="L647" s="11">
        <f>10.4389 * CHOOSE(CONTROL!$C$32, $C$9, 100%, $E$9)</f>
        <v>10.4389</v>
      </c>
      <c r="M647" s="11">
        <f>10.4426 * CHOOSE(CONTROL!$C$32, $C$9, 100%, $E$9)</f>
        <v>10.442600000000001</v>
      </c>
      <c r="N647" s="11">
        <f>10.4389 * CHOOSE(CONTROL!$C$32, $C$9, 100%, $E$9)</f>
        <v>10.4389</v>
      </c>
      <c r="O647" s="11">
        <f>10.4426 * CHOOSE(CONTROL!$C$32, $C$9, 100%, $E$9)</f>
        <v>10.442600000000001</v>
      </c>
    </row>
    <row r="648" spans="1:15" ht="15" x14ac:dyDescent="0.2">
      <c r="A648" s="13">
        <v>60572</v>
      </c>
      <c r="B648" s="9">
        <f>9.3341 * CHOOSE(CONTROL!$C$32, $C$9, 100%, $E$9)</f>
        <v>9.3340999999999994</v>
      </c>
      <c r="C648" s="9">
        <f>9.3341 * CHOOSE(CONTROL!$C$32, $C$9, 100%, $E$9)</f>
        <v>9.3340999999999994</v>
      </c>
      <c r="D648" s="9">
        <f>9.3352 * CHOOSE(CONTROL!$C$32, $C$9, 100%, $E$9)</f>
        <v>9.3352000000000004</v>
      </c>
      <c r="E648" s="11">
        <f>10.4947 * CHOOSE(CONTROL!$C$32, $C$9, 100%, $E$9)</f>
        <v>10.4947</v>
      </c>
      <c r="F648" s="11">
        <f>10.4947 * CHOOSE(CONTROL!$C$32, $C$9, 100%, $E$9)</f>
        <v>10.4947</v>
      </c>
      <c r="G648" s="11">
        <f>10.4983 * CHOOSE(CONTROL!$C$32, $C$9, 100%, $E$9)</f>
        <v>10.4983</v>
      </c>
      <c r="H648" s="11">
        <f>20.6256 * CHOOSE(CONTROL!$C$32, $C$9, 100%, $E$9)</f>
        <v>20.625599999999999</v>
      </c>
      <c r="I648" s="11">
        <f>20.6292 * CHOOSE(CONTROL!$C$32, $C$9, 100%, $E$9)</f>
        <v>20.629200000000001</v>
      </c>
      <c r="J648" s="11">
        <f>20.6256 * CHOOSE(CONTROL!$C$32, $C$9, 100%, $E$9)</f>
        <v>20.625599999999999</v>
      </c>
      <c r="K648" s="11">
        <f>20.6292 * CHOOSE(CONTROL!$C$32, $C$9, 100%, $E$9)</f>
        <v>20.629200000000001</v>
      </c>
      <c r="L648" s="11">
        <f>10.4947 * CHOOSE(CONTROL!$C$32, $C$9, 100%, $E$9)</f>
        <v>10.4947</v>
      </c>
      <c r="M648" s="11">
        <f>10.4983 * CHOOSE(CONTROL!$C$32, $C$9, 100%, $E$9)</f>
        <v>10.4983</v>
      </c>
      <c r="N648" s="11">
        <f>10.4947 * CHOOSE(CONTROL!$C$32, $C$9, 100%, $E$9)</f>
        <v>10.4947</v>
      </c>
      <c r="O648" s="11">
        <f>10.4983 * CHOOSE(CONTROL!$C$32, $C$9, 100%, $E$9)</f>
        <v>10.4983</v>
      </c>
    </row>
    <row r="649" spans="1:15" ht="15" x14ac:dyDescent="0.2">
      <c r="A649" s="13">
        <v>60602</v>
      </c>
      <c r="B649" s="9">
        <f>9.3341 * CHOOSE(CONTROL!$C$32, $C$9, 100%, $E$9)</f>
        <v>9.3340999999999994</v>
      </c>
      <c r="C649" s="9">
        <f>9.3341 * CHOOSE(CONTROL!$C$32, $C$9, 100%, $E$9)</f>
        <v>9.3340999999999994</v>
      </c>
      <c r="D649" s="9">
        <f>9.3352 * CHOOSE(CONTROL!$C$32, $C$9, 100%, $E$9)</f>
        <v>9.3352000000000004</v>
      </c>
      <c r="E649" s="11">
        <f>10.3606 * CHOOSE(CONTROL!$C$32, $C$9, 100%, $E$9)</f>
        <v>10.3606</v>
      </c>
      <c r="F649" s="11">
        <f>10.3606 * CHOOSE(CONTROL!$C$32, $C$9, 100%, $E$9)</f>
        <v>10.3606</v>
      </c>
      <c r="G649" s="11">
        <f>10.3642 * CHOOSE(CONTROL!$C$32, $C$9, 100%, $E$9)</f>
        <v>10.3642</v>
      </c>
      <c r="H649" s="11">
        <f>20.6686 * CHOOSE(CONTROL!$C$32, $C$9, 100%, $E$9)</f>
        <v>20.668600000000001</v>
      </c>
      <c r="I649" s="11">
        <f>20.6722 * CHOOSE(CONTROL!$C$32, $C$9, 100%, $E$9)</f>
        <v>20.6722</v>
      </c>
      <c r="J649" s="11">
        <f>20.6686 * CHOOSE(CONTROL!$C$32, $C$9, 100%, $E$9)</f>
        <v>20.668600000000001</v>
      </c>
      <c r="K649" s="11">
        <f>20.6722 * CHOOSE(CONTROL!$C$32, $C$9, 100%, $E$9)</f>
        <v>20.6722</v>
      </c>
      <c r="L649" s="11">
        <f>10.3606 * CHOOSE(CONTROL!$C$32, $C$9, 100%, $E$9)</f>
        <v>10.3606</v>
      </c>
      <c r="M649" s="11">
        <f>10.3642 * CHOOSE(CONTROL!$C$32, $C$9, 100%, $E$9)</f>
        <v>10.3642</v>
      </c>
      <c r="N649" s="11">
        <f>10.3606 * CHOOSE(CONTROL!$C$32, $C$9, 100%, $E$9)</f>
        <v>10.3606</v>
      </c>
      <c r="O649" s="11">
        <f>10.3642 * CHOOSE(CONTROL!$C$32, $C$9, 100%, $E$9)</f>
        <v>10.3642</v>
      </c>
    </row>
    <row r="650" spans="1:15" ht="15" x14ac:dyDescent="0.2">
      <c r="A650" s="13">
        <v>60633</v>
      </c>
      <c r="B650" s="9">
        <f>9.3816 * CHOOSE(CONTROL!$C$32, $C$9, 100%, $E$9)</f>
        <v>9.3816000000000006</v>
      </c>
      <c r="C650" s="9">
        <f>9.3816 * CHOOSE(CONTROL!$C$32, $C$9, 100%, $E$9)</f>
        <v>9.3816000000000006</v>
      </c>
      <c r="D650" s="9">
        <f>9.3827 * CHOOSE(CONTROL!$C$32, $C$9, 100%, $E$9)</f>
        <v>9.3826999999999998</v>
      </c>
      <c r="E650" s="11">
        <f>10.5205 * CHOOSE(CONTROL!$C$32, $C$9, 100%, $E$9)</f>
        <v>10.5205</v>
      </c>
      <c r="F650" s="11">
        <f>10.5205 * CHOOSE(CONTROL!$C$32, $C$9, 100%, $E$9)</f>
        <v>10.5205</v>
      </c>
      <c r="G650" s="11">
        <f>10.5241 * CHOOSE(CONTROL!$C$32, $C$9, 100%, $E$9)</f>
        <v>10.524100000000001</v>
      </c>
      <c r="H650" s="11">
        <f>20.6543 * CHOOSE(CONTROL!$C$32, $C$9, 100%, $E$9)</f>
        <v>20.654299999999999</v>
      </c>
      <c r="I650" s="11">
        <f>20.6579 * CHOOSE(CONTROL!$C$32, $C$9, 100%, $E$9)</f>
        <v>20.657900000000001</v>
      </c>
      <c r="J650" s="11">
        <f>20.6543 * CHOOSE(CONTROL!$C$32, $C$9, 100%, $E$9)</f>
        <v>20.654299999999999</v>
      </c>
      <c r="K650" s="11">
        <f>20.6579 * CHOOSE(CONTROL!$C$32, $C$9, 100%, $E$9)</f>
        <v>20.657900000000001</v>
      </c>
      <c r="L650" s="11">
        <f>10.5205 * CHOOSE(CONTROL!$C$32, $C$9, 100%, $E$9)</f>
        <v>10.5205</v>
      </c>
      <c r="M650" s="11">
        <f>10.5241 * CHOOSE(CONTROL!$C$32, $C$9, 100%, $E$9)</f>
        <v>10.524100000000001</v>
      </c>
      <c r="N650" s="11">
        <f>10.5205 * CHOOSE(CONTROL!$C$32, $C$9, 100%, $E$9)</f>
        <v>10.5205</v>
      </c>
      <c r="O650" s="11">
        <f>10.5241 * CHOOSE(CONTROL!$C$32, $C$9, 100%, $E$9)</f>
        <v>10.524100000000001</v>
      </c>
    </row>
    <row r="651" spans="1:15" ht="15" x14ac:dyDescent="0.2">
      <c r="A651" s="13">
        <v>60664</v>
      </c>
      <c r="B651" s="9">
        <f>9.3786 * CHOOSE(CONTROL!$C$32, $C$9, 100%, $E$9)</f>
        <v>9.3786000000000005</v>
      </c>
      <c r="C651" s="9">
        <f>9.3786 * CHOOSE(CONTROL!$C$32, $C$9, 100%, $E$9)</f>
        <v>9.3786000000000005</v>
      </c>
      <c r="D651" s="9">
        <f>9.3797 * CHOOSE(CONTROL!$C$32, $C$9, 100%, $E$9)</f>
        <v>9.3796999999999997</v>
      </c>
      <c r="E651" s="11">
        <f>10.2578 * CHOOSE(CONTROL!$C$32, $C$9, 100%, $E$9)</f>
        <v>10.2578</v>
      </c>
      <c r="F651" s="11">
        <f>10.2578 * CHOOSE(CONTROL!$C$32, $C$9, 100%, $E$9)</f>
        <v>10.2578</v>
      </c>
      <c r="G651" s="11">
        <f>10.2614 * CHOOSE(CONTROL!$C$32, $C$9, 100%, $E$9)</f>
        <v>10.2614</v>
      </c>
      <c r="H651" s="11">
        <f>20.6973 * CHOOSE(CONTROL!$C$32, $C$9, 100%, $E$9)</f>
        <v>20.697299999999998</v>
      </c>
      <c r="I651" s="11">
        <f>20.7009 * CHOOSE(CONTROL!$C$32, $C$9, 100%, $E$9)</f>
        <v>20.700900000000001</v>
      </c>
      <c r="J651" s="11">
        <f>20.6973 * CHOOSE(CONTROL!$C$32, $C$9, 100%, $E$9)</f>
        <v>20.697299999999998</v>
      </c>
      <c r="K651" s="11">
        <f>20.7009 * CHOOSE(CONTROL!$C$32, $C$9, 100%, $E$9)</f>
        <v>20.700900000000001</v>
      </c>
      <c r="L651" s="11">
        <f>10.2578 * CHOOSE(CONTROL!$C$32, $C$9, 100%, $E$9)</f>
        <v>10.2578</v>
      </c>
      <c r="M651" s="11">
        <f>10.2614 * CHOOSE(CONTROL!$C$32, $C$9, 100%, $E$9)</f>
        <v>10.2614</v>
      </c>
      <c r="N651" s="11">
        <f>10.2578 * CHOOSE(CONTROL!$C$32, $C$9, 100%, $E$9)</f>
        <v>10.2578</v>
      </c>
      <c r="O651" s="11">
        <f>10.2614 * CHOOSE(CONTROL!$C$32, $C$9, 100%, $E$9)</f>
        <v>10.2614</v>
      </c>
    </row>
    <row r="652" spans="1:15" ht="15" x14ac:dyDescent="0.2">
      <c r="A652" s="13">
        <v>60692</v>
      </c>
      <c r="B652" s="9">
        <f>9.3756 * CHOOSE(CONTROL!$C$32, $C$9, 100%, $E$9)</f>
        <v>9.3756000000000004</v>
      </c>
      <c r="C652" s="9">
        <f>9.3756 * CHOOSE(CONTROL!$C$32, $C$9, 100%, $E$9)</f>
        <v>9.3756000000000004</v>
      </c>
      <c r="D652" s="9">
        <f>9.3766 * CHOOSE(CONTROL!$C$32, $C$9, 100%, $E$9)</f>
        <v>9.3765999999999998</v>
      </c>
      <c r="E652" s="11">
        <f>10.4611 * CHOOSE(CONTROL!$C$32, $C$9, 100%, $E$9)</f>
        <v>10.4611</v>
      </c>
      <c r="F652" s="11">
        <f>10.4611 * CHOOSE(CONTROL!$C$32, $C$9, 100%, $E$9)</f>
        <v>10.4611</v>
      </c>
      <c r="G652" s="11">
        <f>10.4647 * CHOOSE(CONTROL!$C$32, $C$9, 100%, $E$9)</f>
        <v>10.464700000000001</v>
      </c>
      <c r="H652" s="11">
        <f>20.7405 * CHOOSE(CONTROL!$C$32, $C$9, 100%, $E$9)</f>
        <v>20.740500000000001</v>
      </c>
      <c r="I652" s="11">
        <f>20.7441 * CHOOSE(CONTROL!$C$32, $C$9, 100%, $E$9)</f>
        <v>20.7441</v>
      </c>
      <c r="J652" s="11">
        <f>20.7405 * CHOOSE(CONTROL!$C$32, $C$9, 100%, $E$9)</f>
        <v>20.740500000000001</v>
      </c>
      <c r="K652" s="11">
        <f>20.7441 * CHOOSE(CONTROL!$C$32, $C$9, 100%, $E$9)</f>
        <v>20.7441</v>
      </c>
      <c r="L652" s="11">
        <f>10.4611 * CHOOSE(CONTROL!$C$32, $C$9, 100%, $E$9)</f>
        <v>10.4611</v>
      </c>
      <c r="M652" s="11">
        <f>10.4647 * CHOOSE(CONTROL!$C$32, $C$9, 100%, $E$9)</f>
        <v>10.464700000000001</v>
      </c>
      <c r="N652" s="11">
        <f>10.4611 * CHOOSE(CONTROL!$C$32, $C$9, 100%, $E$9)</f>
        <v>10.4611</v>
      </c>
      <c r="O652" s="11">
        <f>10.4647 * CHOOSE(CONTROL!$C$32, $C$9, 100%, $E$9)</f>
        <v>10.464700000000001</v>
      </c>
    </row>
    <row r="653" spans="1:15" ht="15" x14ac:dyDescent="0.2">
      <c r="A653" s="13">
        <v>60723</v>
      </c>
      <c r="B653" s="9">
        <f>9.3784 * CHOOSE(CONTROL!$C$32, $C$9, 100%, $E$9)</f>
        <v>9.3783999999999992</v>
      </c>
      <c r="C653" s="9">
        <f>9.3784 * CHOOSE(CONTROL!$C$32, $C$9, 100%, $E$9)</f>
        <v>9.3783999999999992</v>
      </c>
      <c r="D653" s="9">
        <f>9.3795 * CHOOSE(CONTROL!$C$32, $C$9, 100%, $E$9)</f>
        <v>9.3795000000000002</v>
      </c>
      <c r="E653" s="11">
        <f>10.6775 * CHOOSE(CONTROL!$C$32, $C$9, 100%, $E$9)</f>
        <v>10.6775</v>
      </c>
      <c r="F653" s="11">
        <f>10.6775 * CHOOSE(CONTROL!$C$32, $C$9, 100%, $E$9)</f>
        <v>10.6775</v>
      </c>
      <c r="G653" s="11">
        <f>10.6811 * CHOOSE(CONTROL!$C$32, $C$9, 100%, $E$9)</f>
        <v>10.681100000000001</v>
      </c>
      <c r="H653" s="11">
        <f>20.7837 * CHOOSE(CONTROL!$C$32, $C$9, 100%, $E$9)</f>
        <v>20.7837</v>
      </c>
      <c r="I653" s="11">
        <f>20.7873 * CHOOSE(CONTROL!$C$32, $C$9, 100%, $E$9)</f>
        <v>20.787299999999998</v>
      </c>
      <c r="J653" s="11">
        <f>20.7837 * CHOOSE(CONTROL!$C$32, $C$9, 100%, $E$9)</f>
        <v>20.7837</v>
      </c>
      <c r="K653" s="11">
        <f>20.7873 * CHOOSE(CONTROL!$C$32, $C$9, 100%, $E$9)</f>
        <v>20.787299999999998</v>
      </c>
      <c r="L653" s="11">
        <f>10.6775 * CHOOSE(CONTROL!$C$32, $C$9, 100%, $E$9)</f>
        <v>10.6775</v>
      </c>
      <c r="M653" s="11">
        <f>10.6811 * CHOOSE(CONTROL!$C$32, $C$9, 100%, $E$9)</f>
        <v>10.681100000000001</v>
      </c>
      <c r="N653" s="11">
        <f>10.6775 * CHOOSE(CONTROL!$C$32, $C$9, 100%, $E$9)</f>
        <v>10.6775</v>
      </c>
      <c r="O653" s="11">
        <f>10.6811 * CHOOSE(CONTROL!$C$32, $C$9, 100%, $E$9)</f>
        <v>10.681100000000001</v>
      </c>
    </row>
    <row r="654" spans="1:15" ht="15" x14ac:dyDescent="0.2">
      <c r="A654" s="13">
        <v>60753</v>
      </c>
      <c r="B654" s="9">
        <f>9.3784 * CHOOSE(CONTROL!$C$32, $C$9, 100%, $E$9)</f>
        <v>9.3783999999999992</v>
      </c>
      <c r="C654" s="9">
        <f>9.3784 * CHOOSE(CONTROL!$C$32, $C$9, 100%, $E$9)</f>
        <v>9.3783999999999992</v>
      </c>
      <c r="D654" s="9">
        <f>9.38 * CHOOSE(CONTROL!$C$32, $C$9, 100%, $E$9)</f>
        <v>9.3800000000000008</v>
      </c>
      <c r="E654" s="11">
        <f>10.7602 * CHOOSE(CONTROL!$C$32, $C$9, 100%, $E$9)</f>
        <v>10.760199999999999</v>
      </c>
      <c r="F654" s="11">
        <f>10.7602 * CHOOSE(CONTROL!$C$32, $C$9, 100%, $E$9)</f>
        <v>10.760199999999999</v>
      </c>
      <c r="G654" s="11">
        <f>10.7655 * CHOOSE(CONTROL!$C$32, $C$9, 100%, $E$9)</f>
        <v>10.765499999999999</v>
      </c>
      <c r="H654" s="11">
        <f>20.827 * CHOOSE(CONTROL!$C$32, $C$9, 100%, $E$9)</f>
        <v>20.827000000000002</v>
      </c>
      <c r="I654" s="11">
        <f>20.8323 * CHOOSE(CONTROL!$C$32, $C$9, 100%, $E$9)</f>
        <v>20.8323</v>
      </c>
      <c r="J654" s="11">
        <f>20.827 * CHOOSE(CONTROL!$C$32, $C$9, 100%, $E$9)</f>
        <v>20.827000000000002</v>
      </c>
      <c r="K654" s="11">
        <f>20.8323 * CHOOSE(CONTROL!$C$32, $C$9, 100%, $E$9)</f>
        <v>20.8323</v>
      </c>
      <c r="L654" s="11">
        <f>10.7602 * CHOOSE(CONTROL!$C$32, $C$9, 100%, $E$9)</f>
        <v>10.760199999999999</v>
      </c>
      <c r="M654" s="11">
        <f>10.7655 * CHOOSE(CONTROL!$C$32, $C$9, 100%, $E$9)</f>
        <v>10.765499999999999</v>
      </c>
      <c r="N654" s="11">
        <f>10.7602 * CHOOSE(CONTROL!$C$32, $C$9, 100%, $E$9)</f>
        <v>10.760199999999999</v>
      </c>
      <c r="O654" s="11">
        <f>10.7655 * CHOOSE(CONTROL!$C$32, $C$9, 100%, $E$9)</f>
        <v>10.765499999999999</v>
      </c>
    </row>
    <row r="655" spans="1:15" ht="15" x14ac:dyDescent="0.2">
      <c r="A655" s="13">
        <v>60784</v>
      </c>
      <c r="B655" s="9">
        <f>9.3845 * CHOOSE(CONTROL!$C$32, $C$9, 100%, $E$9)</f>
        <v>9.3844999999999992</v>
      </c>
      <c r="C655" s="9">
        <f>9.3845 * CHOOSE(CONTROL!$C$32, $C$9, 100%, $E$9)</f>
        <v>9.3844999999999992</v>
      </c>
      <c r="D655" s="9">
        <f>9.3861 * CHOOSE(CONTROL!$C$32, $C$9, 100%, $E$9)</f>
        <v>9.3861000000000008</v>
      </c>
      <c r="E655" s="11">
        <f>10.6817 * CHOOSE(CONTROL!$C$32, $C$9, 100%, $E$9)</f>
        <v>10.681699999999999</v>
      </c>
      <c r="F655" s="11">
        <f>10.6817 * CHOOSE(CONTROL!$C$32, $C$9, 100%, $E$9)</f>
        <v>10.681699999999999</v>
      </c>
      <c r="G655" s="11">
        <f>10.687 * CHOOSE(CONTROL!$C$32, $C$9, 100%, $E$9)</f>
        <v>10.686999999999999</v>
      </c>
      <c r="H655" s="11">
        <f>20.8703 * CHOOSE(CONTROL!$C$32, $C$9, 100%, $E$9)</f>
        <v>20.8703</v>
      </c>
      <c r="I655" s="11">
        <f>20.8756 * CHOOSE(CONTROL!$C$32, $C$9, 100%, $E$9)</f>
        <v>20.875599999999999</v>
      </c>
      <c r="J655" s="11">
        <f>20.8703 * CHOOSE(CONTROL!$C$32, $C$9, 100%, $E$9)</f>
        <v>20.8703</v>
      </c>
      <c r="K655" s="11">
        <f>20.8756 * CHOOSE(CONTROL!$C$32, $C$9, 100%, $E$9)</f>
        <v>20.875599999999999</v>
      </c>
      <c r="L655" s="11">
        <f>10.6817 * CHOOSE(CONTROL!$C$32, $C$9, 100%, $E$9)</f>
        <v>10.681699999999999</v>
      </c>
      <c r="M655" s="11">
        <f>10.687 * CHOOSE(CONTROL!$C$32, $C$9, 100%, $E$9)</f>
        <v>10.686999999999999</v>
      </c>
      <c r="N655" s="11">
        <f>10.6817 * CHOOSE(CONTROL!$C$32, $C$9, 100%, $E$9)</f>
        <v>10.681699999999999</v>
      </c>
      <c r="O655" s="11">
        <f>10.687 * CHOOSE(CONTROL!$C$32, $C$9, 100%, $E$9)</f>
        <v>10.686999999999999</v>
      </c>
    </row>
    <row r="656" spans="1:15" ht="15" x14ac:dyDescent="0.2">
      <c r="A656" s="13">
        <v>60814</v>
      </c>
      <c r="B656" s="9">
        <f>9.5021 * CHOOSE(CONTROL!$C$32, $C$9, 100%, $E$9)</f>
        <v>9.5021000000000004</v>
      </c>
      <c r="C656" s="9">
        <f>9.5021 * CHOOSE(CONTROL!$C$32, $C$9, 100%, $E$9)</f>
        <v>9.5021000000000004</v>
      </c>
      <c r="D656" s="9">
        <f>9.5037 * CHOOSE(CONTROL!$C$32, $C$9, 100%, $E$9)</f>
        <v>9.5037000000000003</v>
      </c>
      <c r="E656" s="11">
        <f>10.8309 * CHOOSE(CONTROL!$C$32, $C$9, 100%, $E$9)</f>
        <v>10.8309</v>
      </c>
      <c r="F656" s="11">
        <f>10.8309 * CHOOSE(CONTROL!$C$32, $C$9, 100%, $E$9)</f>
        <v>10.8309</v>
      </c>
      <c r="G656" s="11">
        <f>10.8362 * CHOOSE(CONTROL!$C$32, $C$9, 100%, $E$9)</f>
        <v>10.8362</v>
      </c>
      <c r="H656" s="11">
        <f>20.9138 * CHOOSE(CONTROL!$C$32, $C$9, 100%, $E$9)</f>
        <v>20.913799999999998</v>
      </c>
      <c r="I656" s="11">
        <f>20.9191 * CHOOSE(CONTROL!$C$32, $C$9, 100%, $E$9)</f>
        <v>20.9191</v>
      </c>
      <c r="J656" s="11">
        <f>20.9138 * CHOOSE(CONTROL!$C$32, $C$9, 100%, $E$9)</f>
        <v>20.913799999999998</v>
      </c>
      <c r="K656" s="11">
        <f>20.9191 * CHOOSE(CONTROL!$C$32, $C$9, 100%, $E$9)</f>
        <v>20.9191</v>
      </c>
      <c r="L656" s="11">
        <f>10.8309 * CHOOSE(CONTROL!$C$32, $C$9, 100%, $E$9)</f>
        <v>10.8309</v>
      </c>
      <c r="M656" s="11">
        <f>10.8362 * CHOOSE(CONTROL!$C$32, $C$9, 100%, $E$9)</f>
        <v>10.8362</v>
      </c>
      <c r="N656" s="11">
        <f>10.8309 * CHOOSE(CONTROL!$C$32, $C$9, 100%, $E$9)</f>
        <v>10.8309</v>
      </c>
      <c r="O656" s="11">
        <f>10.8362 * CHOOSE(CONTROL!$C$32, $C$9, 100%, $E$9)</f>
        <v>10.8362</v>
      </c>
    </row>
    <row r="657" spans="1:15" ht="15" x14ac:dyDescent="0.2">
      <c r="A657" s="13">
        <v>60845</v>
      </c>
      <c r="B657" s="9">
        <f>9.5088 * CHOOSE(CONTROL!$C$32, $C$9, 100%, $E$9)</f>
        <v>9.5088000000000008</v>
      </c>
      <c r="C657" s="9">
        <f>9.5088 * CHOOSE(CONTROL!$C$32, $C$9, 100%, $E$9)</f>
        <v>9.5088000000000008</v>
      </c>
      <c r="D657" s="9">
        <f>9.5104 * CHOOSE(CONTROL!$C$32, $C$9, 100%, $E$9)</f>
        <v>9.5104000000000006</v>
      </c>
      <c r="E657" s="11">
        <f>10.5874 * CHOOSE(CONTROL!$C$32, $C$9, 100%, $E$9)</f>
        <v>10.587400000000001</v>
      </c>
      <c r="F657" s="11">
        <f>10.5874 * CHOOSE(CONTROL!$C$32, $C$9, 100%, $E$9)</f>
        <v>10.587400000000001</v>
      </c>
      <c r="G657" s="11">
        <f>10.5927 * CHOOSE(CONTROL!$C$32, $C$9, 100%, $E$9)</f>
        <v>10.592700000000001</v>
      </c>
      <c r="H657" s="11">
        <f>20.9574 * CHOOSE(CONTROL!$C$32, $C$9, 100%, $E$9)</f>
        <v>20.9574</v>
      </c>
      <c r="I657" s="11">
        <f>20.9627 * CHOOSE(CONTROL!$C$32, $C$9, 100%, $E$9)</f>
        <v>20.962700000000002</v>
      </c>
      <c r="J657" s="11">
        <f>20.9574 * CHOOSE(CONTROL!$C$32, $C$9, 100%, $E$9)</f>
        <v>20.9574</v>
      </c>
      <c r="K657" s="11">
        <f>20.9627 * CHOOSE(CONTROL!$C$32, $C$9, 100%, $E$9)</f>
        <v>20.962700000000002</v>
      </c>
      <c r="L657" s="11">
        <f>10.5874 * CHOOSE(CONTROL!$C$32, $C$9, 100%, $E$9)</f>
        <v>10.587400000000001</v>
      </c>
      <c r="M657" s="11">
        <f>10.5927 * CHOOSE(CONTROL!$C$32, $C$9, 100%, $E$9)</f>
        <v>10.592700000000001</v>
      </c>
      <c r="N657" s="11">
        <f>10.5874 * CHOOSE(CONTROL!$C$32, $C$9, 100%, $E$9)</f>
        <v>10.587400000000001</v>
      </c>
      <c r="O657" s="11">
        <f>10.5927 * CHOOSE(CONTROL!$C$32, $C$9, 100%, $E$9)</f>
        <v>10.592700000000001</v>
      </c>
    </row>
    <row r="658" spans="1:15" ht="15" x14ac:dyDescent="0.2">
      <c r="A658" s="13">
        <v>60876</v>
      </c>
      <c r="B658" s="9">
        <f>9.5058 * CHOOSE(CONTROL!$C$32, $C$9, 100%, $E$9)</f>
        <v>9.5058000000000007</v>
      </c>
      <c r="C658" s="9">
        <f>9.5058 * CHOOSE(CONTROL!$C$32, $C$9, 100%, $E$9)</f>
        <v>9.5058000000000007</v>
      </c>
      <c r="D658" s="9">
        <f>9.5074 * CHOOSE(CONTROL!$C$32, $C$9, 100%, $E$9)</f>
        <v>9.5074000000000005</v>
      </c>
      <c r="E658" s="11">
        <f>10.5577 * CHOOSE(CONTROL!$C$32, $C$9, 100%, $E$9)</f>
        <v>10.557700000000001</v>
      </c>
      <c r="F658" s="11">
        <f>10.5577 * CHOOSE(CONTROL!$C$32, $C$9, 100%, $E$9)</f>
        <v>10.557700000000001</v>
      </c>
      <c r="G658" s="11">
        <f>10.563 * CHOOSE(CONTROL!$C$32, $C$9, 100%, $E$9)</f>
        <v>10.563000000000001</v>
      </c>
      <c r="H658" s="11">
        <f>21.0011 * CHOOSE(CONTROL!$C$32, $C$9, 100%, $E$9)</f>
        <v>21.001100000000001</v>
      </c>
      <c r="I658" s="11">
        <f>21.0064 * CHOOSE(CONTROL!$C$32, $C$9, 100%, $E$9)</f>
        <v>21.006399999999999</v>
      </c>
      <c r="J658" s="11">
        <f>21.0011 * CHOOSE(CONTROL!$C$32, $C$9, 100%, $E$9)</f>
        <v>21.001100000000001</v>
      </c>
      <c r="K658" s="11">
        <f>21.0064 * CHOOSE(CONTROL!$C$32, $C$9, 100%, $E$9)</f>
        <v>21.006399999999999</v>
      </c>
      <c r="L658" s="11">
        <f>10.5577 * CHOOSE(CONTROL!$C$32, $C$9, 100%, $E$9)</f>
        <v>10.557700000000001</v>
      </c>
      <c r="M658" s="11">
        <f>10.563 * CHOOSE(CONTROL!$C$32, $C$9, 100%, $E$9)</f>
        <v>10.563000000000001</v>
      </c>
      <c r="N658" s="11">
        <f>10.5577 * CHOOSE(CONTROL!$C$32, $C$9, 100%, $E$9)</f>
        <v>10.557700000000001</v>
      </c>
      <c r="O658" s="11">
        <f>10.563 * CHOOSE(CONTROL!$C$32, $C$9, 100%, $E$9)</f>
        <v>10.563000000000001</v>
      </c>
    </row>
    <row r="659" spans="1:15" ht="15" x14ac:dyDescent="0.2">
      <c r="A659" s="13">
        <v>60906</v>
      </c>
      <c r="B659" s="9">
        <f>9.5214 * CHOOSE(CONTROL!$C$32, $C$9, 100%, $E$9)</f>
        <v>9.5213999999999999</v>
      </c>
      <c r="C659" s="9">
        <f>9.5214 * CHOOSE(CONTROL!$C$32, $C$9, 100%, $E$9)</f>
        <v>9.5213999999999999</v>
      </c>
      <c r="D659" s="9">
        <f>9.5225 * CHOOSE(CONTROL!$C$32, $C$9, 100%, $E$9)</f>
        <v>9.5225000000000009</v>
      </c>
      <c r="E659" s="11">
        <f>10.6546 * CHOOSE(CONTROL!$C$32, $C$9, 100%, $E$9)</f>
        <v>10.6546</v>
      </c>
      <c r="F659" s="11">
        <f>10.6546 * CHOOSE(CONTROL!$C$32, $C$9, 100%, $E$9)</f>
        <v>10.6546</v>
      </c>
      <c r="G659" s="11">
        <f>10.6582 * CHOOSE(CONTROL!$C$32, $C$9, 100%, $E$9)</f>
        <v>10.658200000000001</v>
      </c>
      <c r="H659" s="11">
        <f>21.0448 * CHOOSE(CONTROL!$C$32, $C$9, 100%, $E$9)</f>
        <v>21.044799999999999</v>
      </c>
      <c r="I659" s="11">
        <f>21.0484 * CHOOSE(CONTROL!$C$32, $C$9, 100%, $E$9)</f>
        <v>21.048400000000001</v>
      </c>
      <c r="J659" s="11">
        <f>21.0448 * CHOOSE(CONTROL!$C$32, $C$9, 100%, $E$9)</f>
        <v>21.044799999999999</v>
      </c>
      <c r="K659" s="11">
        <f>21.0484 * CHOOSE(CONTROL!$C$32, $C$9, 100%, $E$9)</f>
        <v>21.048400000000001</v>
      </c>
      <c r="L659" s="11">
        <f>10.6546 * CHOOSE(CONTROL!$C$32, $C$9, 100%, $E$9)</f>
        <v>10.6546</v>
      </c>
      <c r="M659" s="11">
        <f>10.6582 * CHOOSE(CONTROL!$C$32, $C$9, 100%, $E$9)</f>
        <v>10.658200000000001</v>
      </c>
      <c r="N659" s="11">
        <f>10.6546 * CHOOSE(CONTROL!$C$32, $C$9, 100%, $E$9)</f>
        <v>10.6546</v>
      </c>
      <c r="O659" s="11">
        <f>10.6582 * CHOOSE(CONTROL!$C$32, $C$9, 100%, $E$9)</f>
        <v>10.658200000000001</v>
      </c>
    </row>
    <row r="660" spans="1:15" ht="15" x14ac:dyDescent="0.2">
      <c r="A660" s="13">
        <v>60937</v>
      </c>
      <c r="B660" s="9">
        <f>9.5244 * CHOOSE(CONTROL!$C$32, $C$9, 100%, $E$9)</f>
        <v>9.5244</v>
      </c>
      <c r="C660" s="9">
        <f>9.5244 * CHOOSE(CONTROL!$C$32, $C$9, 100%, $E$9)</f>
        <v>9.5244</v>
      </c>
      <c r="D660" s="9">
        <f>9.5255 * CHOOSE(CONTROL!$C$32, $C$9, 100%, $E$9)</f>
        <v>9.5254999999999992</v>
      </c>
      <c r="E660" s="11">
        <f>10.7119 * CHOOSE(CONTROL!$C$32, $C$9, 100%, $E$9)</f>
        <v>10.7119</v>
      </c>
      <c r="F660" s="11">
        <f>10.7119 * CHOOSE(CONTROL!$C$32, $C$9, 100%, $E$9)</f>
        <v>10.7119</v>
      </c>
      <c r="G660" s="11">
        <f>10.7155 * CHOOSE(CONTROL!$C$32, $C$9, 100%, $E$9)</f>
        <v>10.7155</v>
      </c>
      <c r="H660" s="11">
        <f>21.0887 * CHOOSE(CONTROL!$C$32, $C$9, 100%, $E$9)</f>
        <v>21.088699999999999</v>
      </c>
      <c r="I660" s="11">
        <f>21.0923 * CHOOSE(CONTROL!$C$32, $C$9, 100%, $E$9)</f>
        <v>21.092300000000002</v>
      </c>
      <c r="J660" s="11">
        <f>21.0887 * CHOOSE(CONTROL!$C$32, $C$9, 100%, $E$9)</f>
        <v>21.088699999999999</v>
      </c>
      <c r="K660" s="11">
        <f>21.0923 * CHOOSE(CONTROL!$C$32, $C$9, 100%, $E$9)</f>
        <v>21.092300000000002</v>
      </c>
      <c r="L660" s="11">
        <f>10.7119 * CHOOSE(CONTROL!$C$32, $C$9, 100%, $E$9)</f>
        <v>10.7119</v>
      </c>
      <c r="M660" s="11">
        <f>10.7155 * CHOOSE(CONTROL!$C$32, $C$9, 100%, $E$9)</f>
        <v>10.7155</v>
      </c>
      <c r="N660" s="11">
        <f>10.7119 * CHOOSE(CONTROL!$C$32, $C$9, 100%, $E$9)</f>
        <v>10.7119</v>
      </c>
      <c r="O660" s="11">
        <f>10.7155 * CHOOSE(CONTROL!$C$32, $C$9, 100%, $E$9)</f>
        <v>10.7155</v>
      </c>
    </row>
    <row r="661" spans="1:15" ht="15" x14ac:dyDescent="0.2">
      <c r="A661" s="13">
        <v>60967</v>
      </c>
      <c r="B661" s="9">
        <f>9.5244 * CHOOSE(CONTROL!$C$32, $C$9, 100%, $E$9)</f>
        <v>9.5244</v>
      </c>
      <c r="C661" s="9">
        <f>9.5244 * CHOOSE(CONTROL!$C$32, $C$9, 100%, $E$9)</f>
        <v>9.5244</v>
      </c>
      <c r="D661" s="9">
        <f>9.5255 * CHOOSE(CONTROL!$C$32, $C$9, 100%, $E$9)</f>
        <v>9.5254999999999992</v>
      </c>
      <c r="E661" s="11">
        <f>10.574 * CHOOSE(CONTROL!$C$32, $C$9, 100%, $E$9)</f>
        <v>10.574</v>
      </c>
      <c r="F661" s="11">
        <f>10.574 * CHOOSE(CONTROL!$C$32, $C$9, 100%, $E$9)</f>
        <v>10.574</v>
      </c>
      <c r="G661" s="11">
        <f>10.5776 * CHOOSE(CONTROL!$C$32, $C$9, 100%, $E$9)</f>
        <v>10.5776</v>
      </c>
      <c r="H661" s="11">
        <f>21.1326 * CHOOSE(CONTROL!$C$32, $C$9, 100%, $E$9)</f>
        <v>21.1326</v>
      </c>
      <c r="I661" s="11">
        <f>21.1362 * CHOOSE(CONTROL!$C$32, $C$9, 100%, $E$9)</f>
        <v>21.136199999999999</v>
      </c>
      <c r="J661" s="11">
        <f>21.1326 * CHOOSE(CONTROL!$C$32, $C$9, 100%, $E$9)</f>
        <v>21.1326</v>
      </c>
      <c r="K661" s="11">
        <f>21.1362 * CHOOSE(CONTROL!$C$32, $C$9, 100%, $E$9)</f>
        <v>21.136199999999999</v>
      </c>
      <c r="L661" s="11">
        <f>10.574 * CHOOSE(CONTROL!$C$32, $C$9, 100%, $E$9)</f>
        <v>10.574</v>
      </c>
      <c r="M661" s="11">
        <f>10.5776 * CHOOSE(CONTROL!$C$32, $C$9, 100%, $E$9)</f>
        <v>10.5776</v>
      </c>
      <c r="N661" s="11">
        <f>10.574 * CHOOSE(CONTROL!$C$32, $C$9, 100%, $E$9)</f>
        <v>10.574</v>
      </c>
      <c r="O661" s="11">
        <f>10.5776 * CHOOSE(CONTROL!$C$32, $C$9, 100%, $E$9)</f>
        <v>10.5776</v>
      </c>
    </row>
    <row r="662" spans="1:15" ht="15" x14ac:dyDescent="0.2">
      <c r="A662" s="13">
        <v>60998</v>
      </c>
      <c r="B662" s="9">
        <f>9.569 * CHOOSE(CONTROL!$C$32, $C$9, 100%, $E$9)</f>
        <v>9.5690000000000008</v>
      </c>
      <c r="C662" s="9">
        <f>9.569 * CHOOSE(CONTROL!$C$32, $C$9, 100%, $E$9)</f>
        <v>9.5690000000000008</v>
      </c>
      <c r="D662" s="9">
        <f>9.5701 * CHOOSE(CONTROL!$C$32, $C$9, 100%, $E$9)</f>
        <v>9.5701000000000001</v>
      </c>
      <c r="E662" s="11">
        <f>10.733 * CHOOSE(CONTROL!$C$32, $C$9, 100%, $E$9)</f>
        <v>10.733000000000001</v>
      </c>
      <c r="F662" s="11">
        <f>10.733 * CHOOSE(CONTROL!$C$32, $C$9, 100%, $E$9)</f>
        <v>10.733000000000001</v>
      </c>
      <c r="G662" s="11">
        <f>10.7366 * CHOOSE(CONTROL!$C$32, $C$9, 100%, $E$9)</f>
        <v>10.736599999999999</v>
      </c>
      <c r="H662" s="11">
        <f>21.1078 * CHOOSE(CONTROL!$C$32, $C$9, 100%, $E$9)</f>
        <v>21.107800000000001</v>
      </c>
      <c r="I662" s="11">
        <f>21.1114 * CHOOSE(CONTROL!$C$32, $C$9, 100%, $E$9)</f>
        <v>21.1114</v>
      </c>
      <c r="J662" s="11">
        <f>21.1078 * CHOOSE(CONTROL!$C$32, $C$9, 100%, $E$9)</f>
        <v>21.107800000000001</v>
      </c>
      <c r="K662" s="11">
        <f>21.1114 * CHOOSE(CONTROL!$C$32, $C$9, 100%, $E$9)</f>
        <v>21.1114</v>
      </c>
      <c r="L662" s="11">
        <f>10.733 * CHOOSE(CONTROL!$C$32, $C$9, 100%, $E$9)</f>
        <v>10.733000000000001</v>
      </c>
      <c r="M662" s="11">
        <f>10.7366 * CHOOSE(CONTROL!$C$32, $C$9, 100%, $E$9)</f>
        <v>10.736599999999999</v>
      </c>
      <c r="N662" s="11">
        <f>10.733 * CHOOSE(CONTROL!$C$32, $C$9, 100%, $E$9)</f>
        <v>10.733000000000001</v>
      </c>
      <c r="O662" s="11">
        <f>10.7366 * CHOOSE(CONTROL!$C$32, $C$9, 100%, $E$9)</f>
        <v>10.736599999999999</v>
      </c>
    </row>
    <row r="663" spans="1:15" ht="15" x14ac:dyDescent="0.2">
      <c r="A663" s="13">
        <v>61029</v>
      </c>
      <c r="B663" s="9">
        <f>9.566 * CHOOSE(CONTROL!$C$32, $C$9, 100%, $E$9)</f>
        <v>9.5660000000000007</v>
      </c>
      <c r="C663" s="9">
        <f>9.566 * CHOOSE(CONTROL!$C$32, $C$9, 100%, $E$9)</f>
        <v>9.5660000000000007</v>
      </c>
      <c r="D663" s="9">
        <f>9.567 * CHOOSE(CONTROL!$C$32, $C$9, 100%, $E$9)</f>
        <v>9.5670000000000002</v>
      </c>
      <c r="E663" s="11">
        <f>10.4632 * CHOOSE(CONTROL!$C$32, $C$9, 100%, $E$9)</f>
        <v>10.463200000000001</v>
      </c>
      <c r="F663" s="11">
        <f>10.4632 * CHOOSE(CONTROL!$C$32, $C$9, 100%, $E$9)</f>
        <v>10.463200000000001</v>
      </c>
      <c r="G663" s="11">
        <f>10.4669 * CHOOSE(CONTROL!$C$32, $C$9, 100%, $E$9)</f>
        <v>10.466900000000001</v>
      </c>
      <c r="H663" s="11">
        <f>21.1518 * CHOOSE(CONTROL!$C$32, $C$9, 100%, $E$9)</f>
        <v>21.151800000000001</v>
      </c>
      <c r="I663" s="11">
        <f>21.1554 * CHOOSE(CONTROL!$C$32, $C$9, 100%, $E$9)</f>
        <v>21.1554</v>
      </c>
      <c r="J663" s="11">
        <f>21.1518 * CHOOSE(CONTROL!$C$32, $C$9, 100%, $E$9)</f>
        <v>21.151800000000001</v>
      </c>
      <c r="K663" s="11">
        <f>21.1554 * CHOOSE(CONTROL!$C$32, $C$9, 100%, $E$9)</f>
        <v>21.1554</v>
      </c>
      <c r="L663" s="11">
        <f>10.4632 * CHOOSE(CONTROL!$C$32, $C$9, 100%, $E$9)</f>
        <v>10.463200000000001</v>
      </c>
      <c r="M663" s="11">
        <f>10.4669 * CHOOSE(CONTROL!$C$32, $C$9, 100%, $E$9)</f>
        <v>10.466900000000001</v>
      </c>
      <c r="N663" s="11">
        <f>10.4632 * CHOOSE(CONTROL!$C$32, $C$9, 100%, $E$9)</f>
        <v>10.463200000000001</v>
      </c>
      <c r="O663" s="11">
        <f>10.4669 * CHOOSE(CONTROL!$C$32, $C$9, 100%, $E$9)</f>
        <v>10.466900000000001</v>
      </c>
    </row>
    <row r="664" spans="1:15" ht="15" x14ac:dyDescent="0.2">
      <c r="A664" s="13">
        <v>61057</v>
      </c>
      <c r="B664" s="9">
        <f>9.5629 * CHOOSE(CONTROL!$C$32, $C$9, 100%, $E$9)</f>
        <v>9.5629000000000008</v>
      </c>
      <c r="C664" s="9">
        <f>9.5629 * CHOOSE(CONTROL!$C$32, $C$9, 100%, $E$9)</f>
        <v>9.5629000000000008</v>
      </c>
      <c r="D664" s="9">
        <f>9.564 * CHOOSE(CONTROL!$C$32, $C$9, 100%, $E$9)</f>
        <v>9.5640000000000001</v>
      </c>
      <c r="E664" s="11">
        <f>10.6721 * CHOOSE(CONTROL!$C$32, $C$9, 100%, $E$9)</f>
        <v>10.6721</v>
      </c>
      <c r="F664" s="11">
        <f>10.6721 * CHOOSE(CONTROL!$C$32, $C$9, 100%, $E$9)</f>
        <v>10.6721</v>
      </c>
      <c r="G664" s="11">
        <f>10.6757 * CHOOSE(CONTROL!$C$32, $C$9, 100%, $E$9)</f>
        <v>10.675700000000001</v>
      </c>
      <c r="H664" s="11">
        <f>21.1958 * CHOOSE(CONTROL!$C$32, $C$9, 100%, $E$9)</f>
        <v>21.195799999999998</v>
      </c>
      <c r="I664" s="11">
        <f>21.1995 * CHOOSE(CONTROL!$C$32, $C$9, 100%, $E$9)</f>
        <v>21.1995</v>
      </c>
      <c r="J664" s="11">
        <f>21.1958 * CHOOSE(CONTROL!$C$32, $C$9, 100%, $E$9)</f>
        <v>21.195799999999998</v>
      </c>
      <c r="K664" s="11">
        <f>21.1995 * CHOOSE(CONTROL!$C$32, $C$9, 100%, $E$9)</f>
        <v>21.1995</v>
      </c>
      <c r="L664" s="11">
        <f>10.6721 * CHOOSE(CONTROL!$C$32, $C$9, 100%, $E$9)</f>
        <v>10.6721</v>
      </c>
      <c r="M664" s="11">
        <f>10.6757 * CHOOSE(CONTROL!$C$32, $C$9, 100%, $E$9)</f>
        <v>10.675700000000001</v>
      </c>
      <c r="N664" s="11">
        <f>10.6721 * CHOOSE(CONTROL!$C$32, $C$9, 100%, $E$9)</f>
        <v>10.6721</v>
      </c>
      <c r="O664" s="11">
        <f>10.6757 * CHOOSE(CONTROL!$C$32, $C$9, 100%, $E$9)</f>
        <v>10.675700000000001</v>
      </c>
    </row>
    <row r="665" spans="1:15" ht="15" x14ac:dyDescent="0.2">
      <c r="A665" s="13">
        <v>61088</v>
      </c>
      <c r="B665" s="9">
        <f>9.566 * CHOOSE(CONTROL!$C$32, $C$9, 100%, $E$9)</f>
        <v>9.5660000000000007</v>
      </c>
      <c r="C665" s="9">
        <f>9.566 * CHOOSE(CONTROL!$C$32, $C$9, 100%, $E$9)</f>
        <v>9.5660000000000007</v>
      </c>
      <c r="D665" s="9">
        <f>9.567 * CHOOSE(CONTROL!$C$32, $C$9, 100%, $E$9)</f>
        <v>9.5670000000000002</v>
      </c>
      <c r="E665" s="11">
        <f>10.8945 * CHOOSE(CONTROL!$C$32, $C$9, 100%, $E$9)</f>
        <v>10.894500000000001</v>
      </c>
      <c r="F665" s="11">
        <f>10.8945 * CHOOSE(CONTROL!$C$32, $C$9, 100%, $E$9)</f>
        <v>10.894500000000001</v>
      </c>
      <c r="G665" s="11">
        <f>10.8981 * CHOOSE(CONTROL!$C$32, $C$9, 100%, $E$9)</f>
        <v>10.898099999999999</v>
      </c>
      <c r="H665" s="11">
        <f>21.24 * CHOOSE(CONTROL!$C$32, $C$9, 100%, $E$9)</f>
        <v>21.24</v>
      </c>
      <c r="I665" s="11">
        <f>21.2436 * CHOOSE(CONTROL!$C$32, $C$9, 100%, $E$9)</f>
        <v>21.243600000000001</v>
      </c>
      <c r="J665" s="11">
        <f>21.24 * CHOOSE(CONTROL!$C$32, $C$9, 100%, $E$9)</f>
        <v>21.24</v>
      </c>
      <c r="K665" s="11">
        <f>21.2436 * CHOOSE(CONTROL!$C$32, $C$9, 100%, $E$9)</f>
        <v>21.243600000000001</v>
      </c>
      <c r="L665" s="11">
        <f>10.8945 * CHOOSE(CONTROL!$C$32, $C$9, 100%, $E$9)</f>
        <v>10.894500000000001</v>
      </c>
      <c r="M665" s="11">
        <f>10.8981 * CHOOSE(CONTROL!$C$32, $C$9, 100%, $E$9)</f>
        <v>10.898099999999999</v>
      </c>
      <c r="N665" s="11">
        <f>10.8945 * CHOOSE(CONTROL!$C$32, $C$9, 100%, $E$9)</f>
        <v>10.894500000000001</v>
      </c>
      <c r="O665" s="11">
        <f>10.8981 * CHOOSE(CONTROL!$C$32, $C$9, 100%, $E$9)</f>
        <v>10.898099999999999</v>
      </c>
    </row>
    <row r="666" spans="1:15" ht="15" x14ac:dyDescent="0.2">
      <c r="A666" s="13">
        <v>61118</v>
      </c>
      <c r="B666" s="9">
        <f>9.566 * CHOOSE(CONTROL!$C$32, $C$9, 100%, $E$9)</f>
        <v>9.5660000000000007</v>
      </c>
      <c r="C666" s="9">
        <f>9.566 * CHOOSE(CONTROL!$C$32, $C$9, 100%, $E$9)</f>
        <v>9.5660000000000007</v>
      </c>
      <c r="D666" s="9">
        <f>9.5675 * CHOOSE(CONTROL!$C$32, $C$9, 100%, $E$9)</f>
        <v>9.5675000000000008</v>
      </c>
      <c r="E666" s="11">
        <f>10.9795 * CHOOSE(CONTROL!$C$32, $C$9, 100%, $E$9)</f>
        <v>10.9795</v>
      </c>
      <c r="F666" s="11">
        <f>10.9795 * CHOOSE(CONTROL!$C$32, $C$9, 100%, $E$9)</f>
        <v>10.9795</v>
      </c>
      <c r="G666" s="11">
        <f>10.9848 * CHOOSE(CONTROL!$C$32, $C$9, 100%, $E$9)</f>
        <v>10.9848</v>
      </c>
      <c r="H666" s="11">
        <f>21.2843 * CHOOSE(CONTROL!$C$32, $C$9, 100%, $E$9)</f>
        <v>21.284300000000002</v>
      </c>
      <c r="I666" s="11">
        <f>21.2895 * CHOOSE(CONTROL!$C$32, $C$9, 100%, $E$9)</f>
        <v>21.2895</v>
      </c>
      <c r="J666" s="11">
        <f>21.2843 * CHOOSE(CONTROL!$C$32, $C$9, 100%, $E$9)</f>
        <v>21.284300000000002</v>
      </c>
      <c r="K666" s="11">
        <f>21.2895 * CHOOSE(CONTROL!$C$32, $C$9, 100%, $E$9)</f>
        <v>21.2895</v>
      </c>
      <c r="L666" s="11">
        <f>10.9795 * CHOOSE(CONTROL!$C$32, $C$9, 100%, $E$9)</f>
        <v>10.9795</v>
      </c>
      <c r="M666" s="11">
        <f>10.9848 * CHOOSE(CONTROL!$C$32, $C$9, 100%, $E$9)</f>
        <v>10.9848</v>
      </c>
      <c r="N666" s="11">
        <f>10.9795 * CHOOSE(CONTROL!$C$32, $C$9, 100%, $E$9)</f>
        <v>10.9795</v>
      </c>
      <c r="O666" s="11">
        <f>10.9848 * CHOOSE(CONTROL!$C$32, $C$9, 100%, $E$9)</f>
        <v>10.9848</v>
      </c>
    </row>
    <row r="667" spans="1:15" ht="15" x14ac:dyDescent="0.2">
      <c r="A667" s="13">
        <v>61149</v>
      </c>
      <c r="B667" s="9">
        <f>9.572 * CHOOSE(CONTROL!$C$32, $C$9, 100%, $E$9)</f>
        <v>9.5719999999999992</v>
      </c>
      <c r="C667" s="9">
        <f>9.572 * CHOOSE(CONTROL!$C$32, $C$9, 100%, $E$9)</f>
        <v>9.5719999999999992</v>
      </c>
      <c r="D667" s="9">
        <f>9.5736 * CHOOSE(CONTROL!$C$32, $C$9, 100%, $E$9)</f>
        <v>9.5736000000000008</v>
      </c>
      <c r="E667" s="11">
        <f>10.8987 * CHOOSE(CONTROL!$C$32, $C$9, 100%, $E$9)</f>
        <v>10.8987</v>
      </c>
      <c r="F667" s="11">
        <f>10.8987 * CHOOSE(CONTROL!$C$32, $C$9, 100%, $E$9)</f>
        <v>10.8987</v>
      </c>
      <c r="G667" s="11">
        <f>10.904 * CHOOSE(CONTROL!$C$32, $C$9, 100%, $E$9)</f>
        <v>10.904</v>
      </c>
      <c r="H667" s="11">
        <f>21.3286 * CHOOSE(CONTROL!$C$32, $C$9, 100%, $E$9)</f>
        <v>21.328600000000002</v>
      </c>
      <c r="I667" s="11">
        <f>21.3339 * CHOOSE(CONTROL!$C$32, $C$9, 100%, $E$9)</f>
        <v>21.3339</v>
      </c>
      <c r="J667" s="11">
        <f>21.3286 * CHOOSE(CONTROL!$C$32, $C$9, 100%, $E$9)</f>
        <v>21.328600000000002</v>
      </c>
      <c r="K667" s="11">
        <f>21.3339 * CHOOSE(CONTROL!$C$32, $C$9, 100%, $E$9)</f>
        <v>21.3339</v>
      </c>
      <c r="L667" s="11">
        <f>10.8987 * CHOOSE(CONTROL!$C$32, $C$9, 100%, $E$9)</f>
        <v>10.8987</v>
      </c>
      <c r="M667" s="11">
        <f>10.904 * CHOOSE(CONTROL!$C$32, $C$9, 100%, $E$9)</f>
        <v>10.904</v>
      </c>
      <c r="N667" s="11">
        <f>10.8987 * CHOOSE(CONTROL!$C$32, $C$9, 100%, $E$9)</f>
        <v>10.8987</v>
      </c>
      <c r="O667" s="11">
        <f>10.904 * CHOOSE(CONTROL!$C$32, $C$9, 100%, $E$9)</f>
        <v>10.904</v>
      </c>
    </row>
    <row r="668" spans="1:15" ht="15" x14ac:dyDescent="0.2">
      <c r="A668" s="13">
        <v>61179</v>
      </c>
      <c r="B668" s="9">
        <f>9.6917 * CHOOSE(CONTROL!$C$32, $C$9, 100%, $E$9)</f>
        <v>9.6917000000000009</v>
      </c>
      <c r="C668" s="9">
        <f>9.6917 * CHOOSE(CONTROL!$C$32, $C$9, 100%, $E$9)</f>
        <v>9.6917000000000009</v>
      </c>
      <c r="D668" s="9">
        <f>9.6933 * CHOOSE(CONTROL!$C$32, $C$9, 100%, $E$9)</f>
        <v>9.6933000000000007</v>
      </c>
      <c r="E668" s="11">
        <f>11.0511 * CHOOSE(CONTROL!$C$32, $C$9, 100%, $E$9)</f>
        <v>11.0511</v>
      </c>
      <c r="F668" s="11">
        <f>11.0511 * CHOOSE(CONTROL!$C$32, $C$9, 100%, $E$9)</f>
        <v>11.0511</v>
      </c>
      <c r="G668" s="11">
        <f>11.0564 * CHOOSE(CONTROL!$C$32, $C$9, 100%, $E$9)</f>
        <v>11.0564</v>
      </c>
      <c r="H668" s="11">
        <f>21.373 * CHOOSE(CONTROL!$C$32, $C$9, 100%, $E$9)</f>
        <v>21.373000000000001</v>
      </c>
      <c r="I668" s="11">
        <f>21.3783 * CHOOSE(CONTROL!$C$32, $C$9, 100%, $E$9)</f>
        <v>21.378299999999999</v>
      </c>
      <c r="J668" s="11">
        <f>21.373 * CHOOSE(CONTROL!$C$32, $C$9, 100%, $E$9)</f>
        <v>21.373000000000001</v>
      </c>
      <c r="K668" s="11">
        <f>21.3783 * CHOOSE(CONTROL!$C$32, $C$9, 100%, $E$9)</f>
        <v>21.378299999999999</v>
      </c>
      <c r="L668" s="11">
        <f>11.0511 * CHOOSE(CONTROL!$C$32, $C$9, 100%, $E$9)</f>
        <v>11.0511</v>
      </c>
      <c r="M668" s="11">
        <f>11.0564 * CHOOSE(CONTROL!$C$32, $C$9, 100%, $E$9)</f>
        <v>11.0564</v>
      </c>
      <c r="N668" s="11">
        <f>11.0511 * CHOOSE(CONTROL!$C$32, $C$9, 100%, $E$9)</f>
        <v>11.0511</v>
      </c>
      <c r="O668" s="11">
        <f>11.0564 * CHOOSE(CONTROL!$C$32, $C$9, 100%, $E$9)</f>
        <v>11.0564</v>
      </c>
    </row>
    <row r="669" spans="1:15" ht="15" x14ac:dyDescent="0.2">
      <c r="A669" s="13">
        <v>61210</v>
      </c>
      <c r="B669" s="9">
        <f>9.6984 * CHOOSE(CONTROL!$C$32, $C$9, 100%, $E$9)</f>
        <v>9.6983999999999995</v>
      </c>
      <c r="C669" s="9">
        <f>9.6984 * CHOOSE(CONTROL!$C$32, $C$9, 100%, $E$9)</f>
        <v>9.6983999999999995</v>
      </c>
      <c r="D669" s="9">
        <f>9.7 * CHOOSE(CONTROL!$C$32, $C$9, 100%, $E$9)</f>
        <v>9.6999999999999993</v>
      </c>
      <c r="E669" s="11">
        <f>10.8009 * CHOOSE(CONTROL!$C$32, $C$9, 100%, $E$9)</f>
        <v>10.8009</v>
      </c>
      <c r="F669" s="11">
        <f>10.8009 * CHOOSE(CONTROL!$C$32, $C$9, 100%, $E$9)</f>
        <v>10.8009</v>
      </c>
      <c r="G669" s="11">
        <f>10.8062 * CHOOSE(CONTROL!$C$32, $C$9, 100%, $E$9)</f>
        <v>10.8062</v>
      </c>
      <c r="H669" s="11">
        <f>21.4176 * CHOOSE(CONTROL!$C$32, $C$9, 100%, $E$9)</f>
        <v>21.4176</v>
      </c>
      <c r="I669" s="11">
        <f>21.4229 * CHOOSE(CONTROL!$C$32, $C$9, 100%, $E$9)</f>
        <v>21.422899999999998</v>
      </c>
      <c r="J669" s="11">
        <f>21.4176 * CHOOSE(CONTROL!$C$32, $C$9, 100%, $E$9)</f>
        <v>21.4176</v>
      </c>
      <c r="K669" s="11">
        <f>21.4229 * CHOOSE(CONTROL!$C$32, $C$9, 100%, $E$9)</f>
        <v>21.422899999999998</v>
      </c>
      <c r="L669" s="11">
        <f>10.8009 * CHOOSE(CONTROL!$C$32, $C$9, 100%, $E$9)</f>
        <v>10.8009</v>
      </c>
      <c r="M669" s="11">
        <f>10.8062 * CHOOSE(CONTROL!$C$32, $C$9, 100%, $E$9)</f>
        <v>10.8062</v>
      </c>
      <c r="N669" s="11">
        <f>10.8009 * CHOOSE(CONTROL!$C$32, $C$9, 100%, $E$9)</f>
        <v>10.8009</v>
      </c>
      <c r="O669" s="11">
        <f>10.8062 * CHOOSE(CONTROL!$C$32, $C$9, 100%, $E$9)</f>
        <v>10.8062</v>
      </c>
    </row>
    <row r="670" spans="1:15" ht="15" x14ac:dyDescent="0.2">
      <c r="A670" s="13">
        <v>61241</v>
      </c>
      <c r="B670" s="9">
        <f>9.6954 * CHOOSE(CONTROL!$C$32, $C$9, 100%, $E$9)</f>
        <v>9.6953999999999994</v>
      </c>
      <c r="C670" s="9">
        <f>9.6954 * CHOOSE(CONTROL!$C$32, $C$9, 100%, $E$9)</f>
        <v>9.6953999999999994</v>
      </c>
      <c r="D670" s="9">
        <f>9.697 * CHOOSE(CONTROL!$C$32, $C$9, 100%, $E$9)</f>
        <v>9.6969999999999992</v>
      </c>
      <c r="E670" s="11">
        <f>10.7704 * CHOOSE(CONTROL!$C$32, $C$9, 100%, $E$9)</f>
        <v>10.7704</v>
      </c>
      <c r="F670" s="11">
        <f>10.7704 * CHOOSE(CONTROL!$C$32, $C$9, 100%, $E$9)</f>
        <v>10.7704</v>
      </c>
      <c r="G670" s="11">
        <f>10.7757 * CHOOSE(CONTROL!$C$32, $C$9, 100%, $E$9)</f>
        <v>10.775700000000001</v>
      </c>
      <c r="H670" s="11">
        <f>21.4622 * CHOOSE(CONTROL!$C$32, $C$9, 100%, $E$9)</f>
        <v>21.462199999999999</v>
      </c>
      <c r="I670" s="11">
        <f>21.4675 * CHOOSE(CONTROL!$C$32, $C$9, 100%, $E$9)</f>
        <v>21.467500000000001</v>
      </c>
      <c r="J670" s="11">
        <f>21.4622 * CHOOSE(CONTROL!$C$32, $C$9, 100%, $E$9)</f>
        <v>21.462199999999999</v>
      </c>
      <c r="K670" s="11">
        <f>21.4675 * CHOOSE(CONTROL!$C$32, $C$9, 100%, $E$9)</f>
        <v>21.467500000000001</v>
      </c>
      <c r="L670" s="11">
        <f>10.7704 * CHOOSE(CONTROL!$C$32, $C$9, 100%, $E$9)</f>
        <v>10.7704</v>
      </c>
      <c r="M670" s="11">
        <f>10.7757 * CHOOSE(CONTROL!$C$32, $C$9, 100%, $E$9)</f>
        <v>10.775700000000001</v>
      </c>
      <c r="N670" s="11">
        <f>10.7704 * CHOOSE(CONTROL!$C$32, $C$9, 100%, $E$9)</f>
        <v>10.7704</v>
      </c>
      <c r="O670" s="11">
        <f>10.7757 * CHOOSE(CONTROL!$C$32, $C$9, 100%, $E$9)</f>
        <v>10.775700000000001</v>
      </c>
    </row>
    <row r="671" spans="1:15" ht="15" x14ac:dyDescent="0.2">
      <c r="A671" s="13">
        <v>61271</v>
      </c>
      <c r="B671" s="9">
        <f>9.7117 * CHOOSE(CONTROL!$C$32, $C$9, 100%, $E$9)</f>
        <v>9.7117000000000004</v>
      </c>
      <c r="C671" s="9">
        <f>9.7117 * CHOOSE(CONTROL!$C$32, $C$9, 100%, $E$9)</f>
        <v>9.7117000000000004</v>
      </c>
      <c r="D671" s="9">
        <f>9.7128 * CHOOSE(CONTROL!$C$32, $C$9, 100%, $E$9)</f>
        <v>9.7127999999999997</v>
      </c>
      <c r="E671" s="11">
        <f>10.8703 * CHOOSE(CONTROL!$C$32, $C$9, 100%, $E$9)</f>
        <v>10.8703</v>
      </c>
      <c r="F671" s="11">
        <f>10.8703 * CHOOSE(CONTROL!$C$32, $C$9, 100%, $E$9)</f>
        <v>10.8703</v>
      </c>
      <c r="G671" s="11">
        <f>10.8739 * CHOOSE(CONTROL!$C$32, $C$9, 100%, $E$9)</f>
        <v>10.873900000000001</v>
      </c>
      <c r="H671" s="11">
        <f>21.5069 * CHOOSE(CONTROL!$C$32, $C$9, 100%, $E$9)</f>
        <v>21.506900000000002</v>
      </c>
      <c r="I671" s="11">
        <f>21.5105 * CHOOSE(CONTROL!$C$32, $C$9, 100%, $E$9)</f>
        <v>21.5105</v>
      </c>
      <c r="J671" s="11">
        <f>21.5069 * CHOOSE(CONTROL!$C$32, $C$9, 100%, $E$9)</f>
        <v>21.506900000000002</v>
      </c>
      <c r="K671" s="11">
        <f>21.5105 * CHOOSE(CONTROL!$C$32, $C$9, 100%, $E$9)</f>
        <v>21.5105</v>
      </c>
      <c r="L671" s="11">
        <f>10.8703 * CHOOSE(CONTROL!$C$32, $C$9, 100%, $E$9)</f>
        <v>10.8703</v>
      </c>
      <c r="M671" s="11">
        <f>10.8739 * CHOOSE(CONTROL!$C$32, $C$9, 100%, $E$9)</f>
        <v>10.873900000000001</v>
      </c>
      <c r="N671" s="11">
        <f>10.8703 * CHOOSE(CONTROL!$C$32, $C$9, 100%, $E$9)</f>
        <v>10.8703</v>
      </c>
      <c r="O671" s="11">
        <f>10.8739 * CHOOSE(CONTROL!$C$32, $C$9, 100%, $E$9)</f>
        <v>10.873900000000001</v>
      </c>
    </row>
    <row r="672" spans="1:15" ht="15" x14ac:dyDescent="0.2">
      <c r="A672" s="13">
        <v>61302</v>
      </c>
      <c r="B672" s="9">
        <f>9.7147 * CHOOSE(CONTROL!$C$32, $C$9, 100%, $E$9)</f>
        <v>9.7147000000000006</v>
      </c>
      <c r="C672" s="9">
        <f>9.7147 * CHOOSE(CONTROL!$C$32, $C$9, 100%, $E$9)</f>
        <v>9.7147000000000006</v>
      </c>
      <c r="D672" s="9">
        <f>9.7158 * CHOOSE(CONTROL!$C$32, $C$9, 100%, $E$9)</f>
        <v>9.7157999999999998</v>
      </c>
      <c r="E672" s="11">
        <f>10.9291 * CHOOSE(CONTROL!$C$32, $C$9, 100%, $E$9)</f>
        <v>10.9291</v>
      </c>
      <c r="F672" s="11">
        <f>10.9291 * CHOOSE(CONTROL!$C$32, $C$9, 100%, $E$9)</f>
        <v>10.9291</v>
      </c>
      <c r="G672" s="11">
        <f>10.9327 * CHOOSE(CONTROL!$C$32, $C$9, 100%, $E$9)</f>
        <v>10.932700000000001</v>
      </c>
      <c r="H672" s="11">
        <f>21.5517 * CHOOSE(CONTROL!$C$32, $C$9, 100%, $E$9)</f>
        <v>21.5517</v>
      </c>
      <c r="I672" s="11">
        <f>21.5553 * CHOOSE(CONTROL!$C$32, $C$9, 100%, $E$9)</f>
        <v>21.555299999999999</v>
      </c>
      <c r="J672" s="11">
        <f>21.5517 * CHOOSE(CONTROL!$C$32, $C$9, 100%, $E$9)</f>
        <v>21.5517</v>
      </c>
      <c r="K672" s="11">
        <f>21.5553 * CHOOSE(CONTROL!$C$32, $C$9, 100%, $E$9)</f>
        <v>21.555299999999999</v>
      </c>
      <c r="L672" s="11">
        <f>10.9291 * CHOOSE(CONTROL!$C$32, $C$9, 100%, $E$9)</f>
        <v>10.9291</v>
      </c>
      <c r="M672" s="11">
        <f>10.9327 * CHOOSE(CONTROL!$C$32, $C$9, 100%, $E$9)</f>
        <v>10.932700000000001</v>
      </c>
      <c r="N672" s="11">
        <f>10.9291 * CHOOSE(CONTROL!$C$32, $C$9, 100%, $E$9)</f>
        <v>10.9291</v>
      </c>
      <c r="O672" s="11">
        <f>10.9327 * CHOOSE(CONTROL!$C$32, $C$9, 100%, $E$9)</f>
        <v>10.932700000000001</v>
      </c>
    </row>
    <row r="673" spans="1:15" ht="15" x14ac:dyDescent="0.2">
      <c r="A673" s="13">
        <v>61332</v>
      </c>
      <c r="B673" s="9">
        <f>9.7147 * CHOOSE(CONTROL!$C$32, $C$9, 100%, $E$9)</f>
        <v>9.7147000000000006</v>
      </c>
      <c r="C673" s="9">
        <f>9.7147 * CHOOSE(CONTROL!$C$32, $C$9, 100%, $E$9)</f>
        <v>9.7147000000000006</v>
      </c>
      <c r="D673" s="9">
        <f>9.7158 * CHOOSE(CONTROL!$C$32, $C$9, 100%, $E$9)</f>
        <v>9.7157999999999998</v>
      </c>
      <c r="E673" s="11">
        <f>10.7874 * CHOOSE(CONTROL!$C$32, $C$9, 100%, $E$9)</f>
        <v>10.7874</v>
      </c>
      <c r="F673" s="11">
        <f>10.7874 * CHOOSE(CONTROL!$C$32, $C$9, 100%, $E$9)</f>
        <v>10.7874</v>
      </c>
      <c r="G673" s="11">
        <f>10.7911 * CHOOSE(CONTROL!$C$32, $C$9, 100%, $E$9)</f>
        <v>10.7911</v>
      </c>
      <c r="H673" s="11">
        <f>21.5966 * CHOOSE(CONTROL!$C$32, $C$9, 100%, $E$9)</f>
        <v>21.596599999999999</v>
      </c>
      <c r="I673" s="11">
        <f>21.6002 * CHOOSE(CONTROL!$C$32, $C$9, 100%, $E$9)</f>
        <v>21.600200000000001</v>
      </c>
      <c r="J673" s="11">
        <f>21.5966 * CHOOSE(CONTROL!$C$32, $C$9, 100%, $E$9)</f>
        <v>21.596599999999999</v>
      </c>
      <c r="K673" s="11">
        <f>21.6002 * CHOOSE(CONTROL!$C$32, $C$9, 100%, $E$9)</f>
        <v>21.600200000000001</v>
      </c>
      <c r="L673" s="11">
        <f>10.7874 * CHOOSE(CONTROL!$C$32, $C$9, 100%, $E$9)</f>
        <v>10.7874</v>
      </c>
      <c r="M673" s="11">
        <f>10.7911 * CHOOSE(CONTROL!$C$32, $C$9, 100%, $E$9)</f>
        <v>10.7911</v>
      </c>
      <c r="N673" s="11">
        <f>10.7874 * CHOOSE(CONTROL!$C$32, $C$9, 100%, $E$9)</f>
        <v>10.7874</v>
      </c>
      <c r="O673" s="11">
        <f>10.7911 * CHOOSE(CONTROL!$C$32, $C$9, 100%, $E$9)</f>
        <v>10.7911</v>
      </c>
    </row>
    <row r="674" spans="1:15" ht="15" x14ac:dyDescent="0.2">
      <c r="A674" s="13">
        <v>61363</v>
      </c>
      <c r="B674" s="9">
        <f>9.7564 * CHOOSE(CONTROL!$C$32, $C$9, 100%, $E$9)</f>
        <v>9.7563999999999993</v>
      </c>
      <c r="C674" s="9">
        <f>9.7564 * CHOOSE(CONTROL!$C$32, $C$9, 100%, $E$9)</f>
        <v>9.7563999999999993</v>
      </c>
      <c r="D674" s="9">
        <f>9.7574 * CHOOSE(CONTROL!$C$32, $C$9, 100%, $E$9)</f>
        <v>9.7574000000000005</v>
      </c>
      <c r="E674" s="11">
        <f>10.9455 * CHOOSE(CONTROL!$C$32, $C$9, 100%, $E$9)</f>
        <v>10.945499999999999</v>
      </c>
      <c r="F674" s="11">
        <f>10.9455 * CHOOSE(CONTROL!$C$32, $C$9, 100%, $E$9)</f>
        <v>10.945499999999999</v>
      </c>
      <c r="G674" s="11">
        <f>10.9491 * CHOOSE(CONTROL!$C$32, $C$9, 100%, $E$9)</f>
        <v>10.9491</v>
      </c>
      <c r="H674" s="11">
        <f>21.5613 * CHOOSE(CONTROL!$C$32, $C$9, 100%, $E$9)</f>
        <v>21.561299999999999</v>
      </c>
      <c r="I674" s="11">
        <f>21.5649 * CHOOSE(CONTROL!$C$32, $C$9, 100%, $E$9)</f>
        <v>21.564900000000002</v>
      </c>
      <c r="J674" s="11">
        <f>21.5613 * CHOOSE(CONTROL!$C$32, $C$9, 100%, $E$9)</f>
        <v>21.561299999999999</v>
      </c>
      <c r="K674" s="11">
        <f>21.5649 * CHOOSE(CONTROL!$C$32, $C$9, 100%, $E$9)</f>
        <v>21.564900000000002</v>
      </c>
      <c r="L674" s="11">
        <f>10.9455 * CHOOSE(CONTROL!$C$32, $C$9, 100%, $E$9)</f>
        <v>10.945499999999999</v>
      </c>
      <c r="M674" s="11">
        <f>10.9491 * CHOOSE(CONTROL!$C$32, $C$9, 100%, $E$9)</f>
        <v>10.9491</v>
      </c>
      <c r="N674" s="11">
        <f>10.9455 * CHOOSE(CONTROL!$C$32, $C$9, 100%, $E$9)</f>
        <v>10.945499999999999</v>
      </c>
      <c r="O674" s="11">
        <f>10.9491 * CHOOSE(CONTROL!$C$32, $C$9, 100%, $E$9)</f>
        <v>10.9491</v>
      </c>
    </row>
    <row r="675" spans="1:15" ht="15" x14ac:dyDescent="0.2">
      <c r="A675" s="13">
        <v>61394</v>
      </c>
      <c r="B675" s="9">
        <f>9.7533 * CHOOSE(CONTROL!$C$32, $C$9, 100%, $E$9)</f>
        <v>9.7532999999999994</v>
      </c>
      <c r="C675" s="9">
        <f>9.7533 * CHOOSE(CONTROL!$C$32, $C$9, 100%, $E$9)</f>
        <v>9.7532999999999994</v>
      </c>
      <c r="D675" s="9">
        <f>9.7544 * CHOOSE(CONTROL!$C$32, $C$9, 100%, $E$9)</f>
        <v>9.7544000000000004</v>
      </c>
      <c r="E675" s="11">
        <f>10.6687 * CHOOSE(CONTROL!$C$32, $C$9, 100%, $E$9)</f>
        <v>10.668699999999999</v>
      </c>
      <c r="F675" s="11">
        <f>10.6687 * CHOOSE(CONTROL!$C$32, $C$9, 100%, $E$9)</f>
        <v>10.668699999999999</v>
      </c>
      <c r="G675" s="11">
        <f>10.6723 * CHOOSE(CONTROL!$C$32, $C$9, 100%, $E$9)</f>
        <v>10.6723</v>
      </c>
      <c r="H675" s="11">
        <f>21.6062 * CHOOSE(CONTROL!$C$32, $C$9, 100%, $E$9)</f>
        <v>21.606200000000001</v>
      </c>
      <c r="I675" s="11">
        <f>21.6098 * CHOOSE(CONTROL!$C$32, $C$9, 100%, $E$9)</f>
        <v>21.6098</v>
      </c>
      <c r="J675" s="11">
        <f>21.6062 * CHOOSE(CONTROL!$C$32, $C$9, 100%, $E$9)</f>
        <v>21.606200000000001</v>
      </c>
      <c r="K675" s="11">
        <f>21.6098 * CHOOSE(CONTROL!$C$32, $C$9, 100%, $E$9)</f>
        <v>21.6098</v>
      </c>
      <c r="L675" s="11">
        <f>10.6687 * CHOOSE(CONTROL!$C$32, $C$9, 100%, $E$9)</f>
        <v>10.668699999999999</v>
      </c>
      <c r="M675" s="11">
        <f>10.6723 * CHOOSE(CONTROL!$C$32, $C$9, 100%, $E$9)</f>
        <v>10.6723</v>
      </c>
      <c r="N675" s="11">
        <f>10.6687 * CHOOSE(CONTROL!$C$32, $C$9, 100%, $E$9)</f>
        <v>10.668699999999999</v>
      </c>
      <c r="O675" s="11">
        <f>10.6723 * CHOOSE(CONTROL!$C$32, $C$9, 100%, $E$9)</f>
        <v>10.6723</v>
      </c>
    </row>
    <row r="676" spans="1:15" ht="15" x14ac:dyDescent="0.2">
      <c r="A676" s="13">
        <v>61423</v>
      </c>
      <c r="B676" s="9">
        <f>9.7503 * CHOOSE(CONTROL!$C$32, $C$9, 100%, $E$9)</f>
        <v>9.7502999999999993</v>
      </c>
      <c r="C676" s="9">
        <f>9.7503 * CHOOSE(CONTROL!$C$32, $C$9, 100%, $E$9)</f>
        <v>9.7502999999999993</v>
      </c>
      <c r="D676" s="9">
        <f>9.7513 * CHOOSE(CONTROL!$C$32, $C$9, 100%, $E$9)</f>
        <v>9.7513000000000005</v>
      </c>
      <c r="E676" s="11">
        <f>10.8831 * CHOOSE(CONTROL!$C$32, $C$9, 100%, $E$9)</f>
        <v>10.883100000000001</v>
      </c>
      <c r="F676" s="11">
        <f>10.8831 * CHOOSE(CONTROL!$C$32, $C$9, 100%, $E$9)</f>
        <v>10.883100000000001</v>
      </c>
      <c r="G676" s="11">
        <f>10.8867 * CHOOSE(CONTROL!$C$32, $C$9, 100%, $E$9)</f>
        <v>10.886699999999999</v>
      </c>
      <c r="H676" s="11">
        <f>21.6512 * CHOOSE(CONTROL!$C$32, $C$9, 100%, $E$9)</f>
        <v>21.651199999999999</v>
      </c>
      <c r="I676" s="11">
        <f>21.6549 * CHOOSE(CONTROL!$C$32, $C$9, 100%, $E$9)</f>
        <v>21.654900000000001</v>
      </c>
      <c r="J676" s="11">
        <f>21.6512 * CHOOSE(CONTROL!$C$32, $C$9, 100%, $E$9)</f>
        <v>21.651199999999999</v>
      </c>
      <c r="K676" s="11">
        <f>21.6549 * CHOOSE(CONTROL!$C$32, $C$9, 100%, $E$9)</f>
        <v>21.654900000000001</v>
      </c>
      <c r="L676" s="11">
        <f>10.8831 * CHOOSE(CONTROL!$C$32, $C$9, 100%, $E$9)</f>
        <v>10.883100000000001</v>
      </c>
      <c r="M676" s="11">
        <f>10.8867 * CHOOSE(CONTROL!$C$32, $C$9, 100%, $E$9)</f>
        <v>10.886699999999999</v>
      </c>
      <c r="N676" s="11">
        <f>10.8831 * CHOOSE(CONTROL!$C$32, $C$9, 100%, $E$9)</f>
        <v>10.883100000000001</v>
      </c>
      <c r="O676" s="11">
        <f>10.8867 * CHOOSE(CONTROL!$C$32, $C$9, 100%, $E$9)</f>
        <v>10.886699999999999</v>
      </c>
    </row>
    <row r="677" spans="1:15" ht="15" x14ac:dyDescent="0.2">
      <c r="A677" s="13">
        <v>61454</v>
      </c>
      <c r="B677" s="9">
        <f>9.7535 * CHOOSE(CONTROL!$C$32, $C$9, 100%, $E$9)</f>
        <v>9.7535000000000007</v>
      </c>
      <c r="C677" s="9">
        <f>9.7535 * CHOOSE(CONTROL!$C$32, $C$9, 100%, $E$9)</f>
        <v>9.7535000000000007</v>
      </c>
      <c r="D677" s="9">
        <f>9.7546 * CHOOSE(CONTROL!$C$32, $C$9, 100%, $E$9)</f>
        <v>9.7545999999999999</v>
      </c>
      <c r="E677" s="11">
        <f>11.1115 * CHOOSE(CONTROL!$C$32, $C$9, 100%, $E$9)</f>
        <v>11.111499999999999</v>
      </c>
      <c r="F677" s="11">
        <f>11.1115 * CHOOSE(CONTROL!$C$32, $C$9, 100%, $E$9)</f>
        <v>11.111499999999999</v>
      </c>
      <c r="G677" s="11">
        <f>11.1151 * CHOOSE(CONTROL!$C$32, $C$9, 100%, $E$9)</f>
        <v>11.1151</v>
      </c>
      <c r="H677" s="11">
        <f>21.6964 * CHOOSE(CONTROL!$C$32, $C$9, 100%, $E$9)</f>
        <v>21.696400000000001</v>
      </c>
      <c r="I677" s="11">
        <f>21.7 * CHOOSE(CONTROL!$C$32, $C$9, 100%, $E$9)</f>
        <v>21.7</v>
      </c>
      <c r="J677" s="11">
        <f>21.6964 * CHOOSE(CONTROL!$C$32, $C$9, 100%, $E$9)</f>
        <v>21.696400000000001</v>
      </c>
      <c r="K677" s="11">
        <f>21.7 * CHOOSE(CONTROL!$C$32, $C$9, 100%, $E$9)</f>
        <v>21.7</v>
      </c>
      <c r="L677" s="11">
        <f>11.1115 * CHOOSE(CONTROL!$C$32, $C$9, 100%, $E$9)</f>
        <v>11.111499999999999</v>
      </c>
      <c r="M677" s="11">
        <f>11.1151 * CHOOSE(CONTROL!$C$32, $C$9, 100%, $E$9)</f>
        <v>11.1151</v>
      </c>
      <c r="N677" s="11">
        <f>11.1115 * CHOOSE(CONTROL!$C$32, $C$9, 100%, $E$9)</f>
        <v>11.111499999999999</v>
      </c>
      <c r="O677" s="11">
        <f>11.1151 * CHOOSE(CONTROL!$C$32, $C$9, 100%, $E$9)</f>
        <v>11.1151</v>
      </c>
    </row>
    <row r="678" spans="1:15" ht="15" x14ac:dyDescent="0.2">
      <c r="A678" s="13">
        <v>61484</v>
      </c>
      <c r="B678" s="9">
        <f>9.7535 * CHOOSE(CONTROL!$C$32, $C$9, 100%, $E$9)</f>
        <v>9.7535000000000007</v>
      </c>
      <c r="C678" s="9">
        <f>9.7535 * CHOOSE(CONTROL!$C$32, $C$9, 100%, $E$9)</f>
        <v>9.7535000000000007</v>
      </c>
      <c r="D678" s="9">
        <f>9.7551 * CHOOSE(CONTROL!$C$32, $C$9, 100%, $E$9)</f>
        <v>9.7551000000000005</v>
      </c>
      <c r="E678" s="11">
        <f>11.1987 * CHOOSE(CONTROL!$C$32, $C$9, 100%, $E$9)</f>
        <v>11.198700000000001</v>
      </c>
      <c r="F678" s="11">
        <f>11.1987 * CHOOSE(CONTROL!$C$32, $C$9, 100%, $E$9)</f>
        <v>11.198700000000001</v>
      </c>
      <c r="G678" s="11">
        <f>11.204 * CHOOSE(CONTROL!$C$32, $C$9, 100%, $E$9)</f>
        <v>11.204000000000001</v>
      </c>
      <c r="H678" s="11">
        <f>21.7416 * CHOOSE(CONTROL!$C$32, $C$9, 100%, $E$9)</f>
        <v>21.741599999999998</v>
      </c>
      <c r="I678" s="11">
        <f>21.7468 * CHOOSE(CONTROL!$C$32, $C$9, 100%, $E$9)</f>
        <v>21.7468</v>
      </c>
      <c r="J678" s="11">
        <f>21.7416 * CHOOSE(CONTROL!$C$32, $C$9, 100%, $E$9)</f>
        <v>21.741599999999998</v>
      </c>
      <c r="K678" s="11">
        <f>21.7468 * CHOOSE(CONTROL!$C$32, $C$9, 100%, $E$9)</f>
        <v>21.7468</v>
      </c>
      <c r="L678" s="11">
        <f>11.1987 * CHOOSE(CONTROL!$C$32, $C$9, 100%, $E$9)</f>
        <v>11.198700000000001</v>
      </c>
      <c r="M678" s="11">
        <f>11.204 * CHOOSE(CONTROL!$C$32, $C$9, 100%, $E$9)</f>
        <v>11.204000000000001</v>
      </c>
      <c r="N678" s="11">
        <f>11.1987 * CHOOSE(CONTROL!$C$32, $C$9, 100%, $E$9)</f>
        <v>11.198700000000001</v>
      </c>
      <c r="O678" s="11">
        <f>11.204 * CHOOSE(CONTROL!$C$32, $C$9, 100%, $E$9)</f>
        <v>11.204000000000001</v>
      </c>
    </row>
    <row r="679" spans="1:15" ht="15" x14ac:dyDescent="0.2">
      <c r="A679" s="13">
        <v>61515</v>
      </c>
      <c r="B679" s="9">
        <f>9.7596 * CHOOSE(CONTROL!$C$32, $C$9, 100%, $E$9)</f>
        <v>9.7596000000000007</v>
      </c>
      <c r="C679" s="9">
        <f>9.7596 * CHOOSE(CONTROL!$C$32, $C$9, 100%, $E$9)</f>
        <v>9.7596000000000007</v>
      </c>
      <c r="D679" s="9">
        <f>9.7612 * CHOOSE(CONTROL!$C$32, $C$9, 100%, $E$9)</f>
        <v>9.7612000000000005</v>
      </c>
      <c r="E679" s="11">
        <f>11.1157 * CHOOSE(CONTROL!$C$32, $C$9, 100%, $E$9)</f>
        <v>11.1157</v>
      </c>
      <c r="F679" s="11">
        <f>11.1157 * CHOOSE(CONTROL!$C$32, $C$9, 100%, $E$9)</f>
        <v>11.1157</v>
      </c>
      <c r="G679" s="11">
        <f>11.121 * CHOOSE(CONTROL!$C$32, $C$9, 100%, $E$9)</f>
        <v>11.121</v>
      </c>
      <c r="H679" s="11">
        <f>21.7868 * CHOOSE(CONTROL!$C$32, $C$9, 100%, $E$9)</f>
        <v>21.786799999999999</v>
      </c>
      <c r="I679" s="11">
        <f>21.7921 * CHOOSE(CONTROL!$C$32, $C$9, 100%, $E$9)</f>
        <v>21.792100000000001</v>
      </c>
      <c r="J679" s="11">
        <f>21.7868 * CHOOSE(CONTROL!$C$32, $C$9, 100%, $E$9)</f>
        <v>21.786799999999999</v>
      </c>
      <c r="K679" s="11">
        <f>21.7921 * CHOOSE(CONTROL!$C$32, $C$9, 100%, $E$9)</f>
        <v>21.792100000000001</v>
      </c>
      <c r="L679" s="11">
        <f>11.1157 * CHOOSE(CONTROL!$C$32, $C$9, 100%, $E$9)</f>
        <v>11.1157</v>
      </c>
      <c r="M679" s="11">
        <f>11.121 * CHOOSE(CONTROL!$C$32, $C$9, 100%, $E$9)</f>
        <v>11.121</v>
      </c>
      <c r="N679" s="11">
        <f>11.1157 * CHOOSE(CONTROL!$C$32, $C$9, 100%, $E$9)</f>
        <v>11.1157</v>
      </c>
      <c r="O679" s="11">
        <f>11.121 * CHOOSE(CONTROL!$C$32, $C$9, 100%, $E$9)</f>
        <v>11.121</v>
      </c>
    </row>
    <row r="680" spans="1:15" ht="15" x14ac:dyDescent="0.2">
      <c r="A680" s="13">
        <v>61545</v>
      </c>
      <c r="B680" s="9">
        <f>9.8813 * CHOOSE(CONTROL!$C$32, $C$9, 100%, $E$9)</f>
        <v>9.8812999999999995</v>
      </c>
      <c r="C680" s="9">
        <f>9.8813 * CHOOSE(CONTROL!$C$32, $C$9, 100%, $E$9)</f>
        <v>9.8812999999999995</v>
      </c>
      <c r="D680" s="9">
        <f>9.8829 * CHOOSE(CONTROL!$C$32, $C$9, 100%, $E$9)</f>
        <v>9.8828999999999994</v>
      </c>
      <c r="E680" s="11">
        <f>11.2713 * CHOOSE(CONTROL!$C$32, $C$9, 100%, $E$9)</f>
        <v>11.2713</v>
      </c>
      <c r="F680" s="11">
        <f>11.2713 * CHOOSE(CONTROL!$C$32, $C$9, 100%, $E$9)</f>
        <v>11.2713</v>
      </c>
      <c r="G680" s="11">
        <f>11.2766 * CHOOSE(CONTROL!$C$32, $C$9, 100%, $E$9)</f>
        <v>11.2766</v>
      </c>
      <c r="H680" s="11">
        <f>21.8322 * CHOOSE(CONTROL!$C$32, $C$9, 100%, $E$9)</f>
        <v>21.8322</v>
      </c>
      <c r="I680" s="11">
        <f>21.8375 * CHOOSE(CONTROL!$C$32, $C$9, 100%, $E$9)</f>
        <v>21.837499999999999</v>
      </c>
      <c r="J680" s="11">
        <f>21.8322 * CHOOSE(CONTROL!$C$32, $C$9, 100%, $E$9)</f>
        <v>21.8322</v>
      </c>
      <c r="K680" s="11">
        <f>21.8375 * CHOOSE(CONTROL!$C$32, $C$9, 100%, $E$9)</f>
        <v>21.837499999999999</v>
      </c>
      <c r="L680" s="11">
        <f>11.2713 * CHOOSE(CONTROL!$C$32, $C$9, 100%, $E$9)</f>
        <v>11.2713</v>
      </c>
      <c r="M680" s="11">
        <f>11.2766 * CHOOSE(CONTROL!$C$32, $C$9, 100%, $E$9)</f>
        <v>11.2766</v>
      </c>
      <c r="N680" s="11">
        <f>11.2713 * CHOOSE(CONTROL!$C$32, $C$9, 100%, $E$9)</f>
        <v>11.2713</v>
      </c>
      <c r="O680" s="11">
        <f>11.2766 * CHOOSE(CONTROL!$C$32, $C$9, 100%, $E$9)</f>
        <v>11.2766</v>
      </c>
    </row>
    <row r="681" spans="1:15" ht="15" x14ac:dyDescent="0.2">
      <c r="A681" s="13">
        <v>61576</v>
      </c>
      <c r="B681" s="9">
        <f>9.888 * CHOOSE(CONTROL!$C$32, $C$9, 100%, $E$9)</f>
        <v>9.8879999999999999</v>
      </c>
      <c r="C681" s="9">
        <f>9.888 * CHOOSE(CONTROL!$C$32, $C$9, 100%, $E$9)</f>
        <v>9.8879999999999999</v>
      </c>
      <c r="D681" s="9">
        <f>9.8896 * CHOOSE(CONTROL!$C$32, $C$9, 100%, $E$9)</f>
        <v>9.8895999999999997</v>
      </c>
      <c r="E681" s="11">
        <f>11.0143 * CHOOSE(CONTROL!$C$32, $C$9, 100%, $E$9)</f>
        <v>11.0143</v>
      </c>
      <c r="F681" s="11">
        <f>11.0143 * CHOOSE(CONTROL!$C$32, $C$9, 100%, $E$9)</f>
        <v>11.0143</v>
      </c>
      <c r="G681" s="11">
        <f>11.0196 * CHOOSE(CONTROL!$C$32, $C$9, 100%, $E$9)</f>
        <v>11.019600000000001</v>
      </c>
      <c r="H681" s="11">
        <f>21.8777 * CHOOSE(CONTROL!$C$32, $C$9, 100%, $E$9)</f>
        <v>21.877700000000001</v>
      </c>
      <c r="I681" s="11">
        <f>21.883 * CHOOSE(CONTROL!$C$32, $C$9, 100%, $E$9)</f>
        <v>21.882999999999999</v>
      </c>
      <c r="J681" s="11">
        <f>21.8777 * CHOOSE(CONTROL!$C$32, $C$9, 100%, $E$9)</f>
        <v>21.877700000000001</v>
      </c>
      <c r="K681" s="11">
        <f>21.883 * CHOOSE(CONTROL!$C$32, $C$9, 100%, $E$9)</f>
        <v>21.882999999999999</v>
      </c>
      <c r="L681" s="11">
        <f>11.0143 * CHOOSE(CONTROL!$C$32, $C$9, 100%, $E$9)</f>
        <v>11.0143</v>
      </c>
      <c r="M681" s="11">
        <f>11.0196 * CHOOSE(CONTROL!$C$32, $C$9, 100%, $E$9)</f>
        <v>11.019600000000001</v>
      </c>
      <c r="N681" s="11">
        <f>11.0143 * CHOOSE(CONTROL!$C$32, $C$9, 100%, $E$9)</f>
        <v>11.0143</v>
      </c>
      <c r="O681" s="11">
        <f>11.0196 * CHOOSE(CONTROL!$C$32, $C$9, 100%, $E$9)</f>
        <v>11.019600000000001</v>
      </c>
    </row>
    <row r="682" spans="1:15" ht="15" x14ac:dyDescent="0.2">
      <c r="A682" s="13">
        <v>61607</v>
      </c>
      <c r="B682" s="9">
        <f>9.885 * CHOOSE(CONTROL!$C$32, $C$9, 100%, $E$9)</f>
        <v>9.8849999999999998</v>
      </c>
      <c r="C682" s="9">
        <f>9.885 * CHOOSE(CONTROL!$C$32, $C$9, 100%, $E$9)</f>
        <v>9.8849999999999998</v>
      </c>
      <c r="D682" s="9">
        <f>9.8865 * CHOOSE(CONTROL!$C$32, $C$9, 100%, $E$9)</f>
        <v>9.8864999999999998</v>
      </c>
      <c r="E682" s="11">
        <f>10.9831 * CHOOSE(CONTROL!$C$32, $C$9, 100%, $E$9)</f>
        <v>10.9831</v>
      </c>
      <c r="F682" s="11">
        <f>10.9831 * CHOOSE(CONTROL!$C$32, $C$9, 100%, $E$9)</f>
        <v>10.9831</v>
      </c>
      <c r="G682" s="11">
        <f>10.9884 * CHOOSE(CONTROL!$C$32, $C$9, 100%, $E$9)</f>
        <v>10.9884</v>
      </c>
      <c r="H682" s="11">
        <f>21.9233 * CHOOSE(CONTROL!$C$32, $C$9, 100%, $E$9)</f>
        <v>21.923300000000001</v>
      </c>
      <c r="I682" s="11">
        <f>21.9286 * CHOOSE(CONTROL!$C$32, $C$9, 100%, $E$9)</f>
        <v>21.928599999999999</v>
      </c>
      <c r="J682" s="11">
        <f>21.9233 * CHOOSE(CONTROL!$C$32, $C$9, 100%, $E$9)</f>
        <v>21.923300000000001</v>
      </c>
      <c r="K682" s="11">
        <f>21.9286 * CHOOSE(CONTROL!$C$32, $C$9, 100%, $E$9)</f>
        <v>21.928599999999999</v>
      </c>
      <c r="L682" s="11">
        <f>10.9831 * CHOOSE(CONTROL!$C$32, $C$9, 100%, $E$9)</f>
        <v>10.9831</v>
      </c>
      <c r="M682" s="11">
        <f>10.9884 * CHOOSE(CONTROL!$C$32, $C$9, 100%, $E$9)</f>
        <v>10.9884</v>
      </c>
      <c r="N682" s="11">
        <f>10.9831 * CHOOSE(CONTROL!$C$32, $C$9, 100%, $E$9)</f>
        <v>10.9831</v>
      </c>
      <c r="O682" s="11">
        <f>10.9884 * CHOOSE(CONTROL!$C$32, $C$9, 100%, $E$9)</f>
        <v>10.9884</v>
      </c>
    </row>
    <row r="683" spans="1:15" ht="15" x14ac:dyDescent="0.2">
      <c r="A683" s="13">
        <v>61637</v>
      </c>
      <c r="B683" s="9">
        <f>9.902 * CHOOSE(CONTROL!$C$32, $C$9, 100%, $E$9)</f>
        <v>9.9019999999999992</v>
      </c>
      <c r="C683" s="9">
        <f>9.902 * CHOOSE(CONTROL!$C$32, $C$9, 100%, $E$9)</f>
        <v>9.9019999999999992</v>
      </c>
      <c r="D683" s="9">
        <f>9.9031 * CHOOSE(CONTROL!$C$32, $C$9, 100%, $E$9)</f>
        <v>9.9031000000000002</v>
      </c>
      <c r="E683" s="11">
        <f>11.086 * CHOOSE(CONTROL!$C$32, $C$9, 100%, $E$9)</f>
        <v>11.086</v>
      </c>
      <c r="F683" s="11">
        <f>11.086 * CHOOSE(CONTROL!$C$32, $C$9, 100%, $E$9)</f>
        <v>11.086</v>
      </c>
      <c r="G683" s="11">
        <f>11.0896 * CHOOSE(CONTROL!$C$32, $C$9, 100%, $E$9)</f>
        <v>11.089600000000001</v>
      </c>
      <c r="H683" s="11">
        <f>21.969 * CHOOSE(CONTROL!$C$32, $C$9, 100%, $E$9)</f>
        <v>21.969000000000001</v>
      </c>
      <c r="I683" s="11">
        <f>21.9726 * CHOOSE(CONTROL!$C$32, $C$9, 100%, $E$9)</f>
        <v>21.9726</v>
      </c>
      <c r="J683" s="11">
        <f>21.969 * CHOOSE(CONTROL!$C$32, $C$9, 100%, $E$9)</f>
        <v>21.969000000000001</v>
      </c>
      <c r="K683" s="11">
        <f>21.9726 * CHOOSE(CONTROL!$C$32, $C$9, 100%, $E$9)</f>
        <v>21.9726</v>
      </c>
      <c r="L683" s="11">
        <f>11.086 * CHOOSE(CONTROL!$C$32, $C$9, 100%, $E$9)</f>
        <v>11.086</v>
      </c>
      <c r="M683" s="11">
        <f>11.0896 * CHOOSE(CONTROL!$C$32, $C$9, 100%, $E$9)</f>
        <v>11.089600000000001</v>
      </c>
      <c r="N683" s="11">
        <f>11.086 * CHOOSE(CONTROL!$C$32, $C$9, 100%, $E$9)</f>
        <v>11.086</v>
      </c>
      <c r="O683" s="11">
        <f>11.0896 * CHOOSE(CONTROL!$C$32, $C$9, 100%, $E$9)</f>
        <v>11.089600000000001</v>
      </c>
    </row>
    <row r="684" spans="1:15" ht="15" x14ac:dyDescent="0.2">
      <c r="A684" s="13">
        <v>61668</v>
      </c>
      <c r="B684" s="9">
        <f>9.905 * CHOOSE(CONTROL!$C$32, $C$9, 100%, $E$9)</f>
        <v>9.9049999999999994</v>
      </c>
      <c r="C684" s="9">
        <f>9.905 * CHOOSE(CONTROL!$C$32, $C$9, 100%, $E$9)</f>
        <v>9.9049999999999994</v>
      </c>
      <c r="D684" s="9">
        <f>9.9061 * CHOOSE(CONTROL!$C$32, $C$9, 100%, $E$9)</f>
        <v>9.9061000000000003</v>
      </c>
      <c r="E684" s="11">
        <f>11.1463 * CHOOSE(CONTROL!$C$32, $C$9, 100%, $E$9)</f>
        <v>11.1463</v>
      </c>
      <c r="F684" s="11">
        <f>11.1463 * CHOOSE(CONTROL!$C$32, $C$9, 100%, $E$9)</f>
        <v>11.1463</v>
      </c>
      <c r="G684" s="11">
        <f>11.1499 * CHOOSE(CONTROL!$C$32, $C$9, 100%, $E$9)</f>
        <v>11.149900000000001</v>
      </c>
      <c r="H684" s="11">
        <f>22.0147 * CHOOSE(CONTROL!$C$32, $C$9, 100%, $E$9)</f>
        <v>22.014700000000001</v>
      </c>
      <c r="I684" s="11">
        <f>22.0184 * CHOOSE(CONTROL!$C$32, $C$9, 100%, $E$9)</f>
        <v>22.0184</v>
      </c>
      <c r="J684" s="11">
        <f>22.0147 * CHOOSE(CONTROL!$C$32, $C$9, 100%, $E$9)</f>
        <v>22.014700000000001</v>
      </c>
      <c r="K684" s="11">
        <f>22.0184 * CHOOSE(CONTROL!$C$32, $C$9, 100%, $E$9)</f>
        <v>22.0184</v>
      </c>
      <c r="L684" s="11">
        <f>11.1463 * CHOOSE(CONTROL!$C$32, $C$9, 100%, $E$9)</f>
        <v>11.1463</v>
      </c>
      <c r="M684" s="11">
        <f>11.1499 * CHOOSE(CONTROL!$C$32, $C$9, 100%, $E$9)</f>
        <v>11.149900000000001</v>
      </c>
      <c r="N684" s="11">
        <f>11.1463 * CHOOSE(CONTROL!$C$32, $C$9, 100%, $E$9)</f>
        <v>11.1463</v>
      </c>
      <c r="O684" s="11">
        <f>11.1499 * CHOOSE(CONTROL!$C$32, $C$9, 100%, $E$9)</f>
        <v>11.149900000000001</v>
      </c>
    </row>
    <row r="685" spans="1:15" ht="15" x14ac:dyDescent="0.2">
      <c r="A685" s="13">
        <v>61698</v>
      </c>
      <c r="B685" s="9">
        <f>9.905 * CHOOSE(CONTROL!$C$32, $C$9, 100%, $E$9)</f>
        <v>9.9049999999999994</v>
      </c>
      <c r="C685" s="9">
        <f>9.905 * CHOOSE(CONTROL!$C$32, $C$9, 100%, $E$9)</f>
        <v>9.9049999999999994</v>
      </c>
      <c r="D685" s="9">
        <f>9.9061 * CHOOSE(CONTROL!$C$32, $C$9, 100%, $E$9)</f>
        <v>9.9061000000000003</v>
      </c>
      <c r="E685" s="11">
        <f>11.0009 * CHOOSE(CONTROL!$C$32, $C$9, 100%, $E$9)</f>
        <v>11.0009</v>
      </c>
      <c r="F685" s="11">
        <f>11.0009 * CHOOSE(CONTROL!$C$32, $C$9, 100%, $E$9)</f>
        <v>11.0009</v>
      </c>
      <c r="G685" s="11">
        <f>11.0045 * CHOOSE(CONTROL!$C$32, $C$9, 100%, $E$9)</f>
        <v>11.0045</v>
      </c>
      <c r="H685" s="11">
        <f>22.0606 * CHOOSE(CONTROL!$C$32, $C$9, 100%, $E$9)</f>
        <v>22.060600000000001</v>
      </c>
      <c r="I685" s="11">
        <f>22.0642 * CHOOSE(CONTROL!$C$32, $C$9, 100%, $E$9)</f>
        <v>22.0642</v>
      </c>
      <c r="J685" s="11">
        <f>22.0606 * CHOOSE(CONTROL!$C$32, $C$9, 100%, $E$9)</f>
        <v>22.060600000000001</v>
      </c>
      <c r="K685" s="11">
        <f>22.0642 * CHOOSE(CONTROL!$C$32, $C$9, 100%, $E$9)</f>
        <v>22.0642</v>
      </c>
      <c r="L685" s="11">
        <f>11.0009 * CHOOSE(CONTROL!$C$32, $C$9, 100%, $E$9)</f>
        <v>11.0009</v>
      </c>
      <c r="M685" s="11">
        <f>11.0045 * CHOOSE(CONTROL!$C$32, $C$9, 100%, $E$9)</f>
        <v>11.0045</v>
      </c>
      <c r="N685" s="11">
        <f>11.0009 * CHOOSE(CONTROL!$C$32, $C$9, 100%, $E$9)</f>
        <v>11.0009</v>
      </c>
      <c r="O685" s="11">
        <f>11.0045 * CHOOSE(CONTROL!$C$32, $C$9, 100%, $E$9)</f>
        <v>11.0045</v>
      </c>
    </row>
    <row r="686" spans="1:15" ht="15" x14ac:dyDescent="0.2">
      <c r="A686" s="13">
        <v>61729</v>
      </c>
      <c r="B686" s="9">
        <f>9.9437 * CHOOSE(CONTROL!$C$32, $C$9, 100%, $E$9)</f>
        <v>9.9436999999999998</v>
      </c>
      <c r="C686" s="9">
        <f>9.9437 * CHOOSE(CONTROL!$C$32, $C$9, 100%, $E$9)</f>
        <v>9.9436999999999998</v>
      </c>
      <c r="D686" s="9">
        <f>9.9448 * CHOOSE(CONTROL!$C$32, $C$9, 100%, $E$9)</f>
        <v>9.9448000000000008</v>
      </c>
      <c r="E686" s="11">
        <f>11.158 * CHOOSE(CONTROL!$C$32, $C$9, 100%, $E$9)</f>
        <v>11.157999999999999</v>
      </c>
      <c r="F686" s="11">
        <f>11.158 * CHOOSE(CONTROL!$C$32, $C$9, 100%, $E$9)</f>
        <v>11.157999999999999</v>
      </c>
      <c r="G686" s="11">
        <f>11.1616 * CHOOSE(CONTROL!$C$32, $C$9, 100%, $E$9)</f>
        <v>11.1616</v>
      </c>
      <c r="H686" s="11">
        <f>22.0148 * CHOOSE(CONTROL!$C$32, $C$9, 100%, $E$9)</f>
        <v>22.014800000000001</v>
      </c>
      <c r="I686" s="11">
        <f>22.0184 * CHOOSE(CONTROL!$C$32, $C$9, 100%, $E$9)</f>
        <v>22.0184</v>
      </c>
      <c r="J686" s="11">
        <f>22.0148 * CHOOSE(CONTROL!$C$32, $C$9, 100%, $E$9)</f>
        <v>22.014800000000001</v>
      </c>
      <c r="K686" s="11">
        <f>22.0184 * CHOOSE(CONTROL!$C$32, $C$9, 100%, $E$9)</f>
        <v>22.0184</v>
      </c>
      <c r="L686" s="11">
        <f>11.158 * CHOOSE(CONTROL!$C$32, $C$9, 100%, $E$9)</f>
        <v>11.157999999999999</v>
      </c>
      <c r="M686" s="11">
        <f>11.1616 * CHOOSE(CONTROL!$C$32, $C$9, 100%, $E$9)</f>
        <v>11.1616</v>
      </c>
      <c r="N686" s="11">
        <f>11.158 * CHOOSE(CONTROL!$C$32, $C$9, 100%, $E$9)</f>
        <v>11.157999999999999</v>
      </c>
      <c r="O686" s="11">
        <f>11.1616 * CHOOSE(CONTROL!$C$32, $C$9, 100%, $E$9)</f>
        <v>11.1616</v>
      </c>
    </row>
    <row r="687" spans="1:15" ht="15" x14ac:dyDescent="0.2">
      <c r="A687" s="13">
        <v>61760</v>
      </c>
      <c r="B687" s="9">
        <f>9.9407 * CHOOSE(CONTROL!$C$32, $C$9, 100%, $E$9)</f>
        <v>9.9406999999999996</v>
      </c>
      <c r="C687" s="9">
        <f>9.9407 * CHOOSE(CONTROL!$C$32, $C$9, 100%, $E$9)</f>
        <v>9.9406999999999996</v>
      </c>
      <c r="D687" s="9">
        <f>9.9417 * CHOOSE(CONTROL!$C$32, $C$9, 100%, $E$9)</f>
        <v>9.9417000000000009</v>
      </c>
      <c r="E687" s="11">
        <f>10.8741 * CHOOSE(CONTROL!$C$32, $C$9, 100%, $E$9)</f>
        <v>10.8741</v>
      </c>
      <c r="F687" s="11">
        <f>10.8741 * CHOOSE(CONTROL!$C$32, $C$9, 100%, $E$9)</f>
        <v>10.8741</v>
      </c>
      <c r="G687" s="11">
        <f>10.8777 * CHOOSE(CONTROL!$C$32, $C$9, 100%, $E$9)</f>
        <v>10.877700000000001</v>
      </c>
      <c r="H687" s="11">
        <f>22.0607 * CHOOSE(CONTROL!$C$32, $C$9, 100%, $E$9)</f>
        <v>22.060700000000001</v>
      </c>
      <c r="I687" s="11">
        <f>22.0643 * CHOOSE(CONTROL!$C$32, $C$9, 100%, $E$9)</f>
        <v>22.064299999999999</v>
      </c>
      <c r="J687" s="11">
        <f>22.0607 * CHOOSE(CONTROL!$C$32, $C$9, 100%, $E$9)</f>
        <v>22.060700000000001</v>
      </c>
      <c r="K687" s="11">
        <f>22.0643 * CHOOSE(CONTROL!$C$32, $C$9, 100%, $E$9)</f>
        <v>22.064299999999999</v>
      </c>
      <c r="L687" s="11">
        <f>10.8741 * CHOOSE(CONTROL!$C$32, $C$9, 100%, $E$9)</f>
        <v>10.8741</v>
      </c>
      <c r="M687" s="11">
        <f>10.8777 * CHOOSE(CONTROL!$C$32, $C$9, 100%, $E$9)</f>
        <v>10.877700000000001</v>
      </c>
      <c r="N687" s="11">
        <f>10.8741 * CHOOSE(CONTROL!$C$32, $C$9, 100%, $E$9)</f>
        <v>10.8741</v>
      </c>
      <c r="O687" s="11">
        <f>10.8777 * CHOOSE(CONTROL!$C$32, $C$9, 100%, $E$9)</f>
        <v>10.877700000000001</v>
      </c>
    </row>
    <row r="688" spans="1:15" ht="15" x14ac:dyDescent="0.2">
      <c r="A688" s="13">
        <v>61788</v>
      </c>
      <c r="B688" s="9">
        <f>9.9376 * CHOOSE(CONTROL!$C$32, $C$9, 100%, $E$9)</f>
        <v>9.9375999999999998</v>
      </c>
      <c r="C688" s="9">
        <f>9.9376 * CHOOSE(CONTROL!$C$32, $C$9, 100%, $E$9)</f>
        <v>9.9375999999999998</v>
      </c>
      <c r="D688" s="9">
        <f>9.9387 * CHOOSE(CONTROL!$C$32, $C$9, 100%, $E$9)</f>
        <v>9.9387000000000008</v>
      </c>
      <c r="E688" s="11">
        <f>11.0941 * CHOOSE(CONTROL!$C$32, $C$9, 100%, $E$9)</f>
        <v>11.094099999999999</v>
      </c>
      <c r="F688" s="11">
        <f>11.0941 * CHOOSE(CONTROL!$C$32, $C$9, 100%, $E$9)</f>
        <v>11.094099999999999</v>
      </c>
      <c r="G688" s="11">
        <f>11.0977 * CHOOSE(CONTROL!$C$32, $C$9, 100%, $E$9)</f>
        <v>11.0977</v>
      </c>
      <c r="H688" s="11">
        <f>22.1066 * CHOOSE(CONTROL!$C$32, $C$9, 100%, $E$9)</f>
        <v>22.1066</v>
      </c>
      <c r="I688" s="11">
        <f>22.1103 * CHOOSE(CONTROL!$C$32, $C$9, 100%, $E$9)</f>
        <v>22.110299999999999</v>
      </c>
      <c r="J688" s="11">
        <f>22.1066 * CHOOSE(CONTROL!$C$32, $C$9, 100%, $E$9)</f>
        <v>22.1066</v>
      </c>
      <c r="K688" s="11">
        <f>22.1103 * CHOOSE(CONTROL!$C$32, $C$9, 100%, $E$9)</f>
        <v>22.110299999999999</v>
      </c>
      <c r="L688" s="11">
        <f>11.0941 * CHOOSE(CONTROL!$C$32, $C$9, 100%, $E$9)</f>
        <v>11.094099999999999</v>
      </c>
      <c r="M688" s="11">
        <f>11.0977 * CHOOSE(CONTROL!$C$32, $C$9, 100%, $E$9)</f>
        <v>11.0977</v>
      </c>
      <c r="N688" s="11">
        <f>11.0941 * CHOOSE(CONTROL!$C$32, $C$9, 100%, $E$9)</f>
        <v>11.094099999999999</v>
      </c>
      <c r="O688" s="11">
        <f>11.0977 * CHOOSE(CONTROL!$C$32, $C$9, 100%, $E$9)</f>
        <v>11.0977</v>
      </c>
    </row>
    <row r="689" spans="1:15" ht="15" x14ac:dyDescent="0.2">
      <c r="A689" s="13">
        <v>61819</v>
      </c>
      <c r="B689" s="9">
        <f>9.941 * CHOOSE(CONTROL!$C$32, $C$9, 100%, $E$9)</f>
        <v>9.9410000000000007</v>
      </c>
      <c r="C689" s="9">
        <f>9.941 * CHOOSE(CONTROL!$C$32, $C$9, 100%, $E$9)</f>
        <v>9.9410000000000007</v>
      </c>
      <c r="D689" s="9">
        <f>9.9421 * CHOOSE(CONTROL!$C$32, $C$9, 100%, $E$9)</f>
        <v>9.9420999999999999</v>
      </c>
      <c r="E689" s="11">
        <f>11.3285 * CHOOSE(CONTROL!$C$32, $C$9, 100%, $E$9)</f>
        <v>11.3285</v>
      </c>
      <c r="F689" s="11">
        <f>11.3285 * CHOOSE(CONTROL!$C$32, $C$9, 100%, $E$9)</f>
        <v>11.3285</v>
      </c>
      <c r="G689" s="11">
        <f>11.3321 * CHOOSE(CONTROL!$C$32, $C$9, 100%, $E$9)</f>
        <v>11.332100000000001</v>
      </c>
      <c r="H689" s="11">
        <f>22.1527 * CHOOSE(CONTROL!$C$32, $C$9, 100%, $E$9)</f>
        <v>22.152699999999999</v>
      </c>
      <c r="I689" s="11">
        <f>22.1563 * CHOOSE(CONTROL!$C$32, $C$9, 100%, $E$9)</f>
        <v>22.156300000000002</v>
      </c>
      <c r="J689" s="11">
        <f>22.1527 * CHOOSE(CONTROL!$C$32, $C$9, 100%, $E$9)</f>
        <v>22.152699999999999</v>
      </c>
      <c r="K689" s="11">
        <f>22.1563 * CHOOSE(CONTROL!$C$32, $C$9, 100%, $E$9)</f>
        <v>22.156300000000002</v>
      </c>
      <c r="L689" s="11">
        <f>11.3285 * CHOOSE(CONTROL!$C$32, $C$9, 100%, $E$9)</f>
        <v>11.3285</v>
      </c>
      <c r="M689" s="11">
        <f>11.3321 * CHOOSE(CONTROL!$C$32, $C$9, 100%, $E$9)</f>
        <v>11.332100000000001</v>
      </c>
      <c r="N689" s="11">
        <f>11.3285 * CHOOSE(CONTROL!$C$32, $C$9, 100%, $E$9)</f>
        <v>11.3285</v>
      </c>
      <c r="O689" s="11">
        <f>11.3321 * CHOOSE(CONTROL!$C$32, $C$9, 100%, $E$9)</f>
        <v>11.332100000000001</v>
      </c>
    </row>
    <row r="690" spans="1:15" ht="15" x14ac:dyDescent="0.2">
      <c r="A690" s="13">
        <v>61849</v>
      </c>
      <c r="B690" s="9">
        <f>9.941 * CHOOSE(CONTROL!$C$32, $C$9, 100%, $E$9)</f>
        <v>9.9410000000000007</v>
      </c>
      <c r="C690" s="9">
        <f>9.941 * CHOOSE(CONTROL!$C$32, $C$9, 100%, $E$9)</f>
        <v>9.9410000000000007</v>
      </c>
      <c r="D690" s="9">
        <f>9.9426 * CHOOSE(CONTROL!$C$32, $C$9, 100%, $E$9)</f>
        <v>9.9426000000000005</v>
      </c>
      <c r="E690" s="11">
        <f>11.418 * CHOOSE(CONTROL!$C$32, $C$9, 100%, $E$9)</f>
        <v>11.417999999999999</v>
      </c>
      <c r="F690" s="11">
        <f>11.418 * CHOOSE(CONTROL!$C$32, $C$9, 100%, $E$9)</f>
        <v>11.417999999999999</v>
      </c>
      <c r="G690" s="11">
        <f>11.4233 * CHOOSE(CONTROL!$C$32, $C$9, 100%, $E$9)</f>
        <v>11.423299999999999</v>
      </c>
      <c r="H690" s="11">
        <f>22.1988 * CHOOSE(CONTROL!$C$32, $C$9, 100%, $E$9)</f>
        <v>22.198799999999999</v>
      </c>
      <c r="I690" s="11">
        <f>22.2041 * CHOOSE(CONTROL!$C$32, $C$9, 100%, $E$9)</f>
        <v>22.2041</v>
      </c>
      <c r="J690" s="11">
        <f>22.1988 * CHOOSE(CONTROL!$C$32, $C$9, 100%, $E$9)</f>
        <v>22.198799999999999</v>
      </c>
      <c r="K690" s="11">
        <f>22.2041 * CHOOSE(CONTROL!$C$32, $C$9, 100%, $E$9)</f>
        <v>22.2041</v>
      </c>
      <c r="L690" s="11">
        <f>11.418 * CHOOSE(CONTROL!$C$32, $C$9, 100%, $E$9)</f>
        <v>11.417999999999999</v>
      </c>
      <c r="M690" s="11">
        <f>11.4233 * CHOOSE(CONTROL!$C$32, $C$9, 100%, $E$9)</f>
        <v>11.423299999999999</v>
      </c>
      <c r="N690" s="11">
        <f>11.418 * CHOOSE(CONTROL!$C$32, $C$9, 100%, $E$9)</f>
        <v>11.417999999999999</v>
      </c>
      <c r="O690" s="11">
        <f>11.4233 * CHOOSE(CONTROL!$C$32, $C$9, 100%, $E$9)</f>
        <v>11.423299999999999</v>
      </c>
    </row>
    <row r="691" spans="1:15" ht="15" x14ac:dyDescent="0.2">
      <c r="A691" s="13">
        <v>61880</v>
      </c>
      <c r="B691" s="9">
        <f>9.9471 * CHOOSE(CONTROL!$C$32, $C$9, 100%, $E$9)</f>
        <v>9.9471000000000007</v>
      </c>
      <c r="C691" s="9">
        <f>9.9471 * CHOOSE(CONTROL!$C$32, $C$9, 100%, $E$9)</f>
        <v>9.9471000000000007</v>
      </c>
      <c r="D691" s="9">
        <f>9.9487 * CHOOSE(CONTROL!$C$32, $C$9, 100%, $E$9)</f>
        <v>9.9487000000000005</v>
      </c>
      <c r="E691" s="11">
        <f>11.3327 * CHOOSE(CONTROL!$C$32, $C$9, 100%, $E$9)</f>
        <v>11.332700000000001</v>
      </c>
      <c r="F691" s="11">
        <f>11.3327 * CHOOSE(CONTROL!$C$32, $C$9, 100%, $E$9)</f>
        <v>11.332700000000001</v>
      </c>
      <c r="G691" s="11">
        <f>11.338 * CHOOSE(CONTROL!$C$32, $C$9, 100%, $E$9)</f>
        <v>11.337999999999999</v>
      </c>
      <c r="H691" s="11">
        <f>22.2451 * CHOOSE(CONTROL!$C$32, $C$9, 100%, $E$9)</f>
        <v>22.245100000000001</v>
      </c>
      <c r="I691" s="11">
        <f>22.2504 * CHOOSE(CONTROL!$C$32, $C$9, 100%, $E$9)</f>
        <v>22.250399999999999</v>
      </c>
      <c r="J691" s="11">
        <f>22.2451 * CHOOSE(CONTROL!$C$32, $C$9, 100%, $E$9)</f>
        <v>22.245100000000001</v>
      </c>
      <c r="K691" s="11">
        <f>22.2504 * CHOOSE(CONTROL!$C$32, $C$9, 100%, $E$9)</f>
        <v>22.250399999999999</v>
      </c>
      <c r="L691" s="11">
        <f>11.3327 * CHOOSE(CONTROL!$C$32, $C$9, 100%, $E$9)</f>
        <v>11.332700000000001</v>
      </c>
      <c r="M691" s="11">
        <f>11.338 * CHOOSE(CONTROL!$C$32, $C$9, 100%, $E$9)</f>
        <v>11.337999999999999</v>
      </c>
      <c r="N691" s="11">
        <f>11.3327 * CHOOSE(CONTROL!$C$32, $C$9, 100%, $E$9)</f>
        <v>11.332700000000001</v>
      </c>
      <c r="O691" s="11">
        <f>11.338 * CHOOSE(CONTROL!$C$32, $C$9, 100%, $E$9)</f>
        <v>11.337999999999999</v>
      </c>
    </row>
    <row r="692" spans="1:15" ht="15" x14ac:dyDescent="0.2">
      <c r="A692" s="13">
        <v>61910</v>
      </c>
      <c r="B692" s="9">
        <f>10.0709 * CHOOSE(CONTROL!$C$32, $C$9, 100%, $E$9)</f>
        <v>10.0709</v>
      </c>
      <c r="C692" s="9">
        <f>10.0709 * CHOOSE(CONTROL!$C$32, $C$9, 100%, $E$9)</f>
        <v>10.0709</v>
      </c>
      <c r="D692" s="9">
        <f>10.0725 * CHOOSE(CONTROL!$C$32, $C$9, 100%, $E$9)</f>
        <v>10.0725</v>
      </c>
      <c r="E692" s="11">
        <f>11.4915 * CHOOSE(CONTROL!$C$32, $C$9, 100%, $E$9)</f>
        <v>11.4915</v>
      </c>
      <c r="F692" s="11">
        <f>11.4915 * CHOOSE(CONTROL!$C$32, $C$9, 100%, $E$9)</f>
        <v>11.4915</v>
      </c>
      <c r="G692" s="11">
        <f>11.4968 * CHOOSE(CONTROL!$C$32, $C$9, 100%, $E$9)</f>
        <v>11.4968</v>
      </c>
      <c r="H692" s="11">
        <f>22.2914 * CHOOSE(CONTROL!$C$32, $C$9, 100%, $E$9)</f>
        <v>22.291399999999999</v>
      </c>
      <c r="I692" s="11">
        <f>22.2967 * CHOOSE(CONTROL!$C$32, $C$9, 100%, $E$9)</f>
        <v>22.296700000000001</v>
      </c>
      <c r="J692" s="11">
        <f>22.2914 * CHOOSE(CONTROL!$C$32, $C$9, 100%, $E$9)</f>
        <v>22.291399999999999</v>
      </c>
      <c r="K692" s="11">
        <f>22.2967 * CHOOSE(CONTROL!$C$32, $C$9, 100%, $E$9)</f>
        <v>22.296700000000001</v>
      </c>
      <c r="L692" s="11">
        <f>11.4915 * CHOOSE(CONTROL!$C$32, $C$9, 100%, $E$9)</f>
        <v>11.4915</v>
      </c>
      <c r="M692" s="11">
        <f>11.4968 * CHOOSE(CONTROL!$C$32, $C$9, 100%, $E$9)</f>
        <v>11.4968</v>
      </c>
      <c r="N692" s="11">
        <f>11.4915 * CHOOSE(CONTROL!$C$32, $C$9, 100%, $E$9)</f>
        <v>11.4915</v>
      </c>
      <c r="O692" s="11">
        <f>11.4968 * CHOOSE(CONTROL!$C$32, $C$9, 100%, $E$9)</f>
        <v>11.4968</v>
      </c>
    </row>
    <row r="693" spans="1:15" ht="15" x14ac:dyDescent="0.2">
      <c r="A693" s="13">
        <v>61941</v>
      </c>
      <c r="B693" s="9">
        <f>10.0776 * CHOOSE(CONTROL!$C$32, $C$9, 100%, $E$9)</f>
        <v>10.0776</v>
      </c>
      <c r="C693" s="9">
        <f>10.0776 * CHOOSE(CONTROL!$C$32, $C$9, 100%, $E$9)</f>
        <v>10.0776</v>
      </c>
      <c r="D693" s="9">
        <f>10.0792 * CHOOSE(CONTROL!$C$32, $C$9, 100%, $E$9)</f>
        <v>10.0792</v>
      </c>
      <c r="E693" s="11">
        <f>11.2277 * CHOOSE(CONTROL!$C$32, $C$9, 100%, $E$9)</f>
        <v>11.2277</v>
      </c>
      <c r="F693" s="11">
        <f>11.2277 * CHOOSE(CONTROL!$C$32, $C$9, 100%, $E$9)</f>
        <v>11.2277</v>
      </c>
      <c r="G693" s="11">
        <f>11.233 * CHOOSE(CONTROL!$C$32, $C$9, 100%, $E$9)</f>
        <v>11.233000000000001</v>
      </c>
      <c r="H693" s="11">
        <f>22.3379 * CHOOSE(CONTROL!$C$32, $C$9, 100%, $E$9)</f>
        <v>22.337900000000001</v>
      </c>
      <c r="I693" s="11">
        <f>22.3432 * CHOOSE(CONTROL!$C$32, $C$9, 100%, $E$9)</f>
        <v>22.3432</v>
      </c>
      <c r="J693" s="11">
        <f>22.3379 * CHOOSE(CONTROL!$C$32, $C$9, 100%, $E$9)</f>
        <v>22.337900000000001</v>
      </c>
      <c r="K693" s="11">
        <f>22.3432 * CHOOSE(CONTROL!$C$32, $C$9, 100%, $E$9)</f>
        <v>22.3432</v>
      </c>
      <c r="L693" s="11">
        <f>11.2277 * CHOOSE(CONTROL!$C$32, $C$9, 100%, $E$9)</f>
        <v>11.2277</v>
      </c>
      <c r="M693" s="11">
        <f>11.233 * CHOOSE(CONTROL!$C$32, $C$9, 100%, $E$9)</f>
        <v>11.233000000000001</v>
      </c>
      <c r="N693" s="11">
        <f>11.2277 * CHOOSE(CONTROL!$C$32, $C$9, 100%, $E$9)</f>
        <v>11.2277</v>
      </c>
      <c r="O693" s="11">
        <f>11.233 * CHOOSE(CONTROL!$C$32, $C$9, 100%, $E$9)</f>
        <v>11.233000000000001</v>
      </c>
    </row>
    <row r="694" spans="1:15" ht="15" x14ac:dyDescent="0.2">
      <c r="A694" s="13">
        <v>61972</v>
      </c>
      <c r="B694" s="9">
        <f>10.0746 * CHOOSE(CONTROL!$C$32, $C$9, 100%, $E$9)</f>
        <v>10.0746</v>
      </c>
      <c r="C694" s="9">
        <f>10.0746 * CHOOSE(CONTROL!$C$32, $C$9, 100%, $E$9)</f>
        <v>10.0746</v>
      </c>
      <c r="D694" s="9">
        <f>10.0761 * CHOOSE(CONTROL!$C$32, $C$9, 100%, $E$9)</f>
        <v>10.0761</v>
      </c>
      <c r="E694" s="11">
        <f>11.1958 * CHOOSE(CONTROL!$C$32, $C$9, 100%, $E$9)</f>
        <v>11.1958</v>
      </c>
      <c r="F694" s="11">
        <f>11.1958 * CHOOSE(CONTROL!$C$32, $C$9, 100%, $E$9)</f>
        <v>11.1958</v>
      </c>
      <c r="G694" s="11">
        <f>11.2011 * CHOOSE(CONTROL!$C$32, $C$9, 100%, $E$9)</f>
        <v>11.2011</v>
      </c>
      <c r="H694" s="11">
        <f>22.3844 * CHOOSE(CONTROL!$C$32, $C$9, 100%, $E$9)</f>
        <v>22.384399999999999</v>
      </c>
      <c r="I694" s="11">
        <f>22.3897 * CHOOSE(CONTROL!$C$32, $C$9, 100%, $E$9)</f>
        <v>22.389700000000001</v>
      </c>
      <c r="J694" s="11">
        <f>22.3844 * CHOOSE(CONTROL!$C$32, $C$9, 100%, $E$9)</f>
        <v>22.384399999999999</v>
      </c>
      <c r="K694" s="11">
        <f>22.3897 * CHOOSE(CONTROL!$C$32, $C$9, 100%, $E$9)</f>
        <v>22.389700000000001</v>
      </c>
      <c r="L694" s="11">
        <f>11.1958 * CHOOSE(CONTROL!$C$32, $C$9, 100%, $E$9)</f>
        <v>11.1958</v>
      </c>
      <c r="M694" s="11">
        <f>11.2011 * CHOOSE(CONTROL!$C$32, $C$9, 100%, $E$9)</f>
        <v>11.2011</v>
      </c>
      <c r="N694" s="11">
        <f>11.1958 * CHOOSE(CONTROL!$C$32, $C$9, 100%, $E$9)</f>
        <v>11.1958</v>
      </c>
      <c r="O694" s="11">
        <f>11.2011 * CHOOSE(CONTROL!$C$32, $C$9, 100%, $E$9)</f>
        <v>11.2011</v>
      </c>
    </row>
    <row r="695" spans="1:15" ht="15" x14ac:dyDescent="0.2">
      <c r="A695" s="13">
        <v>62002</v>
      </c>
      <c r="B695" s="9">
        <f>10.0923 * CHOOSE(CONTROL!$C$32, $C$9, 100%, $E$9)</f>
        <v>10.0923</v>
      </c>
      <c r="C695" s="9">
        <f>10.0923 * CHOOSE(CONTROL!$C$32, $C$9, 100%, $E$9)</f>
        <v>10.0923</v>
      </c>
      <c r="D695" s="9">
        <f>10.0934 * CHOOSE(CONTROL!$C$32, $C$9, 100%, $E$9)</f>
        <v>10.093400000000001</v>
      </c>
      <c r="E695" s="11">
        <f>11.3017 * CHOOSE(CONTROL!$C$32, $C$9, 100%, $E$9)</f>
        <v>11.3017</v>
      </c>
      <c r="F695" s="11">
        <f>11.3017 * CHOOSE(CONTROL!$C$32, $C$9, 100%, $E$9)</f>
        <v>11.3017</v>
      </c>
      <c r="G695" s="11">
        <f>11.3053 * CHOOSE(CONTROL!$C$32, $C$9, 100%, $E$9)</f>
        <v>11.305300000000001</v>
      </c>
      <c r="H695" s="11">
        <f>22.4311 * CHOOSE(CONTROL!$C$32, $C$9, 100%, $E$9)</f>
        <v>22.431100000000001</v>
      </c>
      <c r="I695" s="11">
        <f>22.4347 * CHOOSE(CONTROL!$C$32, $C$9, 100%, $E$9)</f>
        <v>22.434699999999999</v>
      </c>
      <c r="J695" s="11">
        <f>22.4311 * CHOOSE(CONTROL!$C$32, $C$9, 100%, $E$9)</f>
        <v>22.431100000000001</v>
      </c>
      <c r="K695" s="11">
        <f>22.4347 * CHOOSE(CONTROL!$C$32, $C$9, 100%, $E$9)</f>
        <v>22.434699999999999</v>
      </c>
      <c r="L695" s="11">
        <f>11.3017 * CHOOSE(CONTROL!$C$32, $C$9, 100%, $E$9)</f>
        <v>11.3017</v>
      </c>
      <c r="M695" s="11">
        <f>11.3053 * CHOOSE(CONTROL!$C$32, $C$9, 100%, $E$9)</f>
        <v>11.305300000000001</v>
      </c>
      <c r="N695" s="11">
        <f>11.3017 * CHOOSE(CONTROL!$C$32, $C$9, 100%, $E$9)</f>
        <v>11.3017</v>
      </c>
      <c r="O695" s="11">
        <f>11.3053 * CHOOSE(CONTROL!$C$32, $C$9, 100%, $E$9)</f>
        <v>11.305300000000001</v>
      </c>
    </row>
    <row r="696" spans="1:15" ht="15" x14ac:dyDescent="0.2">
      <c r="A696" s="13">
        <v>62033</v>
      </c>
      <c r="B696" s="9">
        <f>10.0953 * CHOOSE(CONTROL!$C$32, $C$9, 100%, $E$9)</f>
        <v>10.0953</v>
      </c>
      <c r="C696" s="9">
        <f>10.0953 * CHOOSE(CONTROL!$C$32, $C$9, 100%, $E$9)</f>
        <v>10.0953</v>
      </c>
      <c r="D696" s="9">
        <f>10.0964 * CHOOSE(CONTROL!$C$32, $C$9, 100%, $E$9)</f>
        <v>10.096399999999999</v>
      </c>
      <c r="E696" s="11">
        <f>11.3634 * CHOOSE(CONTROL!$C$32, $C$9, 100%, $E$9)</f>
        <v>11.3634</v>
      </c>
      <c r="F696" s="11">
        <f>11.3634 * CHOOSE(CONTROL!$C$32, $C$9, 100%, $E$9)</f>
        <v>11.3634</v>
      </c>
      <c r="G696" s="11">
        <f>11.3671 * CHOOSE(CONTROL!$C$32, $C$9, 100%, $E$9)</f>
        <v>11.367100000000001</v>
      </c>
      <c r="H696" s="11">
        <f>22.4778 * CHOOSE(CONTROL!$C$32, $C$9, 100%, $E$9)</f>
        <v>22.477799999999998</v>
      </c>
      <c r="I696" s="11">
        <f>22.4814 * CHOOSE(CONTROL!$C$32, $C$9, 100%, $E$9)</f>
        <v>22.481400000000001</v>
      </c>
      <c r="J696" s="11">
        <f>22.4778 * CHOOSE(CONTROL!$C$32, $C$9, 100%, $E$9)</f>
        <v>22.477799999999998</v>
      </c>
      <c r="K696" s="11">
        <f>22.4814 * CHOOSE(CONTROL!$C$32, $C$9, 100%, $E$9)</f>
        <v>22.481400000000001</v>
      </c>
      <c r="L696" s="11">
        <f>11.3634 * CHOOSE(CONTROL!$C$32, $C$9, 100%, $E$9)</f>
        <v>11.3634</v>
      </c>
      <c r="M696" s="11">
        <f>11.3671 * CHOOSE(CONTROL!$C$32, $C$9, 100%, $E$9)</f>
        <v>11.367100000000001</v>
      </c>
      <c r="N696" s="11">
        <f>11.3634 * CHOOSE(CONTROL!$C$32, $C$9, 100%, $E$9)</f>
        <v>11.3634</v>
      </c>
      <c r="O696" s="11">
        <f>11.3671 * CHOOSE(CONTROL!$C$32, $C$9, 100%, $E$9)</f>
        <v>11.367100000000001</v>
      </c>
    </row>
    <row r="697" spans="1:15" ht="15" x14ac:dyDescent="0.2">
      <c r="A697" s="13">
        <v>62063</v>
      </c>
      <c r="B697" s="9">
        <f>10.0953 * CHOOSE(CONTROL!$C$32, $C$9, 100%, $E$9)</f>
        <v>10.0953</v>
      </c>
      <c r="C697" s="9">
        <f>10.0953 * CHOOSE(CONTROL!$C$32, $C$9, 100%, $E$9)</f>
        <v>10.0953</v>
      </c>
      <c r="D697" s="9">
        <f>10.0964 * CHOOSE(CONTROL!$C$32, $C$9, 100%, $E$9)</f>
        <v>10.096399999999999</v>
      </c>
      <c r="E697" s="11">
        <f>11.2143 * CHOOSE(CONTROL!$C$32, $C$9, 100%, $E$9)</f>
        <v>11.2143</v>
      </c>
      <c r="F697" s="11">
        <f>11.2143 * CHOOSE(CONTROL!$C$32, $C$9, 100%, $E$9)</f>
        <v>11.2143</v>
      </c>
      <c r="G697" s="11">
        <f>11.2179 * CHOOSE(CONTROL!$C$32, $C$9, 100%, $E$9)</f>
        <v>11.2179</v>
      </c>
      <c r="H697" s="11">
        <f>22.5246 * CHOOSE(CONTROL!$C$32, $C$9, 100%, $E$9)</f>
        <v>22.5246</v>
      </c>
      <c r="I697" s="11">
        <f>22.5282 * CHOOSE(CONTROL!$C$32, $C$9, 100%, $E$9)</f>
        <v>22.528199999999998</v>
      </c>
      <c r="J697" s="11">
        <f>22.5246 * CHOOSE(CONTROL!$C$32, $C$9, 100%, $E$9)</f>
        <v>22.5246</v>
      </c>
      <c r="K697" s="11">
        <f>22.5282 * CHOOSE(CONTROL!$C$32, $C$9, 100%, $E$9)</f>
        <v>22.528199999999998</v>
      </c>
      <c r="L697" s="11">
        <f>11.2143 * CHOOSE(CONTROL!$C$32, $C$9, 100%, $E$9)</f>
        <v>11.2143</v>
      </c>
      <c r="M697" s="11">
        <f>11.2179 * CHOOSE(CONTROL!$C$32, $C$9, 100%, $E$9)</f>
        <v>11.2179</v>
      </c>
      <c r="N697" s="11">
        <f>11.2143 * CHOOSE(CONTROL!$C$32, $C$9, 100%, $E$9)</f>
        <v>11.2143</v>
      </c>
      <c r="O697" s="11">
        <f>11.2179 * CHOOSE(CONTROL!$C$32, $C$9, 100%, $E$9)</f>
        <v>11.2179</v>
      </c>
    </row>
    <row r="698" spans="1:15" ht="15" x14ac:dyDescent="0.2">
      <c r="A698" s="13">
        <v>62094</v>
      </c>
      <c r="B698" s="9">
        <f>10.1311 * CHOOSE(CONTROL!$C$32, $C$9, 100%, $E$9)</f>
        <v>10.1311</v>
      </c>
      <c r="C698" s="9">
        <f>10.1311 * CHOOSE(CONTROL!$C$32, $C$9, 100%, $E$9)</f>
        <v>10.1311</v>
      </c>
      <c r="D698" s="9">
        <f>10.1321 * CHOOSE(CONTROL!$C$32, $C$9, 100%, $E$9)</f>
        <v>10.132099999999999</v>
      </c>
      <c r="E698" s="11">
        <f>11.3705 * CHOOSE(CONTROL!$C$32, $C$9, 100%, $E$9)</f>
        <v>11.3705</v>
      </c>
      <c r="F698" s="11">
        <f>11.3705 * CHOOSE(CONTROL!$C$32, $C$9, 100%, $E$9)</f>
        <v>11.3705</v>
      </c>
      <c r="G698" s="11">
        <f>11.3741 * CHOOSE(CONTROL!$C$32, $C$9, 100%, $E$9)</f>
        <v>11.3741</v>
      </c>
      <c r="H698" s="11">
        <f>22.4683 * CHOOSE(CONTROL!$C$32, $C$9, 100%, $E$9)</f>
        <v>22.468299999999999</v>
      </c>
      <c r="I698" s="11">
        <f>22.4719 * CHOOSE(CONTROL!$C$32, $C$9, 100%, $E$9)</f>
        <v>22.471900000000002</v>
      </c>
      <c r="J698" s="11">
        <f>22.4683 * CHOOSE(CONTROL!$C$32, $C$9, 100%, $E$9)</f>
        <v>22.468299999999999</v>
      </c>
      <c r="K698" s="11">
        <f>22.4719 * CHOOSE(CONTROL!$C$32, $C$9, 100%, $E$9)</f>
        <v>22.471900000000002</v>
      </c>
      <c r="L698" s="11">
        <f>11.3705 * CHOOSE(CONTROL!$C$32, $C$9, 100%, $E$9)</f>
        <v>11.3705</v>
      </c>
      <c r="M698" s="11">
        <f>11.3741 * CHOOSE(CONTROL!$C$32, $C$9, 100%, $E$9)</f>
        <v>11.3741</v>
      </c>
      <c r="N698" s="11">
        <f>11.3705 * CHOOSE(CONTROL!$C$32, $C$9, 100%, $E$9)</f>
        <v>11.3705</v>
      </c>
      <c r="O698" s="11">
        <f>11.3741 * CHOOSE(CONTROL!$C$32, $C$9, 100%, $E$9)</f>
        <v>11.3741</v>
      </c>
    </row>
    <row r="699" spans="1:15" ht="15" x14ac:dyDescent="0.2">
      <c r="A699" s="13">
        <v>62125</v>
      </c>
      <c r="B699" s="9">
        <f>10.128 * CHOOSE(CONTROL!$C$32, $C$9, 100%, $E$9)</f>
        <v>10.128</v>
      </c>
      <c r="C699" s="9">
        <f>10.128 * CHOOSE(CONTROL!$C$32, $C$9, 100%, $E$9)</f>
        <v>10.128</v>
      </c>
      <c r="D699" s="9">
        <f>10.1291 * CHOOSE(CONTROL!$C$32, $C$9, 100%, $E$9)</f>
        <v>10.129099999999999</v>
      </c>
      <c r="E699" s="11">
        <f>11.0795 * CHOOSE(CONTROL!$C$32, $C$9, 100%, $E$9)</f>
        <v>11.079499999999999</v>
      </c>
      <c r="F699" s="11">
        <f>11.0795 * CHOOSE(CONTROL!$C$32, $C$9, 100%, $E$9)</f>
        <v>11.079499999999999</v>
      </c>
      <c r="G699" s="11">
        <f>11.0831 * CHOOSE(CONTROL!$C$32, $C$9, 100%, $E$9)</f>
        <v>11.0831</v>
      </c>
      <c r="H699" s="11">
        <f>22.5151 * CHOOSE(CONTROL!$C$32, $C$9, 100%, $E$9)</f>
        <v>22.5151</v>
      </c>
      <c r="I699" s="11">
        <f>22.5187 * CHOOSE(CONTROL!$C$32, $C$9, 100%, $E$9)</f>
        <v>22.518699999999999</v>
      </c>
      <c r="J699" s="11">
        <f>22.5151 * CHOOSE(CONTROL!$C$32, $C$9, 100%, $E$9)</f>
        <v>22.5151</v>
      </c>
      <c r="K699" s="11">
        <f>22.5187 * CHOOSE(CONTROL!$C$32, $C$9, 100%, $E$9)</f>
        <v>22.518699999999999</v>
      </c>
      <c r="L699" s="11">
        <f>11.0795 * CHOOSE(CONTROL!$C$32, $C$9, 100%, $E$9)</f>
        <v>11.079499999999999</v>
      </c>
      <c r="M699" s="11">
        <f>11.0831 * CHOOSE(CONTROL!$C$32, $C$9, 100%, $E$9)</f>
        <v>11.0831</v>
      </c>
      <c r="N699" s="11">
        <f>11.0795 * CHOOSE(CONTROL!$C$32, $C$9, 100%, $E$9)</f>
        <v>11.079499999999999</v>
      </c>
      <c r="O699" s="11">
        <f>11.0831 * CHOOSE(CONTROL!$C$32, $C$9, 100%, $E$9)</f>
        <v>11.0831</v>
      </c>
    </row>
    <row r="700" spans="1:15" ht="15" x14ac:dyDescent="0.2">
      <c r="A700" s="13">
        <v>62153</v>
      </c>
      <c r="B700" s="9">
        <f>10.125 * CHOOSE(CONTROL!$C$32, $C$9, 100%, $E$9)</f>
        <v>10.125</v>
      </c>
      <c r="C700" s="9">
        <f>10.125 * CHOOSE(CONTROL!$C$32, $C$9, 100%, $E$9)</f>
        <v>10.125</v>
      </c>
      <c r="D700" s="9">
        <f>10.1261 * CHOOSE(CONTROL!$C$32, $C$9, 100%, $E$9)</f>
        <v>10.126099999999999</v>
      </c>
      <c r="E700" s="11">
        <f>11.3051 * CHOOSE(CONTROL!$C$32, $C$9, 100%, $E$9)</f>
        <v>11.305099999999999</v>
      </c>
      <c r="F700" s="11">
        <f>11.3051 * CHOOSE(CONTROL!$C$32, $C$9, 100%, $E$9)</f>
        <v>11.305099999999999</v>
      </c>
      <c r="G700" s="11">
        <f>11.3087 * CHOOSE(CONTROL!$C$32, $C$9, 100%, $E$9)</f>
        <v>11.3087</v>
      </c>
      <c r="H700" s="11">
        <f>22.562 * CHOOSE(CONTROL!$C$32, $C$9, 100%, $E$9)</f>
        <v>22.562000000000001</v>
      </c>
      <c r="I700" s="11">
        <f>22.5657 * CHOOSE(CONTROL!$C$32, $C$9, 100%, $E$9)</f>
        <v>22.5657</v>
      </c>
      <c r="J700" s="11">
        <f>22.562 * CHOOSE(CONTROL!$C$32, $C$9, 100%, $E$9)</f>
        <v>22.562000000000001</v>
      </c>
      <c r="K700" s="11">
        <f>22.5657 * CHOOSE(CONTROL!$C$32, $C$9, 100%, $E$9)</f>
        <v>22.5657</v>
      </c>
      <c r="L700" s="11">
        <f>11.3051 * CHOOSE(CONTROL!$C$32, $C$9, 100%, $E$9)</f>
        <v>11.305099999999999</v>
      </c>
      <c r="M700" s="11">
        <f>11.3087 * CHOOSE(CONTROL!$C$32, $C$9, 100%, $E$9)</f>
        <v>11.3087</v>
      </c>
      <c r="N700" s="11">
        <f>11.3051 * CHOOSE(CONTROL!$C$32, $C$9, 100%, $E$9)</f>
        <v>11.305099999999999</v>
      </c>
      <c r="O700" s="11">
        <f>11.3087 * CHOOSE(CONTROL!$C$32, $C$9, 100%, $E$9)</f>
        <v>11.3087</v>
      </c>
    </row>
    <row r="701" spans="1:15" ht="15" x14ac:dyDescent="0.2">
      <c r="A701" s="13">
        <v>62184</v>
      </c>
      <c r="B701" s="9">
        <f>10.1286 * CHOOSE(CONTROL!$C$32, $C$9, 100%, $E$9)</f>
        <v>10.1286</v>
      </c>
      <c r="C701" s="9">
        <f>10.1286 * CHOOSE(CONTROL!$C$32, $C$9, 100%, $E$9)</f>
        <v>10.1286</v>
      </c>
      <c r="D701" s="9">
        <f>10.1297 * CHOOSE(CONTROL!$C$32, $C$9, 100%, $E$9)</f>
        <v>10.1297</v>
      </c>
      <c r="E701" s="11">
        <f>11.5455 * CHOOSE(CONTROL!$C$32, $C$9, 100%, $E$9)</f>
        <v>11.545500000000001</v>
      </c>
      <c r="F701" s="11">
        <f>11.5455 * CHOOSE(CONTROL!$C$32, $C$9, 100%, $E$9)</f>
        <v>11.545500000000001</v>
      </c>
      <c r="G701" s="11">
        <f>11.5491 * CHOOSE(CONTROL!$C$32, $C$9, 100%, $E$9)</f>
        <v>11.549099999999999</v>
      </c>
      <c r="H701" s="11">
        <f>22.609 * CHOOSE(CONTROL!$C$32, $C$9, 100%, $E$9)</f>
        <v>22.609000000000002</v>
      </c>
      <c r="I701" s="11">
        <f>22.6127 * CHOOSE(CONTROL!$C$32, $C$9, 100%, $E$9)</f>
        <v>22.6127</v>
      </c>
      <c r="J701" s="11">
        <f>22.609 * CHOOSE(CONTROL!$C$32, $C$9, 100%, $E$9)</f>
        <v>22.609000000000002</v>
      </c>
      <c r="K701" s="11">
        <f>22.6127 * CHOOSE(CONTROL!$C$32, $C$9, 100%, $E$9)</f>
        <v>22.6127</v>
      </c>
      <c r="L701" s="11">
        <f>11.5455 * CHOOSE(CONTROL!$C$32, $C$9, 100%, $E$9)</f>
        <v>11.545500000000001</v>
      </c>
      <c r="M701" s="11">
        <f>11.5491 * CHOOSE(CONTROL!$C$32, $C$9, 100%, $E$9)</f>
        <v>11.549099999999999</v>
      </c>
      <c r="N701" s="11">
        <f>11.5455 * CHOOSE(CONTROL!$C$32, $C$9, 100%, $E$9)</f>
        <v>11.545500000000001</v>
      </c>
      <c r="O701" s="11">
        <f>11.5491 * CHOOSE(CONTROL!$C$32, $C$9, 100%, $E$9)</f>
        <v>11.549099999999999</v>
      </c>
    </row>
    <row r="702" spans="1:15" ht="15" x14ac:dyDescent="0.2">
      <c r="A702" s="13">
        <v>62214</v>
      </c>
      <c r="B702" s="9">
        <f>10.1286 * CHOOSE(CONTROL!$C$32, $C$9, 100%, $E$9)</f>
        <v>10.1286</v>
      </c>
      <c r="C702" s="9">
        <f>10.1286 * CHOOSE(CONTROL!$C$32, $C$9, 100%, $E$9)</f>
        <v>10.1286</v>
      </c>
      <c r="D702" s="9">
        <f>10.1302 * CHOOSE(CONTROL!$C$32, $C$9, 100%, $E$9)</f>
        <v>10.1302</v>
      </c>
      <c r="E702" s="11">
        <f>11.6372 * CHOOSE(CONTROL!$C$32, $C$9, 100%, $E$9)</f>
        <v>11.6372</v>
      </c>
      <c r="F702" s="11">
        <f>11.6372 * CHOOSE(CONTROL!$C$32, $C$9, 100%, $E$9)</f>
        <v>11.6372</v>
      </c>
      <c r="G702" s="11">
        <f>11.6425 * CHOOSE(CONTROL!$C$32, $C$9, 100%, $E$9)</f>
        <v>11.6425</v>
      </c>
      <c r="H702" s="11">
        <f>22.6561 * CHOOSE(CONTROL!$C$32, $C$9, 100%, $E$9)</f>
        <v>22.656099999999999</v>
      </c>
      <c r="I702" s="11">
        <f>22.6614 * CHOOSE(CONTROL!$C$32, $C$9, 100%, $E$9)</f>
        <v>22.6614</v>
      </c>
      <c r="J702" s="11">
        <f>22.6561 * CHOOSE(CONTROL!$C$32, $C$9, 100%, $E$9)</f>
        <v>22.656099999999999</v>
      </c>
      <c r="K702" s="11">
        <f>22.6614 * CHOOSE(CONTROL!$C$32, $C$9, 100%, $E$9)</f>
        <v>22.6614</v>
      </c>
      <c r="L702" s="11">
        <f>11.6372 * CHOOSE(CONTROL!$C$32, $C$9, 100%, $E$9)</f>
        <v>11.6372</v>
      </c>
      <c r="M702" s="11">
        <f>11.6425 * CHOOSE(CONTROL!$C$32, $C$9, 100%, $E$9)</f>
        <v>11.6425</v>
      </c>
      <c r="N702" s="11">
        <f>11.6372 * CHOOSE(CONTROL!$C$32, $C$9, 100%, $E$9)</f>
        <v>11.6372</v>
      </c>
      <c r="O702" s="11">
        <f>11.6425 * CHOOSE(CONTROL!$C$32, $C$9, 100%, $E$9)</f>
        <v>11.6425</v>
      </c>
    </row>
    <row r="703" spans="1:15" ht="15" x14ac:dyDescent="0.2">
      <c r="A703" s="13">
        <v>62245</v>
      </c>
      <c r="B703" s="9">
        <f>10.1347 * CHOOSE(CONTROL!$C$32, $C$9, 100%, $E$9)</f>
        <v>10.1347</v>
      </c>
      <c r="C703" s="9">
        <f>10.1347 * CHOOSE(CONTROL!$C$32, $C$9, 100%, $E$9)</f>
        <v>10.1347</v>
      </c>
      <c r="D703" s="9">
        <f>10.1362 * CHOOSE(CONTROL!$C$32, $C$9, 100%, $E$9)</f>
        <v>10.136200000000001</v>
      </c>
      <c r="E703" s="11">
        <f>11.5497 * CHOOSE(CONTROL!$C$32, $C$9, 100%, $E$9)</f>
        <v>11.5497</v>
      </c>
      <c r="F703" s="11">
        <f>11.5497 * CHOOSE(CONTROL!$C$32, $C$9, 100%, $E$9)</f>
        <v>11.5497</v>
      </c>
      <c r="G703" s="11">
        <f>11.555 * CHOOSE(CONTROL!$C$32, $C$9, 100%, $E$9)</f>
        <v>11.555</v>
      </c>
      <c r="H703" s="11">
        <f>22.7033 * CHOOSE(CONTROL!$C$32, $C$9, 100%, $E$9)</f>
        <v>22.703299999999999</v>
      </c>
      <c r="I703" s="11">
        <f>22.7086 * CHOOSE(CONTROL!$C$32, $C$9, 100%, $E$9)</f>
        <v>22.708600000000001</v>
      </c>
      <c r="J703" s="11">
        <f>22.7033 * CHOOSE(CONTROL!$C$32, $C$9, 100%, $E$9)</f>
        <v>22.703299999999999</v>
      </c>
      <c r="K703" s="11">
        <f>22.7086 * CHOOSE(CONTROL!$C$32, $C$9, 100%, $E$9)</f>
        <v>22.708600000000001</v>
      </c>
      <c r="L703" s="11">
        <f>11.5497 * CHOOSE(CONTROL!$C$32, $C$9, 100%, $E$9)</f>
        <v>11.5497</v>
      </c>
      <c r="M703" s="11">
        <f>11.555 * CHOOSE(CONTROL!$C$32, $C$9, 100%, $E$9)</f>
        <v>11.555</v>
      </c>
      <c r="N703" s="11">
        <f>11.5497 * CHOOSE(CONTROL!$C$32, $C$9, 100%, $E$9)</f>
        <v>11.5497</v>
      </c>
      <c r="O703" s="11">
        <f>11.555 * CHOOSE(CONTROL!$C$32, $C$9, 100%, $E$9)</f>
        <v>11.555</v>
      </c>
    </row>
    <row r="704" spans="1:15" ht="15" x14ac:dyDescent="0.2">
      <c r="A704" s="13">
        <v>62275</v>
      </c>
      <c r="B704" s="9">
        <f>10.2605 * CHOOSE(CONTROL!$C$32, $C$9, 100%, $E$9)</f>
        <v>10.2605</v>
      </c>
      <c r="C704" s="9">
        <f>10.2605 * CHOOSE(CONTROL!$C$32, $C$9, 100%, $E$9)</f>
        <v>10.2605</v>
      </c>
      <c r="D704" s="9">
        <f>10.2621 * CHOOSE(CONTROL!$C$32, $C$9, 100%, $E$9)</f>
        <v>10.2621</v>
      </c>
      <c r="E704" s="11">
        <f>11.7117 * CHOOSE(CONTROL!$C$32, $C$9, 100%, $E$9)</f>
        <v>11.7117</v>
      </c>
      <c r="F704" s="11">
        <f>11.7117 * CHOOSE(CONTROL!$C$32, $C$9, 100%, $E$9)</f>
        <v>11.7117</v>
      </c>
      <c r="G704" s="11">
        <f>11.717 * CHOOSE(CONTROL!$C$32, $C$9, 100%, $E$9)</f>
        <v>11.717000000000001</v>
      </c>
      <c r="H704" s="11">
        <f>22.7506 * CHOOSE(CONTROL!$C$32, $C$9, 100%, $E$9)</f>
        <v>22.750599999999999</v>
      </c>
      <c r="I704" s="11">
        <f>22.7559 * CHOOSE(CONTROL!$C$32, $C$9, 100%, $E$9)</f>
        <v>22.7559</v>
      </c>
      <c r="J704" s="11">
        <f>22.7506 * CHOOSE(CONTROL!$C$32, $C$9, 100%, $E$9)</f>
        <v>22.750599999999999</v>
      </c>
      <c r="K704" s="11">
        <f>22.7559 * CHOOSE(CONTROL!$C$32, $C$9, 100%, $E$9)</f>
        <v>22.7559</v>
      </c>
      <c r="L704" s="11">
        <f>11.7117 * CHOOSE(CONTROL!$C$32, $C$9, 100%, $E$9)</f>
        <v>11.7117</v>
      </c>
      <c r="M704" s="11">
        <f>11.717 * CHOOSE(CONTROL!$C$32, $C$9, 100%, $E$9)</f>
        <v>11.717000000000001</v>
      </c>
      <c r="N704" s="11">
        <f>11.7117 * CHOOSE(CONTROL!$C$32, $C$9, 100%, $E$9)</f>
        <v>11.7117</v>
      </c>
      <c r="O704" s="11">
        <f>11.717 * CHOOSE(CONTROL!$C$32, $C$9, 100%, $E$9)</f>
        <v>11.717000000000001</v>
      </c>
    </row>
    <row r="705" spans="1:15" ht="15" x14ac:dyDescent="0.2">
      <c r="A705" s="13">
        <v>62306</v>
      </c>
      <c r="B705" s="9">
        <f>10.2672 * CHOOSE(CONTROL!$C$32, $C$9, 100%, $E$9)</f>
        <v>10.267200000000001</v>
      </c>
      <c r="C705" s="9">
        <f>10.2672 * CHOOSE(CONTROL!$C$32, $C$9, 100%, $E$9)</f>
        <v>10.267200000000001</v>
      </c>
      <c r="D705" s="9">
        <f>10.2688 * CHOOSE(CONTROL!$C$32, $C$9, 100%, $E$9)</f>
        <v>10.268800000000001</v>
      </c>
      <c r="E705" s="11">
        <f>11.4412 * CHOOSE(CONTROL!$C$32, $C$9, 100%, $E$9)</f>
        <v>11.4412</v>
      </c>
      <c r="F705" s="11">
        <f>11.4412 * CHOOSE(CONTROL!$C$32, $C$9, 100%, $E$9)</f>
        <v>11.4412</v>
      </c>
      <c r="G705" s="11">
        <f>11.4465 * CHOOSE(CONTROL!$C$32, $C$9, 100%, $E$9)</f>
        <v>11.4465</v>
      </c>
      <c r="H705" s="11">
        <f>22.798 * CHOOSE(CONTROL!$C$32, $C$9, 100%, $E$9)</f>
        <v>22.797999999999998</v>
      </c>
      <c r="I705" s="11">
        <f>22.8033 * CHOOSE(CONTROL!$C$32, $C$9, 100%, $E$9)</f>
        <v>22.8033</v>
      </c>
      <c r="J705" s="11">
        <f>22.798 * CHOOSE(CONTROL!$C$32, $C$9, 100%, $E$9)</f>
        <v>22.797999999999998</v>
      </c>
      <c r="K705" s="11">
        <f>22.8033 * CHOOSE(CONTROL!$C$32, $C$9, 100%, $E$9)</f>
        <v>22.8033</v>
      </c>
      <c r="L705" s="11">
        <f>11.4412 * CHOOSE(CONTROL!$C$32, $C$9, 100%, $E$9)</f>
        <v>11.4412</v>
      </c>
      <c r="M705" s="11">
        <f>11.4465 * CHOOSE(CONTROL!$C$32, $C$9, 100%, $E$9)</f>
        <v>11.4465</v>
      </c>
      <c r="N705" s="11">
        <f>11.4412 * CHOOSE(CONTROL!$C$32, $C$9, 100%, $E$9)</f>
        <v>11.4412</v>
      </c>
      <c r="O705" s="11">
        <f>11.4465 * CHOOSE(CONTROL!$C$32, $C$9, 100%, $E$9)</f>
        <v>11.4465</v>
      </c>
    </row>
    <row r="706" spans="1:15" ht="15" x14ac:dyDescent="0.2">
      <c r="A706" s="13">
        <v>62337</v>
      </c>
      <c r="B706" s="9">
        <f>10.2642 * CHOOSE(CONTROL!$C$32, $C$9, 100%, $E$9)</f>
        <v>10.264200000000001</v>
      </c>
      <c r="C706" s="9">
        <f>10.2642 * CHOOSE(CONTROL!$C$32, $C$9, 100%, $E$9)</f>
        <v>10.264200000000001</v>
      </c>
      <c r="D706" s="9">
        <f>10.2657 * CHOOSE(CONTROL!$C$32, $C$9, 100%, $E$9)</f>
        <v>10.265700000000001</v>
      </c>
      <c r="E706" s="11">
        <f>11.4085 * CHOOSE(CONTROL!$C$32, $C$9, 100%, $E$9)</f>
        <v>11.4085</v>
      </c>
      <c r="F706" s="11">
        <f>11.4085 * CHOOSE(CONTROL!$C$32, $C$9, 100%, $E$9)</f>
        <v>11.4085</v>
      </c>
      <c r="G706" s="11">
        <f>11.4138 * CHOOSE(CONTROL!$C$32, $C$9, 100%, $E$9)</f>
        <v>11.4138</v>
      </c>
      <c r="H706" s="11">
        <f>22.8455 * CHOOSE(CONTROL!$C$32, $C$9, 100%, $E$9)</f>
        <v>22.845500000000001</v>
      </c>
      <c r="I706" s="11">
        <f>22.8508 * CHOOSE(CONTROL!$C$32, $C$9, 100%, $E$9)</f>
        <v>22.8508</v>
      </c>
      <c r="J706" s="11">
        <f>22.8455 * CHOOSE(CONTROL!$C$32, $C$9, 100%, $E$9)</f>
        <v>22.845500000000001</v>
      </c>
      <c r="K706" s="11">
        <f>22.8508 * CHOOSE(CONTROL!$C$32, $C$9, 100%, $E$9)</f>
        <v>22.8508</v>
      </c>
      <c r="L706" s="11">
        <f>11.4085 * CHOOSE(CONTROL!$C$32, $C$9, 100%, $E$9)</f>
        <v>11.4085</v>
      </c>
      <c r="M706" s="11">
        <f>11.4138 * CHOOSE(CONTROL!$C$32, $C$9, 100%, $E$9)</f>
        <v>11.4138</v>
      </c>
      <c r="N706" s="11">
        <f>11.4085 * CHOOSE(CONTROL!$C$32, $C$9, 100%, $E$9)</f>
        <v>11.4085</v>
      </c>
      <c r="O706" s="11">
        <f>11.4138 * CHOOSE(CONTROL!$C$32, $C$9, 100%, $E$9)</f>
        <v>11.4138</v>
      </c>
    </row>
    <row r="707" spans="1:15" ht="15" x14ac:dyDescent="0.2">
      <c r="A707" s="13">
        <v>62367</v>
      </c>
      <c r="B707" s="9">
        <f>10.2826 * CHOOSE(CONTROL!$C$32, $C$9, 100%, $E$9)</f>
        <v>10.2826</v>
      </c>
      <c r="C707" s="9">
        <f>10.2826 * CHOOSE(CONTROL!$C$32, $C$9, 100%, $E$9)</f>
        <v>10.2826</v>
      </c>
      <c r="D707" s="9">
        <f>10.2837 * CHOOSE(CONTROL!$C$32, $C$9, 100%, $E$9)</f>
        <v>10.2837</v>
      </c>
      <c r="E707" s="11">
        <f>11.5173 * CHOOSE(CONTROL!$C$32, $C$9, 100%, $E$9)</f>
        <v>11.517300000000001</v>
      </c>
      <c r="F707" s="11">
        <f>11.5173 * CHOOSE(CONTROL!$C$32, $C$9, 100%, $E$9)</f>
        <v>11.517300000000001</v>
      </c>
      <c r="G707" s="11">
        <f>11.521 * CHOOSE(CONTROL!$C$32, $C$9, 100%, $E$9)</f>
        <v>11.521000000000001</v>
      </c>
      <c r="H707" s="11">
        <f>22.8931 * CHOOSE(CONTROL!$C$32, $C$9, 100%, $E$9)</f>
        <v>22.8931</v>
      </c>
      <c r="I707" s="11">
        <f>22.8967 * CHOOSE(CONTROL!$C$32, $C$9, 100%, $E$9)</f>
        <v>22.896699999999999</v>
      </c>
      <c r="J707" s="11">
        <f>22.8931 * CHOOSE(CONTROL!$C$32, $C$9, 100%, $E$9)</f>
        <v>22.8931</v>
      </c>
      <c r="K707" s="11">
        <f>22.8967 * CHOOSE(CONTROL!$C$32, $C$9, 100%, $E$9)</f>
        <v>22.896699999999999</v>
      </c>
      <c r="L707" s="11">
        <f>11.5173 * CHOOSE(CONTROL!$C$32, $C$9, 100%, $E$9)</f>
        <v>11.517300000000001</v>
      </c>
      <c r="M707" s="11">
        <f>11.521 * CHOOSE(CONTROL!$C$32, $C$9, 100%, $E$9)</f>
        <v>11.521000000000001</v>
      </c>
      <c r="N707" s="11">
        <f>11.5173 * CHOOSE(CONTROL!$C$32, $C$9, 100%, $E$9)</f>
        <v>11.517300000000001</v>
      </c>
      <c r="O707" s="11">
        <f>11.521 * CHOOSE(CONTROL!$C$32, $C$9, 100%, $E$9)</f>
        <v>11.521000000000001</v>
      </c>
    </row>
    <row r="708" spans="1:15" ht="15" x14ac:dyDescent="0.2">
      <c r="A708" s="13">
        <v>62398</v>
      </c>
      <c r="B708" s="9">
        <f>10.2857 * CHOOSE(CONTROL!$C$32, $C$9, 100%, $E$9)</f>
        <v>10.2857</v>
      </c>
      <c r="C708" s="9">
        <f>10.2857 * CHOOSE(CONTROL!$C$32, $C$9, 100%, $E$9)</f>
        <v>10.2857</v>
      </c>
      <c r="D708" s="9">
        <f>10.2867 * CHOOSE(CONTROL!$C$32, $C$9, 100%, $E$9)</f>
        <v>10.2867</v>
      </c>
      <c r="E708" s="11">
        <f>11.5806 * CHOOSE(CONTROL!$C$32, $C$9, 100%, $E$9)</f>
        <v>11.5806</v>
      </c>
      <c r="F708" s="11">
        <f>11.5806 * CHOOSE(CONTROL!$C$32, $C$9, 100%, $E$9)</f>
        <v>11.5806</v>
      </c>
      <c r="G708" s="11">
        <f>11.5842 * CHOOSE(CONTROL!$C$32, $C$9, 100%, $E$9)</f>
        <v>11.584199999999999</v>
      </c>
      <c r="H708" s="11">
        <f>22.9408 * CHOOSE(CONTROL!$C$32, $C$9, 100%, $E$9)</f>
        <v>22.940799999999999</v>
      </c>
      <c r="I708" s="11">
        <f>22.9444 * CHOOSE(CONTROL!$C$32, $C$9, 100%, $E$9)</f>
        <v>22.944400000000002</v>
      </c>
      <c r="J708" s="11">
        <f>22.9408 * CHOOSE(CONTROL!$C$32, $C$9, 100%, $E$9)</f>
        <v>22.940799999999999</v>
      </c>
      <c r="K708" s="11">
        <f>22.9444 * CHOOSE(CONTROL!$C$32, $C$9, 100%, $E$9)</f>
        <v>22.944400000000002</v>
      </c>
      <c r="L708" s="11">
        <f>11.5806 * CHOOSE(CONTROL!$C$32, $C$9, 100%, $E$9)</f>
        <v>11.5806</v>
      </c>
      <c r="M708" s="11">
        <f>11.5842 * CHOOSE(CONTROL!$C$32, $C$9, 100%, $E$9)</f>
        <v>11.584199999999999</v>
      </c>
      <c r="N708" s="11">
        <f>11.5806 * CHOOSE(CONTROL!$C$32, $C$9, 100%, $E$9)</f>
        <v>11.5806</v>
      </c>
      <c r="O708" s="11">
        <f>11.5842 * CHOOSE(CONTROL!$C$32, $C$9, 100%, $E$9)</f>
        <v>11.584199999999999</v>
      </c>
    </row>
    <row r="709" spans="1:15" ht="15" x14ac:dyDescent="0.2">
      <c r="A709" s="13">
        <v>62428</v>
      </c>
      <c r="B709" s="9">
        <f>10.2857 * CHOOSE(CONTROL!$C$32, $C$9, 100%, $E$9)</f>
        <v>10.2857</v>
      </c>
      <c r="C709" s="9">
        <f>10.2857 * CHOOSE(CONTROL!$C$32, $C$9, 100%, $E$9)</f>
        <v>10.2857</v>
      </c>
      <c r="D709" s="9">
        <f>10.2867 * CHOOSE(CONTROL!$C$32, $C$9, 100%, $E$9)</f>
        <v>10.2867</v>
      </c>
      <c r="E709" s="11">
        <f>11.4277 * CHOOSE(CONTROL!$C$32, $C$9, 100%, $E$9)</f>
        <v>11.4277</v>
      </c>
      <c r="F709" s="11">
        <f>11.4277 * CHOOSE(CONTROL!$C$32, $C$9, 100%, $E$9)</f>
        <v>11.4277</v>
      </c>
      <c r="G709" s="11">
        <f>11.4314 * CHOOSE(CONTROL!$C$32, $C$9, 100%, $E$9)</f>
        <v>11.4314</v>
      </c>
      <c r="H709" s="11">
        <f>22.9886 * CHOOSE(CONTROL!$C$32, $C$9, 100%, $E$9)</f>
        <v>22.988600000000002</v>
      </c>
      <c r="I709" s="11">
        <f>22.9922 * CHOOSE(CONTROL!$C$32, $C$9, 100%, $E$9)</f>
        <v>22.9922</v>
      </c>
      <c r="J709" s="11">
        <f>22.9886 * CHOOSE(CONTROL!$C$32, $C$9, 100%, $E$9)</f>
        <v>22.988600000000002</v>
      </c>
      <c r="K709" s="11">
        <f>22.9922 * CHOOSE(CONTROL!$C$32, $C$9, 100%, $E$9)</f>
        <v>22.9922</v>
      </c>
      <c r="L709" s="11">
        <f>11.4277 * CHOOSE(CONTROL!$C$32, $C$9, 100%, $E$9)</f>
        <v>11.4277</v>
      </c>
      <c r="M709" s="11">
        <f>11.4314 * CHOOSE(CONTROL!$C$32, $C$9, 100%, $E$9)</f>
        <v>11.4314</v>
      </c>
      <c r="N709" s="11">
        <f>11.4277 * CHOOSE(CONTROL!$C$32, $C$9, 100%, $E$9)</f>
        <v>11.4277</v>
      </c>
      <c r="O709" s="11">
        <f>11.4314 * CHOOSE(CONTROL!$C$32, $C$9, 100%, $E$9)</f>
        <v>11.4314</v>
      </c>
    </row>
    <row r="710" spans="1:15" ht="15" x14ac:dyDescent="0.2">
      <c r="A710" s="13">
        <v>62459</v>
      </c>
      <c r="B710" s="9">
        <f>10.3184 * CHOOSE(CONTROL!$C$32, $C$9, 100%, $E$9)</f>
        <v>10.3184</v>
      </c>
      <c r="C710" s="9">
        <f>10.3184 * CHOOSE(CONTROL!$C$32, $C$9, 100%, $E$9)</f>
        <v>10.3184</v>
      </c>
      <c r="D710" s="9">
        <f>10.3195 * CHOOSE(CONTROL!$C$32, $C$9, 100%, $E$9)</f>
        <v>10.3195</v>
      </c>
      <c r="E710" s="11">
        <f>11.583 * CHOOSE(CONTROL!$C$32, $C$9, 100%, $E$9)</f>
        <v>11.583</v>
      </c>
      <c r="F710" s="11">
        <f>11.583 * CHOOSE(CONTROL!$C$32, $C$9, 100%, $E$9)</f>
        <v>11.583</v>
      </c>
      <c r="G710" s="11">
        <f>11.5866 * CHOOSE(CONTROL!$C$32, $C$9, 100%, $E$9)</f>
        <v>11.586600000000001</v>
      </c>
      <c r="H710" s="11">
        <f>22.9218 * CHOOSE(CONTROL!$C$32, $C$9, 100%, $E$9)</f>
        <v>22.921800000000001</v>
      </c>
      <c r="I710" s="11">
        <f>22.9254 * CHOOSE(CONTROL!$C$32, $C$9, 100%, $E$9)</f>
        <v>22.9254</v>
      </c>
      <c r="J710" s="11">
        <f>22.9218 * CHOOSE(CONTROL!$C$32, $C$9, 100%, $E$9)</f>
        <v>22.921800000000001</v>
      </c>
      <c r="K710" s="11">
        <f>22.9254 * CHOOSE(CONTROL!$C$32, $C$9, 100%, $E$9)</f>
        <v>22.9254</v>
      </c>
      <c r="L710" s="11">
        <f>11.583 * CHOOSE(CONTROL!$C$32, $C$9, 100%, $E$9)</f>
        <v>11.583</v>
      </c>
      <c r="M710" s="11">
        <f>11.5866 * CHOOSE(CONTROL!$C$32, $C$9, 100%, $E$9)</f>
        <v>11.586600000000001</v>
      </c>
      <c r="N710" s="11">
        <f>11.583 * CHOOSE(CONTROL!$C$32, $C$9, 100%, $E$9)</f>
        <v>11.583</v>
      </c>
      <c r="O710" s="11">
        <f>11.5866 * CHOOSE(CONTROL!$C$32, $C$9, 100%, $E$9)</f>
        <v>11.586600000000001</v>
      </c>
    </row>
    <row r="711" spans="1:15" ht="15" x14ac:dyDescent="0.2">
      <c r="A711" s="13">
        <v>62490</v>
      </c>
      <c r="B711" s="9">
        <f>10.3154 * CHOOSE(CONTROL!$C$32, $C$9, 100%, $E$9)</f>
        <v>10.3154</v>
      </c>
      <c r="C711" s="9">
        <f>10.3154 * CHOOSE(CONTROL!$C$32, $C$9, 100%, $E$9)</f>
        <v>10.3154</v>
      </c>
      <c r="D711" s="9">
        <f>10.3165 * CHOOSE(CONTROL!$C$32, $C$9, 100%, $E$9)</f>
        <v>10.3165</v>
      </c>
      <c r="E711" s="11">
        <f>11.2849 * CHOOSE(CONTROL!$C$32, $C$9, 100%, $E$9)</f>
        <v>11.2849</v>
      </c>
      <c r="F711" s="11">
        <f>11.2849 * CHOOSE(CONTROL!$C$32, $C$9, 100%, $E$9)</f>
        <v>11.2849</v>
      </c>
      <c r="G711" s="11">
        <f>11.2885 * CHOOSE(CONTROL!$C$32, $C$9, 100%, $E$9)</f>
        <v>11.288500000000001</v>
      </c>
      <c r="H711" s="11">
        <f>22.9696 * CHOOSE(CONTROL!$C$32, $C$9, 100%, $E$9)</f>
        <v>22.9696</v>
      </c>
      <c r="I711" s="11">
        <f>22.9732 * CHOOSE(CONTROL!$C$32, $C$9, 100%, $E$9)</f>
        <v>22.973199999999999</v>
      </c>
      <c r="J711" s="11">
        <f>22.9696 * CHOOSE(CONTROL!$C$32, $C$9, 100%, $E$9)</f>
        <v>22.9696</v>
      </c>
      <c r="K711" s="11">
        <f>22.9732 * CHOOSE(CONTROL!$C$32, $C$9, 100%, $E$9)</f>
        <v>22.973199999999999</v>
      </c>
      <c r="L711" s="11">
        <f>11.2849 * CHOOSE(CONTROL!$C$32, $C$9, 100%, $E$9)</f>
        <v>11.2849</v>
      </c>
      <c r="M711" s="11">
        <f>11.2885 * CHOOSE(CONTROL!$C$32, $C$9, 100%, $E$9)</f>
        <v>11.288500000000001</v>
      </c>
      <c r="N711" s="11">
        <f>11.2849 * CHOOSE(CONTROL!$C$32, $C$9, 100%, $E$9)</f>
        <v>11.2849</v>
      </c>
      <c r="O711" s="11">
        <f>11.2885 * CHOOSE(CONTROL!$C$32, $C$9, 100%, $E$9)</f>
        <v>11.288500000000001</v>
      </c>
    </row>
    <row r="712" spans="1:15" ht="15" x14ac:dyDescent="0.2">
      <c r="A712" s="13">
        <v>62518</v>
      </c>
      <c r="B712" s="9">
        <f>10.3123 * CHOOSE(CONTROL!$C$32, $C$9, 100%, $E$9)</f>
        <v>10.3123</v>
      </c>
      <c r="C712" s="9">
        <f>10.3123 * CHOOSE(CONTROL!$C$32, $C$9, 100%, $E$9)</f>
        <v>10.3123</v>
      </c>
      <c r="D712" s="9">
        <f>10.3134 * CHOOSE(CONTROL!$C$32, $C$9, 100%, $E$9)</f>
        <v>10.3134</v>
      </c>
      <c r="E712" s="11">
        <f>11.5161 * CHOOSE(CONTROL!$C$32, $C$9, 100%, $E$9)</f>
        <v>11.5161</v>
      </c>
      <c r="F712" s="11">
        <f>11.5161 * CHOOSE(CONTROL!$C$32, $C$9, 100%, $E$9)</f>
        <v>11.5161</v>
      </c>
      <c r="G712" s="11">
        <f>11.5198 * CHOOSE(CONTROL!$C$32, $C$9, 100%, $E$9)</f>
        <v>11.5198</v>
      </c>
      <c r="H712" s="11">
        <f>23.0174 * CHOOSE(CONTROL!$C$32, $C$9, 100%, $E$9)</f>
        <v>23.017399999999999</v>
      </c>
      <c r="I712" s="11">
        <f>23.021 * CHOOSE(CONTROL!$C$32, $C$9, 100%, $E$9)</f>
        <v>23.021000000000001</v>
      </c>
      <c r="J712" s="11">
        <f>23.0174 * CHOOSE(CONTROL!$C$32, $C$9, 100%, $E$9)</f>
        <v>23.017399999999999</v>
      </c>
      <c r="K712" s="11">
        <f>23.021 * CHOOSE(CONTROL!$C$32, $C$9, 100%, $E$9)</f>
        <v>23.021000000000001</v>
      </c>
      <c r="L712" s="11">
        <f>11.5161 * CHOOSE(CONTROL!$C$32, $C$9, 100%, $E$9)</f>
        <v>11.5161</v>
      </c>
      <c r="M712" s="11">
        <f>11.5198 * CHOOSE(CONTROL!$C$32, $C$9, 100%, $E$9)</f>
        <v>11.5198</v>
      </c>
      <c r="N712" s="11">
        <f>11.5161 * CHOOSE(CONTROL!$C$32, $C$9, 100%, $E$9)</f>
        <v>11.5161</v>
      </c>
      <c r="O712" s="11">
        <f>11.5198 * CHOOSE(CONTROL!$C$32, $C$9, 100%, $E$9)</f>
        <v>11.5198</v>
      </c>
    </row>
    <row r="713" spans="1:15" ht="15" x14ac:dyDescent="0.2">
      <c r="A713" s="13">
        <v>62549</v>
      </c>
      <c r="B713" s="9">
        <f>10.3161 * CHOOSE(CONTROL!$C$32, $C$9, 100%, $E$9)</f>
        <v>10.3161</v>
      </c>
      <c r="C713" s="9">
        <f>10.3161 * CHOOSE(CONTROL!$C$32, $C$9, 100%, $E$9)</f>
        <v>10.3161</v>
      </c>
      <c r="D713" s="9">
        <f>10.3172 * CHOOSE(CONTROL!$C$32, $C$9, 100%, $E$9)</f>
        <v>10.3172</v>
      </c>
      <c r="E713" s="11">
        <f>11.7625 * CHOOSE(CONTROL!$C$32, $C$9, 100%, $E$9)</f>
        <v>11.762499999999999</v>
      </c>
      <c r="F713" s="11">
        <f>11.7625 * CHOOSE(CONTROL!$C$32, $C$9, 100%, $E$9)</f>
        <v>11.762499999999999</v>
      </c>
      <c r="G713" s="11">
        <f>11.7661 * CHOOSE(CONTROL!$C$32, $C$9, 100%, $E$9)</f>
        <v>11.7661</v>
      </c>
      <c r="H713" s="11">
        <f>23.0654 * CHOOSE(CONTROL!$C$32, $C$9, 100%, $E$9)</f>
        <v>23.0654</v>
      </c>
      <c r="I713" s="11">
        <f>23.069 * CHOOSE(CONTROL!$C$32, $C$9, 100%, $E$9)</f>
        <v>23.068999999999999</v>
      </c>
      <c r="J713" s="11">
        <f>23.0654 * CHOOSE(CONTROL!$C$32, $C$9, 100%, $E$9)</f>
        <v>23.0654</v>
      </c>
      <c r="K713" s="11">
        <f>23.069 * CHOOSE(CONTROL!$C$32, $C$9, 100%, $E$9)</f>
        <v>23.068999999999999</v>
      </c>
      <c r="L713" s="11">
        <f>11.7625 * CHOOSE(CONTROL!$C$32, $C$9, 100%, $E$9)</f>
        <v>11.762499999999999</v>
      </c>
      <c r="M713" s="11">
        <f>11.7661 * CHOOSE(CONTROL!$C$32, $C$9, 100%, $E$9)</f>
        <v>11.7661</v>
      </c>
      <c r="N713" s="11">
        <f>11.7625 * CHOOSE(CONTROL!$C$32, $C$9, 100%, $E$9)</f>
        <v>11.762499999999999</v>
      </c>
      <c r="O713" s="11">
        <f>11.7661 * CHOOSE(CONTROL!$C$32, $C$9, 100%, $E$9)</f>
        <v>11.7661</v>
      </c>
    </row>
    <row r="714" spans="1:15" ht="15" x14ac:dyDescent="0.2">
      <c r="A714" s="13">
        <v>62579</v>
      </c>
      <c r="B714" s="9">
        <f>10.3161 * CHOOSE(CONTROL!$C$32, $C$9, 100%, $E$9)</f>
        <v>10.3161</v>
      </c>
      <c r="C714" s="9">
        <f>10.3161 * CHOOSE(CONTROL!$C$32, $C$9, 100%, $E$9)</f>
        <v>10.3161</v>
      </c>
      <c r="D714" s="9">
        <f>10.3177 * CHOOSE(CONTROL!$C$32, $C$9, 100%, $E$9)</f>
        <v>10.3177</v>
      </c>
      <c r="E714" s="11">
        <f>11.8565 * CHOOSE(CONTROL!$C$32, $C$9, 100%, $E$9)</f>
        <v>11.8565</v>
      </c>
      <c r="F714" s="11">
        <f>11.8565 * CHOOSE(CONTROL!$C$32, $C$9, 100%, $E$9)</f>
        <v>11.8565</v>
      </c>
      <c r="G714" s="11">
        <f>11.8618 * CHOOSE(CONTROL!$C$32, $C$9, 100%, $E$9)</f>
        <v>11.861800000000001</v>
      </c>
      <c r="H714" s="11">
        <f>23.1134 * CHOOSE(CONTROL!$C$32, $C$9, 100%, $E$9)</f>
        <v>23.113399999999999</v>
      </c>
      <c r="I714" s="11">
        <f>23.1187 * CHOOSE(CONTROL!$C$32, $C$9, 100%, $E$9)</f>
        <v>23.1187</v>
      </c>
      <c r="J714" s="11">
        <f>23.1134 * CHOOSE(CONTROL!$C$32, $C$9, 100%, $E$9)</f>
        <v>23.113399999999999</v>
      </c>
      <c r="K714" s="11">
        <f>23.1187 * CHOOSE(CONTROL!$C$32, $C$9, 100%, $E$9)</f>
        <v>23.1187</v>
      </c>
      <c r="L714" s="11">
        <f>11.8565 * CHOOSE(CONTROL!$C$32, $C$9, 100%, $E$9)</f>
        <v>11.8565</v>
      </c>
      <c r="M714" s="11">
        <f>11.8618 * CHOOSE(CONTROL!$C$32, $C$9, 100%, $E$9)</f>
        <v>11.861800000000001</v>
      </c>
      <c r="N714" s="11">
        <f>11.8565 * CHOOSE(CONTROL!$C$32, $C$9, 100%, $E$9)</f>
        <v>11.8565</v>
      </c>
      <c r="O714" s="11">
        <f>11.8618 * CHOOSE(CONTROL!$C$32, $C$9, 100%, $E$9)</f>
        <v>11.861800000000001</v>
      </c>
    </row>
    <row r="715" spans="1:15" ht="15" x14ac:dyDescent="0.2">
      <c r="A715" s="13">
        <v>62610</v>
      </c>
      <c r="B715" s="9">
        <f>10.3222 * CHOOSE(CONTROL!$C$32, $C$9, 100%, $E$9)</f>
        <v>10.3222</v>
      </c>
      <c r="C715" s="9">
        <f>10.3222 * CHOOSE(CONTROL!$C$32, $C$9, 100%, $E$9)</f>
        <v>10.3222</v>
      </c>
      <c r="D715" s="9">
        <f>10.3238 * CHOOSE(CONTROL!$C$32, $C$9, 100%, $E$9)</f>
        <v>10.3238</v>
      </c>
      <c r="E715" s="11">
        <f>11.7667 * CHOOSE(CONTROL!$C$32, $C$9, 100%, $E$9)</f>
        <v>11.7667</v>
      </c>
      <c r="F715" s="11">
        <f>11.7667 * CHOOSE(CONTROL!$C$32, $C$9, 100%, $E$9)</f>
        <v>11.7667</v>
      </c>
      <c r="G715" s="11">
        <f>11.772 * CHOOSE(CONTROL!$C$32, $C$9, 100%, $E$9)</f>
        <v>11.772</v>
      </c>
      <c r="H715" s="11">
        <f>23.1616 * CHOOSE(CONTROL!$C$32, $C$9, 100%, $E$9)</f>
        <v>23.1616</v>
      </c>
      <c r="I715" s="11">
        <f>23.1669 * CHOOSE(CONTROL!$C$32, $C$9, 100%, $E$9)</f>
        <v>23.166899999999998</v>
      </c>
      <c r="J715" s="11">
        <f>23.1616 * CHOOSE(CONTROL!$C$32, $C$9, 100%, $E$9)</f>
        <v>23.1616</v>
      </c>
      <c r="K715" s="11">
        <f>23.1669 * CHOOSE(CONTROL!$C$32, $C$9, 100%, $E$9)</f>
        <v>23.166899999999998</v>
      </c>
      <c r="L715" s="11">
        <f>11.7667 * CHOOSE(CONTROL!$C$32, $C$9, 100%, $E$9)</f>
        <v>11.7667</v>
      </c>
      <c r="M715" s="11">
        <f>11.772 * CHOOSE(CONTROL!$C$32, $C$9, 100%, $E$9)</f>
        <v>11.772</v>
      </c>
      <c r="N715" s="11">
        <f>11.7667 * CHOOSE(CONTROL!$C$32, $C$9, 100%, $E$9)</f>
        <v>11.7667</v>
      </c>
      <c r="O715" s="11">
        <f>11.772 * CHOOSE(CONTROL!$C$32, $C$9, 100%, $E$9)</f>
        <v>11.772</v>
      </c>
    </row>
    <row r="716" spans="1:15" ht="15" x14ac:dyDescent="0.2">
      <c r="A716" s="13">
        <v>62640</v>
      </c>
      <c r="B716" s="9">
        <f>10.4501 * CHOOSE(CONTROL!$C$32, $C$9, 100%, $E$9)</f>
        <v>10.450100000000001</v>
      </c>
      <c r="C716" s="9">
        <f>10.4501 * CHOOSE(CONTROL!$C$32, $C$9, 100%, $E$9)</f>
        <v>10.450100000000001</v>
      </c>
      <c r="D716" s="9">
        <f>10.4517 * CHOOSE(CONTROL!$C$32, $C$9, 100%, $E$9)</f>
        <v>10.451700000000001</v>
      </c>
      <c r="E716" s="11">
        <f>11.9319 * CHOOSE(CONTROL!$C$32, $C$9, 100%, $E$9)</f>
        <v>11.931900000000001</v>
      </c>
      <c r="F716" s="11">
        <f>11.9319 * CHOOSE(CONTROL!$C$32, $C$9, 100%, $E$9)</f>
        <v>11.931900000000001</v>
      </c>
      <c r="G716" s="11">
        <f>11.9371 * CHOOSE(CONTROL!$C$32, $C$9, 100%, $E$9)</f>
        <v>11.937099999999999</v>
      </c>
      <c r="H716" s="11">
        <f>23.2098 * CHOOSE(CONTROL!$C$32, $C$9, 100%, $E$9)</f>
        <v>23.209800000000001</v>
      </c>
      <c r="I716" s="11">
        <f>23.2151 * CHOOSE(CONTROL!$C$32, $C$9, 100%, $E$9)</f>
        <v>23.2151</v>
      </c>
      <c r="J716" s="11">
        <f>23.2098 * CHOOSE(CONTROL!$C$32, $C$9, 100%, $E$9)</f>
        <v>23.209800000000001</v>
      </c>
      <c r="K716" s="11">
        <f>23.2151 * CHOOSE(CONTROL!$C$32, $C$9, 100%, $E$9)</f>
        <v>23.2151</v>
      </c>
      <c r="L716" s="11">
        <f>11.9319 * CHOOSE(CONTROL!$C$32, $C$9, 100%, $E$9)</f>
        <v>11.931900000000001</v>
      </c>
      <c r="M716" s="11">
        <f>11.9371 * CHOOSE(CONTROL!$C$32, $C$9, 100%, $E$9)</f>
        <v>11.937099999999999</v>
      </c>
      <c r="N716" s="11">
        <f>11.9319 * CHOOSE(CONTROL!$C$32, $C$9, 100%, $E$9)</f>
        <v>11.931900000000001</v>
      </c>
      <c r="O716" s="11">
        <f>11.9371 * CHOOSE(CONTROL!$C$32, $C$9, 100%, $E$9)</f>
        <v>11.937099999999999</v>
      </c>
    </row>
    <row r="717" spans="1:15" ht="15" x14ac:dyDescent="0.2">
      <c r="A717" s="13">
        <v>62671</v>
      </c>
      <c r="B717" s="9">
        <f>10.4568 * CHOOSE(CONTROL!$C$32, $C$9, 100%, $E$9)</f>
        <v>10.456799999999999</v>
      </c>
      <c r="C717" s="9">
        <f>10.4568 * CHOOSE(CONTROL!$C$32, $C$9, 100%, $E$9)</f>
        <v>10.456799999999999</v>
      </c>
      <c r="D717" s="9">
        <f>10.4584 * CHOOSE(CONTROL!$C$32, $C$9, 100%, $E$9)</f>
        <v>10.458399999999999</v>
      </c>
      <c r="E717" s="11">
        <f>11.6546 * CHOOSE(CONTROL!$C$32, $C$9, 100%, $E$9)</f>
        <v>11.6546</v>
      </c>
      <c r="F717" s="11">
        <f>11.6546 * CHOOSE(CONTROL!$C$32, $C$9, 100%, $E$9)</f>
        <v>11.6546</v>
      </c>
      <c r="G717" s="11">
        <f>11.6599 * CHOOSE(CONTROL!$C$32, $C$9, 100%, $E$9)</f>
        <v>11.6599</v>
      </c>
      <c r="H717" s="11">
        <f>23.2582 * CHOOSE(CONTROL!$C$32, $C$9, 100%, $E$9)</f>
        <v>23.258199999999999</v>
      </c>
      <c r="I717" s="11">
        <f>23.2635 * CHOOSE(CONTROL!$C$32, $C$9, 100%, $E$9)</f>
        <v>23.263500000000001</v>
      </c>
      <c r="J717" s="11">
        <f>23.2582 * CHOOSE(CONTROL!$C$32, $C$9, 100%, $E$9)</f>
        <v>23.258199999999999</v>
      </c>
      <c r="K717" s="11">
        <f>23.2635 * CHOOSE(CONTROL!$C$32, $C$9, 100%, $E$9)</f>
        <v>23.263500000000001</v>
      </c>
      <c r="L717" s="11">
        <f>11.6546 * CHOOSE(CONTROL!$C$32, $C$9, 100%, $E$9)</f>
        <v>11.6546</v>
      </c>
      <c r="M717" s="11">
        <f>11.6599 * CHOOSE(CONTROL!$C$32, $C$9, 100%, $E$9)</f>
        <v>11.6599</v>
      </c>
      <c r="N717" s="11">
        <f>11.6546 * CHOOSE(CONTROL!$C$32, $C$9, 100%, $E$9)</f>
        <v>11.6546</v>
      </c>
      <c r="O717" s="11">
        <f>11.6599 * CHOOSE(CONTROL!$C$32, $C$9, 100%, $E$9)</f>
        <v>11.6599</v>
      </c>
    </row>
    <row r="718" spans="1:15" ht="15" x14ac:dyDescent="0.2">
      <c r="A718" s="13">
        <v>62702</v>
      </c>
      <c r="B718" s="9">
        <f>10.4538 * CHOOSE(CONTROL!$C$32, $C$9, 100%, $E$9)</f>
        <v>10.453799999999999</v>
      </c>
      <c r="C718" s="9">
        <f>10.4538 * CHOOSE(CONTROL!$C$32, $C$9, 100%, $E$9)</f>
        <v>10.453799999999999</v>
      </c>
      <c r="D718" s="9">
        <f>10.4553 * CHOOSE(CONTROL!$C$32, $C$9, 100%, $E$9)</f>
        <v>10.455299999999999</v>
      </c>
      <c r="E718" s="11">
        <f>11.6211 * CHOOSE(CONTROL!$C$32, $C$9, 100%, $E$9)</f>
        <v>11.6211</v>
      </c>
      <c r="F718" s="11">
        <f>11.6211 * CHOOSE(CONTROL!$C$32, $C$9, 100%, $E$9)</f>
        <v>11.6211</v>
      </c>
      <c r="G718" s="11">
        <f>11.6264 * CHOOSE(CONTROL!$C$32, $C$9, 100%, $E$9)</f>
        <v>11.6264</v>
      </c>
      <c r="H718" s="11">
        <f>23.3067 * CHOOSE(CONTROL!$C$32, $C$9, 100%, $E$9)</f>
        <v>23.306699999999999</v>
      </c>
      <c r="I718" s="11">
        <f>23.3119 * CHOOSE(CONTROL!$C$32, $C$9, 100%, $E$9)</f>
        <v>23.311900000000001</v>
      </c>
      <c r="J718" s="11">
        <f>23.3067 * CHOOSE(CONTROL!$C$32, $C$9, 100%, $E$9)</f>
        <v>23.306699999999999</v>
      </c>
      <c r="K718" s="11">
        <f>23.3119 * CHOOSE(CONTROL!$C$32, $C$9, 100%, $E$9)</f>
        <v>23.311900000000001</v>
      </c>
      <c r="L718" s="11">
        <f>11.6211 * CHOOSE(CONTROL!$C$32, $C$9, 100%, $E$9)</f>
        <v>11.6211</v>
      </c>
      <c r="M718" s="11">
        <f>11.6264 * CHOOSE(CONTROL!$C$32, $C$9, 100%, $E$9)</f>
        <v>11.6264</v>
      </c>
      <c r="N718" s="11">
        <f>11.6211 * CHOOSE(CONTROL!$C$32, $C$9, 100%, $E$9)</f>
        <v>11.6211</v>
      </c>
      <c r="O718" s="11">
        <f>11.6264 * CHOOSE(CONTROL!$C$32, $C$9, 100%, $E$9)</f>
        <v>11.6264</v>
      </c>
    </row>
    <row r="719" spans="1:15" ht="15" x14ac:dyDescent="0.2">
      <c r="A719" s="13">
        <v>62732</v>
      </c>
      <c r="B719" s="9">
        <f>10.4729 * CHOOSE(CONTROL!$C$32, $C$9, 100%, $E$9)</f>
        <v>10.472899999999999</v>
      </c>
      <c r="C719" s="9">
        <f>10.4729 * CHOOSE(CONTROL!$C$32, $C$9, 100%, $E$9)</f>
        <v>10.472899999999999</v>
      </c>
      <c r="D719" s="9">
        <f>10.474 * CHOOSE(CONTROL!$C$32, $C$9, 100%, $E$9)</f>
        <v>10.474</v>
      </c>
      <c r="E719" s="11">
        <f>11.733 * CHOOSE(CONTROL!$C$32, $C$9, 100%, $E$9)</f>
        <v>11.733000000000001</v>
      </c>
      <c r="F719" s="11">
        <f>11.733 * CHOOSE(CONTROL!$C$32, $C$9, 100%, $E$9)</f>
        <v>11.733000000000001</v>
      </c>
      <c r="G719" s="11">
        <f>11.7366 * CHOOSE(CONTROL!$C$32, $C$9, 100%, $E$9)</f>
        <v>11.736599999999999</v>
      </c>
      <c r="H719" s="11">
        <f>23.3552 * CHOOSE(CONTROL!$C$32, $C$9, 100%, $E$9)</f>
        <v>23.3552</v>
      </c>
      <c r="I719" s="11">
        <f>23.3588 * CHOOSE(CONTROL!$C$32, $C$9, 100%, $E$9)</f>
        <v>23.358799999999999</v>
      </c>
      <c r="J719" s="11">
        <f>23.3552 * CHOOSE(CONTROL!$C$32, $C$9, 100%, $E$9)</f>
        <v>23.3552</v>
      </c>
      <c r="K719" s="11">
        <f>23.3588 * CHOOSE(CONTROL!$C$32, $C$9, 100%, $E$9)</f>
        <v>23.358799999999999</v>
      </c>
      <c r="L719" s="11">
        <f>11.733 * CHOOSE(CONTROL!$C$32, $C$9, 100%, $E$9)</f>
        <v>11.733000000000001</v>
      </c>
      <c r="M719" s="11">
        <f>11.7366 * CHOOSE(CONTROL!$C$32, $C$9, 100%, $E$9)</f>
        <v>11.736599999999999</v>
      </c>
      <c r="N719" s="11">
        <f>11.733 * CHOOSE(CONTROL!$C$32, $C$9, 100%, $E$9)</f>
        <v>11.733000000000001</v>
      </c>
      <c r="O719" s="11">
        <f>11.7366 * CHOOSE(CONTROL!$C$32, $C$9, 100%, $E$9)</f>
        <v>11.736599999999999</v>
      </c>
    </row>
    <row r="720" spans="1:15" ht="15" x14ac:dyDescent="0.2">
      <c r="A720" s="13">
        <v>62763</v>
      </c>
      <c r="B720" s="9">
        <f>10.476 * CHOOSE(CONTROL!$C$32, $C$9, 100%, $E$9)</f>
        <v>10.476000000000001</v>
      </c>
      <c r="C720" s="9">
        <f>10.476 * CHOOSE(CONTROL!$C$32, $C$9, 100%, $E$9)</f>
        <v>10.476000000000001</v>
      </c>
      <c r="D720" s="9">
        <f>10.477 * CHOOSE(CONTROL!$C$32, $C$9, 100%, $E$9)</f>
        <v>10.477</v>
      </c>
      <c r="E720" s="11">
        <f>11.7978 * CHOOSE(CONTROL!$C$32, $C$9, 100%, $E$9)</f>
        <v>11.797800000000001</v>
      </c>
      <c r="F720" s="11">
        <f>11.7978 * CHOOSE(CONTROL!$C$32, $C$9, 100%, $E$9)</f>
        <v>11.797800000000001</v>
      </c>
      <c r="G720" s="11">
        <f>11.8014 * CHOOSE(CONTROL!$C$32, $C$9, 100%, $E$9)</f>
        <v>11.801399999999999</v>
      </c>
      <c r="H720" s="11">
        <f>23.4039 * CHOOSE(CONTROL!$C$32, $C$9, 100%, $E$9)</f>
        <v>23.4039</v>
      </c>
      <c r="I720" s="11">
        <f>23.4075 * CHOOSE(CONTROL!$C$32, $C$9, 100%, $E$9)</f>
        <v>23.407499999999999</v>
      </c>
      <c r="J720" s="11">
        <f>23.4039 * CHOOSE(CONTROL!$C$32, $C$9, 100%, $E$9)</f>
        <v>23.4039</v>
      </c>
      <c r="K720" s="11">
        <f>23.4075 * CHOOSE(CONTROL!$C$32, $C$9, 100%, $E$9)</f>
        <v>23.407499999999999</v>
      </c>
      <c r="L720" s="11">
        <f>11.7978 * CHOOSE(CONTROL!$C$32, $C$9, 100%, $E$9)</f>
        <v>11.797800000000001</v>
      </c>
      <c r="M720" s="11">
        <f>11.8014 * CHOOSE(CONTROL!$C$32, $C$9, 100%, $E$9)</f>
        <v>11.801399999999999</v>
      </c>
      <c r="N720" s="11">
        <f>11.7978 * CHOOSE(CONTROL!$C$32, $C$9, 100%, $E$9)</f>
        <v>11.797800000000001</v>
      </c>
      <c r="O720" s="11">
        <f>11.8014 * CHOOSE(CONTROL!$C$32, $C$9, 100%, $E$9)</f>
        <v>11.801399999999999</v>
      </c>
    </row>
    <row r="721" spans="1:15" ht="15" x14ac:dyDescent="0.2">
      <c r="A721" s="13">
        <v>62793</v>
      </c>
      <c r="B721" s="9">
        <f>10.476 * CHOOSE(CONTROL!$C$32, $C$9, 100%, $E$9)</f>
        <v>10.476000000000001</v>
      </c>
      <c r="C721" s="9">
        <f>10.476 * CHOOSE(CONTROL!$C$32, $C$9, 100%, $E$9)</f>
        <v>10.476000000000001</v>
      </c>
      <c r="D721" s="9">
        <f>10.477 * CHOOSE(CONTROL!$C$32, $C$9, 100%, $E$9)</f>
        <v>10.477</v>
      </c>
      <c r="E721" s="11">
        <f>11.6412 * CHOOSE(CONTROL!$C$32, $C$9, 100%, $E$9)</f>
        <v>11.6412</v>
      </c>
      <c r="F721" s="11">
        <f>11.6412 * CHOOSE(CONTROL!$C$32, $C$9, 100%, $E$9)</f>
        <v>11.6412</v>
      </c>
      <c r="G721" s="11">
        <f>11.6448 * CHOOSE(CONTROL!$C$32, $C$9, 100%, $E$9)</f>
        <v>11.6448</v>
      </c>
      <c r="H721" s="11">
        <f>23.4526 * CHOOSE(CONTROL!$C$32, $C$9, 100%, $E$9)</f>
        <v>23.4526</v>
      </c>
      <c r="I721" s="11">
        <f>23.4562 * CHOOSE(CONTROL!$C$32, $C$9, 100%, $E$9)</f>
        <v>23.456199999999999</v>
      </c>
      <c r="J721" s="11">
        <f>23.4526 * CHOOSE(CONTROL!$C$32, $C$9, 100%, $E$9)</f>
        <v>23.4526</v>
      </c>
      <c r="K721" s="11">
        <f>23.4562 * CHOOSE(CONTROL!$C$32, $C$9, 100%, $E$9)</f>
        <v>23.456199999999999</v>
      </c>
      <c r="L721" s="11">
        <f>11.6412 * CHOOSE(CONTROL!$C$32, $C$9, 100%, $E$9)</f>
        <v>11.6412</v>
      </c>
      <c r="M721" s="11">
        <f>11.6448 * CHOOSE(CONTROL!$C$32, $C$9, 100%, $E$9)</f>
        <v>11.6448</v>
      </c>
      <c r="N721" s="11">
        <f>11.6412 * CHOOSE(CONTROL!$C$32, $C$9, 100%, $E$9)</f>
        <v>11.6412</v>
      </c>
      <c r="O721" s="11">
        <f>11.6448 * CHOOSE(CONTROL!$C$32, $C$9, 100%, $E$9)</f>
        <v>11.6448</v>
      </c>
    </row>
    <row r="722" spans="1:15" ht="15" x14ac:dyDescent="0.2">
      <c r="A722" s="13">
        <v>62824</v>
      </c>
      <c r="B722" s="9">
        <f>10.5058 * CHOOSE(CONTROL!$C$32, $C$9, 100%, $E$9)</f>
        <v>10.505800000000001</v>
      </c>
      <c r="C722" s="9">
        <f>10.5058 * CHOOSE(CONTROL!$C$32, $C$9, 100%, $E$9)</f>
        <v>10.505800000000001</v>
      </c>
      <c r="D722" s="9">
        <f>10.5069 * CHOOSE(CONTROL!$C$32, $C$9, 100%, $E$9)</f>
        <v>10.5069</v>
      </c>
      <c r="E722" s="11">
        <f>11.7955 * CHOOSE(CONTROL!$C$32, $C$9, 100%, $E$9)</f>
        <v>11.795500000000001</v>
      </c>
      <c r="F722" s="11">
        <f>11.7955 * CHOOSE(CONTROL!$C$32, $C$9, 100%, $E$9)</f>
        <v>11.795500000000001</v>
      </c>
      <c r="G722" s="11">
        <f>11.7991 * CHOOSE(CONTROL!$C$32, $C$9, 100%, $E$9)</f>
        <v>11.799099999999999</v>
      </c>
      <c r="H722" s="11">
        <f>23.3753 * CHOOSE(CONTROL!$C$32, $C$9, 100%, $E$9)</f>
        <v>23.375299999999999</v>
      </c>
      <c r="I722" s="11">
        <f>23.3789 * CHOOSE(CONTROL!$C$32, $C$9, 100%, $E$9)</f>
        <v>23.378900000000002</v>
      </c>
      <c r="J722" s="11">
        <f>23.3753 * CHOOSE(CONTROL!$C$32, $C$9, 100%, $E$9)</f>
        <v>23.375299999999999</v>
      </c>
      <c r="K722" s="11">
        <f>23.3789 * CHOOSE(CONTROL!$C$32, $C$9, 100%, $E$9)</f>
        <v>23.378900000000002</v>
      </c>
      <c r="L722" s="11">
        <f>11.7955 * CHOOSE(CONTROL!$C$32, $C$9, 100%, $E$9)</f>
        <v>11.795500000000001</v>
      </c>
      <c r="M722" s="11">
        <f>11.7991 * CHOOSE(CONTROL!$C$32, $C$9, 100%, $E$9)</f>
        <v>11.799099999999999</v>
      </c>
      <c r="N722" s="11">
        <f>11.7955 * CHOOSE(CONTROL!$C$32, $C$9, 100%, $E$9)</f>
        <v>11.795500000000001</v>
      </c>
      <c r="O722" s="11">
        <f>11.7991 * CHOOSE(CONTROL!$C$32, $C$9, 100%, $E$9)</f>
        <v>11.799099999999999</v>
      </c>
    </row>
    <row r="723" spans="1:15" ht="15" x14ac:dyDescent="0.2">
      <c r="A723" s="13">
        <v>62855</v>
      </c>
      <c r="B723" s="9">
        <f>10.5027 * CHOOSE(CONTROL!$C$32, $C$9, 100%, $E$9)</f>
        <v>10.502700000000001</v>
      </c>
      <c r="C723" s="9">
        <f>10.5027 * CHOOSE(CONTROL!$C$32, $C$9, 100%, $E$9)</f>
        <v>10.502700000000001</v>
      </c>
      <c r="D723" s="9">
        <f>10.5038 * CHOOSE(CONTROL!$C$32, $C$9, 100%, $E$9)</f>
        <v>10.5038</v>
      </c>
      <c r="E723" s="11">
        <f>11.4903 * CHOOSE(CONTROL!$C$32, $C$9, 100%, $E$9)</f>
        <v>11.4903</v>
      </c>
      <c r="F723" s="11">
        <f>11.4903 * CHOOSE(CONTROL!$C$32, $C$9, 100%, $E$9)</f>
        <v>11.4903</v>
      </c>
      <c r="G723" s="11">
        <f>11.4939 * CHOOSE(CONTROL!$C$32, $C$9, 100%, $E$9)</f>
        <v>11.4939</v>
      </c>
      <c r="H723" s="11">
        <f>23.424 * CHOOSE(CONTROL!$C$32, $C$9, 100%, $E$9)</f>
        <v>23.423999999999999</v>
      </c>
      <c r="I723" s="11">
        <f>23.4276 * CHOOSE(CONTROL!$C$32, $C$9, 100%, $E$9)</f>
        <v>23.427600000000002</v>
      </c>
      <c r="J723" s="11">
        <f>23.424 * CHOOSE(CONTROL!$C$32, $C$9, 100%, $E$9)</f>
        <v>23.423999999999999</v>
      </c>
      <c r="K723" s="11">
        <f>23.4276 * CHOOSE(CONTROL!$C$32, $C$9, 100%, $E$9)</f>
        <v>23.427600000000002</v>
      </c>
      <c r="L723" s="11">
        <f>11.4903 * CHOOSE(CONTROL!$C$32, $C$9, 100%, $E$9)</f>
        <v>11.4903</v>
      </c>
      <c r="M723" s="11">
        <f>11.4939 * CHOOSE(CONTROL!$C$32, $C$9, 100%, $E$9)</f>
        <v>11.4939</v>
      </c>
      <c r="N723" s="11">
        <f>11.4903 * CHOOSE(CONTROL!$C$32, $C$9, 100%, $E$9)</f>
        <v>11.4903</v>
      </c>
      <c r="O723" s="11">
        <f>11.4939 * CHOOSE(CONTROL!$C$32, $C$9, 100%, $E$9)</f>
        <v>11.4939</v>
      </c>
    </row>
    <row r="724" spans="1:15" ht="15" x14ac:dyDescent="0.2">
      <c r="A724" s="13">
        <v>62884</v>
      </c>
      <c r="B724" s="9">
        <f>10.4997 * CHOOSE(CONTROL!$C$32, $C$9, 100%, $E$9)</f>
        <v>10.499700000000001</v>
      </c>
      <c r="C724" s="9">
        <f>10.4997 * CHOOSE(CONTROL!$C$32, $C$9, 100%, $E$9)</f>
        <v>10.499700000000001</v>
      </c>
      <c r="D724" s="9">
        <f>10.5008 * CHOOSE(CONTROL!$C$32, $C$9, 100%, $E$9)</f>
        <v>10.5008</v>
      </c>
      <c r="E724" s="11">
        <f>11.7271 * CHOOSE(CONTROL!$C$32, $C$9, 100%, $E$9)</f>
        <v>11.7271</v>
      </c>
      <c r="F724" s="11">
        <f>11.7271 * CHOOSE(CONTROL!$C$32, $C$9, 100%, $E$9)</f>
        <v>11.7271</v>
      </c>
      <c r="G724" s="11">
        <f>11.7308 * CHOOSE(CONTROL!$C$32, $C$9, 100%, $E$9)</f>
        <v>11.7308</v>
      </c>
      <c r="H724" s="11">
        <f>23.4728 * CHOOSE(CONTROL!$C$32, $C$9, 100%, $E$9)</f>
        <v>23.472799999999999</v>
      </c>
      <c r="I724" s="11">
        <f>23.4764 * CHOOSE(CONTROL!$C$32, $C$9, 100%, $E$9)</f>
        <v>23.476400000000002</v>
      </c>
      <c r="J724" s="11">
        <f>23.4728 * CHOOSE(CONTROL!$C$32, $C$9, 100%, $E$9)</f>
        <v>23.472799999999999</v>
      </c>
      <c r="K724" s="11">
        <f>23.4764 * CHOOSE(CONTROL!$C$32, $C$9, 100%, $E$9)</f>
        <v>23.476400000000002</v>
      </c>
      <c r="L724" s="11">
        <f>11.7271 * CHOOSE(CONTROL!$C$32, $C$9, 100%, $E$9)</f>
        <v>11.7271</v>
      </c>
      <c r="M724" s="11">
        <f>11.7308 * CHOOSE(CONTROL!$C$32, $C$9, 100%, $E$9)</f>
        <v>11.7308</v>
      </c>
      <c r="N724" s="11">
        <f>11.7271 * CHOOSE(CONTROL!$C$32, $C$9, 100%, $E$9)</f>
        <v>11.7271</v>
      </c>
      <c r="O724" s="11">
        <f>11.7308 * CHOOSE(CONTROL!$C$32, $C$9, 100%, $E$9)</f>
        <v>11.7308</v>
      </c>
    </row>
    <row r="725" spans="1:15" ht="15" x14ac:dyDescent="0.2">
      <c r="A725" s="13">
        <v>62915</v>
      </c>
      <c r="B725" s="9">
        <f>10.5037 * CHOOSE(CONTROL!$C$32, $C$9, 100%, $E$9)</f>
        <v>10.5037</v>
      </c>
      <c r="C725" s="9">
        <f>10.5037 * CHOOSE(CONTROL!$C$32, $C$9, 100%, $E$9)</f>
        <v>10.5037</v>
      </c>
      <c r="D725" s="9">
        <f>10.5047 * CHOOSE(CONTROL!$C$32, $C$9, 100%, $E$9)</f>
        <v>10.5047</v>
      </c>
      <c r="E725" s="11">
        <f>11.9795 * CHOOSE(CONTROL!$C$32, $C$9, 100%, $E$9)</f>
        <v>11.9795</v>
      </c>
      <c r="F725" s="11">
        <f>11.9795 * CHOOSE(CONTROL!$C$32, $C$9, 100%, $E$9)</f>
        <v>11.9795</v>
      </c>
      <c r="G725" s="11">
        <f>11.9831 * CHOOSE(CONTROL!$C$32, $C$9, 100%, $E$9)</f>
        <v>11.9831</v>
      </c>
      <c r="H725" s="11">
        <f>23.5217 * CHOOSE(CONTROL!$C$32, $C$9, 100%, $E$9)</f>
        <v>23.521699999999999</v>
      </c>
      <c r="I725" s="11">
        <f>23.5253 * CHOOSE(CONTROL!$C$32, $C$9, 100%, $E$9)</f>
        <v>23.525300000000001</v>
      </c>
      <c r="J725" s="11">
        <f>23.5217 * CHOOSE(CONTROL!$C$32, $C$9, 100%, $E$9)</f>
        <v>23.521699999999999</v>
      </c>
      <c r="K725" s="11">
        <f>23.5253 * CHOOSE(CONTROL!$C$32, $C$9, 100%, $E$9)</f>
        <v>23.525300000000001</v>
      </c>
      <c r="L725" s="11">
        <f>11.9795 * CHOOSE(CONTROL!$C$32, $C$9, 100%, $E$9)</f>
        <v>11.9795</v>
      </c>
      <c r="M725" s="11">
        <f>11.9831 * CHOOSE(CONTROL!$C$32, $C$9, 100%, $E$9)</f>
        <v>11.9831</v>
      </c>
      <c r="N725" s="11">
        <f>11.9795 * CHOOSE(CONTROL!$C$32, $C$9, 100%, $E$9)</f>
        <v>11.9795</v>
      </c>
      <c r="O725" s="11">
        <f>11.9831 * CHOOSE(CONTROL!$C$32, $C$9, 100%, $E$9)</f>
        <v>11.9831</v>
      </c>
    </row>
    <row r="726" spans="1:15" ht="15" x14ac:dyDescent="0.2">
      <c r="A726" s="13">
        <v>62945</v>
      </c>
      <c r="B726" s="9">
        <f>10.5037 * CHOOSE(CONTROL!$C$32, $C$9, 100%, $E$9)</f>
        <v>10.5037</v>
      </c>
      <c r="C726" s="9">
        <f>10.5037 * CHOOSE(CONTROL!$C$32, $C$9, 100%, $E$9)</f>
        <v>10.5037</v>
      </c>
      <c r="D726" s="9">
        <f>10.5052 * CHOOSE(CONTROL!$C$32, $C$9, 100%, $E$9)</f>
        <v>10.5052</v>
      </c>
      <c r="E726" s="11">
        <f>12.0757 * CHOOSE(CONTROL!$C$32, $C$9, 100%, $E$9)</f>
        <v>12.075699999999999</v>
      </c>
      <c r="F726" s="11">
        <f>12.0757 * CHOOSE(CONTROL!$C$32, $C$9, 100%, $E$9)</f>
        <v>12.075699999999999</v>
      </c>
      <c r="G726" s="11">
        <f>12.081 * CHOOSE(CONTROL!$C$32, $C$9, 100%, $E$9)</f>
        <v>12.081</v>
      </c>
      <c r="H726" s="11">
        <f>23.5707 * CHOOSE(CONTROL!$C$32, $C$9, 100%, $E$9)</f>
        <v>23.570699999999999</v>
      </c>
      <c r="I726" s="11">
        <f>23.576 * CHOOSE(CONTROL!$C$32, $C$9, 100%, $E$9)</f>
        <v>23.576000000000001</v>
      </c>
      <c r="J726" s="11">
        <f>23.5707 * CHOOSE(CONTROL!$C$32, $C$9, 100%, $E$9)</f>
        <v>23.570699999999999</v>
      </c>
      <c r="K726" s="11">
        <f>23.576 * CHOOSE(CONTROL!$C$32, $C$9, 100%, $E$9)</f>
        <v>23.576000000000001</v>
      </c>
      <c r="L726" s="11">
        <f>12.0757 * CHOOSE(CONTROL!$C$32, $C$9, 100%, $E$9)</f>
        <v>12.075699999999999</v>
      </c>
      <c r="M726" s="11">
        <f>12.081 * CHOOSE(CONTROL!$C$32, $C$9, 100%, $E$9)</f>
        <v>12.081</v>
      </c>
      <c r="N726" s="11">
        <f>12.0757 * CHOOSE(CONTROL!$C$32, $C$9, 100%, $E$9)</f>
        <v>12.075699999999999</v>
      </c>
      <c r="O726" s="11">
        <f>12.081 * CHOOSE(CONTROL!$C$32, $C$9, 100%, $E$9)</f>
        <v>12.081</v>
      </c>
    </row>
    <row r="727" spans="1:15" ht="15" x14ac:dyDescent="0.2">
      <c r="A727" s="13">
        <v>62976</v>
      </c>
      <c r="B727" s="9">
        <f>10.5097 * CHOOSE(CONTROL!$C$32, $C$9, 100%, $E$9)</f>
        <v>10.5097</v>
      </c>
      <c r="C727" s="9">
        <f>10.5097 * CHOOSE(CONTROL!$C$32, $C$9, 100%, $E$9)</f>
        <v>10.5097</v>
      </c>
      <c r="D727" s="9">
        <f>10.5113 * CHOOSE(CONTROL!$C$32, $C$9, 100%, $E$9)</f>
        <v>10.5113</v>
      </c>
      <c r="E727" s="11">
        <f>11.9837 * CHOOSE(CONTROL!$C$32, $C$9, 100%, $E$9)</f>
        <v>11.983700000000001</v>
      </c>
      <c r="F727" s="11">
        <f>11.9837 * CHOOSE(CONTROL!$C$32, $C$9, 100%, $E$9)</f>
        <v>11.983700000000001</v>
      </c>
      <c r="G727" s="11">
        <f>11.989 * CHOOSE(CONTROL!$C$32, $C$9, 100%, $E$9)</f>
        <v>11.989000000000001</v>
      </c>
      <c r="H727" s="11">
        <f>23.6198 * CHOOSE(CONTROL!$C$32, $C$9, 100%, $E$9)</f>
        <v>23.619800000000001</v>
      </c>
      <c r="I727" s="11">
        <f>23.6251 * CHOOSE(CONTROL!$C$32, $C$9, 100%, $E$9)</f>
        <v>23.6251</v>
      </c>
      <c r="J727" s="11">
        <f>23.6198 * CHOOSE(CONTROL!$C$32, $C$9, 100%, $E$9)</f>
        <v>23.619800000000001</v>
      </c>
      <c r="K727" s="11">
        <f>23.6251 * CHOOSE(CONTROL!$C$32, $C$9, 100%, $E$9)</f>
        <v>23.6251</v>
      </c>
      <c r="L727" s="11">
        <f>11.9837 * CHOOSE(CONTROL!$C$32, $C$9, 100%, $E$9)</f>
        <v>11.983700000000001</v>
      </c>
      <c r="M727" s="11">
        <f>11.989 * CHOOSE(CONTROL!$C$32, $C$9, 100%, $E$9)</f>
        <v>11.989000000000001</v>
      </c>
      <c r="N727" s="11">
        <f>11.9837 * CHOOSE(CONTROL!$C$32, $C$9, 100%, $E$9)</f>
        <v>11.983700000000001</v>
      </c>
      <c r="O727" s="11">
        <f>11.989 * CHOOSE(CONTROL!$C$32, $C$9, 100%, $E$9)</f>
        <v>11.989000000000001</v>
      </c>
    </row>
    <row r="728" spans="1:15" ht="15" x14ac:dyDescent="0.2">
      <c r="A728" s="13">
        <v>63006</v>
      </c>
      <c r="B728" s="9">
        <f>10.6397 * CHOOSE(CONTROL!$C$32, $C$9, 100%, $E$9)</f>
        <v>10.639699999999999</v>
      </c>
      <c r="C728" s="9">
        <f>10.6397 * CHOOSE(CONTROL!$C$32, $C$9, 100%, $E$9)</f>
        <v>10.639699999999999</v>
      </c>
      <c r="D728" s="9">
        <f>10.6413 * CHOOSE(CONTROL!$C$32, $C$9, 100%, $E$9)</f>
        <v>10.641299999999999</v>
      </c>
      <c r="E728" s="11">
        <f>12.152 * CHOOSE(CONTROL!$C$32, $C$9, 100%, $E$9)</f>
        <v>12.151999999999999</v>
      </c>
      <c r="F728" s="11">
        <f>12.152 * CHOOSE(CONTROL!$C$32, $C$9, 100%, $E$9)</f>
        <v>12.151999999999999</v>
      </c>
      <c r="G728" s="11">
        <f>12.1573 * CHOOSE(CONTROL!$C$32, $C$9, 100%, $E$9)</f>
        <v>12.157299999999999</v>
      </c>
      <c r="H728" s="11">
        <f>23.669 * CHOOSE(CONTROL!$C$32, $C$9, 100%, $E$9)</f>
        <v>23.669</v>
      </c>
      <c r="I728" s="11">
        <f>23.6743 * CHOOSE(CONTROL!$C$32, $C$9, 100%, $E$9)</f>
        <v>23.674299999999999</v>
      </c>
      <c r="J728" s="11">
        <f>23.669 * CHOOSE(CONTROL!$C$32, $C$9, 100%, $E$9)</f>
        <v>23.669</v>
      </c>
      <c r="K728" s="11">
        <f>23.6743 * CHOOSE(CONTROL!$C$32, $C$9, 100%, $E$9)</f>
        <v>23.674299999999999</v>
      </c>
      <c r="L728" s="11">
        <f>12.152 * CHOOSE(CONTROL!$C$32, $C$9, 100%, $E$9)</f>
        <v>12.151999999999999</v>
      </c>
      <c r="M728" s="11">
        <f>12.1573 * CHOOSE(CONTROL!$C$32, $C$9, 100%, $E$9)</f>
        <v>12.157299999999999</v>
      </c>
      <c r="N728" s="11">
        <f>12.152 * CHOOSE(CONTROL!$C$32, $C$9, 100%, $E$9)</f>
        <v>12.151999999999999</v>
      </c>
      <c r="O728" s="11">
        <f>12.1573 * CHOOSE(CONTROL!$C$32, $C$9, 100%, $E$9)</f>
        <v>12.157299999999999</v>
      </c>
    </row>
    <row r="729" spans="1:15" ht="15" x14ac:dyDescent="0.2">
      <c r="A729" s="13">
        <v>63037</v>
      </c>
      <c r="B729" s="9">
        <f>10.6464 * CHOOSE(CONTROL!$C$32, $C$9, 100%, $E$9)</f>
        <v>10.6464</v>
      </c>
      <c r="C729" s="9">
        <f>10.6464 * CHOOSE(CONTROL!$C$32, $C$9, 100%, $E$9)</f>
        <v>10.6464</v>
      </c>
      <c r="D729" s="9">
        <f>10.648 * CHOOSE(CONTROL!$C$32, $C$9, 100%, $E$9)</f>
        <v>10.648</v>
      </c>
      <c r="E729" s="11">
        <f>11.868 * CHOOSE(CONTROL!$C$32, $C$9, 100%, $E$9)</f>
        <v>11.868</v>
      </c>
      <c r="F729" s="11">
        <f>11.868 * CHOOSE(CONTROL!$C$32, $C$9, 100%, $E$9)</f>
        <v>11.868</v>
      </c>
      <c r="G729" s="11">
        <f>11.8733 * CHOOSE(CONTROL!$C$32, $C$9, 100%, $E$9)</f>
        <v>11.8733</v>
      </c>
      <c r="H729" s="11">
        <f>23.7184 * CHOOSE(CONTROL!$C$32, $C$9, 100%, $E$9)</f>
        <v>23.718399999999999</v>
      </c>
      <c r="I729" s="11">
        <f>23.7237 * CHOOSE(CONTROL!$C$32, $C$9, 100%, $E$9)</f>
        <v>23.723700000000001</v>
      </c>
      <c r="J729" s="11">
        <f>23.7184 * CHOOSE(CONTROL!$C$32, $C$9, 100%, $E$9)</f>
        <v>23.718399999999999</v>
      </c>
      <c r="K729" s="11">
        <f>23.7237 * CHOOSE(CONTROL!$C$32, $C$9, 100%, $E$9)</f>
        <v>23.723700000000001</v>
      </c>
      <c r="L729" s="11">
        <f>11.868 * CHOOSE(CONTROL!$C$32, $C$9, 100%, $E$9)</f>
        <v>11.868</v>
      </c>
      <c r="M729" s="11">
        <f>11.8733 * CHOOSE(CONTROL!$C$32, $C$9, 100%, $E$9)</f>
        <v>11.8733</v>
      </c>
      <c r="N729" s="11">
        <f>11.868 * CHOOSE(CONTROL!$C$32, $C$9, 100%, $E$9)</f>
        <v>11.868</v>
      </c>
      <c r="O729" s="11">
        <f>11.8733 * CHOOSE(CONTROL!$C$32, $C$9, 100%, $E$9)</f>
        <v>11.8733</v>
      </c>
    </row>
    <row r="730" spans="1:15" ht="15" x14ac:dyDescent="0.2">
      <c r="A730" s="13">
        <v>63068</v>
      </c>
      <c r="B730" s="9">
        <f>10.6434 * CHOOSE(CONTROL!$C$32, $C$9, 100%, $E$9)</f>
        <v>10.6434</v>
      </c>
      <c r="C730" s="9">
        <f>10.6434 * CHOOSE(CONTROL!$C$32, $C$9, 100%, $E$9)</f>
        <v>10.6434</v>
      </c>
      <c r="D730" s="9">
        <f>10.6449 * CHOOSE(CONTROL!$C$32, $C$9, 100%, $E$9)</f>
        <v>10.6449</v>
      </c>
      <c r="E730" s="11">
        <f>11.8338 * CHOOSE(CONTROL!$C$32, $C$9, 100%, $E$9)</f>
        <v>11.8338</v>
      </c>
      <c r="F730" s="11">
        <f>11.8338 * CHOOSE(CONTROL!$C$32, $C$9, 100%, $E$9)</f>
        <v>11.8338</v>
      </c>
      <c r="G730" s="11">
        <f>11.8391 * CHOOSE(CONTROL!$C$32, $C$9, 100%, $E$9)</f>
        <v>11.8391</v>
      </c>
      <c r="H730" s="11">
        <f>23.7678 * CHOOSE(CONTROL!$C$32, $C$9, 100%, $E$9)</f>
        <v>23.767800000000001</v>
      </c>
      <c r="I730" s="11">
        <f>23.7731 * CHOOSE(CONTROL!$C$32, $C$9, 100%, $E$9)</f>
        <v>23.773099999999999</v>
      </c>
      <c r="J730" s="11">
        <f>23.7678 * CHOOSE(CONTROL!$C$32, $C$9, 100%, $E$9)</f>
        <v>23.767800000000001</v>
      </c>
      <c r="K730" s="11">
        <f>23.7731 * CHOOSE(CONTROL!$C$32, $C$9, 100%, $E$9)</f>
        <v>23.773099999999999</v>
      </c>
      <c r="L730" s="11">
        <f>11.8338 * CHOOSE(CONTROL!$C$32, $C$9, 100%, $E$9)</f>
        <v>11.8338</v>
      </c>
      <c r="M730" s="11">
        <f>11.8391 * CHOOSE(CONTROL!$C$32, $C$9, 100%, $E$9)</f>
        <v>11.8391</v>
      </c>
      <c r="N730" s="11">
        <f>11.8338 * CHOOSE(CONTROL!$C$32, $C$9, 100%, $E$9)</f>
        <v>11.8338</v>
      </c>
      <c r="O730" s="11">
        <f>11.8391 * CHOOSE(CONTROL!$C$32, $C$9, 100%, $E$9)</f>
        <v>11.8391</v>
      </c>
    </row>
    <row r="731" spans="1:15" ht="15" x14ac:dyDescent="0.2">
      <c r="A731" s="13">
        <v>63098</v>
      </c>
      <c r="B731" s="9">
        <f>10.6632 * CHOOSE(CONTROL!$C$32, $C$9, 100%, $E$9)</f>
        <v>10.6632</v>
      </c>
      <c r="C731" s="9">
        <f>10.6632 * CHOOSE(CONTROL!$C$32, $C$9, 100%, $E$9)</f>
        <v>10.6632</v>
      </c>
      <c r="D731" s="9">
        <f>10.6643 * CHOOSE(CONTROL!$C$32, $C$9, 100%, $E$9)</f>
        <v>10.664300000000001</v>
      </c>
      <c r="E731" s="11">
        <f>11.9487 * CHOOSE(CONTROL!$C$32, $C$9, 100%, $E$9)</f>
        <v>11.948700000000001</v>
      </c>
      <c r="F731" s="11">
        <f>11.9487 * CHOOSE(CONTROL!$C$32, $C$9, 100%, $E$9)</f>
        <v>11.948700000000001</v>
      </c>
      <c r="G731" s="11">
        <f>11.9523 * CHOOSE(CONTROL!$C$32, $C$9, 100%, $E$9)</f>
        <v>11.952299999999999</v>
      </c>
      <c r="H731" s="11">
        <f>23.8173 * CHOOSE(CONTROL!$C$32, $C$9, 100%, $E$9)</f>
        <v>23.817299999999999</v>
      </c>
      <c r="I731" s="11">
        <f>23.8209 * CHOOSE(CONTROL!$C$32, $C$9, 100%, $E$9)</f>
        <v>23.820900000000002</v>
      </c>
      <c r="J731" s="11">
        <f>23.8173 * CHOOSE(CONTROL!$C$32, $C$9, 100%, $E$9)</f>
        <v>23.817299999999999</v>
      </c>
      <c r="K731" s="11">
        <f>23.8209 * CHOOSE(CONTROL!$C$32, $C$9, 100%, $E$9)</f>
        <v>23.820900000000002</v>
      </c>
      <c r="L731" s="11">
        <f>11.9487 * CHOOSE(CONTROL!$C$32, $C$9, 100%, $E$9)</f>
        <v>11.948700000000001</v>
      </c>
      <c r="M731" s="11">
        <f>11.9523 * CHOOSE(CONTROL!$C$32, $C$9, 100%, $E$9)</f>
        <v>11.952299999999999</v>
      </c>
      <c r="N731" s="11">
        <f>11.9487 * CHOOSE(CONTROL!$C$32, $C$9, 100%, $E$9)</f>
        <v>11.948700000000001</v>
      </c>
      <c r="O731" s="11">
        <f>11.9523 * CHOOSE(CONTROL!$C$32, $C$9, 100%, $E$9)</f>
        <v>11.952299999999999</v>
      </c>
    </row>
    <row r="732" spans="1:15" ht="15" x14ac:dyDescent="0.2">
      <c r="A732" s="13">
        <v>63129</v>
      </c>
      <c r="B732" s="9">
        <f>10.6663 * CHOOSE(CONTROL!$C$32, $C$9, 100%, $E$9)</f>
        <v>10.6663</v>
      </c>
      <c r="C732" s="9">
        <f>10.6663 * CHOOSE(CONTROL!$C$32, $C$9, 100%, $E$9)</f>
        <v>10.6663</v>
      </c>
      <c r="D732" s="9">
        <f>10.6673 * CHOOSE(CONTROL!$C$32, $C$9, 100%, $E$9)</f>
        <v>10.667299999999999</v>
      </c>
      <c r="E732" s="11">
        <f>12.015 * CHOOSE(CONTROL!$C$32, $C$9, 100%, $E$9)</f>
        <v>12.015000000000001</v>
      </c>
      <c r="F732" s="11">
        <f>12.015 * CHOOSE(CONTROL!$C$32, $C$9, 100%, $E$9)</f>
        <v>12.015000000000001</v>
      </c>
      <c r="G732" s="11">
        <f>12.0186 * CHOOSE(CONTROL!$C$32, $C$9, 100%, $E$9)</f>
        <v>12.018599999999999</v>
      </c>
      <c r="H732" s="11">
        <f>23.8669 * CHOOSE(CONTROL!$C$32, $C$9, 100%, $E$9)</f>
        <v>23.866900000000001</v>
      </c>
      <c r="I732" s="11">
        <f>23.8705 * CHOOSE(CONTROL!$C$32, $C$9, 100%, $E$9)</f>
        <v>23.8705</v>
      </c>
      <c r="J732" s="11">
        <f>23.8669 * CHOOSE(CONTROL!$C$32, $C$9, 100%, $E$9)</f>
        <v>23.866900000000001</v>
      </c>
      <c r="K732" s="11">
        <f>23.8705 * CHOOSE(CONTROL!$C$32, $C$9, 100%, $E$9)</f>
        <v>23.8705</v>
      </c>
      <c r="L732" s="11">
        <f>12.015 * CHOOSE(CONTROL!$C$32, $C$9, 100%, $E$9)</f>
        <v>12.015000000000001</v>
      </c>
      <c r="M732" s="11">
        <f>12.0186 * CHOOSE(CONTROL!$C$32, $C$9, 100%, $E$9)</f>
        <v>12.018599999999999</v>
      </c>
      <c r="N732" s="11">
        <f>12.015 * CHOOSE(CONTROL!$C$32, $C$9, 100%, $E$9)</f>
        <v>12.015000000000001</v>
      </c>
      <c r="O732" s="11">
        <f>12.0186 * CHOOSE(CONTROL!$C$32, $C$9, 100%, $E$9)</f>
        <v>12.018599999999999</v>
      </c>
    </row>
    <row r="733" spans="1:15" ht="15" x14ac:dyDescent="0.2">
      <c r="A733" s="13">
        <v>63159</v>
      </c>
      <c r="B733" s="9">
        <f>10.6663 * CHOOSE(CONTROL!$C$32, $C$9, 100%, $E$9)</f>
        <v>10.6663</v>
      </c>
      <c r="C733" s="9">
        <f>10.6663 * CHOOSE(CONTROL!$C$32, $C$9, 100%, $E$9)</f>
        <v>10.6663</v>
      </c>
      <c r="D733" s="9">
        <f>10.6673 * CHOOSE(CONTROL!$C$32, $C$9, 100%, $E$9)</f>
        <v>10.667299999999999</v>
      </c>
      <c r="E733" s="11">
        <f>11.8546 * CHOOSE(CONTROL!$C$32, $C$9, 100%, $E$9)</f>
        <v>11.8546</v>
      </c>
      <c r="F733" s="11">
        <f>11.8546 * CHOOSE(CONTROL!$C$32, $C$9, 100%, $E$9)</f>
        <v>11.8546</v>
      </c>
      <c r="G733" s="11">
        <f>11.8582 * CHOOSE(CONTROL!$C$32, $C$9, 100%, $E$9)</f>
        <v>11.8582</v>
      </c>
      <c r="H733" s="11">
        <f>23.9166 * CHOOSE(CONTROL!$C$32, $C$9, 100%, $E$9)</f>
        <v>23.916599999999999</v>
      </c>
      <c r="I733" s="11">
        <f>23.9202 * CHOOSE(CONTROL!$C$32, $C$9, 100%, $E$9)</f>
        <v>23.920200000000001</v>
      </c>
      <c r="J733" s="11">
        <f>23.9166 * CHOOSE(CONTROL!$C$32, $C$9, 100%, $E$9)</f>
        <v>23.916599999999999</v>
      </c>
      <c r="K733" s="11">
        <f>23.9202 * CHOOSE(CONTROL!$C$32, $C$9, 100%, $E$9)</f>
        <v>23.920200000000001</v>
      </c>
      <c r="L733" s="11">
        <f>11.8546 * CHOOSE(CONTROL!$C$32, $C$9, 100%, $E$9)</f>
        <v>11.8546</v>
      </c>
      <c r="M733" s="11">
        <f>11.8582 * CHOOSE(CONTROL!$C$32, $C$9, 100%, $E$9)</f>
        <v>11.8582</v>
      </c>
      <c r="N733" s="11">
        <f>11.8546 * CHOOSE(CONTROL!$C$32, $C$9, 100%, $E$9)</f>
        <v>11.8546</v>
      </c>
      <c r="O733" s="11">
        <f>11.8582 * CHOOSE(CONTROL!$C$32, $C$9, 100%, $E$9)</f>
        <v>11.8582</v>
      </c>
    </row>
    <row r="734" spans="1:15" ht="15" x14ac:dyDescent="0.2">
      <c r="A734" s="13">
        <v>63190</v>
      </c>
      <c r="B734" s="9">
        <f>10.6931 * CHOOSE(CONTROL!$C$32, $C$9, 100%, $E$9)</f>
        <v>10.693099999999999</v>
      </c>
      <c r="C734" s="9">
        <f>10.6931 * CHOOSE(CONTROL!$C$32, $C$9, 100%, $E$9)</f>
        <v>10.693099999999999</v>
      </c>
      <c r="D734" s="9">
        <f>10.6942 * CHOOSE(CONTROL!$C$32, $C$9, 100%, $E$9)</f>
        <v>10.6942</v>
      </c>
      <c r="E734" s="11">
        <f>12.008 * CHOOSE(CONTROL!$C$32, $C$9, 100%, $E$9)</f>
        <v>12.007999999999999</v>
      </c>
      <c r="F734" s="11">
        <f>12.008 * CHOOSE(CONTROL!$C$32, $C$9, 100%, $E$9)</f>
        <v>12.007999999999999</v>
      </c>
      <c r="G734" s="11">
        <f>12.0116 * CHOOSE(CONTROL!$C$32, $C$9, 100%, $E$9)</f>
        <v>12.0116</v>
      </c>
      <c r="H734" s="11">
        <f>23.8288 * CHOOSE(CONTROL!$C$32, $C$9, 100%, $E$9)</f>
        <v>23.828800000000001</v>
      </c>
      <c r="I734" s="11">
        <f>23.8325 * CHOOSE(CONTROL!$C$32, $C$9, 100%, $E$9)</f>
        <v>23.8325</v>
      </c>
      <c r="J734" s="11">
        <f>23.8288 * CHOOSE(CONTROL!$C$32, $C$9, 100%, $E$9)</f>
        <v>23.828800000000001</v>
      </c>
      <c r="K734" s="11">
        <f>23.8325 * CHOOSE(CONTROL!$C$32, $C$9, 100%, $E$9)</f>
        <v>23.8325</v>
      </c>
      <c r="L734" s="11">
        <f>12.008 * CHOOSE(CONTROL!$C$32, $C$9, 100%, $E$9)</f>
        <v>12.007999999999999</v>
      </c>
      <c r="M734" s="11">
        <f>12.0116 * CHOOSE(CONTROL!$C$32, $C$9, 100%, $E$9)</f>
        <v>12.0116</v>
      </c>
      <c r="N734" s="11">
        <f>12.008 * CHOOSE(CONTROL!$C$32, $C$9, 100%, $E$9)</f>
        <v>12.007999999999999</v>
      </c>
      <c r="O734" s="11">
        <f>12.0116 * CHOOSE(CONTROL!$C$32, $C$9, 100%, $E$9)</f>
        <v>12.0116</v>
      </c>
    </row>
    <row r="735" spans="1:15" ht="15" x14ac:dyDescent="0.2">
      <c r="A735" s="13">
        <v>63221</v>
      </c>
      <c r="B735" s="9">
        <f>10.6901 * CHOOSE(CONTROL!$C$32, $C$9, 100%, $E$9)</f>
        <v>10.690099999999999</v>
      </c>
      <c r="C735" s="9">
        <f>10.6901 * CHOOSE(CONTROL!$C$32, $C$9, 100%, $E$9)</f>
        <v>10.690099999999999</v>
      </c>
      <c r="D735" s="9">
        <f>10.6912 * CHOOSE(CONTROL!$C$32, $C$9, 100%, $E$9)</f>
        <v>10.6912</v>
      </c>
      <c r="E735" s="11">
        <f>11.6957 * CHOOSE(CONTROL!$C$32, $C$9, 100%, $E$9)</f>
        <v>11.6957</v>
      </c>
      <c r="F735" s="11">
        <f>11.6957 * CHOOSE(CONTROL!$C$32, $C$9, 100%, $E$9)</f>
        <v>11.6957</v>
      </c>
      <c r="G735" s="11">
        <f>11.6994 * CHOOSE(CONTROL!$C$32, $C$9, 100%, $E$9)</f>
        <v>11.699400000000001</v>
      </c>
      <c r="H735" s="11">
        <f>23.8785 * CHOOSE(CONTROL!$C$32, $C$9, 100%, $E$9)</f>
        <v>23.878499999999999</v>
      </c>
      <c r="I735" s="11">
        <f>23.8821 * CHOOSE(CONTROL!$C$32, $C$9, 100%, $E$9)</f>
        <v>23.882100000000001</v>
      </c>
      <c r="J735" s="11">
        <f>23.8785 * CHOOSE(CONTROL!$C$32, $C$9, 100%, $E$9)</f>
        <v>23.878499999999999</v>
      </c>
      <c r="K735" s="11">
        <f>23.8821 * CHOOSE(CONTROL!$C$32, $C$9, 100%, $E$9)</f>
        <v>23.882100000000001</v>
      </c>
      <c r="L735" s="11">
        <f>11.6957 * CHOOSE(CONTROL!$C$32, $C$9, 100%, $E$9)</f>
        <v>11.6957</v>
      </c>
      <c r="M735" s="11">
        <f>11.6994 * CHOOSE(CONTROL!$C$32, $C$9, 100%, $E$9)</f>
        <v>11.699400000000001</v>
      </c>
      <c r="N735" s="11">
        <f>11.6957 * CHOOSE(CONTROL!$C$32, $C$9, 100%, $E$9)</f>
        <v>11.6957</v>
      </c>
      <c r="O735" s="11">
        <f>11.6994 * CHOOSE(CONTROL!$C$32, $C$9, 100%, $E$9)</f>
        <v>11.699400000000001</v>
      </c>
    </row>
    <row r="736" spans="1:15" ht="15" x14ac:dyDescent="0.2">
      <c r="A736" s="13">
        <v>63249</v>
      </c>
      <c r="B736" s="9">
        <f>10.6871 * CHOOSE(CONTROL!$C$32, $C$9, 100%, $E$9)</f>
        <v>10.687099999999999</v>
      </c>
      <c r="C736" s="9">
        <f>10.6871 * CHOOSE(CONTROL!$C$32, $C$9, 100%, $E$9)</f>
        <v>10.687099999999999</v>
      </c>
      <c r="D736" s="9">
        <f>10.6881 * CHOOSE(CONTROL!$C$32, $C$9, 100%, $E$9)</f>
        <v>10.6881</v>
      </c>
      <c r="E736" s="11">
        <f>11.9381 * CHOOSE(CONTROL!$C$32, $C$9, 100%, $E$9)</f>
        <v>11.9381</v>
      </c>
      <c r="F736" s="11">
        <f>11.9381 * CHOOSE(CONTROL!$C$32, $C$9, 100%, $E$9)</f>
        <v>11.9381</v>
      </c>
      <c r="G736" s="11">
        <f>11.9418 * CHOOSE(CONTROL!$C$32, $C$9, 100%, $E$9)</f>
        <v>11.941800000000001</v>
      </c>
      <c r="H736" s="11">
        <f>23.9282 * CHOOSE(CONTROL!$C$32, $C$9, 100%, $E$9)</f>
        <v>23.9282</v>
      </c>
      <c r="I736" s="11">
        <f>23.9318 * CHOOSE(CONTROL!$C$32, $C$9, 100%, $E$9)</f>
        <v>23.931799999999999</v>
      </c>
      <c r="J736" s="11">
        <f>23.9282 * CHOOSE(CONTROL!$C$32, $C$9, 100%, $E$9)</f>
        <v>23.9282</v>
      </c>
      <c r="K736" s="11">
        <f>23.9318 * CHOOSE(CONTROL!$C$32, $C$9, 100%, $E$9)</f>
        <v>23.931799999999999</v>
      </c>
      <c r="L736" s="11">
        <f>11.9381 * CHOOSE(CONTROL!$C$32, $C$9, 100%, $E$9)</f>
        <v>11.9381</v>
      </c>
      <c r="M736" s="11">
        <f>11.9418 * CHOOSE(CONTROL!$C$32, $C$9, 100%, $E$9)</f>
        <v>11.941800000000001</v>
      </c>
      <c r="N736" s="11">
        <f>11.9381 * CHOOSE(CONTROL!$C$32, $C$9, 100%, $E$9)</f>
        <v>11.9381</v>
      </c>
      <c r="O736" s="11">
        <f>11.9418 * CHOOSE(CONTROL!$C$32, $C$9, 100%, $E$9)</f>
        <v>11.941800000000001</v>
      </c>
    </row>
    <row r="737" spans="1:15" ht="15" x14ac:dyDescent="0.2">
      <c r="A737" s="13">
        <v>63280</v>
      </c>
      <c r="B737" s="9">
        <f>10.6912 * CHOOSE(CONTROL!$C$32, $C$9, 100%, $E$9)</f>
        <v>10.6912</v>
      </c>
      <c r="C737" s="9">
        <f>10.6912 * CHOOSE(CONTROL!$C$32, $C$9, 100%, $E$9)</f>
        <v>10.6912</v>
      </c>
      <c r="D737" s="9">
        <f>10.6923 * CHOOSE(CONTROL!$C$32, $C$9, 100%, $E$9)</f>
        <v>10.692299999999999</v>
      </c>
      <c r="E737" s="11">
        <f>12.1965 * CHOOSE(CONTROL!$C$32, $C$9, 100%, $E$9)</f>
        <v>12.1965</v>
      </c>
      <c r="F737" s="11">
        <f>12.1965 * CHOOSE(CONTROL!$C$32, $C$9, 100%, $E$9)</f>
        <v>12.1965</v>
      </c>
      <c r="G737" s="11">
        <f>12.2001 * CHOOSE(CONTROL!$C$32, $C$9, 100%, $E$9)</f>
        <v>12.200100000000001</v>
      </c>
      <c r="H737" s="11">
        <f>23.9781 * CHOOSE(CONTROL!$C$32, $C$9, 100%, $E$9)</f>
        <v>23.978100000000001</v>
      </c>
      <c r="I737" s="11">
        <f>23.9817 * CHOOSE(CONTROL!$C$32, $C$9, 100%, $E$9)</f>
        <v>23.9817</v>
      </c>
      <c r="J737" s="11">
        <f>23.9781 * CHOOSE(CONTROL!$C$32, $C$9, 100%, $E$9)</f>
        <v>23.978100000000001</v>
      </c>
      <c r="K737" s="11">
        <f>23.9817 * CHOOSE(CONTROL!$C$32, $C$9, 100%, $E$9)</f>
        <v>23.9817</v>
      </c>
      <c r="L737" s="11">
        <f>12.1965 * CHOOSE(CONTROL!$C$32, $C$9, 100%, $E$9)</f>
        <v>12.1965</v>
      </c>
      <c r="M737" s="11">
        <f>12.2001 * CHOOSE(CONTROL!$C$32, $C$9, 100%, $E$9)</f>
        <v>12.200100000000001</v>
      </c>
      <c r="N737" s="11">
        <f>12.1965 * CHOOSE(CONTROL!$C$32, $C$9, 100%, $E$9)</f>
        <v>12.1965</v>
      </c>
      <c r="O737" s="11">
        <f>12.2001 * CHOOSE(CONTROL!$C$32, $C$9, 100%, $E$9)</f>
        <v>12.200100000000001</v>
      </c>
    </row>
    <row r="738" spans="1:15" ht="15" x14ac:dyDescent="0.2">
      <c r="A738" s="13">
        <v>63310</v>
      </c>
      <c r="B738" s="9">
        <f>10.6912 * CHOOSE(CONTROL!$C$32, $C$9, 100%, $E$9)</f>
        <v>10.6912</v>
      </c>
      <c r="C738" s="9">
        <f>10.6912 * CHOOSE(CONTROL!$C$32, $C$9, 100%, $E$9)</f>
        <v>10.6912</v>
      </c>
      <c r="D738" s="9">
        <f>10.6928 * CHOOSE(CONTROL!$C$32, $C$9, 100%, $E$9)</f>
        <v>10.6928</v>
      </c>
      <c r="E738" s="11">
        <f>12.295 * CHOOSE(CONTROL!$C$32, $C$9, 100%, $E$9)</f>
        <v>12.295</v>
      </c>
      <c r="F738" s="11">
        <f>12.295 * CHOOSE(CONTROL!$C$32, $C$9, 100%, $E$9)</f>
        <v>12.295</v>
      </c>
      <c r="G738" s="11">
        <f>12.3003 * CHOOSE(CONTROL!$C$32, $C$9, 100%, $E$9)</f>
        <v>12.3003</v>
      </c>
      <c r="H738" s="11">
        <f>24.028 * CHOOSE(CONTROL!$C$32, $C$9, 100%, $E$9)</f>
        <v>24.027999999999999</v>
      </c>
      <c r="I738" s="11">
        <f>24.0333 * CHOOSE(CONTROL!$C$32, $C$9, 100%, $E$9)</f>
        <v>24.033300000000001</v>
      </c>
      <c r="J738" s="11">
        <f>24.028 * CHOOSE(CONTROL!$C$32, $C$9, 100%, $E$9)</f>
        <v>24.027999999999999</v>
      </c>
      <c r="K738" s="11">
        <f>24.0333 * CHOOSE(CONTROL!$C$32, $C$9, 100%, $E$9)</f>
        <v>24.033300000000001</v>
      </c>
      <c r="L738" s="11">
        <f>12.295 * CHOOSE(CONTROL!$C$32, $C$9, 100%, $E$9)</f>
        <v>12.295</v>
      </c>
      <c r="M738" s="11">
        <f>12.3003 * CHOOSE(CONTROL!$C$32, $C$9, 100%, $E$9)</f>
        <v>12.3003</v>
      </c>
      <c r="N738" s="11">
        <f>12.295 * CHOOSE(CONTROL!$C$32, $C$9, 100%, $E$9)</f>
        <v>12.295</v>
      </c>
      <c r="O738" s="11">
        <f>12.3003 * CHOOSE(CONTROL!$C$32, $C$9, 100%, $E$9)</f>
        <v>12.3003</v>
      </c>
    </row>
    <row r="739" spans="1:15" ht="15" x14ac:dyDescent="0.2">
      <c r="A739" s="13">
        <v>63341</v>
      </c>
      <c r="B739" s="9">
        <f>10.6973 * CHOOSE(CONTROL!$C$32, $C$9, 100%, $E$9)</f>
        <v>10.6973</v>
      </c>
      <c r="C739" s="9">
        <f>10.6973 * CHOOSE(CONTROL!$C$32, $C$9, 100%, $E$9)</f>
        <v>10.6973</v>
      </c>
      <c r="D739" s="9">
        <f>10.6989 * CHOOSE(CONTROL!$C$32, $C$9, 100%, $E$9)</f>
        <v>10.6989</v>
      </c>
      <c r="E739" s="11">
        <f>12.2007 * CHOOSE(CONTROL!$C$32, $C$9, 100%, $E$9)</f>
        <v>12.200699999999999</v>
      </c>
      <c r="F739" s="11">
        <f>12.2007 * CHOOSE(CONTROL!$C$32, $C$9, 100%, $E$9)</f>
        <v>12.200699999999999</v>
      </c>
      <c r="G739" s="11">
        <f>12.206 * CHOOSE(CONTROL!$C$32, $C$9, 100%, $E$9)</f>
        <v>12.206</v>
      </c>
      <c r="H739" s="11">
        <f>24.0781 * CHOOSE(CONTROL!$C$32, $C$9, 100%, $E$9)</f>
        <v>24.078099999999999</v>
      </c>
      <c r="I739" s="11">
        <f>24.0834 * CHOOSE(CONTROL!$C$32, $C$9, 100%, $E$9)</f>
        <v>24.083400000000001</v>
      </c>
      <c r="J739" s="11">
        <f>24.0781 * CHOOSE(CONTROL!$C$32, $C$9, 100%, $E$9)</f>
        <v>24.078099999999999</v>
      </c>
      <c r="K739" s="11">
        <f>24.0834 * CHOOSE(CONTROL!$C$32, $C$9, 100%, $E$9)</f>
        <v>24.083400000000001</v>
      </c>
      <c r="L739" s="11">
        <f>12.2007 * CHOOSE(CONTROL!$C$32, $C$9, 100%, $E$9)</f>
        <v>12.200699999999999</v>
      </c>
      <c r="M739" s="11">
        <f>12.206 * CHOOSE(CONTROL!$C$32, $C$9, 100%, $E$9)</f>
        <v>12.206</v>
      </c>
      <c r="N739" s="11">
        <f>12.2007 * CHOOSE(CONTROL!$C$32, $C$9, 100%, $E$9)</f>
        <v>12.200699999999999</v>
      </c>
      <c r="O739" s="11">
        <f>12.206 * CHOOSE(CONTROL!$C$32, $C$9, 100%, $E$9)</f>
        <v>12.206</v>
      </c>
    </row>
    <row r="740" spans="1:15" ht="15" x14ac:dyDescent="0.2">
      <c r="A740" s="13">
        <v>63371</v>
      </c>
      <c r="B740" s="9">
        <f>10.8293 * CHOOSE(CONTROL!$C$32, $C$9, 100%, $E$9)</f>
        <v>10.8293</v>
      </c>
      <c r="C740" s="9">
        <f>10.8293 * CHOOSE(CONTROL!$C$32, $C$9, 100%, $E$9)</f>
        <v>10.8293</v>
      </c>
      <c r="D740" s="9">
        <f>10.8309 * CHOOSE(CONTROL!$C$32, $C$9, 100%, $E$9)</f>
        <v>10.8309</v>
      </c>
      <c r="E740" s="11">
        <f>12.3722 * CHOOSE(CONTROL!$C$32, $C$9, 100%, $E$9)</f>
        <v>12.372199999999999</v>
      </c>
      <c r="F740" s="11">
        <f>12.3722 * CHOOSE(CONTROL!$C$32, $C$9, 100%, $E$9)</f>
        <v>12.372199999999999</v>
      </c>
      <c r="G740" s="11">
        <f>12.3775 * CHOOSE(CONTROL!$C$32, $C$9, 100%, $E$9)</f>
        <v>12.3775</v>
      </c>
      <c r="H740" s="11">
        <f>24.1283 * CHOOSE(CONTROL!$C$32, $C$9, 100%, $E$9)</f>
        <v>24.128299999999999</v>
      </c>
      <c r="I740" s="11">
        <f>24.1335 * CHOOSE(CONTROL!$C$32, $C$9, 100%, $E$9)</f>
        <v>24.133500000000002</v>
      </c>
      <c r="J740" s="11">
        <f>24.1283 * CHOOSE(CONTROL!$C$32, $C$9, 100%, $E$9)</f>
        <v>24.128299999999999</v>
      </c>
      <c r="K740" s="11">
        <f>24.1335 * CHOOSE(CONTROL!$C$32, $C$9, 100%, $E$9)</f>
        <v>24.133500000000002</v>
      </c>
      <c r="L740" s="11">
        <f>12.3722 * CHOOSE(CONTROL!$C$32, $C$9, 100%, $E$9)</f>
        <v>12.372199999999999</v>
      </c>
      <c r="M740" s="11">
        <f>12.3775 * CHOOSE(CONTROL!$C$32, $C$9, 100%, $E$9)</f>
        <v>12.3775</v>
      </c>
      <c r="N740" s="11">
        <f>12.3722 * CHOOSE(CONTROL!$C$32, $C$9, 100%, $E$9)</f>
        <v>12.372199999999999</v>
      </c>
      <c r="O740" s="11">
        <f>12.3775 * CHOOSE(CONTROL!$C$32, $C$9, 100%, $E$9)</f>
        <v>12.3775</v>
      </c>
    </row>
    <row r="741" spans="1:15" ht="15" x14ac:dyDescent="0.2">
      <c r="A741" s="13">
        <v>63402</v>
      </c>
      <c r="B741" s="9">
        <f>10.836 * CHOOSE(CONTROL!$C$32, $C$9, 100%, $E$9)</f>
        <v>10.836</v>
      </c>
      <c r="C741" s="9">
        <f>10.836 * CHOOSE(CONTROL!$C$32, $C$9, 100%, $E$9)</f>
        <v>10.836</v>
      </c>
      <c r="D741" s="9">
        <f>10.8376 * CHOOSE(CONTROL!$C$32, $C$9, 100%, $E$9)</f>
        <v>10.8376</v>
      </c>
      <c r="E741" s="11">
        <f>12.0815 * CHOOSE(CONTROL!$C$32, $C$9, 100%, $E$9)</f>
        <v>12.0815</v>
      </c>
      <c r="F741" s="11">
        <f>12.0815 * CHOOSE(CONTROL!$C$32, $C$9, 100%, $E$9)</f>
        <v>12.0815</v>
      </c>
      <c r="G741" s="11">
        <f>12.0868 * CHOOSE(CONTROL!$C$32, $C$9, 100%, $E$9)</f>
        <v>12.0868</v>
      </c>
      <c r="H741" s="11">
        <f>24.1785 * CHOOSE(CONTROL!$C$32, $C$9, 100%, $E$9)</f>
        <v>24.1785</v>
      </c>
      <c r="I741" s="11">
        <f>24.1838 * CHOOSE(CONTROL!$C$32, $C$9, 100%, $E$9)</f>
        <v>24.183800000000002</v>
      </c>
      <c r="J741" s="11">
        <f>24.1785 * CHOOSE(CONTROL!$C$32, $C$9, 100%, $E$9)</f>
        <v>24.1785</v>
      </c>
      <c r="K741" s="11">
        <f>24.1838 * CHOOSE(CONTROL!$C$32, $C$9, 100%, $E$9)</f>
        <v>24.183800000000002</v>
      </c>
      <c r="L741" s="11">
        <f>12.0815 * CHOOSE(CONTROL!$C$32, $C$9, 100%, $E$9)</f>
        <v>12.0815</v>
      </c>
      <c r="M741" s="11">
        <f>12.0868 * CHOOSE(CONTROL!$C$32, $C$9, 100%, $E$9)</f>
        <v>12.0868</v>
      </c>
      <c r="N741" s="11">
        <f>12.0815 * CHOOSE(CONTROL!$C$32, $C$9, 100%, $E$9)</f>
        <v>12.0815</v>
      </c>
      <c r="O741" s="11">
        <f>12.0868 * CHOOSE(CONTROL!$C$32, $C$9, 100%, $E$9)</f>
        <v>12.0868</v>
      </c>
    </row>
    <row r="742" spans="1:15" ht="15" x14ac:dyDescent="0.2">
      <c r="A742" s="13">
        <v>63433</v>
      </c>
      <c r="B742" s="9">
        <f>10.833 * CHOOSE(CONTROL!$C$32, $C$9, 100%, $E$9)</f>
        <v>10.833</v>
      </c>
      <c r="C742" s="9">
        <f>10.833 * CHOOSE(CONTROL!$C$32, $C$9, 100%, $E$9)</f>
        <v>10.833</v>
      </c>
      <c r="D742" s="9">
        <f>10.8345 * CHOOSE(CONTROL!$C$32, $C$9, 100%, $E$9)</f>
        <v>10.8345</v>
      </c>
      <c r="E742" s="11">
        <f>12.0465 * CHOOSE(CONTROL!$C$32, $C$9, 100%, $E$9)</f>
        <v>12.0465</v>
      </c>
      <c r="F742" s="11">
        <f>12.0465 * CHOOSE(CONTROL!$C$32, $C$9, 100%, $E$9)</f>
        <v>12.0465</v>
      </c>
      <c r="G742" s="11">
        <f>12.0518 * CHOOSE(CONTROL!$C$32, $C$9, 100%, $E$9)</f>
        <v>12.0518</v>
      </c>
      <c r="H742" s="11">
        <f>24.2289 * CHOOSE(CONTROL!$C$32, $C$9, 100%, $E$9)</f>
        <v>24.228899999999999</v>
      </c>
      <c r="I742" s="11">
        <f>24.2342 * CHOOSE(CONTROL!$C$32, $C$9, 100%, $E$9)</f>
        <v>24.234200000000001</v>
      </c>
      <c r="J742" s="11">
        <f>24.2289 * CHOOSE(CONTROL!$C$32, $C$9, 100%, $E$9)</f>
        <v>24.228899999999999</v>
      </c>
      <c r="K742" s="11">
        <f>24.2342 * CHOOSE(CONTROL!$C$32, $C$9, 100%, $E$9)</f>
        <v>24.234200000000001</v>
      </c>
      <c r="L742" s="11">
        <f>12.0465 * CHOOSE(CONTROL!$C$32, $C$9, 100%, $E$9)</f>
        <v>12.0465</v>
      </c>
      <c r="M742" s="11">
        <f>12.0518 * CHOOSE(CONTROL!$C$32, $C$9, 100%, $E$9)</f>
        <v>12.0518</v>
      </c>
      <c r="N742" s="11">
        <f>12.0465 * CHOOSE(CONTROL!$C$32, $C$9, 100%, $E$9)</f>
        <v>12.0465</v>
      </c>
      <c r="O742" s="11">
        <f>12.0518 * CHOOSE(CONTROL!$C$32, $C$9, 100%, $E$9)</f>
        <v>12.0518</v>
      </c>
    </row>
    <row r="743" spans="1:15" ht="15" x14ac:dyDescent="0.2">
      <c r="A743" s="13">
        <v>63463</v>
      </c>
      <c r="B743" s="9">
        <f>10.8535 * CHOOSE(CONTROL!$C$32, $C$9, 100%, $E$9)</f>
        <v>10.8535</v>
      </c>
      <c r="C743" s="9">
        <f>10.8535 * CHOOSE(CONTROL!$C$32, $C$9, 100%, $E$9)</f>
        <v>10.8535</v>
      </c>
      <c r="D743" s="9">
        <f>10.8546 * CHOOSE(CONTROL!$C$32, $C$9, 100%, $E$9)</f>
        <v>10.8546</v>
      </c>
      <c r="E743" s="11">
        <f>12.1644 * CHOOSE(CONTROL!$C$32, $C$9, 100%, $E$9)</f>
        <v>12.164400000000001</v>
      </c>
      <c r="F743" s="11">
        <f>12.1644 * CHOOSE(CONTROL!$C$32, $C$9, 100%, $E$9)</f>
        <v>12.164400000000001</v>
      </c>
      <c r="G743" s="11">
        <f>12.168 * CHOOSE(CONTROL!$C$32, $C$9, 100%, $E$9)</f>
        <v>12.167999999999999</v>
      </c>
      <c r="H743" s="11">
        <f>24.2794 * CHOOSE(CONTROL!$C$32, $C$9, 100%, $E$9)</f>
        <v>24.279399999999999</v>
      </c>
      <c r="I743" s="11">
        <f>24.283 * CHOOSE(CONTROL!$C$32, $C$9, 100%, $E$9)</f>
        <v>24.283000000000001</v>
      </c>
      <c r="J743" s="11">
        <f>24.2794 * CHOOSE(CONTROL!$C$32, $C$9, 100%, $E$9)</f>
        <v>24.279399999999999</v>
      </c>
      <c r="K743" s="11">
        <f>24.283 * CHOOSE(CONTROL!$C$32, $C$9, 100%, $E$9)</f>
        <v>24.283000000000001</v>
      </c>
      <c r="L743" s="11">
        <f>12.1644 * CHOOSE(CONTROL!$C$32, $C$9, 100%, $E$9)</f>
        <v>12.164400000000001</v>
      </c>
      <c r="M743" s="11">
        <f>12.168 * CHOOSE(CONTROL!$C$32, $C$9, 100%, $E$9)</f>
        <v>12.167999999999999</v>
      </c>
      <c r="N743" s="11">
        <f>12.1644 * CHOOSE(CONTROL!$C$32, $C$9, 100%, $E$9)</f>
        <v>12.164400000000001</v>
      </c>
      <c r="O743" s="11">
        <f>12.168 * CHOOSE(CONTROL!$C$32, $C$9, 100%, $E$9)</f>
        <v>12.167999999999999</v>
      </c>
    </row>
    <row r="744" spans="1:15" ht="15" x14ac:dyDescent="0.2">
      <c r="A744" s="13">
        <v>63494</v>
      </c>
      <c r="B744" s="9">
        <f>10.8566 * CHOOSE(CONTROL!$C$32, $C$9, 100%, $E$9)</f>
        <v>10.8566</v>
      </c>
      <c r="C744" s="9">
        <f>10.8566 * CHOOSE(CONTROL!$C$32, $C$9, 100%, $E$9)</f>
        <v>10.8566</v>
      </c>
      <c r="D744" s="9">
        <f>10.8576 * CHOOSE(CONTROL!$C$32, $C$9, 100%, $E$9)</f>
        <v>10.8576</v>
      </c>
      <c r="E744" s="11">
        <f>12.2322 * CHOOSE(CONTROL!$C$32, $C$9, 100%, $E$9)</f>
        <v>12.232200000000001</v>
      </c>
      <c r="F744" s="11">
        <f>12.2322 * CHOOSE(CONTROL!$C$32, $C$9, 100%, $E$9)</f>
        <v>12.232200000000001</v>
      </c>
      <c r="G744" s="11">
        <f>12.2358 * CHOOSE(CONTROL!$C$32, $C$9, 100%, $E$9)</f>
        <v>12.235799999999999</v>
      </c>
      <c r="H744" s="11">
        <f>24.3299 * CHOOSE(CONTROL!$C$32, $C$9, 100%, $E$9)</f>
        <v>24.329899999999999</v>
      </c>
      <c r="I744" s="11">
        <f>24.3336 * CHOOSE(CONTROL!$C$32, $C$9, 100%, $E$9)</f>
        <v>24.333600000000001</v>
      </c>
      <c r="J744" s="11">
        <f>24.3299 * CHOOSE(CONTROL!$C$32, $C$9, 100%, $E$9)</f>
        <v>24.329899999999999</v>
      </c>
      <c r="K744" s="11">
        <f>24.3336 * CHOOSE(CONTROL!$C$32, $C$9, 100%, $E$9)</f>
        <v>24.333600000000001</v>
      </c>
      <c r="L744" s="11">
        <f>12.2322 * CHOOSE(CONTROL!$C$32, $C$9, 100%, $E$9)</f>
        <v>12.232200000000001</v>
      </c>
      <c r="M744" s="11">
        <f>12.2358 * CHOOSE(CONTROL!$C$32, $C$9, 100%, $E$9)</f>
        <v>12.235799999999999</v>
      </c>
      <c r="N744" s="11">
        <f>12.2322 * CHOOSE(CONTROL!$C$32, $C$9, 100%, $E$9)</f>
        <v>12.232200000000001</v>
      </c>
      <c r="O744" s="11">
        <f>12.2358 * CHOOSE(CONTROL!$C$32, $C$9, 100%, $E$9)</f>
        <v>12.235799999999999</v>
      </c>
    </row>
    <row r="745" spans="1:15" ht="15" x14ac:dyDescent="0.2">
      <c r="A745" s="13">
        <v>63524</v>
      </c>
      <c r="B745" s="9">
        <f>10.8566 * CHOOSE(CONTROL!$C$32, $C$9, 100%, $E$9)</f>
        <v>10.8566</v>
      </c>
      <c r="C745" s="9">
        <f>10.8566 * CHOOSE(CONTROL!$C$32, $C$9, 100%, $E$9)</f>
        <v>10.8566</v>
      </c>
      <c r="D745" s="9">
        <f>10.8576 * CHOOSE(CONTROL!$C$32, $C$9, 100%, $E$9)</f>
        <v>10.8576</v>
      </c>
      <c r="E745" s="11">
        <f>12.068 * CHOOSE(CONTROL!$C$32, $C$9, 100%, $E$9)</f>
        <v>12.068</v>
      </c>
      <c r="F745" s="11">
        <f>12.068 * CHOOSE(CONTROL!$C$32, $C$9, 100%, $E$9)</f>
        <v>12.068</v>
      </c>
      <c r="G745" s="11">
        <f>12.0717 * CHOOSE(CONTROL!$C$32, $C$9, 100%, $E$9)</f>
        <v>12.0717</v>
      </c>
      <c r="H745" s="11">
        <f>24.3806 * CHOOSE(CONTROL!$C$32, $C$9, 100%, $E$9)</f>
        <v>24.380600000000001</v>
      </c>
      <c r="I745" s="11">
        <f>24.3843 * CHOOSE(CONTROL!$C$32, $C$9, 100%, $E$9)</f>
        <v>24.3843</v>
      </c>
      <c r="J745" s="11">
        <f>24.3806 * CHOOSE(CONTROL!$C$32, $C$9, 100%, $E$9)</f>
        <v>24.380600000000001</v>
      </c>
      <c r="K745" s="11">
        <f>24.3843 * CHOOSE(CONTROL!$C$32, $C$9, 100%, $E$9)</f>
        <v>24.3843</v>
      </c>
      <c r="L745" s="11">
        <f>12.068 * CHOOSE(CONTROL!$C$32, $C$9, 100%, $E$9)</f>
        <v>12.068</v>
      </c>
      <c r="M745" s="11">
        <f>12.0717 * CHOOSE(CONTROL!$C$32, $C$9, 100%, $E$9)</f>
        <v>12.0717</v>
      </c>
      <c r="N745" s="11">
        <f>12.068 * CHOOSE(CONTROL!$C$32, $C$9, 100%, $E$9)</f>
        <v>12.068</v>
      </c>
      <c r="O745" s="11">
        <f>12.0717 * CHOOSE(CONTROL!$C$32, $C$9, 100%, $E$9)</f>
        <v>12.0717</v>
      </c>
    </row>
    <row r="746" spans="1:15" ht="15" x14ac:dyDescent="0.2">
      <c r="A746" s="13">
        <v>63555</v>
      </c>
      <c r="B746" s="9">
        <f>10.8805 * CHOOSE(CONTROL!$C$32, $C$9, 100%, $E$9)</f>
        <v>10.8805</v>
      </c>
      <c r="C746" s="9">
        <f>10.8805 * CHOOSE(CONTROL!$C$32, $C$9, 100%, $E$9)</f>
        <v>10.8805</v>
      </c>
      <c r="D746" s="9">
        <f>10.8816 * CHOOSE(CONTROL!$C$32, $C$9, 100%, $E$9)</f>
        <v>10.881600000000001</v>
      </c>
      <c r="E746" s="11">
        <f>12.2205 * CHOOSE(CONTROL!$C$32, $C$9, 100%, $E$9)</f>
        <v>12.220499999999999</v>
      </c>
      <c r="F746" s="11">
        <f>12.2205 * CHOOSE(CONTROL!$C$32, $C$9, 100%, $E$9)</f>
        <v>12.220499999999999</v>
      </c>
      <c r="G746" s="11">
        <f>12.2242 * CHOOSE(CONTROL!$C$32, $C$9, 100%, $E$9)</f>
        <v>12.2242</v>
      </c>
      <c r="H746" s="11">
        <f>24.2823 * CHOOSE(CONTROL!$C$32, $C$9, 100%, $E$9)</f>
        <v>24.282299999999999</v>
      </c>
      <c r="I746" s="11">
        <f>24.286 * CHOOSE(CONTROL!$C$32, $C$9, 100%, $E$9)</f>
        <v>24.286000000000001</v>
      </c>
      <c r="J746" s="11">
        <f>24.2823 * CHOOSE(CONTROL!$C$32, $C$9, 100%, $E$9)</f>
        <v>24.282299999999999</v>
      </c>
      <c r="K746" s="11">
        <f>24.286 * CHOOSE(CONTROL!$C$32, $C$9, 100%, $E$9)</f>
        <v>24.286000000000001</v>
      </c>
      <c r="L746" s="11">
        <f>12.2205 * CHOOSE(CONTROL!$C$32, $C$9, 100%, $E$9)</f>
        <v>12.220499999999999</v>
      </c>
      <c r="M746" s="11">
        <f>12.2242 * CHOOSE(CONTROL!$C$32, $C$9, 100%, $E$9)</f>
        <v>12.2242</v>
      </c>
      <c r="N746" s="11">
        <f>12.2205 * CHOOSE(CONTROL!$C$32, $C$9, 100%, $E$9)</f>
        <v>12.220499999999999</v>
      </c>
      <c r="O746" s="11">
        <f>12.2242 * CHOOSE(CONTROL!$C$32, $C$9, 100%, $E$9)</f>
        <v>12.2242</v>
      </c>
    </row>
    <row r="747" spans="1:15" ht="15" x14ac:dyDescent="0.2">
      <c r="A747" s="13">
        <v>63586</v>
      </c>
      <c r="B747" s="9">
        <f>10.8775 * CHOOSE(CONTROL!$C$32, $C$9, 100%, $E$9)</f>
        <v>10.8775</v>
      </c>
      <c r="C747" s="9">
        <f>10.8775 * CHOOSE(CONTROL!$C$32, $C$9, 100%, $E$9)</f>
        <v>10.8775</v>
      </c>
      <c r="D747" s="9">
        <f>10.8785 * CHOOSE(CONTROL!$C$32, $C$9, 100%, $E$9)</f>
        <v>10.878500000000001</v>
      </c>
      <c r="E747" s="11">
        <f>11.9012 * CHOOSE(CONTROL!$C$32, $C$9, 100%, $E$9)</f>
        <v>11.901199999999999</v>
      </c>
      <c r="F747" s="11">
        <f>11.9012 * CHOOSE(CONTROL!$C$32, $C$9, 100%, $E$9)</f>
        <v>11.901199999999999</v>
      </c>
      <c r="G747" s="11">
        <f>11.9048 * CHOOSE(CONTROL!$C$32, $C$9, 100%, $E$9)</f>
        <v>11.9048</v>
      </c>
      <c r="H747" s="11">
        <f>24.3329 * CHOOSE(CONTROL!$C$32, $C$9, 100%, $E$9)</f>
        <v>24.332899999999999</v>
      </c>
      <c r="I747" s="11">
        <f>24.3365 * CHOOSE(CONTROL!$C$32, $C$9, 100%, $E$9)</f>
        <v>24.336500000000001</v>
      </c>
      <c r="J747" s="11">
        <f>24.3329 * CHOOSE(CONTROL!$C$32, $C$9, 100%, $E$9)</f>
        <v>24.332899999999999</v>
      </c>
      <c r="K747" s="11">
        <f>24.3365 * CHOOSE(CONTROL!$C$32, $C$9, 100%, $E$9)</f>
        <v>24.336500000000001</v>
      </c>
      <c r="L747" s="11">
        <f>11.9012 * CHOOSE(CONTROL!$C$32, $C$9, 100%, $E$9)</f>
        <v>11.901199999999999</v>
      </c>
      <c r="M747" s="11">
        <f>11.9048 * CHOOSE(CONTROL!$C$32, $C$9, 100%, $E$9)</f>
        <v>11.9048</v>
      </c>
      <c r="N747" s="11">
        <f>11.9012 * CHOOSE(CONTROL!$C$32, $C$9, 100%, $E$9)</f>
        <v>11.901199999999999</v>
      </c>
      <c r="O747" s="11">
        <f>11.9048 * CHOOSE(CONTROL!$C$32, $C$9, 100%, $E$9)</f>
        <v>11.9048</v>
      </c>
    </row>
    <row r="748" spans="1:15" ht="15" x14ac:dyDescent="0.2">
      <c r="A748" s="13">
        <v>63614</v>
      </c>
      <c r="B748" s="9">
        <f>10.8744 * CHOOSE(CONTROL!$C$32, $C$9, 100%, $E$9)</f>
        <v>10.8744</v>
      </c>
      <c r="C748" s="9">
        <f>10.8744 * CHOOSE(CONTROL!$C$32, $C$9, 100%, $E$9)</f>
        <v>10.8744</v>
      </c>
      <c r="D748" s="9">
        <f>10.8755 * CHOOSE(CONTROL!$C$32, $C$9, 100%, $E$9)</f>
        <v>10.875500000000001</v>
      </c>
      <c r="E748" s="11">
        <f>12.1491 * CHOOSE(CONTROL!$C$32, $C$9, 100%, $E$9)</f>
        <v>12.149100000000001</v>
      </c>
      <c r="F748" s="11">
        <f>12.1491 * CHOOSE(CONTROL!$C$32, $C$9, 100%, $E$9)</f>
        <v>12.149100000000001</v>
      </c>
      <c r="G748" s="11">
        <f>12.1528 * CHOOSE(CONTROL!$C$32, $C$9, 100%, $E$9)</f>
        <v>12.152799999999999</v>
      </c>
      <c r="H748" s="11">
        <f>24.3836 * CHOOSE(CONTROL!$C$32, $C$9, 100%, $E$9)</f>
        <v>24.383600000000001</v>
      </c>
      <c r="I748" s="11">
        <f>24.3872 * CHOOSE(CONTROL!$C$32, $C$9, 100%, $E$9)</f>
        <v>24.3872</v>
      </c>
      <c r="J748" s="11">
        <f>24.3836 * CHOOSE(CONTROL!$C$32, $C$9, 100%, $E$9)</f>
        <v>24.383600000000001</v>
      </c>
      <c r="K748" s="11">
        <f>24.3872 * CHOOSE(CONTROL!$C$32, $C$9, 100%, $E$9)</f>
        <v>24.3872</v>
      </c>
      <c r="L748" s="11">
        <f>12.1491 * CHOOSE(CONTROL!$C$32, $C$9, 100%, $E$9)</f>
        <v>12.149100000000001</v>
      </c>
      <c r="M748" s="11">
        <f>12.1528 * CHOOSE(CONTROL!$C$32, $C$9, 100%, $E$9)</f>
        <v>12.152799999999999</v>
      </c>
      <c r="N748" s="11">
        <f>12.1491 * CHOOSE(CONTROL!$C$32, $C$9, 100%, $E$9)</f>
        <v>12.149100000000001</v>
      </c>
      <c r="O748" s="11">
        <f>12.1528 * CHOOSE(CONTROL!$C$32, $C$9, 100%, $E$9)</f>
        <v>12.152799999999999</v>
      </c>
    </row>
    <row r="749" spans="1:15" ht="15" x14ac:dyDescent="0.2">
      <c r="A749" s="13">
        <v>63645</v>
      </c>
      <c r="B749" s="9">
        <f>10.8787 * CHOOSE(CONTROL!$C$32, $C$9, 100%, $E$9)</f>
        <v>10.8787</v>
      </c>
      <c r="C749" s="9">
        <f>10.8787 * CHOOSE(CONTROL!$C$32, $C$9, 100%, $E$9)</f>
        <v>10.8787</v>
      </c>
      <c r="D749" s="9">
        <f>10.8798 * CHOOSE(CONTROL!$C$32, $C$9, 100%, $E$9)</f>
        <v>10.879799999999999</v>
      </c>
      <c r="E749" s="11">
        <f>12.4135 * CHOOSE(CONTROL!$C$32, $C$9, 100%, $E$9)</f>
        <v>12.413500000000001</v>
      </c>
      <c r="F749" s="11">
        <f>12.4135 * CHOOSE(CONTROL!$C$32, $C$9, 100%, $E$9)</f>
        <v>12.413500000000001</v>
      </c>
      <c r="G749" s="11">
        <f>12.4171 * CHOOSE(CONTROL!$C$32, $C$9, 100%, $E$9)</f>
        <v>12.4171</v>
      </c>
      <c r="H749" s="11">
        <f>24.4344 * CHOOSE(CONTROL!$C$32, $C$9, 100%, $E$9)</f>
        <v>24.4344</v>
      </c>
      <c r="I749" s="11">
        <f>24.438 * CHOOSE(CONTROL!$C$32, $C$9, 100%, $E$9)</f>
        <v>24.437999999999999</v>
      </c>
      <c r="J749" s="11">
        <f>24.4344 * CHOOSE(CONTROL!$C$32, $C$9, 100%, $E$9)</f>
        <v>24.4344</v>
      </c>
      <c r="K749" s="11">
        <f>24.438 * CHOOSE(CONTROL!$C$32, $C$9, 100%, $E$9)</f>
        <v>24.437999999999999</v>
      </c>
      <c r="L749" s="11">
        <f>12.4135 * CHOOSE(CONTROL!$C$32, $C$9, 100%, $E$9)</f>
        <v>12.413500000000001</v>
      </c>
      <c r="M749" s="11">
        <f>12.4171 * CHOOSE(CONTROL!$C$32, $C$9, 100%, $E$9)</f>
        <v>12.4171</v>
      </c>
      <c r="N749" s="11">
        <f>12.4135 * CHOOSE(CONTROL!$C$32, $C$9, 100%, $E$9)</f>
        <v>12.413500000000001</v>
      </c>
      <c r="O749" s="11">
        <f>12.4171 * CHOOSE(CONTROL!$C$32, $C$9, 100%, $E$9)</f>
        <v>12.4171</v>
      </c>
    </row>
    <row r="750" spans="1:15" ht="15" x14ac:dyDescent="0.2">
      <c r="A750" s="13">
        <v>63675</v>
      </c>
      <c r="B750" s="9">
        <f>10.8787 * CHOOSE(CONTROL!$C$32, $C$9, 100%, $E$9)</f>
        <v>10.8787</v>
      </c>
      <c r="C750" s="9">
        <f>10.8787 * CHOOSE(CONTROL!$C$32, $C$9, 100%, $E$9)</f>
        <v>10.8787</v>
      </c>
      <c r="D750" s="9">
        <f>10.8803 * CHOOSE(CONTROL!$C$32, $C$9, 100%, $E$9)</f>
        <v>10.8803</v>
      </c>
      <c r="E750" s="11">
        <f>12.5142 * CHOOSE(CONTROL!$C$32, $C$9, 100%, $E$9)</f>
        <v>12.514200000000001</v>
      </c>
      <c r="F750" s="11">
        <f>12.5142 * CHOOSE(CONTROL!$C$32, $C$9, 100%, $E$9)</f>
        <v>12.514200000000001</v>
      </c>
      <c r="G750" s="11">
        <f>12.5195 * CHOOSE(CONTROL!$C$32, $C$9, 100%, $E$9)</f>
        <v>12.519500000000001</v>
      </c>
      <c r="H750" s="11">
        <f>24.4853 * CHOOSE(CONTROL!$C$32, $C$9, 100%, $E$9)</f>
        <v>24.485299999999999</v>
      </c>
      <c r="I750" s="11">
        <f>24.4906 * CHOOSE(CONTROL!$C$32, $C$9, 100%, $E$9)</f>
        <v>24.490600000000001</v>
      </c>
      <c r="J750" s="11">
        <f>24.4853 * CHOOSE(CONTROL!$C$32, $C$9, 100%, $E$9)</f>
        <v>24.485299999999999</v>
      </c>
      <c r="K750" s="11">
        <f>24.4906 * CHOOSE(CONTROL!$C$32, $C$9, 100%, $E$9)</f>
        <v>24.490600000000001</v>
      </c>
      <c r="L750" s="11">
        <f>12.5142 * CHOOSE(CONTROL!$C$32, $C$9, 100%, $E$9)</f>
        <v>12.514200000000001</v>
      </c>
      <c r="M750" s="11">
        <f>12.5195 * CHOOSE(CONTROL!$C$32, $C$9, 100%, $E$9)</f>
        <v>12.519500000000001</v>
      </c>
      <c r="N750" s="11">
        <f>12.5142 * CHOOSE(CONTROL!$C$32, $C$9, 100%, $E$9)</f>
        <v>12.514200000000001</v>
      </c>
      <c r="O750" s="11">
        <f>12.5195 * CHOOSE(CONTROL!$C$32, $C$9, 100%, $E$9)</f>
        <v>12.519500000000001</v>
      </c>
    </row>
    <row r="751" spans="1:15" ht="15" x14ac:dyDescent="0.2">
      <c r="A751" s="13">
        <v>63706</v>
      </c>
      <c r="B751" s="9">
        <f>10.8848 * CHOOSE(CONTROL!$C$32, $C$9, 100%, $E$9)</f>
        <v>10.8848</v>
      </c>
      <c r="C751" s="9">
        <f>10.8848 * CHOOSE(CONTROL!$C$32, $C$9, 100%, $E$9)</f>
        <v>10.8848</v>
      </c>
      <c r="D751" s="9">
        <f>10.8864 * CHOOSE(CONTROL!$C$32, $C$9, 100%, $E$9)</f>
        <v>10.8864</v>
      </c>
      <c r="E751" s="11">
        <f>12.4177 * CHOOSE(CONTROL!$C$32, $C$9, 100%, $E$9)</f>
        <v>12.4177</v>
      </c>
      <c r="F751" s="11">
        <f>12.4177 * CHOOSE(CONTROL!$C$32, $C$9, 100%, $E$9)</f>
        <v>12.4177</v>
      </c>
      <c r="G751" s="11">
        <f>12.423 * CHOOSE(CONTROL!$C$32, $C$9, 100%, $E$9)</f>
        <v>12.423</v>
      </c>
      <c r="H751" s="11">
        <f>24.5363 * CHOOSE(CONTROL!$C$32, $C$9, 100%, $E$9)</f>
        <v>24.536300000000001</v>
      </c>
      <c r="I751" s="11">
        <f>24.5416 * CHOOSE(CONTROL!$C$32, $C$9, 100%, $E$9)</f>
        <v>24.541599999999999</v>
      </c>
      <c r="J751" s="11">
        <f>24.5363 * CHOOSE(CONTROL!$C$32, $C$9, 100%, $E$9)</f>
        <v>24.536300000000001</v>
      </c>
      <c r="K751" s="11">
        <f>24.5416 * CHOOSE(CONTROL!$C$32, $C$9, 100%, $E$9)</f>
        <v>24.541599999999999</v>
      </c>
      <c r="L751" s="11">
        <f>12.4177 * CHOOSE(CONTROL!$C$32, $C$9, 100%, $E$9)</f>
        <v>12.4177</v>
      </c>
      <c r="M751" s="11">
        <f>12.423 * CHOOSE(CONTROL!$C$32, $C$9, 100%, $E$9)</f>
        <v>12.423</v>
      </c>
      <c r="N751" s="11">
        <f>12.4177 * CHOOSE(CONTROL!$C$32, $C$9, 100%, $E$9)</f>
        <v>12.4177</v>
      </c>
      <c r="O751" s="11">
        <f>12.423 * CHOOSE(CONTROL!$C$32, $C$9, 100%, $E$9)</f>
        <v>12.423</v>
      </c>
    </row>
    <row r="752" spans="1:15" ht="15" x14ac:dyDescent="0.2">
      <c r="A752" s="13">
        <v>63736</v>
      </c>
      <c r="B752" s="9">
        <f>11.0189 * CHOOSE(CONTROL!$C$32, $C$9, 100%, $E$9)</f>
        <v>11.0189</v>
      </c>
      <c r="C752" s="9">
        <f>11.0189 * CHOOSE(CONTROL!$C$32, $C$9, 100%, $E$9)</f>
        <v>11.0189</v>
      </c>
      <c r="D752" s="9">
        <f>11.0205 * CHOOSE(CONTROL!$C$32, $C$9, 100%, $E$9)</f>
        <v>11.0205</v>
      </c>
      <c r="E752" s="11">
        <f>12.5924 * CHOOSE(CONTROL!$C$32, $C$9, 100%, $E$9)</f>
        <v>12.5924</v>
      </c>
      <c r="F752" s="11">
        <f>12.5924 * CHOOSE(CONTROL!$C$32, $C$9, 100%, $E$9)</f>
        <v>12.5924</v>
      </c>
      <c r="G752" s="11">
        <f>12.5977 * CHOOSE(CONTROL!$C$32, $C$9, 100%, $E$9)</f>
        <v>12.5977</v>
      </c>
      <c r="H752" s="11">
        <f>24.5875 * CHOOSE(CONTROL!$C$32, $C$9, 100%, $E$9)</f>
        <v>24.587499999999999</v>
      </c>
      <c r="I752" s="11">
        <f>24.5927 * CHOOSE(CONTROL!$C$32, $C$9, 100%, $E$9)</f>
        <v>24.592700000000001</v>
      </c>
      <c r="J752" s="11">
        <f>24.5875 * CHOOSE(CONTROL!$C$32, $C$9, 100%, $E$9)</f>
        <v>24.587499999999999</v>
      </c>
      <c r="K752" s="11">
        <f>24.5927 * CHOOSE(CONTROL!$C$32, $C$9, 100%, $E$9)</f>
        <v>24.592700000000001</v>
      </c>
      <c r="L752" s="11">
        <f>12.5924 * CHOOSE(CONTROL!$C$32, $C$9, 100%, $E$9)</f>
        <v>12.5924</v>
      </c>
      <c r="M752" s="11">
        <f>12.5977 * CHOOSE(CONTROL!$C$32, $C$9, 100%, $E$9)</f>
        <v>12.5977</v>
      </c>
      <c r="N752" s="11">
        <f>12.5924 * CHOOSE(CONTROL!$C$32, $C$9, 100%, $E$9)</f>
        <v>12.5924</v>
      </c>
      <c r="O752" s="11">
        <f>12.5977 * CHOOSE(CONTROL!$C$32, $C$9, 100%, $E$9)</f>
        <v>12.5977</v>
      </c>
    </row>
    <row r="753" spans="1:15" ht="15" x14ac:dyDescent="0.2">
      <c r="A753" s="13">
        <v>63767</v>
      </c>
      <c r="B753" s="9">
        <f>11.0256 * CHOOSE(CONTROL!$C$32, $C$9, 100%, $E$9)</f>
        <v>11.025600000000001</v>
      </c>
      <c r="C753" s="9">
        <f>11.0256 * CHOOSE(CONTROL!$C$32, $C$9, 100%, $E$9)</f>
        <v>11.025600000000001</v>
      </c>
      <c r="D753" s="9">
        <f>11.0272 * CHOOSE(CONTROL!$C$32, $C$9, 100%, $E$9)</f>
        <v>11.027200000000001</v>
      </c>
      <c r="E753" s="11">
        <f>12.2949 * CHOOSE(CONTROL!$C$32, $C$9, 100%, $E$9)</f>
        <v>12.2949</v>
      </c>
      <c r="F753" s="11">
        <f>12.2949 * CHOOSE(CONTROL!$C$32, $C$9, 100%, $E$9)</f>
        <v>12.2949</v>
      </c>
      <c r="G753" s="11">
        <f>12.3002 * CHOOSE(CONTROL!$C$32, $C$9, 100%, $E$9)</f>
        <v>12.3002</v>
      </c>
      <c r="H753" s="11">
        <f>24.6387 * CHOOSE(CONTROL!$C$32, $C$9, 100%, $E$9)</f>
        <v>24.6387</v>
      </c>
      <c r="I753" s="11">
        <f>24.644 * CHOOSE(CONTROL!$C$32, $C$9, 100%, $E$9)</f>
        <v>24.643999999999998</v>
      </c>
      <c r="J753" s="11">
        <f>24.6387 * CHOOSE(CONTROL!$C$32, $C$9, 100%, $E$9)</f>
        <v>24.6387</v>
      </c>
      <c r="K753" s="11">
        <f>24.644 * CHOOSE(CONTROL!$C$32, $C$9, 100%, $E$9)</f>
        <v>24.643999999999998</v>
      </c>
      <c r="L753" s="11">
        <f>12.2949 * CHOOSE(CONTROL!$C$32, $C$9, 100%, $E$9)</f>
        <v>12.2949</v>
      </c>
      <c r="M753" s="11">
        <f>12.3002 * CHOOSE(CONTROL!$C$32, $C$9, 100%, $E$9)</f>
        <v>12.3002</v>
      </c>
      <c r="N753" s="11">
        <f>12.2949 * CHOOSE(CONTROL!$C$32, $C$9, 100%, $E$9)</f>
        <v>12.2949</v>
      </c>
      <c r="O753" s="11">
        <f>12.3002 * CHOOSE(CONTROL!$C$32, $C$9, 100%, $E$9)</f>
        <v>12.3002</v>
      </c>
    </row>
    <row r="754" spans="1:15" ht="15" x14ac:dyDescent="0.2">
      <c r="A754" s="13">
        <v>63798</v>
      </c>
      <c r="B754" s="9">
        <f>11.0226 * CHOOSE(CONTROL!$C$32, $C$9, 100%, $E$9)</f>
        <v>11.022600000000001</v>
      </c>
      <c r="C754" s="9">
        <f>11.0226 * CHOOSE(CONTROL!$C$32, $C$9, 100%, $E$9)</f>
        <v>11.022600000000001</v>
      </c>
      <c r="D754" s="9">
        <f>11.0241 * CHOOSE(CONTROL!$C$32, $C$9, 100%, $E$9)</f>
        <v>11.024100000000001</v>
      </c>
      <c r="E754" s="11">
        <f>12.2592 * CHOOSE(CONTROL!$C$32, $C$9, 100%, $E$9)</f>
        <v>12.2592</v>
      </c>
      <c r="F754" s="11">
        <f>12.2592 * CHOOSE(CONTROL!$C$32, $C$9, 100%, $E$9)</f>
        <v>12.2592</v>
      </c>
      <c r="G754" s="11">
        <f>12.2645 * CHOOSE(CONTROL!$C$32, $C$9, 100%, $E$9)</f>
        <v>12.2645</v>
      </c>
      <c r="H754" s="11">
        <f>24.69 * CHOOSE(CONTROL!$C$32, $C$9, 100%, $E$9)</f>
        <v>24.69</v>
      </c>
      <c r="I754" s="11">
        <f>24.6953 * CHOOSE(CONTROL!$C$32, $C$9, 100%, $E$9)</f>
        <v>24.6953</v>
      </c>
      <c r="J754" s="11">
        <f>24.69 * CHOOSE(CONTROL!$C$32, $C$9, 100%, $E$9)</f>
        <v>24.69</v>
      </c>
      <c r="K754" s="11">
        <f>24.6953 * CHOOSE(CONTROL!$C$32, $C$9, 100%, $E$9)</f>
        <v>24.6953</v>
      </c>
      <c r="L754" s="11">
        <f>12.2592 * CHOOSE(CONTROL!$C$32, $C$9, 100%, $E$9)</f>
        <v>12.2592</v>
      </c>
      <c r="M754" s="11">
        <f>12.2645 * CHOOSE(CONTROL!$C$32, $C$9, 100%, $E$9)</f>
        <v>12.2645</v>
      </c>
      <c r="N754" s="11">
        <f>12.2592 * CHOOSE(CONTROL!$C$32, $C$9, 100%, $E$9)</f>
        <v>12.2592</v>
      </c>
      <c r="O754" s="11">
        <f>12.2645 * CHOOSE(CONTROL!$C$32, $C$9, 100%, $E$9)</f>
        <v>12.2645</v>
      </c>
    </row>
    <row r="755" spans="1:15" ht="15" x14ac:dyDescent="0.2">
      <c r="A755" s="13">
        <v>63828</v>
      </c>
      <c r="B755" s="9">
        <f>11.0438 * CHOOSE(CONTROL!$C$32, $C$9, 100%, $E$9)</f>
        <v>11.043799999999999</v>
      </c>
      <c r="C755" s="9">
        <f>11.0438 * CHOOSE(CONTROL!$C$32, $C$9, 100%, $E$9)</f>
        <v>11.043799999999999</v>
      </c>
      <c r="D755" s="9">
        <f>11.0449 * CHOOSE(CONTROL!$C$32, $C$9, 100%, $E$9)</f>
        <v>11.0449</v>
      </c>
      <c r="E755" s="11">
        <f>12.3801 * CHOOSE(CONTROL!$C$32, $C$9, 100%, $E$9)</f>
        <v>12.380100000000001</v>
      </c>
      <c r="F755" s="11">
        <f>12.3801 * CHOOSE(CONTROL!$C$32, $C$9, 100%, $E$9)</f>
        <v>12.380100000000001</v>
      </c>
      <c r="G755" s="11">
        <f>12.3837 * CHOOSE(CONTROL!$C$32, $C$9, 100%, $E$9)</f>
        <v>12.383699999999999</v>
      </c>
      <c r="H755" s="11">
        <f>24.7414 * CHOOSE(CONTROL!$C$32, $C$9, 100%, $E$9)</f>
        <v>24.741399999999999</v>
      </c>
      <c r="I755" s="11">
        <f>24.7451 * CHOOSE(CONTROL!$C$32, $C$9, 100%, $E$9)</f>
        <v>24.745100000000001</v>
      </c>
      <c r="J755" s="11">
        <f>24.7414 * CHOOSE(CONTROL!$C$32, $C$9, 100%, $E$9)</f>
        <v>24.741399999999999</v>
      </c>
      <c r="K755" s="11">
        <f>24.7451 * CHOOSE(CONTROL!$C$32, $C$9, 100%, $E$9)</f>
        <v>24.745100000000001</v>
      </c>
      <c r="L755" s="11">
        <f>12.3801 * CHOOSE(CONTROL!$C$32, $C$9, 100%, $E$9)</f>
        <v>12.380100000000001</v>
      </c>
      <c r="M755" s="11">
        <f>12.3837 * CHOOSE(CONTROL!$C$32, $C$9, 100%, $E$9)</f>
        <v>12.383699999999999</v>
      </c>
      <c r="N755" s="11">
        <f>12.3801 * CHOOSE(CONTROL!$C$32, $C$9, 100%, $E$9)</f>
        <v>12.380100000000001</v>
      </c>
      <c r="O755" s="11">
        <f>12.3837 * CHOOSE(CONTROL!$C$32, $C$9, 100%, $E$9)</f>
        <v>12.383699999999999</v>
      </c>
    </row>
    <row r="756" spans="1:15" ht="15" x14ac:dyDescent="0.2">
      <c r="A756" s="13">
        <v>63859</v>
      </c>
      <c r="B756" s="9">
        <f>11.0469 * CHOOSE(CONTROL!$C$32, $C$9, 100%, $E$9)</f>
        <v>11.046900000000001</v>
      </c>
      <c r="C756" s="9">
        <f>11.0469 * CHOOSE(CONTROL!$C$32, $C$9, 100%, $E$9)</f>
        <v>11.046900000000001</v>
      </c>
      <c r="D756" s="9">
        <f>11.048 * CHOOSE(CONTROL!$C$32, $C$9, 100%, $E$9)</f>
        <v>11.048</v>
      </c>
      <c r="E756" s="11">
        <f>12.4493 * CHOOSE(CONTROL!$C$32, $C$9, 100%, $E$9)</f>
        <v>12.449299999999999</v>
      </c>
      <c r="F756" s="11">
        <f>12.4493 * CHOOSE(CONTROL!$C$32, $C$9, 100%, $E$9)</f>
        <v>12.449299999999999</v>
      </c>
      <c r="G756" s="11">
        <f>12.453 * CHOOSE(CONTROL!$C$32, $C$9, 100%, $E$9)</f>
        <v>12.452999999999999</v>
      </c>
      <c r="H756" s="11">
        <f>24.793 * CHOOSE(CONTROL!$C$32, $C$9, 100%, $E$9)</f>
        <v>24.792999999999999</v>
      </c>
      <c r="I756" s="11">
        <f>24.7966 * CHOOSE(CONTROL!$C$32, $C$9, 100%, $E$9)</f>
        <v>24.796600000000002</v>
      </c>
      <c r="J756" s="11">
        <f>24.793 * CHOOSE(CONTROL!$C$32, $C$9, 100%, $E$9)</f>
        <v>24.792999999999999</v>
      </c>
      <c r="K756" s="11">
        <f>24.7966 * CHOOSE(CONTROL!$C$32, $C$9, 100%, $E$9)</f>
        <v>24.796600000000002</v>
      </c>
      <c r="L756" s="11">
        <f>12.4493 * CHOOSE(CONTROL!$C$32, $C$9, 100%, $E$9)</f>
        <v>12.449299999999999</v>
      </c>
      <c r="M756" s="11">
        <f>12.453 * CHOOSE(CONTROL!$C$32, $C$9, 100%, $E$9)</f>
        <v>12.452999999999999</v>
      </c>
      <c r="N756" s="11">
        <f>12.4493 * CHOOSE(CONTROL!$C$32, $C$9, 100%, $E$9)</f>
        <v>12.449299999999999</v>
      </c>
      <c r="O756" s="11">
        <f>12.453 * CHOOSE(CONTROL!$C$32, $C$9, 100%, $E$9)</f>
        <v>12.452999999999999</v>
      </c>
    </row>
    <row r="757" spans="1:15" ht="15" x14ac:dyDescent="0.2">
      <c r="A757" s="13">
        <v>63889</v>
      </c>
      <c r="B757" s="9">
        <f>11.0469 * CHOOSE(CONTROL!$C$32, $C$9, 100%, $E$9)</f>
        <v>11.046900000000001</v>
      </c>
      <c r="C757" s="9">
        <f>11.0469 * CHOOSE(CONTROL!$C$32, $C$9, 100%, $E$9)</f>
        <v>11.046900000000001</v>
      </c>
      <c r="D757" s="9">
        <f>11.048 * CHOOSE(CONTROL!$C$32, $C$9, 100%, $E$9)</f>
        <v>11.048</v>
      </c>
      <c r="E757" s="11">
        <f>12.2815 * CHOOSE(CONTROL!$C$32, $C$9, 100%, $E$9)</f>
        <v>12.281499999999999</v>
      </c>
      <c r="F757" s="11">
        <f>12.2815 * CHOOSE(CONTROL!$C$32, $C$9, 100%, $E$9)</f>
        <v>12.281499999999999</v>
      </c>
      <c r="G757" s="11">
        <f>12.2851 * CHOOSE(CONTROL!$C$32, $C$9, 100%, $E$9)</f>
        <v>12.2851</v>
      </c>
      <c r="H757" s="11">
        <f>24.8446 * CHOOSE(CONTROL!$C$32, $C$9, 100%, $E$9)</f>
        <v>24.8446</v>
      </c>
      <c r="I757" s="11">
        <f>24.8483 * CHOOSE(CONTROL!$C$32, $C$9, 100%, $E$9)</f>
        <v>24.848299999999998</v>
      </c>
      <c r="J757" s="11">
        <f>24.8446 * CHOOSE(CONTROL!$C$32, $C$9, 100%, $E$9)</f>
        <v>24.8446</v>
      </c>
      <c r="K757" s="11">
        <f>24.8483 * CHOOSE(CONTROL!$C$32, $C$9, 100%, $E$9)</f>
        <v>24.848299999999998</v>
      </c>
      <c r="L757" s="11">
        <f>12.2815 * CHOOSE(CONTROL!$C$32, $C$9, 100%, $E$9)</f>
        <v>12.281499999999999</v>
      </c>
      <c r="M757" s="11">
        <f>12.2851 * CHOOSE(CONTROL!$C$32, $C$9, 100%, $E$9)</f>
        <v>12.2851</v>
      </c>
      <c r="N757" s="11">
        <f>12.2815 * CHOOSE(CONTROL!$C$32, $C$9, 100%, $E$9)</f>
        <v>12.281499999999999</v>
      </c>
      <c r="O757" s="11">
        <f>12.2851 * CHOOSE(CONTROL!$C$32, $C$9, 100%, $E$9)</f>
        <v>12.2851</v>
      </c>
    </row>
    <row r="758" spans="1:15" ht="15" x14ac:dyDescent="0.2">
      <c r="A758" s="13">
        <v>63920</v>
      </c>
      <c r="B758" s="9">
        <f>11.0679 * CHOOSE(CONTROL!$C$32, $C$9, 100%, $E$9)</f>
        <v>11.0679</v>
      </c>
      <c r="C758" s="9">
        <f>11.0679 * CHOOSE(CONTROL!$C$32, $C$9, 100%, $E$9)</f>
        <v>11.0679</v>
      </c>
      <c r="D758" s="9">
        <f>11.0689 * CHOOSE(CONTROL!$C$32, $C$9, 100%, $E$9)</f>
        <v>11.068899999999999</v>
      </c>
      <c r="E758" s="11">
        <f>12.433 * CHOOSE(CONTROL!$C$32, $C$9, 100%, $E$9)</f>
        <v>12.433</v>
      </c>
      <c r="F758" s="11">
        <f>12.433 * CHOOSE(CONTROL!$C$32, $C$9, 100%, $E$9)</f>
        <v>12.433</v>
      </c>
      <c r="G758" s="11">
        <f>12.4367 * CHOOSE(CONTROL!$C$32, $C$9, 100%, $E$9)</f>
        <v>12.4367</v>
      </c>
      <c r="H758" s="11">
        <f>24.7358 * CHOOSE(CONTROL!$C$32, $C$9, 100%, $E$9)</f>
        <v>24.735800000000001</v>
      </c>
      <c r="I758" s="11">
        <f>24.7395 * CHOOSE(CONTROL!$C$32, $C$9, 100%, $E$9)</f>
        <v>24.7395</v>
      </c>
      <c r="J758" s="11">
        <f>24.7358 * CHOOSE(CONTROL!$C$32, $C$9, 100%, $E$9)</f>
        <v>24.735800000000001</v>
      </c>
      <c r="K758" s="11">
        <f>24.7395 * CHOOSE(CONTROL!$C$32, $C$9, 100%, $E$9)</f>
        <v>24.7395</v>
      </c>
      <c r="L758" s="11">
        <f>12.433 * CHOOSE(CONTROL!$C$32, $C$9, 100%, $E$9)</f>
        <v>12.433</v>
      </c>
      <c r="M758" s="11">
        <f>12.4367 * CHOOSE(CONTROL!$C$32, $C$9, 100%, $E$9)</f>
        <v>12.4367</v>
      </c>
      <c r="N758" s="11">
        <f>12.433 * CHOOSE(CONTROL!$C$32, $C$9, 100%, $E$9)</f>
        <v>12.433</v>
      </c>
      <c r="O758" s="11">
        <f>12.4367 * CHOOSE(CONTROL!$C$32, $C$9, 100%, $E$9)</f>
        <v>12.4367</v>
      </c>
    </row>
    <row r="759" spans="1:15" ht="15" x14ac:dyDescent="0.2">
      <c r="A759" s="13">
        <v>63951</v>
      </c>
      <c r="B759" s="9">
        <f>11.0648 * CHOOSE(CONTROL!$C$32, $C$9, 100%, $E$9)</f>
        <v>11.0648</v>
      </c>
      <c r="C759" s="9">
        <f>11.0648 * CHOOSE(CONTROL!$C$32, $C$9, 100%, $E$9)</f>
        <v>11.0648</v>
      </c>
      <c r="D759" s="9">
        <f>11.0659 * CHOOSE(CONTROL!$C$32, $C$9, 100%, $E$9)</f>
        <v>11.065899999999999</v>
      </c>
      <c r="E759" s="11">
        <f>12.1066 * CHOOSE(CONTROL!$C$32, $C$9, 100%, $E$9)</f>
        <v>12.1066</v>
      </c>
      <c r="F759" s="11">
        <f>12.1066 * CHOOSE(CONTROL!$C$32, $C$9, 100%, $E$9)</f>
        <v>12.1066</v>
      </c>
      <c r="G759" s="11">
        <f>12.1102 * CHOOSE(CONTROL!$C$32, $C$9, 100%, $E$9)</f>
        <v>12.110200000000001</v>
      </c>
      <c r="H759" s="11">
        <f>24.7874 * CHOOSE(CONTROL!$C$32, $C$9, 100%, $E$9)</f>
        <v>24.787400000000002</v>
      </c>
      <c r="I759" s="11">
        <f>24.791 * CHOOSE(CONTROL!$C$32, $C$9, 100%, $E$9)</f>
        <v>24.791</v>
      </c>
      <c r="J759" s="11">
        <f>24.7874 * CHOOSE(CONTROL!$C$32, $C$9, 100%, $E$9)</f>
        <v>24.787400000000002</v>
      </c>
      <c r="K759" s="11">
        <f>24.791 * CHOOSE(CONTROL!$C$32, $C$9, 100%, $E$9)</f>
        <v>24.791</v>
      </c>
      <c r="L759" s="11">
        <f>12.1066 * CHOOSE(CONTROL!$C$32, $C$9, 100%, $E$9)</f>
        <v>12.1066</v>
      </c>
      <c r="M759" s="11">
        <f>12.1102 * CHOOSE(CONTROL!$C$32, $C$9, 100%, $E$9)</f>
        <v>12.110200000000001</v>
      </c>
      <c r="N759" s="11">
        <f>12.1066 * CHOOSE(CONTROL!$C$32, $C$9, 100%, $E$9)</f>
        <v>12.1066</v>
      </c>
      <c r="O759" s="11">
        <f>12.1102 * CHOOSE(CONTROL!$C$32, $C$9, 100%, $E$9)</f>
        <v>12.110200000000001</v>
      </c>
    </row>
    <row r="760" spans="1:15" ht="15" x14ac:dyDescent="0.2">
      <c r="A760" s="13">
        <v>63979</v>
      </c>
      <c r="B760" s="9">
        <f>11.0618 * CHOOSE(CONTROL!$C$32, $C$9, 100%, $E$9)</f>
        <v>11.0618</v>
      </c>
      <c r="C760" s="9">
        <f>11.0618 * CHOOSE(CONTROL!$C$32, $C$9, 100%, $E$9)</f>
        <v>11.0618</v>
      </c>
      <c r="D760" s="9">
        <f>11.0629 * CHOOSE(CONTROL!$C$32, $C$9, 100%, $E$9)</f>
        <v>11.062900000000001</v>
      </c>
      <c r="E760" s="11">
        <f>12.3602 * CHOOSE(CONTROL!$C$32, $C$9, 100%, $E$9)</f>
        <v>12.360200000000001</v>
      </c>
      <c r="F760" s="11">
        <f>12.3602 * CHOOSE(CONTROL!$C$32, $C$9, 100%, $E$9)</f>
        <v>12.360200000000001</v>
      </c>
      <c r="G760" s="11">
        <f>12.3638 * CHOOSE(CONTROL!$C$32, $C$9, 100%, $E$9)</f>
        <v>12.363799999999999</v>
      </c>
      <c r="H760" s="11">
        <f>24.839 * CHOOSE(CONTROL!$C$32, $C$9, 100%, $E$9)</f>
        <v>24.838999999999999</v>
      </c>
      <c r="I760" s="11">
        <f>24.8426 * CHOOSE(CONTROL!$C$32, $C$9, 100%, $E$9)</f>
        <v>24.842600000000001</v>
      </c>
      <c r="J760" s="11">
        <f>24.839 * CHOOSE(CONTROL!$C$32, $C$9, 100%, $E$9)</f>
        <v>24.838999999999999</v>
      </c>
      <c r="K760" s="11">
        <f>24.8426 * CHOOSE(CONTROL!$C$32, $C$9, 100%, $E$9)</f>
        <v>24.842600000000001</v>
      </c>
      <c r="L760" s="11">
        <f>12.3602 * CHOOSE(CONTROL!$C$32, $C$9, 100%, $E$9)</f>
        <v>12.360200000000001</v>
      </c>
      <c r="M760" s="11">
        <f>12.3638 * CHOOSE(CONTROL!$C$32, $C$9, 100%, $E$9)</f>
        <v>12.363799999999999</v>
      </c>
      <c r="N760" s="11">
        <f>12.3602 * CHOOSE(CONTROL!$C$32, $C$9, 100%, $E$9)</f>
        <v>12.360200000000001</v>
      </c>
      <c r="O760" s="11">
        <f>12.3638 * CHOOSE(CONTROL!$C$32, $C$9, 100%, $E$9)</f>
        <v>12.363799999999999</v>
      </c>
    </row>
    <row r="761" spans="1:15" ht="15" x14ac:dyDescent="0.2">
      <c r="A761" s="13">
        <v>64010</v>
      </c>
      <c r="B761" s="9">
        <f>11.0663 * CHOOSE(CONTROL!$C$32, $C$9, 100%, $E$9)</f>
        <v>11.0663</v>
      </c>
      <c r="C761" s="9">
        <f>11.0663 * CHOOSE(CONTROL!$C$32, $C$9, 100%, $E$9)</f>
        <v>11.0663</v>
      </c>
      <c r="D761" s="9">
        <f>11.0674 * CHOOSE(CONTROL!$C$32, $C$9, 100%, $E$9)</f>
        <v>11.067399999999999</v>
      </c>
      <c r="E761" s="11">
        <f>12.6305 * CHOOSE(CONTROL!$C$32, $C$9, 100%, $E$9)</f>
        <v>12.6305</v>
      </c>
      <c r="F761" s="11">
        <f>12.6305 * CHOOSE(CONTROL!$C$32, $C$9, 100%, $E$9)</f>
        <v>12.6305</v>
      </c>
      <c r="G761" s="11">
        <f>12.6341 * CHOOSE(CONTROL!$C$32, $C$9, 100%, $E$9)</f>
        <v>12.6341</v>
      </c>
      <c r="H761" s="11">
        <f>24.8908 * CHOOSE(CONTROL!$C$32, $C$9, 100%, $E$9)</f>
        <v>24.890799999999999</v>
      </c>
      <c r="I761" s="11">
        <f>24.8944 * CHOOSE(CONTROL!$C$32, $C$9, 100%, $E$9)</f>
        <v>24.894400000000001</v>
      </c>
      <c r="J761" s="11">
        <f>24.8908 * CHOOSE(CONTROL!$C$32, $C$9, 100%, $E$9)</f>
        <v>24.890799999999999</v>
      </c>
      <c r="K761" s="11">
        <f>24.8944 * CHOOSE(CONTROL!$C$32, $C$9, 100%, $E$9)</f>
        <v>24.894400000000001</v>
      </c>
      <c r="L761" s="11">
        <f>12.6305 * CHOOSE(CONTROL!$C$32, $C$9, 100%, $E$9)</f>
        <v>12.6305</v>
      </c>
      <c r="M761" s="11">
        <f>12.6341 * CHOOSE(CONTROL!$C$32, $C$9, 100%, $E$9)</f>
        <v>12.6341</v>
      </c>
      <c r="N761" s="11">
        <f>12.6305 * CHOOSE(CONTROL!$C$32, $C$9, 100%, $E$9)</f>
        <v>12.6305</v>
      </c>
      <c r="O761" s="11">
        <f>12.6341 * CHOOSE(CONTROL!$C$32, $C$9, 100%, $E$9)</f>
        <v>12.6341</v>
      </c>
    </row>
    <row r="762" spans="1:15" ht="15" x14ac:dyDescent="0.2">
      <c r="A762" s="13">
        <v>64040</v>
      </c>
      <c r="B762" s="9">
        <f>11.0663 * CHOOSE(CONTROL!$C$32, $C$9, 100%, $E$9)</f>
        <v>11.0663</v>
      </c>
      <c r="C762" s="9">
        <f>11.0663 * CHOOSE(CONTROL!$C$32, $C$9, 100%, $E$9)</f>
        <v>11.0663</v>
      </c>
      <c r="D762" s="9">
        <f>11.0679 * CHOOSE(CONTROL!$C$32, $C$9, 100%, $E$9)</f>
        <v>11.0679</v>
      </c>
      <c r="E762" s="11">
        <f>12.7335 * CHOOSE(CONTROL!$C$32, $C$9, 100%, $E$9)</f>
        <v>12.733499999999999</v>
      </c>
      <c r="F762" s="11">
        <f>12.7335 * CHOOSE(CONTROL!$C$32, $C$9, 100%, $E$9)</f>
        <v>12.733499999999999</v>
      </c>
      <c r="G762" s="11">
        <f>12.7388 * CHOOSE(CONTROL!$C$32, $C$9, 100%, $E$9)</f>
        <v>12.738799999999999</v>
      </c>
      <c r="H762" s="11">
        <f>24.9426 * CHOOSE(CONTROL!$C$32, $C$9, 100%, $E$9)</f>
        <v>24.942599999999999</v>
      </c>
      <c r="I762" s="11">
        <f>24.9479 * CHOOSE(CONTROL!$C$32, $C$9, 100%, $E$9)</f>
        <v>24.947900000000001</v>
      </c>
      <c r="J762" s="11">
        <f>24.9426 * CHOOSE(CONTROL!$C$32, $C$9, 100%, $E$9)</f>
        <v>24.942599999999999</v>
      </c>
      <c r="K762" s="11">
        <f>24.9479 * CHOOSE(CONTROL!$C$32, $C$9, 100%, $E$9)</f>
        <v>24.947900000000001</v>
      </c>
      <c r="L762" s="11">
        <f>12.7335 * CHOOSE(CONTROL!$C$32, $C$9, 100%, $E$9)</f>
        <v>12.733499999999999</v>
      </c>
      <c r="M762" s="11">
        <f>12.7388 * CHOOSE(CONTROL!$C$32, $C$9, 100%, $E$9)</f>
        <v>12.738799999999999</v>
      </c>
      <c r="N762" s="11">
        <f>12.7335 * CHOOSE(CONTROL!$C$32, $C$9, 100%, $E$9)</f>
        <v>12.733499999999999</v>
      </c>
      <c r="O762" s="11">
        <f>12.7388 * CHOOSE(CONTROL!$C$32, $C$9, 100%, $E$9)</f>
        <v>12.738799999999999</v>
      </c>
    </row>
    <row r="763" spans="1:15" ht="15" x14ac:dyDescent="0.2">
      <c r="A763" s="13">
        <v>64071</v>
      </c>
      <c r="B763" s="9">
        <f>11.0724 * CHOOSE(CONTROL!$C$32, $C$9, 100%, $E$9)</f>
        <v>11.0724</v>
      </c>
      <c r="C763" s="9">
        <f>11.0724 * CHOOSE(CONTROL!$C$32, $C$9, 100%, $E$9)</f>
        <v>11.0724</v>
      </c>
      <c r="D763" s="9">
        <f>11.0739 * CHOOSE(CONTROL!$C$32, $C$9, 100%, $E$9)</f>
        <v>11.0739</v>
      </c>
      <c r="E763" s="11">
        <f>12.6347 * CHOOSE(CONTROL!$C$32, $C$9, 100%, $E$9)</f>
        <v>12.6347</v>
      </c>
      <c r="F763" s="11">
        <f>12.6347 * CHOOSE(CONTROL!$C$32, $C$9, 100%, $E$9)</f>
        <v>12.6347</v>
      </c>
      <c r="G763" s="11">
        <f>12.64 * CHOOSE(CONTROL!$C$32, $C$9, 100%, $E$9)</f>
        <v>12.64</v>
      </c>
      <c r="H763" s="11">
        <f>24.9946 * CHOOSE(CONTROL!$C$32, $C$9, 100%, $E$9)</f>
        <v>24.994599999999998</v>
      </c>
      <c r="I763" s="11">
        <f>24.9999 * CHOOSE(CONTROL!$C$32, $C$9, 100%, $E$9)</f>
        <v>24.9999</v>
      </c>
      <c r="J763" s="11">
        <f>24.9946 * CHOOSE(CONTROL!$C$32, $C$9, 100%, $E$9)</f>
        <v>24.994599999999998</v>
      </c>
      <c r="K763" s="11">
        <f>24.9999 * CHOOSE(CONTROL!$C$32, $C$9, 100%, $E$9)</f>
        <v>24.9999</v>
      </c>
      <c r="L763" s="11">
        <f>12.6347 * CHOOSE(CONTROL!$C$32, $C$9, 100%, $E$9)</f>
        <v>12.6347</v>
      </c>
      <c r="M763" s="11">
        <f>12.64 * CHOOSE(CONTROL!$C$32, $C$9, 100%, $E$9)</f>
        <v>12.64</v>
      </c>
      <c r="N763" s="11">
        <f>12.6347 * CHOOSE(CONTROL!$C$32, $C$9, 100%, $E$9)</f>
        <v>12.6347</v>
      </c>
      <c r="O763" s="11">
        <f>12.64 * CHOOSE(CONTROL!$C$32, $C$9, 100%, $E$9)</f>
        <v>12.64</v>
      </c>
    </row>
    <row r="764" spans="1:15" ht="15" x14ac:dyDescent="0.2">
      <c r="A764" s="13">
        <v>64101</v>
      </c>
      <c r="B764" s="9">
        <f>11.2085 * CHOOSE(CONTROL!$C$32, $C$9, 100%, $E$9)</f>
        <v>11.208500000000001</v>
      </c>
      <c r="C764" s="9">
        <f>11.2085 * CHOOSE(CONTROL!$C$32, $C$9, 100%, $E$9)</f>
        <v>11.208500000000001</v>
      </c>
      <c r="D764" s="9">
        <f>11.2101 * CHOOSE(CONTROL!$C$32, $C$9, 100%, $E$9)</f>
        <v>11.210100000000001</v>
      </c>
      <c r="E764" s="11">
        <f>12.8126 * CHOOSE(CONTROL!$C$32, $C$9, 100%, $E$9)</f>
        <v>12.8126</v>
      </c>
      <c r="F764" s="11">
        <f>12.8126 * CHOOSE(CONTROL!$C$32, $C$9, 100%, $E$9)</f>
        <v>12.8126</v>
      </c>
      <c r="G764" s="11">
        <f>12.8179 * CHOOSE(CONTROL!$C$32, $C$9, 100%, $E$9)</f>
        <v>12.8179</v>
      </c>
      <c r="H764" s="11">
        <f>25.0467 * CHOOSE(CONTROL!$C$32, $C$9, 100%, $E$9)</f>
        <v>25.046700000000001</v>
      </c>
      <c r="I764" s="11">
        <f>25.052 * CHOOSE(CONTROL!$C$32, $C$9, 100%, $E$9)</f>
        <v>25.052</v>
      </c>
      <c r="J764" s="11">
        <f>25.0467 * CHOOSE(CONTROL!$C$32, $C$9, 100%, $E$9)</f>
        <v>25.046700000000001</v>
      </c>
      <c r="K764" s="11">
        <f>25.052 * CHOOSE(CONTROL!$C$32, $C$9, 100%, $E$9)</f>
        <v>25.052</v>
      </c>
      <c r="L764" s="11">
        <f>12.8126 * CHOOSE(CONTROL!$C$32, $C$9, 100%, $E$9)</f>
        <v>12.8126</v>
      </c>
      <c r="M764" s="11">
        <f>12.8179 * CHOOSE(CONTROL!$C$32, $C$9, 100%, $E$9)</f>
        <v>12.8179</v>
      </c>
      <c r="N764" s="11">
        <f>12.8126 * CHOOSE(CONTROL!$C$32, $C$9, 100%, $E$9)</f>
        <v>12.8126</v>
      </c>
      <c r="O764" s="11">
        <f>12.8179 * CHOOSE(CONTROL!$C$32, $C$9, 100%, $E$9)</f>
        <v>12.8179</v>
      </c>
    </row>
    <row r="765" spans="1:15" ht="15" x14ac:dyDescent="0.2">
      <c r="A765" s="13">
        <v>64132</v>
      </c>
      <c r="B765" s="9">
        <f>11.2152 * CHOOSE(CONTROL!$C$32, $C$9, 100%, $E$9)</f>
        <v>11.215199999999999</v>
      </c>
      <c r="C765" s="9">
        <f>11.2152 * CHOOSE(CONTROL!$C$32, $C$9, 100%, $E$9)</f>
        <v>11.215199999999999</v>
      </c>
      <c r="D765" s="9">
        <f>11.2168 * CHOOSE(CONTROL!$C$32, $C$9, 100%, $E$9)</f>
        <v>11.216799999999999</v>
      </c>
      <c r="E765" s="11">
        <f>12.5083 * CHOOSE(CONTROL!$C$32, $C$9, 100%, $E$9)</f>
        <v>12.5083</v>
      </c>
      <c r="F765" s="11">
        <f>12.5083 * CHOOSE(CONTROL!$C$32, $C$9, 100%, $E$9)</f>
        <v>12.5083</v>
      </c>
      <c r="G765" s="11">
        <f>12.5136 * CHOOSE(CONTROL!$C$32, $C$9, 100%, $E$9)</f>
        <v>12.5136</v>
      </c>
      <c r="H765" s="11">
        <f>25.0988 * CHOOSE(CONTROL!$C$32, $C$9, 100%, $E$9)</f>
        <v>25.098800000000001</v>
      </c>
      <c r="I765" s="11">
        <f>25.1041 * CHOOSE(CONTROL!$C$32, $C$9, 100%, $E$9)</f>
        <v>25.104099999999999</v>
      </c>
      <c r="J765" s="11">
        <f>25.0988 * CHOOSE(CONTROL!$C$32, $C$9, 100%, $E$9)</f>
        <v>25.098800000000001</v>
      </c>
      <c r="K765" s="11">
        <f>25.1041 * CHOOSE(CONTROL!$C$32, $C$9, 100%, $E$9)</f>
        <v>25.104099999999999</v>
      </c>
      <c r="L765" s="11">
        <f>12.5083 * CHOOSE(CONTROL!$C$32, $C$9, 100%, $E$9)</f>
        <v>12.5083</v>
      </c>
      <c r="M765" s="11">
        <f>12.5136 * CHOOSE(CONTROL!$C$32, $C$9, 100%, $E$9)</f>
        <v>12.5136</v>
      </c>
      <c r="N765" s="11">
        <f>12.5083 * CHOOSE(CONTROL!$C$32, $C$9, 100%, $E$9)</f>
        <v>12.5083</v>
      </c>
      <c r="O765" s="11">
        <f>12.5136 * CHOOSE(CONTROL!$C$32, $C$9, 100%, $E$9)</f>
        <v>12.5136</v>
      </c>
    </row>
    <row r="766" spans="1:15" ht="15" x14ac:dyDescent="0.2">
      <c r="A766" s="13">
        <v>64163</v>
      </c>
      <c r="B766" s="9">
        <f>11.2122 * CHOOSE(CONTROL!$C$32, $C$9, 100%, $E$9)</f>
        <v>11.212199999999999</v>
      </c>
      <c r="C766" s="9">
        <f>11.2122 * CHOOSE(CONTROL!$C$32, $C$9, 100%, $E$9)</f>
        <v>11.212199999999999</v>
      </c>
      <c r="D766" s="9">
        <f>11.2137 * CHOOSE(CONTROL!$C$32, $C$9, 100%, $E$9)</f>
        <v>11.213699999999999</v>
      </c>
      <c r="E766" s="11">
        <f>12.4719 * CHOOSE(CONTROL!$C$32, $C$9, 100%, $E$9)</f>
        <v>12.4719</v>
      </c>
      <c r="F766" s="11">
        <f>12.4719 * CHOOSE(CONTROL!$C$32, $C$9, 100%, $E$9)</f>
        <v>12.4719</v>
      </c>
      <c r="G766" s="11">
        <f>12.4772 * CHOOSE(CONTROL!$C$32, $C$9, 100%, $E$9)</f>
        <v>12.4772</v>
      </c>
      <c r="H766" s="11">
        <f>25.1511 * CHOOSE(CONTROL!$C$32, $C$9, 100%, $E$9)</f>
        <v>25.1511</v>
      </c>
      <c r="I766" s="11">
        <f>25.1564 * CHOOSE(CONTROL!$C$32, $C$9, 100%, $E$9)</f>
        <v>25.156400000000001</v>
      </c>
      <c r="J766" s="11">
        <f>25.1511 * CHOOSE(CONTROL!$C$32, $C$9, 100%, $E$9)</f>
        <v>25.1511</v>
      </c>
      <c r="K766" s="11">
        <f>25.1564 * CHOOSE(CONTROL!$C$32, $C$9, 100%, $E$9)</f>
        <v>25.156400000000001</v>
      </c>
      <c r="L766" s="11">
        <f>12.4719 * CHOOSE(CONTROL!$C$32, $C$9, 100%, $E$9)</f>
        <v>12.4719</v>
      </c>
      <c r="M766" s="11">
        <f>12.4772 * CHOOSE(CONTROL!$C$32, $C$9, 100%, $E$9)</f>
        <v>12.4772</v>
      </c>
      <c r="N766" s="11">
        <f>12.4719 * CHOOSE(CONTROL!$C$32, $C$9, 100%, $E$9)</f>
        <v>12.4719</v>
      </c>
      <c r="O766" s="11">
        <f>12.4772 * CHOOSE(CONTROL!$C$32, $C$9, 100%, $E$9)</f>
        <v>12.4772</v>
      </c>
    </row>
    <row r="767" spans="1:15" ht="15" x14ac:dyDescent="0.2">
      <c r="A767" s="13">
        <v>64193</v>
      </c>
      <c r="B767" s="9">
        <f>11.2342 * CHOOSE(CONTROL!$C$32, $C$9, 100%, $E$9)</f>
        <v>11.2342</v>
      </c>
      <c r="C767" s="9">
        <f>11.2342 * CHOOSE(CONTROL!$C$32, $C$9, 100%, $E$9)</f>
        <v>11.2342</v>
      </c>
      <c r="D767" s="9">
        <f>11.2352 * CHOOSE(CONTROL!$C$32, $C$9, 100%, $E$9)</f>
        <v>11.235200000000001</v>
      </c>
      <c r="E767" s="11">
        <f>12.5958 * CHOOSE(CONTROL!$C$32, $C$9, 100%, $E$9)</f>
        <v>12.595800000000001</v>
      </c>
      <c r="F767" s="11">
        <f>12.5958 * CHOOSE(CONTROL!$C$32, $C$9, 100%, $E$9)</f>
        <v>12.595800000000001</v>
      </c>
      <c r="G767" s="11">
        <f>12.5994 * CHOOSE(CONTROL!$C$32, $C$9, 100%, $E$9)</f>
        <v>12.599399999999999</v>
      </c>
      <c r="H767" s="11">
        <f>25.2035 * CHOOSE(CONTROL!$C$32, $C$9, 100%, $E$9)</f>
        <v>25.203499999999998</v>
      </c>
      <c r="I767" s="11">
        <f>25.2071 * CHOOSE(CONTROL!$C$32, $C$9, 100%, $E$9)</f>
        <v>25.207100000000001</v>
      </c>
      <c r="J767" s="11">
        <f>25.2035 * CHOOSE(CONTROL!$C$32, $C$9, 100%, $E$9)</f>
        <v>25.203499999999998</v>
      </c>
      <c r="K767" s="11">
        <f>25.2071 * CHOOSE(CONTROL!$C$32, $C$9, 100%, $E$9)</f>
        <v>25.207100000000001</v>
      </c>
      <c r="L767" s="11">
        <f>12.5958 * CHOOSE(CONTROL!$C$32, $C$9, 100%, $E$9)</f>
        <v>12.595800000000001</v>
      </c>
      <c r="M767" s="11">
        <f>12.5994 * CHOOSE(CONTROL!$C$32, $C$9, 100%, $E$9)</f>
        <v>12.599399999999999</v>
      </c>
      <c r="N767" s="11">
        <f>12.5958 * CHOOSE(CONTROL!$C$32, $C$9, 100%, $E$9)</f>
        <v>12.595800000000001</v>
      </c>
      <c r="O767" s="11">
        <f>12.5994 * CHOOSE(CONTROL!$C$32, $C$9, 100%, $E$9)</f>
        <v>12.599399999999999</v>
      </c>
    </row>
    <row r="768" spans="1:15" ht="15" x14ac:dyDescent="0.2">
      <c r="A768" s="13">
        <v>64224</v>
      </c>
      <c r="B768" s="9">
        <f>11.2372 * CHOOSE(CONTROL!$C$32, $C$9, 100%, $E$9)</f>
        <v>11.2372</v>
      </c>
      <c r="C768" s="9">
        <f>11.2372 * CHOOSE(CONTROL!$C$32, $C$9, 100%, $E$9)</f>
        <v>11.2372</v>
      </c>
      <c r="D768" s="9">
        <f>11.2383 * CHOOSE(CONTROL!$C$32, $C$9, 100%, $E$9)</f>
        <v>11.238300000000001</v>
      </c>
      <c r="E768" s="11">
        <f>12.6665 * CHOOSE(CONTROL!$C$32, $C$9, 100%, $E$9)</f>
        <v>12.666499999999999</v>
      </c>
      <c r="F768" s="11">
        <f>12.6665 * CHOOSE(CONTROL!$C$32, $C$9, 100%, $E$9)</f>
        <v>12.666499999999999</v>
      </c>
      <c r="G768" s="11">
        <f>12.6701 * CHOOSE(CONTROL!$C$32, $C$9, 100%, $E$9)</f>
        <v>12.6701</v>
      </c>
      <c r="H768" s="11">
        <f>25.256 * CHOOSE(CONTROL!$C$32, $C$9, 100%, $E$9)</f>
        <v>25.256</v>
      </c>
      <c r="I768" s="11">
        <f>25.2596 * CHOOSE(CONTROL!$C$32, $C$9, 100%, $E$9)</f>
        <v>25.259599999999999</v>
      </c>
      <c r="J768" s="11">
        <f>25.256 * CHOOSE(CONTROL!$C$32, $C$9, 100%, $E$9)</f>
        <v>25.256</v>
      </c>
      <c r="K768" s="11">
        <f>25.2596 * CHOOSE(CONTROL!$C$32, $C$9, 100%, $E$9)</f>
        <v>25.259599999999999</v>
      </c>
      <c r="L768" s="11">
        <f>12.6665 * CHOOSE(CONTROL!$C$32, $C$9, 100%, $E$9)</f>
        <v>12.666499999999999</v>
      </c>
      <c r="M768" s="11">
        <f>12.6701 * CHOOSE(CONTROL!$C$32, $C$9, 100%, $E$9)</f>
        <v>12.6701</v>
      </c>
      <c r="N768" s="11">
        <f>12.6665 * CHOOSE(CONTROL!$C$32, $C$9, 100%, $E$9)</f>
        <v>12.666499999999999</v>
      </c>
      <c r="O768" s="11">
        <f>12.6701 * CHOOSE(CONTROL!$C$32, $C$9, 100%, $E$9)</f>
        <v>12.6701</v>
      </c>
    </row>
    <row r="769" spans="1:15" ht="15" x14ac:dyDescent="0.2">
      <c r="A769" s="13">
        <v>64254</v>
      </c>
      <c r="B769" s="9">
        <f>11.2372 * CHOOSE(CONTROL!$C$32, $C$9, 100%, $E$9)</f>
        <v>11.2372</v>
      </c>
      <c r="C769" s="9">
        <f>11.2372 * CHOOSE(CONTROL!$C$32, $C$9, 100%, $E$9)</f>
        <v>11.2372</v>
      </c>
      <c r="D769" s="9">
        <f>11.2383 * CHOOSE(CONTROL!$C$32, $C$9, 100%, $E$9)</f>
        <v>11.238300000000001</v>
      </c>
      <c r="E769" s="11">
        <f>12.4949 * CHOOSE(CONTROL!$C$32, $C$9, 100%, $E$9)</f>
        <v>12.494899999999999</v>
      </c>
      <c r="F769" s="11">
        <f>12.4949 * CHOOSE(CONTROL!$C$32, $C$9, 100%, $E$9)</f>
        <v>12.494899999999999</v>
      </c>
      <c r="G769" s="11">
        <f>12.4985 * CHOOSE(CONTROL!$C$32, $C$9, 100%, $E$9)</f>
        <v>12.4985</v>
      </c>
      <c r="H769" s="11">
        <f>25.3086 * CHOOSE(CONTROL!$C$32, $C$9, 100%, $E$9)</f>
        <v>25.308599999999998</v>
      </c>
      <c r="I769" s="11">
        <f>25.3123 * CHOOSE(CONTROL!$C$32, $C$9, 100%, $E$9)</f>
        <v>25.3123</v>
      </c>
      <c r="J769" s="11">
        <f>25.3086 * CHOOSE(CONTROL!$C$32, $C$9, 100%, $E$9)</f>
        <v>25.308599999999998</v>
      </c>
      <c r="K769" s="11">
        <f>25.3123 * CHOOSE(CONTROL!$C$32, $C$9, 100%, $E$9)</f>
        <v>25.3123</v>
      </c>
      <c r="L769" s="11">
        <f>12.4949 * CHOOSE(CONTROL!$C$32, $C$9, 100%, $E$9)</f>
        <v>12.494899999999999</v>
      </c>
      <c r="M769" s="11">
        <f>12.4985 * CHOOSE(CONTROL!$C$32, $C$9, 100%, $E$9)</f>
        <v>12.4985</v>
      </c>
      <c r="N769" s="11">
        <f>12.4949 * CHOOSE(CONTROL!$C$32, $C$9, 100%, $E$9)</f>
        <v>12.494899999999999</v>
      </c>
      <c r="O769" s="11">
        <f>12.4985 * CHOOSE(CONTROL!$C$32, $C$9, 100%, $E$9)</f>
        <v>12.4985</v>
      </c>
    </row>
    <row r="770" spans="1:15" ht="15" x14ac:dyDescent="0.2">
      <c r="A770" s="13">
        <v>64285</v>
      </c>
      <c r="B770" s="9">
        <f>11.2552 * CHOOSE(CONTROL!$C$32, $C$9, 100%, $E$9)</f>
        <v>11.2552</v>
      </c>
      <c r="C770" s="9">
        <f>11.2552 * CHOOSE(CONTROL!$C$32, $C$9, 100%, $E$9)</f>
        <v>11.2552</v>
      </c>
      <c r="D770" s="9">
        <f>11.2563 * CHOOSE(CONTROL!$C$32, $C$9, 100%, $E$9)</f>
        <v>11.2563</v>
      </c>
      <c r="E770" s="11">
        <f>12.6455 * CHOOSE(CONTROL!$C$32, $C$9, 100%, $E$9)</f>
        <v>12.6455</v>
      </c>
      <c r="F770" s="11">
        <f>12.6455 * CHOOSE(CONTROL!$C$32, $C$9, 100%, $E$9)</f>
        <v>12.6455</v>
      </c>
      <c r="G770" s="11">
        <f>12.6492 * CHOOSE(CONTROL!$C$32, $C$9, 100%, $E$9)</f>
        <v>12.6492</v>
      </c>
      <c r="H770" s="11">
        <f>25.1893 * CHOOSE(CONTROL!$C$32, $C$9, 100%, $E$9)</f>
        <v>25.189299999999999</v>
      </c>
      <c r="I770" s="11">
        <f>25.193 * CHOOSE(CONTROL!$C$32, $C$9, 100%, $E$9)</f>
        <v>25.193000000000001</v>
      </c>
      <c r="J770" s="11">
        <f>25.1893 * CHOOSE(CONTROL!$C$32, $C$9, 100%, $E$9)</f>
        <v>25.189299999999999</v>
      </c>
      <c r="K770" s="11">
        <f>25.193 * CHOOSE(CONTROL!$C$32, $C$9, 100%, $E$9)</f>
        <v>25.193000000000001</v>
      </c>
      <c r="L770" s="11">
        <f>12.6455 * CHOOSE(CONTROL!$C$32, $C$9, 100%, $E$9)</f>
        <v>12.6455</v>
      </c>
      <c r="M770" s="11">
        <f>12.6492 * CHOOSE(CONTROL!$C$32, $C$9, 100%, $E$9)</f>
        <v>12.6492</v>
      </c>
      <c r="N770" s="11">
        <f>12.6455 * CHOOSE(CONTROL!$C$32, $C$9, 100%, $E$9)</f>
        <v>12.6455</v>
      </c>
      <c r="O770" s="11">
        <f>12.6492 * CHOOSE(CONTROL!$C$32, $C$9, 100%, $E$9)</f>
        <v>12.6492</v>
      </c>
    </row>
    <row r="771" spans="1:15" ht="15" x14ac:dyDescent="0.2">
      <c r="A771" s="13">
        <v>64316</v>
      </c>
      <c r="B771" s="9">
        <f>11.2522 * CHOOSE(CONTROL!$C$32, $C$9, 100%, $E$9)</f>
        <v>11.2522</v>
      </c>
      <c r="C771" s="9">
        <f>11.2522 * CHOOSE(CONTROL!$C$32, $C$9, 100%, $E$9)</f>
        <v>11.2522</v>
      </c>
      <c r="D771" s="9">
        <f>11.2533 * CHOOSE(CONTROL!$C$32, $C$9, 100%, $E$9)</f>
        <v>11.253299999999999</v>
      </c>
      <c r="E771" s="11">
        <f>12.312 * CHOOSE(CONTROL!$C$32, $C$9, 100%, $E$9)</f>
        <v>12.311999999999999</v>
      </c>
      <c r="F771" s="11">
        <f>12.312 * CHOOSE(CONTROL!$C$32, $C$9, 100%, $E$9)</f>
        <v>12.311999999999999</v>
      </c>
      <c r="G771" s="11">
        <f>12.3156 * CHOOSE(CONTROL!$C$32, $C$9, 100%, $E$9)</f>
        <v>12.3156</v>
      </c>
      <c r="H771" s="11">
        <f>25.2418 * CHOOSE(CONTROL!$C$32, $C$9, 100%, $E$9)</f>
        <v>25.241800000000001</v>
      </c>
      <c r="I771" s="11">
        <f>25.2454 * CHOOSE(CONTROL!$C$32, $C$9, 100%, $E$9)</f>
        <v>25.2454</v>
      </c>
      <c r="J771" s="11">
        <f>25.2418 * CHOOSE(CONTROL!$C$32, $C$9, 100%, $E$9)</f>
        <v>25.241800000000001</v>
      </c>
      <c r="K771" s="11">
        <f>25.2454 * CHOOSE(CONTROL!$C$32, $C$9, 100%, $E$9)</f>
        <v>25.2454</v>
      </c>
      <c r="L771" s="11">
        <f>12.312 * CHOOSE(CONTROL!$C$32, $C$9, 100%, $E$9)</f>
        <v>12.311999999999999</v>
      </c>
      <c r="M771" s="11">
        <f>12.3156 * CHOOSE(CONTROL!$C$32, $C$9, 100%, $E$9)</f>
        <v>12.3156</v>
      </c>
      <c r="N771" s="11">
        <f>12.312 * CHOOSE(CONTROL!$C$32, $C$9, 100%, $E$9)</f>
        <v>12.311999999999999</v>
      </c>
      <c r="O771" s="11">
        <f>12.3156 * CHOOSE(CONTROL!$C$32, $C$9, 100%, $E$9)</f>
        <v>12.3156</v>
      </c>
    </row>
    <row r="772" spans="1:15" ht="15" x14ac:dyDescent="0.2">
      <c r="A772" s="13">
        <v>64345</v>
      </c>
      <c r="B772" s="9">
        <f>11.2491 * CHOOSE(CONTROL!$C$32, $C$9, 100%, $E$9)</f>
        <v>11.2491</v>
      </c>
      <c r="C772" s="9">
        <f>11.2491 * CHOOSE(CONTROL!$C$32, $C$9, 100%, $E$9)</f>
        <v>11.2491</v>
      </c>
      <c r="D772" s="9">
        <f>11.2502 * CHOOSE(CONTROL!$C$32, $C$9, 100%, $E$9)</f>
        <v>11.2502</v>
      </c>
      <c r="E772" s="11">
        <f>12.5712 * CHOOSE(CONTROL!$C$32, $C$9, 100%, $E$9)</f>
        <v>12.571199999999999</v>
      </c>
      <c r="F772" s="11">
        <f>12.5712 * CHOOSE(CONTROL!$C$32, $C$9, 100%, $E$9)</f>
        <v>12.571199999999999</v>
      </c>
      <c r="G772" s="11">
        <f>12.5748 * CHOOSE(CONTROL!$C$32, $C$9, 100%, $E$9)</f>
        <v>12.5748</v>
      </c>
      <c r="H772" s="11">
        <f>25.2944 * CHOOSE(CONTROL!$C$32, $C$9, 100%, $E$9)</f>
        <v>25.2944</v>
      </c>
      <c r="I772" s="11">
        <f>25.298 * CHOOSE(CONTROL!$C$32, $C$9, 100%, $E$9)</f>
        <v>25.297999999999998</v>
      </c>
      <c r="J772" s="11">
        <f>25.2944 * CHOOSE(CONTROL!$C$32, $C$9, 100%, $E$9)</f>
        <v>25.2944</v>
      </c>
      <c r="K772" s="11">
        <f>25.298 * CHOOSE(CONTROL!$C$32, $C$9, 100%, $E$9)</f>
        <v>25.297999999999998</v>
      </c>
      <c r="L772" s="11">
        <f>12.5712 * CHOOSE(CONTROL!$C$32, $C$9, 100%, $E$9)</f>
        <v>12.571199999999999</v>
      </c>
      <c r="M772" s="11">
        <f>12.5748 * CHOOSE(CONTROL!$C$32, $C$9, 100%, $E$9)</f>
        <v>12.5748</v>
      </c>
      <c r="N772" s="11">
        <f>12.5712 * CHOOSE(CONTROL!$C$32, $C$9, 100%, $E$9)</f>
        <v>12.571199999999999</v>
      </c>
      <c r="O772" s="11">
        <f>12.5748 * CHOOSE(CONTROL!$C$32, $C$9, 100%, $E$9)</f>
        <v>12.5748</v>
      </c>
    </row>
    <row r="773" spans="1:15" ht="15" x14ac:dyDescent="0.2">
      <c r="A773" s="13">
        <v>64376</v>
      </c>
      <c r="B773" s="9">
        <f>11.2538 * CHOOSE(CONTROL!$C$32, $C$9, 100%, $E$9)</f>
        <v>11.2538</v>
      </c>
      <c r="C773" s="9">
        <f>11.2538 * CHOOSE(CONTROL!$C$32, $C$9, 100%, $E$9)</f>
        <v>11.2538</v>
      </c>
      <c r="D773" s="9">
        <f>11.2549 * CHOOSE(CONTROL!$C$32, $C$9, 100%, $E$9)</f>
        <v>11.254899999999999</v>
      </c>
      <c r="E773" s="11">
        <f>12.8475 * CHOOSE(CONTROL!$C$32, $C$9, 100%, $E$9)</f>
        <v>12.8475</v>
      </c>
      <c r="F773" s="11">
        <f>12.8475 * CHOOSE(CONTROL!$C$32, $C$9, 100%, $E$9)</f>
        <v>12.8475</v>
      </c>
      <c r="G773" s="11">
        <f>12.8511 * CHOOSE(CONTROL!$C$32, $C$9, 100%, $E$9)</f>
        <v>12.851100000000001</v>
      </c>
      <c r="H773" s="11">
        <f>25.3471 * CHOOSE(CONTROL!$C$32, $C$9, 100%, $E$9)</f>
        <v>25.347100000000001</v>
      </c>
      <c r="I773" s="11">
        <f>25.3507 * CHOOSE(CONTROL!$C$32, $C$9, 100%, $E$9)</f>
        <v>25.3507</v>
      </c>
      <c r="J773" s="11">
        <f>25.3471 * CHOOSE(CONTROL!$C$32, $C$9, 100%, $E$9)</f>
        <v>25.347100000000001</v>
      </c>
      <c r="K773" s="11">
        <f>25.3507 * CHOOSE(CONTROL!$C$32, $C$9, 100%, $E$9)</f>
        <v>25.3507</v>
      </c>
      <c r="L773" s="11">
        <f>12.8475 * CHOOSE(CONTROL!$C$32, $C$9, 100%, $E$9)</f>
        <v>12.8475</v>
      </c>
      <c r="M773" s="11">
        <f>12.8511 * CHOOSE(CONTROL!$C$32, $C$9, 100%, $E$9)</f>
        <v>12.851100000000001</v>
      </c>
      <c r="N773" s="11">
        <f>12.8475 * CHOOSE(CONTROL!$C$32, $C$9, 100%, $E$9)</f>
        <v>12.8475</v>
      </c>
      <c r="O773" s="11">
        <f>12.8511 * CHOOSE(CONTROL!$C$32, $C$9, 100%, $E$9)</f>
        <v>12.851100000000001</v>
      </c>
    </row>
    <row r="774" spans="1:15" ht="15" x14ac:dyDescent="0.2">
      <c r="A774" s="13">
        <v>64406</v>
      </c>
      <c r="B774" s="9">
        <f>11.2538 * CHOOSE(CONTROL!$C$32, $C$9, 100%, $E$9)</f>
        <v>11.2538</v>
      </c>
      <c r="C774" s="9">
        <f>11.2538 * CHOOSE(CONTROL!$C$32, $C$9, 100%, $E$9)</f>
        <v>11.2538</v>
      </c>
      <c r="D774" s="9">
        <f>11.2554 * CHOOSE(CONTROL!$C$32, $C$9, 100%, $E$9)</f>
        <v>11.2554</v>
      </c>
      <c r="E774" s="11">
        <f>12.9527 * CHOOSE(CONTROL!$C$32, $C$9, 100%, $E$9)</f>
        <v>12.9527</v>
      </c>
      <c r="F774" s="11">
        <f>12.9527 * CHOOSE(CONTROL!$C$32, $C$9, 100%, $E$9)</f>
        <v>12.9527</v>
      </c>
      <c r="G774" s="11">
        <f>12.958 * CHOOSE(CONTROL!$C$32, $C$9, 100%, $E$9)</f>
        <v>12.958</v>
      </c>
      <c r="H774" s="11">
        <f>25.3999 * CHOOSE(CONTROL!$C$32, $C$9, 100%, $E$9)</f>
        <v>25.399899999999999</v>
      </c>
      <c r="I774" s="11">
        <f>25.4052 * CHOOSE(CONTROL!$C$32, $C$9, 100%, $E$9)</f>
        <v>25.405200000000001</v>
      </c>
      <c r="J774" s="11">
        <f>25.3999 * CHOOSE(CONTROL!$C$32, $C$9, 100%, $E$9)</f>
        <v>25.399899999999999</v>
      </c>
      <c r="K774" s="11">
        <f>25.4052 * CHOOSE(CONTROL!$C$32, $C$9, 100%, $E$9)</f>
        <v>25.405200000000001</v>
      </c>
      <c r="L774" s="11">
        <f>12.9527 * CHOOSE(CONTROL!$C$32, $C$9, 100%, $E$9)</f>
        <v>12.9527</v>
      </c>
      <c r="M774" s="11">
        <f>12.958 * CHOOSE(CONTROL!$C$32, $C$9, 100%, $E$9)</f>
        <v>12.958</v>
      </c>
      <c r="N774" s="11">
        <f>12.9527 * CHOOSE(CONTROL!$C$32, $C$9, 100%, $E$9)</f>
        <v>12.9527</v>
      </c>
      <c r="O774" s="11">
        <f>12.958 * CHOOSE(CONTROL!$C$32, $C$9, 100%, $E$9)</f>
        <v>12.958</v>
      </c>
    </row>
    <row r="775" spans="1:15" ht="15" x14ac:dyDescent="0.2">
      <c r="A775" s="13">
        <v>64437</v>
      </c>
      <c r="B775" s="9">
        <f>11.2599 * CHOOSE(CONTROL!$C$32, $C$9, 100%, $E$9)</f>
        <v>11.2599</v>
      </c>
      <c r="C775" s="9">
        <f>11.2599 * CHOOSE(CONTROL!$C$32, $C$9, 100%, $E$9)</f>
        <v>11.2599</v>
      </c>
      <c r="D775" s="9">
        <f>11.2615 * CHOOSE(CONTROL!$C$32, $C$9, 100%, $E$9)</f>
        <v>11.2615</v>
      </c>
      <c r="E775" s="11">
        <f>12.8518 * CHOOSE(CONTROL!$C$32, $C$9, 100%, $E$9)</f>
        <v>12.851800000000001</v>
      </c>
      <c r="F775" s="11">
        <f>12.8518 * CHOOSE(CONTROL!$C$32, $C$9, 100%, $E$9)</f>
        <v>12.851800000000001</v>
      </c>
      <c r="G775" s="11">
        <f>12.857 * CHOOSE(CONTROL!$C$32, $C$9, 100%, $E$9)</f>
        <v>12.856999999999999</v>
      </c>
      <c r="H775" s="11">
        <f>25.4528 * CHOOSE(CONTROL!$C$32, $C$9, 100%, $E$9)</f>
        <v>25.4528</v>
      </c>
      <c r="I775" s="11">
        <f>25.4581 * CHOOSE(CONTROL!$C$32, $C$9, 100%, $E$9)</f>
        <v>25.458100000000002</v>
      </c>
      <c r="J775" s="11">
        <f>25.4528 * CHOOSE(CONTROL!$C$32, $C$9, 100%, $E$9)</f>
        <v>25.4528</v>
      </c>
      <c r="K775" s="11">
        <f>25.4581 * CHOOSE(CONTROL!$C$32, $C$9, 100%, $E$9)</f>
        <v>25.458100000000002</v>
      </c>
      <c r="L775" s="11">
        <f>12.8518 * CHOOSE(CONTROL!$C$32, $C$9, 100%, $E$9)</f>
        <v>12.851800000000001</v>
      </c>
      <c r="M775" s="11">
        <f>12.857 * CHOOSE(CONTROL!$C$32, $C$9, 100%, $E$9)</f>
        <v>12.856999999999999</v>
      </c>
      <c r="N775" s="11">
        <f>12.8518 * CHOOSE(CONTROL!$C$32, $C$9, 100%, $E$9)</f>
        <v>12.851800000000001</v>
      </c>
      <c r="O775" s="11">
        <f>12.857 * CHOOSE(CONTROL!$C$32, $C$9, 100%, $E$9)</f>
        <v>12.856999999999999</v>
      </c>
    </row>
    <row r="776" spans="1:15" ht="15" x14ac:dyDescent="0.2">
      <c r="A776" s="13">
        <v>64467</v>
      </c>
      <c r="B776" s="9">
        <f>11.3981 * CHOOSE(CONTROL!$C$32, $C$9, 100%, $E$9)</f>
        <v>11.398099999999999</v>
      </c>
      <c r="C776" s="9">
        <f>11.3981 * CHOOSE(CONTROL!$C$32, $C$9, 100%, $E$9)</f>
        <v>11.398099999999999</v>
      </c>
      <c r="D776" s="9">
        <f>11.3997 * CHOOSE(CONTROL!$C$32, $C$9, 100%, $E$9)</f>
        <v>11.399699999999999</v>
      </c>
      <c r="E776" s="11">
        <f>13.0328 * CHOOSE(CONTROL!$C$32, $C$9, 100%, $E$9)</f>
        <v>13.0328</v>
      </c>
      <c r="F776" s="11">
        <f>13.0328 * CHOOSE(CONTROL!$C$32, $C$9, 100%, $E$9)</f>
        <v>13.0328</v>
      </c>
      <c r="G776" s="11">
        <f>13.0381 * CHOOSE(CONTROL!$C$32, $C$9, 100%, $E$9)</f>
        <v>13.0381</v>
      </c>
      <c r="H776" s="11">
        <f>25.5059 * CHOOSE(CONTROL!$C$32, $C$9, 100%, $E$9)</f>
        <v>25.5059</v>
      </c>
      <c r="I776" s="11">
        <f>25.5112 * CHOOSE(CONTROL!$C$32, $C$9, 100%, $E$9)</f>
        <v>25.511199999999999</v>
      </c>
      <c r="J776" s="11">
        <f>25.5059 * CHOOSE(CONTROL!$C$32, $C$9, 100%, $E$9)</f>
        <v>25.5059</v>
      </c>
      <c r="K776" s="11">
        <f>25.5112 * CHOOSE(CONTROL!$C$32, $C$9, 100%, $E$9)</f>
        <v>25.511199999999999</v>
      </c>
      <c r="L776" s="11">
        <f>13.0328 * CHOOSE(CONTROL!$C$32, $C$9, 100%, $E$9)</f>
        <v>13.0328</v>
      </c>
      <c r="M776" s="11">
        <f>13.0381 * CHOOSE(CONTROL!$C$32, $C$9, 100%, $E$9)</f>
        <v>13.0381</v>
      </c>
      <c r="N776" s="11">
        <f>13.0328 * CHOOSE(CONTROL!$C$32, $C$9, 100%, $E$9)</f>
        <v>13.0328</v>
      </c>
      <c r="O776" s="11">
        <f>13.0381 * CHOOSE(CONTROL!$C$32, $C$9, 100%, $E$9)</f>
        <v>13.0381</v>
      </c>
    </row>
    <row r="777" spans="1:15" ht="15" x14ac:dyDescent="0.2">
      <c r="A777" s="13">
        <v>64498</v>
      </c>
      <c r="B777" s="9">
        <f>11.4048 * CHOOSE(CONTROL!$C$32, $C$9, 100%, $E$9)</f>
        <v>11.4048</v>
      </c>
      <c r="C777" s="9">
        <f>11.4048 * CHOOSE(CONTROL!$C$32, $C$9, 100%, $E$9)</f>
        <v>11.4048</v>
      </c>
      <c r="D777" s="9">
        <f>11.4064 * CHOOSE(CONTROL!$C$32, $C$9, 100%, $E$9)</f>
        <v>11.4064</v>
      </c>
      <c r="E777" s="11">
        <f>12.7218 * CHOOSE(CONTROL!$C$32, $C$9, 100%, $E$9)</f>
        <v>12.7218</v>
      </c>
      <c r="F777" s="11">
        <f>12.7218 * CHOOSE(CONTROL!$C$32, $C$9, 100%, $E$9)</f>
        <v>12.7218</v>
      </c>
      <c r="G777" s="11">
        <f>12.727 * CHOOSE(CONTROL!$C$32, $C$9, 100%, $E$9)</f>
        <v>12.727</v>
      </c>
      <c r="H777" s="11">
        <f>25.559 * CHOOSE(CONTROL!$C$32, $C$9, 100%, $E$9)</f>
        <v>25.559000000000001</v>
      </c>
      <c r="I777" s="11">
        <f>25.5643 * CHOOSE(CONTROL!$C$32, $C$9, 100%, $E$9)</f>
        <v>25.564299999999999</v>
      </c>
      <c r="J777" s="11">
        <f>25.559 * CHOOSE(CONTROL!$C$32, $C$9, 100%, $E$9)</f>
        <v>25.559000000000001</v>
      </c>
      <c r="K777" s="11">
        <f>25.5643 * CHOOSE(CONTROL!$C$32, $C$9, 100%, $E$9)</f>
        <v>25.564299999999999</v>
      </c>
      <c r="L777" s="11">
        <f>12.7218 * CHOOSE(CONTROL!$C$32, $C$9, 100%, $E$9)</f>
        <v>12.7218</v>
      </c>
      <c r="M777" s="11">
        <f>12.727 * CHOOSE(CONTROL!$C$32, $C$9, 100%, $E$9)</f>
        <v>12.727</v>
      </c>
      <c r="N777" s="11">
        <f>12.7218 * CHOOSE(CONTROL!$C$32, $C$9, 100%, $E$9)</f>
        <v>12.7218</v>
      </c>
      <c r="O777" s="11">
        <f>12.727 * CHOOSE(CONTROL!$C$32, $C$9, 100%, $E$9)</f>
        <v>12.727</v>
      </c>
    </row>
    <row r="778" spans="1:15" ht="15" x14ac:dyDescent="0.2">
      <c r="A778" s="13">
        <v>64529</v>
      </c>
      <c r="B778" s="9">
        <f>11.4018 * CHOOSE(CONTROL!$C$32, $C$9, 100%, $E$9)</f>
        <v>11.4018</v>
      </c>
      <c r="C778" s="9">
        <f>11.4018 * CHOOSE(CONTROL!$C$32, $C$9, 100%, $E$9)</f>
        <v>11.4018</v>
      </c>
      <c r="D778" s="9">
        <f>11.4033 * CHOOSE(CONTROL!$C$32, $C$9, 100%, $E$9)</f>
        <v>11.4033</v>
      </c>
      <c r="E778" s="11">
        <f>12.6846 * CHOOSE(CONTROL!$C$32, $C$9, 100%, $E$9)</f>
        <v>12.6846</v>
      </c>
      <c r="F778" s="11">
        <f>12.6846 * CHOOSE(CONTROL!$C$32, $C$9, 100%, $E$9)</f>
        <v>12.6846</v>
      </c>
      <c r="G778" s="11">
        <f>12.6899 * CHOOSE(CONTROL!$C$32, $C$9, 100%, $E$9)</f>
        <v>12.6899</v>
      </c>
      <c r="H778" s="11">
        <f>25.6122 * CHOOSE(CONTROL!$C$32, $C$9, 100%, $E$9)</f>
        <v>25.612200000000001</v>
      </c>
      <c r="I778" s="11">
        <f>25.6175 * CHOOSE(CONTROL!$C$32, $C$9, 100%, $E$9)</f>
        <v>25.6175</v>
      </c>
      <c r="J778" s="11">
        <f>25.6122 * CHOOSE(CONTROL!$C$32, $C$9, 100%, $E$9)</f>
        <v>25.612200000000001</v>
      </c>
      <c r="K778" s="11">
        <f>25.6175 * CHOOSE(CONTROL!$C$32, $C$9, 100%, $E$9)</f>
        <v>25.6175</v>
      </c>
      <c r="L778" s="11">
        <f>12.6846 * CHOOSE(CONTROL!$C$32, $C$9, 100%, $E$9)</f>
        <v>12.6846</v>
      </c>
      <c r="M778" s="11">
        <f>12.6899 * CHOOSE(CONTROL!$C$32, $C$9, 100%, $E$9)</f>
        <v>12.6899</v>
      </c>
      <c r="N778" s="11">
        <f>12.6846 * CHOOSE(CONTROL!$C$32, $C$9, 100%, $E$9)</f>
        <v>12.6846</v>
      </c>
      <c r="O778" s="11">
        <f>12.6899 * CHOOSE(CONTROL!$C$32, $C$9, 100%, $E$9)</f>
        <v>12.6899</v>
      </c>
    </row>
    <row r="779" spans="1:15" ht="15" x14ac:dyDescent="0.2">
      <c r="A779" s="13">
        <v>64559</v>
      </c>
      <c r="B779" s="9">
        <f>11.4245 * CHOOSE(CONTROL!$C$32, $C$9, 100%, $E$9)</f>
        <v>11.4245</v>
      </c>
      <c r="C779" s="9">
        <f>11.4245 * CHOOSE(CONTROL!$C$32, $C$9, 100%, $E$9)</f>
        <v>11.4245</v>
      </c>
      <c r="D779" s="9">
        <f>11.4255 * CHOOSE(CONTROL!$C$32, $C$9, 100%, $E$9)</f>
        <v>11.4255</v>
      </c>
      <c r="E779" s="11">
        <f>12.8114 * CHOOSE(CONTROL!$C$32, $C$9, 100%, $E$9)</f>
        <v>12.811400000000001</v>
      </c>
      <c r="F779" s="11">
        <f>12.8114 * CHOOSE(CONTROL!$C$32, $C$9, 100%, $E$9)</f>
        <v>12.811400000000001</v>
      </c>
      <c r="G779" s="11">
        <f>12.8151 * CHOOSE(CONTROL!$C$32, $C$9, 100%, $E$9)</f>
        <v>12.815099999999999</v>
      </c>
      <c r="H779" s="11">
        <f>25.6656 * CHOOSE(CONTROL!$C$32, $C$9, 100%, $E$9)</f>
        <v>25.665600000000001</v>
      </c>
      <c r="I779" s="11">
        <f>25.6692 * CHOOSE(CONTROL!$C$32, $C$9, 100%, $E$9)</f>
        <v>25.6692</v>
      </c>
      <c r="J779" s="11">
        <f>25.6656 * CHOOSE(CONTROL!$C$32, $C$9, 100%, $E$9)</f>
        <v>25.665600000000001</v>
      </c>
      <c r="K779" s="11">
        <f>25.6692 * CHOOSE(CONTROL!$C$32, $C$9, 100%, $E$9)</f>
        <v>25.6692</v>
      </c>
      <c r="L779" s="11">
        <f>12.8114 * CHOOSE(CONTROL!$C$32, $C$9, 100%, $E$9)</f>
        <v>12.811400000000001</v>
      </c>
      <c r="M779" s="11">
        <f>12.8151 * CHOOSE(CONTROL!$C$32, $C$9, 100%, $E$9)</f>
        <v>12.815099999999999</v>
      </c>
      <c r="N779" s="11">
        <f>12.8114 * CHOOSE(CONTROL!$C$32, $C$9, 100%, $E$9)</f>
        <v>12.811400000000001</v>
      </c>
      <c r="O779" s="11">
        <f>12.8151 * CHOOSE(CONTROL!$C$32, $C$9, 100%, $E$9)</f>
        <v>12.815099999999999</v>
      </c>
    </row>
    <row r="780" spans="1:15" ht="15" x14ac:dyDescent="0.2">
      <c r="A780" s="13">
        <v>64590</v>
      </c>
      <c r="B780" s="9">
        <f>11.4275 * CHOOSE(CONTROL!$C$32, $C$9, 100%, $E$9)</f>
        <v>11.4275</v>
      </c>
      <c r="C780" s="9">
        <f>11.4275 * CHOOSE(CONTROL!$C$32, $C$9, 100%, $E$9)</f>
        <v>11.4275</v>
      </c>
      <c r="D780" s="9">
        <f>11.4286 * CHOOSE(CONTROL!$C$32, $C$9, 100%, $E$9)</f>
        <v>11.428599999999999</v>
      </c>
      <c r="E780" s="11">
        <f>12.8837 * CHOOSE(CONTROL!$C$32, $C$9, 100%, $E$9)</f>
        <v>12.883699999999999</v>
      </c>
      <c r="F780" s="11">
        <f>12.8837 * CHOOSE(CONTROL!$C$32, $C$9, 100%, $E$9)</f>
        <v>12.883699999999999</v>
      </c>
      <c r="G780" s="11">
        <f>12.8873 * CHOOSE(CONTROL!$C$32, $C$9, 100%, $E$9)</f>
        <v>12.8873</v>
      </c>
      <c r="H780" s="11">
        <f>25.7191 * CHOOSE(CONTROL!$C$32, $C$9, 100%, $E$9)</f>
        <v>25.719100000000001</v>
      </c>
      <c r="I780" s="11">
        <f>25.7227 * CHOOSE(CONTROL!$C$32, $C$9, 100%, $E$9)</f>
        <v>25.7227</v>
      </c>
      <c r="J780" s="11">
        <f>25.7191 * CHOOSE(CONTROL!$C$32, $C$9, 100%, $E$9)</f>
        <v>25.719100000000001</v>
      </c>
      <c r="K780" s="11">
        <f>25.7227 * CHOOSE(CONTROL!$C$32, $C$9, 100%, $E$9)</f>
        <v>25.7227</v>
      </c>
      <c r="L780" s="11">
        <f>12.8837 * CHOOSE(CONTROL!$C$32, $C$9, 100%, $E$9)</f>
        <v>12.883699999999999</v>
      </c>
      <c r="M780" s="11">
        <f>12.8873 * CHOOSE(CONTROL!$C$32, $C$9, 100%, $E$9)</f>
        <v>12.8873</v>
      </c>
      <c r="N780" s="11">
        <f>12.8837 * CHOOSE(CONTROL!$C$32, $C$9, 100%, $E$9)</f>
        <v>12.883699999999999</v>
      </c>
      <c r="O780" s="11">
        <f>12.8873 * CHOOSE(CONTROL!$C$32, $C$9, 100%, $E$9)</f>
        <v>12.8873</v>
      </c>
    </row>
    <row r="781" spans="1:15" ht="15" x14ac:dyDescent="0.2">
      <c r="A781" s="13">
        <v>64620</v>
      </c>
      <c r="B781" s="9">
        <f>11.4275 * CHOOSE(CONTROL!$C$32, $C$9, 100%, $E$9)</f>
        <v>11.4275</v>
      </c>
      <c r="C781" s="9">
        <f>11.4275 * CHOOSE(CONTROL!$C$32, $C$9, 100%, $E$9)</f>
        <v>11.4275</v>
      </c>
      <c r="D781" s="9">
        <f>11.4286 * CHOOSE(CONTROL!$C$32, $C$9, 100%, $E$9)</f>
        <v>11.428599999999999</v>
      </c>
      <c r="E781" s="11">
        <f>12.7083 * CHOOSE(CONTROL!$C$32, $C$9, 100%, $E$9)</f>
        <v>12.708299999999999</v>
      </c>
      <c r="F781" s="11">
        <f>12.7083 * CHOOSE(CONTROL!$C$32, $C$9, 100%, $E$9)</f>
        <v>12.708299999999999</v>
      </c>
      <c r="G781" s="11">
        <f>12.712 * CHOOSE(CONTROL!$C$32, $C$9, 100%, $E$9)</f>
        <v>12.712</v>
      </c>
      <c r="H781" s="11">
        <f>25.7727 * CHOOSE(CONTROL!$C$32, $C$9, 100%, $E$9)</f>
        <v>25.7727</v>
      </c>
      <c r="I781" s="11">
        <f>25.7763 * CHOOSE(CONTROL!$C$32, $C$9, 100%, $E$9)</f>
        <v>25.776299999999999</v>
      </c>
      <c r="J781" s="11">
        <f>25.7727 * CHOOSE(CONTROL!$C$32, $C$9, 100%, $E$9)</f>
        <v>25.7727</v>
      </c>
      <c r="K781" s="11">
        <f>25.7763 * CHOOSE(CONTROL!$C$32, $C$9, 100%, $E$9)</f>
        <v>25.776299999999999</v>
      </c>
      <c r="L781" s="11">
        <f>12.7083 * CHOOSE(CONTROL!$C$32, $C$9, 100%, $E$9)</f>
        <v>12.708299999999999</v>
      </c>
      <c r="M781" s="11">
        <f>12.712 * CHOOSE(CONTROL!$C$32, $C$9, 100%, $E$9)</f>
        <v>12.712</v>
      </c>
      <c r="N781" s="11">
        <f>12.7083 * CHOOSE(CONTROL!$C$32, $C$9, 100%, $E$9)</f>
        <v>12.708299999999999</v>
      </c>
      <c r="O781" s="11">
        <f>12.712 * CHOOSE(CONTROL!$C$32, $C$9, 100%, $E$9)</f>
        <v>12.712</v>
      </c>
    </row>
    <row r="782" spans="1:15" ht="15" x14ac:dyDescent="0.2">
      <c r="A782" s="13">
        <v>64651</v>
      </c>
      <c r="B782" s="9">
        <f>11.4426 * CHOOSE(CONTROL!$C$32, $C$9, 100%, $E$9)</f>
        <v>11.442600000000001</v>
      </c>
      <c r="C782" s="9">
        <f>11.4426 * CHOOSE(CONTROL!$C$32, $C$9, 100%, $E$9)</f>
        <v>11.442600000000001</v>
      </c>
      <c r="D782" s="9">
        <f>11.4436 * CHOOSE(CONTROL!$C$32, $C$9, 100%, $E$9)</f>
        <v>11.4436</v>
      </c>
      <c r="E782" s="11">
        <f>12.858 * CHOOSE(CONTROL!$C$32, $C$9, 100%, $E$9)</f>
        <v>12.858000000000001</v>
      </c>
      <c r="F782" s="11">
        <f>12.858 * CHOOSE(CONTROL!$C$32, $C$9, 100%, $E$9)</f>
        <v>12.858000000000001</v>
      </c>
      <c r="G782" s="11">
        <f>12.8617 * CHOOSE(CONTROL!$C$32, $C$9, 100%, $E$9)</f>
        <v>12.861700000000001</v>
      </c>
      <c r="H782" s="11">
        <f>25.6429 * CHOOSE(CONTROL!$C$32, $C$9, 100%, $E$9)</f>
        <v>25.642900000000001</v>
      </c>
      <c r="I782" s="11">
        <f>25.6465 * CHOOSE(CONTROL!$C$32, $C$9, 100%, $E$9)</f>
        <v>25.6465</v>
      </c>
      <c r="J782" s="11">
        <f>25.6429 * CHOOSE(CONTROL!$C$32, $C$9, 100%, $E$9)</f>
        <v>25.642900000000001</v>
      </c>
      <c r="K782" s="11">
        <f>25.6465 * CHOOSE(CONTROL!$C$32, $C$9, 100%, $E$9)</f>
        <v>25.6465</v>
      </c>
      <c r="L782" s="11">
        <f>12.858 * CHOOSE(CONTROL!$C$32, $C$9, 100%, $E$9)</f>
        <v>12.858000000000001</v>
      </c>
      <c r="M782" s="11">
        <f>12.8617 * CHOOSE(CONTROL!$C$32, $C$9, 100%, $E$9)</f>
        <v>12.861700000000001</v>
      </c>
      <c r="N782" s="11">
        <f>12.858 * CHOOSE(CONTROL!$C$32, $C$9, 100%, $E$9)</f>
        <v>12.858000000000001</v>
      </c>
      <c r="O782" s="11">
        <f>12.8617 * CHOOSE(CONTROL!$C$32, $C$9, 100%, $E$9)</f>
        <v>12.861700000000001</v>
      </c>
    </row>
    <row r="783" spans="1:15" ht="15" x14ac:dyDescent="0.2">
      <c r="A783" s="13">
        <v>64682</v>
      </c>
      <c r="B783" s="9">
        <f>11.4395 * CHOOSE(CONTROL!$C$32, $C$9, 100%, $E$9)</f>
        <v>11.439500000000001</v>
      </c>
      <c r="C783" s="9">
        <f>11.4395 * CHOOSE(CONTROL!$C$32, $C$9, 100%, $E$9)</f>
        <v>11.439500000000001</v>
      </c>
      <c r="D783" s="9">
        <f>11.4406 * CHOOSE(CONTROL!$C$32, $C$9, 100%, $E$9)</f>
        <v>11.4406</v>
      </c>
      <c r="E783" s="11">
        <f>12.5174 * CHOOSE(CONTROL!$C$32, $C$9, 100%, $E$9)</f>
        <v>12.5174</v>
      </c>
      <c r="F783" s="11">
        <f>12.5174 * CHOOSE(CONTROL!$C$32, $C$9, 100%, $E$9)</f>
        <v>12.5174</v>
      </c>
      <c r="G783" s="11">
        <f>12.521 * CHOOSE(CONTROL!$C$32, $C$9, 100%, $E$9)</f>
        <v>12.521000000000001</v>
      </c>
      <c r="H783" s="11">
        <f>25.6963 * CHOOSE(CONTROL!$C$32, $C$9, 100%, $E$9)</f>
        <v>25.696300000000001</v>
      </c>
      <c r="I783" s="11">
        <f>25.6999 * CHOOSE(CONTROL!$C$32, $C$9, 100%, $E$9)</f>
        <v>25.6999</v>
      </c>
      <c r="J783" s="11">
        <f>25.6963 * CHOOSE(CONTROL!$C$32, $C$9, 100%, $E$9)</f>
        <v>25.696300000000001</v>
      </c>
      <c r="K783" s="11">
        <f>25.6999 * CHOOSE(CONTROL!$C$32, $C$9, 100%, $E$9)</f>
        <v>25.6999</v>
      </c>
      <c r="L783" s="11">
        <f>12.5174 * CHOOSE(CONTROL!$C$32, $C$9, 100%, $E$9)</f>
        <v>12.5174</v>
      </c>
      <c r="M783" s="11">
        <f>12.521 * CHOOSE(CONTROL!$C$32, $C$9, 100%, $E$9)</f>
        <v>12.521000000000001</v>
      </c>
      <c r="N783" s="11">
        <f>12.5174 * CHOOSE(CONTROL!$C$32, $C$9, 100%, $E$9)</f>
        <v>12.5174</v>
      </c>
      <c r="O783" s="11">
        <f>12.521 * CHOOSE(CONTROL!$C$32, $C$9, 100%, $E$9)</f>
        <v>12.521000000000001</v>
      </c>
    </row>
    <row r="784" spans="1:15" ht="15" x14ac:dyDescent="0.2">
      <c r="A784" s="13">
        <v>64710</v>
      </c>
      <c r="B784" s="9">
        <f>11.4365 * CHOOSE(CONTROL!$C$32, $C$9, 100%, $E$9)</f>
        <v>11.436500000000001</v>
      </c>
      <c r="C784" s="9">
        <f>11.4365 * CHOOSE(CONTROL!$C$32, $C$9, 100%, $E$9)</f>
        <v>11.436500000000001</v>
      </c>
      <c r="D784" s="9">
        <f>11.4376 * CHOOSE(CONTROL!$C$32, $C$9, 100%, $E$9)</f>
        <v>11.4376</v>
      </c>
      <c r="E784" s="11">
        <f>12.7822 * CHOOSE(CONTROL!$C$32, $C$9, 100%, $E$9)</f>
        <v>12.7822</v>
      </c>
      <c r="F784" s="11">
        <f>12.7822 * CHOOSE(CONTROL!$C$32, $C$9, 100%, $E$9)</f>
        <v>12.7822</v>
      </c>
      <c r="G784" s="11">
        <f>12.7858 * CHOOSE(CONTROL!$C$32, $C$9, 100%, $E$9)</f>
        <v>12.7858</v>
      </c>
      <c r="H784" s="11">
        <f>25.7498 * CHOOSE(CONTROL!$C$32, $C$9, 100%, $E$9)</f>
        <v>25.7498</v>
      </c>
      <c r="I784" s="11">
        <f>25.7534 * CHOOSE(CONTROL!$C$32, $C$9, 100%, $E$9)</f>
        <v>25.753399999999999</v>
      </c>
      <c r="J784" s="11">
        <f>25.7498 * CHOOSE(CONTROL!$C$32, $C$9, 100%, $E$9)</f>
        <v>25.7498</v>
      </c>
      <c r="K784" s="11">
        <f>25.7534 * CHOOSE(CONTROL!$C$32, $C$9, 100%, $E$9)</f>
        <v>25.753399999999999</v>
      </c>
      <c r="L784" s="11">
        <f>12.7822 * CHOOSE(CONTROL!$C$32, $C$9, 100%, $E$9)</f>
        <v>12.7822</v>
      </c>
      <c r="M784" s="11">
        <f>12.7858 * CHOOSE(CONTROL!$C$32, $C$9, 100%, $E$9)</f>
        <v>12.7858</v>
      </c>
      <c r="N784" s="11">
        <f>12.7822 * CHOOSE(CONTROL!$C$32, $C$9, 100%, $E$9)</f>
        <v>12.7822</v>
      </c>
      <c r="O784" s="11">
        <f>12.7858 * CHOOSE(CONTROL!$C$32, $C$9, 100%, $E$9)</f>
        <v>12.7858</v>
      </c>
    </row>
    <row r="785" spans="1:15" ht="15" x14ac:dyDescent="0.2">
      <c r="A785" s="13">
        <v>64741</v>
      </c>
      <c r="B785" s="9">
        <f>11.4414 * CHOOSE(CONTROL!$C$32, $C$9, 100%, $E$9)</f>
        <v>11.4414</v>
      </c>
      <c r="C785" s="9">
        <f>11.4414 * CHOOSE(CONTROL!$C$32, $C$9, 100%, $E$9)</f>
        <v>11.4414</v>
      </c>
      <c r="D785" s="9">
        <f>11.4424 * CHOOSE(CONTROL!$C$32, $C$9, 100%, $E$9)</f>
        <v>11.442399999999999</v>
      </c>
      <c r="E785" s="11">
        <f>13.0645 * CHOOSE(CONTROL!$C$32, $C$9, 100%, $E$9)</f>
        <v>13.064500000000001</v>
      </c>
      <c r="F785" s="11">
        <f>13.0645 * CHOOSE(CONTROL!$C$32, $C$9, 100%, $E$9)</f>
        <v>13.064500000000001</v>
      </c>
      <c r="G785" s="11">
        <f>13.0681 * CHOOSE(CONTROL!$C$32, $C$9, 100%, $E$9)</f>
        <v>13.068099999999999</v>
      </c>
      <c r="H785" s="11">
        <f>25.8035 * CHOOSE(CONTROL!$C$32, $C$9, 100%, $E$9)</f>
        <v>25.8035</v>
      </c>
      <c r="I785" s="11">
        <f>25.8071 * CHOOSE(CONTROL!$C$32, $C$9, 100%, $E$9)</f>
        <v>25.807099999999998</v>
      </c>
      <c r="J785" s="11">
        <f>25.8035 * CHOOSE(CONTROL!$C$32, $C$9, 100%, $E$9)</f>
        <v>25.8035</v>
      </c>
      <c r="K785" s="11">
        <f>25.8071 * CHOOSE(CONTROL!$C$32, $C$9, 100%, $E$9)</f>
        <v>25.807099999999998</v>
      </c>
      <c r="L785" s="11">
        <f>13.0645 * CHOOSE(CONTROL!$C$32, $C$9, 100%, $E$9)</f>
        <v>13.064500000000001</v>
      </c>
      <c r="M785" s="11">
        <f>13.0681 * CHOOSE(CONTROL!$C$32, $C$9, 100%, $E$9)</f>
        <v>13.068099999999999</v>
      </c>
      <c r="N785" s="11">
        <f>13.0645 * CHOOSE(CONTROL!$C$32, $C$9, 100%, $E$9)</f>
        <v>13.064500000000001</v>
      </c>
      <c r="O785" s="11">
        <f>13.0681 * CHOOSE(CONTROL!$C$32, $C$9, 100%, $E$9)</f>
        <v>13.068099999999999</v>
      </c>
    </row>
    <row r="786" spans="1:15" ht="15" x14ac:dyDescent="0.2">
      <c r="A786" s="13">
        <v>64771</v>
      </c>
      <c r="B786" s="9">
        <f>11.4414 * CHOOSE(CONTROL!$C$32, $C$9, 100%, $E$9)</f>
        <v>11.4414</v>
      </c>
      <c r="C786" s="9">
        <f>11.4414 * CHOOSE(CONTROL!$C$32, $C$9, 100%, $E$9)</f>
        <v>11.4414</v>
      </c>
      <c r="D786" s="9">
        <f>11.4429 * CHOOSE(CONTROL!$C$32, $C$9, 100%, $E$9)</f>
        <v>11.4429</v>
      </c>
      <c r="E786" s="11">
        <f>13.172 * CHOOSE(CONTROL!$C$32, $C$9, 100%, $E$9)</f>
        <v>13.172000000000001</v>
      </c>
      <c r="F786" s="11">
        <f>13.172 * CHOOSE(CONTROL!$C$32, $C$9, 100%, $E$9)</f>
        <v>13.172000000000001</v>
      </c>
      <c r="G786" s="11">
        <f>13.1773 * CHOOSE(CONTROL!$C$32, $C$9, 100%, $E$9)</f>
        <v>13.177300000000001</v>
      </c>
      <c r="H786" s="11">
        <f>25.8572 * CHOOSE(CONTROL!$C$32, $C$9, 100%, $E$9)</f>
        <v>25.857199999999999</v>
      </c>
      <c r="I786" s="11">
        <f>25.8625 * CHOOSE(CONTROL!$C$32, $C$9, 100%, $E$9)</f>
        <v>25.862500000000001</v>
      </c>
      <c r="J786" s="11">
        <f>25.8572 * CHOOSE(CONTROL!$C$32, $C$9, 100%, $E$9)</f>
        <v>25.857199999999999</v>
      </c>
      <c r="K786" s="11">
        <f>25.8625 * CHOOSE(CONTROL!$C$32, $C$9, 100%, $E$9)</f>
        <v>25.862500000000001</v>
      </c>
      <c r="L786" s="11">
        <f>13.172 * CHOOSE(CONTROL!$C$32, $C$9, 100%, $E$9)</f>
        <v>13.172000000000001</v>
      </c>
      <c r="M786" s="11">
        <f>13.1773 * CHOOSE(CONTROL!$C$32, $C$9, 100%, $E$9)</f>
        <v>13.177300000000001</v>
      </c>
      <c r="N786" s="11">
        <f>13.172 * CHOOSE(CONTROL!$C$32, $C$9, 100%, $E$9)</f>
        <v>13.172000000000001</v>
      </c>
      <c r="O786" s="11">
        <f>13.1773 * CHOOSE(CONTROL!$C$32, $C$9, 100%, $E$9)</f>
        <v>13.177300000000001</v>
      </c>
    </row>
    <row r="787" spans="1:15" ht="15" x14ac:dyDescent="0.2">
      <c r="A787" s="13">
        <v>64802</v>
      </c>
      <c r="B787" s="9">
        <f>11.4474 * CHOOSE(CONTROL!$C$32, $C$9, 100%, $E$9)</f>
        <v>11.4474</v>
      </c>
      <c r="C787" s="9">
        <f>11.4474 * CHOOSE(CONTROL!$C$32, $C$9, 100%, $E$9)</f>
        <v>11.4474</v>
      </c>
      <c r="D787" s="9">
        <f>11.449 * CHOOSE(CONTROL!$C$32, $C$9, 100%, $E$9)</f>
        <v>11.449</v>
      </c>
      <c r="E787" s="11">
        <f>13.0688 * CHOOSE(CONTROL!$C$32, $C$9, 100%, $E$9)</f>
        <v>13.0688</v>
      </c>
      <c r="F787" s="11">
        <f>13.0688 * CHOOSE(CONTROL!$C$32, $C$9, 100%, $E$9)</f>
        <v>13.0688</v>
      </c>
      <c r="G787" s="11">
        <f>13.074 * CHOOSE(CONTROL!$C$32, $C$9, 100%, $E$9)</f>
        <v>13.074</v>
      </c>
      <c r="H787" s="11">
        <f>25.9111 * CHOOSE(CONTROL!$C$32, $C$9, 100%, $E$9)</f>
        <v>25.911100000000001</v>
      </c>
      <c r="I787" s="11">
        <f>25.9164 * CHOOSE(CONTROL!$C$32, $C$9, 100%, $E$9)</f>
        <v>25.916399999999999</v>
      </c>
      <c r="J787" s="11">
        <f>25.9111 * CHOOSE(CONTROL!$C$32, $C$9, 100%, $E$9)</f>
        <v>25.911100000000001</v>
      </c>
      <c r="K787" s="11">
        <f>25.9164 * CHOOSE(CONTROL!$C$32, $C$9, 100%, $E$9)</f>
        <v>25.916399999999999</v>
      </c>
      <c r="L787" s="11">
        <f>13.0688 * CHOOSE(CONTROL!$C$32, $C$9, 100%, $E$9)</f>
        <v>13.0688</v>
      </c>
      <c r="M787" s="11">
        <f>13.074 * CHOOSE(CONTROL!$C$32, $C$9, 100%, $E$9)</f>
        <v>13.074</v>
      </c>
      <c r="N787" s="11">
        <f>13.0688 * CHOOSE(CONTROL!$C$32, $C$9, 100%, $E$9)</f>
        <v>13.0688</v>
      </c>
      <c r="O787" s="11">
        <f>13.074 * CHOOSE(CONTROL!$C$32, $C$9, 100%, $E$9)</f>
        <v>13.074</v>
      </c>
    </row>
    <row r="788" spans="1:15" ht="15" x14ac:dyDescent="0.2">
      <c r="A788" s="13">
        <v>64832</v>
      </c>
      <c r="B788" s="9">
        <f>11.5877 * CHOOSE(CONTROL!$C$32, $C$9, 100%, $E$9)</f>
        <v>11.5877</v>
      </c>
      <c r="C788" s="9">
        <f>11.5877 * CHOOSE(CONTROL!$C$32, $C$9, 100%, $E$9)</f>
        <v>11.5877</v>
      </c>
      <c r="D788" s="9">
        <f>11.5893 * CHOOSE(CONTROL!$C$32, $C$9, 100%, $E$9)</f>
        <v>11.5893</v>
      </c>
      <c r="E788" s="11">
        <f>13.2529 * CHOOSE(CONTROL!$C$32, $C$9, 100%, $E$9)</f>
        <v>13.2529</v>
      </c>
      <c r="F788" s="11">
        <f>13.2529 * CHOOSE(CONTROL!$C$32, $C$9, 100%, $E$9)</f>
        <v>13.2529</v>
      </c>
      <c r="G788" s="11">
        <f>13.2582 * CHOOSE(CONTROL!$C$32, $C$9, 100%, $E$9)</f>
        <v>13.2582</v>
      </c>
      <c r="H788" s="11">
        <f>25.9651 * CHOOSE(CONTROL!$C$32, $C$9, 100%, $E$9)</f>
        <v>25.9651</v>
      </c>
      <c r="I788" s="11">
        <f>25.9704 * CHOOSE(CONTROL!$C$32, $C$9, 100%, $E$9)</f>
        <v>25.970400000000001</v>
      </c>
      <c r="J788" s="11">
        <f>25.9651 * CHOOSE(CONTROL!$C$32, $C$9, 100%, $E$9)</f>
        <v>25.9651</v>
      </c>
      <c r="K788" s="11">
        <f>25.9704 * CHOOSE(CONTROL!$C$32, $C$9, 100%, $E$9)</f>
        <v>25.970400000000001</v>
      </c>
      <c r="L788" s="11">
        <f>13.2529 * CHOOSE(CONTROL!$C$32, $C$9, 100%, $E$9)</f>
        <v>13.2529</v>
      </c>
      <c r="M788" s="11">
        <f>13.2582 * CHOOSE(CONTROL!$C$32, $C$9, 100%, $E$9)</f>
        <v>13.2582</v>
      </c>
      <c r="N788" s="11">
        <f>13.2529 * CHOOSE(CONTROL!$C$32, $C$9, 100%, $E$9)</f>
        <v>13.2529</v>
      </c>
      <c r="O788" s="11">
        <f>13.2582 * CHOOSE(CONTROL!$C$32, $C$9, 100%, $E$9)</f>
        <v>13.2582</v>
      </c>
    </row>
    <row r="789" spans="1:15" ht="15" x14ac:dyDescent="0.2">
      <c r="A789" s="13">
        <v>64863</v>
      </c>
      <c r="B789" s="9">
        <f>11.5944 * CHOOSE(CONTROL!$C$32, $C$9, 100%, $E$9)</f>
        <v>11.5944</v>
      </c>
      <c r="C789" s="9">
        <f>11.5944 * CHOOSE(CONTROL!$C$32, $C$9, 100%, $E$9)</f>
        <v>11.5944</v>
      </c>
      <c r="D789" s="9">
        <f>11.596 * CHOOSE(CONTROL!$C$32, $C$9, 100%, $E$9)</f>
        <v>11.596</v>
      </c>
      <c r="E789" s="11">
        <f>12.9352 * CHOOSE(CONTROL!$C$32, $C$9, 100%, $E$9)</f>
        <v>12.9352</v>
      </c>
      <c r="F789" s="11">
        <f>12.9352 * CHOOSE(CONTROL!$C$32, $C$9, 100%, $E$9)</f>
        <v>12.9352</v>
      </c>
      <c r="G789" s="11">
        <f>12.9405 * CHOOSE(CONTROL!$C$32, $C$9, 100%, $E$9)</f>
        <v>12.9405</v>
      </c>
      <c r="H789" s="11">
        <f>26.0192 * CHOOSE(CONTROL!$C$32, $C$9, 100%, $E$9)</f>
        <v>26.019200000000001</v>
      </c>
      <c r="I789" s="11">
        <f>26.0245 * CHOOSE(CONTROL!$C$32, $C$9, 100%, $E$9)</f>
        <v>26.0245</v>
      </c>
      <c r="J789" s="11">
        <f>26.0192 * CHOOSE(CONTROL!$C$32, $C$9, 100%, $E$9)</f>
        <v>26.019200000000001</v>
      </c>
      <c r="K789" s="11">
        <f>26.0245 * CHOOSE(CONTROL!$C$32, $C$9, 100%, $E$9)</f>
        <v>26.0245</v>
      </c>
      <c r="L789" s="11">
        <f>12.9352 * CHOOSE(CONTROL!$C$32, $C$9, 100%, $E$9)</f>
        <v>12.9352</v>
      </c>
      <c r="M789" s="11">
        <f>12.9405 * CHOOSE(CONTROL!$C$32, $C$9, 100%, $E$9)</f>
        <v>12.9405</v>
      </c>
      <c r="N789" s="11">
        <f>12.9352 * CHOOSE(CONTROL!$C$32, $C$9, 100%, $E$9)</f>
        <v>12.9352</v>
      </c>
      <c r="O789" s="11">
        <f>12.9405 * CHOOSE(CONTROL!$C$32, $C$9, 100%, $E$9)</f>
        <v>12.9405</v>
      </c>
    </row>
    <row r="790" spans="1:15" ht="15" x14ac:dyDescent="0.2">
      <c r="A790" s="13">
        <v>64894</v>
      </c>
      <c r="B790" s="9">
        <f>11.5913 * CHOOSE(CONTROL!$C$32, $C$9, 100%, $E$9)</f>
        <v>11.5913</v>
      </c>
      <c r="C790" s="9">
        <f>11.5913 * CHOOSE(CONTROL!$C$32, $C$9, 100%, $E$9)</f>
        <v>11.5913</v>
      </c>
      <c r="D790" s="9">
        <f>11.5929 * CHOOSE(CONTROL!$C$32, $C$9, 100%, $E$9)</f>
        <v>11.5929</v>
      </c>
      <c r="E790" s="11">
        <f>12.8972 * CHOOSE(CONTROL!$C$32, $C$9, 100%, $E$9)</f>
        <v>12.8972</v>
      </c>
      <c r="F790" s="11">
        <f>12.8972 * CHOOSE(CONTROL!$C$32, $C$9, 100%, $E$9)</f>
        <v>12.8972</v>
      </c>
      <c r="G790" s="11">
        <f>12.9025 * CHOOSE(CONTROL!$C$32, $C$9, 100%, $E$9)</f>
        <v>12.9025</v>
      </c>
      <c r="H790" s="11">
        <f>26.0734 * CHOOSE(CONTROL!$C$32, $C$9, 100%, $E$9)</f>
        <v>26.073399999999999</v>
      </c>
      <c r="I790" s="11">
        <f>26.0787 * CHOOSE(CONTROL!$C$32, $C$9, 100%, $E$9)</f>
        <v>26.078700000000001</v>
      </c>
      <c r="J790" s="11">
        <f>26.0734 * CHOOSE(CONTROL!$C$32, $C$9, 100%, $E$9)</f>
        <v>26.073399999999999</v>
      </c>
      <c r="K790" s="11">
        <f>26.0787 * CHOOSE(CONTROL!$C$32, $C$9, 100%, $E$9)</f>
        <v>26.078700000000001</v>
      </c>
      <c r="L790" s="11">
        <f>12.8972 * CHOOSE(CONTROL!$C$32, $C$9, 100%, $E$9)</f>
        <v>12.8972</v>
      </c>
      <c r="M790" s="11">
        <f>12.9025 * CHOOSE(CONTROL!$C$32, $C$9, 100%, $E$9)</f>
        <v>12.9025</v>
      </c>
      <c r="N790" s="11">
        <f>12.8972 * CHOOSE(CONTROL!$C$32, $C$9, 100%, $E$9)</f>
        <v>12.8972</v>
      </c>
      <c r="O790" s="11">
        <f>12.9025 * CHOOSE(CONTROL!$C$32, $C$9, 100%, $E$9)</f>
        <v>12.9025</v>
      </c>
    </row>
    <row r="791" spans="1:15" ht="15" x14ac:dyDescent="0.2">
      <c r="A791" s="13">
        <v>64924</v>
      </c>
      <c r="B791" s="9">
        <f>11.6148 * CHOOSE(CONTROL!$C$32, $C$9, 100%, $E$9)</f>
        <v>11.614800000000001</v>
      </c>
      <c r="C791" s="9">
        <f>11.6148 * CHOOSE(CONTROL!$C$32, $C$9, 100%, $E$9)</f>
        <v>11.614800000000001</v>
      </c>
      <c r="D791" s="9">
        <f>11.6158 * CHOOSE(CONTROL!$C$32, $C$9, 100%, $E$9)</f>
        <v>11.6158</v>
      </c>
      <c r="E791" s="11">
        <f>13.0271 * CHOOSE(CONTROL!$C$32, $C$9, 100%, $E$9)</f>
        <v>13.027100000000001</v>
      </c>
      <c r="F791" s="11">
        <f>13.0271 * CHOOSE(CONTROL!$C$32, $C$9, 100%, $E$9)</f>
        <v>13.027100000000001</v>
      </c>
      <c r="G791" s="11">
        <f>13.0307 * CHOOSE(CONTROL!$C$32, $C$9, 100%, $E$9)</f>
        <v>13.0307</v>
      </c>
      <c r="H791" s="11">
        <f>26.1277 * CHOOSE(CONTROL!$C$32, $C$9, 100%, $E$9)</f>
        <v>26.127700000000001</v>
      </c>
      <c r="I791" s="11">
        <f>26.1313 * CHOOSE(CONTROL!$C$32, $C$9, 100%, $E$9)</f>
        <v>26.1313</v>
      </c>
      <c r="J791" s="11">
        <f>26.1277 * CHOOSE(CONTROL!$C$32, $C$9, 100%, $E$9)</f>
        <v>26.127700000000001</v>
      </c>
      <c r="K791" s="11">
        <f>26.1313 * CHOOSE(CONTROL!$C$32, $C$9, 100%, $E$9)</f>
        <v>26.1313</v>
      </c>
      <c r="L791" s="11">
        <f>13.0271 * CHOOSE(CONTROL!$C$32, $C$9, 100%, $E$9)</f>
        <v>13.027100000000001</v>
      </c>
      <c r="M791" s="11">
        <f>13.0307 * CHOOSE(CONTROL!$C$32, $C$9, 100%, $E$9)</f>
        <v>13.0307</v>
      </c>
      <c r="N791" s="11">
        <f>13.0271 * CHOOSE(CONTROL!$C$32, $C$9, 100%, $E$9)</f>
        <v>13.027100000000001</v>
      </c>
      <c r="O791" s="11">
        <f>13.0307 * CHOOSE(CONTROL!$C$32, $C$9, 100%, $E$9)</f>
        <v>13.0307</v>
      </c>
    </row>
    <row r="792" spans="1:15" ht="15" x14ac:dyDescent="0.2">
      <c r="A792" s="13">
        <v>64955</v>
      </c>
      <c r="B792" s="9">
        <f>11.6178 * CHOOSE(CONTROL!$C$32, $C$9, 100%, $E$9)</f>
        <v>11.617800000000001</v>
      </c>
      <c r="C792" s="9">
        <f>11.6178 * CHOOSE(CONTROL!$C$32, $C$9, 100%, $E$9)</f>
        <v>11.617800000000001</v>
      </c>
      <c r="D792" s="9">
        <f>11.6189 * CHOOSE(CONTROL!$C$32, $C$9, 100%, $E$9)</f>
        <v>11.6189</v>
      </c>
      <c r="E792" s="11">
        <f>13.1009 * CHOOSE(CONTROL!$C$32, $C$9, 100%, $E$9)</f>
        <v>13.100899999999999</v>
      </c>
      <c r="F792" s="11">
        <f>13.1009 * CHOOSE(CONTROL!$C$32, $C$9, 100%, $E$9)</f>
        <v>13.100899999999999</v>
      </c>
      <c r="G792" s="11">
        <f>13.1045 * CHOOSE(CONTROL!$C$32, $C$9, 100%, $E$9)</f>
        <v>13.1045</v>
      </c>
      <c r="H792" s="11">
        <f>26.1821 * CHOOSE(CONTROL!$C$32, $C$9, 100%, $E$9)</f>
        <v>26.182099999999998</v>
      </c>
      <c r="I792" s="11">
        <f>26.1857 * CHOOSE(CONTROL!$C$32, $C$9, 100%, $E$9)</f>
        <v>26.185700000000001</v>
      </c>
      <c r="J792" s="11">
        <f>26.1821 * CHOOSE(CONTROL!$C$32, $C$9, 100%, $E$9)</f>
        <v>26.182099999999998</v>
      </c>
      <c r="K792" s="11">
        <f>26.1857 * CHOOSE(CONTROL!$C$32, $C$9, 100%, $E$9)</f>
        <v>26.185700000000001</v>
      </c>
      <c r="L792" s="11">
        <f>13.1009 * CHOOSE(CONTROL!$C$32, $C$9, 100%, $E$9)</f>
        <v>13.100899999999999</v>
      </c>
      <c r="M792" s="11">
        <f>13.1045 * CHOOSE(CONTROL!$C$32, $C$9, 100%, $E$9)</f>
        <v>13.1045</v>
      </c>
      <c r="N792" s="11">
        <f>13.1009 * CHOOSE(CONTROL!$C$32, $C$9, 100%, $E$9)</f>
        <v>13.100899999999999</v>
      </c>
      <c r="O792" s="11">
        <f>13.1045 * CHOOSE(CONTROL!$C$32, $C$9, 100%, $E$9)</f>
        <v>13.1045</v>
      </c>
    </row>
    <row r="793" spans="1:15" ht="15" x14ac:dyDescent="0.2">
      <c r="A793" s="13">
        <v>64985</v>
      </c>
      <c r="B793" s="9">
        <f>11.6178 * CHOOSE(CONTROL!$C$32, $C$9, 100%, $E$9)</f>
        <v>11.617800000000001</v>
      </c>
      <c r="C793" s="9">
        <f>11.6178 * CHOOSE(CONTROL!$C$32, $C$9, 100%, $E$9)</f>
        <v>11.617800000000001</v>
      </c>
      <c r="D793" s="9">
        <f>11.6189 * CHOOSE(CONTROL!$C$32, $C$9, 100%, $E$9)</f>
        <v>11.6189</v>
      </c>
      <c r="E793" s="11">
        <f>12.9218 * CHOOSE(CONTROL!$C$32, $C$9, 100%, $E$9)</f>
        <v>12.921799999999999</v>
      </c>
      <c r="F793" s="11">
        <f>12.9218 * CHOOSE(CONTROL!$C$32, $C$9, 100%, $E$9)</f>
        <v>12.921799999999999</v>
      </c>
      <c r="G793" s="11">
        <f>12.9254 * CHOOSE(CONTROL!$C$32, $C$9, 100%, $E$9)</f>
        <v>12.9254</v>
      </c>
      <c r="H793" s="11">
        <f>26.2367 * CHOOSE(CONTROL!$C$32, $C$9, 100%, $E$9)</f>
        <v>26.236699999999999</v>
      </c>
      <c r="I793" s="11">
        <f>26.2403 * CHOOSE(CONTROL!$C$32, $C$9, 100%, $E$9)</f>
        <v>26.240300000000001</v>
      </c>
      <c r="J793" s="11">
        <f>26.2367 * CHOOSE(CONTROL!$C$32, $C$9, 100%, $E$9)</f>
        <v>26.236699999999999</v>
      </c>
      <c r="K793" s="11">
        <f>26.2403 * CHOOSE(CONTROL!$C$32, $C$9, 100%, $E$9)</f>
        <v>26.240300000000001</v>
      </c>
      <c r="L793" s="11">
        <f>12.9218 * CHOOSE(CONTROL!$C$32, $C$9, 100%, $E$9)</f>
        <v>12.921799999999999</v>
      </c>
      <c r="M793" s="11">
        <f>12.9254 * CHOOSE(CONTROL!$C$32, $C$9, 100%, $E$9)</f>
        <v>12.9254</v>
      </c>
      <c r="N793" s="11">
        <f>12.9218 * CHOOSE(CONTROL!$C$32, $C$9, 100%, $E$9)</f>
        <v>12.921799999999999</v>
      </c>
      <c r="O793" s="11">
        <f>12.9254 * CHOOSE(CONTROL!$C$32, $C$9, 100%, $E$9)</f>
        <v>12.9254</v>
      </c>
    </row>
    <row r="794" spans="1:15" ht="15" x14ac:dyDescent="0.2">
      <c r="A794" s="13">
        <v>65016</v>
      </c>
      <c r="B794" s="9">
        <f>11.6299 * CHOOSE(CONTROL!$C$32, $C$9, 100%, $E$9)</f>
        <v>11.629899999999999</v>
      </c>
      <c r="C794" s="9">
        <f>11.6299 * CHOOSE(CONTROL!$C$32, $C$9, 100%, $E$9)</f>
        <v>11.629899999999999</v>
      </c>
      <c r="D794" s="9">
        <f>11.631 * CHOOSE(CONTROL!$C$32, $C$9, 100%, $E$9)</f>
        <v>11.631</v>
      </c>
      <c r="E794" s="11">
        <f>13.0706 * CHOOSE(CONTROL!$C$32, $C$9, 100%, $E$9)</f>
        <v>13.070600000000001</v>
      </c>
      <c r="F794" s="11">
        <f>13.0706 * CHOOSE(CONTROL!$C$32, $C$9, 100%, $E$9)</f>
        <v>13.070600000000001</v>
      </c>
      <c r="G794" s="11">
        <f>13.0742 * CHOOSE(CONTROL!$C$32, $C$9, 100%, $E$9)</f>
        <v>13.074199999999999</v>
      </c>
      <c r="H794" s="11">
        <f>26.0964 * CHOOSE(CONTROL!$C$32, $C$9, 100%, $E$9)</f>
        <v>26.096399999999999</v>
      </c>
      <c r="I794" s="11">
        <f>26.1 * CHOOSE(CONTROL!$C$32, $C$9, 100%, $E$9)</f>
        <v>26.1</v>
      </c>
      <c r="J794" s="11">
        <f>26.0964 * CHOOSE(CONTROL!$C$32, $C$9, 100%, $E$9)</f>
        <v>26.096399999999999</v>
      </c>
      <c r="K794" s="11">
        <f>26.1 * CHOOSE(CONTROL!$C$32, $C$9, 100%, $E$9)</f>
        <v>26.1</v>
      </c>
      <c r="L794" s="11">
        <f>13.0706 * CHOOSE(CONTROL!$C$32, $C$9, 100%, $E$9)</f>
        <v>13.070600000000001</v>
      </c>
      <c r="M794" s="11">
        <f>13.0742 * CHOOSE(CONTROL!$C$32, $C$9, 100%, $E$9)</f>
        <v>13.074199999999999</v>
      </c>
      <c r="N794" s="11">
        <f>13.0706 * CHOOSE(CONTROL!$C$32, $C$9, 100%, $E$9)</f>
        <v>13.070600000000001</v>
      </c>
      <c r="O794" s="11">
        <f>13.0742 * CHOOSE(CONTROL!$C$32, $C$9, 100%, $E$9)</f>
        <v>13.074199999999999</v>
      </c>
    </row>
    <row r="795" spans="1:15" ht="15" x14ac:dyDescent="0.2">
      <c r="A795" s="13">
        <v>65047</v>
      </c>
      <c r="B795" s="9">
        <f>11.6269 * CHOOSE(CONTROL!$C$32, $C$9, 100%, $E$9)</f>
        <v>11.626899999999999</v>
      </c>
      <c r="C795" s="9">
        <f>11.6269 * CHOOSE(CONTROL!$C$32, $C$9, 100%, $E$9)</f>
        <v>11.626899999999999</v>
      </c>
      <c r="D795" s="9">
        <f>11.628 * CHOOSE(CONTROL!$C$32, $C$9, 100%, $E$9)</f>
        <v>11.628</v>
      </c>
      <c r="E795" s="11">
        <f>12.7228 * CHOOSE(CONTROL!$C$32, $C$9, 100%, $E$9)</f>
        <v>12.722799999999999</v>
      </c>
      <c r="F795" s="11">
        <f>12.7228 * CHOOSE(CONTROL!$C$32, $C$9, 100%, $E$9)</f>
        <v>12.722799999999999</v>
      </c>
      <c r="G795" s="11">
        <f>12.7265 * CHOOSE(CONTROL!$C$32, $C$9, 100%, $E$9)</f>
        <v>12.7265</v>
      </c>
      <c r="H795" s="11">
        <f>26.1507 * CHOOSE(CONTROL!$C$32, $C$9, 100%, $E$9)</f>
        <v>26.150700000000001</v>
      </c>
      <c r="I795" s="11">
        <f>26.1543 * CHOOSE(CONTROL!$C$32, $C$9, 100%, $E$9)</f>
        <v>26.154299999999999</v>
      </c>
      <c r="J795" s="11">
        <f>26.1507 * CHOOSE(CONTROL!$C$32, $C$9, 100%, $E$9)</f>
        <v>26.150700000000001</v>
      </c>
      <c r="K795" s="11">
        <f>26.1543 * CHOOSE(CONTROL!$C$32, $C$9, 100%, $E$9)</f>
        <v>26.154299999999999</v>
      </c>
      <c r="L795" s="11">
        <f>12.7228 * CHOOSE(CONTROL!$C$32, $C$9, 100%, $E$9)</f>
        <v>12.722799999999999</v>
      </c>
      <c r="M795" s="11">
        <f>12.7265 * CHOOSE(CONTROL!$C$32, $C$9, 100%, $E$9)</f>
        <v>12.7265</v>
      </c>
      <c r="N795" s="11">
        <f>12.7228 * CHOOSE(CONTROL!$C$32, $C$9, 100%, $E$9)</f>
        <v>12.722799999999999</v>
      </c>
      <c r="O795" s="11">
        <f>12.7265 * CHOOSE(CONTROL!$C$32, $C$9, 100%, $E$9)</f>
        <v>12.7265</v>
      </c>
    </row>
    <row r="796" spans="1:15" ht="15" x14ac:dyDescent="0.2">
      <c r="A796" s="13">
        <v>65075</v>
      </c>
      <c r="B796" s="9">
        <f>11.6239 * CHOOSE(CONTROL!$C$32, $C$9, 100%, $E$9)</f>
        <v>11.623900000000001</v>
      </c>
      <c r="C796" s="9">
        <f>11.6239 * CHOOSE(CONTROL!$C$32, $C$9, 100%, $E$9)</f>
        <v>11.623900000000001</v>
      </c>
      <c r="D796" s="9">
        <f>11.6249 * CHOOSE(CONTROL!$C$32, $C$9, 100%, $E$9)</f>
        <v>11.6249</v>
      </c>
      <c r="E796" s="11">
        <f>12.9932 * CHOOSE(CONTROL!$C$32, $C$9, 100%, $E$9)</f>
        <v>12.9932</v>
      </c>
      <c r="F796" s="11">
        <f>12.9932 * CHOOSE(CONTROL!$C$32, $C$9, 100%, $E$9)</f>
        <v>12.9932</v>
      </c>
      <c r="G796" s="11">
        <f>12.9968 * CHOOSE(CONTROL!$C$32, $C$9, 100%, $E$9)</f>
        <v>12.9968</v>
      </c>
      <c r="H796" s="11">
        <f>26.2052 * CHOOSE(CONTROL!$C$32, $C$9, 100%, $E$9)</f>
        <v>26.205200000000001</v>
      </c>
      <c r="I796" s="11">
        <f>26.2088 * CHOOSE(CONTROL!$C$32, $C$9, 100%, $E$9)</f>
        <v>26.2088</v>
      </c>
      <c r="J796" s="11">
        <f>26.2052 * CHOOSE(CONTROL!$C$32, $C$9, 100%, $E$9)</f>
        <v>26.205200000000001</v>
      </c>
      <c r="K796" s="11">
        <f>26.2088 * CHOOSE(CONTROL!$C$32, $C$9, 100%, $E$9)</f>
        <v>26.2088</v>
      </c>
      <c r="L796" s="11">
        <f>12.9932 * CHOOSE(CONTROL!$C$32, $C$9, 100%, $E$9)</f>
        <v>12.9932</v>
      </c>
      <c r="M796" s="11">
        <f>12.9968 * CHOOSE(CONTROL!$C$32, $C$9, 100%, $E$9)</f>
        <v>12.9968</v>
      </c>
      <c r="N796" s="11">
        <f>12.9932 * CHOOSE(CONTROL!$C$32, $C$9, 100%, $E$9)</f>
        <v>12.9932</v>
      </c>
      <c r="O796" s="11">
        <f>12.9968 * CHOOSE(CONTROL!$C$32, $C$9, 100%, $E$9)</f>
        <v>12.9968</v>
      </c>
    </row>
    <row r="797" spans="1:15" ht="15" x14ac:dyDescent="0.2">
      <c r="A797" s="13">
        <v>65106</v>
      </c>
      <c r="B797" s="9">
        <f>11.6289 * CHOOSE(CONTROL!$C$32, $C$9, 100%, $E$9)</f>
        <v>11.6289</v>
      </c>
      <c r="C797" s="9">
        <f>11.6289 * CHOOSE(CONTROL!$C$32, $C$9, 100%, $E$9)</f>
        <v>11.6289</v>
      </c>
      <c r="D797" s="9">
        <f>11.63 * CHOOSE(CONTROL!$C$32, $C$9, 100%, $E$9)</f>
        <v>11.63</v>
      </c>
      <c r="E797" s="11">
        <f>13.2815 * CHOOSE(CONTROL!$C$32, $C$9, 100%, $E$9)</f>
        <v>13.281499999999999</v>
      </c>
      <c r="F797" s="11">
        <f>13.2815 * CHOOSE(CONTROL!$C$32, $C$9, 100%, $E$9)</f>
        <v>13.281499999999999</v>
      </c>
      <c r="G797" s="11">
        <f>13.2851 * CHOOSE(CONTROL!$C$32, $C$9, 100%, $E$9)</f>
        <v>13.2851</v>
      </c>
      <c r="H797" s="11">
        <f>26.2598 * CHOOSE(CONTROL!$C$32, $C$9, 100%, $E$9)</f>
        <v>26.259799999999998</v>
      </c>
      <c r="I797" s="11">
        <f>26.2634 * CHOOSE(CONTROL!$C$32, $C$9, 100%, $E$9)</f>
        <v>26.263400000000001</v>
      </c>
      <c r="J797" s="11">
        <f>26.2598 * CHOOSE(CONTROL!$C$32, $C$9, 100%, $E$9)</f>
        <v>26.259799999999998</v>
      </c>
      <c r="K797" s="11">
        <f>26.2634 * CHOOSE(CONTROL!$C$32, $C$9, 100%, $E$9)</f>
        <v>26.263400000000001</v>
      </c>
      <c r="L797" s="11">
        <f>13.2815 * CHOOSE(CONTROL!$C$32, $C$9, 100%, $E$9)</f>
        <v>13.281499999999999</v>
      </c>
      <c r="M797" s="11">
        <f>13.2851 * CHOOSE(CONTROL!$C$32, $C$9, 100%, $E$9)</f>
        <v>13.2851</v>
      </c>
      <c r="N797" s="11">
        <f>13.2815 * CHOOSE(CONTROL!$C$32, $C$9, 100%, $E$9)</f>
        <v>13.281499999999999</v>
      </c>
      <c r="O797" s="11">
        <f>13.2851 * CHOOSE(CONTROL!$C$32, $C$9, 100%, $E$9)</f>
        <v>13.2851</v>
      </c>
    </row>
    <row r="798" spans="1:15" ht="15" x14ac:dyDescent="0.2">
      <c r="A798" s="13">
        <v>65136</v>
      </c>
      <c r="B798" s="9">
        <f>11.6289 * CHOOSE(CONTROL!$C$32, $C$9, 100%, $E$9)</f>
        <v>11.6289</v>
      </c>
      <c r="C798" s="9">
        <f>11.6289 * CHOOSE(CONTROL!$C$32, $C$9, 100%, $E$9)</f>
        <v>11.6289</v>
      </c>
      <c r="D798" s="9">
        <f>11.6305 * CHOOSE(CONTROL!$C$32, $C$9, 100%, $E$9)</f>
        <v>11.6305</v>
      </c>
      <c r="E798" s="11">
        <f>13.3912 * CHOOSE(CONTROL!$C$32, $C$9, 100%, $E$9)</f>
        <v>13.3912</v>
      </c>
      <c r="F798" s="11">
        <f>13.3912 * CHOOSE(CONTROL!$C$32, $C$9, 100%, $E$9)</f>
        <v>13.3912</v>
      </c>
      <c r="G798" s="11">
        <f>13.3965 * CHOOSE(CONTROL!$C$32, $C$9, 100%, $E$9)</f>
        <v>13.3965</v>
      </c>
      <c r="H798" s="11">
        <f>26.3145 * CHOOSE(CONTROL!$C$32, $C$9, 100%, $E$9)</f>
        <v>26.314499999999999</v>
      </c>
      <c r="I798" s="11">
        <f>26.3198 * CHOOSE(CONTROL!$C$32, $C$9, 100%, $E$9)</f>
        <v>26.319800000000001</v>
      </c>
      <c r="J798" s="11">
        <f>26.3145 * CHOOSE(CONTROL!$C$32, $C$9, 100%, $E$9)</f>
        <v>26.314499999999999</v>
      </c>
      <c r="K798" s="11">
        <f>26.3198 * CHOOSE(CONTROL!$C$32, $C$9, 100%, $E$9)</f>
        <v>26.319800000000001</v>
      </c>
      <c r="L798" s="11">
        <f>13.3912 * CHOOSE(CONTROL!$C$32, $C$9, 100%, $E$9)</f>
        <v>13.3912</v>
      </c>
      <c r="M798" s="11">
        <f>13.3965 * CHOOSE(CONTROL!$C$32, $C$9, 100%, $E$9)</f>
        <v>13.3965</v>
      </c>
      <c r="N798" s="11">
        <f>13.3912 * CHOOSE(CONTROL!$C$32, $C$9, 100%, $E$9)</f>
        <v>13.3912</v>
      </c>
      <c r="O798" s="11">
        <f>13.3965 * CHOOSE(CONTROL!$C$32, $C$9, 100%, $E$9)</f>
        <v>13.3965</v>
      </c>
    </row>
    <row r="799" spans="1:15" ht="15" x14ac:dyDescent="0.2">
      <c r="A799" s="13">
        <v>65167</v>
      </c>
      <c r="B799" s="9">
        <f>11.635 * CHOOSE(CONTROL!$C$32, $C$9, 100%, $E$9)</f>
        <v>11.635</v>
      </c>
      <c r="C799" s="9">
        <f>11.635 * CHOOSE(CONTROL!$C$32, $C$9, 100%, $E$9)</f>
        <v>11.635</v>
      </c>
      <c r="D799" s="9">
        <f>11.6366 * CHOOSE(CONTROL!$C$32, $C$9, 100%, $E$9)</f>
        <v>11.6366</v>
      </c>
      <c r="E799" s="11">
        <f>13.2858 * CHOOSE(CONTROL!$C$32, $C$9, 100%, $E$9)</f>
        <v>13.2858</v>
      </c>
      <c r="F799" s="11">
        <f>13.2858 * CHOOSE(CONTROL!$C$32, $C$9, 100%, $E$9)</f>
        <v>13.2858</v>
      </c>
      <c r="G799" s="11">
        <f>13.2911 * CHOOSE(CONTROL!$C$32, $C$9, 100%, $E$9)</f>
        <v>13.2911</v>
      </c>
      <c r="H799" s="11">
        <f>26.3693 * CHOOSE(CONTROL!$C$32, $C$9, 100%, $E$9)</f>
        <v>26.369299999999999</v>
      </c>
      <c r="I799" s="11">
        <f>26.3746 * CHOOSE(CONTROL!$C$32, $C$9, 100%, $E$9)</f>
        <v>26.374600000000001</v>
      </c>
      <c r="J799" s="11">
        <f>26.3693 * CHOOSE(CONTROL!$C$32, $C$9, 100%, $E$9)</f>
        <v>26.369299999999999</v>
      </c>
      <c r="K799" s="11">
        <f>26.3746 * CHOOSE(CONTROL!$C$32, $C$9, 100%, $E$9)</f>
        <v>26.374600000000001</v>
      </c>
      <c r="L799" s="11">
        <f>13.2858 * CHOOSE(CONTROL!$C$32, $C$9, 100%, $E$9)</f>
        <v>13.2858</v>
      </c>
      <c r="M799" s="11">
        <f>13.2911 * CHOOSE(CONTROL!$C$32, $C$9, 100%, $E$9)</f>
        <v>13.2911</v>
      </c>
      <c r="N799" s="11">
        <f>13.2858 * CHOOSE(CONTROL!$C$32, $C$9, 100%, $E$9)</f>
        <v>13.2858</v>
      </c>
      <c r="O799" s="11">
        <f>13.2911 * CHOOSE(CONTROL!$C$32, $C$9, 100%, $E$9)</f>
        <v>13.2911</v>
      </c>
    </row>
    <row r="800" spans="1:15" ht="15" x14ac:dyDescent="0.2">
      <c r="A800" s="13">
        <v>65197</v>
      </c>
      <c r="B800" s="9">
        <f>11.7773 * CHOOSE(CONTROL!$C$32, $C$9, 100%, $E$9)</f>
        <v>11.7773</v>
      </c>
      <c r="C800" s="9">
        <f>11.7773 * CHOOSE(CONTROL!$C$32, $C$9, 100%, $E$9)</f>
        <v>11.7773</v>
      </c>
      <c r="D800" s="9">
        <f>11.7789 * CHOOSE(CONTROL!$C$32, $C$9, 100%, $E$9)</f>
        <v>11.7789</v>
      </c>
      <c r="E800" s="11">
        <f>13.4731 * CHOOSE(CONTROL!$C$32, $C$9, 100%, $E$9)</f>
        <v>13.473100000000001</v>
      </c>
      <c r="F800" s="11">
        <f>13.4731 * CHOOSE(CONTROL!$C$32, $C$9, 100%, $E$9)</f>
        <v>13.473100000000001</v>
      </c>
      <c r="G800" s="11">
        <f>13.4784 * CHOOSE(CONTROL!$C$32, $C$9, 100%, $E$9)</f>
        <v>13.478400000000001</v>
      </c>
      <c r="H800" s="11">
        <f>26.4243 * CHOOSE(CONTROL!$C$32, $C$9, 100%, $E$9)</f>
        <v>26.424299999999999</v>
      </c>
      <c r="I800" s="11">
        <f>26.4296 * CHOOSE(CONTROL!$C$32, $C$9, 100%, $E$9)</f>
        <v>26.429600000000001</v>
      </c>
      <c r="J800" s="11">
        <f>26.4243 * CHOOSE(CONTROL!$C$32, $C$9, 100%, $E$9)</f>
        <v>26.424299999999999</v>
      </c>
      <c r="K800" s="11">
        <f>26.4296 * CHOOSE(CONTROL!$C$32, $C$9, 100%, $E$9)</f>
        <v>26.429600000000001</v>
      </c>
      <c r="L800" s="11">
        <f>13.4731 * CHOOSE(CONTROL!$C$32, $C$9, 100%, $E$9)</f>
        <v>13.473100000000001</v>
      </c>
      <c r="M800" s="11">
        <f>13.4784 * CHOOSE(CONTROL!$C$32, $C$9, 100%, $E$9)</f>
        <v>13.478400000000001</v>
      </c>
      <c r="N800" s="11">
        <f>13.4731 * CHOOSE(CONTROL!$C$32, $C$9, 100%, $E$9)</f>
        <v>13.473100000000001</v>
      </c>
      <c r="O800" s="11">
        <f>13.4784 * CHOOSE(CONTROL!$C$32, $C$9, 100%, $E$9)</f>
        <v>13.478400000000001</v>
      </c>
    </row>
    <row r="801" spans="1:15" ht="15" x14ac:dyDescent="0.2">
      <c r="A801" s="13">
        <v>65228</v>
      </c>
      <c r="B801" s="9">
        <f>11.784 * CHOOSE(CONTROL!$C$32, $C$9, 100%, $E$9)</f>
        <v>11.784000000000001</v>
      </c>
      <c r="C801" s="9">
        <f>11.784 * CHOOSE(CONTROL!$C$32, $C$9, 100%, $E$9)</f>
        <v>11.784000000000001</v>
      </c>
      <c r="D801" s="9">
        <f>11.7856 * CHOOSE(CONTROL!$C$32, $C$9, 100%, $E$9)</f>
        <v>11.785600000000001</v>
      </c>
      <c r="E801" s="11">
        <f>13.1486 * CHOOSE(CONTROL!$C$32, $C$9, 100%, $E$9)</f>
        <v>13.1486</v>
      </c>
      <c r="F801" s="11">
        <f>13.1486 * CHOOSE(CONTROL!$C$32, $C$9, 100%, $E$9)</f>
        <v>13.1486</v>
      </c>
      <c r="G801" s="11">
        <f>13.1539 * CHOOSE(CONTROL!$C$32, $C$9, 100%, $E$9)</f>
        <v>13.1539</v>
      </c>
      <c r="H801" s="11">
        <f>26.4793 * CHOOSE(CONTROL!$C$32, $C$9, 100%, $E$9)</f>
        <v>26.479299999999999</v>
      </c>
      <c r="I801" s="11">
        <f>26.4846 * CHOOSE(CONTROL!$C$32, $C$9, 100%, $E$9)</f>
        <v>26.4846</v>
      </c>
      <c r="J801" s="11">
        <f>26.4793 * CHOOSE(CONTROL!$C$32, $C$9, 100%, $E$9)</f>
        <v>26.479299999999999</v>
      </c>
      <c r="K801" s="11">
        <f>26.4846 * CHOOSE(CONTROL!$C$32, $C$9, 100%, $E$9)</f>
        <v>26.4846</v>
      </c>
      <c r="L801" s="11">
        <f>13.1486 * CHOOSE(CONTROL!$C$32, $C$9, 100%, $E$9)</f>
        <v>13.1486</v>
      </c>
      <c r="M801" s="11">
        <f>13.1539 * CHOOSE(CONTROL!$C$32, $C$9, 100%, $E$9)</f>
        <v>13.1539</v>
      </c>
      <c r="N801" s="11">
        <f>13.1486 * CHOOSE(CONTROL!$C$32, $C$9, 100%, $E$9)</f>
        <v>13.1486</v>
      </c>
      <c r="O801" s="11">
        <f>13.1539 * CHOOSE(CONTROL!$C$32, $C$9, 100%, $E$9)</f>
        <v>13.1539</v>
      </c>
    </row>
    <row r="802" spans="1:15" ht="15" x14ac:dyDescent="0.2">
      <c r="A802" s="13">
        <v>65259</v>
      </c>
      <c r="B802" s="9">
        <f>11.7809 * CHOOSE(CONTROL!$C$32, $C$9, 100%, $E$9)</f>
        <v>11.780900000000001</v>
      </c>
      <c r="C802" s="9">
        <f>11.7809 * CHOOSE(CONTROL!$C$32, $C$9, 100%, $E$9)</f>
        <v>11.780900000000001</v>
      </c>
      <c r="D802" s="9">
        <f>11.7825 * CHOOSE(CONTROL!$C$32, $C$9, 100%, $E$9)</f>
        <v>11.782500000000001</v>
      </c>
      <c r="E802" s="11">
        <f>13.1099 * CHOOSE(CONTROL!$C$32, $C$9, 100%, $E$9)</f>
        <v>13.1099</v>
      </c>
      <c r="F802" s="11">
        <f>13.1099 * CHOOSE(CONTROL!$C$32, $C$9, 100%, $E$9)</f>
        <v>13.1099</v>
      </c>
      <c r="G802" s="11">
        <f>13.1152 * CHOOSE(CONTROL!$C$32, $C$9, 100%, $E$9)</f>
        <v>13.1152</v>
      </c>
      <c r="H802" s="11">
        <f>26.5345 * CHOOSE(CONTROL!$C$32, $C$9, 100%, $E$9)</f>
        <v>26.534500000000001</v>
      </c>
      <c r="I802" s="11">
        <f>26.5398 * CHOOSE(CONTROL!$C$32, $C$9, 100%, $E$9)</f>
        <v>26.5398</v>
      </c>
      <c r="J802" s="11">
        <f>26.5345 * CHOOSE(CONTROL!$C$32, $C$9, 100%, $E$9)</f>
        <v>26.534500000000001</v>
      </c>
      <c r="K802" s="11">
        <f>26.5398 * CHOOSE(CONTROL!$C$32, $C$9, 100%, $E$9)</f>
        <v>26.5398</v>
      </c>
      <c r="L802" s="11">
        <f>13.1099 * CHOOSE(CONTROL!$C$32, $C$9, 100%, $E$9)</f>
        <v>13.1099</v>
      </c>
      <c r="M802" s="11">
        <f>13.1152 * CHOOSE(CONTROL!$C$32, $C$9, 100%, $E$9)</f>
        <v>13.1152</v>
      </c>
      <c r="N802" s="11">
        <f>13.1099 * CHOOSE(CONTROL!$C$32, $C$9, 100%, $E$9)</f>
        <v>13.1099</v>
      </c>
      <c r="O802" s="11">
        <f>13.1152 * CHOOSE(CONTROL!$C$32, $C$9, 100%, $E$9)</f>
        <v>13.1152</v>
      </c>
    </row>
    <row r="803" spans="1:15" ht="15" x14ac:dyDescent="0.2">
      <c r="A803" s="13">
        <v>65289</v>
      </c>
      <c r="B803" s="9">
        <f>11.8051 * CHOOSE(CONTROL!$C$32, $C$9, 100%, $E$9)</f>
        <v>11.805099999999999</v>
      </c>
      <c r="C803" s="9">
        <f>11.8051 * CHOOSE(CONTROL!$C$32, $C$9, 100%, $E$9)</f>
        <v>11.805099999999999</v>
      </c>
      <c r="D803" s="9">
        <f>11.8062 * CHOOSE(CONTROL!$C$32, $C$9, 100%, $E$9)</f>
        <v>11.8062</v>
      </c>
      <c r="E803" s="11">
        <f>13.2428 * CHOOSE(CONTROL!$C$32, $C$9, 100%, $E$9)</f>
        <v>13.242800000000001</v>
      </c>
      <c r="F803" s="11">
        <f>13.2428 * CHOOSE(CONTROL!$C$32, $C$9, 100%, $E$9)</f>
        <v>13.242800000000001</v>
      </c>
      <c r="G803" s="11">
        <f>13.2464 * CHOOSE(CONTROL!$C$32, $C$9, 100%, $E$9)</f>
        <v>13.2464</v>
      </c>
      <c r="H803" s="11">
        <f>26.5898 * CHOOSE(CONTROL!$C$32, $C$9, 100%, $E$9)</f>
        <v>26.5898</v>
      </c>
      <c r="I803" s="11">
        <f>26.5934 * CHOOSE(CONTROL!$C$32, $C$9, 100%, $E$9)</f>
        <v>26.593399999999999</v>
      </c>
      <c r="J803" s="11">
        <f>26.5898 * CHOOSE(CONTROL!$C$32, $C$9, 100%, $E$9)</f>
        <v>26.5898</v>
      </c>
      <c r="K803" s="11">
        <f>26.5934 * CHOOSE(CONTROL!$C$32, $C$9, 100%, $E$9)</f>
        <v>26.593399999999999</v>
      </c>
      <c r="L803" s="11">
        <f>13.2428 * CHOOSE(CONTROL!$C$32, $C$9, 100%, $E$9)</f>
        <v>13.242800000000001</v>
      </c>
      <c r="M803" s="11">
        <f>13.2464 * CHOOSE(CONTROL!$C$32, $C$9, 100%, $E$9)</f>
        <v>13.2464</v>
      </c>
      <c r="N803" s="11">
        <f>13.2428 * CHOOSE(CONTROL!$C$32, $C$9, 100%, $E$9)</f>
        <v>13.242800000000001</v>
      </c>
      <c r="O803" s="11">
        <f>13.2464 * CHOOSE(CONTROL!$C$32, $C$9, 100%, $E$9)</f>
        <v>13.2464</v>
      </c>
    </row>
    <row r="804" spans="1:15" ht="15" x14ac:dyDescent="0.2">
      <c r="A804" s="13">
        <v>65320</v>
      </c>
      <c r="B804" s="9">
        <f>11.8081 * CHOOSE(CONTROL!$C$32, $C$9, 100%, $E$9)</f>
        <v>11.8081</v>
      </c>
      <c r="C804" s="9">
        <f>11.8081 * CHOOSE(CONTROL!$C$32, $C$9, 100%, $E$9)</f>
        <v>11.8081</v>
      </c>
      <c r="D804" s="9">
        <f>11.8092 * CHOOSE(CONTROL!$C$32, $C$9, 100%, $E$9)</f>
        <v>11.809200000000001</v>
      </c>
      <c r="E804" s="11">
        <f>13.3181 * CHOOSE(CONTROL!$C$32, $C$9, 100%, $E$9)</f>
        <v>13.318099999999999</v>
      </c>
      <c r="F804" s="11">
        <f>13.3181 * CHOOSE(CONTROL!$C$32, $C$9, 100%, $E$9)</f>
        <v>13.318099999999999</v>
      </c>
      <c r="G804" s="11">
        <f>13.3217 * CHOOSE(CONTROL!$C$32, $C$9, 100%, $E$9)</f>
        <v>13.3217</v>
      </c>
      <c r="H804" s="11">
        <f>26.6452 * CHOOSE(CONTROL!$C$32, $C$9, 100%, $E$9)</f>
        <v>26.645199999999999</v>
      </c>
      <c r="I804" s="11">
        <f>26.6488 * CHOOSE(CONTROL!$C$32, $C$9, 100%, $E$9)</f>
        <v>26.648800000000001</v>
      </c>
      <c r="J804" s="11">
        <f>26.6452 * CHOOSE(CONTROL!$C$32, $C$9, 100%, $E$9)</f>
        <v>26.645199999999999</v>
      </c>
      <c r="K804" s="11">
        <f>26.6488 * CHOOSE(CONTROL!$C$32, $C$9, 100%, $E$9)</f>
        <v>26.648800000000001</v>
      </c>
      <c r="L804" s="11">
        <f>13.3181 * CHOOSE(CONTROL!$C$32, $C$9, 100%, $E$9)</f>
        <v>13.318099999999999</v>
      </c>
      <c r="M804" s="11">
        <f>13.3217 * CHOOSE(CONTROL!$C$32, $C$9, 100%, $E$9)</f>
        <v>13.3217</v>
      </c>
      <c r="N804" s="11">
        <f>13.3181 * CHOOSE(CONTROL!$C$32, $C$9, 100%, $E$9)</f>
        <v>13.318099999999999</v>
      </c>
      <c r="O804" s="11">
        <f>13.3217 * CHOOSE(CONTROL!$C$32, $C$9, 100%, $E$9)</f>
        <v>13.3217</v>
      </c>
    </row>
    <row r="805" spans="1:15" ht="15" x14ac:dyDescent="0.2">
      <c r="A805" s="13">
        <v>65350</v>
      </c>
      <c r="B805" s="9">
        <f>11.8081 * CHOOSE(CONTROL!$C$32, $C$9, 100%, $E$9)</f>
        <v>11.8081</v>
      </c>
      <c r="C805" s="9">
        <f>11.8081 * CHOOSE(CONTROL!$C$32, $C$9, 100%, $E$9)</f>
        <v>11.8081</v>
      </c>
      <c r="D805" s="9">
        <f>11.8092 * CHOOSE(CONTROL!$C$32, $C$9, 100%, $E$9)</f>
        <v>11.809200000000001</v>
      </c>
      <c r="E805" s="11">
        <f>13.1352 * CHOOSE(CONTROL!$C$32, $C$9, 100%, $E$9)</f>
        <v>13.135199999999999</v>
      </c>
      <c r="F805" s="11">
        <f>13.1352 * CHOOSE(CONTROL!$C$32, $C$9, 100%, $E$9)</f>
        <v>13.135199999999999</v>
      </c>
      <c r="G805" s="11">
        <f>13.1388 * CHOOSE(CONTROL!$C$32, $C$9, 100%, $E$9)</f>
        <v>13.1388</v>
      </c>
      <c r="H805" s="11">
        <f>26.7007 * CHOOSE(CONTROL!$C$32, $C$9, 100%, $E$9)</f>
        <v>26.700700000000001</v>
      </c>
      <c r="I805" s="11">
        <f>26.7043 * CHOOSE(CONTROL!$C$32, $C$9, 100%, $E$9)</f>
        <v>26.7043</v>
      </c>
      <c r="J805" s="11">
        <f>26.7007 * CHOOSE(CONTROL!$C$32, $C$9, 100%, $E$9)</f>
        <v>26.700700000000001</v>
      </c>
      <c r="K805" s="11">
        <f>26.7043 * CHOOSE(CONTROL!$C$32, $C$9, 100%, $E$9)</f>
        <v>26.7043</v>
      </c>
      <c r="L805" s="11">
        <f>13.1352 * CHOOSE(CONTROL!$C$32, $C$9, 100%, $E$9)</f>
        <v>13.135199999999999</v>
      </c>
      <c r="M805" s="11">
        <f>13.1388 * CHOOSE(CONTROL!$C$32, $C$9, 100%, $E$9)</f>
        <v>13.1388</v>
      </c>
      <c r="N805" s="11">
        <f>13.1352 * CHOOSE(CONTROL!$C$32, $C$9, 100%, $E$9)</f>
        <v>13.135199999999999</v>
      </c>
      <c r="O805" s="11">
        <f>13.1388 * CHOOSE(CONTROL!$C$32, $C$9, 100%, $E$9)</f>
        <v>13.1388</v>
      </c>
    </row>
    <row r="806" spans="1:15" ht="15" x14ac:dyDescent="0.2">
      <c r="A806" s="13">
        <v>65381</v>
      </c>
      <c r="B806" s="9">
        <f>11.8173 * CHOOSE(CONTROL!$C$32, $C$9, 100%, $E$9)</f>
        <v>11.817299999999999</v>
      </c>
      <c r="C806" s="9">
        <f>11.8173 * CHOOSE(CONTROL!$C$32, $C$9, 100%, $E$9)</f>
        <v>11.817299999999999</v>
      </c>
      <c r="D806" s="9">
        <f>11.8184 * CHOOSE(CONTROL!$C$32, $C$9, 100%, $E$9)</f>
        <v>11.8184</v>
      </c>
      <c r="E806" s="11">
        <f>13.2831 * CHOOSE(CONTROL!$C$32, $C$9, 100%, $E$9)</f>
        <v>13.283099999999999</v>
      </c>
      <c r="F806" s="11">
        <f>13.2831 * CHOOSE(CONTROL!$C$32, $C$9, 100%, $E$9)</f>
        <v>13.283099999999999</v>
      </c>
      <c r="G806" s="11">
        <f>13.2867 * CHOOSE(CONTROL!$C$32, $C$9, 100%, $E$9)</f>
        <v>13.2867</v>
      </c>
      <c r="H806" s="11">
        <f>26.5499 * CHOOSE(CONTROL!$C$32, $C$9, 100%, $E$9)</f>
        <v>26.549900000000001</v>
      </c>
      <c r="I806" s="11">
        <f>26.5535 * CHOOSE(CONTROL!$C$32, $C$9, 100%, $E$9)</f>
        <v>26.5535</v>
      </c>
      <c r="J806" s="11">
        <f>26.5499 * CHOOSE(CONTROL!$C$32, $C$9, 100%, $E$9)</f>
        <v>26.549900000000001</v>
      </c>
      <c r="K806" s="11">
        <f>26.5535 * CHOOSE(CONTROL!$C$32, $C$9, 100%, $E$9)</f>
        <v>26.5535</v>
      </c>
      <c r="L806" s="11">
        <f>13.2831 * CHOOSE(CONTROL!$C$32, $C$9, 100%, $E$9)</f>
        <v>13.283099999999999</v>
      </c>
      <c r="M806" s="11">
        <f>13.2867 * CHOOSE(CONTROL!$C$32, $C$9, 100%, $E$9)</f>
        <v>13.2867</v>
      </c>
      <c r="N806" s="11">
        <f>13.2831 * CHOOSE(CONTROL!$C$32, $C$9, 100%, $E$9)</f>
        <v>13.283099999999999</v>
      </c>
      <c r="O806" s="11">
        <f>13.2867 * CHOOSE(CONTROL!$C$32, $C$9, 100%, $E$9)</f>
        <v>13.2867</v>
      </c>
    </row>
    <row r="807" spans="1:15" ht="15" x14ac:dyDescent="0.2">
      <c r="A807" s="13">
        <v>65412</v>
      </c>
      <c r="B807" s="9">
        <f>11.8143 * CHOOSE(CONTROL!$C$32, $C$9, 100%, $E$9)</f>
        <v>11.814299999999999</v>
      </c>
      <c r="C807" s="9">
        <f>11.8143 * CHOOSE(CONTROL!$C$32, $C$9, 100%, $E$9)</f>
        <v>11.814299999999999</v>
      </c>
      <c r="D807" s="9">
        <f>11.8153 * CHOOSE(CONTROL!$C$32, $C$9, 100%, $E$9)</f>
        <v>11.815300000000001</v>
      </c>
      <c r="E807" s="11">
        <f>12.9283 * CHOOSE(CONTROL!$C$32, $C$9, 100%, $E$9)</f>
        <v>12.9283</v>
      </c>
      <c r="F807" s="11">
        <f>12.9283 * CHOOSE(CONTROL!$C$32, $C$9, 100%, $E$9)</f>
        <v>12.9283</v>
      </c>
      <c r="G807" s="11">
        <f>12.9319 * CHOOSE(CONTROL!$C$32, $C$9, 100%, $E$9)</f>
        <v>12.931900000000001</v>
      </c>
      <c r="H807" s="11">
        <f>26.6052 * CHOOSE(CONTROL!$C$32, $C$9, 100%, $E$9)</f>
        <v>26.6052</v>
      </c>
      <c r="I807" s="11">
        <f>26.6088 * CHOOSE(CONTROL!$C$32, $C$9, 100%, $E$9)</f>
        <v>26.608799999999999</v>
      </c>
      <c r="J807" s="11">
        <f>26.6052 * CHOOSE(CONTROL!$C$32, $C$9, 100%, $E$9)</f>
        <v>26.6052</v>
      </c>
      <c r="K807" s="11">
        <f>26.6088 * CHOOSE(CONTROL!$C$32, $C$9, 100%, $E$9)</f>
        <v>26.608799999999999</v>
      </c>
      <c r="L807" s="11">
        <f>12.9283 * CHOOSE(CONTROL!$C$32, $C$9, 100%, $E$9)</f>
        <v>12.9283</v>
      </c>
      <c r="M807" s="11">
        <f>12.9319 * CHOOSE(CONTROL!$C$32, $C$9, 100%, $E$9)</f>
        <v>12.931900000000001</v>
      </c>
      <c r="N807" s="11">
        <f>12.9283 * CHOOSE(CONTROL!$C$32, $C$9, 100%, $E$9)</f>
        <v>12.9283</v>
      </c>
      <c r="O807" s="11">
        <f>12.9319 * CHOOSE(CONTROL!$C$32, $C$9, 100%, $E$9)</f>
        <v>12.931900000000001</v>
      </c>
    </row>
    <row r="808" spans="1:15" ht="15" x14ac:dyDescent="0.2">
      <c r="A808" s="13">
        <v>65440</v>
      </c>
      <c r="B808" s="9">
        <f>11.8112 * CHOOSE(CONTROL!$C$32, $C$9, 100%, $E$9)</f>
        <v>11.811199999999999</v>
      </c>
      <c r="C808" s="9">
        <f>11.8112 * CHOOSE(CONTROL!$C$32, $C$9, 100%, $E$9)</f>
        <v>11.811199999999999</v>
      </c>
      <c r="D808" s="9">
        <f>11.8123 * CHOOSE(CONTROL!$C$32, $C$9, 100%, $E$9)</f>
        <v>11.8123</v>
      </c>
      <c r="E808" s="11">
        <f>13.2042 * CHOOSE(CONTROL!$C$32, $C$9, 100%, $E$9)</f>
        <v>13.2042</v>
      </c>
      <c r="F808" s="11">
        <f>13.2042 * CHOOSE(CONTROL!$C$32, $C$9, 100%, $E$9)</f>
        <v>13.2042</v>
      </c>
      <c r="G808" s="11">
        <f>13.2078 * CHOOSE(CONTROL!$C$32, $C$9, 100%, $E$9)</f>
        <v>13.207800000000001</v>
      </c>
      <c r="H808" s="11">
        <f>26.6606 * CHOOSE(CONTROL!$C$32, $C$9, 100%, $E$9)</f>
        <v>26.660599999999999</v>
      </c>
      <c r="I808" s="11">
        <f>26.6642 * CHOOSE(CONTROL!$C$32, $C$9, 100%, $E$9)</f>
        <v>26.664200000000001</v>
      </c>
      <c r="J808" s="11">
        <f>26.6606 * CHOOSE(CONTROL!$C$32, $C$9, 100%, $E$9)</f>
        <v>26.660599999999999</v>
      </c>
      <c r="K808" s="11">
        <f>26.6642 * CHOOSE(CONTROL!$C$32, $C$9, 100%, $E$9)</f>
        <v>26.664200000000001</v>
      </c>
      <c r="L808" s="11">
        <f>13.2042 * CHOOSE(CONTROL!$C$32, $C$9, 100%, $E$9)</f>
        <v>13.2042</v>
      </c>
      <c r="M808" s="11">
        <f>13.2078 * CHOOSE(CONTROL!$C$32, $C$9, 100%, $E$9)</f>
        <v>13.207800000000001</v>
      </c>
      <c r="N808" s="11">
        <f>13.2042 * CHOOSE(CONTROL!$C$32, $C$9, 100%, $E$9)</f>
        <v>13.2042</v>
      </c>
      <c r="O808" s="11">
        <f>13.2078 * CHOOSE(CONTROL!$C$32, $C$9, 100%, $E$9)</f>
        <v>13.207800000000001</v>
      </c>
    </row>
    <row r="809" spans="1:15" ht="15" x14ac:dyDescent="0.2">
      <c r="A809" s="13">
        <v>65471</v>
      </c>
      <c r="B809" s="9">
        <f>11.8164 * CHOOSE(CONTROL!$C$32, $C$9, 100%, $E$9)</f>
        <v>11.8164</v>
      </c>
      <c r="C809" s="9">
        <f>11.8164 * CHOOSE(CONTROL!$C$32, $C$9, 100%, $E$9)</f>
        <v>11.8164</v>
      </c>
      <c r="D809" s="9">
        <f>11.8175 * CHOOSE(CONTROL!$C$32, $C$9, 100%, $E$9)</f>
        <v>11.817500000000001</v>
      </c>
      <c r="E809" s="11">
        <f>13.4985 * CHOOSE(CONTROL!$C$32, $C$9, 100%, $E$9)</f>
        <v>13.4985</v>
      </c>
      <c r="F809" s="11">
        <f>13.4985 * CHOOSE(CONTROL!$C$32, $C$9, 100%, $E$9)</f>
        <v>13.4985</v>
      </c>
      <c r="G809" s="11">
        <f>13.5021 * CHOOSE(CONTROL!$C$32, $C$9, 100%, $E$9)</f>
        <v>13.5021</v>
      </c>
      <c r="H809" s="11">
        <f>26.7161 * CHOOSE(CONTROL!$C$32, $C$9, 100%, $E$9)</f>
        <v>26.716100000000001</v>
      </c>
      <c r="I809" s="11">
        <f>26.7198 * CHOOSE(CONTROL!$C$32, $C$9, 100%, $E$9)</f>
        <v>26.719799999999999</v>
      </c>
      <c r="J809" s="11">
        <f>26.7161 * CHOOSE(CONTROL!$C$32, $C$9, 100%, $E$9)</f>
        <v>26.716100000000001</v>
      </c>
      <c r="K809" s="11">
        <f>26.7198 * CHOOSE(CONTROL!$C$32, $C$9, 100%, $E$9)</f>
        <v>26.719799999999999</v>
      </c>
      <c r="L809" s="11">
        <f>13.4985 * CHOOSE(CONTROL!$C$32, $C$9, 100%, $E$9)</f>
        <v>13.4985</v>
      </c>
      <c r="M809" s="11">
        <f>13.5021 * CHOOSE(CONTROL!$C$32, $C$9, 100%, $E$9)</f>
        <v>13.5021</v>
      </c>
      <c r="N809" s="11">
        <f>13.4985 * CHOOSE(CONTROL!$C$32, $C$9, 100%, $E$9)</f>
        <v>13.4985</v>
      </c>
      <c r="O809" s="11">
        <f>13.5021 * CHOOSE(CONTROL!$C$32, $C$9, 100%, $E$9)</f>
        <v>13.5021</v>
      </c>
    </row>
    <row r="810" spans="1:15" ht="15" x14ac:dyDescent="0.2">
      <c r="A810" s="13">
        <v>65501</v>
      </c>
      <c r="B810" s="9">
        <f>11.8164 * CHOOSE(CONTROL!$C$32, $C$9, 100%, $E$9)</f>
        <v>11.8164</v>
      </c>
      <c r="C810" s="9">
        <f>11.8164 * CHOOSE(CONTROL!$C$32, $C$9, 100%, $E$9)</f>
        <v>11.8164</v>
      </c>
      <c r="D810" s="9">
        <f>11.818 * CHOOSE(CONTROL!$C$32, $C$9, 100%, $E$9)</f>
        <v>11.818</v>
      </c>
      <c r="E810" s="11">
        <f>13.6105 * CHOOSE(CONTROL!$C$32, $C$9, 100%, $E$9)</f>
        <v>13.6105</v>
      </c>
      <c r="F810" s="11">
        <f>13.6105 * CHOOSE(CONTROL!$C$32, $C$9, 100%, $E$9)</f>
        <v>13.6105</v>
      </c>
      <c r="G810" s="11">
        <f>13.6158 * CHOOSE(CONTROL!$C$32, $C$9, 100%, $E$9)</f>
        <v>13.6158</v>
      </c>
      <c r="H810" s="11">
        <f>26.7718 * CHOOSE(CONTROL!$C$32, $C$9, 100%, $E$9)</f>
        <v>26.771799999999999</v>
      </c>
      <c r="I810" s="11">
        <f>26.7771 * CHOOSE(CONTROL!$C$32, $C$9, 100%, $E$9)</f>
        <v>26.777100000000001</v>
      </c>
      <c r="J810" s="11">
        <f>26.7718 * CHOOSE(CONTROL!$C$32, $C$9, 100%, $E$9)</f>
        <v>26.771799999999999</v>
      </c>
      <c r="K810" s="11">
        <f>26.7771 * CHOOSE(CONTROL!$C$32, $C$9, 100%, $E$9)</f>
        <v>26.777100000000001</v>
      </c>
      <c r="L810" s="11">
        <f>13.6105 * CHOOSE(CONTROL!$C$32, $C$9, 100%, $E$9)</f>
        <v>13.6105</v>
      </c>
      <c r="M810" s="11">
        <f>13.6158 * CHOOSE(CONTROL!$C$32, $C$9, 100%, $E$9)</f>
        <v>13.6158</v>
      </c>
      <c r="N810" s="11">
        <f>13.6105 * CHOOSE(CONTROL!$C$32, $C$9, 100%, $E$9)</f>
        <v>13.6105</v>
      </c>
      <c r="O810" s="11">
        <f>13.6158 * CHOOSE(CONTROL!$C$32, $C$9, 100%, $E$9)</f>
        <v>13.6158</v>
      </c>
    </row>
    <row r="811" spans="1:15" ht="15" x14ac:dyDescent="0.2">
      <c r="A811" s="13">
        <v>65532</v>
      </c>
      <c r="B811" s="9">
        <f>11.8225 * CHOOSE(CONTROL!$C$32, $C$9, 100%, $E$9)</f>
        <v>11.8225</v>
      </c>
      <c r="C811" s="9">
        <f>11.8225 * CHOOSE(CONTROL!$C$32, $C$9, 100%, $E$9)</f>
        <v>11.8225</v>
      </c>
      <c r="D811" s="9">
        <f>11.8241 * CHOOSE(CONTROL!$C$32, $C$9, 100%, $E$9)</f>
        <v>11.8241</v>
      </c>
      <c r="E811" s="11">
        <f>13.5028 * CHOOSE(CONTROL!$C$32, $C$9, 100%, $E$9)</f>
        <v>13.502800000000001</v>
      </c>
      <c r="F811" s="11">
        <f>13.5028 * CHOOSE(CONTROL!$C$32, $C$9, 100%, $E$9)</f>
        <v>13.502800000000001</v>
      </c>
      <c r="G811" s="11">
        <f>13.5081 * CHOOSE(CONTROL!$C$32, $C$9, 100%, $E$9)</f>
        <v>13.508100000000001</v>
      </c>
      <c r="H811" s="11">
        <f>26.8276 * CHOOSE(CONTROL!$C$32, $C$9, 100%, $E$9)</f>
        <v>26.8276</v>
      </c>
      <c r="I811" s="11">
        <f>26.8329 * CHOOSE(CONTROL!$C$32, $C$9, 100%, $E$9)</f>
        <v>26.832899999999999</v>
      </c>
      <c r="J811" s="11">
        <f>26.8276 * CHOOSE(CONTROL!$C$32, $C$9, 100%, $E$9)</f>
        <v>26.8276</v>
      </c>
      <c r="K811" s="11">
        <f>26.8329 * CHOOSE(CONTROL!$C$32, $C$9, 100%, $E$9)</f>
        <v>26.832899999999999</v>
      </c>
      <c r="L811" s="11">
        <f>13.5028 * CHOOSE(CONTROL!$C$32, $C$9, 100%, $E$9)</f>
        <v>13.502800000000001</v>
      </c>
      <c r="M811" s="11">
        <f>13.5081 * CHOOSE(CONTROL!$C$32, $C$9, 100%, $E$9)</f>
        <v>13.508100000000001</v>
      </c>
      <c r="N811" s="11">
        <f>13.5028 * CHOOSE(CONTROL!$C$32, $C$9, 100%, $E$9)</f>
        <v>13.502800000000001</v>
      </c>
      <c r="O811" s="11">
        <f>13.5081 * CHOOSE(CONTROL!$C$32, $C$9, 100%, $E$9)</f>
        <v>13.508100000000001</v>
      </c>
    </row>
    <row r="812" spans="1:15" ht="15" x14ac:dyDescent="0.2">
      <c r="A812" s="13">
        <v>65562</v>
      </c>
      <c r="B812" s="9">
        <f>11.9669 * CHOOSE(CONTROL!$C$32, $C$9, 100%, $E$9)</f>
        <v>11.966900000000001</v>
      </c>
      <c r="C812" s="9">
        <f>11.9669 * CHOOSE(CONTROL!$C$32, $C$9, 100%, $E$9)</f>
        <v>11.966900000000001</v>
      </c>
      <c r="D812" s="9">
        <f>11.9685 * CHOOSE(CONTROL!$C$32, $C$9, 100%, $E$9)</f>
        <v>11.968500000000001</v>
      </c>
      <c r="E812" s="11">
        <f>13.6933 * CHOOSE(CONTROL!$C$32, $C$9, 100%, $E$9)</f>
        <v>13.693300000000001</v>
      </c>
      <c r="F812" s="11">
        <f>13.6933 * CHOOSE(CONTROL!$C$32, $C$9, 100%, $E$9)</f>
        <v>13.693300000000001</v>
      </c>
      <c r="G812" s="11">
        <f>13.6986 * CHOOSE(CONTROL!$C$32, $C$9, 100%, $E$9)</f>
        <v>13.698600000000001</v>
      </c>
      <c r="H812" s="11">
        <f>26.8835 * CHOOSE(CONTROL!$C$32, $C$9, 100%, $E$9)</f>
        <v>26.883500000000002</v>
      </c>
      <c r="I812" s="11">
        <f>26.8888 * CHOOSE(CONTROL!$C$32, $C$9, 100%, $E$9)</f>
        <v>26.8888</v>
      </c>
      <c r="J812" s="11">
        <f>26.8835 * CHOOSE(CONTROL!$C$32, $C$9, 100%, $E$9)</f>
        <v>26.883500000000002</v>
      </c>
      <c r="K812" s="11">
        <f>26.8888 * CHOOSE(CONTROL!$C$32, $C$9, 100%, $E$9)</f>
        <v>26.8888</v>
      </c>
      <c r="L812" s="11">
        <f>13.6933 * CHOOSE(CONTROL!$C$32, $C$9, 100%, $E$9)</f>
        <v>13.693300000000001</v>
      </c>
      <c r="M812" s="11">
        <f>13.6986 * CHOOSE(CONTROL!$C$32, $C$9, 100%, $E$9)</f>
        <v>13.698600000000001</v>
      </c>
      <c r="N812" s="11">
        <f>13.6933 * CHOOSE(CONTROL!$C$32, $C$9, 100%, $E$9)</f>
        <v>13.693300000000001</v>
      </c>
      <c r="O812" s="11">
        <f>13.6986 * CHOOSE(CONTROL!$C$32, $C$9, 100%, $E$9)</f>
        <v>13.698600000000001</v>
      </c>
    </row>
    <row r="813" spans="1:15" ht="15" x14ac:dyDescent="0.2">
      <c r="A813" s="13">
        <v>65593</v>
      </c>
      <c r="B813" s="9">
        <f>11.9736 * CHOOSE(CONTROL!$C$32, $C$9, 100%, $E$9)</f>
        <v>11.973599999999999</v>
      </c>
      <c r="C813" s="9">
        <f>11.9736 * CHOOSE(CONTROL!$C$32, $C$9, 100%, $E$9)</f>
        <v>11.973599999999999</v>
      </c>
      <c r="D813" s="9">
        <f>11.9752 * CHOOSE(CONTROL!$C$32, $C$9, 100%, $E$9)</f>
        <v>11.975199999999999</v>
      </c>
      <c r="E813" s="11">
        <f>13.3621 * CHOOSE(CONTROL!$C$32, $C$9, 100%, $E$9)</f>
        <v>13.3621</v>
      </c>
      <c r="F813" s="11">
        <f>13.3621 * CHOOSE(CONTROL!$C$32, $C$9, 100%, $E$9)</f>
        <v>13.3621</v>
      </c>
      <c r="G813" s="11">
        <f>13.3673 * CHOOSE(CONTROL!$C$32, $C$9, 100%, $E$9)</f>
        <v>13.3673</v>
      </c>
      <c r="H813" s="11">
        <f>26.9395 * CHOOSE(CONTROL!$C$32, $C$9, 100%, $E$9)</f>
        <v>26.939499999999999</v>
      </c>
      <c r="I813" s="11">
        <f>26.9448 * CHOOSE(CONTROL!$C$32, $C$9, 100%, $E$9)</f>
        <v>26.944800000000001</v>
      </c>
      <c r="J813" s="11">
        <f>26.9395 * CHOOSE(CONTROL!$C$32, $C$9, 100%, $E$9)</f>
        <v>26.939499999999999</v>
      </c>
      <c r="K813" s="11">
        <f>26.9448 * CHOOSE(CONTROL!$C$32, $C$9, 100%, $E$9)</f>
        <v>26.944800000000001</v>
      </c>
      <c r="L813" s="11">
        <f>13.3621 * CHOOSE(CONTROL!$C$32, $C$9, 100%, $E$9)</f>
        <v>13.3621</v>
      </c>
      <c r="M813" s="11">
        <f>13.3673 * CHOOSE(CONTROL!$C$32, $C$9, 100%, $E$9)</f>
        <v>13.3673</v>
      </c>
      <c r="N813" s="11">
        <f>13.3621 * CHOOSE(CONTROL!$C$32, $C$9, 100%, $E$9)</f>
        <v>13.3621</v>
      </c>
      <c r="O813" s="11">
        <f>13.3673 * CHOOSE(CONTROL!$C$32, $C$9, 100%, $E$9)</f>
        <v>13.3673</v>
      </c>
    </row>
    <row r="814" spans="1:15" ht="15" x14ac:dyDescent="0.2">
      <c r="A814" s="13">
        <v>65624</v>
      </c>
      <c r="B814" s="9">
        <f>11.9705 * CHOOSE(CONTROL!$C$32, $C$9, 100%, $E$9)</f>
        <v>11.970499999999999</v>
      </c>
      <c r="C814" s="9">
        <f>11.9705 * CHOOSE(CONTROL!$C$32, $C$9, 100%, $E$9)</f>
        <v>11.970499999999999</v>
      </c>
      <c r="D814" s="9">
        <f>11.9721 * CHOOSE(CONTROL!$C$32, $C$9, 100%, $E$9)</f>
        <v>11.972099999999999</v>
      </c>
      <c r="E814" s="11">
        <f>13.3226 * CHOOSE(CONTROL!$C$32, $C$9, 100%, $E$9)</f>
        <v>13.3226</v>
      </c>
      <c r="F814" s="11">
        <f>13.3226 * CHOOSE(CONTROL!$C$32, $C$9, 100%, $E$9)</f>
        <v>13.3226</v>
      </c>
      <c r="G814" s="11">
        <f>13.3279 * CHOOSE(CONTROL!$C$32, $C$9, 100%, $E$9)</f>
        <v>13.3279</v>
      </c>
      <c r="H814" s="11">
        <f>26.9956 * CHOOSE(CONTROL!$C$32, $C$9, 100%, $E$9)</f>
        <v>26.9956</v>
      </c>
      <c r="I814" s="11">
        <f>27.0009 * CHOOSE(CONTROL!$C$32, $C$9, 100%, $E$9)</f>
        <v>27.000900000000001</v>
      </c>
      <c r="J814" s="11">
        <f>26.9956 * CHOOSE(CONTROL!$C$32, $C$9, 100%, $E$9)</f>
        <v>26.9956</v>
      </c>
      <c r="K814" s="11">
        <f>27.0009 * CHOOSE(CONTROL!$C$32, $C$9, 100%, $E$9)</f>
        <v>27.000900000000001</v>
      </c>
      <c r="L814" s="11">
        <f>13.3226 * CHOOSE(CONTROL!$C$32, $C$9, 100%, $E$9)</f>
        <v>13.3226</v>
      </c>
      <c r="M814" s="11">
        <f>13.3279 * CHOOSE(CONTROL!$C$32, $C$9, 100%, $E$9)</f>
        <v>13.3279</v>
      </c>
      <c r="N814" s="11">
        <f>13.3226 * CHOOSE(CONTROL!$C$32, $C$9, 100%, $E$9)</f>
        <v>13.3226</v>
      </c>
      <c r="O814" s="11">
        <f>13.3279 * CHOOSE(CONTROL!$C$32, $C$9, 100%, $E$9)</f>
        <v>13.3279</v>
      </c>
    </row>
    <row r="815" spans="1:15" ht="15" x14ac:dyDescent="0.2">
      <c r="A815" s="13">
        <v>65654</v>
      </c>
      <c r="B815" s="9">
        <f>11.9954 * CHOOSE(CONTROL!$C$32, $C$9, 100%, $E$9)</f>
        <v>11.9954</v>
      </c>
      <c r="C815" s="9">
        <f>11.9954 * CHOOSE(CONTROL!$C$32, $C$9, 100%, $E$9)</f>
        <v>11.9954</v>
      </c>
      <c r="D815" s="9">
        <f>11.9965 * CHOOSE(CONTROL!$C$32, $C$9, 100%, $E$9)</f>
        <v>11.996499999999999</v>
      </c>
      <c r="E815" s="11">
        <f>13.4585 * CHOOSE(CONTROL!$C$32, $C$9, 100%, $E$9)</f>
        <v>13.458500000000001</v>
      </c>
      <c r="F815" s="11">
        <f>13.4585 * CHOOSE(CONTROL!$C$32, $C$9, 100%, $E$9)</f>
        <v>13.458500000000001</v>
      </c>
      <c r="G815" s="11">
        <f>13.4621 * CHOOSE(CONTROL!$C$32, $C$9, 100%, $E$9)</f>
        <v>13.4621</v>
      </c>
      <c r="H815" s="11">
        <f>27.0518 * CHOOSE(CONTROL!$C$32, $C$9, 100%, $E$9)</f>
        <v>27.0518</v>
      </c>
      <c r="I815" s="11">
        <f>27.0555 * CHOOSE(CONTROL!$C$32, $C$9, 100%, $E$9)</f>
        <v>27.055499999999999</v>
      </c>
      <c r="J815" s="11">
        <f>27.0518 * CHOOSE(CONTROL!$C$32, $C$9, 100%, $E$9)</f>
        <v>27.0518</v>
      </c>
      <c r="K815" s="11">
        <f>27.0555 * CHOOSE(CONTROL!$C$32, $C$9, 100%, $E$9)</f>
        <v>27.055499999999999</v>
      </c>
      <c r="L815" s="11">
        <f>13.4585 * CHOOSE(CONTROL!$C$32, $C$9, 100%, $E$9)</f>
        <v>13.458500000000001</v>
      </c>
      <c r="M815" s="11">
        <f>13.4621 * CHOOSE(CONTROL!$C$32, $C$9, 100%, $E$9)</f>
        <v>13.4621</v>
      </c>
      <c r="N815" s="11">
        <f>13.4585 * CHOOSE(CONTROL!$C$32, $C$9, 100%, $E$9)</f>
        <v>13.458500000000001</v>
      </c>
      <c r="O815" s="11">
        <f>13.4621 * CHOOSE(CONTROL!$C$32, $C$9, 100%, $E$9)</f>
        <v>13.4621</v>
      </c>
    </row>
    <row r="816" spans="1:15" ht="15" x14ac:dyDescent="0.2">
      <c r="A816" s="13">
        <v>65685</v>
      </c>
      <c r="B816" s="9">
        <f>11.9984 * CHOOSE(CONTROL!$C$32, $C$9, 100%, $E$9)</f>
        <v>11.9984</v>
      </c>
      <c r="C816" s="9">
        <f>11.9984 * CHOOSE(CONTROL!$C$32, $C$9, 100%, $E$9)</f>
        <v>11.9984</v>
      </c>
      <c r="D816" s="9">
        <f>11.9995 * CHOOSE(CONTROL!$C$32, $C$9, 100%, $E$9)</f>
        <v>11.999499999999999</v>
      </c>
      <c r="E816" s="11">
        <f>13.5353 * CHOOSE(CONTROL!$C$32, $C$9, 100%, $E$9)</f>
        <v>13.535299999999999</v>
      </c>
      <c r="F816" s="11">
        <f>13.5353 * CHOOSE(CONTROL!$C$32, $C$9, 100%, $E$9)</f>
        <v>13.535299999999999</v>
      </c>
      <c r="G816" s="11">
        <f>13.5389 * CHOOSE(CONTROL!$C$32, $C$9, 100%, $E$9)</f>
        <v>13.5389</v>
      </c>
      <c r="H816" s="11">
        <f>27.1082 * CHOOSE(CONTROL!$C$32, $C$9, 100%, $E$9)</f>
        <v>27.1082</v>
      </c>
      <c r="I816" s="11">
        <f>27.1118 * CHOOSE(CONTROL!$C$32, $C$9, 100%, $E$9)</f>
        <v>27.111799999999999</v>
      </c>
      <c r="J816" s="11">
        <f>27.1082 * CHOOSE(CONTROL!$C$32, $C$9, 100%, $E$9)</f>
        <v>27.1082</v>
      </c>
      <c r="K816" s="11">
        <f>27.1118 * CHOOSE(CONTROL!$C$32, $C$9, 100%, $E$9)</f>
        <v>27.111799999999999</v>
      </c>
      <c r="L816" s="11">
        <f>13.5353 * CHOOSE(CONTROL!$C$32, $C$9, 100%, $E$9)</f>
        <v>13.535299999999999</v>
      </c>
      <c r="M816" s="11">
        <f>13.5389 * CHOOSE(CONTROL!$C$32, $C$9, 100%, $E$9)</f>
        <v>13.5389</v>
      </c>
      <c r="N816" s="11">
        <f>13.5353 * CHOOSE(CONTROL!$C$32, $C$9, 100%, $E$9)</f>
        <v>13.535299999999999</v>
      </c>
      <c r="O816" s="11">
        <f>13.5389 * CHOOSE(CONTROL!$C$32, $C$9, 100%, $E$9)</f>
        <v>13.5389</v>
      </c>
    </row>
    <row r="817" spans="1:15" ht="15" x14ac:dyDescent="0.2">
      <c r="A817" s="13">
        <v>65715</v>
      </c>
      <c r="B817" s="9">
        <f>11.9984 * CHOOSE(CONTROL!$C$32, $C$9, 100%, $E$9)</f>
        <v>11.9984</v>
      </c>
      <c r="C817" s="9">
        <f>11.9984 * CHOOSE(CONTROL!$C$32, $C$9, 100%, $E$9)</f>
        <v>11.9984</v>
      </c>
      <c r="D817" s="9">
        <f>11.9995 * CHOOSE(CONTROL!$C$32, $C$9, 100%, $E$9)</f>
        <v>11.999499999999999</v>
      </c>
      <c r="E817" s="11">
        <f>13.3486 * CHOOSE(CONTROL!$C$32, $C$9, 100%, $E$9)</f>
        <v>13.348599999999999</v>
      </c>
      <c r="F817" s="11">
        <f>13.3486 * CHOOSE(CONTROL!$C$32, $C$9, 100%, $E$9)</f>
        <v>13.348599999999999</v>
      </c>
      <c r="G817" s="11">
        <f>13.3523 * CHOOSE(CONTROL!$C$32, $C$9, 100%, $E$9)</f>
        <v>13.3523</v>
      </c>
      <c r="H817" s="11">
        <f>27.1647 * CHOOSE(CONTROL!$C$32, $C$9, 100%, $E$9)</f>
        <v>27.1647</v>
      </c>
      <c r="I817" s="11">
        <f>27.1683 * CHOOSE(CONTROL!$C$32, $C$9, 100%, $E$9)</f>
        <v>27.168299999999999</v>
      </c>
      <c r="J817" s="11">
        <f>27.1647 * CHOOSE(CONTROL!$C$32, $C$9, 100%, $E$9)</f>
        <v>27.1647</v>
      </c>
      <c r="K817" s="11">
        <f>27.1683 * CHOOSE(CONTROL!$C$32, $C$9, 100%, $E$9)</f>
        <v>27.168299999999999</v>
      </c>
      <c r="L817" s="11">
        <f>13.3486 * CHOOSE(CONTROL!$C$32, $C$9, 100%, $E$9)</f>
        <v>13.348599999999999</v>
      </c>
      <c r="M817" s="11">
        <f>13.3523 * CHOOSE(CONTROL!$C$32, $C$9, 100%, $E$9)</f>
        <v>13.3523</v>
      </c>
      <c r="N817" s="11">
        <f>13.3486 * CHOOSE(CONTROL!$C$32, $C$9, 100%, $E$9)</f>
        <v>13.348599999999999</v>
      </c>
      <c r="O817" s="11">
        <f>13.3523 * CHOOSE(CONTROL!$C$32, $C$9, 100%, $E$9)</f>
        <v>13.3523</v>
      </c>
    </row>
    <row r="818" spans="1:15" ht="15" x14ac:dyDescent="0.2">
      <c r="A818" s="13">
        <v>65746</v>
      </c>
      <c r="B818" s="9">
        <f>12.0047 * CHOOSE(CONTROL!$C$32, $C$9, 100%, $E$9)</f>
        <v>12.0047</v>
      </c>
      <c r="C818" s="9">
        <f>12.0047 * CHOOSE(CONTROL!$C$32, $C$9, 100%, $E$9)</f>
        <v>12.0047</v>
      </c>
      <c r="D818" s="9">
        <f>12.0057 * CHOOSE(CONTROL!$C$32, $C$9, 100%, $E$9)</f>
        <v>12.005699999999999</v>
      </c>
      <c r="E818" s="11">
        <f>13.4956 * CHOOSE(CONTROL!$C$32, $C$9, 100%, $E$9)</f>
        <v>13.4956</v>
      </c>
      <c r="F818" s="11">
        <f>13.4956 * CHOOSE(CONTROL!$C$32, $C$9, 100%, $E$9)</f>
        <v>13.4956</v>
      </c>
      <c r="G818" s="11">
        <f>13.4992 * CHOOSE(CONTROL!$C$32, $C$9, 100%, $E$9)</f>
        <v>13.4992</v>
      </c>
      <c r="H818" s="11">
        <f>27.0034 * CHOOSE(CONTROL!$C$32, $C$9, 100%, $E$9)</f>
        <v>27.003399999999999</v>
      </c>
      <c r="I818" s="11">
        <f>27.007 * CHOOSE(CONTROL!$C$32, $C$9, 100%, $E$9)</f>
        <v>27.007000000000001</v>
      </c>
      <c r="J818" s="11">
        <f>27.0034 * CHOOSE(CONTROL!$C$32, $C$9, 100%, $E$9)</f>
        <v>27.003399999999999</v>
      </c>
      <c r="K818" s="11">
        <f>27.007 * CHOOSE(CONTROL!$C$32, $C$9, 100%, $E$9)</f>
        <v>27.007000000000001</v>
      </c>
      <c r="L818" s="11">
        <f>13.4956 * CHOOSE(CONTROL!$C$32, $C$9, 100%, $E$9)</f>
        <v>13.4956</v>
      </c>
      <c r="M818" s="11">
        <f>13.4992 * CHOOSE(CONTROL!$C$32, $C$9, 100%, $E$9)</f>
        <v>13.4992</v>
      </c>
      <c r="N818" s="11">
        <f>13.4956 * CHOOSE(CONTROL!$C$32, $C$9, 100%, $E$9)</f>
        <v>13.4956</v>
      </c>
      <c r="O818" s="11">
        <f>13.4992 * CHOOSE(CONTROL!$C$32, $C$9, 100%, $E$9)</f>
        <v>13.4992</v>
      </c>
    </row>
    <row r="819" spans="1:15" ht="15" x14ac:dyDescent="0.2">
      <c r="A819" s="13">
        <v>65777</v>
      </c>
      <c r="B819" s="9">
        <f>12.0016 * CHOOSE(CONTROL!$C$32, $C$9, 100%, $E$9)</f>
        <v>12.0016</v>
      </c>
      <c r="C819" s="9">
        <f>12.0016 * CHOOSE(CONTROL!$C$32, $C$9, 100%, $E$9)</f>
        <v>12.0016</v>
      </c>
      <c r="D819" s="9">
        <f>12.0027 * CHOOSE(CONTROL!$C$32, $C$9, 100%, $E$9)</f>
        <v>12.002700000000001</v>
      </c>
      <c r="E819" s="11">
        <f>13.1337 * CHOOSE(CONTROL!$C$32, $C$9, 100%, $E$9)</f>
        <v>13.133699999999999</v>
      </c>
      <c r="F819" s="11">
        <f>13.1337 * CHOOSE(CONTROL!$C$32, $C$9, 100%, $E$9)</f>
        <v>13.133699999999999</v>
      </c>
      <c r="G819" s="11">
        <f>13.1373 * CHOOSE(CONTROL!$C$32, $C$9, 100%, $E$9)</f>
        <v>13.1373</v>
      </c>
      <c r="H819" s="11">
        <f>27.0596 * CHOOSE(CONTROL!$C$32, $C$9, 100%, $E$9)</f>
        <v>27.0596</v>
      </c>
      <c r="I819" s="11">
        <f>27.0632 * CHOOSE(CONTROL!$C$32, $C$9, 100%, $E$9)</f>
        <v>27.063199999999998</v>
      </c>
      <c r="J819" s="11">
        <f>27.0596 * CHOOSE(CONTROL!$C$32, $C$9, 100%, $E$9)</f>
        <v>27.0596</v>
      </c>
      <c r="K819" s="11">
        <f>27.0632 * CHOOSE(CONTROL!$C$32, $C$9, 100%, $E$9)</f>
        <v>27.063199999999998</v>
      </c>
      <c r="L819" s="11">
        <f>13.1337 * CHOOSE(CONTROL!$C$32, $C$9, 100%, $E$9)</f>
        <v>13.133699999999999</v>
      </c>
      <c r="M819" s="11">
        <f>13.1373 * CHOOSE(CONTROL!$C$32, $C$9, 100%, $E$9)</f>
        <v>13.1373</v>
      </c>
      <c r="N819" s="11">
        <f>13.1337 * CHOOSE(CONTROL!$C$32, $C$9, 100%, $E$9)</f>
        <v>13.133699999999999</v>
      </c>
      <c r="O819" s="11">
        <f>13.1373 * CHOOSE(CONTROL!$C$32, $C$9, 100%, $E$9)</f>
        <v>13.1373</v>
      </c>
    </row>
    <row r="820" spans="1:15" ht="15" x14ac:dyDescent="0.2">
      <c r="A820" s="13">
        <v>65806</v>
      </c>
      <c r="B820" s="9">
        <f>11.9986 * CHOOSE(CONTROL!$C$32, $C$9, 100%, $E$9)</f>
        <v>11.9986</v>
      </c>
      <c r="C820" s="9">
        <f>11.9986 * CHOOSE(CONTROL!$C$32, $C$9, 100%, $E$9)</f>
        <v>11.9986</v>
      </c>
      <c r="D820" s="9">
        <f>11.9996 * CHOOSE(CONTROL!$C$32, $C$9, 100%, $E$9)</f>
        <v>11.999599999999999</v>
      </c>
      <c r="E820" s="11">
        <f>13.4152 * CHOOSE(CONTROL!$C$32, $C$9, 100%, $E$9)</f>
        <v>13.4152</v>
      </c>
      <c r="F820" s="11">
        <f>13.4152 * CHOOSE(CONTROL!$C$32, $C$9, 100%, $E$9)</f>
        <v>13.4152</v>
      </c>
      <c r="G820" s="11">
        <f>13.4188 * CHOOSE(CONTROL!$C$32, $C$9, 100%, $E$9)</f>
        <v>13.418799999999999</v>
      </c>
      <c r="H820" s="11">
        <f>27.116 * CHOOSE(CONTROL!$C$32, $C$9, 100%, $E$9)</f>
        <v>27.116</v>
      </c>
      <c r="I820" s="11">
        <f>27.1196 * CHOOSE(CONTROL!$C$32, $C$9, 100%, $E$9)</f>
        <v>27.119599999999998</v>
      </c>
      <c r="J820" s="11">
        <f>27.116 * CHOOSE(CONTROL!$C$32, $C$9, 100%, $E$9)</f>
        <v>27.116</v>
      </c>
      <c r="K820" s="11">
        <f>27.1196 * CHOOSE(CONTROL!$C$32, $C$9, 100%, $E$9)</f>
        <v>27.119599999999998</v>
      </c>
      <c r="L820" s="11">
        <f>13.4152 * CHOOSE(CONTROL!$C$32, $C$9, 100%, $E$9)</f>
        <v>13.4152</v>
      </c>
      <c r="M820" s="11">
        <f>13.4188 * CHOOSE(CONTROL!$C$32, $C$9, 100%, $E$9)</f>
        <v>13.418799999999999</v>
      </c>
      <c r="N820" s="11">
        <f>13.4152 * CHOOSE(CONTROL!$C$32, $C$9, 100%, $E$9)</f>
        <v>13.4152</v>
      </c>
      <c r="O820" s="11">
        <f>13.4188 * CHOOSE(CONTROL!$C$32, $C$9, 100%, $E$9)</f>
        <v>13.418799999999999</v>
      </c>
    </row>
    <row r="821" spans="1:15" ht="15" x14ac:dyDescent="0.2">
      <c r="A821" s="13">
        <v>65837</v>
      </c>
      <c r="B821" s="9">
        <f>12.004 * CHOOSE(CONTROL!$C$32, $C$9, 100%, $E$9)</f>
        <v>12.004</v>
      </c>
      <c r="C821" s="9">
        <f>12.004 * CHOOSE(CONTROL!$C$32, $C$9, 100%, $E$9)</f>
        <v>12.004</v>
      </c>
      <c r="D821" s="9">
        <f>12.0051 * CHOOSE(CONTROL!$C$32, $C$9, 100%, $E$9)</f>
        <v>12.005100000000001</v>
      </c>
      <c r="E821" s="11">
        <f>13.7155 * CHOOSE(CONTROL!$C$32, $C$9, 100%, $E$9)</f>
        <v>13.7155</v>
      </c>
      <c r="F821" s="11">
        <f>13.7155 * CHOOSE(CONTROL!$C$32, $C$9, 100%, $E$9)</f>
        <v>13.7155</v>
      </c>
      <c r="G821" s="11">
        <f>13.7191 * CHOOSE(CONTROL!$C$32, $C$9, 100%, $E$9)</f>
        <v>13.719099999999999</v>
      </c>
      <c r="H821" s="11">
        <f>27.1725 * CHOOSE(CONTROL!$C$32, $C$9, 100%, $E$9)</f>
        <v>27.172499999999999</v>
      </c>
      <c r="I821" s="11">
        <f>27.1761 * CHOOSE(CONTROL!$C$32, $C$9, 100%, $E$9)</f>
        <v>27.176100000000002</v>
      </c>
      <c r="J821" s="11">
        <f>27.1725 * CHOOSE(CONTROL!$C$32, $C$9, 100%, $E$9)</f>
        <v>27.172499999999999</v>
      </c>
      <c r="K821" s="11">
        <f>27.1761 * CHOOSE(CONTROL!$C$32, $C$9, 100%, $E$9)</f>
        <v>27.176100000000002</v>
      </c>
      <c r="L821" s="11">
        <f>13.7155 * CHOOSE(CONTROL!$C$32, $C$9, 100%, $E$9)</f>
        <v>13.7155</v>
      </c>
      <c r="M821" s="11">
        <f>13.7191 * CHOOSE(CONTROL!$C$32, $C$9, 100%, $E$9)</f>
        <v>13.719099999999999</v>
      </c>
      <c r="N821" s="11">
        <f>13.7155 * CHOOSE(CONTROL!$C$32, $C$9, 100%, $E$9)</f>
        <v>13.7155</v>
      </c>
      <c r="O821" s="11">
        <f>13.7191 * CHOOSE(CONTROL!$C$32, $C$9, 100%, $E$9)</f>
        <v>13.719099999999999</v>
      </c>
    </row>
    <row r="822" spans="1:15" ht="15" x14ac:dyDescent="0.2">
      <c r="A822" s="13">
        <v>65867</v>
      </c>
      <c r="B822" s="9">
        <f>12.004 * CHOOSE(CONTROL!$C$32, $C$9, 100%, $E$9)</f>
        <v>12.004</v>
      </c>
      <c r="C822" s="9">
        <f>12.004 * CHOOSE(CONTROL!$C$32, $C$9, 100%, $E$9)</f>
        <v>12.004</v>
      </c>
      <c r="D822" s="9">
        <f>12.0056 * CHOOSE(CONTROL!$C$32, $C$9, 100%, $E$9)</f>
        <v>12.005599999999999</v>
      </c>
      <c r="E822" s="11">
        <f>13.8298 * CHOOSE(CONTROL!$C$32, $C$9, 100%, $E$9)</f>
        <v>13.829800000000001</v>
      </c>
      <c r="F822" s="11">
        <f>13.8298 * CHOOSE(CONTROL!$C$32, $C$9, 100%, $E$9)</f>
        <v>13.829800000000001</v>
      </c>
      <c r="G822" s="11">
        <f>13.835 * CHOOSE(CONTROL!$C$32, $C$9, 100%, $E$9)</f>
        <v>13.835000000000001</v>
      </c>
      <c r="H822" s="11">
        <f>27.2291 * CHOOSE(CONTROL!$C$32, $C$9, 100%, $E$9)</f>
        <v>27.229099999999999</v>
      </c>
      <c r="I822" s="11">
        <f>27.2344 * CHOOSE(CONTROL!$C$32, $C$9, 100%, $E$9)</f>
        <v>27.234400000000001</v>
      </c>
      <c r="J822" s="11">
        <f>27.2291 * CHOOSE(CONTROL!$C$32, $C$9, 100%, $E$9)</f>
        <v>27.229099999999999</v>
      </c>
      <c r="K822" s="11">
        <f>27.2344 * CHOOSE(CONTROL!$C$32, $C$9, 100%, $E$9)</f>
        <v>27.234400000000001</v>
      </c>
      <c r="L822" s="11">
        <f>13.8298 * CHOOSE(CONTROL!$C$32, $C$9, 100%, $E$9)</f>
        <v>13.829800000000001</v>
      </c>
      <c r="M822" s="11">
        <f>13.835 * CHOOSE(CONTROL!$C$32, $C$9, 100%, $E$9)</f>
        <v>13.835000000000001</v>
      </c>
      <c r="N822" s="11">
        <f>13.8298 * CHOOSE(CONTROL!$C$32, $C$9, 100%, $E$9)</f>
        <v>13.829800000000001</v>
      </c>
      <c r="O822" s="11">
        <f>13.835 * CHOOSE(CONTROL!$C$32, $C$9, 100%, $E$9)</f>
        <v>13.835000000000001</v>
      </c>
    </row>
    <row r="823" spans="1:15" ht="15" x14ac:dyDescent="0.2">
      <c r="A823" s="13">
        <v>65898</v>
      </c>
      <c r="B823" s="9">
        <f>12.0101 * CHOOSE(CONTROL!$C$32, $C$9, 100%, $E$9)</f>
        <v>12.0101</v>
      </c>
      <c r="C823" s="9">
        <f>12.0101 * CHOOSE(CONTROL!$C$32, $C$9, 100%, $E$9)</f>
        <v>12.0101</v>
      </c>
      <c r="D823" s="9">
        <f>12.0116 * CHOOSE(CONTROL!$C$32, $C$9, 100%, $E$9)</f>
        <v>12.0116</v>
      </c>
      <c r="E823" s="11">
        <f>13.7198 * CHOOSE(CONTROL!$C$32, $C$9, 100%, $E$9)</f>
        <v>13.719799999999999</v>
      </c>
      <c r="F823" s="11">
        <f>13.7198 * CHOOSE(CONTROL!$C$32, $C$9, 100%, $E$9)</f>
        <v>13.719799999999999</v>
      </c>
      <c r="G823" s="11">
        <f>13.7251 * CHOOSE(CONTROL!$C$32, $C$9, 100%, $E$9)</f>
        <v>13.725099999999999</v>
      </c>
      <c r="H823" s="11">
        <f>27.2858 * CHOOSE(CONTROL!$C$32, $C$9, 100%, $E$9)</f>
        <v>27.285799999999998</v>
      </c>
      <c r="I823" s="11">
        <f>27.2911 * CHOOSE(CONTROL!$C$32, $C$9, 100%, $E$9)</f>
        <v>27.2911</v>
      </c>
      <c r="J823" s="11">
        <f>27.2858 * CHOOSE(CONTROL!$C$32, $C$9, 100%, $E$9)</f>
        <v>27.285799999999998</v>
      </c>
      <c r="K823" s="11">
        <f>27.2911 * CHOOSE(CONTROL!$C$32, $C$9, 100%, $E$9)</f>
        <v>27.2911</v>
      </c>
      <c r="L823" s="11">
        <f>13.7198 * CHOOSE(CONTROL!$C$32, $C$9, 100%, $E$9)</f>
        <v>13.719799999999999</v>
      </c>
      <c r="M823" s="11">
        <f>13.7251 * CHOOSE(CONTROL!$C$32, $C$9, 100%, $E$9)</f>
        <v>13.725099999999999</v>
      </c>
      <c r="N823" s="11">
        <f>13.7198 * CHOOSE(CONTROL!$C$32, $C$9, 100%, $E$9)</f>
        <v>13.719799999999999</v>
      </c>
      <c r="O823" s="11">
        <f>13.7251 * CHOOSE(CONTROL!$C$32, $C$9, 100%, $E$9)</f>
        <v>13.725099999999999</v>
      </c>
    </row>
    <row r="824" spans="1:15" ht="15" x14ac:dyDescent="0.2">
      <c r="A824" s="13">
        <v>65928</v>
      </c>
      <c r="B824" s="9">
        <f>12.1565 * CHOOSE(CONTROL!$C$32, $C$9, 100%, $E$9)</f>
        <v>12.156499999999999</v>
      </c>
      <c r="C824" s="9">
        <f>12.1565 * CHOOSE(CONTROL!$C$32, $C$9, 100%, $E$9)</f>
        <v>12.156499999999999</v>
      </c>
      <c r="D824" s="9">
        <f>12.1581 * CHOOSE(CONTROL!$C$32, $C$9, 100%, $E$9)</f>
        <v>12.158099999999999</v>
      </c>
      <c r="E824" s="11">
        <f>13.9135 * CHOOSE(CONTROL!$C$32, $C$9, 100%, $E$9)</f>
        <v>13.913500000000001</v>
      </c>
      <c r="F824" s="11">
        <f>13.9135 * CHOOSE(CONTROL!$C$32, $C$9, 100%, $E$9)</f>
        <v>13.913500000000001</v>
      </c>
      <c r="G824" s="11">
        <f>13.9188 * CHOOSE(CONTROL!$C$32, $C$9, 100%, $E$9)</f>
        <v>13.918799999999999</v>
      </c>
      <c r="H824" s="11">
        <f>27.3427 * CHOOSE(CONTROL!$C$32, $C$9, 100%, $E$9)</f>
        <v>27.342700000000001</v>
      </c>
      <c r="I824" s="11">
        <f>27.348 * CHOOSE(CONTROL!$C$32, $C$9, 100%, $E$9)</f>
        <v>27.347999999999999</v>
      </c>
      <c r="J824" s="11">
        <f>27.3427 * CHOOSE(CONTROL!$C$32, $C$9, 100%, $E$9)</f>
        <v>27.342700000000001</v>
      </c>
      <c r="K824" s="11">
        <f>27.348 * CHOOSE(CONTROL!$C$32, $C$9, 100%, $E$9)</f>
        <v>27.347999999999999</v>
      </c>
      <c r="L824" s="11">
        <f>13.9135 * CHOOSE(CONTROL!$C$32, $C$9, 100%, $E$9)</f>
        <v>13.913500000000001</v>
      </c>
      <c r="M824" s="11">
        <f>13.9188 * CHOOSE(CONTROL!$C$32, $C$9, 100%, $E$9)</f>
        <v>13.918799999999999</v>
      </c>
      <c r="N824" s="11">
        <f>13.9135 * CHOOSE(CONTROL!$C$32, $C$9, 100%, $E$9)</f>
        <v>13.913500000000001</v>
      </c>
      <c r="O824" s="11">
        <f>13.9188 * CHOOSE(CONTROL!$C$32, $C$9, 100%, $E$9)</f>
        <v>13.918799999999999</v>
      </c>
    </row>
    <row r="825" spans="1:15" ht="15" x14ac:dyDescent="0.2">
      <c r="A825" s="13">
        <v>65959</v>
      </c>
      <c r="B825" s="9">
        <f>12.1632 * CHOOSE(CONTROL!$C$32, $C$9, 100%, $E$9)</f>
        <v>12.1632</v>
      </c>
      <c r="C825" s="9">
        <f>12.1632 * CHOOSE(CONTROL!$C$32, $C$9, 100%, $E$9)</f>
        <v>12.1632</v>
      </c>
      <c r="D825" s="9">
        <f>12.1648 * CHOOSE(CONTROL!$C$32, $C$9, 100%, $E$9)</f>
        <v>12.1648</v>
      </c>
      <c r="E825" s="11">
        <f>13.5755 * CHOOSE(CONTROL!$C$32, $C$9, 100%, $E$9)</f>
        <v>13.5755</v>
      </c>
      <c r="F825" s="11">
        <f>13.5755 * CHOOSE(CONTROL!$C$32, $C$9, 100%, $E$9)</f>
        <v>13.5755</v>
      </c>
      <c r="G825" s="11">
        <f>13.5808 * CHOOSE(CONTROL!$C$32, $C$9, 100%, $E$9)</f>
        <v>13.5808</v>
      </c>
      <c r="H825" s="11">
        <f>27.3996 * CHOOSE(CONTROL!$C$32, $C$9, 100%, $E$9)</f>
        <v>27.3996</v>
      </c>
      <c r="I825" s="11">
        <f>27.4049 * CHOOSE(CONTROL!$C$32, $C$9, 100%, $E$9)</f>
        <v>27.404900000000001</v>
      </c>
      <c r="J825" s="11">
        <f>27.3996 * CHOOSE(CONTROL!$C$32, $C$9, 100%, $E$9)</f>
        <v>27.3996</v>
      </c>
      <c r="K825" s="11">
        <f>27.4049 * CHOOSE(CONTROL!$C$32, $C$9, 100%, $E$9)</f>
        <v>27.404900000000001</v>
      </c>
      <c r="L825" s="11">
        <f>13.5755 * CHOOSE(CONTROL!$C$32, $C$9, 100%, $E$9)</f>
        <v>13.5755</v>
      </c>
      <c r="M825" s="11">
        <f>13.5808 * CHOOSE(CONTROL!$C$32, $C$9, 100%, $E$9)</f>
        <v>13.5808</v>
      </c>
      <c r="N825" s="11">
        <f>13.5755 * CHOOSE(CONTROL!$C$32, $C$9, 100%, $E$9)</f>
        <v>13.5755</v>
      </c>
      <c r="O825" s="11">
        <f>13.5808 * CHOOSE(CONTROL!$C$32, $C$9, 100%, $E$9)</f>
        <v>13.5808</v>
      </c>
    </row>
    <row r="826" spans="1:15" ht="15" x14ac:dyDescent="0.2">
      <c r="A826" s="13">
        <v>65990</v>
      </c>
      <c r="B826" s="9">
        <f>12.1601 * CHOOSE(CONTROL!$C$32, $C$9, 100%, $E$9)</f>
        <v>12.1601</v>
      </c>
      <c r="C826" s="9">
        <f>12.1601 * CHOOSE(CONTROL!$C$32, $C$9, 100%, $E$9)</f>
        <v>12.1601</v>
      </c>
      <c r="D826" s="9">
        <f>12.1617 * CHOOSE(CONTROL!$C$32, $C$9, 100%, $E$9)</f>
        <v>12.1617</v>
      </c>
      <c r="E826" s="11">
        <f>13.5353 * CHOOSE(CONTROL!$C$32, $C$9, 100%, $E$9)</f>
        <v>13.535299999999999</v>
      </c>
      <c r="F826" s="11">
        <f>13.5353 * CHOOSE(CONTROL!$C$32, $C$9, 100%, $E$9)</f>
        <v>13.535299999999999</v>
      </c>
      <c r="G826" s="11">
        <f>13.5406 * CHOOSE(CONTROL!$C$32, $C$9, 100%, $E$9)</f>
        <v>13.5406</v>
      </c>
      <c r="H826" s="11">
        <f>27.4567 * CHOOSE(CONTROL!$C$32, $C$9, 100%, $E$9)</f>
        <v>27.456700000000001</v>
      </c>
      <c r="I826" s="11">
        <f>27.462 * CHOOSE(CONTROL!$C$32, $C$9, 100%, $E$9)</f>
        <v>27.462</v>
      </c>
      <c r="J826" s="11">
        <f>27.4567 * CHOOSE(CONTROL!$C$32, $C$9, 100%, $E$9)</f>
        <v>27.456700000000001</v>
      </c>
      <c r="K826" s="11">
        <f>27.462 * CHOOSE(CONTROL!$C$32, $C$9, 100%, $E$9)</f>
        <v>27.462</v>
      </c>
      <c r="L826" s="11">
        <f>13.5353 * CHOOSE(CONTROL!$C$32, $C$9, 100%, $E$9)</f>
        <v>13.535299999999999</v>
      </c>
      <c r="M826" s="11">
        <f>13.5406 * CHOOSE(CONTROL!$C$32, $C$9, 100%, $E$9)</f>
        <v>13.5406</v>
      </c>
      <c r="N826" s="11">
        <f>13.5353 * CHOOSE(CONTROL!$C$32, $C$9, 100%, $E$9)</f>
        <v>13.535299999999999</v>
      </c>
      <c r="O826" s="11">
        <f>13.5406 * CHOOSE(CONTROL!$C$32, $C$9, 100%, $E$9)</f>
        <v>13.5406</v>
      </c>
    </row>
    <row r="827" spans="1:15" ht="15" x14ac:dyDescent="0.2">
      <c r="A827" s="13">
        <v>66020</v>
      </c>
      <c r="B827" s="9">
        <f>12.1857 * CHOOSE(CONTROL!$C$32, $C$9, 100%, $E$9)</f>
        <v>12.185700000000001</v>
      </c>
      <c r="C827" s="9">
        <f>12.1857 * CHOOSE(CONTROL!$C$32, $C$9, 100%, $E$9)</f>
        <v>12.185700000000001</v>
      </c>
      <c r="D827" s="9">
        <f>12.1868 * CHOOSE(CONTROL!$C$32, $C$9, 100%, $E$9)</f>
        <v>12.1868</v>
      </c>
      <c r="E827" s="11">
        <f>13.6742 * CHOOSE(CONTROL!$C$32, $C$9, 100%, $E$9)</f>
        <v>13.674200000000001</v>
      </c>
      <c r="F827" s="11">
        <f>13.6742 * CHOOSE(CONTROL!$C$32, $C$9, 100%, $E$9)</f>
        <v>13.674200000000001</v>
      </c>
      <c r="G827" s="11">
        <f>13.6778 * CHOOSE(CONTROL!$C$32, $C$9, 100%, $E$9)</f>
        <v>13.6778</v>
      </c>
      <c r="H827" s="11">
        <f>27.5139 * CHOOSE(CONTROL!$C$32, $C$9, 100%, $E$9)</f>
        <v>27.5139</v>
      </c>
      <c r="I827" s="11">
        <f>27.5175 * CHOOSE(CONTROL!$C$32, $C$9, 100%, $E$9)</f>
        <v>27.517499999999998</v>
      </c>
      <c r="J827" s="11">
        <f>27.5139 * CHOOSE(CONTROL!$C$32, $C$9, 100%, $E$9)</f>
        <v>27.5139</v>
      </c>
      <c r="K827" s="11">
        <f>27.5175 * CHOOSE(CONTROL!$C$32, $C$9, 100%, $E$9)</f>
        <v>27.517499999999998</v>
      </c>
      <c r="L827" s="11">
        <f>13.6742 * CHOOSE(CONTROL!$C$32, $C$9, 100%, $E$9)</f>
        <v>13.674200000000001</v>
      </c>
      <c r="M827" s="11">
        <f>13.6778 * CHOOSE(CONTROL!$C$32, $C$9, 100%, $E$9)</f>
        <v>13.6778</v>
      </c>
      <c r="N827" s="11">
        <f>13.6742 * CHOOSE(CONTROL!$C$32, $C$9, 100%, $E$9)</f>
        <v>13.674200000000001</v>
      </c>
      <c r="O827" s="11">
        <f>13.6778 * CHOOSE(CONTROL!$C$32, $C$9, 100%, $E$9)</f>
        <v>13.6778</v>
      </c>
    </row>
    <row r="828" spans="1:15" ht="15" x14ac:dyDescent="0.2">
      <c r="A828" s="13">
        <v>66051</v>
      </c>
      <c r="B828" s="9">
        <f>12.1887 * CHOOSE(CONTROL!$C$32, $C$9, 100%, $E$9)</f>
        <v>12.188700000000001</v>
      </c>
      <c r="C828" s="9">
        <f>12.1887 * CHOOSE(CONTROL!$C$32, $C$9, 100%, $E$9)</f>
        <v>12.188700000000001</v>
      </c>
      <c r="D828" s="9">
        <f>12.1898 * CHOOSE(CONTROL!$C$32, $C$9, 100%, $E$9)</f>
        <v>12.1898</v>
      </c>
      <c r="E828" s="11">
        <f>13.7524 * CHOOSE(CONTROL!$C$32, $C$9, 100%, $E$9)</f>
        <v>13.7524</v>
      </c>
      <c r="F828" s="11">
        <f>13.7524 * CHOOSE(CONTROL!$C$32, $C$9, 100%, $E$9)</f>
        <v>13.7524</v>
      </c>
      <c r="G828" s="11">
        <f>13.7561 * CHOOSE(CONTROL!$C$32, $C$9, 100%, $E$9)</f>
        <v>13.7561</v>
      </c>
      <c r="H828" s="11">
        <f>27.5712 * CHOOSE(CONTROL!$C$32, $C$9, 100%, $E$9)</f>
        <v>27.571200000000001</v>
      </c>
      <c r="I828" s="11">
        <f>27.5749 * CHOOSE(CONTROL!$C$32, $C$9, 100%, $E$9)</f>
        <v>27.5749</v>
      </c>
      <c r="J828" s="11">
        <f>27.5712 * CHOOSE(CONTROL!$C$32, $C$9, 100%, $E$9)</f>
        <v>27.571200000000001</v>
      </c>
      <c r="K828" s="11">
        <f>27.5749 * CHOOSE(CONTROL!$C$32, $C$9, 100%, $E$9)</f>
        <v>27.5749</v>
      </c>
      <c r="L828" s="11">
        <f>13.7524 * CHOOSE(CONTROL!$C$32, $C$9, 100%, $E$9)</f>
        <v>13.7524</v>
      </c>
      <c r="M828" s="11">
        <f>13.7561 * CHOOSE(CONTROL!$C$32, $C$9, 100%, $E$9)</f>
        <v>13.7561</v>
      </c>
      <c r="N828" s="11">
        <f>13.7524 * CHOOSE(CONTROL!$C$32, $C$9, 100%, $E$9)</f>
        <v>13.7524</v>
      </c>
      <c r="O828" s="11">
        <f>13.7561 * CHOOSE(CONTROL!$C$32, $C$9, 100%, $E$9)</f>
        <v>13.7561</v>
      </c>
    </row>
    <row r="829" spans="1:15" ht="15" x14ac:dyDescent="0.2">
      <c r="A829" s="13">
        <v>66081</v>
      </c>
      <c r="B829" s="9">
        <f>12.1887 * CHOOSE(CONTROL!$C$32, $C$9, 100%, $E$9)</f>
        <v>12.188700000000001</v>
      </c>
      <c r="C829" s="9">
        <f>12.1887 * CHOOSE(CONTROL!$C$32, $C$9, 100%, $E$9)</f>
        <v>12.188700000000001</v>
      </c>
      <c r="D829" s="9">
        <f>12.1898 * CHOOSE(CONTROL!$C$32, $C$9, 100%, $E$9)</f>
        <v>12.1898</v>
      </c>
      <c r="E829" s="11">
        <f>13.5621 * CHOOSE(CONTROL!$C$32, $C$9, 100%, $E$9)</f>
        <v>13.562099999999999</v>
      </c>
      <c r="F829" s="11">
        <f>13.5621 * CHOOSE(CONTROL!$C$32, $C$9, 100%, $E$9)</f>
        <v>13.562099999999999</v>
      </c>
      <c r="G829" s="11">
        <f>13.5657 * CHOOSE(CONTROL!$C$32, $C$9, 100%, $E$9)</f>
        <v>13.5657</v>
      </c>
      <c r="H829" s="11">
        <f>27.6287 * CHOOSE(CONTROL!$C$32, $C$9, 100%, $E$9)</f>
        <v>27.628699999999998</v>
      </c>
      <c r="I829" s="11">
        <f>27.6323 * CHOOSE(CONTROL!$C$32, $C$9, 100%, $E$9)</f>
        <v>27.632300000000001</v>
      </c>
      <c r="J829" s="11">
        <f>27.6287 * CHOOSE(CONTROL!$C$32, $C$9, 100%, $E$9)</f>
        <v>27.628699999999998</v>
      </c>
      <c r="K829" s="11">
        <f>27.6323 * CHOOSE(CONTROL!$C$32, $C$9, 100%, $E$9)</f>
        <v>27.632300000000001</v>
      </c>
      <c r="L829" s="11">
        <f>13.5621 * CHOOSE(CONTROL!$C$32, $C$9, 100%, $E$9)</f>
        <v>13.562099999999999</v>
      </c>
      <c r="M829" s="11">
        <f>13.5657 * CHOOSE(CONTROL!$C$32, $C$9, 100%, $E$9)</f>
        <v>13.5657</v>
      </c>
      <c r="N829" s="11">
        <f>13.5621 * CHOOSE(CONTROL!$C$32, $C$9, 100%, $E$9)</f>
        <v>13.562099999999999</v>
      </c>
      <c r="O829" s="11">
        <f>13.5657 * CHOOSE(CONTROL!$C$32, $C$9, 100%, $E$9)</f>
        <v>13.5657</v>
      </c>
    </row>
    <row r="830" spans="1:15" ht="15" x14ac:dyDescent="0.2">
      <c r="A830" s="13">
        <v>66112</v>
      </c>
      <c r="B830" s="9">
        <f>12.192 * CHOOSE(CONTROL!$C$32, $C$9, 100%, $E$9)</f>
        <v>12.192</v>
      </c>
      <c r="C830" s="9">
        <f>12.192 * CHOOSE(CONTROL!$C$32, $C$9, 100%, $E$9)</f>
        <v>12.192</v>
      </c>
      <c r="D830" s="9">
        <f>12.1931 * CHOOSE(CONTROL!$C$32, $C$9, 100%, $E$9)</f>
        <v>12.193099999999999</v>
      </c>
      <c r="E830" s="11">
        <f>13.7081 * CHOOSE(CONTROL!$C$32, $C$9, 100%, $E$9)</f>
        <v>13.7081</v>
      </c>
      <c r="F830" s="11">
        <f>13.7081 * CHOOSE(CONTROL!$C$32, $C$9, 100%, $E$9)</f>
        <v>13.7081</v>
      </c>
      <c r="G830" s="11">
        <f>13.7117 * CHOOSE(CONTROL!$C$32, $C$9, 100%, $E$9)</f>
        <v>13.7117</v>
      </c>
      <c r="H830" s="11">
        <f>27.4569 * CHOOSE(CONTROL!$C$32, $C$9, 100%, $E$9)</f>
        <v>27.456900000000001</v>
      </c>
      <c r="I830" s="11">
        <f>27.4605 * CHOOSE(CONTROL!$C$32, $C$9, 100%, $E$9)</f>
        <v>27.4605</v>
      </c>
      <c r="J830" s="11">
        <f>27.4569 * CHOOSE(CONTROL!$C$32, $C$9, 100%, $E$9)</f>
        <v>27.456900000000001</v>
      </c>
      <c r="K830" s="11">
        <f>27.4605 * CHOOSE(CONTROL!$C$32, $C$9, 100%, $E$9)</f>
        <v>27.4605</v>
      </c>
      <c r="L830" s="11">
        <f>13.7081 * CHOOSE(CONTROL!$C$32, $C$9, 100%, $E$9)</f>
        <v>13.7081</v>
      </c>
      <c r="M830" s="11">
        <f>13.7117 * CHOOSE(CONTROL!$C$32, $C$9, 100%, $E$9)</f>
        <v>13.7117</v>
      </c>
      <c r="N830" s="11">
        <f>13.7081 * CHOOSE(CONTROL!$C$32, $C$9, 100%, $E$9)</f>
        <v>13.7081</v>
      </c>
      <c r="O830" s="11">
        <f>13.7117 * CHOOSE(CONTROL!$C$32, $C$9, 100%, $E$9)</f>
        <v>13.7117</v>
      </c>
    </row>
    <row r="831" spans="1:15" ht="15" x14ac:dyDescent="0.2">
      <c r="A831" s="13">
        <v>66143</v>
      </c>
      <c r="B831" s="9">
        <f>12.189 * CHOOSE(CONTROL!$C$32, $C$9, 100%, $E$9)</f>
        <v>12.189</v>
      </c>
      <c r="C831" s="9">
        <f>12.189 * CHOOSE(CONTROL!$C$32, $C$9, 100%, $E$9)</f>
        <v>12.189</v>
      </c>
      <c r="D831" s="9">
        <f>12.19 * CHOOSE(CONTROL!$C$32, $C$9, 100%, $E$9)</f>
        <v>12.19</v>
      </c>
      <c r="E831" s="11">
        <f>13.3391 * CHOOSE(CONTROL!$C$32, $C$9, 100%, $E$9)</f>
        <v>13.3391</v>
      </c>
      <c r="F831" s="11">
        <f>13.3391 * CHOOSE(CONTROL!$C$32, $C$9, 100%, $E$9)</f>
        <v>13.3391</v>
      </c>
      <c r="G831" s="11">
        <f>13.3427 * CHOOSE(CONTROL!$C$32, $C$9, 100%, $E$9)</f>
        <v>13.342700000000001</v>
      </c>
      <c r="H831" s="11">
        <f>27.5141 * CHOOSE(CONTROL!$C$32, $C$9, 100%, $E$9)</f>
        <v>27.514099999999999</v>
      </c>
      <c r="I831" s="11">
        <f>27.5177 * CHOOSE(CONTROL!$C$32, $C$9, 100%, $E$9)</f>
        <v>27.517700000000001</v>
      </c>
      <c r="J831" s="11">
        <f>27.5141 * CHOOSE(CONTROL!$C$32, $C$9, 100%, $E$9)</f>
        <v>27.514099999999999</v>
      </c>
      <c r="K831" s="11">
        <f>27.5177 * CHOOSE(CONTROL!$C$32, $C$9, 100%, $E$9)</f>
        <v>27.517700000000001</v>
      </c>
      <c r="L831" s="11">
        <f>13.3391 * CHOOSE(CONTROL!$C$32, $C$9, 100%, $E$9)</f>
        <v>13.3391</v>
      </c>
      <c r="M831" s="11">
        <f>13.3427 * CHOOSE(CONTROL!$C$32, $C$9, 100%, $E$9)</f>
        <v>13.342700000000001</v>
      </c>
      <c r="N831" s="11">
        <f>13.3391 * CHOOSE(CONTROL!$C$32, $C$9, 100%, $E$9)</f>
        <v>13.3391</v>
      </c>
      <c r="O831" s="11">
        <f>13.3427 * CHOOSE(CONTROL!$C$32, $C$9, 100%, $E$9)</f>
        <v>13.342700000000001</v>
      </c>
    </row>
    <row r="832" spans="1:15" ht="15" x14ac:dyDescent="0.2">
      <c r="A832" s="13">
        <v>66171</v>
      </c>
      <c r="B832" s="9">
        <f>12.1859 * CHOOSE(CONTROL!$C$32, $C$9, 100%, $E$9)</f>
        <v>12.1859</v>
      </c>
      <c r="C832" s="9">
        <f>12.1859 * CHOOSE(CONTROL!$C$32, $C$9, 100%, $E$9)</f>
        <v>12.1859</v>
      </c>
      <c r="D832" s="9">
        <f>12.187 * CHOOSE(CONTROL!$C$32, $C$9, 100%, $E$9)</f>
        <v>12.186999999999999</v>
      </c>
      <c r="E832" s="11">
        <f>13.6262 * CHOOSE(CONTROL!$C$32, $C$9, 100%, $E$9)</f>
        <v>13.626200000000001</v>
      </c>
      <c r="F832" s="11">
        <f>13.6262 * CHOOSE(CONTROL!$C$32, $C$9, 100%, $E$9)</f>
        <v>13.626200000000001</v>
      </c>
      <c r="G832" s="11">
        <f>13.6298 * CHOOSE(CONTROL!$C$32, $C$9, 100%, $E$9)</f>
        <v>13.629799999999999</v>
      </c>
      <c r="H832" s="11">
        <f>27.5714 * CHOOSE(CONTROL!$C$32, $C$9, 100%, $E$9)</f>
        <v>27.571400000000001</v>
      </c>
      <c r="I832" s="11">
        <f>27.575 * CHOOSE(CONTROL!$C$32, $C$9, 100%, $E$9)</f>
        <v>27.574999999999999</v>
      </c>
      <c r="J832" s="11">
        <f>27.5714 * CHOOSE(CONTROL!$C$32, $C$9, 100%, $E$9)</f>
        <v>27.571400000000001</v>
      </c>
      <c r="K832" s="11">
        <f>27.575 * CHOOSE(CONTROL!$C$32, $C$9, 100%, $E$9)</f>
        <v>27.574999999999999</v>
      </c>
      <c r="L832" s="11">
        <f>13.6262 * CHOOSE(CONTROL!$C$32, $C$9, 100%, $E$9)</f>
        <v>13.626200000000001</v>
      </c>
      <c r="M832" s="11">
        <f>13.6298 * CHOOSE(CONTROL!$C$32, $C$9, 100%, $E$9)</f>
        <v>13.629799999999999</v>
      </c>
      <c r="N832" s="11">
        <f>13.6262 * CHOOSE(CONTROL!$C$32, $C$9, 100%, $E$9)</f>
        <v>13.626200000000001</v>
      </c>
      <c r="O832" s="11">
        <f>13.6298 * CHOOSE(CONTROL!$C$32, $C$9, 100%, $E$9)</f>
        <v>13.629799999999999</v>
      </c>
    </row>
    <row r="833" spans="1:15" ht="15" x14ac:dyDescent="0.2">
      <c r="A833" s="13">
        <v>66202</v>
      </c>
      <c r="B833" s="9">
        <f>12.1915 * CHOOSE(CONTROL!$C$32, $C$9, 100%, $E$9)</f>
        <v>12.1915</v>
      </c>
      <c r="C833" s="9">
        <f>12.1915 * CHOOSE(CONTROL!$C$32, $C$9, 100%, $E$9)</f>
        <v>12.1915</v>
      </c>
      <c r="D833" s="9">
        <f>12.1926 * CHOOSE(CONTROL!$C$32, $C$9, 100%, $E$9)</f>
        <v>12.192600000000001</v>
      </c>
      <c r="E833" s="11">
        <f>13.9325 * CHOOSE(CONTROL!$C$32, $C$9, 100%, $E$9)</f>
        <v>13.932499999999999</v>
      </c>
      <c r="F833" s="11">
        <f>13.9325 * CHOOSE(CONTROL!$C$32, $C$9, 100%, $E$9)</f>
        <v>13.932499999999999</v>
      </c>
      <c r="G833" s="11">
        <f>13.9361 * CHOOSE(CONTROL!$C$32, $C$9, 100%, $E$9)</f>
        <v>13.9361</v>
      </c>
      <c r="H833" s="11">
        <f>27.6288 * CHOOSE(CONTROL!$C$32, $C$9, 100%, $E$9)</f>
        <v>27.628799999999998</v>
      </c>
      <c r="I833" s="11">
        <f>27.6325 * CHOOSE(CONTROL!$C$32, $C$9, 100%, $E$9)</f>
        <v>27.6325</v>
      </c>
      <c r="J833" s="11">
        <f>27.6288 * CHOOSE(CONTROL!$C$32, $C$9, 100%, $E$9)</f>
        <v>27.628799999999998</v>
      </c>
      <c r="K833" s="11">
        <f>27.6325 * CHOOSE(CONTROL!$C$32, $C$9, 100%, $E$9)</f>
        <v>27.6325</v>
      </c>
      <c r="L833" s="11">
        <f>13.9325 * CHOOSE(CONTROL!$C$32, $C$9, 100%, $E$9)</f>
        <v>13.932499999999999</v>
      </c>
      <c r="M833" s="11">
        <f>13.9361 * CHOOSE(CONTROL!$C$32, $C$9, 100%, $E$9)</f>
        <v>13.9361</v>
      </c>
      <c r="N833" s="11">
        <f>13.9325 * CHOOSE(CONTROL!$C$32, $C$9, 100%, $E$9)</f>
        <v>13.932499999999999</v>
      </c>
      <c r="O833" s="11">
        <f>13.9361 * CHOOSE(CONTROL!$C$32, $C$9, 100%, $E$9)</f>
        <v>13.9361</v>
      </c>
    </row>
    <row r="834" spans="1:15" ht="15" x14ac:dyDescent="0.2">
      <c r="A834" s="13">
        <v>66232</v>
      </c>
      <c r="B834" s="9">
        <f>12.1915 * CHOOSE(CONTROL!$C$32, $C$9, 100%, $E$9)</f>
        <v>12.1915</v>
      </c>
      <c r="C834" s="9">
        <f>12.1915 * CHOOSE(CONTROL!$C$32, $C$9, 100%, $E$9)</f>
        <v>12.1915</v>
      </c>
      <c r="D834" s="9">
        <f>12.1931 * CHOOSE(CONTROL!$C$32, $C$9, 100%, $E$9)</f>
        <v>12.193099999999999</v>
      </c>
      <c r="E834" s="11">
        <f>14.049 * CHOOSE(CONTROL!$C$32, $C$9, 100%, $E$9)</f>
        <v>14.048999999999999</v>
      </c>
      <c r="F834" s="11">
        <f>14.049 * CHOOSE(CONTROL!$C$32, $C$9, 100%, $E$9)</f>
        <v>14.048999999999999</v>
      </c>
      <c r="G834" s="11">
        <f>14.0543 * CHOOSE(CONTROL!$C$32, $C$9, 100%, $E$9)</f>
        <v>14.0543</v>
      </c>
      <c r="H834" s="11">
        <f>27.6864 * CHOOSE(CONTROL!$C$32, $C$9, 100%, $E$9)</f>
        <v>27.686399999999999</v>
      </c>
      <c r="I834" s="11">
        <f>27.6917 * CHOOSE(CONTROL!$C$32, $C$9, 100%, $E$9)</f>
        <v>27.691700000000001</v>
      </c>
      <c r="J834" s="11">
        <f>27.6864 * CHOOSE(CONTROL!$C$32, $C$9, 100%, $E$9)</f>
        <v>27.686399999999999</v>
      </c>
      <c r="K834" s="11">
        <f>27.6917 * CHOOSE(CONTROL!$C$32, $C$9, 100%, $E$9)</f>
        <v>27.691700000000001</v>
      </c>
      <c r="L834" s="11">
        <f>14.049 * CHOOSE(CONTROL!$C$32, $C$9, 100%, $E$9)</f>
        <v>14.048999999999999</v>
      </c>
      <c r="M834" s="11">
        <f>14.0543 * CHOOSE(CONTROL!$C$32, $C$9, 100%, $E$9)</f>
        <v>14.0543</v>
      </c>
      <c r="N834" s="11">
        <f>14.049 * CHOOSE(CONTROL!$C$32, $C$9, 100%, $E$9)</f>
        <v>14.048999999999999</v>
      </c>
      <c r="O834" s="11">
        <f>14.0543 * CHOOSE(CONTROL!$C$32, $C$9, 100%, $E$9)</f>
        <v>14.0543</v>
      </c>
    </row>
    <row r="835" spans="1:15" ht="15" x14ac:dyDescent="0.2">
      <c r="A835" s="13">
        <v>66263</v>
      </c>
      <c r="B835" s="9">
        <f>12.1976 * CHOOSE(CONTROL!$C$32, $C$9, 100%, $E$9)</f>
        <v>12.1976</v>
      </c>
      <c r="C835" s="9">
        <f>12.1976 * CHOOSE(CONTROL!$C$32, $C$9, 100%, $E$9)</f>
        <v>12.1976</v>
      </c>
      <c r="D835" s="9">
        <f>12.1992 * CHOOSE(CONTROL!$C$32, $C$9, 100%, $E$9)</f>
        <v>12.199199999999999</v>
      </c>
      <c r="E835" s="11">
        <f>13.9368 * CHOOSE(CONTROL!$C$32, $C$9, 100%, $E$9)</f>
        <v>13.9368</v>
      </c>
      <c r="F835" s="11">
        <f>13.9368 * CHOOSE(CONTROL!$C$32, $C$9, 100%, $E$9)</f>
        <v>13.9368</v>
      </c>
      <c r="G835" s="11">
        <f>13.9421 * CHOOSE(CONTROL!$C$32, $C$9, 100%, $E$9)</f>
        <v>13.9421</v>
      </c>
      <c r="H835" s="11">
        <f>27.7441 * CHOOSE(CONTROL!$C$32, $C$9, 100%, $E$9)</f>
        <v>27.7441</v>
      </c>
      <c r="I835" s="11">
        <f>27.7494 * CHOOSE(CONTROL!$C$32, $C$9, 100%, $E$9)</f>
        <v>27.749400000000001</v>
      </c>
      <c r="J835" s="11">
        <f>27.7441 * CHOOSE(CONTROL!$C$32, $C$9, 100%, $E$9)</f>
        <v>27.7441</v>
      </c>
      <c r="K835" s="11">
        <f>27.7494 * CHOOSE(CONTROL!$C$32, $C$9, 100%, $E$9)</f>
        <v>27.749400000000001</v>
      </c>
      <c r="L835" s="11">
        <f>13.9368 * CHOOSE(CONTROL!$C$32, $C$9, 100%, $E$9)</f>
        <v>13.9368</v>
      </c>
      <c r="M835" s="11">
        <f>13.9421 * CHOOSE(CONTROL!$C$32, $C$9, 100%, $E$9)</f>
        <v>13.9421</v>
      </c>
      <c r="N835" s="11">
        <f>13.9368 * CHOOSE(CONTROL!$C$32, $C$9, 100%, $E$9)</f>
        <v>13.9368</v>
      </c>
      <c r="O835" s="11">
        <f>13.9421 * CHOOSE(CONTROL!$C$32, $C$9, 100%, $E$9)</f>
        <v>13.9421</v>
      </c>
    </row>
    <row r="836" spans="1:15" ht="15" x14ac:dyDescent="0.2">
      <c r="A836" s="13">
        <v>66293</v>
      </c>
      <c r="B836" s="9">
        <f>12.3461 * CHOOSE(CONTROL!$C$32, $C$9, 100%, $E$9)</f>
        <v>12.3461</v>
      </c>
      <c r="C836" s="9">
        <f>12.3461 * CHOOSE(CONTROL!$C$32, $C$9, 100%, $E$9)</f>
        <v>12.3461</v>
      </c>
      <c r="D836" s="9">
        <f>12.3477 * CHOOSE(CONTROL!$C$32, $C$9, 100%, $E$9)</f>
        <v>12.3477</v>
      </c>
      <c r="E836" s="11">
        <f>14.1337 * CHOOSE(CONTROL!$C$32, $C$9, 100%, $E$9)</f>
        <v>14.133699999999999</v>
      </c>
      <c r="F836" s="11">
        <f>14.1337 * CHOOSE(CONTROL!$C$32, $C$9, 100%, $E$9)</f>
        <v>14.133699999999999</v>
      </c>
      <c r="G836" s="11">
        <f>14.139 * CHOOSE(CONTROL!$C$32, $C$9, 100%, $E$9)</f>
        <v>14.138999999999999</v>
      </c>
      <c r="H836" s="11">
        <f>27.8019 * CHOOSE(CONTROL!$C$32, $C$9, 100%, $E$9)</f>
        <v>27.8019</v>
      </c>
      <c r="I836" s="11">
        <f>27.8072 * CHOOSE(CONTROL!$C$32, $C$9, 100%, $E$9)</f>
        <v>27.807200000000002</v>
      </c>
      <c r="J836" s="11">
        <f>27.8019 * CHOOSE(CONTROL!$C$32, $C$9, 100%, $E$9)</f>
        <v>27.8019</v>
      </c>
      <c r="K836" s="11">
        <f>27.8072 * CHOOSE(CONTROL!$C$32, $C$9, 100%, $E$9)</f>
        <v>27.807200000000002</v>
      </c>
      <c r="L836" s="11">
        <f>14.1337 * CHOOSE(CONTROL!$C$32, $C$9, 100%, $E$9)</f>
        <v>14.133699999999999</v>
      </c>
      <c r="M836" s="11">
        <f>14.139 * CHOOSE(CONTROL!$C$32, $C$9, 100%, $E$9)</f>
        <v>14.138999999999999</v>
      </c>
      <c r="N836" s="11">
        <f>14.1337 * CHOOSE(CONTROL!$C$32, $C$9, 100%, $E$9)</f>
        <v>14.133699999999999</v>
      </c>
      <c r="O836" s="11">
        <f>14.139 * CHOOSE(CONTROL!$C$32, $C$9, 100%, $E$9)</f>
        <v>14.138999999999999</v>
      </c>
    </row>
    <row r="837" spans="1:15" ht="15" x14ac:dyDescent="0.2">
      <c r="A837" s="13">
        <v>66324</v>
      </c>
      <c r="B837" s="9">
        <f>12.3528 * CHOOSE(CONTROL!$C$32, $C$9, 100%, $E$9)</f>
        <v>12.3528</v>
      </c>
      <c r="C837" s="9">
        <f>12.3528 * CHOOSE(CONTROL!$C$32, $C$9, 100%, $E$9)</f>
        <v>12.3528</v>
      </c>
      <c r="D837" s="9">
        <f>12.3544 * CHOOSE(CONTROL!$C$32, $C$9, 100%, $E$9)</f>
        <v>12.3544</v>
      </c>
      <c r="E837" s="11">
        <f>13.7889 * CHOOSE(CONTROL!$C$32, $C$9, 100%, $E$9)</f>
        <v>13.7889</v>
      </c>
      <c r="F837" s="11">
        <f>13.7889 * CHOOSE(CONTROL!$C$32, $C$9, 100%, $E$9)</f>
        <v>13.7889</v>
      </c>
      <c r="G837" s="11">
        <f>13.7942 * CHOOSE(CONTROL!$C$32, $C$9, 100%, $E$9)</f>
        <v>13.7942</v>
      </c>
      <c r="H837" s="11">
        <f>27.8598 * CHOOSE(CONTROL!$C$32, $C$9, 100%, $E$9)</f>
        <v>27.8598</v>
      </c>
      <c r="I837" s="11">
        <f>27.8651 * CHOOSE(CONTROL!$C$32, $C$9, 100%, $E$9)</f>
        <v>27.865100000000002</v>
      </c>
      <c r="J837" s="11">
        <f>27.8598 * CHOOSE(CONTROL!$C$32, $C$9, 100%, $E$9)</f>
        <v>27.8598</v>
      </c>
      <c r="K837" s="11">
        <f>27.8651 * CHOOSE(CONTROL!$C$32, $C$9, 100%, $E$9)</f>
        <v>27.865100000000002</v>
      </c>
      <c r="L837" s="11">
        <f>13.7889 * CHOOSE(CONTROL!$C$32, $C$9, 100%, $E$9)</f>
        <v>13.7889</v>
      </c>
      <c r="M837" s="11">
        <f>13.7942 * CHOOSE(CONTROL!$C$32, $C$9, 100%, $E$9)</f>
        <v>13.7942</v>
      </c>
      <c r="N837" s="11">
        <f>13.7889 * CHOOSE(CONTROL!$C$32, $C$9, 100%, $E$9)</f>
        <v>13.7889</v>
      </c>
      <c r="O837" s="11">
        <f>13.7942 * CHOOSE(CONTROL!$C$32, $C$9, 100%, $E$9)</f>
        <v>13.7942</v>
      </c>
    </row>
    <row r="838" spans="1:15" ht="15" x14ac:dyDescent="0.2">
      <c r="A838" s="13">
        <v>66355</v>
      </c>
      <c r="B838" s="9">
        <f>12.3497 * CHOOSE(CONTROL!$C$32, $C$9, 100%, $E$9)</f>
        <v>12.3497</v>
      </c>
      <c r="C838" s="9">
        <f>12.3497 * CHOOSE(CONTROL!$C$32, $C$9, 100%, $E$9)</f>
        <v>12.3497</v>
      </c>
      <c r="D838" s="9">
        <f>12.3513 * CHOOSE(CONTROL!$C$32, $C$9, 100%, $E$9)</f>
        <v>12.3513</v>
      </c>
      <c r="E838" s="11">
        <f>13.748 * CHOOSE(CONTROL!$C$32, $C$9, 100%, $E$9)</f>
        <v>13.747999999999999</v>
      </c>
      <c r="F838" s="11">
        <f>13.748 * CHOOSE(CONTROL!$C$32, $C$9, 100%, $E$9)</f>
        <v>13.747999999999999</v>
      </c>
      <c r="G838" s="11">
        <f>13.7533 * CHOOSE(CONTROL!$C$32, $C$9, 100%, $E$9)</f>
        <v>13.753299999999999</v>
      </c>
      <c r="H838" s="11">
        <f>27.9178 * CHOOSE(CONTROL!$C$32, $C$9, 100%, $E$9)</f>
        <v>27.9178</v>
      </c>
      <c r="I838" s="11">
        <f>27.9231 * CHOOSE(CONTROL!$C$32, $C$9, 100%, $E$9)</f>
        <v>27.923100000000002</v>
      </c>
      <c r="J838" s="11">
        <f>27.9178 * CHOOSE(CONTROL!$C$32, $C$9, 100%, $E$9)</f>
        <v>27.9178</v>
      </c>
      <c r="K838" s="11">
        <f>27.9231 * CHOOSE(CONTROL!$C$32, $C$9, 100%, $E$9)</f>
        <v>27.923100000000002</v>
      </c>
      <c r="L838" s="11">
        <f>13.748 * CHOOSE(CONTROL!$C$32, $C$9, 100%, $E$9)</f>
        <v>13.747999999999999</v>
      </c>
      <c r="M838" s="11">
        <f>13.7533 * CHOOSE(CONTROL!$C$32, $C$9, 100%, $E$9)</f>
        <v>13.753299999999999</v>
      </c>
      <c r="N838" s="11">
        <f>13.748 * CHOOSE(CONTROL!$C$32, $C$9, 100%, $E$9)</f>
        <v>13.747999999999999</v>
      </c>
      <c r="O838" s="11">
        <f>13.7533 * CHOOSE(CONTROL!$C$32, $C$9, 100%, $E$9)</f>
        <v>13.753299999999999</v>
      </c>
    </row>
    <row r="839" spans="1:15" ht="15" x14ac:dyDescent="0.2">
      <c r="A839" s="13">
        <v>66385</v>
      </c>
      <c r="B839" s="9">
        <f>12.376 * CHOOSE(CONTROL!$C$32, $C$9, 100%, $E$9)</f>
        <v>12.375999999999999</v>
      </c>
      <c r="C839" s="9">
        <f>12.376 * CHOOSE(CONTROL!$C$32, $C$9, 100%, $E$9)</f>
        <v>12.375999999999999</v>
      </c>
      <c r="D839" s="9">
        <f>12.3771 * CHOOSE(CONTROL!$C$32, $C$9, 100%, $E$9)</f>
        <v>12.3771</v>
      </c>
      <c r="E839" s="11">
        <f>13.8899 * CHOOSE(CONTROL!$C$32, $C$9, 100%, $E$9)</f>
        <v>13.889900000000001</v>
      </c>
      <c r="F839" s="11">
        <f>13.8899 * CHOOSE(CONTROL!$C$32, $C$9, 100%, $E$9)</f>
        <v>13.889900000000001</v>
      </c>
      <c r="G839" s="11">
        <f>13.8935 * CHOOSE(CONTROL!$C$32, $C$9, 100%, $E$9)</f>
        <v>13.8935</v>
      </c>
      <c r="H839" s="11">
        <f>27.976 * CHOOSE(CONTROL!$C$32, $C$9, 100%, $E$9)</f>
        <v>27.975999999999999</v>
      </c>
      <c r="I839" s="11">
        <f>27.9796 * CHOOSE(CONTROL!$C$32, $C$9, 100%, $E$9)</f>
        <v>27.979600000000001</v>
      </c>
      <c r="J839" s="11">
        <f>27.976 * CHOOSE(CONTROL!$C$32, $C$9, 100%, $E$9)</f>
        <v>27.975999999999999</v>
      </c>
      <c r="K839" s="11">
        <f>27.9796 * CHOOSE(CONTROL!$C$32, $C$9, 100%, $E$9)</f>
        <v>27.979600000000001</v>
      </c>
      <c r="L839" s="11">
        <f>13.8899 * CHOOSE(CONTROL!$C$32, $C$9, 100%, $E$9)</f>
        <v>13.889900000000001</v>
      </c>
      <c r="M839" s="11">
        <f>13.8935 * CHOOSE(CONTROL!$C$32, $C$9, 100%, $E$9)</f>
        <v>13.8935</v>
      </c>
      <c r="N839" s="11">
        <f>13.8899 * CHOOSE(CONTROL!$C$32, $C$9, 100%, $E$9)</f>
        <v>13.889900000000001</v>
      </c>
      <c r="O839" s="11">
        <f>13.8935 * CHOOSE(CONTROL!$C$32, $C$9, 100%, $E$9)</f>
        <v>13.8935</v>
      </c>
    </row>
    <row r="840" spans="1:15" ht="15" x14ac:dyDescent="0.2">
      <c r="A840" s="13">
        <v>66416</v>
      </c>
      <c r="B840" s="9">
        <f>12.379 * CHOOSE(CONTROL!$C$32, $C$9, 100%, $E$9)</f>
        <v>12.379</v>
      </c>
      <c r="C840" s="9">
        <f>12.379 * CHOOSE(CONTROL!$C$32, $C$9, 100%, $E$9)</f>
        <v>12.379</v>
      </c>
      <c r="D840" s="9">
        <f>12.3801 * CHOOSE(CONTROL!$C$32, $C$9, 100%, $E$9)</f>
        <v>12.380100000000001</v>
      </c>
      <c r="E840" s="11">
        <f>13.9696 * CHOOSE(CONTROL!$C$32, $C$9, 100%, $E$9)</f>
        <v>13.9696</v>
      </c>
      <c r="F840" s="11">
        <f>13.9696 * CHOOSE(CONTROL!$C$32, $C$9, 100%, $E$9)</f>
        <v>13.9696</v>
      </c>
      <c r="G840" s="11">
        <f>13.9732 * CHOOSE(CONTROL!$C$32, $C$9, 100%, $E$9)</f>
        <v>13.9732</v>
      </c>
      <c r="H840" s="11">
        <f>28.0343 * CHOOSE(CONTROL!$C$32, $C$9, 100%, $E$9)</f>
        <v>28.034300000000002</v>
      </c>
      <c r="I840" s="11">
        <f>28.0379 * CHOOSE(CONTROL!$C$32, $C$9, 100%, $E$9)</f>
        <v>28.0379</v>
      </c>
      <c r="J840" s="11">
        <f>28.0343 * CHOOSE(CONTROL!$C$32, $C$9, 100%, $E$9)</f>
        <v>28.034300000000002</v>
      </c>
      <c r="K840" s="11">
        <f>28.0379 * CHOOSE(CONTROL!$C$32, $C$9, 100%, $E$9)</f>
        <v>28.0379</v>
      </c>
      <c r="L840" s="11">
        <f>13.9696 * CHOOSE(CONTROL!$C$32, $C$9, 100%, $E$9)</f>
        <v>13.9696</v>
      </c>
      <c r="M840" s="11">
        <f>13.9732 * CHOOSE(CONTROL!$C$32, $C$9, 100%, $E$9)</f>
        <v>13.9732</v>
      </c>
      <c r="N840" s="11">
        <f>13.9696 * CHOOSE(CONTROL!$C$32, $C$9, 100%, $E$9)</f>
        <v>13.9696</v>
      </c>
      <c r="O840" s="11">
        <f>13.9732 * CHOOSE(CONTROL!$C$32, $C$9, 100%, $E$9)</f>
        <v>13.9732</v>
      </c>
    </row>
    <row r="841" spans="1:15" ht="15" x14ac:dyDescent="0.2">
      <c r="A841" s="13">
        <v>66446</v>
      </c>
      <c r="B841" s="9">
        <f>12.379 * CHOOSE(CONTROL!$C$32, $C$9, 100%, $E$9)</f>
        <v>12.379</v>
      </c>
      <c r="C841" s="9">
        <f>12.379 * CHOOSE(CONTROL!$C$32, $C$9, 100%, $E$9)</f>
        <v>12.379</v>
      </c>
      <c r="D841" s="9">
        <f>12.3801 * CHOOSE(CONTROL!$C$32, $C$9, 100%, $E$9)</f>
        <v>12.380100000000001</v>
      </c>
      <c r="E841" s="11">
        <f>13.7755 * CHOOSE(CONTROL!$C$32, $C$9, 100%, $E$9)</f>
        <v>13.775499999999999</v>
      </c>
      <c r="F841" s="11">
        <f>13.7755 * CHOOSE(CONTROL!$C$32, $C$9, 100%, $E$9)</f>
        <v>13.775499999999999</v>
      </c>
      <c r="G841" s="11">
        <f>13.7791 * CHOOSE(CONTROL!$C$32, $C$9, 100%, $E$9)</f>
        <v>13.7791</v>
      </c>
      <c r="H841" s="11">
        <f>28.0927 * CHOOSE(CONTROL!$C$32, $C$9, 100%, $E$9)</f>
        <v>28.092700000000001</v>
      </c>
      <c r="I841" s="11">
        <f>28.0963 * CHOOSE(CONTROL!$C$32, $C$9, 100%, $E$9)</f>
        <v>28.096299999999999</v>
      </c>
      <c r="J841" s="11">
        <f>28.0927 * CHOOSE(CONTROL!$C$32, $C$9, 100%, $E$9)</f>
        <v>28.092700000000001</v>
      </c>
      <c r="K841" s="11">
        <f>28.0963 * CHOOSE(CONTROL!$C$32, $C$9, 100%, $E$9)</f>
        <v>28.096299999999999</v>
      </c>
      <c r="L841" s="11">
        <f>13.7755 * CHOOSE(CONTROL!$C$32, $C$9, 100%, $E$9)</f>
        <v>13.775499999999999</v>
      </c>
      <c r="M841" s="11">
        <f>13.7791 * CHOOSE(CONTROL!$C$32, $C$9, 100%, $E$9)</f>
        <v>13.7791</v>
      </c>
      <c r="N841" s="11">
        <f>13.7755 * CHOOSE(CONTROL!$C$32, $C$9, 100%, $E$9)</f>
        <v>13.775499999999999</v>
      </c>
      <c r="O841" s="11">
        <f>13.7791 * CHOOSE(CONTROL!$C$32, $C$9, 100%, $E$9)</f>
        <v>13.7791</v>
      </c>
    </row>
    <row r="842" spans="1:15" ht="15" x14ac:dyDescent="0.2">
      <c r="A842" s="13">
        <v>66477</v>
      </c>
      <c r="B842" s="9">
        <f>12.3794 * CHOOSE(CONTROL!$C$32, $C$9, 100%, $E$9)</f>
        <v>12.3794</v>
      </c>
      <c r="C842" s="9">
        <f>12.3794 * CHOOSE(CONTROL!$C$32, $C$9, 100%, $E$9)</f>
        <v>12.3794</v>
      </c>
      <c r="D842" s="9">
        <f>12.3804 * CHOOSE(CONTROL!$C$32, $C$9, 100%, $E$9)</f>
        <v>12.3804</v>
      </c>
      <c r="E842" s="11">
        <f>13.9206 * CHOOSE(CONTROL!$C$32, $C$9, 100%, $E$9)</f>
        <v>13.9206</v>
      </c>
      <c r="F842" s="11">
        <f>13.9206 * CHOOSE(CONTROL!$C$32, $C$9, 100%, $E$9)</f>
        <v>13.9206</v>
      </c>
      <c r="G842" s="11">
        <f>13.9242 * CHOOSE(CONTROL!$C$32, $C$9, 100%, $E$9)</f>
        <v>13.924200000000001</v>
      </c>
      <c r="H842" s="11">
        <f>27.9104 * CHOOSE(CONTROL!$C$32, $C$9, 100%, $E$9)</f>
        <v>27.910399999999999</v>
      </c>
      <c r="I842" s="11">
        <f>27.914 * CHOOSE(CONTROL!$C$32, $C$9, 100%, $E$9)</f>
        <v>27.914000000000001</v>
      </c>
      <c r="J842" s="11">
        <f>27.9104 * CHOOSE(CONTROL!$C$32, $C$9, 100%, $E$9)</f>
        <v>27.910399999999999</v>
      </c>
      <c r="K842" s="11">
        <f>27.914 * CHOOSE(CONTROL!$C$32, $C$9, 100%, $E$9)</f>
        <v>27.914000000000001</v>
      </c>
      <c r="L842" s="11">
        <f>13.9206 * CHOOSE(CONTROL!$C$32, $C$9, 100%, $E$9)</f>
        <v>13.9206</v>
      </c>
      <c r="M842" s="11">
        <f>13.9242 * CHOOSE(CONTROL!$C$32, $C$9, 100%, $E$9)</f>
        <v>13.924200000000001</v>
      </c>
      <c r="N842" s="11">
        <f>13.9206 * CHOOSE(CONTROL!$C$32, $C$9, 100%, $E$9)</f>
        <v>13.9206</v>
      </c>
      <c r="O842" s="11">
        <f>13.9242 * CHOOSE(CONTROL!$C$32, $C$9, 100%, $E$9)</f>
        <v>13.924200000000001</v>
      </c>
    </row>
    <row r="843" spans="1:15" ht="15" x14ac:dyDescent="0.2">
      <c r="A843" s="13">
        <v>66508</v>
      </c>
      <c r="B843" s="9">
        <f>12.3763 * CHOOSE(CONTROL!$C$32, $C$9, 100%, $E$9)</f>
        <v>12.376300000000001</v>
      </c>
      <c r="C843" s="9">
        <f>12.3763 * CHOOSE(CONTROL!$C$32, $C$9, 100%, $E$9)</f>
        <v>12.376300000000001</v>
      </c>
      <c r="D843" s="9">
        <f>12.3774 * CHOOSE(CONTROL!$C$32, $C$9, 100%, $E$9)</f>
        <v>12.3774</v>
      </c>
      <c r="E843" s="11">
        <f>13.5445 * CHOOSE(CONTROL!$C$32, $C$9, 100%, $E$9)</f>
        <v>13.544499999999999</v>
      </c>
      <c r="F843" s="11">
        <f>13.5445 * CHOOSE(CONTROL!$C$32, $C$9, 100%, $E$9)</f>
        <v>13.544499999999999</v>
      </c>
      <c r="G843" s="11">
        <f>13.5481 * CHOOSE(CONTROL!$C$32, $C$9, 100%, $E$9)</f>
        <v>13.5481</v>
      </c>
      <c r="H843" s="11">
        <f>27.9685 * CHOOSE(CONTROL!$C$32, $C$9, 100%, $E$9)</f>
        <v>27.968499999999999</v>
      </c>
      <c r="I843" s="11">
        <f>27.9721 * CHOOSE(CONTROL!$C$32, $C$9, 100%, $E$9)</f>
        <v>27.972100000000001</v>
      </c>
      <c r="J843" s="11">
        <f>27.9685 * CHOOSE(CONTROL!$C$32, $C$9, 100%, $E$9)</f>
        <v>27.968499999999999</v>
      </c>
      <c r="K843" s="11">
        <f>27.9721 * CHOOSE(CONTROL!$C$32, $C$9, 100%, $E$9)</f>
        <v>27.972100000000001</v>
      </c>
      <c r="L843" s="11">
        <f>13.5445 * CHOOSE(CONTROL!$C$32, $C$9, 100%, $E$9)</f>
        <v>13.544499999999999</v>
      </c>
      <c r="M843" s="11">
        <f>13.5481 * CHOOSE(CONTROL!$C$32, $C$9, 100%, $E$9)</f>
        <v>13.5481</v>
      </c>
      <c r="N843" s="11">
        <f>13.5445 * CHOOSE(CONTROL!$C$32, $C$9, 100%, $E$9)</f>
        <v>13.544499999999999</v>
      </c>
      <c r="O843" s="11">
        <f>13.5481 * CHOOSE(CONTROL!$C$32, $C$9, 100%, $E$9)</f>
        <v>13.5481</v>
      </c>
    </row>
    <row r="844" spans="1:15" ht="15" x14ac:dyDescent="0.2">
      <c r="A844" s="13">
        <v>66536</v>
      </c>
      <c r="B844" s="9">
        <f>12.3733 * CHOOSE(CONTROL!$C$32, $C$9, 100%, $E$9)</f>
        <v>12.3733</v>
      </c>
      <c r="C844" s="9">
        <f>12.3733 * CHOOSE(CONTROL!$C$32, $C$9, 100%, $E$9)</f>
        <v>12.3733</v>
      </c>
      <c r="D844" s="9">
        <f>12.3744 * CHOOSE(CONTROL!$C$32, $C$9, 100%, $E$9)</f>
        <v>12.3744</v>
      </c>
      <c r="E844" s="11">
        <f>13.8372 * CHOOSE(CONTROL!$C$32, $C$9, 100%, $E$9)</f>
        <v>13.837199999999999</v>
      </c>
      <c r="F844" s="11">
        <f>13.8372 * CHOOSE(CONTROL!$C$32, $C$9, 100%, $E$9)</f>
        <v>13.837199999999999</v>
      </c>
      <c r="G844" s="11">
        <f>13.8408 * CHOOSE(CONTROL!$C$32, $C$9, 100%, $E$9)</f>
        <v>13.8408</v>
      </c>
      <c r="H844" s="11">
        <f>28.0268 * CHOOSE(CONTROL!$C$32, $C$9, 100%, $E$9)</f>
        <v>28.026800000000001</v>
      </c>
      <c r="I844" s="11">
        <f>28.0304 * CHOOSE(CONTROL!$C$32, $C$9, 100%, $E$9)</f>
        <v>28.0304</v>
      </c>
      <c r="J844" s="11">
        <f>28.0268 * CHOOSE(CONTROL!$C$32, $C$9, 100%, $E$9)</f>
        <v>28.026800000000001</v>
      </c>
      <c r="K844" s="11">
        <f>28.0304 * CHOOSE(CONTROL!$C$32, $C$9, 100%, $E$9)</f>
        <v>28.0304</v>
      </c>
      <c r="L844" s="11">
        <f>13.8372 * CHOOSE(CONTROL!$C$32, $C$9, 100%, $E$9)</f>
        <v>13.837199999999999</v>
      </c>
      <c r="M844" s="11">
        <f>13.8408 * CHOOSE(CONTROL!$C$32, $C$9, 100%, $E$9)</f>
        <v>13.8408</v>
      </c>
      <c r="N844" s="11">
        <f>13.8372 * CHOOSE(CONTROL!$C$32, $C$9, 100%, $E$9)</f>
        <v>13.837199999999999</v>
      </c>
      <c r="O844" s="11">
        <f>13.8408 * CHOOSE(CONTROL!$C$32, $C$9, 100%, $E$9)</f>
        <v>13.8408</v>
      </c>
    </row>
    <row r="845" spans="1:15" ht="15" x14ac:dyDescent="0.2">
      <c r="A845" s="13">
        <v>66567</v>
      </c>
      <c r="B845" s="9">
        <f>12.3791 * CHOOSE(CONTROL!$C$32, $C$9, 100%, $E$9)</f>
        <v>12.379099999999999</v>
      </c>
      <c r="C845" s="9">
        <f>12.3791 * CHOOSE(CONTROL!$C$32, $C$9, 100%, $E$9)</f>
        <v>12.379099999999999</v>
      </c>
      <c r="D845" s="9">
        <f>12.3801 * CHOOSE(CONTROL!$C$32, $C$9, 100%, $E$9)</f>
        <v>12.380100000000001</v>
      </c>
      <c r="E845" s="11">
        <f>14.1495 * CHOOSE(CONTROL!$C$32, $C$9, 100%, $E$9)</f>
        <v>14.1495</v>
      </c>
      <c r="F845" s="11">
        <f>14.1495 * CHOOSE(CONTROL!$C$32, $C$9, 100%, $E$9)</f>
        <v>14.1495</v>
      </c>
      <c r="G845" s="11">
        <f>14.1532 * CHOOSE(CONTROL!$C$32, $C$9, 100%, $E$9)</f>
        <v>14.1532</v>
      </c>
      <c r="H845" s="11">
        <f>28.0852 * CHOOSE(CONTROL!$C$32, $C$9, 100%, $E$9)</f>
        <v>28.0852</v>
      </c>
      <c r="I845" s="11">
        <f>28.0888 * CHOOSE(CONTROL!$C$32, $C$9, 100%, $E$9)</f>
        <v>28.088799999999999</v>
      </c>
      <c r="J845" s="11">
        <f>28.0852 * CHOOSE(CONTROL!$C$32, $C$9, 100%, $E$9)</f>
        <v>28.0852</v>
      </c>
      <c r="K845" s="11">
        <f>28.0888 * CHOOSE(CONTROL!$C$32, $C$9, 100%, $E$9)</f>
        <v>28.088799999999999</v>
      </c>
      <c r="L845" s="11">
        <f>14.1495 * CHOOSE(CONTROL!$C$32, $C$9, 100%, $E$9)</f>
        <v>14.1495</v>
      </c>
      <c r="M845" s="11">
        <f>14.1532 * CHOOSE(CONTROL!$C$32, $C$9, 100%, $E$9)</f>
        <v>14.1532</v>
      </c>
      <c r="N845" s="11">
        <f>14.1495 * CHOOSE(CONTROL!$C$32, $C$9, 100%, $E$9)</f>
        <v>14.1495</v>
      </c>
      <c r="O845" s="11">
        <f>14.1532 * CHOOSE(CONTROL!$C$32, $C$9, 100%, $E$9)</f>
        <v>14.1532</v>
      </c>
    </row>
    <row r="846" spans="1:15" ht="15" x14ac:dyDescent="0.2">
      <c r="A846" s="13">
        <v>66597</v>
      </c>
      <c r="B846" s="9">
        <f>12.3791 * CHOOSE(CONTROL!$C$32, $C$9, 100%, $E$9)</f>
        <v>12.379099999999999</v>
      </c>
      <c r="C846" s="9">
        <f>12.3791 * CHOOSE(CONTROL!$C$32, $C$9, 100%, $E$9)</f>
        <v>12.379099999999999</v>
      </c>
      <c r="D846" s="9">
        <f>12.3806 * CHOOSE(CONTROL!$C$32, $C$9, 100%, $E$9)</f>
        <v>12.380599999999999</v>
      </c>
      <c r="E846" s="11">
        <f>14.2683 * CHOOSE(CONTROL!$C$32, $C$9, 100%, $E$9)</f>
        <v>14.2683</v>
      </c>
      <c r="F846" s="11">
        <f>14.2683 * CHOOSE(CONTROL!$C$32, $C$9, 100%, $E$9)</f>
        <v>14.2683</v>
      </c>
      <c r="G846" s="11">
        <f>14.2736 * CHOOSE(CONTROL!$C$32, $C$9, 100%, $E$9)</f>
        <v>14.2736</v>
      </c>
      <c r="H846" s="11">
        <f>28.1437 * CHOOSE(CONTROL!$C$32, $C$9, 100%, $E$9)</f>
        <v>28.143699999999999</v>
      </c>
      <c r="I846" s="11">
        <f>28.149 * CHOOSE(CONTROL!$C$32, $C$9, 100%, $E$9)</f>
        <v>28.149000000000001</v>
      </c>
      <c r="J846" s="11">
        <f>28.1437 * CHOOSE(CONTROL!$C$32, $C$9, 100%, $E$9)</f>
        <v>28.143699999999999</v>
      </c>
      <c r="K846" s="11">
        <f>28.149 * CHOOSE(CONTROL!$C$32, $C$9, 100%, $E$9)</f>
        <v>28.149000000000001</v>
      </c>
      <c r="L846" s="11">
        <f>14.2683 * CHOOSE(CONTROL!$C$32, $C$9, 100%, $E$9)</f>
        <v>14.2683</v>
      </c>
      <c r="M846" s="11">
        <f>14.2736 * CHOOSE(CONTROL!$C$32, $C$9, 100%, $E$9)</f>
        <v>14.2736</v>
      </c>
      <c r="N846" s="11">
        <f>14.2683 * CHOOSE(CONTROL!$C$32, $C$9, 100%, $E$9)</f>
        <v>14.2683</v>
      </c>
      <c r="O846" s="11">
        <f>14.2736 * CHOOSE(CONTROL!$C$32, $C$9, 100%, $E$9)</f>
        <v>14.2736</v>
      </c>
    </row>
    <row r="847" spans="1:15" ht="15" x14ac:dyDescent="0.2">
      <c r="A847" s="13">
        <v>66628</v>
      </c>
      <c r="B847" s="9">
        <f>12.3851 * CHOOSE(CONTROL!$C$32, $C$9, 100%, $E$9)</f>
        <v>12.3851</v>
      </c>
      <c r="C847" s="9">
        <f>12.3851 * CHOOSE(CONTROL!$C$32, $C$9, 100%, $E$9)</f>
        <v>12.3851</v>
      </c>
      <c r="D847" s="9">
        <f>12.3867 * CHOOSE(CONTROL!$C$32, $C$9, 100%, $E$9)</f>
        <v>12.386699999999999</v>
      </c>
      <c r="E847" s="11">
        <f>14.1538 * CHOOSE(CONTROL!$C$32, $C$9, 100%, $E$9)</f>
        <v>14.1538</v>
      </c>
      <c r="F847" s="11">
        <f>14.1538 * CHOOSE(CONTROL!$C$32, $C$9, 100%, $E$9)</f>
        <v>14.1538</v>
      </c>
      <c r="G847" s="11">
        <f>14.1591 * CHOOSE(CONTROL!$C$32, $C$9, 100%, $E$9)</f>
        <v>14.1591</v>
      </c>
      <c r="H847" s="11">
        <f>28.2023 * CHOOSE(CONTROL!$C$32, $C$9, 100%, $E$9)</f>
        <v>28.202300000000001</v>
      </c>
      <c r="I847" s="11">
        <f>28.2076 * CHOOSE(CONTROL!$C$32, $C$9, 100%, $E$9)</f>
        <v>28.207599999999999</v>
      </c>
      <c r="J847" s="11">
        <f>28.2023 * CHOOSE(CONTROL!$C$32, $C$9, 100%, $E$9)</f>
        <v>28.202300000000001</v>
      </c>
      <c r="K847" s="11">
        <f>28.2076 * CHOOSE(CONTROL!$C$32, $C$9, 100%, $E$9)</f>
        <v>28.207599999999999</v>
      </c>
      <c r="L847" s="11">
        <f>14.1538 * CHOOSE(CONTROL!$C$32, $C$9, 100%, $E$9)</f>
        <v>14.1538</v>
      </c>
      <c r="M847" s="11">
        <f>14.1591 * CHOOSE(CONTROL!$C$32, $C$9, 100%, $E$9)</f>
        <v>14.1591</v>
      </c>
      <c r="N847" s="11">
        <f>14.1538 * CHOOSE(CONTROL!$C$32, $C$9, 100%, $E$9)</f>
        <v>14.1538</v>
      </c>
      <c r="O847" s="11">
        <f>14.1591 * CHOOSE(CONTROL!$C$32, $C$9, 100%, $E$9)</f>
        <v>14.1591</v>
      </c>
    </row>
    <row r="848" spans="1:15" ht="15" x14ac:dyDescent="0.2">
      <c r="A848" s="13">
        <v>66658</v>
      </c>
      <c r="B848" s="9">
        <f>12.5357 * CHOOSE(CONTROL!$C$32, $C$9, 100%, $E$9)</f>
        <v>12.5357</v>
      </c>
      <c r="C848" s="9">
        <f>12.5357 * CHOOSE(CONTROL!$C$32, $C$9, 100%, $E$9)</f>
        <v>12.5357</v>
      </c>
      <c r="D848" s="9">
        <f>12.5373 * CHOOSE(CONTROL!$C$32, $C$9, 100%, $E$9)</f>
        <v>12.5373</v>
      </c>
      <c r="E848" s="11">
        <f>14.3539 * CHOOSE(CONTROL!$C$32, $C$9, 100%, $E$9)</f>
        <v>14.353899999999999</v>
      </c>
      <c r="F848" s="11">
        <f>14.3539 * CHOOSE(CONTROL!$C$32, $C$9, 100%, $E$9)</f>
        <v>14.353899999999999</v>
      </c>
      <c r="G848" s="11">
        <f>14.3591 * CHOOSE(CONTROL!$C$32, $C$9, 100%, $E$9)</f>
        <v>14.3591</v>
      </c>
      <c r="H848" s="11">
        <f>28.2611 * CHOOSE(CONTROL!$C$32, $C$9, 100%, $E$9)</f>
        <v>28.261099999999999</v>
      </c>
      <c r="I848" s="11">
        <f>28.2664 * CHOOSE(CONTROL!$C$32, $C$9, 100%, $E$9)</f>
        <v>28.266400000000001</v>
      </c>
      <c r="J848" s="11">
        <f>28.2611 * CHOOSE(CONTROL!$C$32, $C$9, 100%, $E$9)</f>
        <v>28.261099999999999</v>
      </c>
      <c r="K848" s="11">
        <f>28.2664 * CHOOSE(CONTROL!$C$32, $C$9, 100%, $E$9)</f>
        <v>28.266400000000001</v>
      </c>
      <c r="L848" s="11">
        <f>14.3539 * CHOOSE(CONTROL!$C$32, $C$9, 100%, $E$9)</f>
        <v>14.353899999999999</v>
      </c>
      <c r="M848" s="11">
        <f>14.3591 * CHOOSE(CONTROL!$C$32, $C$9, 100%, $E$9)</f>
        <v>14.3591</v>
      </c>
      <c r="N848" s="11">
        <f>14.3539 * CHOOSE(CONTROL!$C$32, $C$9, 100%, $E$9)</f>
        <v>14.353899999999999</v>
      </c>
      <c r="O848" s="11">
        <f>14.3591 * CHOOSE(CONTROL!$C$32, $C$9, 100%, $E$9)</f>
        <v>14.3591</v>
      </c>
    </row>
    <row r="849" spans="1:15" ht="15" x14ac:dyDescent="0.2">
      <c r="A849" s="13">
        <v>66689</v>
      </c>
      <c r="B849" s="9">
        <f>12.5424 * CHOOSE(CONTROL!$C$32, $C$9, 100%, $E$9)</f>
        <v>12.542400000000001</v>
      </c>
      <c r="C849" s="9">
        <f>12.5424 * CHOOSE(CONTROL!$C$32, $C$9, 100%, $E$9)</f>
        <v>12.542400000000001</v>
      </c>
      <c r="D849" s="9">
        <f>12.544 * CHOOSE(CONTROL!$C$32, $C$9, 100%, $E$9)</f>
        <v>12.544</v>
      </c>
      <c r="E849" s="11">
        <f>14.0024 * CHOOSE(CONTROL!$C$32, $C$9, 100%, $E$9)</f>
        <v>14.0024</v>
      </c>
      <c r="F849" s="11">
        <f>14.0024 * CHOOSE(CONTROL!$C$32, $C$9, 100%, $E$9)</f>
        <v>14.0024</v>
      </c>
      <c r="G849" s="11">
        <f>14.0076 * CHOOSE(CONTROL!$C$32, $C$9, 100%, $E$9)</f>
        <v>14.0076</v>
      </c>
      <c r="H849" s="11">
        <f>28.32 * CHOOSE(CONTROL!$C$32, $C$9, 100%, $E$9)</f>
        <v>28.32</v>
      </c>
      <c r="I849" s="11">
        <f>28.3253 * CHOOSE(CONTROL!$C$32, $C$9, 100%, $E$9)</f>
        <v>28.325299999999999</v>
      </c>
      <c r="J849" s="11">
        <f>28.32 * CHOOSE(CONTROL!$C$32, $C$9, 100%, $E$9)</f>
        <v>28.32</v>
      </c>
      <c r="K849" s="11">
        <f>28.3253 * CHOOSE(CONTROL!$C$32, $C$9, 100%, $E$9)</f>
        <v>28.325299999999999</v>
      </c>
      <c r="L849" s="11">
        <f>14.0024 * CHOOSE(CONTROL!$C$32, $C$9, 100%, $E$9)</f>
        <v>14.0024</v>
      </c>
      <c r="M849" s="11">
        <f>14.0076 * CHOOSE(CONTROL!$C$32, $C$9, 100%, $E$9)</f>
        <v>14.0076</v>
      </c>
      <c r="N849" s="11">
        <f>14.0024 * CHOOSE(CONTROL!$C$32, $C$9, 100%, $E$9)</f>
        <v>14.0024</v>
      </c>
      <c r="O849" s="11">
        <f>14.0076 * CHOOSE(CONTROL!$C$32, $C$9, 100%, $E$9)</f>
        <v>14.0076</v>
      </c>
    </row>
    <row r="850" spans="1:15" ht="15" x14ac:dyDescent="0.2">
      <c r="A850" s="13">
        <v>66720</v>
      </c>
      <c r="B850" s="9">
        <f>12.5393 * CHOOSE(CONTROL!$C$32, $C$9, 100%, $E$9)</f>
        <v>12.539300000000001</v>
      </c>
      <c r="C850" s="9">
        <f>12.5393 * CHOOSE(CONTROL!$C$32, $C$9, 100%, $E$9)</f>
        <v>12.539300000000001</v>
      </c>
      <c r="D850" s="9">
        <f>12.5409 * CHOOSE(CONTROL!$C$32, $C$9, 100%, $E$9)</f>
        <v>12.540900000000001</v>
      </c>
      <c r="E850" s="11">
        <f>13.9607 * CHOOSE(CONTROL!$C$32, $C$9, 100%, $E$9)</f>
        <v>13.960699999999999</v>
      </c>
      <c r="F850" s="11">
        <f>13.9607 * CHOOSE(CONTROL!$C$32, $C$9, 100%, $E$9)</f>
        <v>13.960699999999999</v>
      </c>
      <c r="G850" s="11">
        <f>13.966 * CHOOSE(CONTROL!$C$32, $C$9, 100%, $E$9)</f>
        <v>13.965999999999999</v>
      </c>
      <c r="H850" s="11">
        <f>28.379 * CHOOSE(CONTROL!$C$32, $C$9, 100%, $E$9)</f>
        <v>28.379000000000001</v>
      </c>
      <c r="I850" s="11">
        <f>28.3843 * CHOOSE(CONTROL!$C$32, $C$9, 100%, $E$9)</f>
        <v>28.3843</v>
      </c>
      <c r="J850" s="11">
        <f>28.379 * CHOOSE(CONTROL!$C$32, $C$9, 100%, $E$9)</f>
        <v>28.379000000000001</v>
      </c>
      <c r="K850" s="11">
        <f>28.3843 * CHOOSE(CONTROL!$C$32, $C$9, 100%, $E$9)</f>
        <v>28.3843</v>
      </c>
      <c r="L850" s="11">
        <f>13.9607 * CHOOSE(CONTROL!$C$32, $C$9, 100%, $E$9)</f>
        <v>13.960699999999999</v>
      </c>
      <c r="M850" s="11">
        <f>13.966 * CHOOSE(CONTROL!$C$32, $C$9, 100%, $E$9)</f>
        <v>13.965999999999999</v>
      </c>
      <c r="N850" s="11">
        <f>13.9607 * CHOOSE(CONTROL!$C$32, $C$9, 100%, $E$9)</f>
        <v>13.960699999999999</v>
      </c>
      <c r="O850" s="11">
        <f>13.966 * CHOOSE(CONTROL!$C$32, $C$9, 100%, $E$9)</f>
        <v>13.965999999999999</v>
      </c>
    </row>
    <row r="851" spans="1:15" ht="15" x14ac:dyDescent="0.2">
      <c r="A851" s="13">
        <v>66750</v>
      </c>
      <c r="B851" s="9">
        <f>12.5663 * CHOOSE(CONTROL!$C$32, $C$9, 100%, $E$9)</f>
        <v>12.5663</v>
      </c>
      <c r="C851" s="9">
        <f>12.5663 * CHOOSE(CONTROL!$C$32, $C$9, 100%, $E$9)</f>
        <v>12.5663</v>
      </c>
      <c r="D851" s="9">
        <f>12.5674 * CHOOSE(CONTROL!$C$32, $C$9, 100%, $E$9)</f>
        <v>12.567399999999999</v>
      </c>
      <c r="E851" s="11">
        <f>14.1055 * CHOOSE(CONTROL!$C$32, $C$9, 100%, $E$9)</f>
        <v>14.105499999999999</v>
      </c>
      <c r="F851" s="11">
        <f>14.1055 * CHOOSE(CONTROL!$C$32, $C$9, 100%, $E$9)</f>
        <v>14.105499999999999</v>
      </c>
      <c r="G851" s="11">
        <f>14.1092 * CHOOSE(CONTROL!$C$32, $C$9, 100%, $E$9)</f>
        <v>14.1092</v>
      </c>
      <c r="H851" s="11">
        <f>28.4381 * CHOOSE(CONTROL!$C$32, $C$9, 100%, $E$9)</f>
        <v>28.438099999999999</v>
      </c>
      <c r="I851" s="11">
        <f>28.4417 * CHOOSE(CONTROL!$C$32, $C$9, 100%, $E$9)</f>
        <v>28.441700000000001</v>
      </c>
      <c r="J851" s="11">
        <f>28.4381 * CHOOSE(CONTROL!$C$32, $C$9, 100%, $E$9)</f>
        <v>28.438099999999999</v>
      </c>
      <c r="K851" s="11">
        <f>28.4417 * CHOOSE(CONTROL!$C$32, $C$9, 100%, $E$9)</f>
        <v>28.441700000000001</v>
      </c>
      <c r="L851" s="11">
        <f>14.1055 * CHOOSE(CONTROL!$C$32, $C$9, 100%, $E$9)</f>
        <v>14.105499999999999</v>
      </c>
      <c r="M851" s="11">
        <f>14.1092 * CHOOSE(CONTROL!$C$32, $C$9, 100%, $E$9)</f>
        <v>14.1092</v>
      </c>
      <c r="N851" s="11">
        <f>14.1055 * CHOOSE(CONTROL!$C$32, $C$9, 100%, $E$9)</f>
        <v>14.105499999999999</v>
      </c>
      <c r="O851" s="11">
        <f>14.1092 * CHOOSE(CONTROL!$C$32, $C$9, 100%, $E$9)</f>
        <v>14.1092</v>
      </c>
    </row>
    <row r="852" spans="1:15" ht="15" x14ac:dyDescent="0.2">
      <c r="A852" s="13">
        <v>66781</v>
      </c>
      <c r="B852" s="9">
        <f>12.5694 * CHOOSE(CONTROL!$C$32, $C$9, 100%, $E$9)</f>
        <v>12.5694</v>
      </c>
      <c r="C852" s="9">
        <f>12.5694 * CHOOSE(CONTROL!$C$32, $C$9, 100%, $E$9)</f>
        <v>12.5694</v>
      </c>
      <c r="D852" s="9">
        <f>12.5704 * CHOOSE(CONTROL!$C$32, $C$9, 100%, $E$9)</f>
        <v>12.570399999999999</v>
      </c>
      <c r="E852" s="11">
        <f>14.1868 * CHOOSE(CONTROL!$C$32, $C$9, 100%, $E$9)</f>
        <v>14.1868</v>
      </c>
      <c r="F852" s="11">
        <f>14.1868 * CHOOSE(CONTROL!$C$32, $C$9, 100%, $E$9)</f>
        <v>14.1868</v>
      </c>
      <c r="G852" s="11">
        <f>14.1904 * CHOOSE(CONTROL!$C$32, $C$9, 100%, $E$9)</f>
        <v>14.1904</v>
      </c>
      <c r="H852" s="11">
        <f>28.4973 * CHOOSE(CONTROL!$C$32, $C$9, 100%, $E$9)</f>
        <v>28.497299999999999</v>
      </c>
      <c r="I852" s="11">
        <f>28.5009 * CHOOSE(CONTROL!$C$32, $C$9, 100%, $E$9)</f>
        <v>28.500900000000001</v>
      </c>
      <c r="J852" s="11">
        <f>28.4973 * CHOOSE(CONTROL!$C$32, $C$9, 100%, $E$9)</f>
        <v>28.497299999999999</v>
      </c>
      <c r="K852" s="11">
        <f>28.5009 * CHOOSE(CONTROL!$C$32, $C$9, 100%, $E$9)</f>
        <v>28.500900000000001</v>
      </c>
      <c r="L852" s="11">
        <f>14.1868 * CHOOSE(CONTROL!$C$32, $C$9, 100%, $E$9)</f>
        <v>14.1868</v>
      </c>
      <c r="M852" s="11">
        <f>14.1904 * CHOOSE(CONTROL!$C$32, $C$9, 100%, $E$9)</f>
        <v>14.1904</v>
      </c>
      <c r="N852" s="11">
        <f>14.1868 * CHOOSE(CONTROL!$C$32, $C$9, 100%, $E$9)</f>
        <v>14.1868</v>
      </c>
      <c r="O852" s="11">
        <f>14.1904 * CHOOSE(CONTROL!$C$32, $C$9, 100%, $E$9)</f>
        <v>14.1904</v>
      </c>
    </row>
    <row r="853" spans="1:15" ht="15" x14ac:dyDescent="0.2">
      <c r="A853" s="13">
        <v>66811</v>
      </c>
      <c r="B853" s="9">
        <f>12.5694 * CHOOSE(CONTROL!$C$32, $C$9, 100%, $E$9)</f>
        <v>12.5694</v>
      </c>
      <c r="C853" s="9">
        <f>12.5694 * CHOOSE(CONTROL!$C$32, $C$9, 100%, $E$9)</f>
        <v>12.5694</v>
      </c>
      <c r="D853" s="9">
        <f>12.5704 * CHOOSE(CONTROL!$C$32, $C$9, 100%, $E$9)</f>
        <v>12.570399999999999</v>
      </c>
      <c r="E853" s="11">
        <f>13.9889 * CHOOSE(CONTROL!$C$32, $C$9, 100%, $E$9)</f>
        <v>13.988899999999999</v>
      </c>
      <c r="F853" s="11">
        <f>13.9889 * CHOOSE(CONTROL!$C$32, $C$9, 100%, $E$9)</f>
        <v>13.988899999999999</v>
      </c>
      <c r="G853" s="11">
        <f>13.9926 * CHOOSE(CONTROL!$C$32, $C$9, 100%, $E$9)</f>
        <v>13.992599999999999</v>
      </c>
      <c r="H853" s="11">
        <f>28.5567 * CHOOSE(CONTROL!$C$32, $C$9, 100%, $E$9)</f>
        <v>28.556699999999999</v>
      </c>
      <c r="I853" s="11">
        <f>28.5603 * CHOOSE(CONTROL!$C$32, $C$9, 100%, $E$9)</f>
        <v>28.560300000000002</v>
      </c>
      <c r="J853" s="11">
        <f>28.5567 * CHOOSE(CONTROL!$C$32, $C$9, 100%, $E$9)</f>
        <v>28.556699999999999</v>
      </c>
      <c r="K853" s="11">
        <f>28.5603 * CHOOSE(CONTROL!$C$32, $C$9, 100%, $E$9)</f>
        <v>28.560300000000002</v>
      </c>
      <c r="L853" s="11">
        <f>13.9889 * CHOOSE(CONTROL!$C$32, $C$9, 100%, $E$9)</f>
        <v>13.988899999999999</v>
      </c>
      <c r="M853" s="11">
        <f>13.9926 * CHOOSE(CONTROL!$C$32, $C$9, 100%, $E$9)</f>
        <v>13.992599999999999</v>
      </c>
      <c r="N853" s="11">
        <f>13.9889 * CHOOSE(CONTROL!$C$32, $C$9, 100%, $E$9)</f>
        <v>13.988899999999999</v>
      </c>
      <c r="O853" s="11">
        <f>13.9926 * CHOOSE(CONTROL!$C$32, $C$9, 100%, $E$9)</f>
        <v>13.992599999999999</v>
      </c>
    </row>
    <row r="854" spans="1:15" ht="15" x14ac:dyDescent="0.2">
      <c r="A854" s="13">
        <v>66842</v>
      </c>
      <c r="B854" s="9">
        <f>12.5667 * CHOOSE(CONTROL!$C$32, $C$9, 100%, $E$9)</f>
        <v>12.566700000000001</v>
      </c>
      <c r="C854" s="9">
        <f>12.5667 * CHOOSE(CONTROL!$C$32, $C$9, 100%, $E$9)</f>
        <v>12.566700000000001</v>
      </c>
      <c r="D854" s="9">
        <f>12.5678 * CHOOSE(CONTROL!$C$32, $C$9, 100%, $E$9)</f>
        <v>12.5678</v>
      </c>
      <c r="E854" s="11">
        <f>14.1331 * CHOOSE(CONTROL!$C$32, $C$9, 100%, $E$9)</f>
        <v>14.133100000000001</v>
      </c>
      <c r="F854" s="11">
        <f>14.1331 * CHOOSE(CONTROL!$C$32, $C$9, 100%, $E$9)</f>
        <v>14.133100000000001</v>
      </c>
      <c r="G854" s="11">
        <f>14.1367 * CHOOSE(CONTROL!$C$32, $C$9, 100%, $E$9)</f>
        <v>14.136699999999999</v>
      </c>
      <c r="H854" s="11">
        <f>28.3639 * CHOOSE(CONTROL!$C$32, $C$9, 100%, $E$9)</f>
        <v>28.363900000000001</v>
      </c>
      <c r="I854" s="11">
        <f>28.3675 * CHOOSE(CONTROL!$C$32, $C$9, 100%, $E$9)</f>
        <v>28.3675</v>
      </c>
      <c r="J854" s="11">
        <f>28.3639 * CHOOSE(CONTROL!$C$32, $C$9, 100%, $E$9)</f>
        <v>28.363900000000001</v>
      </c>
      <c r="K854" s="11">
        <f>28.3675 * CHOOSE(CONTROL!$C$32, $C$9, 100%, $E$9)</f>
        <v>28.3675</v>
      </c>
      <c r="L854" s="11">
        <f>14.1331 * CHOOSE(CONTROL!$C$32, $C$9, 100%, $E$9)</f>
        <v>14.133100000000001</v>
      </c>
      <c r="M854" s="11">
        <f>14.1367 * CHOOSE(CONTROL!$C$32, $C$9, 100%, $E$9)</f>
        <v>14.136699999999999</v>
      </c>
      <c r="N854" s="11">
        <f>14.1331 * CHOOSE(CONTROL!$C$32, $C$9, 100%, $E$9)</f>
        <v>14.133100000000001</v>
      </c>
      <c r="O854" s="11">
        <f>14.1367 * CHOOSE(CONTROL!$C$32, $C$9, 100%, $E$9)</f>
        <v>14.136699999999999</v>
      </c>
    </row>
    <row r="855" spans="1:15" ht="15" x14ac:dyDescent="0.2">
      <c r="A855" s="13">
        <v>66873</v>
      </c>
      <c r="B855" s="9">
        <f>12.5637 * CHOOSE(CONTROL!$C$32, $C$9, 100%, $E$9)</f>
        <v>12.563700000000001</v>
      </c>
      <c r="C855" s="9">
        <f>12.5637 * CHOOSE(CONTROL!$C$32, $C$9, 100%, $E$9)</f>
        <v>12.563700000000001</v>
      </c>
      <c r="D855" s="9">
        <f>12.5648 * CHOOSE(CONTROL!$C$32, $C$9, 100%, $E$9)</f>
        <v>12.5648</v>
      </c>
      <c r="E855" s="11">
        <f>13.7499 * CHOOSE(CONTROL!$C$32, $C$9, 100%, $E$9)</f>
        <v>13.7499</v>
      </c>
      <c r="F855" s="11">
        <f>13.7499 * CHOOSE(CONTROL!$C$32, $C$9, 100%, $E$9)</f>
        <v>13.7499</v>
      </c>
      <c r="G855" s="11">
        <f>13.7535 * CHOOSE(CONTROL!$C$32, $C$9, 100%, $E$9)</f>
        <v>13.753500000000001</v>
      </c>
      <c r="H855" s="11">
        <f>28.423 * CHOOSE(CONTROL!$C$32, $C$9, 100%, $E$9)</f>
        <v>28.422999999999998</v>
      </c>
      <c r="I855" s="11">
        <f>28.4266 * CHOOSE(CONTROL!$C$32, $C$9, 100%, $E$9)</f>
        <v>28.426600000000001</v>
      </c>
      <c r="J855" s="11">
        <f>28.423 * CHOOSE(CONTROL!$C$32, $C$9, 100%, $E$9)</f>
        <v>28.422999999999998</v>
      </c>
      <c r="K855" s="11">
        <f>28.4266 * CHOOSE(CONTROL!$C$32, $C$9, 100%, $E$9)</f>
        <v>28.426600000000001</v>
      </c>
      <c r="L855" s="11">
        <f>13.7499 * CHOOSE(CONTROL!$C$32, $C$9, 100%, $E$9)</f>
        <v>13.7499</v>
      </c>
      <c r="M855" s="11">
        <f>13.7535 * CHOOSE(CONTROL!$C$32, $C$9, 100%, $E$9)</f>
        <v>13.753500000000001</v>
      </c>
      <c r="N855" s="11">
        <f>13.7499 * CHOOSE(CONTROL!$C$32, $C$9, 100%, $E$9)</f>
        <v>13.7499</v>
      </c>
      <c r="O855" s="11">
        <f>13.7535 * CHOOSE(CONTROL!$C$32, $C$9, 100%, $E$9)</f>
        <v>13.753500000000001</v>
      </c>
    </row>
    <row r="856" spans="1:15" ht="15" x14ac:dyDescent="0.2">
      <c r="A856" s="13">
        <v>66901</v>
      </c>
      <c r="B856" s="9">
        <f>12.5606 * CHOOSE(CONTROL!$C$32, $C$9, 100%, $E$9)</f>
        <v>12.560600000000001</v>
      </c>
      <c r="C856" s="9">
        <f>12.5606 * CHOOSE(CONTROL!$C$32, $C$9, 100%, $E$9)</f>
        <v>12.560600000000001</v>
      </c>
      <c r="D856" s="9">
        <f>12.5617 * CHOOSE(CONTROL!$C$32, $C$9, 100%, $E$9)</f>
        <v>12.5617</v>
      </c>
      <c r="E856" s="11">
        <f>14.0482 * CHOOSE(CONTROL!$C$32, $C$9, 100%, $E$9)</f>
        <v>14.0482</v>
      </c>
      <c r="F856" s="11">
        <f>14.0482 * CHOOSE(CONTROL!$C$32, $C$9, 100%, $E$9)</f>
        <v>14.0482</v>
      </c>
      <c r="G856" s="11">
        <f>14.0518 * CHOOSE(CONTROL!$C$32, $C$9, 100%, $E$9)</f>
        <v>14.0518</v>
      </c>
      <c r="H856" s="11">
        <f>28.4822 * CHOOSE(CONTROL!$C$32, $C$9, 100%, $E$9)</f>
        <v>28.482199999999999</v>
      </c>
      <c r="I856" s="11">
        <f>28.4858 * CHOOSE(CONTROL!$C$32, $C$9, 100%, $E$9)</f>
        <v>28.485800000000001</v>
      </c>
      <c r="J856" s="11">
        <f>28.4822 * CHOOSE(CONTROL!$C$32, $C$9, 100%, $E$9)</f>
        <v>28.482199999999999</v>
      </c>
      <c r="K856" s="11">
        <f>28.4858 * CHOOSE(CONTROL!$C$32, $C$9, 100%, $E$9)</f>
        <v>28.485800000000001</v>
      </c>
      <c r="L856" s="11">
        <f>14.0482 * CHOOSE(CONTROL!$C$32, $C$9, 100%, $E$9)</f>
        <v>14.0482</v>
      </c>
      <c r="M856" s="11">
        <f>14.0518 * CHOOSE(CONTROL!$C$32, $C$9, 100%, $E$9)</f>
        <v>14.0518</v>
      </c>
      <c r="N856" s="11">
        <f>14.0482 * CHOOSE(CONTROL!$C$32, $C$9, 100%, $E$9)</f>
        <v>14.0482</v>
      </c>
      <c r="O856" s="11">
        <f>14.0518 * CHOOSE(CONTROL!$C$32, $C$9, 100%, $E$9)</f>
        <v>14.0518</v>
      </c>
    </row>
    <row r="857" spans="1:15" ht="15" x14ac:dyDescent="0.2">
      <c r="A857" s="13">
        <v>66932</v>
      </c>
      <c r="B857" s="9">
        <f>12.5666 * CHOOSE(CONTROL!$C$32, $C$9, 100%, $E$9)</f>
        <v>12.566599999999999</v>
      </c>
      <c r="C857" s="9">
        <f>12.5666 * CHOOSE(CONTROL!$C$32, $C$9, 100%, $E$9)</f>
        <v>12.566599999999999</v>
      </c>
      <c r="D857" s="9">
        <f>12.5677 * CHOOSE(CONTROL!$C$32, $C$9, 100%, $E$9)</f>
        <v>12.5677</v>
      </c>
      <c r="E857" s="11">
        <f>14.3665 * CHOOSE(CONTROL!$C$32, $C$9, 100%, $E$9)</f>
        <v>14.3665</v>
      </c>
      <c r="F857" s="11">
        <f>14.3665 * CHOOSE(CONTROL!$C$32, $C$9, 100%, $E$9)</f>
        <v>14.3665</v>
      </c>
      <c r="G857" s="11">
        <f>14.3702 * CHOOSE(CONTROL!$C$32, $C$9, 100%, $E$9)</f>
        <v>14.370200000000001</v>
      </c>
      <c r="H857" s="11">
        <f>28.5415 * CHOOSE(CONTROL!$C$32, $C$9, 100%, $E$9)</f>
        <v>28.541499999999999</v>
      </c>
      <c r="I857" s="11">
        <f>28.5451 * CHOOSE(CONTROL!$C$32, $C$9, 100%, $E$9)</f>
        <v>28.545100000000001</v>
      </c>
      <c r="J857" s="11">
        <f>28.5415 * CHOOSE(CONTROL!$C$32, $C$9, 100%, $E$9)</f>
        <v>28.541499999999999</v>
      </c>
      <c r="K857" s="11">
        <f>28.5451 * CHOOSE(CONTROL!$C$32, $C$9, 100%, $E$9)</f>
        <v>28.545100000000001</v>
      </c>
      <c r="L857" s="11">
        <f>14.3665 * CHOOSE(CONTROL!$C$32, $C$9, 100%, $E$9)</f>
        <v>14.3665</v>
      </c>
      <c r="M857" s="11">
        <f>14.3702 * CHOOSE(CONTROL!$C$32, $C$9, 100%, $E$9)</f>
        <v>14.370200000000001</v>
      </c>
      <c r="N857" s="11">
        <f>14.3665 * CHOOSE(CONTROL!$C$32, $C$9, 100%, $E$9)</f>
        <v>14.3665</v>
      </c>
      <c r="O857" s="11">
        <f>14.3702 * CHOOSE(CONTROL!$C$32, $C$9, 100%, $E$9)</f>
        <v>14.370200000000001</v>
      </c>
    </row>
    <row r="858" spans="1:15" ht="15" x14ac:dyDescent="0.2">
      <c r="A858" s="13">
        <v>66962</v>
      </c>
      <c r="B858" s="9">
        <f>12.5666 * CHOOSE(CONTROL!$C$32, $C$9, 100%, $E$9)</f>
        <v>12.566599999999999</v>
      </c>
      <c r="C858" s="9">
        <f>12.5666 * CHOOSE(CONTROL!$C$32, $C$9, 100%, $E$9)</f>
        <v>12.566599999999999</v>
      </c>
      <c r="D858" s="9">
        <f>12.5682 * CHOOSE(CONTROL!$C$32, $C$9, 100%, $E$9)</f>
        <v>12.568199999999999</v>
      </c>
      <c r="E858" s="11">
        <f>14.4875 * CHOOSE(CONTROL!$C$32, $C$9, 100%, $E$9)</f>
        <v>14.487500000000001</v>
      </c>
      <c r="F858" s="11">
        <f>14.4875 * CHOOSE(CONTROL!$C$32, $C$9, 100%, $E$9)</f>
        <v>14.487500000000001</v>
      </c>
      <c r="G858" s="11">
        <f>14.4928 * CHOOSE(CONTROL!$C$32, $C$9, 100%, $E$9)</f>
        <v>14.492800000000001</v>
      </c>
      <c r="H858" s="11">
        <f>28.601 * CHOOSE(CONTROL!$C$32, $C$9, 100%, $E$9)</f>
        <v>28.600999999999999</v>
      </c>
      <c r="I858" s="11">
        <f>28.6063 * CHOOSE(CONTROL!$C$32, $C$9, 100%, $E$9)</f>
        <v>28.606300000000001</v>
      </c>
      <c r="J858" s="11">
        <f>28.601 * CHOOSE(CONTROL!$C$32, $C$9, 100%, $E$9)</f>
        <v>28.600999999999999</v>
      </c>
      <c r="K858" s="11">
        <f>28.6063 * CHOOSE(CONTROL!$C$32, $C$9, 100%, $E$9)</f>
        <v>28.606300000000001</v>
      </c>
      <c r="L858" s="11">
        <f>14.4875 * CHOOSE(CONTROL!$C$32, $C$9, 100%, $E$9)</f>
        <v>14.487500000000001</v>
      </c>
      <c r="M858" s="11">
        <f>14.4928 * CHOOSE(CONTROL!$C$32, $C$9, 100%, $E$9)</f>
        <v>14.492800000000001</v>
      </c>
      <c r="N858" s="11">
        <f>14.4875 * CHOOSE(CONTROL!$C$32, $C$9, 100%, $E$9)</f>
        <v>14.487500000000001</v>
      </c>
      <c r="O858" s="11">
        <f>14.4928 * CHOOSE(CONTROL!$C$32, $C$9, 100%, $E$9)</f>
        <v>14.492800000000001</v>
      </c>
    </row>
    <row r="859" spans="1:15" ht="15" x14ac:dyDescent="0.2">
      <c r="A859" s="13">
        <v>66993</v>
      </c>
      <c r="B859" s="9">
        <f>12.5727 * CHOOSE(CONTROL!$C$32, $C$9, 100%, $E$9)</f>
        <v>12.572699999999999</v>
      </c>
      <c r="C859" s="9">
        <f>12.5727 * CHOOSE(CONTROL!$C$32, $C$9, 100%, $E$9)</f>
        <v>12.572699999999999</v>
      </c>
      <c r="D859" s="9">
        <f>12.5743 * CHOOSE(CONTROL!$C$32, $C$9, 100%, $E$9)</f>
        <v>12.574299999999999</v>
      </c>
      <c r="E859" s="11">
        <f>14.3708 * CHOOSE(CONTROL!$C$32, $C$9, 100%, $E$9)</f>
        <v>14.370799999999999</v>
      </c>
      <c r="F859" s="11">
        <f>14.3708 * CHOOSE(CONTROL!$C$32, $C$9, 100%, $E$9)</f>
        <v>14.370799999999999</v>
      </c>
      <c r="G859" s="11">
        <f>14.3761 * CHOOSE(CONTROL!$C$32, $C$9, 100%, $E$9)</f>
        <v>14.376099999999999</v>
      </c>
      <c r="H859" s="11">
        <f>28.6606 * CHOOSE(CONTROL!$C$32, $C$9, 100%, $E$9)</f>
        <v>28.660599999999999</v>
      </c>
      <c r="I859" s="11">
        <f>28.6659 * CHOOSE(CONTROL!$C$32, $C$9, 100%, $E$9)</f>
        <v>28.665900000000001</v>
      </c>
      <c r="J859" s="11">
        <f>28.6606 * CHOOSE(CONTROL!$C$32, $C$9, 100%, $E$9)</f>
        <v>28.660599999999999</v>
      </c>
      <c r="K859" s="11">
        <f>28.6659 * CHOOSE(CONTROL!$C$32, $C$9, 100%, $E$9)</f>
        <v>28.665900000000001</v>
      </c>
      <c r="L859" s="11">
        <f>14.3708 * CHOOSE(CONTROL!$C$32, $C$9, 100%, $E$9)</f>
        <v>14.370799999999999</v>
      </c>
      <c r="M859" s="11">
        <f>14.3761 * CHOOSE(CONTROL!$C$32, $C$9, 100%, $E$9)</f>
        <v>14.376099999999999</v>
      </c>
      <c r="N859" s="11">
        <f>14.3708 * CHOOSE(CONTROL!$C$32, $C$9, 100%, $E$9)</f>
        <v>14.370799999999999</v>
      </c>
      <c r="O859" s="11">
        <f>14.3761 * CHOOSE(CONTROL!$C$32, $C$9, 100%, $E$9)</f>
        <v>14.376099999999999</v>
      </c>
    </row>
    <row r="860" spans="1:15" ht="15" x14ac:dyDescent="0.2">
      <c r="A860" s="13">
        <v>67023</v>
      </c>
      <c r="B860" s="9">
        <f>12.7253 * CHOOSE(CONTROL!$C$32, $C$9, 100%, $E$9)</f>
        <v>12.725300000000001</v>
      </c>
      <c r="C860" s="9">
        <f>12.7253 * CHOOSE(CONTROL!$C$32, $C$9, 100%, $E$9)</f>
        <v>12.725300000000001</v>
      </c>
      <c r="D860" s="9">
        <f>12.7269 * CHOOSE(CONTROL!$C$32, $C$9, 100%, $E$9)</f>
        <v>12.726900000000001</v>
      </c>
      <c r="E860" s="11">
        <f>14.574 * CHOOSE(CONTROL!$C$32, $C$9, 100%, $E$9)</f>
        <v>14.574</v>
      </c>
      <c r="F860" s="11">
        <f>14.574 * CHOOSE(CONTROL!$C$32, $C$9, 100%, $E$9)</f>
        <v>14.574</v>
      </c>
      <c r="G860" s="11">
        <f>14.5793 * CHOOSE(CONTROL!$C$32, $C$9, 100%, $E$9)</f>
        <v>14.5793</v>
      </c>
      <c r="H860" s="11">
        <f>28.7203 * CHOOSE(CONTROL!$C$32, $C$9, 100%, $E$9)</f>
        <v>28.720300000000002</v>
      </c>
      <c r="I860" s="11">
        <f>28.7256 * CHOOSE(CONTROL!$C$32, $C$9, 100%, $E$9)</f>
        <v>28.7256</v>
      </c>
      <c r="J860" s="11">
        <f>28.7203 * CHOOSE(CONTROL!$C$32, $C$9, 100%, $E$9)</f>
        <v>28.720300000000002</v>
      </c>
      <c r="K860" s="11">
        <f>28.7256 * CHOOSE(CONTROL!$C$32, $C$9, 100%, $E$9)</f>
        <v>28.7256</v>
      </c>
      <c r="L860" s="11">
        <f>14.574 * CHOOSE(CONTROL!$C$32, $C$9, 100%, $E$9)</f>
        <v>14.574</v>
      </c>
      <c r="M860" s="11">
        <f>14.5793 * CHOOSE(CONTROL!$C$32, $C$9, 100%, $E$9)</f>
        <v>14.5793</v>
      </c>
      <c r="N860" s="11">
        <f>14.574 * CHOOSE(CONTROL!$C$32, $C$9, 100%, $E$9)</f>
        <v>14.574</v>
      </c>
      <c r="O860" s="11">
        <f>14.5793 * CHOOSE(CONTROL!$C$32, $C$9, 100%, $E$9)</f>
        <v>14.5793</v>
      </c>
    </row>
    <row r="861" spans="1:15" ht="15" x14ac:dyDescent="0.2">
      <c r="A861" s="13">
        <v>67054</v>
      </c>
      <c r="B861" s="9">
        <f>12.732 * CHOOSE(CONTROL!$C$32, $C$9, 100%, $E$9)</f>
        <v>12.731999999999999</v>
      </c>
      <c r="C861" s="9">
        <f>12.732 * CHOOSE(CONTROL!$C$32, $C$9, 100%, $E$9)</f>
        <v>12.731999999999999</v>
      </c>
      <c r="D861" s="9">
        <f>12.7336 * CHOOSE(CONTROL!$C$32, $C$9, 100%, $E$9)</f>
        <v>12.733599999999999</v>
      </c>
      <c r="E861" s="11">
        <f>14.2158 * CHOOSE(CONTROL!$C$32, $C$9, 100%, $E$9)</f>
        <v>14.2158</v>
      </c>
      <c r="F861" s="11">
        <f>14.2158 * CHOOSE(CONTROL!$C$32, $C$9, 100%, $E$9)</f>
        <v>14.2158</v>
      </c>
      <c r="G861" s="11">
        <f>14.2211 * CHOOSE(CONTROL!$C$32, $C$9, 100%, $E$9)</f>
        <v>14.2211</v>
      </c>
      <c r="H861" s="11">
        <f>28.7801 * CHOOSE(CONTROL!$C$32, $C$9, 100%, $E$9)</f>
        <v>28.780100000000001</v>
      </c>
      <c r="I861" s="11">
        <f>28.7854 * CHOOSE(CONTROL!$C$32, $C$9, 100%, $E$9)</f>
        <v>28.785399999999999</v>
      </c>
      <c r="J861" s="11">
        <f>28.7801 * CHOOSE(CONTROL!$C$32, $C$9, 100%, $E$9)</f>
        <v>28.780100000000001</v>
      </c>
      <c r="K861" s="11">
        <f>28.7854 * CHOOSE(CONTROL!$C$32, $C$9, 100%, $E$9)</f>
        <v>28.785399999999999</v>
      </c>
      <c r="L861" s="11">
        <f>14.2158 * CHOOSE(CONTROL!$C$32, $C$9, 100%, $E$9)</f>
        <v>14.2158</v>
      </c>
      <c r="M861" s="11">
        <f>14.2211 * CHOOSE(CONTROL!$C$32, $C$9, 100%, $E$9)</f>
        <v>14.2211</v>
      </c>
      <c r="N861" s="11">
        <f>14.2158 * CHOOSE(CONTROL!$C$32, $C$9, 100%, $E$9)</f>
        <v>14.2158</v>
      </c>
      <c r="O861" s="11">
        <f>14.2211 * CHOOSE(CONTROL!$C$32, $C$9, 100%, $E$9)</f>
        <v>14.2211</v>
      </c>
    </row>
    <row r="862" spans="1:15" ht="15" x14ac:dyDescent="0.2">
      <c r="A862" s="13">
        <v>67085</v>
      </c>
      <c r="B862" s="9">
        <f>12.7289 * CHOOSE(CONTROL!$C$32, $C$9, 100%, $E$9)</f>
        <v>12.728899999999999</v>
      </c>
      <c r="C862" s="9">
        <f>12.7289 * CHOOSE(CONTROL!$C$32, $C$9, 100%, $E$9)</f>
        <v>12.728899999999999</v>
      </c>
      <c r="D862" s="9">
        <f>12.7305 * CHOOSE(CONTROL!$C$32, $C$9, 100%, $E$9)</f>
        <v>12.730499999999999</v>
      </c>
      <c r="E862" s="11">
        <f>14.1733 * CHOOSE(CONTROL!$C$32, $C$9, 100%, $E$9)</f>
        <v>14.173299999999999</v>
      </c>
      <c r="F862" s="11">
        <f>14.1733 * CHOOSE(CONTROL!$C$32, $C$9, 100%, $E$9)</f>
        <v>14.173299999999999</v>
      </c>
      <c r="G862" s="11">
        <f>14.1786 * CHOOSE(CONTROL!$C$32, $C$9, 100%, $E$9)</f>
        <v>14.178599999999999</v>
      </c>
      <c r="H862" s="11">
        <f>28.8401 * CHOOSE(CONTROL!$C$32, $C$9, 100%, $E$9)</f>
        <v>28.8401</v>
      </c>
      <c r="I862" s="11">
        <f>28.8454 * CHOOSE(CONTROL!$C$32, $C$9, 100%, $E$9)</f>
        <v>28.845400000000001</v>
      </c>
      <c r="J862" s="11">
        <f>28.8401 * CHOOSE(CONTROL!$C$32, $C$9, 100%, $E$9)</f>
        <v>28.8401</v>
      </c>
      <c r="K862" s="11">
        <f>28.8454 * CHOOSE(CONTROL!$C$32, $C$9, 100%, $E$9)</f>
        <v>28.845400000000001</v>
      </c>
      <c r="L862" s="11">
        <f>14.1733 * CHOOSE(CONTROL!$C$32, $C$9, 100%, $E$9)</f>
        <v>14.173299999999999</v>
      </c>
      <c r="M862" s="11">
        <f>14.1786 * CHOOSE(CONTROL!$C$32, $C$9, 100%, $E$9)</f>
        <v>14.178599999999999</v>
      </c>
      <c r="N862" s="11">
        <f>14.1733 * CHOOSE(CONTROL!$C$32, $C$9, 100%, $E$9)</f>
        <v>14.173299999999999</v>
      </c>
      <c r="O862" s="11">
        <f>14.1786 * CHOOSE(CONTROL!$C$32, $C$9, 100%, $E$9)</f>
        <v>14.178599999999999</v>
      </c>
    </row>
    <row r="863" spans="1:15" ht="15" x14ac:dyDescent="0.2">
      <c r="A863" s="13">
        <v>67115</v>
      </c>
      <c r="B863" s="9">
        <f>12.7566 * CHOOSE(CONTROL!$C$32, $C$9, 100%, $E$9)</f>
        <v>12.756600000000001</v>
      </c>
      <c r="C863" s="9">
        <f>12.7566 * CHOOSE(CONTROL!$C$32, $C$9, 100%, $E$9)</f>
        <v>12.756600000000001</v>
      </c>
      <c r="D863" s="9">
        <f>12.7577 * CHOOSE(CONTROL!$C$32, $C$9, 100%, $E$9)</f>
        <v>12.7577</v>
      </c>
      <c r="E863" s="11">
        <f>14.3212 * CHOOSE(CONTROL!$C$32, $C$9, 100%, $E$9)</f>
        <v>14.321199999999999</v>
      </c>
      <c r="F863" s="11">
        <f>14.3212 * CHOOSE(CONTROL!$C$32, $C$9, 100%, $E$9)</f>
        <v>14.321199999999999</v>
      </c>
      <c r="G863" s="11">
        <f>14.3248 * CHOOSE(CONTROL!$C$32, $C$9, 100%, $E$9)</f>
        <v>14.3248</v>
      </c>
      <c r="H863" s="11">
        <f>28.9002 * CHOOSE(CONTROL!$C$32, $C$9, 100%, $E$9)</f>
        <v>28.900200000000002</v>
      </c>
      <c r="I863" s="11">
        <f>28.9038 * CHOOSE(CONTROL!$C$32, $C$9, 100%, $E$9)</f>
        <v>28.9038</v>
      </c>
      <c r="J863" s="11">
        <f>28.9002 * CHOOSE(CONTROL!$C$32, $C$9, 100%, $E$9)</f>
        <v>28.900200000000002</v>
      </c>
      <c r="K863" s="11">
        <f>28.9038 * CHOOSE(CONTROL!$C$32, $C$9, 100%, $E$9)</f>
        <v>28.9038</v>
      </c>
      <c r="L863" s="11">
        <f>14.3212 * CHOOSE(CONTROL!$C$32, $C$9, 100%, $E$9)</f>
        <v>14.321199999999999</v>
      </c>
      <c r="M863" s="11">
        <f>14.3248 * CHOOSE(CONTROL!$C$32, $C$9, 100%, $E$9)</f>
        <v>14.3248</v>
      </c>
      <c r="N863" s="11">
        <f>14.3212 * CHOOSE(CONTROL!$C$32, $C$9, 100%, $E$9)</f>
        <v>14.321199999999999</v>
      </c>
      <c r="O863" s="11">
        <f>14.3248 * CHOOSE(CONTROL!$C$32, $C$9, 100%, $E$9)</f>
        <v>14.3248</v>
      </c>
    </row>
    <row r="864" spans="1:15" ht="15" x14ac:dyDescent="0.2">
      <c r="A864" s="13">
        <v>67146</v>
      </c>
      <c r="B864" s="9">
        <f>12.7597 * CHOOSE(CONTROL!$C$32, $C$9, 100%, $E$9)</f>
        <v>12.7597</v>
      </c>
      <c r="C864" s="9">
        <f>12.7597 * CHOOSE(CONTROL!$C$32, $C$9, 100%, $E$9)</f>
        <v>12.7597</v>
      </c>
      <c r="D864" s="9">
        <f>12.7607 * CHOOSE(CONTROL!$C$32, $C$9, 100%, $E$9)</f>
        <v>12.7607</v>
      </c>
      <c r="E864" s="11">
        <f>14.404 * CHOOSE(CONTROL!$C$32, $C$9, 100%, $E$9)</f>
        <v>14.404</v>
      </c>
      <c r="F864" s="11">
        <f>14.404 * CHOOSE(CONTROL!$C$32, $C$9, 100%, $E$9)</f>
        <v>14.404</v>
      </c>
      <c r="G864" s="11">
        <f>14.4076 * CHOOSE(CONTROL!$C$32, $C$9, 100%, $E$9)</f>
        <v>14.4076</v>
      </c>
      <c r="H864" s="11">
        <f>28.9604 * CHOOSE(CONTROL!$C$32, $C$9, 100%, $E$9)</f>
        <v>28.9604</v>
      </c>
      <c r="I864" s="11">
        <f>28.964 * CHOOSE(CONTROL!$C$32, $C$9, 100%, $E$9)</f>
        <v>28.963999999999999</v>
      </c>
      <c r="J864" s="11">
        <f>28.9604 * CHOOSE(CONTROL!$C$32, $C$9, 100%, $E$9)</f>
        <v>28.9604</v>
      </c>
      <c r="K864" s="11">
        <f>28.964 * CHOOSE(CONTROL!$C$32, $C$9, 100%, $E$9)</f>
        <v>28.963999999999999</v>
      </c>
      <c r="L864" s="11">
        <f>14.404 * CHOOSE(CONTROL!$C$32, $C$9, 100%, $E$9)</f>
        <v>14.404</v>
      </c>
      <c r="M864" s="11">
        <f>14.4076 * CHOOSE(CONTROL!$C$32, $C$9, 100%, $E$9)</f>
        <v>14.4076</v>
      </c>
      <c r="N864" s="11">
        <f>14.404 * CHOOSE(CONTROL!$C$32, $C$9, 100%, $E$9)</f>
        <v>14.404</v>
      </c>
      <c r="O864" s="11">
        <f>14.4076 * CHOOSE(CONTROL!$C$32, $C$9, 100%, $E$9)</f>
        <v>14.4076</v>
      </c>
    </row>
    <row r="865" spans="1:15" ht="15" x14ac:dyDescent="0.2">
      <c r="A865" s="13">
        <v>67176</v>
      </c>
      <c r="B865" s="9">
        <f>12.7597 * CHOOSE(CONTROL!$C$32, $C$9, 100%, $E$9)</f>
        <v>12.7597</v>
      </c>
      <c r="C865" s="9">
        <f>12.7597 * CHOOSE(CONTROL!$C$32, $C$9, 100%, $E$9)</f>
        <v>12.7597</v>
      </c>
      <c r="D865" s="9">
        <f>12.7607 * CHOOSE(CONTROL!$C$32, $C$9, 100%, $E$9)</f>
        <v>12.7607</v>
      </c>
      <c r="E865" s="11">
        <f>14.2024 * CHOOSE(CONTROL!$C$32, $C$9, 100%, $E$9)</f>
        <v>14.202400000000001</v>
      </c>
      <c r="F865" s="11">
        <f>14.2024 * CHOOSE(CONTROL!$C$32, $C$9, 100%, $E$9)</f>
        <v>14.202400000000001</v>
      </c>
      <c r="G865" s="11">
        <f>14.206 * CHOOSE(CONTROL!$C$32, $C$9, 100%, $E$9)</f>
        <v>14.206</v>
      </c>
      <c r="H865" s="11">
        <f>29.0207 * CHOOSE(CONTROL!$C$32, $C$9, 100%, $E$9)</f>
        <v>29.020700000000001</v>
      </c>
      <c r="I865" s="11">
        <f>29.0243 * CHOOSE(CONTROL!$C$32, $C$9, 100%, $E$9)</f>
        <v>29.0243</v>
      </c>
      <c r="J865" s="11">
        <f>29.0207 * CHOOSE(CONTROL!$C$32, $C$9, 100%, $E$9)</f>
        <v>29.020700000000001</v>
      </c>
      <c r="K865" s="11">
        <f>29.0243 * CHOOSE(CONTROL!$C$32, $C$9, 100%, $E$9)</f>
        <v>29.0243</v>
      </c>
      <c r="L865" s="11">
        <f>14.2024 * CHOOSE(CONTROL!$C$32, $C$9, 100%, $E$9)</f>
        <v>14.202400000000001</v>
      </c>
      <c r="M865" s="11">
        <f>14.206 * CHOOSE(CONTROL!$C$32, $C$9, 100%, $E$9)</f>
        <v>14.206</v>
      </c>
      <c r="N865" s="11">
        <f>14.2024 * CHOOSE(CONTROL!$C$32, $C$9, 100%, $E$9)</f>
        <v>14.202400000000001</v>
      </c>
      <c r="O865" s="11">
        <f>14.206 * CHOOSE(CONTROL!$C$32, $C$9, 100%, $E$9)</f>
        <v>14.206</v>
      </c>
    </row>
    <row r="866" spans="1:15" ht="15" x14ac:dyDescent="0.2">
      <c r="A866" s="13">
        <v>67207</v>
      </c>
      <c r="B866" s="9">
        <f>12.7541 * CHOOSE(CONTROL!$C$32, $C$9, 100%, $E$9)</f>
        <v>12.754099999999999</v>
      </c>
      <c r="C866" s="9">
        <f>12.7541 * CHOOSE(CONTROL!$C$32, $C$9, 100%, $E$9)</f>
        <v>12.754099999999999</v>
      </c>
      <c r="D866" s="9">
        <f>12.7552 * CHOOSE(CONTROL!$C$32, $C$9, 100%, $E$9)</f>
        <v>12.7552</v>
      </c>
      <c r="E866" s="11">
        <f>14.3456 * CHOOSE(CONTROL!$C$32, $C$9, 100%, $E$9)</f>
        <v>14.345599999999999</v>
      </c>
      <c r="F866" s="11">
        <f>14.3456 * CHOOSE(CONTROL!$C$32, $C$9, 100%, $E$9)</f>
        <v>14.345599999999999</v>
      </c>
      <c r="G866" s="11">
        <f>14.3492 * CHOOSE(CONTROL!$C$32, $C$9, 100%, $E$9)</f>
        <v>14.3492</v>
      </c>
      <c r="H866" s="11">
        <f>28.8174 * CHOOSE(CONTROL!$C$32, $C$9, 100%, $E$9)</f>
        <v>28.817399999999999</v>
      </c>
      <c r="I866" s="11">
        <f>28.821 * CHOOSE(CONTROL!$C$32, $C$9, 100%, $E$9)</f>
        <v>28.821000000000002</v>
      </c>
      <c r="J866" s="11">
        <f>28.8174 * CHOOSE(CONTROL!$C$32, $C$9, 100%, $E$9)</f>
        <v>28.817399999999999</v>
      </c>
      <c r="K866" s="11">
        <f>28.821 * CHOOSE(CONTROL!$C$32, $C$9, 100%, $E$9)</f>
        <v>28.821000000000002</v>
      </c>
      <c r="L866" s="11">
        <f>14.3456 * CHOOSE(CONTROL!$C$32, $C$9, 100%, $E$9)</f>
        <v>14.345599999999999</v>
      </c>
      <c r="M866" s="11">
        <f>14.3492 * CHOOSE(CONTROL!$C$32, $C$9, 100%, $E$9)</f>
        <v>14.3492</v>
      </c>
      <c r="N866" s="11">
        <f>14.3456 * CHOOSE(CONTROL!$C$32, $C$9, 100%, $E$9)</f>
        <v>14.345599999999999</v>
      </c>
      <c r="O866" s="11">
        <f>14.3492 * CHOOSE(CONTROL!$C$32, $C$9, 100%, $E$9)</f>
        <v>14.3492</v>
      </c>
    </row>
    <row r="867" spans="1:15" ht="15" x14ac:dyDescent="0.2">
      <c r="A867" s="13">
        <v>67238</v>
      </c>
      <c r="B867" s="9">
        <f>12.751 * CHOOSE(CONTROL!$C$32, $C$9, 100%, $E$9)</f>
        <v>12.750999999999999</v>
      </c>
      <c r="C867" s="9">
        <f>12.751 * CHOOSE(CONTROL!$C$32, $C$9, 100%, $E$9)</f>
        <v>12.750999999999999</v>
      </c>
      <c r="D867" s="9">
        <f>12.7521 * CHOOSE(CONTROL!$C$32, $C$9, 100%, $E$9)</f>
        <v>12.7521</v>
      </c>
      <c r="E867" s="11">
        <f>13.9553 * CHOOSE(CONTROL!$C$32, $C$9, 100%, $E$9)</f>
        <v>13.955299999999999</v>
      </c>
      <c r="F867" s="11">
        <f>13.9553 * CHOOSE(CONTROL!$C$32, $C$9, 100%, $E$9)</f>
        <v>13.955299999999999</v>
      </c>
      <c r="G867" s="11">
        <f>13.959 * CHOOSE(CONTROL!$C$32, $C$9, 100%, $E$9)</f>
        <v>13.959</v>
      </c>
      <c r="H867" s="11">
        <f>28.8774 * CHOOSE(CONTROL!$C$32, $C$9, 100%, $E$9)</f>
        <v>28.877400000000002</v>
      </c>
      <c r="I867" s="11">
        <f>28.881 * CHOOSE(CONTROL!$C$32, $C$9, 100%, $E$9)</f>
        <v>28.881</v>
      </c>
      <c r="J867" s="11">
        <f>28.8774 * CHOOSE(CONTROL!$C$32, $C$9, 100%, $E$9)</f>
        <v>28.877400000000002</v>
      </c>
      <c r="K867" s="11">
        <f>28.881 * CHOOSE(CONTROL!$C$32, $C$9, 100%, $E$9)</f>
        <v>28.881</v>
      </c>
      <c r="L867" s="11">
        <f>13.9553 * CHOOSE(CONTROL!$C$32, $C$9, 100%, $E$9)</f>
        <v>13.955299999999999</v>
      </c>
      <c r="M867" s="11">
        <f>13.959 * CHOOSE(CONTROL!$C$32, $C$9, 100%, $E$9)</f>
        <v>13.959</v>
      </c>
      <c r="N867" s="11">
        <f>13.9553 * CHOOSE(CONTROL!$C$32, $C$9, 100%, $E$9)</f>
        <v>13.955299999999999</v>
      </c>
      <c r="O867" s="11">
        <f>13.959 * CHOOSE(CONTROL!$C$32, $C$9, 100%, $E$9)</f>
        <v>13.959</v>
      </c>
    </row>
    <row r="868" spans="1:15" ht="15" x14ac:dyDescent="0.2">
      <c r="A868" s="13">
        <v>67267</v>
      </c>
      <c r="B868" s="9">
        <f>12.748 * CHOOSE(CONTROL!$C$32, $C$9, 100%, $E$9)</f>
        <v>12.747999999999999</v>
      </c>
      <c r="C868" s="9">
        <f>12.748 * CHOOSE(CONTROL!$C$32, $C$9, 100%, $E$9)</f>
        <v>12.747999999999999</v>
      </c>
      <c r="D868" s="9">
        <f>12.7491 * CHOOSE(CONTROL!$C$32, $C$9, 100%, $E$9)</f>
        <v>12.7491</v>
      </c>
      <c r="E868" s="11">
        <f>14.2592 * CHOOSE(CONTROL!$C$32, $C$9, 100%, $E$9)</f>
        <v>14.2592</v>
      </c>
      <c r="F868" s="11">
        <f>14.2592 * CHOOSE(CONTROL!$C$32, $C$9, 100%, $E$9)</f>
        <v>14.2592</v>
      </c>
      <c r="G868" s="11">
        <f>14.2628 * CHOOSE(CONTROL!$C$32, $C$9, 100%, $E$9)</f>
        <v>14.2628</v>
      </c>
      <c r="H868" s="11">
        <f>28.9376 * CHOOSE(CONTROL!$C$32, $C$9, 100%, $E$9)</f>
        <v>28.9376</v>
      </c>
      <c r="I868" s="11">
        <f>28.9412 * CHOOSE(CONTROL!$C$32, $C$9, 100%, $E$9)</f>
        <v>28.941199999999998</v>
      </c>
      <c r="J868" s="11">
        <f>28.9376 * CHOOSE(CONTROL!$C$32, $C$9, 100%, $E$9)</f>
        <v>28.9376</v>
      </c>
      <c r="K868" s="11">
        <f>28.9412 * CHOOSE(CONTROL!$C$32, $C$9, 100%, $E$9)</f>
        <v>28.941199999999998</v>
      </c>
      <c r="L868" s="11">
        <f>14.2592 * CHOOSE(CONTROL!$C$32, $C$9, 100%, $E$9)</f>
        <v>14.2592</v>
      </c>
      <c r="M868" s="11">
        <f>14.2628 * CHOOSE(CONTROL!$C$32, $C$9, 100%, $E$9)</f>
        <v>14.2628</v>
      </c>
      <c r="N868" s="11">
        <f>14.2592 * CHOOSE(CONTROL!$C$32, $C$9, 100%, $E$9)</f>
        <v>14.2592</v>
      </c>
      <c r="O868" s="11">
        <f>14.2628 * CHOOSE(CONTROL!$C$32, $C$9, 100%, $E$9)</f>
        <v>14.2628</v>
      </c>
    </row>
    <row r="869" spans="1:15" ht="15" x14ac:dyDescent="0.2">
      <c r="A869" s="13">
        <v>67298</v>
      </c>
      <c r="B869" s="9">
        <f>12.7541 * CHOOSE(CONTROL!$C$32, $C$9, 100%, $E$9)</f>
        <v>12.754099999999999</v>
      </c>
      <c r="C869" s="9">
        <f>12.7541 * CHOOSE(CONTROL!$C$32, $C$9, 100%, $E$9)</f>
        <v>12.754099999999999</v>
      </c>
      <c r="D869" s="9">
        <f>12.7552 * CHOOSE(CONTROL!$C$32, $C$9, 100%, $E$9)</f>
        <v>12.7552</v>
      </c>
      <c r="E869" s="11">
        <f>14.5835 * CHOOSE(CONTROL!$C$32, $C$9, 100%, $E$9)</f>
        <v>14.583500000000001</v>
      </c>
      <c r="F869" s="11">
        <f>14.5835 * CHOOSE(CONTROL!$C$32, $C$9, 100%, $E$9)</f>
        <v>14.583500000000001</v>
      </c>
      <c r="G869" s="11">
        <f>14.5872 * CHOOSE(CONTROL!$C$32, $C$9, 100%, $E$9)</f>
        <v>14.587199999999999</v>
      </c>
      <c r="H869" s="11">
        <f>28.9979 * CHOOSE(CONTROL!$C$32, $C$9, 100%, $E$9)</f>
        <v>28.997900000000001</v>
      </c>
      <c r="I869" s="11">
        <f>29.0015 * CHOOSE(CONTROL!$C$32, $C$9, 100%, $E$9)</f>
        <v>29.0015</v>
      </c>
      <c r="J869" s="11">
        <f>28.9979 * CHOOSE(CONTROL!$C$32, $C$9, 100%, $E$9)</f>
        <v>28.997900000000001</v>
      </c>
      <c r="K869" s="11">
        <f>29.0015 * CHOOSE(CONTROL!$C$32, $C$9, 100%, $E$9)</f>
        <v>29.0015</v>
      </c>
      <c r="L869" s="11">
        <f>14.5835 * CHOOSE(CONTROL!$C$32, $C$9, 100%, $E$9)</f>
        <v>14.583500000000001</v>
      </c>
      <c r="M869" s="11">
        <f>14.5872 * CHOOSE(CONTROL!$C$32, $C$9, 100%, $E$9)</f>
        <v>14.587199999999999</v>
      </c>
      <c r="N869" s="11">
        <f>14.5835 * CHOOSE(CONTROL!$C$32, $C$9, 100%, $E$9)</f>
        <v>14.583500000000001</v>
      </c>
      <c r="O869" s="11">
        <f>14.5872 * CHOOSE(CONTROL!$C$32, $C$9, 100%, $E$9)</f>
        <v>14.587199999999999</v>
      </c>
    </row>
    <row r="870" spans="1:15" ht="15" x14ac:dyDescent="0.2">
      <c r="A870" s="13">
        <v>67328</v>
      </c>
      <c r="B870" s="9">
        <f>12.7541 * CHOOSE(CONTROL!$C$32, $C$9, 100%, $E$9)</f>
        <v>12.754099999999999</v>
      </c>
      <c r="C870" s="9">
        <f>12.7541 * CHOOSE(CONTROL!$C$32, $C$9, 100%, $E$9)</f>
        <v>12.754099999999999</v>
      </c>
      <c r="D870" s="9">
        <f>12.7557 * CHOOSE(CONTROL!$C$32, $C$9, 100%, $E$9)</f>
        <v>12.755699999999999</v>
      </c>
      <c r="E870" s="11">
        <f>14.7068 * CHOOSE(CONTROL!$C$32, $C$9, 100%, $E$9)</f>
        <v>14.706799999999999</v>
      </c>
      <c r="F870" s="11">
        <f>14.7068 * CHOOSE(CONTROL!$C$32, $C$9, 100%, $E$9)</f>
        <v>14.706799999999999</v>
      </c>
      <c r="G870" s="11">
        <f>14.7121 * CHOOSE(CONTROL!$C$32, $C$9, 100%, $E$9)</f>
        <v>14.7121</v>
      </c>
      <c r="H870" s="11">
        <f>29.0583 * CHOOSE(CONTROL!$C$32, $C$9, 100%, $E$9)</f>
        <v>29.058299999999999</v>
      </c>
      <c r="I870" s="11">
        <f>29.0636 * CHOOSE(CONTROL!$C$32, $C$9, 100%, $E$9)</f>
        <v>29.063600000000001</v>
      </c>
      <c r="J870" s="11">
        <f>29.0583 * CHOOSE(CONTROL!$C$32, $C$9, 100%, $E$9)</f>
        <v>29.058299999999999</v>
      </c>
      <c r="K870" s="11">
        <f>29.0636 * CHOOSE(CONTROL!$C$32, $C$9, 100%, $E$9)</f>
        <v>29.063600000000001</v>
      </c>
      <c r="L870" s="11">
        <f>14.7068 * CHOOSE(CONTROL!$C$32, $C$9, 100%, $E$9)</f>
        <v>14.706799999999999</v>
      </c>
      <c r="M870" s="11">
        <f>14.7121 * CHOOSE(CONTROL!$C$32, $C$9, 100%, $E$9)</f>
        <v>14.7121</v>
      </c>
      <c r="N870" s="11">
        <f>14.7068 * CHOOSE(CONTROL!$C$32, $C$9, 100%, $E$9)</f>
        <v>14.706799999999999</v>
      </c>
      <c r="O870" s="11">
        <f>14.7121 * CHOOSE(CONTROL!$C$32, $C$9, 100%, $E$9)</f>
        <v>14.7121</v>
      </c>
    </row>
    <row r="871" spans="1:15" ht="15" x14ac:dyDescent="0.2">
      <c r="A871" s="13">
        <v>67359</v>
      </c>
      <c r="B871" s="9">
        <f>12.7602 * CHOOSE(CONTROL!$C$32, $C$9, 100%, $E$9)</f>
        <v>12.760199999999999</v>
      </c>
      <c r="C871" s="9">
        <f>12.7602 * CHOOSE(CONTROL!$C$32, $C$9, 100%, $E$9)</f>
        <v>12.760199999999999</v>
      </c>
      <c r="D871" s="9">
        <f>12.7618 * CHOOSE(CONTROL!$C$32, $C$9, 100%, $E$9)</f>
        <v>12.761799999999999</v>
      </c>
      <c r="E871" s="11">
        <f>14.5878 * CHOOSE(CONTROL!$C$32, $C$9, 100%, $E$9)</f>
        <v>14.5878</v>
      </c>
      <c r="F871" s="11">
        <f>14.5878 * CHOOSE(CONTROL!$C$32, $C$9, 100%, $E$9)</f>
        <v>14.5878</v>
      </c>
      <c r="G871" s="11">
        <f>14.5931 * CHOOSE(CONTROL!$C$32, $C$9, 100%, $E$9)</f>
        <v>14.5931</v>
      </c>
      <c r="H871" s="11">
        <f>29.1188 * CHOOSE(CONTROL!$C$32, $C$9, 100%, $E$9)</f>
        <v>29.1188</v>
      </c>
      <c r="I871" s="11">
        <f>29.1241 * CHOOSE(CONTROL!$C$32, $C$9, 100%, $E$9)</f>
        <v>29.124099999999999</v>
      </c>
      <c r="J871" s="11">
        <f>29.1188 * CHOOSE(CONTROL!$C$32, $C$9, 100%, $E$9)</f>
        <v>29.1188</v>
      </c>
      <c r="K871" s="11">
        <f>29.1241 * CHOOSE(CONTROL!$C$32, $C$9, 100%, $E$9)</f>
        <v>29.124099999999999</v>
      </c>
      <c r="L871" s="11">
        <f>14.5878 * CHOOSE(CONTROL!$C$32, $C$9, 100%, $E$9)</f>
        <v>14.5878</v>
      </c>
      <c r="M871" s="11">
        <f>14.5931 * CHOOSE(CONTROL!$C$32, $C$9, 100%, $E$9)</f>
        <v>14.5931</v>
      </c>
      <c r="N871" s="11">
        <f>14.5878 * CHOOSE(CONTROL!$C$32, $C$9, 100%, $E$9)</f>
        <v>14.5878</v>
      </c>
      <c r="O871" s="11">
        <f>14.5931 * CHOOSE(CONTROL!$C$32, $C$9, 100%, $E$9)</f>
        <v>14.5931</v>
      </c>
    </row>
    <row r="872" spans="1:15" ht="15" x14ac:dyDescent="0.2">
      <c r="A872" s="13">
        <v>67389</v>
      </c>
      <c r="B872" s="9">
        <f>12.9149 * CHOOSE(CONTROL!$C$32, $C$9, 100%, $E$9)</f>
        <v>12.914899999999999</v>
      </c>
      <c r="C872" s="9">
        <f>12.9149 * CHOOSE(CONTROL!$C$32, $C$9, 100%, $E$9)</f>
        <v>12.914899999999999</v>
      </c>
      <c r="D872" s="9">
        <f>12.9165 * CHOOSE(CONTROL!$C$32, $C$9, 100%, $E$9)</f>
        <v>12.916499999999999</v>
      </c>
      <c r="E872" s="11">
        <f>14.7942 * CHOOSE(CONTROL!$C$32, $C$9, 100%, $E$9)</f>
        <v>14.7942</v>
      </c>
      <c r="F872" s="11">
        <f>14.7942 * CHOOSE(CONTROL!$C$32, $C$9, 100%, $E$9)</f>
        <v>14.7942</v>
      </c>
      <c r="G872" s="11">
        <f>14.7995 * CHOOSE(CONTROL!$C$32, $C$9, 100%, $E$9)</f>
        <v>14.7995</v>
      </c>
      <c r="H872" s="11">
        <f>29.1795 * CHOOSE(CONTROL!$C$32, $C$9, 100%, $E$9)</f>
        <v>29.179500000000001</v>
      </c>
      <c r="I872" s="11">
        <f>29.1848 * CHOOSE(CONTROL!$C$32, $C$9, 100%, $E$9)</f>
        <v>29.184799999999999</v>
      </c>
      <c r="J872" s="11">
        <f>29.1795 * CHOOSE(CONTROL!$C$32, $C$9, 100%, $E$9)</f>
        <v>29.179500000000001</v>
      </c>
      <c r="K872" s="11">
        <f>29.1848 * CHOOSE(CONTROL!$C$32, $C$9, 100%, $E$9)</f>
        <v>29.184799999999999</v>
      </c>
      <c r="L872" s="11">
        <f>14.7942 * CHOOSE(CONTROL!$C$32, $C$9, 100%, $E$9)</f>
        <v>14.7942</v>
      </c>
      <c r="M872" s="11">
        <f>14.7995 * CHOOSE(CONTROL!$C$32, $C$9, 100%, $E$9)</f>
        <v>14.7995</v>
      </c>
      <c r="N872" s="11">
        <f>14.7942 * CHOOSE(CONTROL!$C$32, $C$9, 100%, $E$9)</f>
        <v>14.7942</v>
      </c>
      <c r="O872" s="11">
        <f>14.7995 * CHOOSE(CONTROL!$C$32, $C$9, 100%, $E$9)</f>
        <v>14.7995</v>
      </c>
    </row>
    <row r="873" spans="1:15" ht="15" x14ac:dyDescent="0.2">
      <c r="A873" s="13">
        <v>67420</v>
      </c>
      <c r="B873" s="9">
        <f>12.9216 * CHOOSE(CONTROL!$C$32, $C$9, 100%, $E$9)</f>
        <v>12.9216</v>
      </c>
      <c r="C873" s="9">
        <f>12.9216 * CHOOSE(CONTROL!$C$32, $C$9, 100%, $E$9)</f>
        <v>12.9216</v>
      </c>
      <c r="D873" s="9">
        <f>12.9231 * CHOOSE(CONTROL!$C$32, $C$9, 100%, $E$9)</f>
        <v>12.9231</v>
      </c>
      <c r="E873" s="11">
        <f>14.4292 * CHOOSE(CONTROL!$C$32, $C$9, 100%, $E$9)</f>
        <v>14.4292</v>
      </c>
      <c r="F873" s="11">
        <f>14.4292 * CHOOSE(CONTROL!$C$32, $C$9, 100%, $E$9)</f>
        <v>14.4292</v>
      </c>
      <c r="G873" s="11">
        <f>14.4345 * CHOOSE(CONTROL!$C$32, $C$9, 100%, $E$9)</f>
        <v>14.4345</v>
      </c>
      <c r="H873" s="11">
        <f>29.2403 * CHOOSE(CONTROL!$C$32, $C$9, 100%, $E$9)</f>
        <v>29.240300000000001</v>
      </c>
      <c r="I873" s="11">
        <f>29.2456 * CHOOSE(CONTROL!$C$32, $C$9, 100%, $E$9)</f>
        <v>29.2456</v>
      </c>
      <c r="J873" s="11">
        <f>29.2403 * CHOOSE(CONTROL!$C$32, $C$9, 100%, $E$9)</f>
        <v>29.240300000000001</v>
      </c>
      <c r="K873" s="11">
        <f>29.2456 * CHOOSE(CONTROL!$C$32, $C$9, 100%, $E$9)</f>
        <v>29.2456</v>
      </c>
      <c r="L873" s="11">
        <f>14.4292 * CHOOSE(CONTROL!$C$32, $C$9, 100%, $E$9)</f>
        <v>14.4292</v>
      </c>
      <c r="M873" s="11">
        <f>14.4345 * CHOOSE(CONTROL!$C$32, $C$9, 100%, $E$9)</f>
        <v>14.4345</v>
      </c>
      <c r="N873" s="11">
        <f>14.4292 * CHOOSE(CONTROL!$C$32, $C$9, 100%, $E$9)</f>
        <v>14.4292</v>
      </c>
      <c r="O873" s="11">
        <f>14.4345 * CHOOSE(CONTROL!$C$32, $C$9, 100%, $E$9)</f>
        <v>14.4345</v>
      </c>
    </row>
    <row r="874" spans="1:15" ht="15" x14ac:dyDescent="0.2">
      <c r="A874" s="13">
        <v>67451</v>
      </c>
      <c r="B874" s="9">
        <f>12.9185 * CHOOSE(CONTROL!$C$32, $C$9, 100%, $E$9)</f>
        <v>12.9185</v>
      </c>
      <c r="C874" s="9">
        <f>12.9185 * CHOOSE(CONTROL!$C$32, $C$9, 100%, $E$9)</f>
        <v>12.9185</v>
      </c>
      <c r="D874" s="9">
        <f>12.9201 * CHOOSE(CONTROL!$C$32, $C$9, 100%, $E$9)</f>
        <v>12.9201</v>
      </c>
      <c r="E874" s="11">
        <f>14.386 * CHOOSE(CONTROL!$C$32, $C$9, 100%, $E$9)</f>
        <v>14.385999999999999</v>
      </c>
      <c r="F874" s="11">
        <f>14.386 * CHOOSE(CONTROL!$C$32, $C$9, 100%, $E$9)</f>
        <v>14.385999999999999</v>
      </c>
      <c r="G874" s="11">
        <f>14.3913 * CHOOSE(CONTROL!$C$32, $C$9, 100%, $E$9)</f>
        <v>14.391299999999999</v>
      </c>
      <c r="H874" s="11">
        <f>29.3012 * CHOOSE(CONTROL!$C$32, $C$9, 100%, $E$9)</f>
        <v>29.301200000000001</v>
      </c>
      <c r="I874" s="11">
        <f>29.3065 * CHOOSE(CONTROL!$C$32, $C$9, 100%, $E$9)</f>
        <v>29.3065</v>
      </c>
      <c r="J874" s="11">
        <f>29.3012 * CHOOSE(CONTROL!$C$32, $C$9, 100%, $E$9)</f>
        <v>29.301200000000001</v>
      </c>
      <c r="K874" s="11">
        <f>29.3065 * CHOOSE(CONTROL!$C$32, $C$9, 100%, $E$9)</f>
        <v>29.3065</v>
      </c>
      <c r="L874" s="11">
        <f>14.386 * CHOOSE(CONTROL!$C$32, $C$9, 100%, $E$9)</f>
        <v>14.385999999999999</v>
      </c>
      <c r="M874" s="11">
        <f>14.3913 * CHOOSE(CONTROL!$C$32, $C$9, 100%, $E$9)</f>
        <v>14.391299999999999</v>
      </c>
      <c r="N874" s="11">
        <f>14.386 * CHOOSE(CONTROL!$C$32, $C$9, 100%, $E$9)</f>
        <v>14.385999999999999</v>
      </c>
      <c r="O874" s="11">
        <f>14.3913 * CHOOSE(CONTROL!$C$32, $C$9, 100%, $E$9)</f>
        <v>14.391299999999999</v>
      </c>
    </row>
    <row r="875" spans="1:15" ht="15" x14ac:dyDescent="0.2">
      <c r="A875" s="13">
        <v>67481</v>
      </c>
      <c r="B875" s="9">
        <f>12.9469 * CHOOSE(CONTROL!$C$32, $C$9, 100%, $E$9)</f>
        <v>12.946899999999999</v>
      </c>
      <c r="C875" s="9">
        <f>12.9469 * CHOOSE(CONTROL!$C$32, $C$9, 100%, $E$9)</f>
        <v>12.946899999999999</v>
      </c>
      <c r="D875" s="9">
        <f>12.948 * CHOOSE(CONTROL!$C$32, $C$9, 100%, $E$9)</f>
        <v>12.948</v>
      </c>
      <c r="E875" s="11">
        <f>14.5369 * CHOOSE(CONTROL!$C$32, $C$9, 100%, $E$9)</f>
        <v>14.536899999999999</v>
      </c>
      <c r="F875" s="11">
        <f>14.5369 * CHOOSE(CONTROL!$C$32, $C$9, 100%, $E$9)</f>
        <v>14.536899999999999</v>
      </c>
      <c r="G875" s="11">
        <f>14.5405 * CHOOSE(CONTROL!$C$32, $C$9, 100%, $E$9)</f>
        <v>14.5405</v>
      </c>
      <c r="H875" s="11">
        <f>29.3622 * CHOOSE(CONTROL!$C$32, $C$9, 100%, $E$9)</f>
        <v>29.362200000000001</v>
      </c>
      <c r="I875" s="11">
        <f>29.3659 * CHOOSE(CONTROL!$C$32, $C$9, 100%, $E$9)</f>
        <v>29.3659</v>
      </c>
      <c r="J875" s="11">
        <f>29.3622 * CHOOSE(CONTROL!$C$32, $C$9, 100%, $E$9)</f>
        <v>29.362200000000001</v>
      </c>
      <c r="K875" s="11">
        <f>29.3659 * CHOOSE(CONTROL!$C$32, $C$9, 100%, $E$9)</f>
        <v>29.3659</v>
      </c>
      <c r="L875" s="11">
        <f>14.5369 * CHOOSE(CONTROL!$C$32, $C$9, 100%, $E$9)</f>
        <v>14.536899999999999</v>
      </c>
      <c r="M875" s="11">
        <f>14.5405 * CHOOSE(CONTROL!$C$32, $C$9, 100%, $E$9)</f>
        <v>14.5405</v>
      </c>
      <c r="N875" s="11">
        <f>14.5369 * CHOOSE(CONTROL!$C$32, $C$9, 100%, $E$9)</f>
        <v>14.536899999999999</v>
      </c>
      <c r="O875" s="11">
        <f>14.5405 * CHOOSE(CONTROL!$C$32, $C$9, 100%, $E$9)</f>
        <v>14.5405</v>
      </c>
    </row>
    <row r="876" spans="1:15" ht="15" x14ac:dyDescent="0.2">
      <c r="A876" s="13">
        <v>67512</v>
      </c>
      <c r="B876" s="9">
        <f>12.95 * CHOOSE(CONTROL!$C$32, $C$9, 100%, $E$9)</f>
        <v>12.95</v>
      </c>
      <c r="C876" s="9">
        <f>12.95 * CHOOSE(CONTROL!$C$32, $C$9, 100%, $E$9)</f>
        <v>12.95</v>
      </c>
      <c r="D876" s="9">
        <f>12.951 * CHOOSE(CONTROL!$C$32, $C$9, 100%, $E$9)</f>
        <v>12.951000000000001</v>
      </c>
      <c r="E876" s="11">
        <f>14.6212 * CHOOSE(CONTROL!$C$32, $C$9, 100%, $E$9)</f>
        <v>14.6212</v>
      </c>
      <c r="F876" s="11">
        <f>14.6212 * CHOOSE(CONTROL!$C$32, $C$9, 100%, $E$9)</f>
        <v>14.6212</v>
      </c>
      <c r="G876" s="11">
        <f>14.6248 * CHOOSE(CONTROL!$C$32, $C$9, 100%, $E$9)</f>
        <v>14.6248</v>
      </c>
      <c r="H876" s="11">
        <f>29.4234 * CHOOSE(CONTROL!$C$32, $C$9, 100%, $E$9)</f>
        <v>29.423400000000001</v>
      </c>
      <c r="I876" s="11">
        <f>29.427 * CHOOSE(CONTROL!$C$32, $C$9, 100%, $E$9)</f>
        <v>29.427</v>
      </c>
      <c r="J876" s="11">
        <f>29.4234 * CHOOSE(CONTROL!$C$32, $C$9, 100%, $E$9)</f>
        <v>29.423400000000001</v>
      </c>
      <c r="K876" s="11">
        <f>29.427 * CHOOSE(CONTROL!$C$32, $C$9, 100%, $E$9)</f>
        <v>29.427</v>
      </c>
      <c r="L876" s="11">
        <f>14.6212 * CHOOSE(CONTROL!$C$32, $C$9, 100%, $E$9)</f>
        <v>14.6212</v>
      </c>
      <c r="M876" s="11">
        <f>14.6248 * CHOOSE(CONTROL!$C$32, $C$9, 100%, $E$9)</f>
        <v>14.6248</v>
      </c>
      <c r="N876" s="11">
        <f>14.6212 * CHOOSE(CONTROL!$C$32, $C$9, 100%, $E$9)</f>
        <v>14.6212</v>
      </c>
      <c r="O876" s="11">
        <f>14.6248 * CHOOSE(CONTROL!$C$32, $C$9, 100%, $E$9)</f>
        <v>14.6248</v>
      </c>
    </row>
    <row r="877" spans="1:15" ht="15" x14ac:dyDescent="0.2">
      <c r="A877" s="13">
        <v>67542</v>
      </c>
      <c r="B877" s="9">
        <f>12.95 * CHOOSE(CONTROL!$C$32, $C$9, 100%, $E$9)</f>
        <v>12.95</v>
      </c>
      <c r="C877" s="9">
        <f>12.95 * CHOOSE(CONTROL!$C$32, $C$9, 100%, $E$9)</f>
        <v>12.95</v>
      </c>
      <c r="D877" s="9">
        <f>12.951 * CHOOSE(CONTROL!$C$32, $C$9, 100%, $E$9)</f>
        <v>12.951000000000001</v>
      </c>
      <c r="E877" s="11">
        <f>14.4158 * CHOOSE(CONTROL!$C$32, $C$9, 100%, $E$9)</f>
        <v>14.415800000000001</v>
      </c>
      <c r="F877" s="11">
        <f>14.4158 * CHOOSE(CONTROL!$C$32, $C$9, 100%, $E$9)</f>
        <v>14.415800000000001</v>
      </c>
      <c r="G877" s="11">
        <f>14.4194 * CHOOSE(CONTROL!$C$32, $C$9, 100%, $E$9)</f>
        <v>14.4194</v>
      </c>
      <c r="H877" s="11">
        <f>29.4847 * CHOOSE(CONTROL!$C$32, $C$9, 100%, $E$9)</f>
        <v>29.4847</v>
      </c>
      <c r="I877" s="11">
        <f>29.4883 * CHOOSE(CONTROL!$C$32, $C$9, 100%, $E$9)</f>
        <v>29.488299999999999</v>
      </c>
      <c r="J877" s="11">
        <f>29.4847 * CHOOSE(CONTROL!$C$32, $C$9, 100%, $E$9)</f>
        <v>29.4847</v>
      </c>
      <c r="K877" s="11">
        <f>29.4883 * CHOOSE(CONTROL!$C$32, $C$9, 100%, $E$9)</f>
        <v>29.488299999999999</v>
      </c>
      <c r="L877" s="11">
        <f>14.4158 * CHOOSE(CONTROL!$C$32, $C$9, 100%, $E$9)</f>
        <v>14.415800000000001</v>
      </c>
      <c r="M877" s="11">
        <f>14.4194 * CHOOSE(CONTROL!$C$32, $C$9, 100%, $E$9)</f>
        <v>14.4194</v>
      </c>
      <c r="N877" s="11">
        <f>14.4158 * CHOOSE(CONTROL!$C$32, $C$9, 100%, $E$9)</f>
        <v>14.415800000000001</v>
      </c>
      <c r="O877" s="11">
        <f>14.4194 * CHOOSE(CONTROL!$C$32, $C$9, 100%, $E$9)</f>
        <v>14.4194</v>
      </c>
    </row>
    <row r="878" spans="1:15" ht="15" x14ac:dyDescent="0.2">
      <c r="A878" s="13">
        <v>67573</v>
      </c>
      <c r="B878" s="9">
        <f>12.9414 * CHOOSE(CONTROL!$C$32, $C$9, 100%, $E$9)</f>
        <v>12.9414</v>
      </c>
      <c r="C878" s="9">
        <f>12.9414 * CHOOSE(CONTROL!$C$32, $C$9, 100%, $E$9)</f>
        <v>12.9414</v>
      </c>
      <c r="D878" s="9">
        <f>12.9425 * CHOOSE(CONTROL!$C$32, $C$9, 100%, $E$9)</f>
        <v>12.942500000000001</v>
      </c>
      <c r="E878" s="11">
        <f>14.5581 * CHOOSE(CONTROL!$C$32, $C$9, 100%, $E$9)</f>
        <v>14.5581</v>
      </c>
      <c r="F878" s="11">
        <f>14.5581 * CHOOSE(CONTROL!$C$32, $C$9, 100%, $E$9)</f>
        <v>14.5581</v>
      </c>
      <c r="G878" s="11">
        <f>14.5617 * CHOOSE(CONTROL!$C$32, $C$9, 100%, $E$9)</f>
        <v>14.5617</v>
      </c>
      <c r="H878" s="11">
        <f>29.2709 * CHOOSE(CONTROL!$C$32, $C$9, 100%, $E$9)</f>
        <v>29.270900000000001</v>
      </c>
      <c r="I878" s="11">
        <f>29.2745 * CHOOSE(CONTROL!$C$32, $C$9, 100%, $E$9)</f>
        <v>29.2745</v>
      </c>
      <c r="J878" s="11">
        <f>29.2709 * CHOOSE(CONTROL!$C$32, $C$9, 100%, $E$9)</f>
        <v>29.270900000000001</v>
      </c>
      <c r="K878" s="11">
        <f>29.2745 * CHOOSE(CONTROL!$C$32, $C$9, 100%, $E$9)</f>
        <v>29.2745</v>
      </c>
      <c r="L878" s="11">
        <f>14.5581 * CHOOSE(CONTROL!$C$32, $C$9, 100%, $E$9)</f>
        <v>14.5581</v>
      </c>
      <c r="M878" s="11">
        <f>14.5617 * CHOOSE(CONTROL!$C$32, $C$9, 100%, $E$9)</f>
        <v>14.5617</v>
      </c>
      <c r="N878" s="11">
        <f>14.5581 * CHOOSE(CONTROL!$C$32, $C$9, 100%, $E$9)</f>
        <v>14.5581</v>
      </c>
      <c r="O878" s="11">
        <f>14.5617 * CHOOSE(CONTROL!$C$32, $C$9, 100%, $E$9)</f>
        <v>14.5617</v>
      </c>
    </row>
    <row r="879" spans="1:15" ht="15" x14ac:dyDescent="0.2">
      <c r="A879" s="13">
        <v>67604</v>
      </c>
      <c r="B879" s="9">
        <f>12.9384 * CHOOSE(CONTROL!$C$32, $C$9, 100%, $E$9)</f>
        <v>12.9384</v>
      </c>
      <c r="C879" s="9">
        <f>12.9384 * CHOOSE(CONTROL!$C$32, $C$9, 100%, $E$9)</f>
        <v>12.9384</v>
      </c>
      <c r="D879" s="9">
        <f>12.9395 * CHOOSE(CONTROL!$C$32, $C$9, 100%, $E$9)</f>
        <v>12.939500000000001</v>
      </c>
      <c r="E879" s="11">
        <f>14.1608 * CHOOSE(CONTROL!$C$32, $C$9, 100%, $E$9)</f>
        <v>14.1608</v>
      </c>
      <c r="F879" s="11">
        <f>14.1608 * CHOOSE(CONTROL!$C$32, $C$9, 100%, $E$9)</f>
        <v>14.1608</v>
      </c>
      <c r="G879" s="11">
        <f>14.1644 * CHOOSE(CONTROL!$C$32, $C$9, 100%, $E$9)</f>
        <v>14.164400000000001</v>
      </c>
      <c r="H879" s="11">
        <f>29.3319 * CHOOSE(CONTROL!$C$32, $C$9, 100%, $E$9)</f>
        <v>29.331900000000001</v>
      </c>
      <c r="I879" s="11">
        <f>29.3355 * CHOOSE(CONTROL!$C$32, $C$9, 100%, $E$9)</f>
        <v>29.3355</v>
      </c>
      <c r="J879" s="11">
        <f>29.3319 * CHOOSE(CONTROL!$C$32, $C$9, 100%, $E$9)</f>
        <v>29.331900000000001</v>
      </c>
      <c r="K879" s="11">
        <f>29.3355 * CHOOSE(CONTROL!$C$32, $C$9, 100%, $E$9)</f>
        <v>29.3355</v>
      </c>
      <c r="L879" s="11">
        <f>14.1608 * CHOOSE(CONTROL!$C$32, $C$9, 100%, $E$9)</f>
        <v>14.1608</v>
      </c>
      <c r="M879" s="11">
        <f>14.1644 * CHOOSE(CONTROL!$C$32, $C$9, 100%, $E$9)</f>
        <v>14.164400000000001</v>
      </c>
      <c r="N879" s="11">
        <f>14.1608 * CHOOSE(CONTROL!$C$32, $C$9, 100%, $E$9)</f>
        <v>14.1608</v>
      </c>
      <c r="O879" s="11">
        <f>14.1644 * CHOOSE(CONTROL!$C$32, $C$9, 100%, $E$9)</f>
        <v>14.164400000000001</v>
      </c>
    </row>
    <row r="880" spans="1:15" ht="15" x14ac:dyDescent="0.2">
      <c r="A880" s="13">
        <v>67632</v>
      </c>
      <c r="B880" s="9">
        <f>12.9354 * CHOOSE(CONTROL!$C$32, $C$9, 100%, $E$9)</f>
        <v>12.9354</v>
      </c>
      <c r="C880" s="9">
        <f>12.9354 * CHOOSE(CONTROL!$C$32, $C$9, 100%, $E$9)</f>
        <v>12.9354</v>
      </c>
      <c r="D880" s="9">
        <f>12.9364 * CHOOSE(CONTROL!$C$32, $C$9, 100%, $E$9)</f>
        <v>12.936400000000001</v>
      </c>
      <c r="E880" s="11">
        <f>14.4702 * CHOOSE(CONTROL!$C$32, $C$9, 100%, $E$9)</f>
        <v>14.4702</v>
      </c>
      <c r="F880" s="11">
        <f>14.4702 * CHOOSE(CONTROL!$C$32, $C$9, 100%, $E$9)</f>
        <v>14.4702</v>
      </c>
      <c r="G880" s="11">
        <f>14.4738 * CHOOSE(CONTROL!$C$32, $C$9, 100%, $E$9)</f>
        <v>14.473800000000001</v>
      </c>
      <c r="H880" s="11">
        <f>29.393 * CHOOSE(CONTROL!$C$32, $C$9, 100%, $E$9)</f>
        <v>29.393000000000001</v>
      </c>
      <c r="I880" s="11">
        <f>29.3966 * CHOOSE(CONTROL!$C$32, $C$9, 100%, $E$9)</f>
        <v>29.396599999999999</v>
      </c>
      <c r="J880" s="11">
        <f>29.393 * CHOOSE(CONTROL!$C$32, $C$9, 100%, $E$9)</f>
        <v>29.393000000000001</v>
      </c>
      <c r="K880" s="11">
        <f>29.3966 * CHOOSE(CONTROL!$C$32, $C$9, 100%, $E$9)</f>
        <v>29.396599999999999</v>
      </c>
      <c r="L880" s="11">
        <f>14.4702 * CHOOSE(CONTROL!$C$32, $C$9, 100%, $E$9)</f>
        <v>14.4702</v>
      </c>
      <c r="M880" s="11">
        <f>14.4738 * CHOOSE(CONTROL!$C$32, $C$9, 100%, $E$9)</f>
        <v>14.473800000000001</v>
      </c>
      <c r="N880" s="11">
        <f>14.4702 * CHOOSE(CONTROL!$C$32, $C$9, 100%, $E$9)</f>
        <v>14.4702</v>
      </c>
      <c r="O880" s="11">
        <f>14.4738 * CHOOSE(CONTROL!$C$32, $C$9, 100%, $E$9)</f>
        <v>14.473800000000001</v>
      </c>
    </row>
    <row r="881" spans="1:15" ht="15" x14ac:dyDescent="0.2">
      <c r="A881" s="13">
        <v>67663</v>
      </c>
      <c r="B881" s="9">
        <f>12.9417 * CHOOSE(CONTROL!$C$32, $C$9, 100%, $E$9)</f>
        <v>12.941700000000001</v>
      </c>
      <c r="C881" s="9">
        <f>12.9417 * CHOOSE(CONTROL!$C$32, $C$9, 100%, $E$9)</f>
        <v>12.941700000000001</v>
      </c>
      <c r="D881" s="9">
        <f>12.9428 * CHOOSE(CONTROL!$C$32, $C$9, 100%, $E$9)</f>
        <v>12.9428</v>
      </c>
      <c r="E881" s="11">
        <f>14.8005 * CHOOSE(CONTROL!$C$32, $C$9, 100%, $E$9)</f>
        <v>14.8005</v>
      </c>
      <c r="F881" s="11">
        <f>14.8005 * CHOOSE(CONTROL!$C$32, $C$9, 100%, $E$9)</f>
        <v>14.8005</v>
      </c>
      <c r="G881" s="11">
        <f>14.8042 * CHOOSE(CONTROL!$C$32, $C$9, 100%, $E$9)</f>
        <v>14.8042</v>
      </c>
      <c r="H881" s="11">
        <f>29.4542 * CHOOSE(CONTROL!$C$32, $C$9, 100%, $E$9)</f>
        <v>29.4542</v>
      </c>
      <c r="I881" s="11">
        <f>29.4578 * CHOOSE(CONTROL!$C$32, $C$9, 100%, $E$9)</f>
        <v>29.457799999999999</v>
      </c>
      <c r="J881" s="11">
        <f>29.4542 * CHOOSE(CONTROL!$C$32, $C$9, 100%, $E$9)</f>
        <v>29.4542</v>
      </c>
      <c r="K881" s="11">
        <f>29.4578 * CHOOSE(CONTROL!$C$32, $C$9, 100%, $E$9)</f>
        <v>29.457799999999999</v>
      </c>
      <c r="L881" s="11">
        <f>14.8005 * CHOOSE(CONTROL!$C$32, $C$9, 100%, $E$9)</f>
        <v>14.8005</v>
      </c>
      <c r="M881" s="11">
        <f>14.8042 * CHOOSE(CONTROL!$C$32, $C$9, 100%, $E$9)</f>
        <v>14.8042</v>
      </c>
      <c r="N881" s="11">
        <f>14.8005 * CHOOSE(CONTROL!$C$32, $C$9, 100%, $E$9)</f>
        <v>14.8005</v>
      </c>
      <c r="O881" s="11">
        <f>14.8042 * CHOOSE(CONTROL!$C$32, $C$9, 100%, $E$9)</f>
        <v>14.8042</v>
      </c>
    </row>
    <row r="882" spans="1:15" ht="15" x14ac:dyDescent="0.2">
      <c r="A882" s="13">
        <v>67693</v>
      </c>
      <c r="B882" s="9">
        <f>12.9417 * CHOOSE(CONTROL!$C$32, $C$9, 100%, $E$9)</f>
        <v>12.941700000000001</v>
      </c>
      <c r="C882" s="9">
        <f>12.9417 * CHOOSE(CONTROL!$C$32, $C$9, 100%, $E$9)</f>
        <v>12.941700000000001</v>
      </c>
      <c r="D882" s="9">
        <f>12.9433 * CHOOSE(CONTROL!$C$32, $C$9, 100%, $E$9)</f>
        <v>12.943300000000001</v>
      </c>
      <c r="E882" s="11">
        <f>14.926 * CHOOSE(CONTROL!$C$32, $C$9, 100%, $E$9)</f>
        <v>14.926</v>
      </c>
      <c r="F882" s="11">
        <f>14.926 * CHOOSE(CONTROL!$C$32, $C$9, 100%, $E$9)</f>
        <v>14.926</v>
      </c>
      <c r="G882" s="11">
        <f>14.9313 * CHOOSE(CONTROL!$C$32, $C$9, 100%, $E$9)</f>
        <v>14.9313</v>
      </c>
      <c r="H882" s="11">
        <f>29.5156 * CHOOSE(CONTROL!$C$32, $C$9, 100%, $E$9)</f>
        <v>29.515599999999999</v>
      </c>
      <c r="I882" s="11">
        <f>29.5209 * CHOOSE(CONTROL!$C$32, $C$9, 100%, $E$9)</f>
        <v>29.520900000000001</v>
      </c>
      <c r="J882" s="11">
        <f>29.5156 * CHOOSE(CONTROL!$C$32, $C$9, 100%, $E$9)</f>
        <v>29.515599999999999</v>
      </c>
      <c r="K882" s="11">
        <f>29.5209 * CHOOSE(CONTROL!$C$32, $C$9, 100%, $E$9)</f>
        <v>29.520900000000001</v>
      </c>
      <c r="L882" s="11">
        <f>14.926 * CHOOSE(CONTROL!$C$32, $C$9, 100%, $E$9)</f>
        <v>14.926</v>
      </c>
      <c r="M882" s="11">
        <f>14.9313 * CHOOSE(CONTROL!$C$32, $C$9, 100%, $E$9)</f>
        <v>14.9313</v>
      </c>
      <c r="N882" s="11">
        <f>14.926 * CHOOSE(CONTROL!$C$32, $C$9, 100%, $E$9)</f>
        <v>14.926</v>
      </c>
      <c r="O882" s="11">
        <f>14.9313 * CHOOSE(CONTROL!$C$32, $C$9, 100%, $E$9)</f>
        <v>14.9313</v>
      </c>
    </row>
    <row r="883" spans="1:15" ht="15" x14ac:dyDescent="0.2">
      <c r="A883" s="13">
        <v>67724</v>
      </c>
      <c r="B883" s="9">
        <f>12.9478 * CHOOSE(CONTROL!$C$32, $C$9, 100%, $E$9)</f>
        <v>12.947800000000001</v>
      </c>
      <c r="C883" s="9">
        <f>12.9478 * CHOOSE(CONTROL!$C$32, $C$9, 100%, $E$9)</f>
        <v>12.947800000000001</v>
      </c>
      <c r="D883" s="9">
        <f>12.9493 * CHOOSE(CONTROL!$C$32, $C$9, 100%, $E$9)</f>
        <v>12.949299999999999</v>
      </c>
      <c r="E883" s="11">
        <f>14.8048 * CHOOSE(CONTROL!$C$32, $C$9, 100%, $E$9)</f>
        <v>14.8048</v>
      </c>
      <c r="F883" s="11">
        <f>14.8048 * CHOOSE(CONTROL!$C$32, $C$9, 100%, $E$9)</f>
        <v>14.8048</v>
      </c>
      <c r="G883" s="11">
        <f>14.8101 * CHOOSE(CONTROL!$C$32, $C$9, 100%, $E$9)</f>
        <v>14.8101</v>
      </c>
      <c r="H883" s="11">
        <f>29.5771 * CHOOSE(CONTROL!$C$32, $C$9, 100%, $E$9)</f>
        <v>29.577100000000002</v>
      </c>
      <c r="I883" s="11">
        <f>29.5824 * CHOOSE(CONTROL!$C$32, $C$9, 100%, $E$9)</f>
        <v>29.5824</v>
      </c>
      <c r="J883" s="11">
        <f>29.5771 * CHOOSE(CONTROL!$C$32, $C$9, 100%, $E$9)</f>
        <v>29.577100000000002</v>
      </c>
      <c r="K883" s="11">
        <f>29.5824 * CHOOSE(CONTROL!$C$32, $C$9, 100%, $E$9)</f>
        <v>29.5824</v>
      </c>
      <c r="L883" s="11">
        <f>14.8048 * CHOOSE(CONTROL!$C$32, $C$9, 100%, $E$9)</f>
        <v>14.8048</v>
      </c>
      <c r="M883" s="11">
        <f>14.8101 * CHOOSE(CONTROL!$C$32, $C$9, 100%, $E$9)</f>
        <v>14.8101</v>
      </c>
      <c r="N883" s="11">
        <f>14.8048 * CHOOSE(CONTROL!$C$32, $C$9, 100%, $E$9)</f>
        <v>14.8048</v>
      </c>
      <c r="O883" s="11">
        <f>14.8101 * CHOOSE(CONTROL!$C$32, $C$9, 100%, $E$9)</f>
        <v>14.8101</v>
      </c>
    </row>
    <row r="884" spans="1:15" ht="15" x14ac:dyDescent="0.2">
      <c r="A884" s="13">
        <v>67754</v>
      </c>
      <c r="B884" s="9">
        <f>13.1045 * CHOOSE(CONTROL!$C$32, $C$9, 100%, $E$9)</f>
        <v>13.1045</v>
      </c>
      <c r="C884" s="9">
        <f>13.1045 * CHOOSE(CONTROL!$C$32, $C$9, 100%, $E$9)</f>
        <v>13.1045</v>
      </c>
      <c r="D884" s="9">
        <f>13.1061 * CHOOSE(CONTROL!$C$32, $C$9, 100%, $E$9)</f>
        <v>13.1061</v>
      </c>
      <c r="E884" s="11">
        <f>15.0144 * CHOOSE(CONTROL!$C$32, $C$9, 100%, $E$9)</f>
        <v>15.0144</v>
      </c>
      <c r="F884" s="11">
        <f>15.0144 * CHOOSE(CONTROL!$C$32, $C$9, 100%, $E$9)</f>
        <v>15.0144</v>
      </c>
      <c r="G884" s="11">
        <f>15.0197 * CHOOSE(CONTROL!$C$32, $C$9, 100%, $E$9)</f>
        <v>15.0197</v>
      </c>
      <c r="H884" s="11">
        <f>29.6387 * CHOOSE(CONTROL!$C$32, $C$9, 100%, $E$9)</f>
        <v>29.6387</v>
      </c>
      <c r="I884" s="11">
        <f>29.644 * CHOOSE(CONTROL!$C$32, $C$9, 100%, $E$9)</f>
        <v>29.643999999999998</v>
      </c>
      <c r="J884" s="11">
        <f>29.6387 * CHOOSE(CONTROL!$C$32, $C$9, 100%, $E$9)</f>
        <v>29.6387</v>
      </c>
      <c r="K884" s="11">
        <f>29.644 * CHOOSE(CONTROL!$C$32, $C$9, 100%, $E$9)</f>
        <v>29.643999999999998</v>
      </c>
      <c r="L884" s="11">
        <f>15.0144 * CHOOSE(CONTROL!$C$32, $C$9, 100%, $E$9)</f>
        <v>15.0144</v>
      </c>
      <c r="M884" s="11">
        <f>15.0197 * CHOOSE(CONTROL!$C$32, $C$9, 100%, $E$9)</f>
        <v>15.0197</v>
      </c>
      <c r="N884" s="11">
        <f>15.0144 * CHOOSE(CONTROL!$C$32, $C$9, 100%, $E$9)</f>
        <v>15.0144</v>
      </c>
      <c r="O884" s="11">
        <f>15.0197 * CHOOSE(CONTROL!$C$32, $C$9, 100%, $E$9)</f>
        <v>15.0197</v>
      </c>
    </row>
    <row r="885" spans="1:15" ht="15" x14ac:dyDescent="0.2">
      <c r="A885" s="13">
        <v>67785</v>
      </c>
      <c r="B885" s="9">
        <f>13.1112 * CHOOSE(CONTROL!$C$32, $C$9, 100%, $E$9)</f>
        <v>13.1112</v>
      </c>
      <c r="C885" s="9">
        <f>13.1112 * CHOOSE(CONTROL!$C$32, $C$9, 100%, $E$9)</f>
        <v>13.1112</v>
      </c>
      <c r="D885" s="9">
        <f>13.1127 * CHOOSE(CONTROL!$C$32, $C$9, 100%, $E$9)</f>
        <v>13.1127</v>
      </c>
      <c r="E885" s="11">
        <f>14.6427 * CHOOSE(CONTROL!$C$32, $C$9, 100%, $E$9)</f>
        <v>14.6427</v>
      </c>
      <c r="F885" s="11">
        <f>14.6427 * CHOOSE(CONTROL!$C$32, $C$9, 100%, $E$9)</f>
        <v>14.6427</v>
      </c>
      <c r="G885" s="11">
        <f>14.6479 * CHOOSE(CONTROL!$C$32, $C$9, 100%, $E$9)</f>
        <v>14.6479</v>
      </c>
      <c r="H885" s="11">
        <f>29.7004 * CHOOSE(CONTROL!$C$32, $C$9, 100%, $E$9)</f>
        <v>29.700399999999998</v>
      </c>
      <c r="I885" s="11">
        <f>29.7057 * CHOOSE(CONTROL!$C$32, $C$9, 100%, $E$9)</f>
        <v>29.7057</v>
      </c>
      <c r="J885" s="11">
        <f>29.7004 * CHOOSE(CONTROL!$C$32, $C$9, 100%, $E$9)</f>
        <v>29.700399999999998</v>
      </c>
      <c r="K885" s="11">
        <f>29.7057 * CHOOSE(CONTROL!$C$32, $C$9, 100%, $E$9)</f>
        <v>29.7057</v>
      </c>
      <c r="L885" s="11">
        <f>14.6427 * CHOOSE(CONTROL!$C$32, $C$9, 100%, $E$9)</f>
        <v>14.6427</v>
      </c>
      <c r="M885" s="11">
        <f>14.6479 * CHOOSE(CONTROL!$C$32, $C$9, 100%, $E$9)</f>
        <v>14.6479</v>
      </c>
      <c r="N885" s="11">
        <f>14.6427 * CHOOSE(CONTROL!$C$32, $C$9, 100%, $E$9)</f>
        <v>14.6427</v>
      </c>
      <c r="O885" s="11">
        <f>14.6479 * CHOOSE(CONTROL!$C$32, $C$9, 100%, $E$9)</f>
        <v>14.6479</v>
      </c>
    </row>
    <row r="886" spans="1:15" ht="15" x14ac:dyDescent="0.2">
      <c r="A886" s="13">
        <v>67816</v>
      </c>
      <c r="B886" s="9">
        <f>13.1081 * CHOOSE(CONTROL!$C$32, $C$9, 100%, $E$9)</f>
        <v>13.1081</v>
      </c>
      <c r="C886" s="9">
        <f>13.1081 * CHOOSE(CONTROL!$C$32, $C$9, 100%, $E$9)</f>
        <v>13.1081</v>
      </c>
      <c r="D886" s="9">
        <f>13.1097 * CHOOSE(CONTROL!$C$32, $C$9, 100%, $E$9)</f>
        <v>13.1097</v>
      </c>
      <c r="E886" s="11">
        <f>14.5987 * CHOOSE(CONTROL!$C$32, $C$9, 100%, $E$9)</f>
        <v>14.598699999999999</v>
      </c>
      <c r="F886" s="11">
        <f>14.5987 * CHOOSE(CONTROL!$C$32, $C$9, 100%, $E$9)</f>
        <v>14.598699999999999</v>
      </c>
      <c r="G886" s="11">
        <f>14.604 * CHOOSE(CONTROL!$C$32, $C$9, 100%, $E$9)</f>
        <v>14.603999999999999</v>
      </c>
      <c r="H886" s="11">
        <f>29.7623 * CHOOSE(CONTROL!$C$32, $C$9, 100%, $E$9)</f>
        <v>29.7623</v>
      </c>
      <c r="I886" s="11">
        <f>29.7676 * CHOOSE(CONTROL!$C$32, $C$9, 100%, $E$9)</f>
        <v>29.767600000000002</v>
      </c>
      <c r="J886" s="11">
        <f>29.7623 * CHOOSE(CONTROL!$C$32, $C$9, 100%, $E$9)</f>
        <v>29.7623</v>
      </c>
      <c r="K886" s="11">
        <f>29.7676 * CHOOSE(CONTROL!$C$32, $C$9, 100%, $E$9)</f>
        <v>29.767600000000002</v>
      </c>
      <c r="L886" s="11">
        <f>14.5987 * CHOOSE(CONTROL!$C$32, $C$9, 100%, $E$9)</f>
        <v>14.598699999999999</v>
      </c>
      <c r="M886" s="11">
        <f>14.604 * CHOOSE(CONTROL!$C$32, $C$9, 100%, $E$9)</f>
        <v>14.603999999999999</v>
      </c>
      <c r="N886" s="11">
        <f>14.5987 * CHOOSE(CONTROL!$C$32, $C$9, 100%, $E$9)</f>
        <v>14.598699999999999</v>
      </c>
      <c r="O886" s="11">
        <f>14.604 * CHOOSE(CONTROL!$C$32, $C$9, 100%, $E$9)</f>
        <v>14.603999999999999</v>
      </c>
    </row>
    <row r="887" spans="1:15" ht="15" x14ac:dyDescent="0.2">
      <c r="A887" s="13">
        <v>67846</v>
      </c>
      <c r="B887" s="9">
        <f>13.1372 * CHOOSE(CONTROL!$C$32, $C$9, 100%, $E$9)</f>
        <v>13.1372</v>
      </c>
      <c r="C887" s="9">
        <f>13.1372 * CHOOSE(CONTROL!$C$32, $C$9, 100%, $E$9)</f>
        <v>13.1372</v>
      </c>
      <c r="D887" s="9">
        <f>13.1383 * CHOOSE(CONTROL!$C$32, $C$9, 100%, $E$9)</f>
        <v>13.138299999999999</v>
      </c>
      <c r="E887" s="11">
        <f>14.7526 * CHOOSE(CONTROL!$C$32, $C$9, 100%, $E$9)</f>
        <v>14.752599999999999</v>
      </c>
      <c r="F887" s="11">
        <f>14.7526 * CHOOSE(CONTROL!$C$32, $C$9, 100%, $E$9)</f>
        <v>14.752599999999999</v>
      </c>
      <c r="G887" s="11">
        <f>14.7562 * CHOOSE(CONTROL!$C$32, $C$9, 100%, $E$9)</f>
        <v>14.7562</v>
      </c>
      <c r="H887" s="11">
        <f>29.8243 * CHOOSE(CONTROL!$C$32, $C$9, 100%, $E$9)</f>
        <v>29.824300000000001</v>
      </c>
      <c r="I887" s="11">
        <f>29.8279 * CHOOSE(CONTROL!$C$32, $C$9, 100%, $E$9)</f>
        <v>29.8279</v>
      </c>
      <c r="J887" s="11">
        <f>29.8243 * CHOOSE(CONTROL!$C$32, $C$9, 100%, $E$9)</f>
        <v>29.824300000000001</v>
      </c>
      <c r="K887" s="11">
        <f>29.8279 * CHOOSE(CONTROL!$C$32, $C$9, 100%, $E$9)</f>
        <v>29.8279</v>
      </c>
      <c r="L887" s="11">
        <f>14.7526 * CHOOSE(CONTROL!$C$32, $C$9, 100%, $E$9)</f>
        <v>14.752599999999999</v>
      </c>
      <c r="M887" s="11">
        <f>14.7562 * CHOOSE(CONTROL!$C$32, $C$9, 100%, $E$9)</f>
        <v>14.7562</v>
      </c>
      <c r="N887" s="11">
        <f>14.7526 * CHOOSE(CONTROL!$C$32, $C$9, 100%, $E$9)</f>
        <v>14.752599999999999</v>
      </c>
      <c r="O887" s="11">
        <f>14.7562 * CHOOSE(CONTROL!$C$32, $C$9, 100%, $E$9)</f>
        <v>14.7562</v>
      </c>
    </row>
    <row r="888" spans="1:15" ht="15" x14ac:dyDescent="0.2">
      <c r="A888" s="13">
        <v>67877</v>
      </c>
      <c r="B888" s="9">
        <f>13.1403 * CHOOSE(CONTROL!$C$32, $C$9, 100%, $E$9)</f>
        <v>13.1403</v>
      </c>
      <c r="C888" s="9">
        <f>13.1403 * CHOOSE(CONTROL!$C$32, $C$9, 100%, $E$9)</f>
        <v>13.1403</v>
      </c>
      <c r="D888" s="9">
        <f>13.1413 * CHOOSE(CONTROL!$C$32, $C$9, 100%, $E$9)</f>
        <v>13.141299999999999</v>
      </c>
      <c r="E888" s="11">
        <f>14.8383 * CHOOSE(CONTROL!$C$32, $C$9, 100%, $E$9)</f>
        <v>14.8383</v>
      </c>
      <c r="F888" s="11">
        <f>14.8383 * CHOOSE(CONTROL!$C$32, $C$9, 100%, $E$9)</f>
        <v>14.8383</v>
      </c>
      <c r="G888" s="11">
        <f>14.842 * CHOOSE(CONTROL!$C$32, $C$9, 100%, $E$9)</f>
        <v>14.842000000000001</v>
      </c>
      <c r="H888" s="11">
        <f>29.8865 * CHOOSE(CONTROL!$C$32, $C$9, 100%, $E$9)</f>
        <v>29.886500000000002</v>
      </c>
      <c r="I888" s="11">
        <f>29.8901 * CHOOSE(CONTROL!$C$32, $C$9, 100%, $E$9)</f>
        <v>29.8901</v>
      </c>
      <c r="J888" s="11">
        <f>29.8865 * CHOOSE(CONTROL!$C$32, $C$9, 100%, $E$9)</f>
        <v>29.886500000000002</v>
      </c>
      <c r="K888" s="11">
        <f>29.8901 * CHOOSE(CONTROL!$C$32, $C$9, 100%, $E$9)</f>
        <v>29.8901</v>
      </c>
      <c r="L888" s="11">
        <f>14.8383 * CHOOSE(CONTROL!$C$32, $C$9, 100%, $E$9)</f>
        <v>14.8383</v>
      </c>
      <c r="M888" s="11">
        <f>14.842 * CHOOSE(CONTROL!$C$32, $C$9, 100%, $E$9)</f>
        <v>14.842000000000001</v>
      </c>
      <c r="N888" s="11">
        <f>14.8383 * CHOOSE(CONTROL!$C$32, $C$9, 100%, $E$9)</f>
        <v>14.8383</v>
      </c>
      <c r="O888" s="11">
        <f>14.842 * CHOOSE(CONTROL!$C$32, $C$9, 100%, $E$9)</f>
        <v>14.842000000000001</v>
      </c>
    </row>
    <row r="889" spans="1:15" ht="15" x14ac:dyDescent="0.2">
      <c r="A889" s="13">
        <v>67907</v>
      </c>
      <c r="B889" s="9">
        <f>13.1403 * CHOOSE(CONTROL!$C$32, $C$9, 100%, $E$9)</f>
        <v>13.1403</v>
      </c>
      <c r="C889" s="9">
        <f>13.1403 * CHOOSE(CONTROL!$C$32, $C$9, 100%, $E$9)</f>
        <v>13.1403</v>
      </c>
      <c r="D889" s="9">
        <f>13.1413 * CHOOSE(CONTROL!$C$32, $C$9, 100%, $E$9)</f>
        <v>13.141299999999999</v>
      </c>
      <c r="E889" s="11">
        <f>14.6292 * CHOOSE(CONTROL!$C$32, $C$9, 100%, $E$9)</f>
        <v>14.629200000000001</v>
      </c>
      <c r="F889" s="11">
        <f>14.6292 * CHOOSE(CONTROL!$C$32, $C$9, 100%, $E$9)</f>
        <v>14.629200000000001</v>
      </c>
      <c r="G889" s="11">
        <f>14.6328 * CHOOSE(CONTROL!$C$32, $C$9, 100%, $E$9)</f>
        <v>14.6328</v>
      </c>
      <c r="H889" s="11">
        <f>29.9487 * CHOOSE(CONTROL!$C$32, $C$9, 100%, $E$9)</f>
        <v>29.948699999999999</v>
      </c>
      <c r="I889" s="11">
        <f>29.9523 * CHOOSE(CONTROL!$C$32, $C$9, 100%, $E$9)</f>
        <v>29.952300000000001</v>
      </c>
      <c r="J889" s="11">
        <f>29.9487 * CHOOSE(CONTROL!$C$32, $C$9, 100%, $E$9)</f>
        <v>29.948699999999999</v>
      </c>
      <c r="K889" s="11">
        <f>29.9523 * CHOOSE(CONTROL!$C$32, $C$9, 100%, $E$9)</f>
        <v>29.952300000000001</v>
      </c>
      <c r="L889" s="11">
        <f>14.6292 * CHOOSE(CONTROL!$C$32, $C$9, 100%, $E$9)</f>
        <v>14.629200000000001</v>
      </c>
      <c r="M889" s="11">
        <f>14.6328 * CHOOSE(CONTROL!$C$32, $C$9, 100%, $E$9)</f>
        <v>14.6328</v>
      </c>
      <c r="N889" s="11">
        <f>14.6292 * CHOOSE(CONTROL!$C$32, $C$9, 100%, $E$9)</f>
        <v>14.629200000000001</v>
      </c>
      <c r="O889" s="11">
        <f>14.6328 * CHOOSE(CONTROL!$C$32, $C$9, 100%, $E$9)</f>
        <v>14.6328</v>
      </c>
    </row>
    <row r="890" spans="1:15" ht="15" x14ac:dyDescent="0.2">
      <c r="A890" s="13">
        <v>67938</v>
      </c>
      <c r="B890" s="9">
        <f>13.1288 * CHOOSE(CONTROL!$C$32, $C$9, 100%, $E$9)</f>
        <v>13.1288</v>
      </c>
      <c r="C890" s="9">
        <f>13.1288 * CHOOSE(CONTROL!$C$32, $C$9, 100%, $E$9)</f>
        <v>13.1288</v>
      </c>
      <c r="D890" s="9">
        <f>13.1299 * CHOOSE(CONTROL!$C$32, $C$9, 100%, $E$9)</f>
        <v>13.129899999999999</v>
      </c>
      <c r="E890" s="11">
        <f>14.7706 * CHOOSE(CONTROL!$C$32, $C$9, 100%, $E$9)</f>
        <v>14.7706</v>
      </c>
      <c r="F890" s="11">
        <f>14.7706 * CHOOSE(CONTROL!$C$32, $C$9, 100%, $E$9)</f>
        <v>14.7706</v>
      </c>
      <c r="G890" s="11">
        <f>14.7742 * CHOOSE(CONTROL!$C$32, $C$9, 100%, $E$9)</f>
        <v>14.7742</v>
      </c>
      <c r="H890" s="11">
        <f>29.7244 * CHOOSE(CONTROL!$C$32, $C$9, 100%, $E$9)</f>
        <v>29.724399999999999</v>
      </c>
      <c r="I890" s="11">
        <f>29.728 * CHOOSE(CONTROL!$C$32, $C$9, 100%, $E$9)</f>
        <v>29.728000000000002</v>
      </c>
      <c r="J890" s="11">
        <f>29.7244 * CHOOSE(CONTROL!$C$32, $C$9, 100%, $E$9)</f>
        <v>29.724399999999999</v>
      </c>
      <c r="K890" s="11">
        <f>29.728 * CHOOSE(CONTROL!$C$32, $C$9, 100%, $E$9)</f>
        <v>29.728000000000002</v>
      </c>
      <c r="L890" s="11">
        <f>14.7706 * CHOOSE(CONTROL!$C$32, $C$9, 100%, $E$9)</f>
        <v>14.7706</v>
      </c>
      <c r="M890" s="11">
        <f>14.7742 * CHOOSE(CONTROL!$C$32, $C$9, 100%, $E$9)</f>
        <v>14.7742</v>
      </c>
      <c r="N890" s="11">
        <f>14.7706 * CHOOSE(CONTROL!$C$32, $C$9, 100%, $E$9)</f>
        <v>14.7706</v>
      </c>
      <c r="O890" s="11">
        <f>14.7742 * CHOOSE(CONTROL!$C$32, $C$9, 100%, $E$9)</f>
        <v>14.7742</v>
      </c>
    </row>
    <row r="891" spans="1:15" ht="15" x14ac:dyDescent="0.2">
      <c r="A891" s="13">
        <v>67969</v>
      </c>
      <c r="B891" s="9">
        <f>13.1258 * CHOOSE(CONTROL!$C$32, $C$9, 100%, $E$9)</f>
        <v>13.1258</v>
      </c>
      <c r="C891" s="9">
        <f>13.1258 * CHOOSE(CONTROL!$C$32, $C$9, 100%, $E$9)</f>
        <v>13.1258</v>
      </c>
      <c r="D891" s="9">
        <f>13.1268 * CHOOSE(CONTROL!$C$32, $C$9, 100%, $E$9)</f>
        <v>13.126799999999999</v>
      </c>
      <c r="E891" s="11">
        <f>14.3662 * CHOOSE(CONTROL!$C$32, $C$9, 100%, $E$9)</f>
        <v>14.366199999999999</v>
      </c>
      <c r="F891" s="11">
        <f>14.3662 * CHOOSE(CONTROL!$C$32, $C$9, 100%, $E$9)</f>
        <v>14.366199999999999</v>
      </c>
      <c r="G891" s="11">
        <f>14.3698 * CHOOSE(CONTROL!$C$32, $C$9, 100%, $E$9)</f>
        <v>14.3698</v>
      </c>
      <c r="H891" s="11">
        <f>29.7863 * CHOOSE(CONTROL!$C$32, $C$9, 100%, $E$9)</f>
        <v>29.786300000000001</v>
      </c>
      <c r="I891" s="11">
        <f>29.7899 * CHOOSE(CONTROL!$C$32, $C$9, 100%, $E$9)</f>
        <v>29.789899999999999</v>
      </c>
      <c r="J891" s="11">
        <f>29.7863 * CHOOSE(CONTROL!$C$32, $C$9, 100%, $E$9)</f>
        <v>29.786300000000001</v>
      </c>
      <c r="K891" s="11">
        <f>29.7899 * CHOOSE(CONTROL!$C$32, $C$9, 100%, $E$9)</f>
        <v>29.789899999999999</v>
      </c>
      <c r="L891" s="11">
        <f>14.3662 * CHOOSE(CONTROL!$C$32, $C$9, 100%, $E$9)</f>
        <v>14.366199999999999</v>
      </c>
      <c r="M891" s="11">
        <f>14.3698 * CHOOSE(CONTROL!$C$32, $C$9, 100%, $E$9)</f>
        <v>14.3698</v>
      </c>
      <c r="N891" s="11">
        <f>14.3662 * CHOOSE(CONTROL!$C$32, $C$9, 100%, $E$9)</f>
        <v>14.366199999999999</v>
      </c>
      <c r="O891" s="11">
        <f>14.3698 * CHOOSE(CONTROL!$C$32, $C$9, 100%, $E$9)</f>
        <v>14.3698</v>
      </c>
    </row>
    <row r="892" spans="1:15" ht="15" x14ac:dyDescent="0.2">
      <c r="A892" s="13">
        <v>67997</v>
      </c>
      <c r="B892" s="9">
        <f>13.1227 * CHOOSE(CONTROL!$C$32, $C$9, 100%, $E$9)</f>
        <v>13.1227</v>
      </c>
      <c r="C892" s="9">
        <f>13.1227 * CHOOSE(CONTROL!$C$32, $C$9, 100%, $E$9)</f>
        <v>13.1227</v>
      </c>
      <c r="D892" s="9">
        <f>13.1238 * CHOOSE(CONTROL!$C$32, $C$9, 100%, $E$9)</f>
        <v>13.123799999999999</v>
      </c>
      <c r="E892" s="11">
        <f>14.6812 * CHOOSE(CONTROL!$C$32, $C$9, 100%, $E$9)</f>
        <v>14.6812</v>
      </c>
      <c r="F892" s="11">
        <f>14.6812 * CHOOSE(CONTROL!$C$32, $C$9, 100%, $E$9)</f>
        <v>14.6812</v>
      </c>
      <c r="G892" s="11">
        <f>14.6848 * CHOOSE(CONTROL!$C$32, $C$9, 100%, $E$9)</f>
        <v>14.684799999999999</v>
      </c>
      <c r="H892" s="11">
        <f>29.8484 * CHOOSE(CONTROL!$C$32, $C$9, 100%, $E$9)</f>
        <v>29.848400000000002</v>
      </c>
      <c r="I892" s="11">
        <f>29.852 * CHOOSE(CONTROL!$C$32, $C$9, 100%, $E$9)</f>
        <v>29.852</v>
      </c>
      <c r="J892" s="11">
        <f>29.8484 * CHOOSE(CONTROL!$C$32, $C$9, 100%, $E$9)</f>
        <v>29.848400000000002</v>
      </c>
      <c r="K892" s="11">
        <f>29.852 * CHOOSE(CONTROL!$C$32, $C$9, 100%, $E$9)</f>
        <v>29.852</v>
      </c>
      <c r="L892" s="11">
        <f>14.6812 * CHOOSE(CONTROL!$C$32, $C$9, 100%, $E$9)</f>
        <v>14.6812</v>
      </c>
      <c r="M892" s="11">
        <f>14.6848 * CHOOSE(CONTROL!$C$32, $C$9, 100%, $E$9)</f>
        <v>14.684799999999999</v>
      </c>
      <c r="N892" s="11">
        <f>14.6812 * CHOOSE(CONTROL!$C$32, $C$9, 100%, $E$9)</f>
        <v>14.6812</v>
      </c>
      <c r="O892" s="11">
        <f>14.6848 * CHOOSE(CONTROL!$C$32, $C$9, 100%, $E$9)</f>
        <v>14.684799999999999</v>
      </c>
    </row>
    <row r="893" spans="1:15" ht="15" x14ac:dyDescent="0.2">
      <c r="A893" s="13">
        <v>68028</v>
      </c>
      <c r="B893" s="9">
        <f>13.1292 * CHOOSE(CONTROL!$C$32, $C$9, 100%, $E$9)</f>
        <v>13.129200000000001</v>
      </c>
      <c r="C893" s="9">
        <f>13.1292 * CHOOSE(CONTROL!$C$32, $C$9, 100%, $E$9)</f>
        <v>13.129200000000001</v>
      </c>
      <c r="D893" s="9">
        <f>13.1303 * CHOOSE(CONTROL!$C$32, $C$9, 100%, $E$9)</f>
        <v>13.1303</v>
      </c>
      <c r="E893" s="11">
        <f>15.0175 * CHOOSE(CONTROL!$C$32, $C$9, 100%, $E$9)</f>
        <v>15.0175</v>
      </c>
      <c r="F893" s="11">
        <f>15.0175 * CHOOSE(CONTROL!$C$32, $C$9, 100%, $E$9)</f>
        <v>15.0175</v>
      </c>
      <c r="G893" s="11">
        <f>15.0212 * CHOOSE(CONTROL!$C$32, $C$9, 100%, $E$9)</f>
        <v>15.0212</v>
      </c>
      <c r="H893" s="11">
        <f>29.9106 * CHOOSE(CONTROL!$C$32, $C$9, 100%, $E$9)</f>
        <v>29.910599999999999</v>
      </c>
      <c r="I893" s="11">
        <f>29.9142 * CHOOSE(CONTROL!$C$32, $C$9, 100%, $E$9)</f>
        <v>29.914200000000001</v>
      </c>
      <c r="J893" s="11">
        <f>29.9106 * CHOOSE(CONTROL!$C$32, $C$9, 100%, $E$9)</f>
        <v>29.910599999999999</v>
      </c>
      <c r="K893" s="11">
        <f>29.9142 * CHOOSE(CONTROL!$C$32, $C$9, 100%, $E$9)</f>
        <v>29.914200000000001</v>
      </c>
      <c r="L893" s="11">
        <f>15.0175 * CHOOSE(CONTROL!$C$32, $C$9, 100%, $E$9)</f>
        <v>15.0175</v>
      </c>
      <c r="M893" s="11">
        <f>15.0212 * CHOOSE(CONTROL!$C$32, $C$9, 100%, $E$9)</f>
        <v>15.0212</v>
      </c>
      <c r="N893" s="11">
        <f>15.0175 * CHOOSE(CONTROL!$C$32, $C$9, 100%, $E$9)</f>
        <v>15.0175</v>
      </c>
      <c r="O893" s="11">
        <f>15.0212 * CHOOSE(CONTROL!$C$32, $C$9, 100%, $E$9)</f>
        <v>15.0212</v>
      </c>
    </row>
    <row r="894" spans="1:15" ht="15" x14ac:dyDescent="0.2">
      <c r="A894" s="13">
        <v>68058</v>
      </c>
      <c r="B894" s="9">
        <f>13.1292 * CHOOSE(CONTROL!$C$32, $C$9, 100%, $E$9)</f>
        <v>13.129200000000001</v>
      </c>
      <c r="C894" s="9">
        <f>13.1292 * CHOOSE(CONTROL!$C$32, $C$9, 100%, $E$9)</f>
        <v>13.129200000000001</v>
      </c>
      <c r="D894" s="9">
        <f>13.1308 * CHOOSE(CONTROL!$C$32, $C$9, 100%, $E$9)</f>
        <v>13.130800000000001</v>
      </c>
      <c r="E894" s="11">
        <f>15.1453 * CHOOSE(CONTROL!$C$32, $C$9, 100%, $E$9)</f>
        <v>15.145300000000001</v>
      </c>
      <c r="F894" s="11">
        <f>15.1453 * CHOOSE(CONTROL!$C$32, $C$9, 100%, $E$9)</f>
        <v>15.145300000000001</v>
      </c>
      <c r="G894" s="11">
        <f>15.1506 * CHOOSE(CONTROL!$C$32, $C$9, 100%, $E$9)</f>
        <v>15.150600000000001</v>
      </c>
      <c r="H894" s="11">
        <f>29.9729 * CHOOSE(CONTROL!$C$32, $C$9, 100%, $E$9)</f>
        <v>29.972899999999999</v>
      </c>
      <c r="I894" s="11">
        <f>29.9782 * CHOOSE(CONTROL!$C$32, $C$9, 100%, $E$9)</f>
        <v>29.978200000000001</v>
      </c>
      <c r="J894" s="11">
        <f>29.9729 * CHOOSE(CONTROL!$C$32, $C$9, 100%, $E$9)</f>
        <v>29.972899999999999</v>
      </c>
      <c r="K894" s="11">
        <f>29.9782 * CHOOSE(CONTROL!$C$32, $C$9, 100%, $E$9)</f>
        <v>29.978200000000001</v>
      </c>
      <c r="L894" s="11">
        <f>15.1453 * CHOOSE(CONTROL!$C$32, $C$9, 100%, $E$9)</f>
        <v>15.145300000000001</v>
      </c>
      <c r="M894" s="11">
        <f>15.1506 * CHOOSE(CONTROL!$C$32, $C$9, 100%, $E$9)</f>
        <v>15.150600000000001</v>
      </c>
      <c r="N894" s="11">
        <f>15.1453 * CHOOSE(CONTROL!$C$32, $C$9, 100%, $E$9)</f>
        <v>15.145300000000001</v>
      </c>
      <c r="O894" s="11">
        <f>15.1506 * CHOOSE(CONTROL!$C$32, $C$9, 100%, $E$9)</f>
        <v>15.150600000000001</v>
      </c>
    </row>
    <row r="895" spans="1:15" ht="15" x14ac:dyDescent="0.2">
      <c r="A895" s="13">
        <v>68089</v>
      </c>
      <c r="B895" s="9">
        <f>13.1353 * CHOOSE(CONTROL!$C$32, $C$9, 100%, $E$9)</f>
        <v>13.135300000000001</v>
      </c>
      <c r="C895" s="9">
        <f>13.1353 * CHOOSE(CONTROL!$C$32, $C$9, 100%, $E$9)</f>
        <v>13.135300000000001</v>
      </c>
      <c r="D895" s="9">
        <f>13.1369 * CHOOSE(CONTROL!$C$32, $C$9, 100%, $E$9)</f>
        <v>13.136900000000001</v>
      </c>
      <c r="E895" s="11">
        <f>15.0218 * CHOOSE(CONTROL!$C$32, $C$9, 100%, $E$9)</f>
        <v>15.021800000000001</v>
      </c>
      <c r="F895" s="11">
        <f>15.0218 * CHOOSE(CONTROL!$C$32, $C$9, 100%, $E$9)</f>
        <v>15.021800000000001</v>
      </c>
      <c r="G895" s="11">
        <f>15.0271 * CHOOSE(CONTROL!$C$32, $C$9, 100%, $E$9)</f>
        <v>15.027100000000001</v>
      </c>
      <c r="H895" s="11">
        <f>30.0353 * CHOOSE(CONTROL!$C$32, $C$9, 100%, $E$9)</f>
        <v>30.035299999999999</v>
      </c>
      <c r="I895" s="11">
        <f>30.0406 * CHOOSE(CONTROL!$C$32, $C$9, 100%, $E$9)</f>
        <v>30.040600000000001</v>
      </c>
      <c r="J895" s="11">
        <f>30.0353 * CHOOSE(CONTROL!$C$32, $C$9, 100%, $E$9)</f>
        <v>30.035299999999999</v>
      </c>
      <c r="K895" s="11">
        <f>30.0406 * CHOOSE(CONTROL!$C$32, $C$9, 100%, $E$9)</f>
        <v>30.040600000000001</v>
      </c>
      <c r="L895" s="11">
        <f>15.0218 * CHOOSE(CONTROL!$C$32, $C$9, 100%, $E$9)</f>
        <v>15.021800000000001</v>
      </c>
      <c r="M895" s="11">
        <f>15.0271 * CHOOSE(CONTROL!$C$32, $C$9, 100%, $E$9)</f>
        <v>15.027100000000001</v>
      </c>
      <c r="N895" s="11">
        <f>15.0218 * CHOOSE(CONTROL!$C$32, $C$9, 100%, $E$9)</f>
        <v>15.021800000000001</v>
      </c>
      <c r="O895" s="11">
        <f>15.0271 * CHOOSE(CONTROL!$C$32, $C$9, 100%, $E$9)</f>
        <v>15.027100000000001</v>
      </c>
    </row>
    <row r="896" spans="1:15" ht="15" x14ac:dyDescent="0.2">
      <c r="A896" s="13">
        <v>68119</v>
      </c>
      <c r="B896" s="9">
        <f>13.2941 * CHOOSE(CONTROL!$C$32, $C$9, 100%, $E$9)</f>
        <v>13.2941</v>
      </c>
      <c r="C896" s="9">
        <f>13.2941 * CHOOSE(CONTROL!$C$32, $C$9, 100%, $E$9)</f>
        <v>13.2941</v>
      </c>
      <c r="D896" s="9">
        <f>13.2957 * CHOOSE(CONTROL!$C$32, $C$9, 100%, $E$9)</f>
        <v>13.2957</v>
      </c>
      <c r="E896" s="11">
        <f>15.2346 * CHOOSE(CONTROL!$C$32, $C$9, 100%, $E$9)</f>
        <v>15.2346</v>
      </c>
      <c r="F896" s="11">
        <f>15.2346 * CHOOSE(CONTROL!$C$32, $C$9, 100%, $E$9)</f>
        <v>15.2346</v>
      </c>
      <c r="G896" s="11">
        <f>15.2399 * CHOOSE(CONTROL!$C$32, $C$9, 100%, $E$9)</f>
        <v>15.2399</v>
      </c>
      <c r="H896" s="11">
        <f>30.0979 * CHOOSE(CONTROL!$C$32, $C$9, 100%, $E$9)</f>
        <v>30.097899999999999</v>
      </c>
      <c r="I896" s="11">
        <f>30.1032 * CHOOSE(CONTROL!$C$32, $C$9, 100%, $E$9)</f>
        <v>30.103200000000001</v>
      </c>
      <c r="J896" s="11">
        <f>30.0979 * CHOOSE(CONTROL!$C$32, $C$9, 100%, $E$9)</f>
        <v>30.097899999999999</v>
      </c>
      <c r="K896" s="11">
        <f>30.1032 * CHOOSE(CONTROL!$C$32, $C$9, 100%, $E$9)</f>
        <v>30.103200000000001</v>
      </c>
      <c r="L896" s="11">
        <f>15.2346 * CHOOSE(CONTROL!$C$32, $C$9, 100%, $E$9)</f>
        <v>15.2346</v>
      </c>
      <c r="M896" s="11">
        <f>15.2399 * CHOOSE(CONTROL!$C$32, $C$9, 100%, $E$9)</f>
        <v>15.2399</v>
      </c>
      <c r="N896" s="11">
        <f>15.2346 * CHOOSE(CONTROL!$C$32, $C$9, 100%, $E$9)</f>
        <v>15.2346</v>
      </c>
      <c r="O896" s="11">
        <f>15.2399 * CHOOSE(CONTROL!$C$32, $C$9, 100%, $E$9)</f>
        <v>15.2399</v>
      </c>
    </row>
    <row r="897" spans="1:15" ht="15" x14ac:dyDescent="0.2">
      <c r="A897" s="13">
        <v>68150</v>
      </c>
      <c r="B897" s="9">
        <f>13.3008 * CHOOSE(CONTROL!$C$32, $C$9, 100%, $E$9)</f>
        <v>13.300800000000001</v>
      </c>
      <c r="C897" s="9">
        <f>13.3008 * CHOOSE(CONTROL!$C$32, $C$9, 100%, $E$9)</f>
        <v>13.300800000000001</v>
      </c>
      <c r="D897" s="9">
        <f>13.3023 * CHOOSE(CONTROL!$C$32, $C$9, 100%, $E$9)</f>
        <v>13.302300000000001</v>
      </c>
      <c r="E897" s="11">
        <f>14.8561 * CHOOSE(CONTROL!$C$32, $C$9, 100%, $E$9)</f>
        <v>14.8561</v>
      </c>
      <c r="F897" s="11">
        <f>14.8561 * CHOOSE(CONTROL!$C$32, $C$9, 100%, $E$9)</f>
        <v>14.8561</v>
      </c>
      <c r="G897" s="11">
        <f>14.8614 * CHOOSE(CONTROL!$C$32, $C$9, 100%, $E$9)</f>
        <v>14.8614</v>
      </c>
      <c r="H897" s="11">
        <f>30.1606 * CHOOSE(CONTROL!$C$32, $C$9, 100%, $E$9)</f>
        <v>30.160599999999999</v>
      </c>
      <c r="I897" s="11">
        <f>30.1659 * CHOOSE(CONTROL!$C$32, $C$9, 100%, $E$9)</f>
        <v>30.165900000000001</v>
      </c>
      <c r="J897" s="11">
        <f>30.1606 * CHOOSE(CONTROL!$C$32, $C$9, 100%, $E$9)</f>
        <v>30.160599999999999</v>
      </c>
      <c r="K897" s="11">
        <f>30.1659 * CHOOSE(CONTROL!$C$32, $C$9, 100%, $E$9)</f>
        <v>30.165900000000001</v>
      </c>
      <c r="L897" s="11">
        <f>14.8561 * CHOOSE(CONTROL!$C$32, $C$9, 100%, $E$9)</f>
        <v>14.8561</v>
      </c>
      <c r="M897" s="11">
        <f>14.8614 * CHOOSE(CONTROL!$C$32, $C$9, 100%, $E$9)</f>
        <v>14.8614</v>
      </c>
      <c r="N897" s="11">
        <f>14.8561 * CHOOSE(CONTROL!$C$32, $C$9, 100%, $E$9)</f>
        <v>14.8561</v>
      </c>
      <c r="O897" s="11">
        <f>14.8614 * CHOOSE(CONTROL!$C$32, $C$9, 100%, $E$9)</f>
        <v>14.8614</v>
      </c>
    </row>
    <row r="898" spans="1:15" ht="15" x14ac:dyDescent="0.2">
      <c r="A898" s="13">
        <v>68181</v>
      </c>
      <c r="B898" s="9">
        <f>13.2977 * CHOOSE(CONTROL!$C$32, $C$9, 100%, $E$9)</f>
        <v>13.297700000000001</v>
      </c>
      <c r="C898" s="9">
        <f>13.2977 * CHOOSE(CONTROL!$C$32, $C$9, 100%, $E$9)</f>
        <v>13.297700000000001</v>
      </c>
      <c r="D898" s="9">
        <f>13.2993 * CHOOSE(CONTROL!$C$32, $C$9, 100%, $E$9)</f>
        <v>13.299300000000001</v>
      </c>
      <c r="E898" s="11">
        <f>14.8114 * CHOOSE(CONTROL!$C$32, $C$9, 100%, $E$9)</f>
        <v>14.811400000000001</v>
      </c>
      <c r="F898" s="11">
        <f>14.8114 * CHOOSE(CONTROL!$C$32, $C$9, 100%, $E$9)</f>
        <v>14.811400000000001</v>
      </c>
      <c r="G898" s="11">
        <f>14.8167 * CHOOSE(CONTROL!$C$32, $C$9, 100%, $E$9)</f>
        <v>14.816700000000001</v>
      </c>
      <c r="H898" s="11">
        <f>30.2234 * CHOOSE(CONTROL!$C$32, $C$9, 100%, $E$9)</f>
        <v>30.223400000000002</v>
      </c>
      <c r="I898" s="11">
        <f>30.2287 * CHOOSE(CONTROL!$C$32, $C$9, 100%, $E$9)</f>
        <v>30.2287</v>
      </c>
      <c r="J898" s="11">
        <f>30.2234 * CHOOSE(CONTROL!$C$32, $C$9, 100%, $E$9)</f>
        <v>30.223400000000002</v>
      </c>
      <c r="K898" s="11">
        <f>30.2287 * CHOOSE(CONTROL!$C$32, $C$9, 100%, $E$9)</f>
        <v>30.2287</v>
      </c>
      <c r="L898" s="11">
        <f>14.8114 * CHOOSE(CONTROL!$C$32, $C$9, 100%, $E$9)</f>
        <v>14.811400000000001</v>
      </c>
      <c r="M898" s="11">
        <f>14.8167 * CHOOSE(CONTROL!$C$32, $C$9, 100%, $E$9)</f>
        <v>14.816700000000001</v>
      </c>
      <c r="N898" s="11">
        <f>14.8114 * CHOOSE(CONTROL!$C$32, $C$9, 100%, $E$9)</f>
        <v>14.811400000000001</v>
      </c>
      <c r="O898" s="11">
        <f>14.8167 * CHOOSE(CONTROL!$C$32, $C$9, 100%, $E$9)</f>
        <v>14.816700000000001</v>
      </c>
    </row>
    <row r="899" spans="1:15" ht="15" x14ac:dyDescent="0.2">
      <c r="A899" s="13">
        <v>68211</v>
      </c>
      <c r="B899" s="9">
        <f>13.3275 * CHOOSE(CONTROL!$C$32, $C$9, 100%, $E$9)</f>
        <v>13.327500000000001</v>
      </c>
      <c r="C899" s="9">
        <f>13.3275 * CHOOSE(CONTROL!$C$32, $C$9, 100%, $E$9)</f>
        <v>13.327500000000001</v>
      </c>
      <c r="D899" s="9">
        <f>13.3286 * CHOOSE(CONTROL!$C$32, $C$9, 100%, $E$9)</f>
        <v>13.3286</v>
      </c>
      <c r="E899" s="11">
        <f>14.9683 * CHOOSE(CONTROL!$C$32, $C$9, 100%, $E$9)</f>
        <v>14.968299999999999</v>
      </c>
      <c r="F899" s="11">
        <f>14.9683 * CHOOSE(CONTROL!$C$32, $C$9, 100%, $E$9)</f>
        <v>14.968299999999999</v>
      </c>
      <c r="G899" s="11">
        <f>14.9719 * CHOOSE(CONTROL!$C$32, $C$9, 100%, $E$9)</f>
        <v>14.9719</v>
      </c>
      <c r="H899" s="11">
        <f>30.2864 * CHOOSE(CONTROL!$C$32, $C$9, 100%, $E$9)</f>
        <v>30.2864</v>
      </c>
      <c r="I899" s="11">
        <f>30.29 * CHOOSE(CONTROL!$C$32, $C$9, 100%, $E$9)</f>
        <v>30.29</v>
      </c>
      <c r="J899" s="11">
        <f>30.2864 * CHOOSE(CONTROL!$C$32, $C$9, 100%, $E$9)</f>
        <v>30.2864</v>
      </c>
      <c r="K899" s="11">
        <f>30.29 * CHOOSE(CONTROL!$C$32, $C$9, 100%, $E$9)</f>
        <v>30.29</v>
      </c>
      <c r="L899" s="11">
        <f>14.9683 * CHOOSE(CONTROL!$C$32, $C$9, 100%, $E$9)</f>
        <v>14.968299999999999</v>
      </c>
      <c r="M899" s="11">
        <f>14.9719 * CHOOSE(CONTROL!$C$32, $C$9, 100%, $E$9)</f>
        <v>14.9719</v>
      </c>
      <c r="N899" s="11">
        <f>14.9683 * CHOOSE(CONTROL!$C$32, $C$9, 100%, $E$9)</f>
        <v>14.968299999999999</v>
      </c>
      <c r="O899" s="11">
        <f>14.9719 * CHOOSE(CONTROL!$C$32, $C$9, 100%, $E$9)</f>
        <v>14.9719</v>
      </c>
    </row>
    <row r="900" spans="1:15" ht="15" x14ac:dyDescent="0.2">
      <c r="A900" s="13">
        <v>68242</v>
      </c>
      <c r="B900" s="9">
        <f>13.3306 * CHOOSE(CONTROL!$C$32, $C$9, 100%, $E$9)</f>
        <v>13.3306</v>
      </c>
      <c r="C900" s="9">
        <f>13.3306 * CHOOSE(CONTROL!$C$32, $C$9, 100%, $E$9)</f>
        <v>13.3306</v>
      </c>
      <c r="D900" s="9">
        <f>13.3317 * CHOOSE(CONTROL!$C$32, $C$9, 100%, $E$9)</f>
        <v>13.3317</v>
      </c>
      <c r="E900" s="11">
        <f>15.0555 * CHOOSE(CONTROL!$C$32, $C$9, 100%, $E$9)</f>
        <v>15.0555</v>
      </c>
      <c r="F900" s="11">
        <f>15.0555 * CHOOSE(CONTROL!$C$32, $C$9, 100%, $E$9)</f>
        <v>15.0555</v>
      </c>
      <c r="G900" s="11">
        <f>15.0591 * CHOOSE(CONTROL!$C$32, $C$9, 100%, $E$9)</f>
        <v>15.059100000000001</v>
      </c>
      <c r="H900" s="11">
        <f>30.3495 * CHOOSE(CONTROL!$C$32, $C$9, 100%, $E$9)</f>
        <v>30.349499999999999</v>
      </c>
      <c r="I900" s="11">
        <f>30.3531 * CHOOSE(CONTROL!$C$32, $C$9, 100%, $E$9)</f>
        <v>30.353100000000001</v>
      </c>
      <c r="J900" s="11">
        <f>30.3495 * CHOOSE(CONTROL!$C$32, $C$9, 100%, $E$9)</f>
        <v>30.349499999999999</v>
      </c>
      <c r="K900" s="11">
        <f>30.3531 * CHOOSE(CONTROL!$C$32, $C$9, 100%, $E$9)</f>
        <v>30.353100000000001</v>
      </c>
      <c r="L900" s="11">
        <f>15.0555 * CHOOSE(CONTROL!$C$32, $C$9, 100%, $E$9)</f>
        <v>15.0555</v>
      </c>
      <c r="M900" s="11">
        <f>15.0591 * CHOOSE(CONTROL!$C$32, $C$9, 100%, $E$9)</f>
        <v>15.059100000000001</v>
      </c>
      <c r="N900" s="11">
        <f>15.0555 * CHOOSE(CONTROL!$C$32, $C$9, 100%, $E$9)</f>
        <v>15.0555</v>
      </c>
      <c r="O900" s="11">
        <f>15.0591 * CHOOSE(CONTROL!$C$32, $C$9, 100%, $E$9)</f>
        <v>15.059100000000001</v>
      </c>
    </row>
    <row r="901" spans="1:15" ht="15" x14ac:dyDescent="0.2">
      <c r="A901" s="13">
        <v>68272</v>
      </c>
      <c r="B901" s="9">
        <f>13.3306 * CHOOSE(CONTROL!$C$32, $C$9, 100%, $E$9)</f>
        <v>13.3306</v>
      </c>
      <c r="C901" s="9">
        <f>13.3306 * CHOOSE(CONTROL!$C$32, $C$9, 100%, $E$9)</f>
        <v>13.3306</v>
      </c>
      <c r="D901" s="9">
        <f>13.3317 * CHOOSE(CONTROL!$C$32, $C$9, 100%, $E$9)</f>
        <v>13.3317</v>
      </c>
      <c r="E901" s="11">
        <f>14.8427 * CHOOSE(CONTROL!$C$32, $C$9, 100%, $E$9)</f>
        <v>14.842700000000001</v>
      </c>
      <c r="F901" s="11">
        <f>14.8427 * CHOOSE(CONTROL!$C$32, $C$9, 100%, $E$9)</f>
        <v>14.842700000000001</v>
      </c>
      <c r="G901" s="11">
        <f>14.8463 * CHOOSE(CONTROL!$C$32, $C$9, 100%, $E$9)</f>
        <v>14.846299999999999</v>
      </c>
      <c r="H901" s="11">
        <f>30.4127 * CHOOSE(CONTROL!$C$32, $C$9, 100%, $E$9)</f>
        <v>30.412700000000001</v>
      </c>
      <c r="I901" s="11">
        <f>30.4163 * CHOOSE(CONTROL!$C$32, $C$9, 100%, $E$9)</f>
        <v>30.4163</v>
      </c>
      <c r="J901" s="11">
        <f>30.4127 * CHOOSE(CONTROL!$C$32, $C$9, 100%, $E$9)</f>
        <v>30.412700000000001</v>
      </c>
      <c r="K901" s="11">
        <f>30.4163 * CHOOSE(CONTROL!$C$32, $C$9, 100%, $E$9)</f>
        <v>30.4163</v>
      </c>
      <c r="L901" s="11">
        <f>14.8427 * CHOOSE(CONTROL!$C$32, $C$9, 100%, $E$9)</f>
        <v>14.842700000000001</v>
      </c>
      <c r="M901" s="11">
        <f>14.8463 * CHOOSE(CONTROL!$C$32, $C$9, 100%, $E$9)</f>
        <v>14.846299999999999</v>
      </c>
      <c r="N901" s="11">
        <f>14.8427 * CHOOSE(CONTROL!$C$32, $C$9, 100%, $E$9)</f>
        <v>14.842700000000001</v>
      </c>
      <c r="O901" s="11">
        <f>14.8463 * CHOOSE(CONTROL!$C$32, $C$9, 100%, $E$9)</f>
        <v>14.846299999999999</v>
      </c>
    </row>
    <row r="902" spans="1:15" ht="15" x14ac:dyDescent="0.2">
      <c r="A902" s="13">
        <v>68303</v>
      </c>
      <c r="B902" s="9">
        <f>13.3162 * CHOOSE(CONTROL!$C$32, $C$9, 100%, $E$9)</f>
        <v>13.3162</v>
      </c>
      <c r="C902" s="9">
        <f>13.3162 * CHOOSE(CONTROL!$C$32, $C$9, 100%, $E$9)</f>
        <v>13.3162</v>
      </c>
      <c r="D902" s="9">
        <f>13.3172 * CHOOSE(CONTROL!$C$32, $C$9, 100%, $E$9)</f>
        <v>13.3172</v>
      </c>
      <c r="E902" s="11">
        <f>14.9831 * CHOOSE(CONTROL!$C$32, $C$9, 100%, $E$9)</f>
        <v>14.9831</v>
      </c>
      <c r="F902" s="11">
        <f>14.9831 * CHOOSE(CONTROL!$C$32, $C$9, 100%, $E$9)</f>
        <v>14.9831</v>
      </c>
      <c r="G902" s="11">
        <f>14.9867 * CHOOSE(CONTROL!$C$32, $C$9, 100%, $E$9)</f>
        <v>14.986700000000001</v>
      </c>
      <c r="H902" s="11">
        <f>30.1779 * CHOOSE(CONTROL!$C$32, $C$9, 100%, $E$9)</f>
        <v>30.177900000000001</v>
      </c>
      <c r="I902" s="11">
        <f>30.1815 * CHOOSE(CONTROL!$C$32, $C$9, 100%, $E$9)</f>
        <v>30.1815</v>
      </c>
      <c r="J902" s="11">
        <f>30.1779 * CHOOSE(CONTROL!$C$32, $C$9, 100%, $E$9)</f>
        <v>30.177900000000001</v>
      </c>
      <c r="K902" s="11">
        <f>30.1815 * CHOOSE(CONTROL!$C$32, $C$9, 100%, $E$9)</f>
        <v>30.1815</v>
      </c>
      <c r="L902" s="11">
        <f>14.9831 * CHOOSE(CONTROL!$C$32, $C$9, 100%, $E$9)</f>
        <v>14.9831</v>
      </c>
      <c r="M902" s="11">
        <f>14.9867 * CHOOSE(CONTROL!$C$32, $C$9, 100%, $E$9)</f>
        <v>14.986700000000001</v>
      </c>
      <c r="N902" s="11">
        <f>14.9831 * CHOOSE(CONTROL!$C$32, $C$9, 100%, $E$9)</f>
        <v>14.9831</v>
      </c>
      <c r="O902" s="11">
        <f>14.9867 * CHOOSE(CONTROL!$C$32, $C$9, 100%, $E$9)</f>
        <v>14.986700000000001</v>
      </c>
    </row>
    <row r="903" spans="1:15" ht="15" x14ac:dyDescent="0.2">
      <c r="A903" s="13">
        <v>68334</v>
      </c>
      <c r="B903" s="9">
        <f>13.3131 * CHOOSE(CONTROL!$C$32, $C$9, 100%, $E$9)</f>
        <v>13.3131</v>
      </c>
      <c r="C903" s="9">
        <f>13.3131 * CHOOSE(CONTROL!$C$32, $C$9, 100%, $E$9)</f>
        <v>13.3131</v>
      </c>
      <c r="D903" s="9">
        <f>13.3142 * CHOOSE(CONTROL!$C$32, $C$9, 100%, $E$9)</f>
        <v>13.3142</v>
      </c>
      <c r="E903" s="11">
        <f>14.5716 * CHOOSE(CONTROL!$C$32, $C$9, 100%, $E$9)</f>
        <v>14.5716</v>
      </c>
      <c r="F903" s="11">
        <f>14.5716 * CHOOSE(CONTROL!$C$32, $C$9, 100%, $E$9)</f>
        <v>14.5716</v>
      </c>
      <c r="G903" s="11">
        <f>14.5752 * CHOOSE(CONTROL!$C$32, $C$9, 100%, $E$9)</f>
        <v>14.575200000000001</v>
      </c>
      <c r="H903" s="11">
        <f>30.2408 * CHOOSE(CONTROL!$C$32, $C$9, 100%, $E$9)</f>
        <v>30.2408</v>
      </c>
      <c r="I903" s="11">
        <f>30.2444 * CHOOSE(CONTROL!$C$32, $C$9, 100%, $E$9)</f>
        <v>30.244399999999999</v>
      </c>
      <c r="J903" s="11">
        <f>30.2408 * CHOOSE(CONTROL!$C$32, $C$9, 100%, $E$9)</f>
        <v>30.2408</v>
      </c>
      <c r="K903" s="11">
        <f>30.2444 * CHOOSE(CONTROL!$C$32, $C$9, 100%, $E$9)</f>
        <v>30.244399999999999</v>
      </c>
      <c r="L903" s="11">
        <f>14.5716 * CHOOSE(CONTROL!$C$32, $C$9, 100%, $E$9)</f>
        <v>14.5716</v>
      </c>
      <c r="M903" s="11">
        <f>14.5752 * CHOOSE(CONTROL!$C$32, $C$9, 100%, $E$9)</f>
        <v>14.575200000000001</v>
      </c>
      <c r="N903" s="11">
        <f>14.5716 * CHOOSE(CONTROL!$C$32, $C$9, 100%, $E$9)</f>
        <v>14.5716</v>
      </c>
      <c r="O903" s="11">
        <f>14.5752 * CHOOSE(CONTROL!$C$32, $C$9, 100%, $E$9)</f>
        <v>14.575200000000001</v>
      </c>
    </row>
    <row r="904" spans="1:15" ht="15" x14ac:dyDescent="0.2">
      <c r="A904" s="13">
        <v>68362</v>
      </c>
      <c r="B904" s="9">
        <f>13.3101 * CHOOSE(CONTROL!$C$32, $C$9, 100%, $E$9)</f>
        <v>13.3101</v>
      </c>
      <c r="C904" s="9">
        <f>13.3101 * CHOOSE(CONTROL!$C$32, $C$9, 100%, $E$9)</f>
        <v>13.3101</v>
      </c>
      <c r="D904" s="9">
        <f>13.3112 * CHOOSE(CONTROL!$C$32, $C$9, 100%, $E$9)</f>
        <v>13.311199999999999</v>
      </c>
      <c r="E904" s="11">
        <f>14.8922 * CHOOSE(CONTROL!$C$32, $C$9, 100%, $E$9)</f>
        <v>14.892200000000001</v>
      </c>
      <c r="F904" s="11">
        <f>14.8922 * CHOOSE(CONTROL!$C$32, $C$9, 100%, $E$9)</f>
        <v>14.892200000000001</v>
      </c>
      <c r="G904" s="11">
        <f>14.8958 * CHOOSE(CONTROL!$C$32, $C$9, 100%, $E$9)</f>
        <v>14.895799999999999</v>
      </c>
      <c r="H904" s="11">
        <f>30.3038 * CHOOSE(CONTROL!$C$32, $C$9, 100%, $E$9)</f>
        <v>30.303799999999999</v>
      </c>
      <c r="I904" s="11">
        <f>30.3074 * CHOOSE(CONTROL!$C$32, $C$9, 100%, $E$9)</f>
        <v>30.307400000000001</v>
      </c>
      <c r="J904" s="11">
        <f>30.3038 * CHOOSE(CONTROL!$C$32, $C$9, 100%, $E$9)</f>
        <v>30.303799999999999</v>
      </c>
      <c r="K904" s="11">
        <f>30.3074 * CHOOSE(CONTROL!$C$32, $C$9, 100%, $E$9)</f>
        <v>30.307400000000001</v>
      </c>
      <c r="L904" s="11">
        <f>14.8922 * CHOOSE(CONTROL!$C$32, $C$9, 100%, $E$9)</f>
        <v>14.892200000000001</v>
      </c>
      <c r="M904" s="11">
        <f>14.8958 * CHOOSE(CONTROL!$C$32, $C$9, 100%, $E$9)</f>
        <v>14.895799999999999</v>
      </c>
      <c r="N904" s="11">
        <f>14.8922 * CHOOSE(CONTROL!$C$32, $C$9, 100%, $E$9)</f>
        <v>14.892200000000001</v>
      </c>
      <c r="O904" s="11">
        <f>14.8958 * CHOOSE(CONTROL!$C$32, $C$9, 100%, $E$9)</f>
        <v>14.895799999999999</v>
      </c>
    </row>
    <row r="905" spans="1:15" ht="15" x14ac:dyDescent="0.2">
      <c r="A905" s="13">
        <v>68393</v>
      </c>
      <c r="B905" s="9">
        <f>13.3168 * CHOOSE(CONTROL!$C$32, $C$9, 100%, $E$9)</f>
        <v>13.316800000000001</v>
      </c>
      <c r="C905" s="9">
        <f>13.3168 * CHOOSE(CONTROL!$C$32, $C$9, 100%, $E$9)</f>
        <v>13.316800000000001</v>
      </c>
      <c r="D905" s="9">
        <f>13.3178 * CHOOSE(CONTROL!$C$32, $C$9, 100%, $E$9)</f>
        <v>13.3178</v>
      </c>
      <c r="E905" s="11">
        <f>15.2346 * CHOOSE(CONTROL!$C$32, $C$9, 100%, $E$9)</f>
        <v>15.2346</v>
      </c>
      <c r="F905" s="11">
        <f>15.2346 * CHOOSE(CONTROL!$C$32, $C$9, 100%, $E$9)</f>
        <v>15.2346</v>
      </c>
      <c r="G905" s="11">
        <f>15.2382 * CHOOSE(CONTROL!$C$32, $C$9, 100%, $E$9)</f>
        <v>15.238200000000001</v>
      </c>
      <c r="H905" s="11">
        <f>30.3669 * CHOOSE(CONTROL!$C$32, $C$9, 100%, $E$9)</f>
        <v>30.366900000000001</v>
      </c>
      <c r="I905" s="11">
        <f>30.3705 * CHOOSE(CONTROL!$C$32, $C$9, 100%, $E$9)</f>
        <v>30.3705</v>
      </c>
      <c r="J905" s="11">
        <f>30.3669 * CHOOSE(CONTROL!$C$32, $C$9, 100%, $E$9)</f>
        <v>30.366900000000001</v>
      </c>
      <c r="K905" s="11">
        <f>30.3705 * CHOOSE(CONTROL!$C$32, $C$9, 100%, $E$9)</f>
        <v>30.3705</v>
      </c>
      <c r="L905" s="11">
        <f>15.2346 * CHOOSE(CONTROL!$C$32, $C$9, 100%, $E$9)</f>
        <v>15.2346</v>
      </c>
      <c r="M905" s="11">
        <f>15.2382 * CHOOSE(CONTROL!$C$32, $C$9, 100%, $E$9)</f>
        <v>15.238200000000001</v>
      </c>
      <c r="N905" s="11">
        <f>15.2346 * CHOOSE(CONTROL!$C$32, $C$9, 100%, $E$9)</f>
        <v>15.2346</v>
      </c>
      <c r="O905" s="11">
        <f>15.2382 * CHOOSE(CONTROL!$C$32, $C$9, 100%, $E$9)</f>
        <v>15.238200000000001</v>
      </c>
    </row>
    <row r="906" spans="1:15" ht="15" x14ac:dyDescent="0.2">
      <c r="A906" s="13">
        <v>68423</v>
      </c>
      <c r="B906" s="9">
        <f>13.3168 * CHOOSE(CONTROL!$C$32, $C$9, 100%, $E$9)</f>
        <v>13.316800000000001</v>
      </c>
      <c r="C906" s="9">
        <f>13.3168 * CHOOSE(CONTROL!$C$32, $C$9, 100%, $E$9)</f>
        <v>13.316800000000001</v>
      </c>
      <c r="D906" s="9">
        <f>13.3183 * CHOOSE(CONTROL!$C$32, $C$9, 100%, $E$9)</f>
        <v>13.318300000000001</v>
      </c>
      <c r="E906" s="11">
        <f>15.3645 * CHOOSE(CONTROL!$C$32, $C$9, 100%, $E$9)</f>
        <v>15.3645</v>
      </c>
      <c r="F906" s="11">
        <f>15.3645 * CHOOSE(CONTROL!$C$32, $C$9, 100%, $E$9)</f>
        <v>15.3645</v>
      </c>
      <c r="G906" s="11">
        <f>15.3698 * CHOOSE(CONTROL!$C$32, $C$9, 100%, $E$9)</f>
        <v>15.3698</v>
      </c>
      <c r="H906" s="11">
        <f>30.4302 * CHOOSE(CONTROL!$C$32, $C$9, 100%, $E$9)</f>
        <v>30.430199999999999</v>
      </c>
      <c r="I906" s="11">
        <f>30.4355 * CHOOSE(CONTROL!$C$32, $C$9, 100%, $E$9)</f>
        <v>30.435500000000001</v>
      </c>
      <c r="J906" s="11">
        <f>30.4302 * CHOOSE(CONTROL!$C$32, $C$9, 100%, $E$9)</f>
        <v>30.430199999999999</v>
      </c>
      <c r="K906" s="11">
        <f>30.4355 * CHOOSE(CONTROL!$C$32, $C$9, 100%, $E$9)</f>
        <v>30.435500000000001</v>
      </c>
      <c r="L906" s="11">
        <f>15.3645 * CHOOSE(CONTROL!$C$32, $C$9, 100%, $E$9)</f>
        <v>15.3645</v>
      </c>
      <c r="M906" s="11">
        <f>15.3698 * CHOOSE(CONTROL!$C$32, $C$9, 100%, $E$9)</f>
        <v>15.3698</v>
      </c>
      <c r="N906" s="11">
        <f>15.3645 * CHOOSE(CONTROL!$C$32, $C$9, 100%, $E$9)</f>
        <v>15.3645</v>
      </c>
      <c r="O906" s="11">
        <f>15.3698 * CHOOSE(CONTROL!$C$32, $C$9, 100%, $E$9)</f>
        <v>15.3698</v>
      </c>
    </row>
    <row r="907" spans="1:15" ht="15" x14ac:dyDescent="0.2">
      <c r="A907" s="13">
        <v>68454</v>
      </c>
      <c r="B907" s="9">
        <f>13.3229 * CHOOSE(CONTROL!$C$32, $C$9, 100%, $E$9)</f>
        <v>13.322900000000001</v>
      </c>
      <c r="C907" s="9">
        <f>13.3229 * CHOOSE(CONTROL!$C$32, $C$9, 100%, $E$9)</f>
        <v>13.322900000000001</v>
      </c>
      <c r="D907" s="9">
        <f>13.3244 * CHOOSE(CONTROL!$C$32, $C$9, 100%, $E$9)</f>
        <v>13.324400000000001</v>
      </c>
      <c r="E907" s="11">
        <f>15.2388 * CHOOSE(CONTROL!$C$32, $C$9, 100%, $E$9)</f>
        <v>15.238799999999999</v>
      </c>
      <c r="F907" s="11">
        <f>15.2388 * CHOOSE(CONTROL!$C$32, $C$9, 100%, $E$9)</f>
        <v>15.238799999999999</v>
      </c>
      <c r="G907" s="11">
        <f>15.2441 * CHOOSE(CONTROL!$C$32, $C$9, 100%, $E$9)</f>
        <v>15.2441</v>
      </c>
      <c r="H907" s="11">
        <f>30.4936 * CHOOSE(CONTROL!$C$32, $C$9, 100%, $E$9)</f>
        <v>30.493600000000001</v>
      </c>
      <c r="I907" s="11">
        <f>30.4989 * CHOOSE(CONTROL!$C$32, $C$9, 100%, $E$9)</f>
        <v>30.498899999999999</v>
      </c>
      <c r="J907" s="11">
        <f>30.4936 * CHOOSE(CONTROL!$C$32, $C$9, 100%, $E$9)</f>
        <v>30.493600000000001</v>
      </c>
      <c r="K907" s="11">
        <f>30.4989 * CHOOSE(CONTROL!$C$32, $C$9, 100%, $E$9)</f>
        <v>30.498899999999999</v>
      </c>
      <c r="L907" s="11">
        <f>15.2388 * CHOOSE(CONTROL!$C$32, $C$9, 100%, $E$9)</f>
        <v>15.238799999999999</v>
      </c>
      <c r="M907" s="11">
        <f>15.2441 * CHOOSE(CONTROL!$C$32, $C$9, 100%, $E$9)</f>
        <v>15.2441</v>
      </c>
      <c r="N907" s="11">
        <f>15.2388 * CHOOSE(CONTROL!$C$32, $C$9, 100%, $E$9)</f>
        <v>15.238799999999999</v>
      </c>
      <c r="O907" s="11">
        <f>15.2441 * CHOOSE(CONTROL!$C$32, $C$9, 100%, $E$9)</f>
        <v>15.2441</v>
      </c>
    </row>
    <row r="908" spans="1:15" ht="15" x14ac:dyDescent="0.2">
      <c r="A908" s="13">
        <v>68484</v>
      </c>
      <c r="B908" s="9">
        <f>13.4837 * CHOOSE(CONTROL!$C$32, $C$9, 100%, $E$9)</f>
        <v>13.483700000000001</v>
      </c>
      <c r="C908" s="9">
        <f>13.4837 * CHOOSE(CONTROL!$C$32, $C$9, 100%, $E$9)</f>
        <v>13.483700000000001</v>
      </c>
      <c r="D908" s="9">
        <f>13.4853 * CHOOSE(CONTROL!$C$32, $C$9, 100%, $E$9)</f>
        <v>13.485300000000001</v>
      </c>
      <c r="E908" s="11">
        <f>15.4548 * CHOOSE(CONTROL!$C$32, $C$9, 100%, $E$9)</f>
        <v>15.454800000000001</v>
      </c>
      <c r="F908" s="11">
        <f>15.4548 * CHOOSE(CONTROL!$C$32, $C$9, 100%, $E$9)</f>
        <v>15.454800000000001</v>
      </c>
      <c r="G908" s="11">
        <f>15.4601 * CHOOSE(CONTROL!$C$32, $C$9, 100%, $E$9)</f>
        <v>15.460100000000001</v>
      </c>
      <c r="H908" s="11">
        <f>30.5571 * CHOOSE(CONTROL!$C$32, $C$9, 100%, $E$9)</f>
        <v>30.557099999999998</v>
      </c>
      <c r="I908" s="11">
        <f>30.5624 * CHOOSE(CONTROL!$C$32, $C$9, 100%, $E$9)</f>
        <v>30.5624</v>
      </c>
      <c r="J908" s="11">
        <f>30.5571 * CHOOSE(CONTROL!$C$32, $C$9, 100%, $E$9)</f>
        <v>30.557099999999998</v>
      </c>
      <c r="K908" s="11">
        <f>30.5624 * CHOOSE(CONTROL!$C$32, $C$9, 100%, $E$9)</f>
        <v>30.5624</v>
      </c>
      <c r="L908" s="11">
        <f>15.4548 * CHOOSE(CONTROL!$C$32, $C$9, 100%, $E$9)</f>
        <v>15.454800000000001</v>
      </c>
      <c r="M908" s="11">
        <f>15.4601 * CHOOSE(CONTROL!$C$32, $C$9, 100%, $E$9)</f>
        <v>15.460100000000001</v>
      </c>
      <c r="N908" s="11">
        <f>15.4548 * CHOOSE(CONTROL!$C$32, $C$9, 100%, $E$9)</f>
        <v>15.454800000000001</v>
      </c>
      <c r="O908" s="11">
        <f>15.4601 * CHOOSE(CONTROL!$C$32, $C$9, 100%, $E$9)</f>
        <v>15.460100000000001</v>
      </c>
    </row>
    <row r="909" spans="1:15" ht="15" x14ac:dyDescent="0.2">
      <c r="A909" s="13">
        <v>68515</v>
      </c>
      <c r="B909" s="9">
        <f>13.4904 * CHOOSE(CONTROL!$C$32, $C$9, 100%, $E$9)</f>
        <v>13.490399999999999</v>
      </c>
      <c r="C909" s="9">
        <f>13.4904 * CHOOSE(CONTROL!$C$32, $C$9, 100%, $E$9)</f>
        <v>13.490399999999999</v>
      </c>
      <c r="D909" s="9">
        <f>13.4919 * CHOOSE(CONTROL!$C$32, $C$9, 100%, $E$9)</f>
        <v>13.491899999999999</v>
      </c>
      <c r="E909" s="11">
        <f>15.0695 * CHOOSE(CONTROL!$C$32, $C$9, 100%, $E$9)</f>
        <v>15.0695</v>
      </c>
      <c r="F909" s="11">
        <f>15.0695 * CHOOSE(CONTROL!$C$32, $C$9, 100%, $E$9)</f>
        <v>15.0695</v>
      </c>
      <c r="G909" s="11">
        <f>15.0748 * CHOOSE(CONTROL!$C$32, $C$9, 100%, $E$9)</f>
        <v>15.0748</v>
      </c>
      <c r="H909" s="11">
        <f>30.6208 * CHOOSE(CONTROL!$C$32, $C$9, 100%, $E$9)</f>
        <v>30.620799999999999</v>
      </c>
      <c r="I909" s="11">
        <f>30.6261 * CHOOSE(CONTROL!$C$32, $C$9, 100%, $E$9)</f>
        <v>30.626100000000001</v>
      </c>
      <c r="J909" s="11">
        <f>30.6208 * CHOOSE(CONTROL!$C$32, $C$9, 100%, $E$9)</f>
        <v>30.620799999999999</v>
      </c>
      <c r="K909" s="11">
        <f>30.6261 * CHOOSE(CONTROL!$C$32, $C$9, 100%, $E$9)</f>
        <v>30.626100000000001</v>
      </c>
      <c r="L909" s="11">
        <f>15.0695 * CHOOSE(CONTROL!$C$32, $C$9, 100%, $E$9)</f>
        <v>15.0695</v>
      </c>
      <c r="M909" s="11">
        <f>15.0748 * CHOOSE(CONTROL!$C$32, $C$9, 100%, $E$9)</f>
        <v>15.0748</v>
      </c>
      <c r="N909" s="11">
        <f>15.0695 * CHOOSE(CONTROL!$C$32, $C$9, 100%, $E$9)</f>
        <v>15.0695</v>
      </c>
      <c r="O909" s="11">
        <f>15.0748 * CHOOSE(CONTROL!$C$32, $C$9, 100%, $E$9)</f>
        <v>15.0748</v>
      </c>
    </row>
    <row r="910" spans="1:15" ht="15" x14ac:dyDescent="0.2">
      <c r="A910" s="13">
        <v>68546</v>
      </c>
      <c r="B910" s="9">
        <f>13.4873 * CHOOSE(CONTROL!$C$32, $C$9, 100%, $E$9)</f>
        <v>13.487299999999999</v>
      </c>
      <c r="C910" s="9">
        <f>13.4873 * CHOOSE(CONTROL!$C$32, $C$9, 100%, $E$9)</f>
        <v>13.487299999999999</v>
      </c>
      <c r="D910" s="9">
        <f>13.4889 * CHOOSE(CONTROL!$C$32, $C$9, 100%, $E$9)</f>
        <v>13.488899999999999</v>
      </c>
      <c r="E910" s="11">
        <f>15.0241 * CHOOSE(CONTROL!$C$32, $C$9, 100%, $E$9)</f>
        <v>15.024100000000001</v>
      </c>
      <c r="F910" s="11">
        <f>15.0241 * CHOOSE(CONTROL!$C$32, $C$9, 100%, $E$9)</f>
        <v>15.024100000000001</v>
      </c>
      <c r="G910" s="11">
        <f>15.0294 * CHOOSE(CONTROL!$C$32, $C$9, 100%, $E$9)</f>
        <v>15.029400000000001</v>
      </c>
      <c r="H910" s="11">
        <f>30.6846 * CHOOSE(CONTROL!$C$32, $C$9, 100%, $E$9)</f>
        <v>30.6846</v>
      </c>
      <c r="I910" s="11">
        <f>30.6898 * CHOOSE(CONTROL!$C$32, $C$9, 100%, $E$9)</f>
        <v>30.689800000000002</v>
      </c>
      <c r="J910" s="11">
        <f>30.6846 * CHOOSE(CONTROL!$C$32, $C$9, 100%, $E$9)</f>
        <v>30.6846</v>
      </c>
      <c r="K910" s="11">
        <f>30.6898 * CHOOSE(CONTROL!$C$32, $C$9, 100%, $E$9)</f>
        <v>30.689800000000002</v>
      </c>
      <c r="L910" s="11">
        <f>15.0241 * CHOOSE(CONTROL!$C$32, $C$9, 100%, $E$9)</f>
        <v>15.024100000000001</v>
      </c>
      <c r="M910" s="11">
        <f>15.0294 * CHOOSE(CONTROL!$C$32, $C$9, 100%, $E$9)</f>
        <v>15.029400000000001</v>
      </c>
      <c r="N910" s="11">
        <f>15.0241 * CHOOSE(CONTROL!$C$32, $C$9, 100%, $E$9)</f>
        <v>15.024100000000001</v>
      </c>
      <c r="O910" s="11">
        <f>15.0294 * CHOOSE(CONTROL!$C$32, $C$9, 100%, $E$9)</f>
        <v>15.029400000000001</v>
      </c>
    </row>
    <row r="911" spans="1:15" ht="15" x14ac:dyDescent="0.2">
      <c r="A911" s="13">
        <v>68576</v>
      </c>
      <c r="B911" s="9">
        <f>13.5179 * CHOOSE(CONTROL!$C$32, $C$9, 100%, $E$9)</f>
        <v>13.517899999999999</v>
      </c>
      <c r="C911" s="9">
        <f>13.5179 * CHOOSE(CONTROL!$C$32, $C$9, 100%, $E$9)</f>
        <v>13.517899999999999</v>
      </c>
      <c r="D911" s="9">
        <f>13.5189 * CHOOSE(CONTROL!$C$32, $C$9, 100%, $E$9)</f>
        <v>13.5189</v>
      </c>
      <c r="E911" s="11">
        <f>15.1839 * CHOOSE(CONTROL!$C$32, $C$9, 100%, $E$9)</f>
        <v>15.1839</v>
      </c>
      <c r="F911" s="11">
        <f>15.1839 * CHOOSE(CONTROL!$C$32, $C$9, 100%, $E$9)</f>
        <v>15.1839</v>
      </c>
      <c r="G911" s="11">
        <f>15.1876 * CHOOSE(CONTROL!$C$32, $C$9, 100%, $E$9)</f>
        <v>15.1876</v>
      </c>
      <c r="H911" s="11">
        <f>30.7485 * CHOOSE(CONTROL!$C$32, $C$9, 100%, $E$9)</f>
        <v>30.7485</v>
      </c>
      <c r="I911" s="11">
        <f>30.7521 * CHOOSE(CONTROL!$C$32, $C$9, 100%, $E$9)</f>
        <v>30.752099999999999</v>
      </c>
      <c r="J911" s="11">
        <f>30.7485 * CHOOSE(CONTROL!$C$32, $C$9, 100%, $E$9)</f>
        <v>30.7485</v>
      </c>
      <c r="K911" s="11">
        <f>30.7521 * CHOOSE(CONTROL!$C$32, $C$9, 100%, $E$9)</f>
        <v>30.752099999999999</v>
      </c>
      <c r="L911" s="11">
        <f>15.1839 * CHOOSE(CONTROL!$C$32, $C$9, 100%, $E$9)</f>
        <v>15.1839</v>
      </c>
      <c r="M911" s="11">
        <f>15.1876 * CHOOSE(CONTROL!$C$32, $C$9, 100%, $E$9)</f>
        <v>15.1876</v>
      </c>
      <c r="N911" s="11">
        <f>15.1839 * CHOOSE(CONTROL!$C$32, $C$9, 100%, $E$9)</f>
        <v>15.1839</v>
      </c>
      <c r="O911" s="11">
        <f>15.1876 * CHOOSE(CONTROL!$C$32, $C$9, 100%, $E$9)</f>
        <v>15.1876</v>
      </c>
    </row>
    <row r="912" spans="1:15" ht="15" x14ac:dyDescent="0.2">
      <c r="A912" s="13">
        <v>68607</v>
      </c>
      <c r="B912" s="9">
        <f>13.5209 * CHOOSE(CONTROL!$C$32, $C$9, 100%, $E$9)</f>
        <v>13.520899999999999</v>
      </c>
      <c r="C912" s="9">
        <f>13.5209 * CHOOSE(CONTROL!$C$32, $C$9, 100%, $E$9)</f>
        <v>13.520899999999999</v>
      </c>
      <c r="D912" s="9">
        <f>13.522 * CHOOSE(CONTROL!$C$32, $C$9, 100%, $E$9)</f>
        <v>13.522</v>
      </c>
      <c r="E912" s="11">
        <f>15.2727 * CHOOSE(CONTROL!$C$32, $C$9, 100%, $E$9)</f>
        <v>15.2727</v>
      </c>
      <c r="F912" s="11">
        <f>15.2727 * CHOOSE(CONTROL!$C$32, $C$9, 100%, $E$9)</f>
        <v>15.2727</v>
      </c>
      <c r="G912" s="11">
        <f>15.2763 * CHOOSE(CONTROL!$C$32, $C$9, 100%, $E$9)</f>
        <v>15.276300000000001</v>
      </c>
      <c r="H912" s="11">
        <f>30.8125 * CHOOSE(CONTROL!$C$32, $C$9, 100%, $E$9)</f>
        <v>30.8125</v>
      </c>
      <c r="I912" s="11">
        <f>30.8162 * CHOOSE(CONTROL!$C$32, $C$9, 100%, $E$9)</f>
        <v>30.816199999999998</v>
      </c>
      <c r="J912" s="11">
        <f>30.8125 * CHOOSE(CONTROL!$C$32, $C$9, 100%, $E$9)</f>
        <v>30.8125</v>
      </c>
      <c r="K912" s="11">
        <f>30.8162 * CHOOSE(CONTROL!$C$32, $C$9, 100%, $E$9)</f>
        <v>30.816199999999998</v>
      </c>
      <c r="L912" s="11">
        <f>15.2727 * CHOOSE(CONTROL!$C$32, $C$9, 100%, $E$9)</f>
        <v>15.2727</v>
      </c>
      <c r="M912" s="11">
        <f>15.2763 * CHOOSE(CONTROL!$C$32, $C$9, 100%, $E$9)</f>
        <v>15.276300000000001</v>
      </c>
      <c r="N912" s="11">
        <f>15.2727 * CHOOSE(CONTROL!$C$32, $C$9, 100%, $E$9)</f>
        <v>15.2727</v>
      </c>
      <c r="O912" s="11">
        <f>15.2763 * CHOOSE(CONTROL!$C$32, $C$9, 100%, $E$9)</f>
        <v>15.276300000000001</v>
      </c>
    </row>
    <row r="913" spans="1:15" ht="15" x14ac:dyDescent="0.2">
      <c r="A913" s="13">
        <v>68637</v>
      </c>
      <c r="B913" s="9">
        <f>13.5209 * CHOOSE(CONTROL!$C$32, $C$9, 100%, $E$9)</f>
        <v>13.520899999999999</v>
      </c>
      <c r="C913" s="9">
        <f>13.5209 * CHOOSE(CONTROL!$C$32, $C$9, 100%, $E$9)</f>
        <v>13.520899999999999</v>
      </c>
      <c r="D913" s="9">
        <f>13.522 * CHOOSE(CONTROL!$C$32, $C$9, 100%, $E$9)</f>
        <v>13.522</v>
      </c>
      <c r="E913" s="11">
        <f>15.0561 * CHOOSE(CONTROL!$C$32, $C$9, 100%, $E$9)</f>
        <v>15.056100000000001</v>
      </c>
      <c r="F913" s="11">
        <f>15.0561 * CHOOSE(CONTROL!$C$32, $C$9, 100%, $E$9)</f>
        <v>15.056100000000001</v>
      </c>
      <c r="G913" s="11">
        <f>15.0597 * CHOOSE(CONTROL!$C$32, $C$9, 100%, $E$9)</f>
        <v>15.059699999999999</v>
      </c>
      <c r="H913" s="11">
        <f>30.8767 * CHOOSE(CONTROL!$C$32, $C$9, 100%, $E$9)</f>
        <v>30.8767</v>
      </c>
      <c r="I913" s="11">
        <f>30.8803 * CHOOSE(CONTROL!$C$32, $C$9, 100%, $E$9)</f>
        <v>30.880299999999998</v>
      </c>
      <c r="J913" s="11">
        <f>30.8767 * CHOOSE(CONTROL!$C$32, $C$9, 100%, $E$9)</f>
        <v>30.8767</v>
      </c>
      <c r="K913" s="11">
        <f>30.8803 * CHOOSE(CONTROL!$C$32, $C$9, 100%, $E$9)</f>
        <v>30.880299999999998</v>
      </c>
      <c r="L913" s="11">
        <f>15.0561 * CHOOSE(CONTROL!$C$32, $C$9, 100%, $E$9)</f>
        <v>15.056100000000001</v>
      </c>
      <c r="M913" s="11">
        <f>15.0597 * CHOOSE(CONTROL!$C$32, $C$9, 100%, $E$9)</f>
        <v>15.059699999999999</v>
      </c>
      <c r="N913" s="11">
        <f>15.0561 * CHOOSE(CONTROL!$C$32, $C$9, 100%, $E$9)</f>
        <v>15.056100000000001</v>
      </c>
      <c r="O913" s="11">
        <f>15.0597 * CHOOSE(CONTROL!$C$32, $C$9, 100%, $E$9)</f>
        <v>15.059699999999999</v>
      </c>
    </row>
    <row r="914" spans="1:15" ht="15" x14ac:dyDescent="0.2">
      <c r="A914" s="13">
        <v>68668</v>
      </c>
      <c r="B914" s="9">
        <f>13.5035 * CHOOSE(CONTROL!$C$32, $C$9, 100%, $E$9)</f>
        <v>13.503500000000001</v>
      </c>
      <c r="C914" s="9">
        <f>13.5035 * CHOOSE(CONTROL!$C$32, $C$9, 100%, $E$9)</f>
        <v>13.503500000000001</v>
      </c>
      <c r="D914" s="9">
        <f>13.5046 * CHOOSE(CONTROL!$C$32, $C$9, 100%, $E$9)</f>
        <v>13.5046</v>
      </c>
      <c r="E914" s="11">
        <f>15.1956 * CHOOSE(CONTROL!$C$32, $C$9, 100%, $E$9)</f>
        <v>15.195600000000001</v>
      </c>
      <c r="F914" s="11">
        <f>15.1956 * CHOOSE(CONTROL!$C$32, $C$9, 100%, $E$9)</f>
        <v>15.195600000000001</v>
      </c>
      <c r="G914" s="11">
        <f>15.1992 * CHOOSE(CONTROL!$C$32, $C$9, 100%, $E$9)</f>
        <v>15.199199999999999</v>
      </c>
      <c r="H914" s="11">
        <f>30.6314 * CHOOSE(CONTROL!$C$32, $C$9, 100%, $E$9)</f>
        <v>30.631399999999999</v>
      </c>
      <c r="I914" s="11">
        <f>30.635 * CHOOSE(CONTROL!$C$32, $C$9, 100%, $E$9)</f>
        <v>30.635000000000002</v>
      </c>
      <c r="J914" s="11">
        <f>30.6314 * CHOOSE(CONTROL!$C$32, $C$9, 100%, $E$9)</f>
        <v>30.631399999999999</v>
      </c>
      <c r="K914" s="11">
        <f>30.635 * CHOOSE(CONTROL!$C$32, $C$9, 100%, $E$9)</f>
        <v>30.635000000000002</v>
      </c>
      <c r="L914" s="11">
        <f>15.1956 * CHOOSE(CONTROL!$C$32, $C$9, 100%, $E$9)</f>
        <v>15.195600000000001</v>
      </c>
      <c r="M914" s="11">
        <f>15.1992 * CHOOSE(CONTROL!$C$32, $C$9, 100%, $E$9)</f>
        <v>15.199199999999999</v>
      </c>
      <c r="N914" s="11">
        <f>15.1956 * CHOOSE(CONTROL!$C$32, $C$9, 100%, $E$9)</f>
        <v>15.195600000000001</v>
      </c>
      <c r="O914" s="11">
        <f>15.1992 * CHOOSE(CONTROL!$C$32, $C$9, 100%, $E$9)</f>
        <v>15.199199999999999</v>
      </c>
    </row>
    <row r="915" spans="1:15" ht="15" x14ac:dyDescent="0.2">
      <c r="A915" s="13">
        <v>68699</v>
      </c>
      <c r="B915" s="9">
        <f>13.5005 * CHOOSE(CONTROL!$C$32, $C$9, 100%, $E$9)</f>
        <v>13.500500000000001</v>
      </c>
      <c r="C915" s="9">
        <f>13.5005 * CHOOSE(CONTROL!$C$32, $C$9, 100%, $E$9)</f>
        <v>13.500500000000001</v>
      </c>
      <c r="D915" s="9">
        <f>13.5016 * CHOOSE(CONTROL!$C$32, $C$9, 100%, $E$9)</f>
        <v>13.5016</v>
      </c>
      <c r="E915" s="11">
        <f>14.777 * CHOOSE(CONTROL!$C$32, $C$9, 100%, $E$9)</f>
        <v>14.776999999999999</v>
      </c>
      <c r="F915" s="11">
        <f>14.777 * CHOOSE(CONTROL!$C$32, $C$9, 100%, $E$9)</f>
        <v>14.776999999999999</v>
      </c>
      <c r="G915" s="11">
        <f>14.7806 * CHOOSE(CONTROL!$C$32, $C$9, 100%, $E$9)</f>
        <v>14.7806</v>
      </c>
      <c r="H915" s="11">
        <f>30.6952 * CHOOSE(CONTROL!$C$32, $C$9, 100%, $E$9)</f>
        <v>30.6952</v>
      </c>
      <c r="I915" s="11">
        <f>30.6988 * CHOOSE(CONTROL!$C$32, $C$9, 100%, $E$9)</f>
        <v>30.698799999999999</v>
      </c>
      <c r="J915" s="11">
        <f>30.6952 * CHOOSE(CONTROL!$C$32, $C$9, 100%, $E$9)</f>
        <v>30.6952</v>
      </c>
      <c r="K915" s="11">
        <f>30.6988 * CHOOSE(CONTROL!$C$32, $C$9, 100%, $E$9)</f>
        <v>30.698799999999999</v>
      </c>
      <c r="L915" s="11">
        <f>14.777 * CHOOSE(CONTROL!$C$32, $C$9, 100%, $E$9)</f>
        <v>14.776999999999999</v>
      </c>
      <c r="M915" s="11">
        <f>14.7806 * CHOOSE(CONTROL!$C$32, $C$9, 100%, $E$9)</f>
        <v>14.7806</v>
      </c>
      <c r="N915" s="11">
        <f>14.777 * CHOOSE(CONTROL!$C$32, $C$9, 100%, $E$9)</f>
        <v>14.776999999999999</v>
      </c>
      <c r="O915" s="11">
        <f>14.7806 * CHOOSE(CONTROL!$C$32, $C$9, 100%, $E$9)</f>
        <v>14.7806</v>
      </c>
    </row>
    <row r="916" spans="1:15" ht="15" x14ac:dyDescent="0.2">
      <c r="A916" s="13">
        <v>68728</v>
      </c>
      <c r="B916" s="9">
        <f>13.4974 * CHOOSE(CONTROL!$C$32, $C$9, 100%, $E$9)</f>
        <v>13.497400000000001</v>
      </c>
      <c r="C916" s="9">
        <f>13.4974 * CHOOSE(CONTROL!$C$32, $C$9, 100%, $E$9)</f>
        <v>13.497400000000001</v>
      </c>
      <c r="D916" s="9">
        <f>13.4985 * CHOOSE(CONTROL!$C$32, $C$9, 100%, $E$9)</f>
        <v>13.4985</v>
      </c>
      <c r="E916" s="11">
        <f>15.1032 * CHOOSE(CONTROL!$C$32, $C$9, 100%, $E$9)</f>
        <v>15.103199999999999</v>
      </c>
      <c r="F916" s="11">
        <f>15.1032 * CHOOSE(CONTROL!$C$32, $C$9, 100%, $E$9)</f>
        <v>15.103199999999999</v>
      </c>
      <c r="G916" s="11">
        <f>15.1068 * CHOOSE(CONTROL!$C$32, $C$9, 100%, $E$9)</f>
        <v>15.1068</v>
      </c>
      <c r="H916" s="11">
        <f>30.7592 * CHOOSE(CONTROL!$C$32, $C$9, 100%, $E$9)</f>
        <v>30.7592</v>
      </c>
      <c r="I916" s="11">
        <f>30.7628 * CHOOSE(CONTROL!$C$32, $C$9, 100%, $E$9)</f>
        <v>30.762799999999999</v>
      </c>
      <c r="J916" s="11">
        <f>30.7592 * CHOOSE(CONTROL!$C$32, $C$9, 100%, $E$9)</f>
        <v>30.7592</v>
      </c>
      <c r="K916" s="11">
        <f>30.7628 * CHOOSE(CONTROL!$C$32, $C$9, 100%, $E$9)</f>
        <v>30.762799999999999</v>
      </c>
      <c r="L916" s="11">
        <f>15.1032 * CHOOSE(CONTROL!$C$32, $C$9, 100%, $E$9)</f>
        <v>15.103199999999999</v>
      </c>
      <c r="M916" s="11">
        <f>15.1068 * CHOOSE(CONTROL!$C$32, $C$9, 100%, $E$9)</f>
        <v>15.1068</v>
      </c>
      <c r="N916" s="11">
        <f>15.1032 * CHOOSE(CONTROL!$C$32, $C$9, 100%, $E$9)</f>
        <v>15.103199999999999</v>
      </c>
      <c r="O916" s="11">
        <f>15.1068 * CHOOSE(CONTROL!$C$32, $C$9, 100%, $E$9)</f>
        <v>15.1068</v>
      </c>
    </row>
    <row r="917" spans="1:15" ht="15" x14ac:dyDescent="0.2">
      <c r="A917" s="13">
        <v>68759</v>
      </c>
      <c r="B917" s="9">
        <f>13.5043 * CHOOSE(CONTROL!$C$32, $C$9, 100%, $E$9)</f>
        <v>13.504300000000001</v>
      </c>
      <c r="C917" s="9">
        <f>13.5043 * CHOOSE(CONTROL!$C$32, $C$9, 100%, $E$9)</f>
        <v>13.504300000000001</v>
      </c>
      <c r="D917" s="9">
        <f>13.5054 * CHOOSE(CONTROL!$C$32, $C$9, 100%, $E$9)</f>
        <v>13.5054</v>
      </c>
      <c r="E917" s="11">
        <f>15.4516 * CHOOSE(CONTROL!$C$32, $C$9, 100%, $E$9)</f>
        <v>15.451599999999999</v>
      </c>
      <c r="F917" s="11">
        <f>15.4516 * CHOOSE(CONTROL!$C$32, $C$9, 100%, $E$9)</f>
        <v>15.451599999999999</v>
      </c>
      <c r="G917" s="11">
        <f>15.4552 * CHOOSE(CONTROL!$C$32, $C$9, 100%, $E$9)</f>
        <v>15.4552</v>
      </c>
      <c r="H917" s="11">
        <f>30.8233 * CHOOSE(CONTROL!$C$32, $C$9, 100%, $E$9)</f>
        <v>30.8233</v>
      </c>
      <c r="I917" s="11">
        <f>30.8269 * CHOOSE(CONTROL!$C$32, $C$9, 100%, $E$9)</f>
        <v>30.826899999999998</v>
      </c>
      <c r="J917" s="11">
        <f>30.8233 * CHOOSE(CONTROL!$C$32, $C$9, 100%, $E$9)</f>
        <v>30.8233</v>
      </c>
      <c r="K917" s="11">
        <f>30.8269 * CHOOSE(CONTROL!$C$32, $C$9, 100%, $E$9)</f>
        <v>30.826899999999998</v>
      </c>
      <c r="L917" s="11">
        <f>15.4516 * CHOOSE(CONTROL!$C$32, $C$9, 100%, $E$9)</f>
        <v>15.451599999999999</v>
      </c>
      <c r="M917" s="11">
        <f>15.4552 * CHOOSE(CONTROL!$C$32, $C$9, 100%, $E$9)</f>
        <v>15.4552</v>
      </c>
      <c r="N917" s="11">
        <f>15.4516 * CHOOSE(CONTROL!$C$32, $C$9, 100%, $E$9)</f>
        <v>15.451599999999999</v>
      </c>
      <c r="O917" s="11">
        <f>15.4552 * CHOOSE(CONTROL!$C$32, $C$9, 100%, $E$9)</f>
        <v>15.4552</v>
      </c>
    </row>
    <row r="918" spans="1:15" ht="15" x14ac:dyDescent="0.2">
      <c r="A918" s="13">
        <v>68789</v>
      </c>
      <c r="B918" s="9">
        <f>13.5043 * CHOOSE(CONTROL!$C$32, $C$9, 100%, $E$9)</f>
        <v>13.504300000000001</v>
      </c>
      <c r="C918" s="9">
        <f>13.5043 * CHOOSE(CONTROL!$C$32, $C$9, 100%, $E$9)</f>
        <v>13.504300000000001</v>
      </c>
      <c r="D918" s="9">
        <f>13.5059 * CHOOSE(CONTROL!$C$32, $C$9, 100%, $E$9)</f>
        <v>13.5059</v>
      </c>
      <c r="E918" s="11">
        <f>15.5838 * CHOOSE(CONTROL!$C$32, $C$9, 100%, $E$9)</f>
        <v>15.5838</v>
      </c>
      <c r="F918" s="11">
        <f>15.5838 * CHOOSE(CONTROL!$C$32, $C$9, 100%, $E$9)</f>
        <v>15.5838</v>
      </c>
      <c r="G918" s="11">
        <f>15.5891 * CHOOSE(CONTROL!$C$32, $C$9, 100%, $E$9)</f>
        <v>15.5891</v>
      </c>
      <c r="H918" s="11">
        <f>30.8875 * CHOOSE(CONTROL!$C$32, $C$9, 100%, $E$9)</f>
        <v>30.887499999999999</v>
      </c>
      <c r="I918" s="11">
        <f>30.8928 * CHOOSE(CONTROL!$C$32, $C$9, 100%, $E$9)</f>
        <v>30.892800000000001</v>
      </c>
      <c r="J918" s="11">
        <f>30.8875 * CHOOSE(CONTROL!$C$32, $C$9, 100%, $E$9)</f>
        <v>30.887499999999999</v>
      </c>
      <c r="K918" s="11">
        <f>30.8928 * CHOOSE(CONTROL!$C$32, $C$9, 100%, $E$9)</f>
        <v>30.892800000000001</v>
      </c>
      <c r="L918" s="11">
        <f>15.5838 * CHOOSE(CONTROL!$C$32, $C$9, 100%, $E$9)</f>
        <v>15.5838</v>
      </c>
      <c r="M918" s="11">
        <f>15.5891 * CHOOSE(CONTROL!$C$32, $C$9, 100%, $E$9)</f>
        <v>15.5891</v>
      </c>
      <c r="N918" s="11">
        <f>15.5838 * CHOOSE(CONTROL!$C$32, $C$9, 100%, $E$9)</f>
        <v>15.5838</v>
      </c>
      <c r="O918" s="11">
        <f>15.5891 * CHOOSE(CONTROL!$C$32, $C$9, 100%, $E$9)</f>
        <v>15.5891</v>
      </c>
    </row>
    <row r="919" spans="1:15" ht="15" x14ac:dyDescent="0.2">
      <c r="A919" s="13">
        <v>68820</v>
      </c>
      <c r="B919" s="9">
        <f>13.5104 * CHOOSE(CONTROL!$C$32, $C$9, 100%, $E$9)</f>
        <v>13.510400000000001</v>
      </c>
      <c r="C919" s="9">
        <f>13.5104 * CHOOSE(CONTROL!$C$32, $C$9, 100%, $E$9)</f>
        <v>13.510400000000001</v>
      </c>
      <c r="D919" s="9">
        <f>13.512 * CHOOSE(CONTROL!$C$32, $C$9, 100%, $E$9)</f>
        <v>13.512</v>
      </c>
      <c r="E919" s="11">
        <f>15.4558 * CHOOSE(CONTROL!$C$32, $C$9, 100%, $E$9)</f>
        <v>15.4558</v>
      </c>
      <c r="F919" s="11">
        <f>15.4558 * CHOOSE(CONTROL!$C$32, $C$9, 100%, $E$9)</f>
        <v>15.4558</v>
      </c>
      <c r="G919" s="11">
        <f>15.4611 * CHOOSE(CONTROL!$C$32, $C$9, 100%, $E$9)</f>
        <v>15.4611</v>
      </c>
      <c r="H919" s="11">
        <f>30.9518 * CHOOSE(CONTROL!$C$32, $C$9, 100%, $E$9)</f>
        <v>30.951799999999999</v>
      </c>
      <c r="I919" s="11">
        <f>30.9571 * CHOOSE(CONTROL!$C$32, $C$9, 100%, $E$9)</f>
        <v>30.957100000000001</v>
      </c>
      <c r="J919" s="11">
        <f>30.9518 * CHOOSE(CONTROL!$C$32, $C$9, 100%, $E$9)</f>
        <v>30.951799999999999</v>
      </c>
      <c r="K919" s="11">
        <f>30.9571 * CHOOSE(CONTROL!$C$32, $C$9, 100%, $E$9)</f>
        <v>30.957100000000001</v>
      </c>
      <c r="L919" s="11">
        <f>15.4558 * CHOOSE(CONTROL!$C$32, $C$9, 100%, $E$9)</f>
        <v>15.4558</v>
      </c>
      <c r="M919" s="11">
        <f>15.4611 * CHOOSE(CONTROL!$C$32, $C$9, 100%, $E$9)</f>
        <v>15.4611</v>
      </c>
      <c r="N919" s="11">
        <f>15.4558 * CHOOSE(CONTROL!$C$32, $C$9, 100%, $E$9)</f>
        <v>15.4558</v>
      </c>
      <c r="O919" s="11">
        <f>15.4611 * CHOOSE(CONTROL!$C$32, $C$9, 100%, $E$9)</f>
        <v>15.4611</v>
      </c>
    </row>
    <row r="920" spans="1:15" ht="15" x14ac:dyDescent="0.2">
      <c r="A920" s="13">
        <v>68850</v>
      </c>
      <c r="B920" s="9">
        <f>13.6733 * CHOOSE(CONTROL!$C$32, $C$9, 100%, $E$9)</f>
        <v>13.673299999999999</v>
      </c>
      <c r="C920" s="9">
        <f>13.6733 * CHOOSE(CONTROL!$C$32, $C$9, 100%, $E$9)</f>
        <v>13.673299999999999</v>
      </c>
      <c r="D920" s="9">
        <f>13.6749 * CHOOSE(CONTROL!$C$32, $C$9, 100%, $E$9)</f>
        <v>13.674899999999999</v>
      </c>
      <c r="E920" s="11">
        <f>15.6749 * CHOOSE(CONTROL!$C$32, $C$9, 100%, $E$9)</f>
        <v>15.674899999999999</v>
      </c>
      <c r="F920" s="11">
        <f>15.6749 * CHOOSE(CONTROL!$C$32, $C$9, 100%, $E$9)</f>
        <v>15.674899999999999</v>
      </c>
      <c r="G920" s="11">
        <f>15.6802 * CHOOSE(CONTROL!$C$32, $C$9, 100%, $E$9)</f>
        <v>15.680199999999999</v>
      </c>
      <c r="H920" s="11">
        <f>31.0163 * CHOOSE(CONTROL!$C$32, $C$9, 100%, $E$9)</f>
        <v>31.016300000000001</v>
      </c>
      <c r="I920" s="11">
        <f>31.0216 * CHOOSE(CONTROL!$C$32, $C$9, 100%, $E$9)</f>
        <v>31.021599999999999</v>
      </c>
      <c r="J920" s="11">
        <f>31.0163 * CHOOSE(CONTROL!$C$32, $C$9, 100%, $E$9)</f>
        <v>31.016300000000001</v>
      </c>
      <c r="K920" s="11">
        <f>31.0216 * CHOOSE(CONTROL!$C$32, $C$9, 100%, $E$9)</f>
        <v>31.021599999999999</v>
      </c>
      <c r="L920" s="11">
        <f>15.6749 * CHOOSE(CONTROL!$C$32, $C$9, 100%, $E$9)</f>
        <v>15.674899999999999</v>
      </c>
      <c r="M920" s="11">
        <f>15.6802 * CHOOSE(CONTROL!$C$32, $C$9, 100%, $E$9)</f>
        <v>15.680199999999999</v>
      </c>
      <c r="N920" s="11">
        <f>15.6749 * CHOOSE(CONTROL!$C$32, $C$9, 100%, $E$9)</f>
        <v>15.674899999999999</v>
      </c>
      <c r="O920" s="11">
        <f>15.6802 * CHOOSE(CONTROL!$C$32, $C$9, 100%, $E$9)</f>
        <v>15.680199999999999</v>
      </c>
    </row>
    <row r="921" spans="1:15" ht="15" x14ac:dyDescent="0.2">
      <c r="A921" s="13">
        <v>68881</v>
      </c>
      <c r="B921" s="9">
        <f>13.68 * CHOOSE(CONTROL!$C$32, $C$9, 100%, $E$9)</f>
        <v>13.68</v>
      </c>
      <c r="C921" s="9">
        <f>13.68 * CHOOSE(CONTROL!$C$32, $C$9, 100%, $E$9)</f>
        <v>13.68</v>
      </c>
      <c r="D921" s="9">
        <f>13.6815 * CHOOSE(CONTROL!$C$32, $C$9, 100%, $E$9)</f>
        <v>13.6815</v>
      </c>
      <c r="E921" s="11">
        <f>15.2829 * CHOOSE(CONTROL!$C$32, $C$9, 100%, $E$9)</f>
        <v>15.2829</v>
      </c>
      <c r="F921" s="11">
        <f>15.2829 * CHOOSE(CONTROL!$C$32, $C$9, 100%, $E$9)</f>
        <v>15.2829</v>
      </c>
      <c r="G921" s="11">
        <f>15.2882 * CHOOSE(CONTROL!$C$32, $C$9, 100%, $E$9)</f>
        <v>15.2882</v>
      </c>
      <c r="H921" s="11">
        <f>31.0809 * CHOOSE(CONTROL!$C$32, $C$9, 100%, $E$9)</f>
        <v>31.0809</v>
      </c>
      <c r="I921" s="11">
        <f>31.0862 * CHOOSE(CONTROL!$C$32, $C$9, 100%, $E$9)</f>
        <v>31.086200000000002</v>
      </c>
      <c r="J921" s="11">
        <f>31.0809 * CHOOSE(CONTROL!$C$32, $C$9, 100%, $E$9)</f>
        <v>31.0809</v>
      </c>
      <c r="K921" s="11">
        <f>31.0862 * CHOOSE(CONTROL!$C$32, $C$9, 100%, $E$9)</f>
        <v>31.086200000000002</v>
      </c>
      <c r="L921" s="11">
        <f>15.2829 * CHOOSE(CONTROL!$C$32, $C$9, 100%, $E$9)</f>
        <v>15.2829</v>
      </c>
      <c r="M921" s="11">
        <f>15.2882 * CHOOSE(CONTROL!$C$32, $C$9, 100%, $E$9)</f>
        <v>15.2882</v>
      </c>
      <c r="N921" s="11">
        <f>15.2829 * CHOOSE(CONTROL!$C$32, $C$9, 100%, $E$9)</f>
        <v>15.2829</v>
      </c>
      <c r="O921" s="11">
        <f>15.2882 * CHOOSE(CONTROL!$C$32, $C$9, 100%, $E$9)</f>
        <v>15.2882</v>
      </c>
    </row>
    <row r="922" spans="1:15" ht="15" x14ac:dyDescent="0.2">
      <c r="A922" s="13">
        <v>68912</v>
      </c>
      <c r="B922" s="9">
        <f>13.6769 * CHOOSE(CONTROL!$C$32, $C$9, 100%, $E$9)</f>
        <v>13.6769</v>
      </c>
      <c r="C922" s="9">
        <f>13.6769 * CHOOSE(CONTROL!$C$32, $C$9, 100%, $E$9)</f>
        <v>13.6769</v>
      </c>
      <c r="D922" s="9">
        <f>13.6785 * CHOOSE(CONTROL!$C$32, $C$9, 100%, $E$9)</f>
        <v>13.6785</v>
      </c>
      <c r="E922" s="11">
        <f>15.2368 * CHOOSE(CONTROL!$C$32, $C$9, 100%, $E$9)</f>
        <v>15.236800000000001</v>
      </c>
      <c r="F922" s="11">
        <f>15.2368 * CHOOSE(CONTROL!$C$32, $C$9, 100%, $E$9)</f>
        <v>15.236800000000001</v>
      </c>
      <c r="G922" s="11">
        <f>15.2421 * CHOOSE(CONTROL!$C$32, $C$9, 100%, $E$9)</f>
        <v>15.242100000000001</v>
      </c>
      <c r="H922" s="11">
        <f>31.1457 * CHOOSE(CONTROL!$C$32, $C$9, 100%, $E$9)</f>
        <v>31.145700000000001</v>
      </c>
      <c r="I922" s="11">
        <f>31.151 * CHOOSE(CONTROL!$C$32, $C$9, 100%, $E$9)</f>
        <v>31.151</v>
      </c>
      <c r="J922" s="11">
        <f>31.1457 * CHOOSE(CONTROL!$C$32, $C$9, 100%, $E$9)</f>
        <v>31.145700000000001</v>
      </c>
      <c r="K922" s="11">
        <f>31.151 * CHOOSE(CONTROL!$C$32, $C$9, 100%, $E$9)</f>
        <v>31.151</v>
      </c>
      <c r="L922" s="11">
        <f>15.2368 * CHOOSE(CONTROL!$C$32, $C$9, 100%, $E$9)</f>
        <v>15.236800000000001</v>
      </c>
      <c r="M922" s="11">
        <f>15.2421 * CHOOSE(CONTROL!$C$32, $C$9, 100%, $E$9)</f>
        <v>15.242100000000001</v>
      </c>
      <c r="N922" s="11">
        <f>15.2368 * CHOOSE(CONTROL!$C$32, $C$9, 100%, $E$9)</f>
        <v>15.236800000000001</v>
      </c>
      <c r="O922" s="11">
        <f>15.2421 * CHOOSE(CONTROL!$C$32, $C$9, 100%, $E$9)</f>
        <v>15.242100000000001</v>
      </c>
    </row>
    <row r="923" spans="1:15" ht="15" x14ac:dyDescent="0.2">
      <c r="A923" s="13">
        <v>68942</v>
      </c>
      <c r="B923" s="9">
        <f>13.7082 * CHOOSE(CONTROL!$C$32, $C$9, 100%, $E$9)</f>
        <v>13.7082</v>
      </c>
      <c r="C923" s="9">
        <f>13.7082 * CHOOSE(CONTROL!$C$32, $C$9, 100%, $E$9)</f>
        <v>13.7082</v>
      </c>
      <c r="D923" s="9">
        <f>13.7092 * CHOOSE(CONTROL!$C$32, $C$9, 100%, $E$9)</f>
        <v>13.709199999999999</v>
      </c>
      <c r="E923" s="11">
        <f>15.3996 * CHOOSE(CONTROL!$C$32, $C$9, 100%, $E$9)</f>
        <v>15.3996</v>
      </c>
      <c r="F923" s="11">
        <f>15.3996 * CHOOSE(CONTROL!$C$32, $C$9, 100%, $E$9)</f>
        <v>15.3996</v>
      </c>
      <c r="G923" s="11">
        <f>15.4032 * CHOOSE(CONTROL!$C$32, $C$9, 100%, $E$9)</f>
        <v>15.4032</v>
      </c>
      <c r="H923" s="11">
        <f>31.2106 * CHOOSE(CONTROL!$C$32, $C$9, 100%, $E$9)</f>
        <v>31.210599999999999</v>
      </c>
      <c r="I923" s="11">
        <f>31.2142 * CHOOSE(CONTROL!$C$32, $C$9, 100%, $E$9)</f>
        <v>31.214200000000002</v>
      </c>
      <c r="J923" s="11">
        <f>31.2106 * CHOOSE(CONTROL!$C$32, $C$9, 100%, $E$9)</f>
        <v>31.210599999999999</v>
      </c>
      <c r="K923" s="11">
        <f>31.2142 * CHOOSE(CONTROL!$C$32, $C$9, 100%, $E$9)</f>
        <v>31.214200000000002</v>
      </c>
      <c r="L923" s="11">
        <f>15.3996 * CHOOSE(CONTROL!$C$32, $C$9, 100%, $E$9)</f>
        <v>15.3996</v>
      </c>
      <c r="M923" s="11">
        <f>15.4032 * CHOOSE(CONTROL!$C$32, $C$9, 100%, $E$9)</f>
        <v>15.4032</v>
      </c>
      <c r="N923" s="11">
        <f>15.3996 * CHOOSE(CONTROL!$C$32, $C$9, 100%, $E$9)</f>
        <v>15.3996</v>
      </c>
      <c r="O923" s="11">
        <f>15.4032 * CHOOSE(CONTROL!$C$32, $C$9, 100%, $E$9)</f>
        <v>15.4032</v>
      </c>
    </row>
    <row r="924" spans="1:15" ht="15" x14ac:dyDescent="0.2">
      <c r="A924" s="13">
        <v>68973</v>
      </c>
      <c r="B924" s="9">
        <f>13.7112 * CHOOSE(CONTROL!$C$32, $C$9, 100%, $E$9)</f>
        <v>13.7112</v>
      </c>
      <c r="C924" s="9">
        <f>13.7112 * CHOOSE(CONTROL!$C$32, $C$9, 100%, $E$9)</f>
        <v>13.7112</v>
      </c>
      <c r="D924" s="9">
        <f>13.7123 * CHOOSE(CONTROL!$C$32, $C$9, 100%, $E$9)</f>
        <v>13.712300000000001</v>
      </c>
      <c r="E924" s="11">
        <f>15.4899 * CHOOSE(CONTROL!$C$32, $C$9, 100%, $E$9)</f>
        <v>15.4899</v>
      </c>
      <c r="F924" s="11">
        <f>15.4899 * CHOOSE(CONTROL!$C$32, $C$9, 100%, $E$9)</f>
        <v>15.4899</v>
      </c>
      <c r="G924" s="11">
        <f>15.4935 * CHOOSE(CONTROL!$C$32, $C$9, 100%, $E$9)</f>
        <v>15.493499999999999</v>
      </c>
      <c r="H924" s="11">
        <f>31.2756 * CHOOSE(CONTROL!$C$32, $C$9, 100%, $E$9)</f>
        <v>31.275600000000001</v>
      </c>
      <c r="I924" s="11">
        <f>31.2792 * CHOOSE(CONTROL!$C$32, $C$9, 100%, $E$9)</f>
        <v>31.279199999999999</v>
      </c>
      <c r="J924" s="11">
        <f>31.2756 * CHOOSE(CONTROL!$C$32, $C$9, 100%, $E$9)</f>
        <v>31.275600000000001</v>
      </c>
      <c r="K924" s="11">
        <f>31.2792 * CHOOSE(CONTROL!$C$32, $C$9, 100%, $E$9)</f>
        <v>31.279199999999999</v>
      </c>
      <c r="L924" s="11">
        <f>15.4899 * CHOOSE(CONTROL!$C$32, $C$9, 100%, $E$9)</f>
        <v>15.4899</v>
      </c>
      <c r="M924" s="11">
        <f>15.4935 * CHOOSE(CONTROL!$C$32, $C$9, 100%, $E$9)</f>
        <v>15.493499999999999</v>
      </c>
      <c r="N924" s="11">
        <f>15.4899 * CHOOSE(CONTROL!$C$32, $C$9, 100%, $E$9)</f>
        <v>15.4899</v>
      </c>
      <c r="O924" s="11">
        <f>15.4935 * CHOOSE(CONTROL!$C$32, $C$9, 100%, $E$9)</f>
        <v>15.493499999999999</v>
      </c>
    </row>
    <row r="925" spans="1:15" ht="15" x14ac:dyDescent="0.2">
      <c r="A925" s="13">
        <v>69003</v>
      </c>
      <c r="B925" s="9">
        <f>13.7112 * CHOOSE(CONTROL!$C$32, $C$9, 100%, $E$9)</f>
        <v>13.7112</v>
      </c>
      <c r="C925" s="9">
        <f>13.7112 * CHOOSE(CONTROL!$C$32, $C$9, 100%, $E$9)</f>
        <v>13.7112</v>
      </c>
      <c r="D925" s="9">
        <f>13.7123 * CHOOSE(CONTROL!$C$32, $C$9, 100%, $E$9)</f>
        <v>13.712300000000001</v>
      </c>
      <c r="E925" s="11">
        <f>15.2695 * CHOOSE(CONTROL!$C$32, $C$9, 100%, $E$9)</f>
        <v>15.269500000000001</v>
      </c>
      <c r="F925" s="11">
        <f>15.2695 * CHOOSE(CONTROL!$C$32, $C$9, 100%, $E$9)</f>
        <v>15.269500000000001</v>
      </c>
      <c r="G925" s="11">
        <f>15.2731 * CHOOSE(CONTROL!$C$32, $C$9, 100%, $E$9)</f>
        <v>15.273099999999999</v>
      </c>
      <c r="H925" s="11">
        <f>31.3407 * CHOOSE(CONTROL!$C$32, $C$9, 100%, $E$9)</f>
        <v>31.340699999999998</v>
      </c>
      <c r="I925" s="11">
        <f>31.3444 * CHOOSE(CONTROL!$C$32, $C$9, 100%, $E$9)</f>
        <v>31.3444</v>
      </c>
      <c r="J925" s="11">
        <f>31.3407 * CHOOSE(CONTROL!$C$32, $C$9, 100%, $E$9)</f>
        <v>31.340699999999998</v>
      </c>
      <c r="K925" s="11">
        <f>31.3444 * CHOOSE(CONTROL!$C$32, $C$9, 100%, $E$9)</f>
        <v>31.3444</v>
      </c>
      <c r="L925" s="11">
        <f>15.2695 * CHOOSE(CONTROL!$C$32, $C$9, 100%, $E$9)</f>
        <v>15.269500000000001</v>
      </c>
      <c r="M925" s="11">
        <f>15.2731 * CHOOSE(CONTROL!$C$32, $C$9, 100%, $E$9)</f>
        <v>15.273099999999999</v>
      </c>
      <c r="N925" s="11">
        <f>15.2695 * CHOOSE(CONTROL!$C$32, $C$9, 100%, $E$9)</f>
        <v>15.269500000000001</v>
      </c>
      <c r="O925" s="11">
        <f>15.2731 * CHOOSE(CONTROL!$C$32, $C$9, 100%, $E$9)</f>
        <v>15.273099999999999</v>
      </c>
    </row>
    <row r="926" spans="1:15" ht="15" x14ac:dyDescent="0.2">
      <c r="A926" s="13">
        <v>69034</v>
      </c>
      <c r="B926" s="9">
        <f>13.6909 * CHOOSE(CONTROL!$C$32, $C$9, 100%, $E$9)</f>
        <v>13.690899999999999</v>
      </c>
      <c r="C926" s="9">
        <f>13.6909 * CHOOSE(CONTROL!$C$32, $C$9, 100%, $E$9)</f>
        <v>13.690899999999999</v>
      </c>
      <c r="D926" s="9">
        <f>13.6919 * CHOOSE(CONTROL!$C$32, $C$9, 100%, $E$9)</f>
        <v>13.6919</v>
      </c>
      <c r="E926" s="11">
        <f>15.4081 * CHOOSE(CONTROL!$C$32, $C$9, 100%, $E$9)</f>
        <v>15.408099999999999</v>
      </c>
      <c r="F926" s="11">
        <f>15.4081 * CHOOSE(CONTROL!$C$32, $C$9, 100%, $E$9)</f>
        <v>15.408099999999999</v>
      </c>
      <c r="G926" s="11">
        <f>15.4117 * CHOOSE(CONTROL!$C$32, $C$9, 100%, $E$9)</f>
        <v>15.4117</v>
      </c>
      <c r="H926" s="11">
        <f>31.0849 * CHOOSE(CONTROL!$C$32, $C$9, 100%, $E$9)</f>
        <v>31.084900000000001</v>
      </c>
      <c r="I926" s="11">
        <f>31.0885 * CHOOSE(CONTROL!$C$32, $C$9, 100%, $E$9)</f>
        <v>31.0885</v>
      </c>
      <c r="J926" s="11">
        <f>31.0849 * CHOOSE(CONTROL!$C$32, $C$9, 100%, $E$9)</f>
        <v>31.084900000000001</v>
      </c>
      <c r="K926" s="11">
        <f>31.0885 * CHOOSE(CONTROL!$C$32, $C$9, 100%, $E$9)</f>
        <v>31.0885</v>
      </c>
      <c r="L926" s="11">
        <f>15.4081 * CHOOSE(CONTROL!$C$32, $C$9, 100%, $E$9)</f>
        <v>15.408099999999999</v>
      </c>
      <c r="M926" s="11">
        <f>15.4117 * CHOOSE(CONTROL!$C$32, $C$9, 100%, $E$9)</f>
        <v>15.4117</v>
      </c>
      <c r="N926" s="11">
        <f>15.4081 * CHOOSE(CONTROL!$C$32, $C$9, 100%, $E$9)</f>
        <v>15.408099999999999</v>
      </c>
      <c r="O926" s="11">
        <f>15.4117 * CHOOSE(CONTROL!$C$32, $C$9, 100%, $E$9)</f>
        <v>15.4117</v>
      </c>
    </row>
    <row r="927" spans="1:15" ht="15" x14ac:dyDescent="0.2">
      <c r="A927" s="13">
        <v>69065</v>
      </c>
      <c r="B927" s="9">
        <f>13.6878 * CHOOSE(CONTROL!$C$32, $C$9, 100%, $E$9)</f>
        <v>13.687799999999999</v>
      </c>
      <c r="C927" s="9">
        <f>13.6878 * CHOOSE(CONTROL!$C$32, $C$9, 100%, $E$9)</f>
        <v>13.687799999999999</v>
      </c>
      <c r="D927" s="9">
        <f>13.6889 * CHOOSE(CONTROL!$C$32, $C$9, 100%, $E$9)</f>
        <v>13.6889</v>
      </c>
      <c r="E927" s="11">
        <f>14.9824 * CHOOSE(CONTROL!$C$32, $C$9, 100%, $E$9)</f>
        <v>14.9824</v>
      </c>
      <c r="F927" s="11">
        <f>14.9824 * CHOOSE(CONTROL!$C$32, $C$9, 100%, $E$9)</f>
        <v>14.9824</v>
      </c>
      <c r="G927" s="11">
        <f>14.9861 * CHOOSE(CONTROL!$C$32, $C$9, 100%, $E$9)</f>
        <v>14.9861</v>
      </c>
      <c r="H927" s="11">
        <f>31.1497 * CHOOSE(CONTROL!$C$32, $C$9, 100%, $E$9)</f>
        <v>31.149699999999999</v>
      </c>
      <c r="I927" s="11">
        <f>31.1533 * CHOOSE(CONTROL!$C$32, $C$9, 100%, $E$9)</f>
        <v>31.153300000000002</v>
      </c>
      <c r="J927" s="11">
        <f>31.1497 * CHOOSE(CONTROL!$C$32, $C$9, 100%, $E$9)</f>
        <v>31.149699999999999</v>
      </c>
      <c r="K927" s="11">
        <f>31.1533 * CHOOSE(CONTROL!$C$32, $C$9, 100%, $E$9)</f>
        <v>31.153300000000002</v>
      </c>
      <c r="L927" s="11">
        <f>14.9824 * CHOOSE(CONTROL!$C$32, $C$9, 100%, $E$9)</f>
        <v>14.9824</v>
      </c>
      <c r="M927" s="11">
        <f>14.9861 * CHOOSE(CONTROL!$C$32, $C$9, 100%, $E$9)</f>
        <v>14.9861</v>
      </c>
      <c r="N927" s="11">
        <f>14.9824 * CHOOSE(CONTROL!$C$32, $C$9, 100%, $E$9)</f>
        <v>14.9824</v>
      </c>
      <c r="O927" s="11">
        <f>14.9861 * CHOOSE(CONTROL!$C$32, $C$9, 100%, $E$9)</f>
        <v>14.9861</v>
      </c>
    </row>
    <row r="928" spans="1:15" ht="15" x14ac:dyDescent="0.2">
      <c r="A928" s="13">
        <v>69093</v>
      </c>
      <c r="B928" s="9">
        <f>13.6848 * CHOOSE(CONTROL!$C$32, $C$9, 100%, $E$9)</f>
        <v>13.684799999999999</v>
      </c>
      <c r="C928" s="9">
        <f>13.6848 * CHOOSE(CONTROL!$C$32, $C$9, 100%, $E$9)</f>
        <v>13.684799999999999</v>
      </c>
      <c r="D928" s="9">
        <f>13.6859 * CHOOSE(CONTROL!$C$32, $C$9, 100%, $E$9)</f>
        <v>13.6859</v>
      </c>
      <c r="E928" s="11">
        <f>15.3142 * CHOOSE(CONTROL!$C$32, $C$9, 100%, $E$9)</f>
        <v>15.3142</v>
      </c>
      <c r="F928" s="11">
        <f>15.3142 * CHOOSE(CONTROL!$C$32, $C$9, 100%, $E$9)</f>
        <v>15.3142</v>
      </c>
      <c r="G928" s="11">
        <f>15.3178 * CHOOSE(CONTROL!$C$32, $C$9, 100%, $E$9)</f>
        <v>15.3178</v>
      </c>
      <c r="H928" s="11">
        <f>31.2146 * CHOOSE(CONTROL!$C$32, $C$9, 100%, $E$9)</f>
        <v>31.214600000000001</v>
      </c>
      <c r="I928" s="11">
        <f>31.2182 * CHOOSE(CONTROL!$C$32, $C$9, 100%, $E$9)</f>
        <v>31.2182</v>
      </c>
      <c r="J928" s="11">
        <f>31.2146 * CHOOSE(CONTROL!$C$32, $C$9, 100%, $E$9)</f>
        <v>31.214600000000001</v>
      </c>
      <c r="K928" s="11">
        <f>31.2182 * CHOOSE(CONTROL!$C$32, $C$9, 100%, $E$9)</f>
        <v>31.2182</v>
      </c>
      <c r="L928" s="11">
        <f>15.3142 * CHOOSE(CONTROL!$C$32, $C$9, 100%, $E$9)</f>
        <v>15.3142</v>
      </c>
      <c r="M928" s="11">
        <f>15.3178 * CHOOSE(CONTROL!$C$32, $C$9, 100%, $E$9)</f>
        <v>15.3178</v>
      </c>
      <c r="N928" s="11">
        <f>15.3142 * CHOOSE(CONTROL!$C$32, $C$9, 100%, $E$9)</f>
        <v>15.3142</v>
      </c>
      <c r="O928" s="11">
        <f>15.3178 * CHOOSE(CONTROL!$C$32, $C$9, 100%, $E$9)</f>
        <v>15.3178</v>
      </c>
    </row>
    <row r="929" spans="1:15" ht="15" x14ac:dyDescent="0.2">
      <c r="A929" s="13">
        <v>69124</v>
      </c>
      <c r="B929" s="9">
        <f>13.6919 * CHOOSE(CONTROL!$C$32, $C$9, 100%, $E$9)</f>
        <v>13.6919</v>
      </c>
      <c r="C929" s="9">
        <f>13.6919 * CHOOSE(CONTROL!$C$32, $C$9, 100%, $E$9)</f>
        <v>13.6919</v>
      </c>
      <c r="D929" s="9">
        <f>13.6929 * CHOOSE(CONTROL!$C$32, $C$9, 100%, $E$9)</f>
        <v>13.6929</v>
      </c>
      <c r="E929" s="11">
        <f>15.6686 * CHOOSE(CONTROL!$C$32, $C$9, 100%, $E$9)</f>
        <v>15.6686</v>
      </c>
      <c r="F929" s="11">
        <f>15.6686 * CHOOSE(CONTROL!$C$32, $C$9, 100%, $E$9)</f>
        <v>15.6686</v>
      </c>
      <c r="G929" s="11">
        <f>15.6722 * CHOOSE(CONTROL!$C$32, $C$9, 100%, $E$9)</f>
        <v>15.6722</v>
      </c>
      <c r="H929" s="11">
        <f>31.2796 * CHOOSE(CONTROL!$C$32, $C$9, 100%, $E$9)</f>
        <v>31.279599999999999</v>
      </c>
      <c r="I929" s="11">
        <f>31.2832 * CHOOSE(CONTROL!$C$32, $C$9, 100%, $E$9)</f>
        <v>31.283200000000001</v>
      </c>
      <c r="J929" s="11">
        <f>31.2796 * CHOOSE(CONTROL!$C$32, $C$9, 100%, $E$9)</f>
        <v>31.279599999999999</v>
      </c>
      <c r="K929" s="11">
        <f>31.2832 * CHOOSE(CONTROL!$C$32, $C$9, 100%, $E$9)</f>
        <v>31.283200000000001</v>
      </c>
      <c r="L929" s="11">
        <f>15.6686 * CHOOSE(CONTROL!$C$32, $C$9, 100%, $E$9)</f>
        <v>15.6686</v>
      </c>
      <c r="M929" s="11">
        <f>15.6722 * CHOOSE(CONTROL!$C$32, $C$9, 100%, $E$9)</f>
        <v>15.6722</v>
      </c>
      <c r="N929" s="11">
        <f>15.6686 * CHOOSE(CONTROL!$C$32, $C$9, 100%, $E$9)</f>
        <v>15.6686</v>
      </c>
      <c r="O929" s="11">
        <f>15.6722 * CHOOSE(CONTROL!$C$32, $C$9, 100%, $E$9)</f>
        <v>15.6722</v>
      </c>
    </row>
    <row r="930" spans="1:15" ht="15" x14ac:dyDescent="0.2">
      <c r="A930" s="13">
        <v>69154</v>
      </c>
      <c r="B930" s="9">
        <f>13.6919 * CHOOSE(CONTROL!$C$32, $C$9, 100%, $E$9)</f>
        <v>13.6919</v>
      </c>
      <c r="C930" s="9">
        <f>13.6919 * CHOOSE(CONTROL!$C$32, $C$9, 100%, $E$9)</f>
        <v>13.6919</v>
      </c>
      <c r="D930" s="9">
        <f>13.6934 * CHOOSE(CONTROL!$C$32, $C$9, 100%, $E$9)</f>
        <v>13.6934</v>
      </c>
      <c r="E930" s="11">
        <f>15.803 * CHOOSE(CONTROL!$C$32, $C$9, 100%, $E$9)</f>
        <v>15.803000000000001</v>
      </c>
      <c r="F930" s="11">
        <f>15.803 * CHOOSE(CONTROL!$C$32, $C$9, 100%, $E$9)</f>
        <v>15.803000000000001</v>
      </c>
      <c r="G930" s="11">
        <f>15.8083 * CHOOSE(CONTROL!$C$32, $C$9, 100%, $E$9)</f>
        <v>15.808299999999999</v>
      </c>
      <c r="H930" s="11">
        <f>31.3448 * CHOOSE(CONTROL!$C$32, $C$9, 100%, $E$9)</f>
        <v>31.344799999999999</v>
      </c>
      <c r="I930" s="11">
        <f>31.3501 * CHOOSE(CONTROL!$C$32, $C$9, 100%, $E$9)</f>
        <v>31.350100000000001</v>
      </c>
      <c r="J930" s="11">
        <f>31.3448 * CHOOSE(CONTROL!$C$32, $C$9, 100%, $E$9)</f>
        <v>31.344799999999999</v>
      </c>
      <c r="K930" s="11">
        <f>31.3501 * CHOOSE(CONTROL!$C$32, $C$9, 100%, $E$9)</f>
        <v>31.350100000000001</v>
      </c>
      <c r="L930" s="11">
        <f>15.803 * CHOOSE(CONTROL!$C$32, $C$9, 100%, $E$9)</f>
        <v>15.803000000000001</v>
      </c>
      <c r="M930" s="11">
        <f>15.8083 * CHOOSE(CONTROL!$C$32, $C$9, 100%, $E$9)</f>
        <v>15.808299999999999</v>
      </c>
      <c r="N930" s="11">
        <f>15.803 * CHOOSE(CONTROL!$C$32, $C$9, 100%, $E$9)</f>
        <v>15.803000000000001</v>
      </c>
      <c r="O930" s="11">
        <f>15.8083 * CHOOSE(CONTROL!$C$32, $C$9, 100%, $E$9)</f>
        <v>15.808299999999999</v>
      </c>
    </row>
    <row r="931" spans="1:15" ht="15" x14ac:dyDescent="0.2">
      <c r="A931" s="13">
        <v>69185</v>
      </c>
      <c r="B931" s="9">
        <f>13.6979 * CHOOSE(CONTROL!$C$32, $C$9, 100%, $E$9)</f>
        <v>13.697900000000001</v>
      </c>
      <c r="C931" s="9">
        <f>13.6979 * CHOOSE(CONTROL!$C$32, $C$9, 100%, $E$9)</f>
        <v>13.697900000000001</v>
      </c>
      <c r="D931" s="9">
        <f>13.6995 * CHOOSE(CONTROL!$C$32, $C$9, 100%, $E$9)</f>
        <v>13.6995</v>
      </c>
      <c r="E931" s="11">
        <f>15.6728 * CHOOSE(CONTROL!$C$32, $C$9, 100%, $E$9)</f>
        <v>15.672800000000001</v>
      </c>
      <c r="F931" s="11">
        <f>15.6728 * CHOOSE(CONTROL!$C$32, $C$9, 100%, $E$9)</f>
        <v>15.672800000000001</v>
      </c>
      <c r="G931" s="11">
        <f>15.6781 * CHOOSE(CONTROL!$C$32, $C$9, 100%, $E$9)</f>
        <v>15.678100000000001</v>
      </c>
      <c r="H931" s="11">
        <f>31.4101 * CHOOSE(CONTROL!$C$32, $C$9, 100%, $E$9)</f>
        <v>31.4101</v>
      </c>
      <c r="I931" s="11">
        <f>31.4154 * CHOOSE(CONTROL!$C$32, $C$9, 100%, $E$9)</f>
        <v>31.415400000000002</v>
      </c>
      <c r="J931" s="11">
        <f>31.4101 * CHOOSE(CONTROL!$C$32, $C$9, 100%, $E$9)</f>
        <v>31.4101</v>
      </c>
      <c r="K931" s="11">
        <f>31.4154 * CHOOSE(CONTROL!$C$32, $C$9, 100%, $E$9)</f>
        <v>31.415400000000002</v>
      </c>
      <c r="L931" s="11">
        <f>15.6728 * CHOOSE(CONTROL!$C$32, $C$9, 100%, $E$9)</f>
        <v>15.672800000000001</v>
      </c>
      <c r="M931" s="11">
        <f>15.6781 * CHOOSE(CONTROL!$C$32, $C$9, 100%, $E$9)</f>
        <v>15.678100000000001</v>
      </c>
      <c r="N931" s="11">
        <f>15.6728 * CHOOSE(CONTROL!$C$32, $C$9, 100%, $E$9)</f>
        <v>15.672800000000001</v>
      </c>
      <c r="O931" s="11">
        <f>15.6781 * CHOOSE(CONTROL!$C$32, $C$9, 100%, $E$9)</f>
        <v>15.678100000000001</v>
      </c>
    </row>
    <row r="932" spans="1:15" ht="15" x14ac:dyDescent="0.2">
      <c r="A932" s="13">
        <v>69215</v>
      </c>
      <c r="B932" s="9">
        <f>13.8629 * CHOOSE(CONTROL!$C$32, $C$9, 100%, $E$9)</f>
        <v>13.8629</v>
      </c>
      <c r="C932" s="9">
        <f>13.8629 * CHOOSE(CONTROL!$C$32, $C$9, 100%, $E$9)</f>
        <v>13.8629</v>
      </c>
      <c r="D932" s="9">
        <f>13.8644 * CHOOSE(CONTROL!$C$32, $C$9, 100%, $E$9)</f>
        <v>13.8644</v>
      </c>
      <c r="E932" s="11">
        <f>15.8951 * CHOOSE(CONTROL!$C$32, $C$9, 100%, $E$9)</f>
        <v>15.895099999999999</v>
      </c>
      <c r="F932" s="11">
        <f>15.8951 * CHOOSE(CONTROL!$C$32, $C$9, 100%, $E$9)</f>
        <v>15.895099999999999</v>
      </c>
      <c r="G932" s="11">
        <f>15.9004 * CHOOSE(CONTROL!$C$32, $C$9, 100%, $E$9)</f>
        <v>15.900399999999999</v>
      </c>
      <c r="H932" s="11">
        <f>31.4755 * CHOOSE(CONTROL!$C$32, $C$9, 100%, $E$9)</f>
        <v>31.4755</v>
      </c>
      <c r="I932" s="11">
        <f>31.4808 * CHOOSE(CONTROL!$C$32, $C$9, 100%, $E$9)</f>
        <v>31.480799999999999</v>
      </c>
      <c r="J932" s="11">
        <f>31.4755 * CHOOSE(CONTROL!$C$32, $C$9, 100%, $E$9)</f>
        <v>31.4755</v>
      </c>
      <c r="K932" s="11">
        <f>31.4808 * CHOOSE(CONTROL!$C$32, $C$9, 100%, $E$9)</f>
        <v>31.480799999999999</v>
      </c>
      <c r="L932" s="11">
        <f>15.8951 * CHOOSE(CONTROL!$C$32, $C$9, 100%, $E$9)</f>
        <v>15.895099999999999</v>
      </c>
      <c r="M932" s="11">
        <f>15.9004 * CHOOSE(CONTROL!$C$32, $C$9, 100%, $E$9)</f>
        <v>15.900399999999999</v>
      </c>
      <c r="N932" s="11">
        <f>15.8951 * CHOOSE(CONTROL!$C$32, $C$9, 100%, $E$9)</f>
        <v>15.895099999999999</v>
      </c>
      <c r="O932" s="11">
        <f>15.9004 * CHOOSE(CONTROL!$C$32, $C$9, 100%, $E$9)</f>
        <v>15.900399999999999</v>
      </c>
    </row>
    <row r="933" spans="1:15" ht="15" x14ac:dyDescent="0.2">
      <c r="A933" s="13">
        <v>69246</v>
      </c>
      <c r="B933" s="9">
        <f>13.8696 * CHOOSE(CONTROL!$C$32, $C$9, 100%, $E$9)</f>
        <v>13.8696</v>
      </c>
      <c r="C933" s="9">
        <f>13.8696 * CHOOSE(CONTROL!$C$32, $C$9, 100%, $E$9)</f>
        <v>13.8696</v>
      </c>
      <c r="D933" s="9">
        <f>13.8711 * CHOOSE(CONTROL!$C$32, $C$9, 100%, $E$9)</f>
        <v>13.8711</v>
      </c>
      <c r="E933" s="11">
        <f>15.4964 * CHOOSE(CONTROL!$C$32, $C$9, 100%, $E$9)</f>
        <v>15.4964</v>
      </c>
      <c r="F933" s="11">
        <f>15.4964 * CHOOSE(CONTROL!$C$32, $C$9, 100%, $E$9)</f>
        <v>15.4964</v>
      </c>
      <c r="G933" s="11">
        <f>15.5017 * CHOOSE(CONTROL!$C$32, $C$9, 100%, $E$9)</f>
        <v>15.5017</v>
      </c>
      <c r="H933" s="11">
        <f>31.5411 * CHOOSE(CONTROL!$C$32, $C$9, 100%, $E$9)</f>
        <v>31.5411</v>
      </c>
      <c r="I933" s="11">
        <f>31.5464 * CHOOSE(CONTROL!$C$32, $C$9, 100%, $E$9)</f>
        <v>31.546399999999998</v>
      </c>
      <c r="J933" s="11">
        <f>31.5411 * CHOOSE(CONTROL!$C$32, $C$9, 100%, $E$9)</f>
        <v>31.5411</v>
      </c>
      <c r="K933" s="11">
        <f>31.5464 * CHOOSE(CONTROL!$C$32, $C$9, 100%, $E$9)</f>
        <v>31.546399999999998</v>
      </c>
      <c r="L933" s="11">
        <f>15.4964 * CHOOSE(CONTROL!$C$32, $C$9, 100%, $E$9)</f>
        <v>15.4964</v>
      </c>
      <c r="M933" s="11">
        <f>15.5017 * CHOOSE(CONTROL!$C$32, $C$9, 100%, $E$9)</f>
        <v>15.5017</v>
      </c>
      <c r="N933" s="11">
        <f>15.4964 * CHOOSE(CONTROL!$C$32, $C$9, 100%, $E$9)</f>
        <v>15.4964</v>
      </c>
      <c r="O933" s="11">
        <f>15.5017 * CHOOSE(CONTROL!$C$32, $C$9, 100%, $E$9)</f>
        <v>15.5017</v>
      </c>
    </row>
    <row r="934" spans="1:15" ht="15" x14ac:dyDescent="0.2">
      <c r="A934" s="13">
        <v>69277</v>
      </c>
      <c r="B934" s="9">
        <f>13.8665 * CHOOSE(CONTROL!$C$32, $C$9, 100%, $E$9)</f>
        <v>13.8665</v>
      </c>
      <c r="C934" s="9">
        <f>13.8665 * CHOOSE(CONTROL!$C$32, $C$9, 100%, $E$9)</f>
        <v>13.8665</v>
      </c>
      <c r="D934" s="9">
        <f>13.8681 * CHOOSE(CONTROL!$C$32, $C$9, 100%, $E$9)</f>
        <v>13.8681</v>
      </c>
      <c r="E934" s="11">
        <f>15.4494 * CHOOSE(CONTROL!$C$32, $C$9, 100%, $E$9)</f>
        <v>15.449400000000001</v>
      </c>
      <c r="F934" s="11">
        <f>15.4494 * CHOOSE(CONTROL!$C$32, $C$9, 100%, $E$9)</f>
        <v>15.449400000000001</v>
      </c>
      <c r="G934" s="11">
        <f>15.4547 * CHOOSE(CONTROL!$C$32, $C$9, 100%, $E$9)</f>
        <v>15.454700000000001</v>
      </c>
      <c r="H934" s="11">
        <f>31.6068 * CHOOSE(CONTROL!$C$32, $C$9, 100%, $E$9)</f>
        <v>31.6068</v>
      </c>
      <c r="I934" s="11">
        <f>31.6121 * CHOOSE(CONTROL!$C$32, $C$9, 100%, $E$9)</f>
        <v>31.612100000000002</v>
      </c>
      <c r="J934" s="11">
        <f>31.6068 * CHOOSE(CONTROL!$C$32, $C$9, 100%, $E$9)</f>
        <v>31.6068</v>
      </c>
      <c r="K934" s="11">
        <f>31.6121 * CHOOSE(CONTROL!$C$32, $C$9, 100%, $E$9)</f>
        <v>31.612100000000002</v>
      </c>
      <c r="L934" s="11">
        <f>15.4494 * CHOOSE(CONTROL!$C$32, $C$9, 100%, $E$9)</f>
        <v>15.449400000000001</v>
      </c>
      <c r="M934" s="11">
        <f>15.4547 * CHOOSE(CONTROL!$C$32, $C$9, 100%, $E$9)</f>
        <v>15.454700000000001</v>
      </c>
      <c r="N934" s="11">
        <f>15.4494 * CHOOSE(CONTROL!$C$32, $C$9, 100%, $E$9)</f>
        <v>15.449400000000001</v>
      </c>
      <c r="O934" s="11">
        <f>15.4547 * CHOOSE(CONTROL!$C$32, $C$9, 100%, $E$9)</f>
        <v>15.454700000000001</v>
      </c>
    </row>
    <row r="935" spans="1:15" ht="15" x14ac:dyDescent="0.2">
      <c r="A935" s="13">
        <v>69307</v>
      </c>
      <c r="B935" s="9">
        <f>13.8985 * CHOOSE(CONTROL!$C$32, $C$9, 100%, $E$9)</f>
        <v>13.8985</v>
      </c>
      <c r="C935" s="9">
        <f>13.8985 * CHOOSE(CONTROL!$C$32, $C$9, 100%, $E$9)</f>
        <v>13.8985</v>
      </c>
      <c r="D935" s="9">
        <f>13.8995 * CHOOSE(CONTROL!$C$32, $C$9, 100%, $E$9)</f>
        <v>13.8995</v>
      </c>
      <c r="E935" s="11">
        <f>15.6153 * CHOOSE(CONTROL!$C$32, $C$9, 100%, $E$9)</f>
        <v>15.6153</v>
      </c>
      <c r="F935" s="11">
        <f>15.6153 * CHOOSE(CONTROL!$C$32, $C$9, 100%, $E$9)</f>
        <v>15.6153</v>
      </c>
      <c r="G935" s="11">
        <f>15.6189 * CHOOSE(CONTROL!$C$32, $C$9, 100%, $E$9)</f>
        <v>15.6189</v>
      </c>
      <c r="H935" s="11">
        <f>31.6726 * CHOOSE(CONTROL!$C$32, $C$9, 100%, $E$9)</f>
        <v>31.672599999999999</v>
      </c>
      <c r="I935" s="11">
        <f>31.6763 * CHOOSE(CONTROL!$C$32, $C$9, 100%, $E$9)</f>
        <v>31.676300000000001</v>
      </c>
      <c r="J935" s="11">
        <f>31.6726 * CHOOSE(CONTROL!$C$32, $C$9, 100%, $E$9)</f>
        <v>31.672599999999999</v>
      </c>
      <c r="K935" s="11">
        <f>31.6763 * CHOOSE(CONTROL!$C$32, $C$9, 100%, $E$9)</f>
        <v>31.676300000000001</v>
      </c>
      <c r="L935" s="11">
        <f>15.6153 * CHOOSE(CONTROL!$C$32, $C$9, 100%, $E$9)</f>
        <v>15.6153</v>
      </c>
      <c r="M935" s="11">
        <f>15.6189 * CHOOSE(CONTROL!$C$32, $C$9, 100%, $E$9)</f>
        <v>15.6189</v>
      </c>
      <c r="N935" s="11">
        <f>15.6153 * CHOOSE(CONTROL!$C$32, $C$9, 100%, $E$9)</f>
        <v>15.6153</v>
      </c>
      <c r="O935" s="11">
        <f>15.6189 * CHOOSE(CONTROL!$C$32, $C$9, 100%, $E$9)</f>
        <v>15.6189</v>
      </c>
    </row>
    <row r="936" spans="1:15" ht="15" x14ac:dyDescent="0.2">
      <c r="A936" s="13">
        <v>69338</v>
      </c>
      <c r="B936" s="9">
        <f>13.9015 * CHOOSE(CONTROL!$C$32, $C$9, 100%, $E$9)</f>
        <v>13.9015</v>
      </c>
      <c r="C936" s="9">
        <f>13.9015 * CHOOSE(CONTROL!$C$32, $C$9, 100%, $E$9)</f>
        <v>13.9015</v>
      </c>
      <c r="D936" s="9">
        <f>13.9026 * CHOOSE(CONTROL!$C$32, $C$9, 100%, $E$9)</f>
        <v>13.9026</v>
      </c>
      <c r="E936" s="11">
        <f>15.7071 * CHOOSE(CONTROL!$C$32, $C$9, 100%, $E$9)</f>
        <v>15.707100000000001</v>
      </c>
      <c r="F936" s="11">
        <f>15.7071 * CHOOSE(CONTROL!$C$32, $C$9, 100%, $E$9)</f>
        <v>15.707100000000001</v>
      </c>
      <c r="G936" s="11">
        <f>15.7107 * CHOOSE(CONTROL!$C$32, $C$9, 100%, $E$9)</f>
        <v>15.710699999999999</v>
      </c>
      <c r="H936" s="11">
        <f>31.7386 * CHOOSE(CONTROL!$C$32, $C$9, 100%, $E$9)</f>
        <v>31.738600000000002</v>
      </c>
      <c r="I936" s="11">
        <f>31.7422 * CHOOSE(CONTROL!$C$32, $C$9, 100%, $E$9)</f>
        <v>31.7422</v>
      </c>
      <c r="J936" s="11">
        <f>31.7386 * CHOOSE(CONTROL!$C$32, $C$9, 100%, $E$9)</f>
        <v>31.738600000000002</v>
      </c>
      <c r="K936" s="11">
        <f>31.7422 * CHOOSE(CONTROL!$C$32, $C$9, 100%, $E$9)</f>
        <v>31.7422</v>
      </c>
      <c r="L936" s="11">
        <f>15.7071 * CHOOSE(CONTROL!$C$32, $C$9, 100%, $E$9)</f>
        <v>15.707100000000001</v>
      </c>
      <c r="M936" s="11">
        <f>15.7107 * CHOOSE(CONTROL!$C$32, $C$9, 100%, $E$9)</f>
        <v>15.710699999999999</v>
      </c>
      <c r="N936" s="11">
        <f>15.7071 * CHOOSE(CONTROL!$C$32, $C$9, 100%, $E$9)</f>
        <v>15.707100000000001</v>
      </c>
      <c r="O936" s="11">
        <f>15.7107 * CHOOSE(CONTROL!$C$32, $C$9, 100%, $E$9)</f>
        <v>15.710699999999999</v>
      </c>
    </row>
    <row r="937" spans="1:15" ht="15" x14ac:dyDescent="0.2">
      <c r="A937" s="13">
        <v>69368</v>
      </c>
      <c r="B937" s="9">
        <f>13.9015 * CHOOSE(CONTROL!$C$32, $C$9, 100%, $E$9)</f>
        <v>13.9015</v>
      </c>
      <c r="C937" s="9">
        <f>13.9015 * CHOOSE(CONTROL!$C$32, $C$9, 100%, $E$9)</f>
        <v>13.9015</v>
      </c>
      <c r="D937" s="9">
        <f>13.9026 * CHOOSE(CONTROL!$C$32, $C$9, 100%, $E$9)</f>
        <v>13.9026</v>
      </c>
      <c r="E937" s="11">
        <f>15.483 * CHOOSE(CONTROL!$C$32, $C$9, 100%, $E$9)</f>
        <v>15.483000000000001</v>
      </c>
      <c r="F937" s="11">
        <f>15.483 * CHOOSE(CONTROL!$C$32, $C$9, 100%, $E$9)</f>
        <v>15.483000000000001</v>
      </c>
      <c r="G937" s="11">
        <f>15.4866 * CHOOSE(CONTROL!$C$32, $C$9, 100%, $E$9)</f>
        <v>15.486599999999999</v>
      </c>
      <c r="H937" s="11">
        <f>31.8047 * CHOOSE(CONTROL!$C$32, $C$9, 100%, $E$9)</f>
        <v>31.8047</v>
      </c>
      <c r="I937" s="11">
        <f>31.8084 * CHOOSE(CONTROL!$C$32, $C$9, 100%, $E$9)</f>
        <v>31.808399999999999</v>
      </c>
      <c r="J937" s="11">
        <f>31.8047 * CHOOSE(CONTROL!$C$32, $C$9, 100%, $E$9)</f>
        <v>31.8047</v>
      </c>
      <c r="K937" s="11">
        <f>31.8084 * CHOOSE(CONTROL!$C$32, $C$9, 100%, $E$9)</f>
        <v>31.808399999999999</v>
      </c>
      <c r="L937" s="11">
        <f>15.483 * CHOOSE(CONTROL!$C$32, $C$9, 100%, $E$9)</f>
        <v>15.483000000000001</v>
      </c>
      <c r="M937" s="11">
        <f>15.4866 * CHOOSE(CONTROL!$C$32, $C$9, 100%, $E$9)</f>
        <v>15.486599999999999</v>
      </c>
      <c r="N937" s="11">
        <f>15.483 * CHOOSE(CONTROL!$C$32, $C$9, 100%, $E$9)</f>
        <v>15.483000000000001</v>
      </c>
      <c r="O937" s="11">
        <f>15.4866 * CHOOSE(CONTROL!$C$32, $C$9, 100%, $E$9)</f>
        <v>15.486599999999999</v>
      </c>
    </row>
    <row r="938" spans="1:15" ht="15" x14ac:dyDescent="0.2">
      <c r="A938" s="13">
        <v>69399</v>
      </c>
      <c r="B938" s="9">
        <f>13.8782 * CHOOSE(CONTROL!$C$32, $C$9, 100%, $E$9)</f>
        <v>13.8782</v>
      </c>
      <c r="C938" s="9">
        <f>13.8782 * CHOOSE(CONTROL!$C$32, $C$9, 100%, $E$9)</f>
        <v>13.8782</v>
      </c>
      <c r="D938" s="9">
        <f>13.8793 * CHOOSE(CONTROL!$C$32, $C$9, 100%, $E$9)</f>
        <v>13.879300000000001</v>
      </c>
      <c r="E938" s="11">
        <f>15.6206 * CHOOSE(CONTROL!$C$32, $C$9, 100%, $E$9)</f>
        <v>15.6206</v>
      </c>
      <c r="F938" s="11">
        <f>15.6206 * CHOOSE(CONTROL!$C$32, $C$9, 100%, $E$9)</f>
        <v>15.6206</v>
      </c>
      <c r="G938" s="11">
        <f>15.6242 * CHOOSE(CONTROL!$C$32, $C$9, 100%, $E$9)</f>
        <v>15.6242</v>
      </c>
      <c r="H938" s="11">
        <f>31.5384 * CHOOSE(CONTROL!$C$32, $C$9, 100%, $E$9)</f>
        <v>31.538399999999999</v>
      </c>
      <c r="I938" s="11">
        <f>31.542 * CHOOSE(CONTROL!$C$32, $C$9, 100%, $E$9)</f>
        <v>31.542000000000002</v>
      </c>
      <c r="J938" s="11">
        <f>31.5384 * CHOOSE(CONTROL!$C$32, $C$9, 100%, $E$9)</f>
        <v>31.538399999999999</v>
      </c>
      <c r="K938" s="11">
        <f>31.542 * CHOOSE(CONTROL!$C$32, $C$9, 100%, $E$9)</f>
        <v>31.542000000000002</v>
      </c>
      <c r="L938" s="11">
        <f>15.6206 * CHOOSE(CONTROL!$C$32, $C$9, 100%, $E$9)</f>
        <v>15.6206</v>
      </c>
      <c r="M938" s="11">
        <f>15.6242 * CHOOSE(CONTROL!$C$32, $C$9, 100%, $E$9)</f>
        <v>15.6242</v>
      </c>
      <c r="N938" s="11">
        <f>15.6206 * CHOOSE(CONTROL!$C$32, $C$9, 100%, $E$9)</f>
        <v>15.6206</v>
      </c>
      <c r="O938" s="11">
        <f>15.6242 * CHOOSE(CONTROL!$C$32, $C$9, 100%, $E$9)</f>
        <v>15.6242</v>
      </c>
    </row>
    <row r="939" spans="1:15" ht="15" x14ac:dyDescent="0.2">
      <c r="A939" s="13">
        <v>69430</v>
      </c>
      <c r="B939" s="9">
        <f>13.8752 * CHOOSE(CONTROL!$C$32, $C$9, 100%, $E$9)</f>
        <v>13.8752</v>
      </c>
      <c r="C939" s="9">
        <f>13.8752 * CHOOSE(CONTROL!$C$32, $C$9, 100%, $E$9)</f>
        <v>13.8752</v>
      </c>
      <c r="D939" s="9">
        <f>13.8763 * CHOOSE(CONTROL!$C$32, $C$9, 100%, $E$9)</f>
        <v>13.876300000000001</v>
      </c>
      <c r="E939" s="11">
        <f>15.1879 * CHOOSE(CONTROL!$C$32, $C$9, 100%, $E$9)</f>
        <v>15.187900000000001</v>
      </c>
      <c r="F939" s="11">
        <f>15.1879 * CHOOSE(CONTROL!$C$32, $C$9, 100%, $E$9)</f>
        <v>15.187900000000001</v>
      </c>
      <c r="G939" s="11">
        <f>15.1915 * CHOOSE(CONTROL!$C$32, $C$9, 100%, $E$9)</f>
        <v>15.1915</v>
      </c>
      <c r="H939" s="11">
        <f>31.6041 * CHOOSE(CONTROL!$C$32, $C$9, 100%, $E$9)</f>
        <v>31.604099999999999</v>
      </c>
      <c r="I939" s="11">
        <f>31.6077 * CHOOSE(CONTROL!$C$32, $C$9, 100%, $E$9)</f>
        <v>31.607700000000001</v>
      </c>
      <c r="J939" s="11">
        <f>31.6041 * CHOOSE(CONTROL!$C$32, $C$9, 100%, $E$9)</f>
        <v>31.604099999999999</v>
      </c>
      <c r="K939" s="11">
        <f>31.6077 * CHOOSE(CONTROL!$C$32, $C$9, 100%, $E$9)</f>
        <v>31.607700000000001</v>
      </c>
      <c r="L939" s="11">
        <f>15.1879 * CHOOSE(CONTROL!$C$32, $C$9, 100%, $E$9)</f>
        <v>15.187900000000001</v>
      </c>
      <c r="M939" s="11">
        <f>15.1915 * CHOOSE(CONTROL!$C$32, $C$9, 100%, $E$9)</f>
        <v>15.1915</v>
      </c>
      <c r="N939" s="11">
        <f>15.1879 * CHOOSE(CONTROL!$C$32, $C$9, 100%, $E$9)</f>
        <v>15.187900000000001</v>
      </c>
      <c r="O939" s="11">
        <f>15.1915 * CHOOSE(CONTROL!$C$32, $C$9, 100%, $E$9)</f>
        <v>15.1915</v>
      </c>
    </row>
    <row r="940" spans="1:15" ht="15" x14ac:dyDescent="0.2">
      <c r="A940" s="13">
        <v>69458</v>
      </c>
      <c r="B940" s="9">
        <f>13.8722 * CHOOSE(CONTROL!$C$32, $C$9, 100%, $E$9)</f>
        <v>13.872199999999999</v>
      </c>
      <c r="C940" s="9">
        <f>13.8722 * CHOOSE(CONTROL!$C$32, $C$9, 100%, $E$9)</f>
        <v>13.872199999999999</v>
      </c>
      <c r="D940" s="9">
        <f>13.8732 * CHOOSE(CONTROL!$C$32, $C$9, 100%, $E$9)</f>
        <v>13.873200000000001</v>
      </c>
      <c r="E940" s="11">
        <f>15.5252 * CHOOSE(CONTROL!$C$32, $C$9, 100%, $E$9)</f>
        <v>15.5252</v>
      </c>
      <c r="F940" s="11">
        <f>15.5252 * CHOOSE(CONTROL!$C$32, $C$9, 100%, $E$9)</f>
        <v>15.5252</v>
      </c>
      <c r="G940" s="11">
        <f>15.5288 * CHOOSE(CONTROL!$C$32, $C$9, 100%, $E$9)</f>
        <v>15.5288</v>
      </c>
      <c r="H940" s="11">
        <f>31.67 * CHOOSE(CONTROL!$C$32, $C$9, 100%, $E$9)</f>
        <v>31.67</v>
      </c>
      <c r="I940" s="11">
        <f>31.6736 * CHOOSE(CONTROL!$C$32, $C$9, 100%, $E$9)</f>
        <v>31.6736</v>
      </c>
      <c r="J940" s="11">
        <f>31.67 * CHOOSE(CONTROL!$C$32, $C$9, 100%, $E$9)</f>
        <v>31.67</v>
      </c>
      <c r="K940" s="11">
        <f>31.6736 * CHOOSE(CONTROL!$C$32, $C$9, 100%, $E$9)</f>
        <v>31.6736</v>
      </c>
      <c r="L940" s="11">
        <f>15.5252 * CHOOSE(CONTROL!$C$32, $C$9, 100%, $E$9)</f>
        <v>15.5252</v>
      </c>
      <c r="M940" s="11">
        <f>15.5288 * CHOOSE(CONTROL!$C$32, $C$9, 100%, $E$9)</f>
        <v>15.5288</v>
      </c>
      <c r="N940" s="11">
        <f>15.5252 * CHOOSE(CONTROL!$C$32, $C$9, 100%, $E$9)</f>
        <v>15.5252</v>
      </c>
      <c r="O940" s="11">
        <f>15.5288 * CHOOSE(CONTROL!$C$32, $C$9, 100%, $E$9)</f>
        <v>15.5288</v>
      </c>
    </row>
    <row r="941" spans="1:15" ht="15" x14ac:dyDescent="0.2">
      <c r="A941" s="13">
        <v>69489</v>
      </c>
      <c r="B941" s="9">
        <f>13.8794 * CHOOSE(CONTROL!$C$32, $C$9, 100%, $E$9)</f>
        <v>13.8794</v>
      </c>
      <c r="C941" s="9">
        <f>13.8794 * CHOOSE(CONTROL!$C$32, $C$9, 100%, $E$9)</f>
        <v>13.8794</v>
      </c>
      <c r="D941" s="9">
        <f>13.8805 * CHOOSE(CONTROL!$C$32, $C$9, 100%, $E$9)</f>
        <v>13.8805</v>
      </c>
      <c r="E941" s="11">
        <f>15.8856 * CHOOSE(CONTROL!$C$32, $C$9, 100%, $E$9)</f>
        <v>15.8856</v>
      </c>
      <c r="F941" s="11">
        <f>15.8856 * CHOOSE(CONTROL!$C$32, $C$9, 100%, $E$9)</f>
        <v>15.8856</v>
      </c>
      <c r="G941" s="11">
        <f>15.8892 * CHOOSE(CONTROL!$C$32, $C$9, 100%, $E$9)</f>
        <v>15.889200000000001</v>
      </c>
      <c r="H941" s="11">
        <f>31.7359 * CHOOSE(CONTROL!$C$32, $C$9, 100%, $E$9)</f>
        <v>31.735900000000001</v>
      </c>
      <c r="I941" s="11">
        <f>31.7396 * CHOOSE(CONTROL!$C$32, $C$9, 100%, $E$9)</f>
        <v>31.739599999999999</v>
      </c>
      <c r="J941" s="11">
        <f>31.7359 * CHOOSE(CONTROL!$C$32, $C$9, 100%, $E$9)</f>
        <v>31.735900000000001</v>
      </c>
      <c r="K941" s="11">
        <f>31.7396 * CHOOSE(CONTROL!$C$32, $C$9, 100%, $E$9)</f>
        <v>31.739599999999999</v>
      </c>
      <c r="L941" s="11">
        <f>15.8856 * CHOOSE(CONTROL!$C$32, $C$9, 100%, $E$9)</f>
        <v>15.8856</v>
      </c>
      <c r="M941" s="11">
        <f>15.8892 * CHOOSE(CONTROL!$C$32, $C$9, 100%, $E$9)</f>
        <v>15.889200000000001</v>
      </c>
      <c r="N941" s="11">
        <f>15.8856 * CHOOSE(CONTROL!$C$32, $C$9, 100%, $E$9)</f>
        <v>15.8856</v>
      </c>
      <c r="O941" s="11">
        <f>15.8892 * CHOOSE(CONTROL!$C$32, $C$9, 100%, $E$9)</f>
        <v>15.889200000000001</v>
      </c>
    </row>
    <row r="942" spans="1:15" ht="15" x14ac:dyDescent="0.2">
      <c r="A942" s="13">
        <v>69519</v>
      </c>
      <c r="B942" s="9">
        <f>13.8794 * CHOOSE(CONTROL!$C$32, $C$9, 100%, $E$9)</f>
        <v>13.8794</v>
      </c>
      <c r="C942" s="9">
        <f>13.8794 * CHOOSE(CONTROL!$C$32, $C$9, 100%, $E$9)</f>
        <v>13.8794</v>
      </c>
      <c r="D942" s="9">
        <f>13.881 * CHOOSE(CONTROL!$C$32, $C$9, 100%, $E$9)</f>
        <v>13.881</v>
      </c>
      <c r="E942" s="11">
        <f>16.0223 * CHOOSE(CONTROL!$C$32, $C$9, 100%, $E$9)</f>
        <v>16.022300000000001</v>
      </c>
      <c r="F942" s="11">
        <f>16.0223 * CHOOSE(CONTROL!$C$32, $C$9, 100%, $E$9)</f>
        <v>16.022300000000001</v>
      </c>
      <c r="G942" s="11">
        <f>16.0276 * CHOOSE(CONTROL!$C$32, $C$9, 100%, $E$9)</f>
        <v>16.0276</v>
      </c>
      <c r="H942" s="11">
        <f>31.8021 * CHOOSE(CONTROL!$C$32, $C$9, 100%, $E$9)</f>
        <v>31.802099999999999</v>
      </c>
      <c r="I942" s="11">
        <f>31.8074 * CHOOSE(CONTROL!$C$32, $C$9, 100%, $E$9)</f>
        <v>31.807400000000001</v>
      </c>
      <c r="J942" s="11">
        <f>31.8021 * CHOOSE(CONTROL!$C$32, $C$9, 100%, $E$9)</f>
        <v>31.802099999999999</v>
      </c>
      <c r="K942" s="11">
        <f>31.8074 * CHOOSE(CONTROL!$C$32, $C$9, 100%, $E$9)</f>
        <v>31.807400000000001</v>
      </c>
      <c r="L942" s="11">
        <f>16.0223 * CHOOSE(CONTROL!$C$32, $C$9, 100%, $E$9)</f>
        <v>16.022300000000001</v>
      </c>
      <c r="M942" s="11">
        <f>16.0276 * CHOOSE(CONTROL!$C$32, $C$9, 100%, $E$9)</f>
        <v>16.0276</v>
      </c>
      <c r="N942" s="11">
        <f>16.0223 * CHOOSE(CONTROL!$C$32, $C$9, 100%, $E$9)</f>
        <v>16.022300000000001</v>
      </c>
      <c r="O942" s="11">
        <f>16.0276 * CHOOSE(CONTROL!$C$32, $C$9, 100%, $E$9)</f>
        <v>16.0276</v>
      </c>
    </row>
    <row r="943" spans="1:15" ht="15" x14ac:dyDescent="0.2">
      <c r="A943" s="13">
        <v>69550</v>
      </c>
      <c r="B943" s="9">
        <f>13.8855 * CHOOSE(CONTROL!$C$32, $C$9, 100%, $E$9)</f>
        <v>13.8855</v>
      </c>
      <c r="C943" s="9">
        <f>13.8855 * CHOOSE(CONTROL!$C$32, $C$9, 100%, $E$9)</f>
        <v>13.8855</v>
      </c>
      <c r="D943" s="9">
        <f>13.8871 * CHOOSE(CONTROL!$C$32, $C$9, 100%, $E$9)</f>
        <v>13.8871</v>
      </c>
      <c r="E943" s="11">
        <f>15.8898 * CHOOSE(CONTROL!$C$32, $C$9, 100%, $E$9)</f>
        <v>15.889799999999999</v>
      </c>
      <c r="F943" s="11">
        <f>15.8898 * CHOOSE(CONTROL!$C$32, $C$9, 100%, $E$9)</f>
        <v>15.889799999999999</v>
      </c>
      <c r="G943" s="11">
        <f>15.8951 * CHOOSE(CONTROL!$C$32, $C$9, 100%, $E$9)</f>
        <v>15.895099999999999</v>
      </c>
      <c r="H943" s="11">
        <f>31.8683 * CHOOSE(CONTROL!$C$32, $C$9, 100%, $E$9)</f>
        <v>31.868300000000001</v>
      </c>
      <c r="I943" s="11">
        <f>31.8736 * CHOOSE(CONTROL!$C$32, $C$9, 100%, $E$9)</f>
        <v>31.8736</v>
      </c>
      <c r="J943" s="11">
        <f>31.8683 * CHOOSE(CONTROL!$C$32, $C$9, 100%, $E$9)</f>
        <v>31.868300000000001</v>
      </c>
      <c r="K943" s="11">
        <f>31.8736 * CHOOSE(CONTROL!$C$32, $C$9, 100%, $E$9)</f>
        <v>31.8736</v>
      </c>
      <c r="L943" s="11">
        <f>15.8898 * CHOOSE(CONTROL!$C$32, $C$9, 100%, $E$9)</f>
        <v>15.889799999999999</v>
      </c>
      <c r="M943" s="11">
        <f>15.8951 * CHOOSE(CONTROL!$C$32, $C$9, 100%, $E$9)</f>
        <v>15.895099999999999</v>
      </c>
      <c r="N943" s="11">
        <f>15.8898 * CHOOSE(CONTROL!$C$32, $C$9, 100%, $E$9)</f>
        <v>15.889799999999999</v>
      </c>
      <c r="O943" s="11">
        <f>15.8951 * CHOOSE(CONTROL!$C$32, $C$9, 100%, $E$9)</f>
        <v>15.895099999999999</v>
      </c>
    </row>
    <row r="944" spans="1:15" ht="15" x14ac:dyDescent="0.2">
      <c r="A944" s="13">
        <v>69580</v>
      </c>
      <c r="B944" s="9">
        <f>14.0525 * CHOOSE(CONTROL!$C$32, $C$9, 100%, $E$9)</f>
        <v>14.0525</v>
      </c>
      <c r="C944" s="9">
        <f>14.0525 * CHOOSE(CONTROL!$C$32, $C$9, 100%, $E$9)</f>
        <v>14.0525</v>
      </c>
      <c r="D944" s="9">
        <f>14.054 * CHOOSE(CONTROL!$C$32, $C$9, 100%, $E$9)</f>
        <v>14.054</v>
      </c>
      <c r="E944" s="11">
        <f>16.1153 * CHOOSE(CONTROL!$C$32, $C$9, 100%, $E$9)</f>
        <v>16.115300000000001</v>
      </c>
      <c r="F944" s="11">
        <f>16.1153 * CHOOSE(CONTROL!$C$32, $C$9, 100%, $E$9)</f>
        <v>16.115300000000001</v>
      </c>
      <c r="G944" s="11">
        <f>16.1206 * CHOOSE(CONTROL!$C$32, $C$9, 100%, $E$9)</f>
        <v>16.1206</v>
      </c>
      <c r="H944" s="11">
        <f>31.9347 * CHOOSE(CONTROL!$C$32, $C$9, 100%, $E$9)</f>
        <v>31.934699999999999</v>
      </c>
      <c r="I944" s="11">
        <f>31.94 * CHOOSE(CONTROL!$C$32, $C$9, 100%, $E$9)</f>
        <v>31.94</v>
      </c>
      <c r="J944" s="11">
        <f>31.9347 * CHOOSE(CONTROL!$C$32, $C$9, 100%, $E$9)</f>
        <v>31.934699999999999</v>
      </c>
      <c r="K944" s="11">
        <f>31.94 * CHOOSE(CONTROL!$C$32, $C$9, 100%, $E$9)</f>
        <v>31.94</v>
      </c>
      <c r="L944" s="11">
        <f>16.1153 * CHOOSE(CONTROL!$C$32, $C$9, 100%, $E$9)</f>
        <v>16.115300000000001</v>
      </c>
      <c r="M944" s="11">
        <f>16.1206 * CHOOSE(CONTROL!$C$32, $C$9, 100%, $E$9)</f>
        <v>16.1206</v>
      </c>
      <c r="N944" s="11">
        <f>16.1153 * CHOOSE(CONTROL!$C$32, $C$9, 100%, $E$9)</f>
        <v>16.115300000000001</v>
      </c>
      <c r="O944" s="11">
        <f>16.1206 * CHOOSE(CONTROL!$C$32, $C$9, 100%, $E$9)</f>
        <v>16.1206</v>
      </c>
    </row>
    <row r="945" spans="1:15" ht="15" x14ac:dyDescent="0.2">
      <c r="A945" s="13">
        <v>69611</v>
      </c>
      <c r="B945" s="9">
        <f>14.0592 * CHOOSE(CONTROL!$C$32, $C$9, 100%, $E$9)</f>
        <v>14.059200000000001</v>
      </c>
      <c r="C945" s="9">
        <f>14.0592 * CHOOSE(CONTROL!$C$32, $C$9, 100%, $E$9)</f>
        <v>14.059200000000001</v>
      </c>
      <c r="D945" s="9">
        <f>14.0607 * CHOOSE(CONTROL!$C$32, $C$9, 100%, $E$9)</f>
        <v>14.060700000000001</v>
      </c>
      <c r="E945" s="11">
        <f>15.7098 * CHOOSE(CONTROL!$C$32, $C$9, 100%, $E$9)</f>
        <v>15.7098</v>
      </c>
      <c r="F945" s="11">
        <f>15.7098 * CHOOSE(CONTROL!$C$32, $C$9, 100%, $E$9)</f>
        <v>15.7098</v>
      </c>
      <c r="G945" s="11">
        <f>15.7151 * CHOOSE(CONTROL!$C$32, $C$9, 100%, $E$9)</f>
        <v>15.7151</v>
      </c>
      <c r="H945" s="11">
        <f>32.0012 * CHOOSE(CONTROL!$C$32, $C$9, 100%, $E$9)</f>
        <v>32.001199999999997</v>
      </c>
      <c r="I945" s="11">
        <f>32.0065 * CHOOSE(CONTROL!$C$32, $C$9, 100%, $E$9)</f>
        <v>32.006500000000003</v>
      </c>
      <c r="J945" s="11">
        <f>32.0012 * CHOOSE(CONTROL!$C$32, $C$9, 100%, $E$9)</f>
        <v>32.001199999999997</v>
      </c>
      <c r="K945" s="11">
        <f>32.0065 * CHOOSE(CONTROL!$C$32, $C$9, 100%, $E$9)</f>
        <v>32.006500000000003</v>
      </c>
      <c r="L945" s="11">
        <f>15.7098 * CHOOSE(CONTROL!$C$32, $C$9, 100%, $E$9)</f>
        <v>15.7098</v>
      </c>
      <c r="M945" s="11">
        <f>15.7151 * CHOOSE(CONTROL!$C$32, $C$9, 100%, $E$9)</f>
        <v>15.7151</v>
      </c>
      <c r="N945" s="11">
        <f>15.7098 * CHOOSE(CONTROL!$C$32, $C$9, 100%, $E$9)</f>
        <v>15.7098</v>
      </c>
      <c r="O945" s="11">
        <f>15.7151 * CHOOSE(CONTROL!$C$32, $C$9, 100%, $E$9)</f>
        <v>15.7151</v>
      </c>
    </row>
    <row r="946" spans="1:15" ht="15" x14ac:dyDescent="0.2">
      <c r="A946" s="13">
        <v>69642</v>
      </c>
      <c r="B946" s="9">
        <f>14.0561 * CHOOSE(CONTROL!$C$32, $C$9, 100%, $E$9)</f>
        <v>14.056100000000001</v>
      </c>
      <c r="C946" s="9">
        <f>14.0561 * CHOOSE(CONTROL!$C$32, $C$9, 100%, $E$9)</f>
        <v>14.056100000000001</v>
      </c>
      <c r="D946" s="9">
        <f>14.0577 * CHOOSE(CONTROL!$C$32, $C$9, 100%, $E$9)</f>
        <v>14.057700000000001</v>
      </c>
      <c r="E946" s="11">
        <f>15.6621 * CHOOSE(CONTROL!$C$32, $C$9, 100%, $E$9)</f>
        <v>15.662100000000001</v>
      </c>
      <c r="F946" s="11">
        <f>15.6621 * CHOOSE(CONTROL!$C$32, $C$9, 100%, $E$9)</f>
        <v>15.662100000000001</v>
      </c>
      <c r="G946" s="11">
        <f>15.6674 * CHOOSE(CONTROL!$C$32, $C$9, 100%, $E$9)</f>
        <v>15.667400000000001</v>
      </c>
      <c r="H946" s="11">
        <f>32.0679 * CHOOSE(CONTROL!$C$32, $C$9, 100%, $E$9)</f>
        <v>32.067900000000002</v>
      </c>
      <c r="I946" s="11">
        <f>32.0732 * CHOOSE(CONTROL!$C$32, $C$9, 100%, $E$9)</f>
        <v>32.0732</v>
      </c>
      <c r="J946" s="11">
        <f>32.0679 * CHOOSE(CONTROL!$C$32, $C$9, 100%, $E$9)</f>
        <v>32.067900000000002</v>
      </c>
      <c r="K946" s="11">
        <f>32.0732 * CHOOSE(CONTROL!$C$32, $C$9, 100%, $E$9)</f>
        <v>32.0732</v>
      </c>
      <c r="L946" s="11">
        <f>15.6621 * CHOOSE(CONTROL!$C$32, $C$9, 100%, $E$9)</f>
        <v>15.662100000000001</v>
      </c>
      <c r="M946" s="11">
        <f>15.6674 * CHOOSE(CONTROL!$C$32, $C$9, 100%, $E$9)</f>
        <v>15.667400000000001</v>
      </c>
      <c r="N946" s="11">
        <f>15.6621 * CHOOSE(CONTROL!$C$32, $C$9, 100%, $E$9)</f>
        <v>15.662100000000001</v>
      </c>
      <c r="O946" s="11">
        <f>15.6674 * CHOOSE(CONTROL!$C$32, $C$9, 100%, $E$9)</f>
        <v>15.667400000000001</v>
      </c>
    </row>
    <row r="947" spans="1:15" ht="15" x14ac:dyDescent="0.2">
      <c r="A947" s="13">
        <v>69672</v>
      </c>
      <c r="B947" s="9">
        <f>14.0888 * CHOOSE(CONTROL!$C$32, $C$9, 100%, $E$9)</f>
        <v>14.088800000000001</v>
      </c>
      <c r="C947" s="9">
        <f>14.0888 * CHOOSE(CONTROL!$C$32, $C$9, 100%, $E$9)</f>
        <v>14.088800000000001</v>
      </c>
      <c r="D947" s="9">
        <f>14.0899 * CHOOSE(CONTROL!$C$32, $C$9, 100%, $E$9)</f>
        <v>14.0899</v>
      </c>
      <c r="E947" s="11">
        <f>15.831 * CHOOSE(CONTROL!$C$32, $C$9, 100%, $E$9)</f>
        <v>15.831</v>
      </c>
      <c r="F947" s="11">
        <f>15.831 * CHOOSE(CONTROL!$C$32, $C$9, 100%, $E$9)</f>
        <v>15.831</v>
      </c>
      <c r="G947" s="11">
        <f>15.8346 * CHOOSE(CONTROL!$C$32, $C$9, 100%, $E$9)</f>
        <v>15.8346</v>
      </c>
      <c r="H947" s="11">
        <f>32.1347 * CHOOSE(CONTROL!$C$32, $C$9, 100%, $E$9)</f>
        <v>32.134700000000002</v>
      </c>
      <c r="I947" s="11">
        <f>32.1383 * CHOOSE(CONTROL!$C$32, $C$9, 100%, $E$9)</f>
        <v>32.138300000000001</v>
      </c>
      <c r="J947" s="11">
        <f>32.1347 * CHOOSE(CONTROL!$C$32, $C$9, 100%, $E$9)</f>
        <v>32.134700000000002</v>
      </c>
      <c r="K947" s="11">
        <f>32.1383 * CHOOSE(CONTROL!$C$32, $C$9, 100%, $E$9)</f>
        <v>32.138300000000001</v>
      </c>
      <c r="L947" s="11">
        <f>15.831 * CHOOSE(CONTROL!$C$32, $C$9, 100%, $E$9)</f>
        <v>15.831</v>
      </c>
      <c r="M947" s="11">
        <f>15.8346 * CHOOSE(CONTROL!$C$32, $C$9, 100%, $E$9)</f>
        <v>15.8346</v>
      </c>
      <c r="N947" s="11">
        <f>15.831 * CHOOSE(CONTROL!$C$32, $C$9, 100%, $E$9)</f>
        <v>15.831</v>
      </c>
      <c r="O947" s="11">
        <f>15.8346 * CHOOSE(CONTROL!$C$32, $C$9, 100%, $E$9)</f>
        <v>15.8346</v>
      </c>
    </row>
    <row r="948" spans="1:15" ht="15" x14ac:dyDescent="0.2">
      <c r="A948" s="13">
        <v>69703</v>
      </c>
      <c r="B948" s="9">
        <f>14.0918 * CHOOSE(CONTROL!$C$32, $C$9, 100%, $E$9)</f>
        <v>14.091799999999999</v>
      </c>
      <c r="C948" s="9">
        <f>14.0918 * CHOOSE(CONTROL!$C$32, $C$9, 100%, $E$9)</f>
        <v>14.091799999999999</v>
      </c>
      <c r="D948" s="9">
        <f>14.0929 * CHOOSE(CONTROL!$C$32, $C$9, 100%, $E$9)</f>
        <v>14.0929</v>
      </c>
      <c r="E948" s="11">
        <f>15.9243 * CHOOSE(CONTROL!$C$32, $C$9, 100%, $E$9)</f>
        <v>15.924300000000001</v>
      </c>
      <c r="F948" s="11">
        <f>15.9243 * CHOOSE(CONTROL!$C$32, $C$9, 100%, $E$9)</f>
        <v>15.924300000000001</v>
      </c>
      <c r="G948" s="11">
        <f>15.9279 * CHOOSE(CONTROL!$C$32, $C$9, 100%, $E$9)</f>
        <v>15.927899999999999</v>
      </c>
      <c r="H948" s="11">
        <f>32.2017 * CHOOSE(CONTROL!$C$32, $C$9, 100%, $E$9)</f>
        <v>32.201700000000002</v>
      </c>
      <c r="I948" s="11">
        <f>32.2053 * CHOOSE(CONTROL!$C$32, $C$9, 100%, $E$9)</f>
        <v>32.205300000000001</v>
      </c>
      <c r="J948" s="11">
        <f>32.2017 * CHOOSE(CONTROL!$C$32, $C$9, 100%, $E$9)</f>
        <v>32.201700000000002</v>
      </c>
      <c r="K948" s="11">
        <f>32.2053 * CHOOSE(CONTROL!$C$32, $C$9, 100%, $E$9)</f>
        <v>32.205300000000001</v>
      </c>
      <c r="L948" s="11">
        <f>15.9243 * CHOOSE(CONTROL!$C$32, $C$9, 100%, $E$9)</f>
        <v>15.924300000000001</v>
      </c>
      <c r="M948" s="11">
        <f>15.9279 * CHOOSE(CONTROL!$C$32, $C$9, 100%, $E$9)</f>
        <v>15.927899999999999</v>
      </c>
      <c r="N948" s="11">
        <f>15.9243 * CHOOSE(CONTROL!$C$32, $C$9, 100%, $E$9)</f>
        <v>15.924300000000001</v>
      </c>
      <c r="O948" s="11">
        <f>15.9279 * CHOOSE(CONTROL!$C$32, $C$9, 100%, $E$9)</f>
        <v>15.927899999999999</v>
      </c>
    </row>
    <row r="949" spans="1:15" ht="15" x14ac:dyDescent="0.2">
      <c r="A949" s="13">
        <v>69733</v>
      </c>
      <c r="B949" s="9">
        <f>14.0918 * CHOOSE(CONTROL!$C$32, $C$9, 100%, $E$9)</f>
        <v>14.091799999999999</v>
      </c>
      <c r="C949" s="9">
        <f>14.0918 * CHOOSE(CONTROL!$C$32, $C$9, 100%, $E$9)</f>
        <v>14.091799999999999</v>
      </c>
      <c r="D949" s="9">
        <f>14.0929 * CHOOSE(CONTROL!$C$32, $C$9, 100%, $E$9)</f>
        <v>14.0929</v>
      </c>
      <c r="E949" s="11">
        <f>15.6964 * CHOOSE(CONTROL!$C$32, $C$9, 100%, $E$9)</f>
        <v>15.696400000000001</v>
      </c>
      <c r="F949" s="11">
        <f>15.6964 * CHOOSE(CONTROL!$C$32, $C$9, 100%, $E$9)</f>
        <v>15.696400000000001</v>
      </c>
      <c r="G949" s="11">
        <f>15.7 * CHOOSE(CONTROL!$C$32, $C$9, 100%, $E$9)</f>
        <v>15.7</v>
      </c>
      <c r="H949" s="11">
        <f>32.2687 * CHOOSE(CONTROL!$C$32, $C$9, 100%, $E$9)</f>
        <v>32.268700000000003</v>
      </c>
      <c r="I949" s="11">
        <f>32.2724 * CHOOSE(CONTROL!$C$32, $C$9, 100%, $E$9)</f>
        <v>32.272399999999998</v>
      </c>
      <c r="J949" s="11">
        <f>32.2687 * CHOOSE(CONTROL!$C$32, $C$9, 100%, $E$9)</f>
        <v>32.268700000000003</v>
      </c>
      <c r="K949" s="11">
        <f>32.2724 * CHOOSE(CONTROL!$C$32, $C$9, 100%, $E$9)</f>
        <v>32.272399999999998</v>
      </c>
      <c r="L949" s="11">
        <f>15.6964 * CHOOSE(CONTROL!$C$32, $C$9, 100%, $E$9)</f>
        <v>15.696400000000001</v>
      </c>
      <c r="M949" s="11">
        <f>15.7 * CHOOSE(CONTROL!$C$32, $C$9, 100%, $E$9)</f>
        <v>15.7</v>
      </c>
      <c r="N949" s="11">
        <f>15.6964 * CHOOSE(CONTROL!$C$32, $C$9, 100%, $E$9)</f>
        <v>15.696400000000001</v>
      </c>
      <c r="O949" s="11">
        <f>15.7 * CHOOSE(CONTROL!$C$32, $C$9, 100%, $E$9)</f>
        <v>15.7</v>
      </c>
    </row>
    <row r="950" spans="1:15" ht="15" x14ac:dyDescent="0.2">
      <c r="A950" s="13">
        <v>69764</v>
      </c>
      <c r="B950" s="9">
        <f>14.0656 * CHOOSE(CONTROL!$C$32, $C$9, 100%, $E$9)</f>
        <v>14.0656</v>
      </c>
      <c r="C950" s="9">
        <f>14.0656 * CHOOSE(CONTROL!$C$32, $C$9, 100%, $E$9)</f>
        <v>14.0656</v>
      </c>
      <c r="D950" s="9">
        <f>14.0667 * CHOOSE(CONTROL!$C$32, $C$9, 100%, $E$9)</f>
        <v>14.066700000000001</v>
      </c>
      <c r="E950" s="11">
        <f>15.8331 * CHOOSE(CONTROL!$C$32, $C$9, 100%, $E$9)</f>
        <v>15.8331</v>
      </c>
      <c r="F950" s="11">
        <f>15.8331 * CHOOSE(CONTROL!$C$32, $C$9, 100%, $E$9)</f>
        <v>15.8331</v>
      </c>
      <c r="G950" s="11">
        <f>15.8367 * CHOOSE(CONTROL!$C$32, $C$9, 100%, $E$9)</f>
        <v>15.8367</v>
      </c>
      <c r="H950" s="11">
        <f>31.9919 * CHOOSE(CONTROL!$C$32, $C$9, 100%, $E$9)</f>
        <v>31.991900000000001</v>
      </c>
      <c r="I950" s="11">
        <f>31.9955 * CHOOSE(CONTROL!$C$32, $C$9, 100%, $E$9)</f>
        <v>31.9955</v>
      </c>
      <c r="J950" s="11">
        <f>31.9919 * CHOOSE(CONTROL!$C$32, $C$9, 100%, $E$9)</f>
        <v>31.991900000000001</v>
      </c>
      <c r="K950" s="11">
        <f>31.9955 * CHOOSE(CONTROL!$C$32, $C$9, 100%, $E$9)</f>
        <v>31.9955</v>
      </c>
      <c r="L950" s="11">
        <f>15.8331 * CHOOSE(CONTROL!$C$32, $C$9, 100%, $E$9)</f>
        <v>15.8331</v>
      </c>
      <c r="M950" s="11">
        <f>15.8367 * CHOOSE(CONTROL!$C$32, $C$9, 100%, $E$9)</f>
        <v>15.8367</v>
      </c>
      <c r="N950" s="11">
        <f>15.8331 * CHOOSE(CONTROL!$C$32, $C$9, 100%, $E$9)</f>
        <v>15.8331</v>
      </c>
      <c r="O950" s="11">
        <f>15.8367 * CHOOSE(CONTROL!$C$32, $C$9, 100%, $E$9)</f>
        <v>15.8367</v>
      </c>
    </row>
    <row r="951" spans="1:15" ht="15" x14ac:dyDescent="0.2">
      <c r="A951" s="13">
        <v>69795</v>
      </c>
      <c r="B951" s="9">
        <f>14.0626 * CHOOSE(CONTROL!$C$32, $C$9, 100%, $E$9)</f>
        <v>14.0626</v>
      </c>
      <c r="C951" s="9">
        <f>14.0626 * CHOOSE(CONTROL!$C$32, $C$9, 100%, $E$9)</f>
        <v>14.0626</v>
      </c>
      <c r="D951" s="9">
        <f>14.0636 * CHOOSE(CONTROL!$C$32, $C$9, 100%, $E$9)</f>
        <v>14.063599999999999</v>
      </c>
      <c r="E951" s="11">
        <f>15.3933 * CHOOSE(CONTROL!$C$32, $C$9, 100%, $E$9)</f>
        <v>15.3933</v>
      </c>
      <c r="F951" s="11">
        <f>15.3933 * CHOOSE(CONTROL!$C$32, $C$9, 100%, $E$9)</f>
        <v>15.3933</v>
      </c>
      <c r="G951" s="11">
        <f>15.3969 * CHOOSE(CONTROL!$C$32, $C$9, 100%, $E$9)</f>
        <v>15.3969</v>
      </c>
      <c r="H951" s="11">
        <f>32.0586 * CHOOSE(CONTROL!$C$32, $C$9, 100%, $E$9)</f>
        <v>32.058599999999998</v>
      </c>
      <c r="I951" s="11">
        <f>32.0622 * CHOOSE(CONTROL!$C$32, $C$9, 100%, $E$9)</f>
        <v>32.062199999999997</v>
      </c>
      <c r="J951" s="11">
        <f>32.0586 * CHOOSE(CONTROL!$C$32, $C$9, 100%, $E$9)</f>
        <v>32.058599999999998</v>
      </c>
      <c r="K951" s="11">
        <f>32.0622 * CHOOSE(CONTROL!$C$32, $C$9, 100%, $E$9)</f>
        <v>32.062199999999997</v>
      </c>
      <c r="L951" s="11">
        <f>15.3933 * CHOOSE(CONTROL!$C$32, $C$9, 100%, $E$9)</f>
        <v>15.3933</v>
      </c>
      <c r="M951" s="11">
        <f>15.3969 * CHOOSE(CONTROL!$C$32, $C$9, 100%, $E$9)</f>
        <v>15.3969</v>
      </c>
      <c r="N951" s="11">
        <f>15.3933 * CHOOSE(CONTROL!$C$32, $C$9, 100%, $E$9)</f>
        <v>15.3933</v>
      </c>
      <c r="O951" s="11">
        <f>15.3969 * CHOOSE(CONTROL!$C$32, $C$9, 100%, $E$9)</f>
        <v>15.3969</v>
      </c>
    </row>
    <row r="952" spans="1:15" ht="15" x14ac:dyDescent="0.2">
      <c r="A952" s="13">
        <v>69823</v>
      </c>
      <c r="B952" s="9">
        <f>14.0595 * CHOOSE(CONTROL!$C$32, $C$9, 100%, $E$9)</f>
        <v>14.0595</v>
      </c>
      <c r="C952" s="9">
        <f>14.0595 * CHOOSE(CONTROL!$C$32, $C$9, 100%, $E$9)</f>
        <v>14.0595</v>
      </c>
      <c r="D952" s="9">
        <f>14.0606 * CHOOSE(CONTROL!$C$32, $C$9, 100%, $E$9)</f>
        <v>14.060600000000001</v>
      </c>
      <c r="E952" s="11">
        <f>15.7362 * CHOOSE(CONTROL!$C$32, $C$9, 100%, $E$9)</f>
        <v>15.7362</v>
      </c>
      <c r="F952" s="11">
        <f>15.7362 * CHOOSE(CONTROL!$C$32, $C$9, 100%, $E$9)</f>
        <v>15.7362</v>
      </c>
      <c r="G952" s="11">
        <f>15.7398 * CHOOSE(CONTROL!$C$32, $C$9, 100%, $E$9)</f>
        <v>15.739800000000001</v>
      </c>
      <c r="H952" s="11">
        <f>32.1254 * CHOOSE(CONTROL!$C$32, $C$9, 100%, $E$9)</f>
        <v>32.125399999999999</v>
      </c>
      <c r="I952" s="11">
        <f>32.129 * CHOOSE(CONTROL!$C$32, $C$9, 100%, $E$9)</f>
        <v>32.128999999999998</v>
      </c>
      <c r="J952" s="11">
        <f>32.1254 * CHOOSE(CONTROL!$C$32, $C$9, 100%, $E$9)</f>
        <v>32.125399999999999</v>
      </c>
      <c r="K952" s="11">
        <f>32.129 * CHOOSE(CONTROL!$C$32, $C$9, 100%, $E$9)</f>
        <v>32.128999999999998</v>
      </c>
      <c r="L952" s="11">
        <f>15.7362 * CHOOSE(CONTROL!$C$32, $C$9, 100%, $E$9)</f>
        <v>15.7362</v>
      </c>
      <c r="M952" s="11">
        <f>15.7398 * CHOOSE(CONTROL!$C$32, $C$9, 100%, $E$9)</f>
        <v>15.739800000000001</v>
      </c>
      <c r="N952" s="11">
        <f>15.7362 * CHOOSE(CONTROL!$C$32, $C$9, 100%, $E$9)</f>
        <v>15.7362</v>
      </c>
      <c r="O952" s="11">
        <f>15.7398 * CHOOSE(CONTROL!$C$32, $C$9, 100%, $E$9)</f>
        <v>15.739800000000001</v>
      </c>
    </row>
    <row r="953" spans="1:15" ht="15" x14ac:dyDescent="0.2">
      <c r="A953" s="13">
        <v>69854</v>
      </c>
      <c r="B953" s="9">
        <f>14.0669 * CHOOSE(CONTROL!$C$32, $C$9, 100%, $E$9)</f>
        <v>14.0669</v>
      </c>
      <c r="C953" s="9">
        <f>14.0669 * CHOOSE(CONTROL!$C$32, $C$9, 100%, $E$9)</f>
        <v>14.0669</v>
      </c>
      <c r="D953" s="9">
        <f>14.068 * CHOOSE(CONTROL!$C$32, $C$9, 100%, $E$9)</f>
        <v>14.068</v>
      </c>
      <c r="E953" s="11">
        <f>16.1026 * CHOOSE(CONTROL!$C$32, $C$9, 100%, $E$9)</f>
        <v>16.102599999999999</v>
      </c>
      <c r="F953" s="11">
        <f>16.1026 * CHOOSE(CONTROL!$C$32, $C$9, 100%, $E$9)</f>
        <v>16.102599999999999</v>
      </c>
      <c r="G953" s="11">
        <f>16.1062 * CHOOSE(CONTROL!$C$32, $C$9, 100%, $E$9)</f>
        <v>16.106200000000001</v>
      </c>
      <c r="H953" s="11">
        <f>32.1923 * CHOOSE(CONTROL!$C$32, $C$9, 100%, $E$9)</f>
        <v>32.192300000000003</v>
      </c>
      <c r="I953" s="11">
        <f>32.1959 * CHOOSE(CONTROL!$C$32, $C$9, 100%, $E$9)</f>
        <v>32.195900000000002</v>
      </c>
      <c r="J953" s="11">
        <f>32.1923 * CHOOSE(CONTROL!$C$32, $C$9, 100%, $E$9)</f>
        <v>32.192300000000003</v>
      </c>
      <c r="K953" s="11">
        <f>32.1959 * CHOOSE(CONTROL!$C$32, $C$9, 100%, $E$9)</f>
        <v>32.195900000000002</v>
      </c>
      <c r="L953" s="11">
        <f>16.1026 * CHOOSE(CONTROL!$C$32, $C$9, 100%, $E$9)</f>
        <v>16.102599999999999</v>
      </c>
      <c r="M953" s="11">
        <f>16.1062 * CHOOSE(CONTROL!$C$32, $C$9, 100%, $E$9)</f>
        <v>16.106200000000001</v>
      </c>
      <c r="N953" s="11">
        <f>16.1026 * CHOOSE(CONTROL!$C$32, $C$9, 100%, $E$9)</f>
        <v>16.102599999999999</v>
      </c>
      <c r="O953" s="11">
        <f>16.1062 * CHOOSE(CONTROL!$C$32, $C$9, 100%, $E$9)</f>
        <v>16.106200000000001</v>
      </c>
    </row>
    <row r="954" spans="1:15" ht="15" x14ac:dyDescent="0.2">
      <c r="A954" s="13">
        <v>69884</v>
      </c>
      <c r="B954" s="9">
        <f>14.0669 * CHOOSE(CONTROL!$C$32, $C$9, 100%, $E$9)</f>
        <v>14.0669</v>
      </c>
      <c r="C954" s="9">
        <f>14.0669 * CHOOSE(CONTROL!$C$32, $C$9, 100%, $E$9)</f>
        <v>14.0669</v>
      </c>
      <c r="D954" s="9">
        <f>14.0685 * CHOOSE(CONTROL!$C$32, $C$9, 100%, $E$9)</f>
        <v>14.0685</v>
      </c>
      <c r="E954" s="11">
        <f>16.2415 * CHOOSE(CONTROL!$C$32, $C$9, 100%, $E$9)</f>
        <v>16.241499999999998</v>
      </c>
      <c r="F954" s="11">
        <f>16.2415 * CHOOSE(CONTROL!$C$32, $C$9, 100%, $E$9)</f>
        <v>16.241499999999998</v>
      </c>
      <c r="G954" s="11">
        <f>16.2468 * CHOOSE(CONTROL!$C$32, $C$9, 100%, $E$9)</f>
        <v>16.2468</v>
      </c>
      <c r="H954" s="11">
        <f>32.2594 * CHOOSE(CONTROL!$C$32, $C$9, 100%, $E$9)</f>
        <v>32.259399999999999</v>
      </c>
      <c r="I954" s="11">
        <f>32.2646 * CHOOSE(CONTROL!$C$32, $C$9, 100%, $E$9)</f>
        <v>32.264600000000002</v>
      </c>
      <c r="J954" s="11">
        <f>32.2594 * CHOOSE(CONTROL!$C$32, $C$9, 100%, $E$9)</f>
        <v>32.259399999999999</v>
      </c>
      <c r="K954" s="11">
        <f>32.2646 * CHOOSE(CONTROL!$C$32, $C$9, 100%, $E$9)</f>
        <v>32.264600000000002</v>
      </c>
      <c r="L954" s="11">
        <f>16.2415 * CHOOSE(CONTROL!$C$32, $C$9, 100%, $E$9)</f>
        <v>16.241499999999998</v>
      </c>
      <c r="M954" s="11">
        <f>16.2468 * CHOOSE(CONTROL!$C$32, $C$9, 100%, $E$9)</f>
        <v>16.2468</v>
      </c>
      <c r="N954" s="11">
        <f>16.2415 * CHOOSE(CONTROL!$C$32, $C$9, 100%, $E$9)</f>
        <v>16.241499999999998</v>
      </c>
      <c r="O954" s="11">
        <f>16.2468 * CHOOSE(CONTROL!$C$32, $C$9, 100%, $E$9)</f>
        <v>16.2468</v>
      </c>
    </row>
    <row r="955" spans="1:15" ht="15" x14ac:dyDescent="0.2">
      <c r="A955" s="13">
        <v>69915</v>
      </c>
      <c r="B955" s="9">
        <f>14.073 * CHOOSE(CONTROL!$C$32, $C$9, 100%, $E$9)</f>
        <v>14.073</v>
      </c>
      <c r="C955" s="9">
        <f>14.073 * CHOOSE(CONTROL!$C$32, $C$9, 100%, $E$9)</f>
        <v>14.073</v>
      </c>
      <c r="D955" s="9">
        <f>14.0746 * CHOOSE(CONTROL!$C$32, $C$9, 100%, $E$9)</f>
        <v>14.0746</v>
      </c>
      <c r="E955" s="11">
        <f>16.1068 * CHOOSE(CONTROL!$C$32, $C$9, 100%, $E$9)</f>
        <v>16.1068</v>
      </c>
      <c r="F955" s="11">
        <f>16.1068 * CHOOSE(CONTROL!$C$32, $C$9, 100%, $E$9)</f>
        <v>16.1068</v>
      </c>
      <c r="G955" s="11">
        <f>16.1121 * CHOOSE(CONTROL!$C$32, $C$9, 100%, $E$9)</f>
        <v>16.112100000000002</v>
      </c>
      <c r="H955" s="11">
        <f>32.3266 * CHOOSE(CONTROL!$C$32, $C$9, 100%, $E$9)</f>
        <v>32.326599999999999</v>
      </c>
      <c r="I955" s="11">
        <f>32.3319 * CHOOSE(CONTROL!$C$32, $C$9, 100%, $E$9)</f>
        <v>32.331899999999997</v>
      </c>
      <c r="J955" s="11">
        <f>32.3266 * CHOOSE(CONTROL!$C$32, $C$9, 100%, $E$9)</f>
        <v>32.326599999999999</v>
      </c>
      <c r="K955" s="11">
        <f>32.3319 * CHOOSE(CONTROL!$C$32, $C$9, 100%, $E$9)</f>
        <v>32.331899999999997</v>
      </c>
      <c r="L955" s="11">
        <f>16.1068 * CHOOSE(CONTROL!$C$32, $C$9, 100%, $E$9)</f>
        <v>16.1068</v>
      </c>
      <c r="M955" s="11">
        <f>16.1121 * CHOOSE(CONTROL!$C$32, $C$9, 100%, $E$9)</f>
        <v>16.112100000000002</v>
      </c>
      <c r="N955" s="11">
        <f>16.1068 * CHOOSE(CONTROL!$C$32, $C$9, 100%, $E$9)</f>
        <v>16.1068</v>
      </c>
      <c r="O955" s="11">
        <f>16.1121 * CHOOSE(CONTROL!$C$32, $C$9, 100%, $E$9)</f>
        <v>16.112100000000002</v>
      </c>
    </row>
    <row r="956" spans="1:15" ht="15" x14ac:dyDescent="0.2">
      <c r="A956" s="13">
        <v>69945</v>
      </c>
      <c r="B956" s="9">
        <f>14.2421 * CHOOSE(CONTROL!$C$32, $C$9, 100%, $E$9)</f>
        <v>14.242100000000001</v>
      </c>
      <c r="C956" s="9">
        <f>14.2421 * CHOOSE(CONTROL!$C$32, $C$9, 100%, $E$9)</f>
        <v>14.242100000000001</v>
      </c>
      <c r="D956" s="9">
        <f>14.2436 * CHOOSE(CONTROL!$C$32, $C$9, 100%, $E$9)</f>
        <v>14.243600000000001</v>
      </c>
      <c r="E956" s="11">
        <f>16.3355 * CHOOSE(CONTROL!$C$32, $C$9, 100%, $E$9)</f>
        <v>16.3355</v>
      </c>
      <c r="F956" s="11">
        <f>16.3355 * CHOOSE(CONTROL!$C$32, $C$9, 100%, $E$9)</f>
        <v>16.3355</v>
      </c>
      <c r="G956" s="11">
        <f>16.3408 * CHOOSE(CONTROL!$C$32, $C$9, 100%, $E$9)</f>
        <v>16.340800000000002</v>
      </c>
      <c r="H956" s="11">
        <f>32.3939 * CHOOSE(CONTROL!$C$32, $C$9, 100%, $E$9)</f>
        <v>32.393900000000002</v>
      </c>
      <c r="I956" s="11">
        <f>32.3992 * CHOOSE(CONTROL!$C$32, $C$9, 100%, $E$9)</f>
        <v>32.3992</v>
      </c>
      <c r="J956" s="11">
        <f>32.3939 * CHOOSE(CONTROL!$C$32, $C$9, 100%, $E$9)</f>
        <v>32.393900000000002</v>
      </c>
      <c r="K956" s="11">
        <f>32.3992 * CHOOSE(CONTROL!$C$32, $C$9, 100%, $E$9)</f>
        <v>32.3992</v>
      </c>
      <c r="L956" s="11">
        <f>16.3355 * CHOOSE(CONTROL!$C$32, $C$9, 100%, $E$9)</f>
        <v>16.3355</v>
      </c>
      <c r="M956" s="11">
        <f>16.3408 * CHOOSE(CONTROL!$C$32, $C$9, 100%, $E$9)</f>
        <v>16.340800000000002</v>
      </c>
      <c r="N956" s="11">
        <f>16.3355 * CHOOSE(CONTROL!$C$32, $C$9, 100%, $E$9)</f>
        <v>16.3355</v>
      </c>
      <c r="O956" s="11">
        <f>16.3408 * CHOOSE(CONTROL!$C$32, $C$9, 100%, $E$9)</f>
        <v>16.340800000000002</v>
      </c>
    </row>
    <row r="957" spans="1:15" ht="15" x14ac:dyDescent="0.2">
      <c r="A957" s="13">
        <v>69976</v>
      </c>
      <c r="B957" s="9">
        <f>14.2488 * CHOOSE(CONTROL!$C$32, $C$9, 100%, $E$9)</f>
        <v>14.248799999999999</v>
      </c>
      <c r="C957" s="9">
        <f>14.2488 * CHOOSE(CONTROL!$C$32, $C$9, 100%, $E$9)</f>
        <v>14.248799999999999</v>
      </c>
      <c r="D957" s="9">
        <f>14.2503 * CHOOSE(CONTROL!$C$32, $C$9, 100%, $E$9)</f>
        <v>14.250299999999999</v>
      </c>
      <c r="E957" s="11">
        <f>15.9232 * CHOOSE(CONTROL!$C$32, $C$9, 100%, $E$9)</f>
        <v>15.9232</v>
      </c>
      <c r="F957" s="11">
        <f>15.9232 * CHOOSE(CONTROL!$C$32, $C$9, 100%, $E$9)</f>
        <v>15.9232</v>
      </c>
      <c r="G957" s="11">
        <f>15.9285 * CHOOSE(CONTROL!$C$32, $C$9, 100%, $E$9)</f>
        <v>15.9285</v>
      </c>
      <c r="H957" s="11">
        <f>32.4614 * CHOOSE(CONTROL!$C$32, $C$9, 100%, $E$9)</f>
        <v>32.461399999999998</v>
      </c>
      <c r="I957" s="11">
        <f>32.4667 * CHOOSE(CONTROL!$C$32, $C$9, 100%, $E$9)</f>
        <v>32.466700000000003</v>
      </c>
      <c r="J957" s="11">
        <f>32.4614 * CHOOSE(CONTROL!$C$32, $C$9, 100%, $E$9)</f>
        <v>32.461399999999998</v>
      </c>
      <c r="K957" s="11">
        <f>32.4667 * CHOOSE(CONTROL!$C$32, $C$9, 100%, $E$9)</f>
        <v>32.466700000000003</v>
      </c>
      <c r="L957" s="11">
        <f>15.9232 * CHOOSE(CONTROL!$C$32, $C$9, 100%, $E$9)</f>
        <v>15.9232</v>
      </c>
      <c r="M957" s="11">
        <f>15.9285 * CHOOSE(CONTROL!$C$32, $C$9, 100%, $E$9)</f>
        <v>15.9285</v>
      </c>
      <c r="N957" s="11">
        <f>15.9232 * CHOOSE(CONTROL!$C$32, $C$9, 100%, $E$9)</f>
        <v>15.9232</v>
      </c>
      <c r="O957" s="11">
        <f>15.9285 * CHOOSE(CONTROL!$C$32, $C$9, 100%, $E$9)</f>
        <v>15.9285</v>
      </c>
    </row>
    <row r="958" spans="1:15" ht="15" x14ac:dyDescent="0.2">
      <c r="A958" s="13">
        <v>70007</v>
      </c>
      <c r="B958" s="9">
        <f>14.2457 * CHOOSE(CONTROL!$C$32, $C$9, 100%, $E$9)</f>
        <v>14.245699999999999</v>
      </c>
      <c r="C958" s="9">
        <f>14.2457 * CHOOSE(CONTROL!$C$32, $C$9, 100%, $E$9)</f>
        <v>14.245699999999999</v>
      </c>
      <c r="D958" s="9">
        <f>14.2473 * CHOOSE(CONTROL!$C$32, $C$9, 100%, $E$9)</f>
        <v>14.247299999999999</v>
      </c>
      <c r="E958" s="11">
        <f>15.8748 * CHOOSE(CONTROL!$C$32, $C$9, 100%, $E$9)</f>
        <v>15.8748</v>
      </c>
      <c r="F958" s="11">
        <f>15.8748 * CHOOSE(CONTROL!$C$32, $C$9, 100%, $E$9)</f>
        <v>15.8748</v>
      </c>
      <c r="G958" s="11">
        <f>15.8801 * CHOOSE(CONTROL!$C$32, $C$9, 100%, $E$9)</f>
        <v>15.880100000000001</v>
      </c>
      <c r="H958" s="11">
        <f>32.529 * CHOOSE(CONTROL!$C$32, $C$9, 100%, $E$9)</f>
        <v>32.529000000000003</v>
      </c>
      <c r="I958" s="11">
        <f>32.5343 * CHOOSE(CONTROL!$C$32, $C$9, 100%, $E$9)</f>
        <v>32.534300000000002</v>
      </c>
      <c r="J958" s="11">
        <f>32.529 * CHOOSE(CONTROL!$C$32, $C$9, 100%, $E$9)</f>
        <v>32.529000000000003</v>
      </c>
      <c r="K958" s="11">
        <f>32.5343 * CHOOSE(CONTROL!$C$32, $C$9, 100%, $E$9)</f>
        <v>32.534300000000002</v>
      </c>
      <c r="L958" s="11">
        <f>15.8748 * CHOOSE(CONTROL!$C$32, $C$9, 100%, $E$9)</f>
        <v>15.8748</v>
      </c>
      <c r="M958" s="11">
        <f>15.8801 * CHOOSE(CONTROL!$C$32, $C$9, 100%, $E$9)</f>
        <v>15.880100000000001</v>
      </c>
      <c r="N958" s="11">
        <f>15.8748 * CHOOSE(CONTROL!$C$32, $C$9, 100%, $E$9)</f>
        <v>15.8748</v>
      </c>
      <c r="O958" s="11">
        <f>15.8801 * CHOOSE(CONTROL!$C$32, $C$9, 100%, $E$9)</f>
        <v>15.880100000000001</v>
      </c>
    </row>
    <row r="959" spans="1:15" ht="15" x14ac:dyDescent="0.2">
      <c r="A959" s="13">
        <v>70037</v>
      </c>
      <c r="B959" s="9">
        <f>14.2791 * CHOOSE(CONTROL!$C$32, $C$9, 100%, $E$9)</f>
        <v>14.2791</v>
      </c>
      <c r="C959" s="9">
        <f>14.2791 * CHOOSE(CONTROL!$C$32, $C$9, 100%, $E$9)</f>
        <v>14.2791</v>
      </c>
      <c r="D959" s="9">
        <f>14.2802 * CHOOSE(CONTROL!$C$32, $C$9, 100%, $E$9)</f>
        <v>14.280200000000001</v>
      </c>
      <c r="E959" s="11">
        <f>16.0467 * CHOOSE(CONTROL!$C$32, $C$9, 100%, $E$9)</f>
        <v>16.046700000000001</v>
      </c>
      <c r="F959" s="11">
        <f>16.0467 * CHOOSE(CONTROL!$C$32, $C$9, 100%, $E$9)</f>
        <v>16.046700000000001</v>
      </c>
      <c r="G959" s="11">
        <f>16.0503 * CHOOSE(CONTROL!$C$32, $C$9, 100%, $E$9)</f>
        <v>16.0503</v>
      </c>
      <c r="H959" s="11">
        <f>32.5968 * CHOOSE(CONTROL!$C$32, $C$9, 100%, $E$9)</f>
        <v>32.596800000000002</v>
      </c>
      <c r="I959" s="11">
        <f>32.6004 * CHOOSE(CONTROL!$C$32, $C$9, 100%, $E$9)</f>
        <v>32.6004</v>
      </c>
      <c r="J959" s="11">
        <f>32.5968 * CHOOSE(CONTROL!$C$32, $C$9, 100%, $E$9)</f>
        <v>32.596800000000002</v>
      </c>
      <c r="K959" s="11">
        <f>32.6004 * CHOOSE(CONTROL!$C$32, $C$9, 100%, $E$9)</f>
        <v>32.6004</v>
      </c>
      <c r="L959" s="11">
        <f>16.0467 * CHOOSE(CONTROL!$C$32, $C$9, 100%, $E$9)</f>
        <v>16.046700000000001</v>
      </c>
      <c r="M959" s="11">
        <f>16.0503 * CHOOSE(CONTROL!$C$32, $C$9, 100%, $E$9)</f>
        <v>16.0503</v>
      </c>
      <c r="N959" s="11">
        <f>16.0467 * CHOOSE(CONTROL!$C$32, $C$9, 100%, $E$9)</f>
        <v>16.046700000000001</v>
      </c>
      <c r="O959" s="11">
        <f>16.0503 * CHOOSE(CONTROL!$C$32, $C$9, 100%, $E$9)</f>
        <v>16.0503</v>
      </c>
    </row>
    <row r="960" spans="1:15" ht="15" x14ac:dyDescent="0.2">
      <c r="A960" s="13">
        <v>70068</v>
      </c>
      <c r="B960" s="9">
        <f>14.2821 * CHOOSE(CONTROL!$C$32, $C$9, 100%, $E$9)</f>
        <v>14.2821</v>
      </c>
      <c r="C960" s="9">
        <f>14.2821 * CHOOSE(CONTROL!$C$32, $C$9, 100%, $E$9)</f>
        <v>14.2821</v>
      </c>
      <c r="D960" s="9">
        <f>14.2832 * CHOOSE(CONTROL!$C$32, $C$9, 100%, $E$9)</f>
        <v>14.283200000000001</v>
      </c>
      <c r="E960" s="11">
        <f>16.1414 * CHOOSE(CONTROL!$C$32, $C$9, 100%, $E$9)</f>
        <v>16.141400000000001</v>
      </c>
      <c r="F960" s="11">
        <f>16.1414 * CHOOSE(CONTROL!$C$32, $C$9, 100%, $E$9)</f>
        <v>16.141400000000001</v>
      </c>
      <c r="G960" s="11">
        <f>16.1451 * CHOOSE(CONTROL!$C$32, $C$9, 100%, $E$9)</f>
        <v>16.145099999999999</v>
      </c>
      <c r="H960" s="11">
        <f>32.6647 * CHOOSE(CONTROL!$C$32, $C$9, 100%, $E$9)</f>
        <v>32.664700000000003</v>
      </c>
      <c r="I960" s="11">
        <f>32.6683 * CHOOSE(CONTROL!$C$32, $C$9, 100%, $E$9)</f>
        <v>32.668300000000002</v>
      </c>
      <c r="J960" s="11">
        <f>32.6647 * CHOOSE(CONTROL!$C$32, $C$9, 100%, $E$9)</f>
        <v>32.664700000000003</v>
      </c>
      <c r="K960" s="11">
        <f>32.6683 * CHOOSE(CONTROL!$C$32, $C$9, 100%, $E$9)</f>
        <v>32.668300000000002</v>
      </c>
      <c r="L960" s="11">
        <f>16.1414 * CHOOSE(CONTROL!$C$32, $C$9, 100%, $E$9)</f>
        <v>16.141400000000001</v>
      </c>
      <c r="M960" s="11">
        <f>16.1451 * CHOOSE(CONTROL!$C$32, $C$9, 100%, $E$9)</f>
        <v>16.145099999999999</v>
      </c>
      <c r="N960" s="11">
        <f>16.1414 * CHOOSE(CONTROL!$C$32, $C$9, 100%, $E$9)</f>
        <v>16.141400000000001</v>
      </c>
      <c r="O960" s="11">
        <f>16.1451 * CHOOSE(CONTROL!$C$32, $C$9, 100%, $E$9)</f>
        <v>16.145099999999999</v>
      </c>
    </row>
    <row r="961" spans="1:15" ht="15" x14ac:dyDescent="0.2">
      <c r="A961" s="13">
        <v>70098</v>
      </c>
      <c r="B961" s="9">
        <f>14.2821 * CHOOSE(CONTROL!$C$32, $C$9, 100%, $E$9)</f>
        <v>14.2821</v>
      </c>
      <c r="C961" s="9">
        <f>14.2821 * CHOOSE(CONTROL!$C$32, $C$9, 100%, $E$9)</f>
        <v>14.2821</v>
      </c>
      <c r="D961" s="9">
        <f>14.2832 * CHOOSE(CONTROL!$C$32, $C$9, 100%, $E$9)</f>
        <v>14.283200000000001</v>
      </c>
      <c r="E961" s="11">
        <f>15.9098 * CHOOSE(CONTROL!$C$32, $C$9, 100%, $E$9)</f>
        <v>15.909800000000001</v>
      </c>
      <c r="F961" s="11">
        <f>15.9098 * CHOOSE(CONTROL!$C$32, $C$9, 100%, $E$9)</f>
        <v>15.909800000000001</v>
      </c>
      <c r="G961" s="11">
        <f>15.9134 * CHOOSE(CONTROL!$C$32, $C$9, 100%, $E$9)</f>
        <v>15.913399999999999</v>
      </c>
      <c r="H961" s="11">
        <f>32.7328 * CHOOSE(CONTROL!$C$32, $C$9, 100%, $E$9)</f>
        <v>32.732799999999997</v>
      </c>
      <c r="I961" s="11">
        <f>32.7364 * CHOOSE(CONTROL!$C$32, $C$9, 100%, $E$9)</f>
        <v>32.736400000000003</v>
      </c>
      <c r="J961" s="11">
        <f>32.7328 * CHOOSE(CONTROL!$C$32, $C$9, 100%, $E$9)</f>
        <v>32.732799999999997</v>
      </c>
      <c r="K961" s="11">
        <f>32.7364 * CHOOSE(CONTROL!$C$32, $C$9, 100%, $E$9)</f>
        <v>32.736400000000003</v>
      </c>
      <c r="L961" s="11">
        <f>15.9098 * CHOOSE(CONTROL!$C$32, $C$9, 100%, $E$9)</f>
        <v>15.909800000000001</v>
      </c>
      <c r="M961" s="11">
        <f>15.9134 * CHOOSE(CONTROL!$C$32, $C$9, 100%, $E$9)</f>
        <v>15.913399999999999</v>
      </c>
      <c r="N961" s="11">
        <f>15.9098 * CHOOSE(CONTROL!$C$32, $C$9, 100%, $E$9)</f>
        <v>15.909800000000001</v>
      </c>
      <c r="O961" s="11">
        <f>15.9134 * CHOOSE(CONTROL!$C$32, $C$9, 100%, $E$9)</f>
        <v>15.913399999999999</v>
      </c>
    </row>
    <row r="962" spans="1:15" ht="15" x14ac:dyDescent="0.2">
      <c r="A962" s="13">
        <v>70129</v>
      </c>
      <c r="B962" s="9">
        <f>14.253 * CHOOSE(CONTROL!$C$32, $C$9, 100%, $E$9)</f>
        <v>14.253</v>
      </c>
      <c r="C962" s="9">
        <f>14.253 * CHOOSE(CONTROL!$C$32, $C$9, 100%, $E$9)</f>
        <v>14.253</v>
      </c>
      <c r="D962" s="9">
        <f>14.254 * CHOOSE(CONTROL!$C$32, $C$9, 100%, $E$9)</f>
        <v>14.254</v>
      </c>
      <c r="E962" s="11">
        <f>16.0456 * CHOOSE(CONTROL!$C$32, $C$9, 100%, $E$9)</f>
        <v>16.0456</v>
      </c>
      <c r="F962" s="11">
        <f>16.0456 * CHOOSE(CONTROL!$C$32, $C$9, 100%, $E$9)</f>
        <v>16.0456</v>
      </c>
      <c r="G962" s="11">
        <f>16.0492 * CHOOSE(CONTROL!$C$32, $C$9, 100%, $E$9)</f>
        <v>16.049199999999999</v>
      </c>
      <c r="H962" s="11">
        <f>32.4454 * CHOOSE(CONTROL!$C$32, $C$9, 100%, $E$9)</f>
        <v>32.445399999999999</v>
      </c>
      <c r="I962" s="11">
        <f>32.449 * CHOOSE(CONTROL!$C$32, $C$9, 100%, $E$9)</f>
        <v>32.448999999999998</v>
      </c>
      <c r="J962" s="11">
        <f>32.4454 * CHOOSE(CONTROL!$C$32, $C$9, 100%, $E$9)</f>
        <v>32.445399999999999</v>
      </c>
      <c r="K962" s="11">
        <f>32.449 * CHOOSE(CONTROL!$C$32, $C$9, 100%, $E$9)</f>
        <v>32.448999999999998</v>
      </c>
      <c r="L962" s="11">
        <f>16.0456 * CHOOSE(CONTROL!$C$32, $C$9, 100%, $E$9)</f>
        <v>16.0456</v>
      </c>
      <c r="M962" s="11">
        <f>16.0492 * CHOOSE(CONTROL!$C$32, $C$9, 100%, $E$9)</f>
        <v>16.049199999999999</v>
      </c>
      <c r="N962" s="11">
        <f>16.0456 * CHOOSE(CONTROL!$C$32, $C$9, 100%, $E$9)</f>
        <v>16.0456</v>
      </c>
      <c r="O962" s="11">
        <f>16.0492 * CHOOSE(CONTROL!$C$32, $C$9, 100%, $E$9)</f>
        <v>16.049199999999999</v>
      </c>
    </row>
    <row r="963" spans="1:15" ht="15" x14ac:dyDescent="0.2">
      <c r="A963" s="13">
        <v>70160</v>
      </c>
      <c r="B963" s="9">
        <f>14.2499 * CHOOSE(CONTROL!$C$32, $C$9, 100%, $E$9)</f>
        <v>14.2499</v>
      </c>
      <c r="C963" s="9">
        <f>14.2499 * CHOOSE(CONTROL!$C$32, $C$9, 100%, $E$9)</f>
        <v>14.2499</v>
      </c>
      <c r="D963" s="9">
        <f>14.251 * CHOOSE(CONTROL!$C$32, $C$9, 100%, $E$9)</f>
        <v>14.250999999999999</v>
      </c>
      <c r="E963" s="11">
        <f>15.5987 * CHOOSE(CONTROL!$C$32, $C$9, 100%, $E$9)</f>
        <v>15.598699999999999</v>
      </c>
      <c r="F963" s="11">
        <f>15.5987 * CHOOSE(CONTROL!$C$32, $C$9, 100%, $E$9)</f>
        <v>15.598699999999999</v>
      </c>
      <c r="G963" s="11">
        <f>15.6023 * CHOOSE(CONTROL!$C$32, $C$9, 100%, $E$9)</f>
        <v>15.6023</v>
      </c>
      <c r="H963" s="11">
        <f>32.513 * CHOOSE(CONTROL!$C$32, $C$9, 100%, $E$9)</f>
        <v>32.512999999999998</v>
      </c>
      <c r="I963" s="11">
        <f>32.5166 * CHOOSE(CONTROL!$C$32, $C$9, 100%, $E$9)</f>
        <v>32.516599999999997</v>
      </c>
      <c r="J963" s="11">
        <f>32.513 * CHOOSE(CONTROL!$C$32, $C$9, 100%, $E$9)</f>
        <v>32.512999999999998</v>
      </c>
      <c r="K963" s="11">
        <f>32.5166 * CHOOSE(CONTROL!$C$32, $C$9, 100%, $E$9)</f>
        <v>32.516599999999997</v>
      </c>
      <c r="L963" s="11">
        <f>15.5987 * CHOOSE(CONTROL!$C$32, $C$9, 100%, $E$9)</f>
        <v>15.598699999999999</v>
      </c>
      <c r="M963" s="11">
        <f>15.6023 * CHOOSE(CONTROL!$C$32, $C$9, 100%, $E$9)</f>
        <v>15.6023</v>
      </c>
      <c r="N963" s="11">
        <f>15.5987 * CHOOSE(CONTROL!$C$32, $C$9, 100%, $E$9)</f>
        <v>15.598699999999999</v>
      </c>
      <c r="O963" s="11">
        <f>15.6023 * CHOOSE(CONTROL!$C$32, $C$9, 100%, $E$9)</f>
        <v>15.6023</v>
      </c>
    </row>
    <row r="964" spans="1:15" ht="15" x14ac:dyDescent="0.2">
      <c r="A964" s="13">
        <v>70189</v>
      </c>
      <c r="B964" s="9">
        <f>14.2469 * CHOOSE(CONTROL!$C$32, $C$9, 100%, $E$9)</f>
        <v>14.2469</v>
      </c>
      <c r="C964" s="9">
        <f>14.2469 * CHOOSE(CONTROL!$C$32, $C$9, 100%, $E$9)</f>
        <v>14.2469</v>
      </c>
      <c r="D964" s="9">
        <f>14.2479 * CHOOSE(CONTROL!$C$32, $C$9, 100%, $E$9)</f>
        <v>14.2479</v>
      </c>
      <c r="E964" s="11">
        <f>15.9472 * CHOOSE(CONTROL!$C$32, $C$9, 100%, $E$9)</f>
        <v>15.9472</v>
      </c>
      <c r="F964" s="11">
        <f>15.9472 * CHOOSE(CONTROL!$C$32, $C$9, 100%, $E$9)</f>
        <v>15.9472</v>
      </c>
      <c r="G964" s="11">
        <f>15.9508 * CHOOSE(CONTROL!$C$32, $C$9, 100%, $E$9)</f>
        <v>15.950799999999999</v>
      </c>
      <c r="H964" s="11">
        <f>32.5808 * CHOOSE(CONTROL!$C$32, $C$9, 100%, $E$9)</f>
        <v>32.580800000000004</v>
      </c>
      <c r="I964" s="11">
        <f>32.5844 * CHOOSE(CONTROL!$C$32, $C$9, 100%, $E$9)</f>
        <v>32.584400000000002</v>
      </c>
      <c r="J964" s="11">
        <f>32.5808 * CHOOSE(CONTROL!$C$32, $C$9, 100%, $E$9)</f>
        <v>32.580800000000004</v>
      </c>
      <c r="K964" s="11">
        <f>32.5844 * CHOOSE(CONTROL!$C$32, $C$9, 100%, $E$9)</f>
        <v>32.584400000000002</v>
      </c>
      <c r="L964" s="11">
        <f>15.9472 * CHOOSE(CONTROL!$C$32, $C$9, 100%, $E$9)</f>
        <v>15.9472</v>
      </c>
      <c r="M964" s="11">
        <f>15.9508 * CHOOSE(CONTROL!$C$32, $C$9, 100%, $E$9)</f>
        <v>15.950799999999999</v>
      </c>
      <c r="N964" s="11">
        <f>15.9472 * CHOOSE(CONTROL!$C$32, $C$9, 100%, $E$9)</f>
        <v>15.9472</v>
      </c>
      <c r="O964" s="11">
        <f>15.9508 * CHOOSE(CONTROL!$C$32, $C$9, 100%, $E$9)</f>
        <v>15.950799999999999</v>
      </c>
    </row>
    <row r="965" spans="1:15" ht="15" x14ac:dyDescent="0.2">
      <c r="A965" s="13">
        <v>70220</v>
      </c>
      <c r="B965" s="9">
        <f>14.2545 * CHOOSE(CONTROL!$C$32, $C$9, 100%, $E$9)</f>
        <v>14.2545</v>
      </c>
      <c r="C965" s="9">
        <f>14.2545 * CHOOSE(CONTROL!$C$32, $C$9, 100%, $E$9)</f>
        <v>14.2545</v>
      </c>
      <c r="D965" s="9">
        <f>14.2555 * CHOOSE(CONTROL!$C$32, $C$9, 100%, $E$9)</f>
        <v>14.2555</v>
      </c>
      <c r="E965" s="11">
        <f>16.3196 * CHOOSE(CONTROL!$C$32, $C$9, 100%, $E$9)</f>
        <v>16.319600000000001</v>
      </c>
      <c r="F965" s="11">
        <f>16.3196 * CHOOSE(CONTROL!$C$32, $C$9, 100%, $E$9)</f>
        <v>16.319600000000001</v>
      </c>
      <c r="G965" s="11">
        <f>16.3232 * CHOOSE(CONTROL!$C$32, $C$9, 100%, $E$9)</f>
        <v>16.3232</v>
      </c>
      <c r="H965" s="11">
        <f>32.6486 * CHOOSE(CONTROL!$C$32, $C$9, 100%, $E$9)</f>
        <v>32.648600000000002</v>
      </c>
      <c r="I965" s="11">
        <f>32.6522 * CHOOSE(CONTROL!$C$32, $C$9, 100%, $E$9)</f>
        <v>32.652200000000001</v>
      </c>
      <c r="J965" s="11">
        <f>32.6486 * CHOOSE(CONTROL!$C$32, $C$9, 100%, $E$9)</f>
        <v>32.648600000000002</v>
      </c>
      <c r="K965" s="11">
        <f>32.6522 * CHOOSE(CONTROL!$C$32, $C$9, 100%, $E$9)</f>
        <v>32.652200000000001</v>
      </c>
      <c r="L965" s="11">
        <f>16.3196 * CHOOSE(CONTROL!$C$32, $C$9, 100%, $E$9)</f>
        <v>16.319600000000001</v>
      </c>
      <c r="M965" s="11">
        <f>16.3232 * CHOOSE(CONTROL!$C$32, $C$9, 100%, $E$9)</f>
        <v>16.3232</v>
      </c>
      <c r="N965" s="11">
        <f>16.3196 * CHOOSE(CONTROL!$C$32, $C$9, 100%, $E$9)</f>
        <v>16.319600000000001</v>
      </c>
      <c r="O965" s="11">
        <f>16.3232 * CHOOSE(CONTROL!$C$32, $C$9, 100%, $E$9)</f>
        <v>16.3232</v>
      </c>
    </row>
    <row r="966" spans="1:15" ht="15" x14ac:dyDescent="0.2">
      <c r="A966" s="13">
        <v>70250</v>
      </c>
      <c r="B966" s="9">
        <f>14.2545 * CHOOSE(CONTROL!$C$32, $C$9, 100%, $E$9)</f>
        <v>14.2545</v>
      </c>
      <c r="C966" s="9">
        <f>14.2545 * CHOOSE(CONTROL!$C$32, $C$9, 100%, $E$9)</f>
        <v>14.2545</v>
      </c>
      <c r="D966" s="9">
        <f>14.2561 * CHOOSE(CONTROL!$C$32, $C$9, 100%, $E$9)</f>
        <v>14.2561</v>
      </c>
      <c r="E966" s="11">
        <f>16.4608 * CHOOSE(CONTROL!$C$32, $C$9, 100%, $E$9)</f>
        <v>16.460799999999999</v>
      </c>
      <c r="F966" s="11">
        <f>16.4608 * CHOOSE(CONTROL!$C$32, $C$9, 100%, $E$9)</f>
        <v>16.460799999999999</v>
      </c>
      <c r="G966" s="11">
        <f>16.4661 * CHOOSE(CONTROL!$C$32, $C$9, 100%, $E$9)</f>
        <v>16.466100000000001</v>
      </c>
      <c r="H966" s="11">
        <f>32.7167 * CHOOSE(CONTROL!$C$32, $C$9, 100%, $E$9)</f>
        <v>32.716700000000003</v>
      </c>
      <c r="I966" s="11">
        <f>32.7219 * CHOOSE(CONTROL!$C$32, $C$9, 100%, $E$9)</f>
        <v>32.721899999999998</v>
      </c>
      <c r="J966" s="11">
        <f>32.7167 * CHOOSE(CONTROL!$C$32, $C$9, 100%, $E$9)</f>
        <v>32.716700000000003</v>
      </c>
      <c r="K966" s="11">
        <f>32.7219 * CHOOSE(CONTROL!$C$32, $C$9, 100%, $E$9)</f>
        <v>32.721899999999998</v>
      </c>
      <c r="L966" s="11">
        <f>16.4608 * CHOOSE(CONTROL!$C$32, $C$9, 100%, $E$9)</f>
        <v>16.460799999999999</v>
      </c>
      <c r="M966" s="11">
        <f>16.4661 * CHOOSE(CONTROL!$C$32, $C$9, 100%, $E$9)</f>
        <v>16.466100000000001</v>
      </c>
      <c r="N966" s="11">
        <f>16.4608 * CHOOSE(CONTROL!$C$32, $C$9, 100%, $E$9)</f>
        <v>16.460799999999999</v>
      </c>
      <c r="O966" s="11">
        <f>16.4661 * CHOOSE(CONTROL!$C$32, $C$9, 100%, $E$9)</f>
        <v>16.466100000000001</v>
      </c>
    </row>
    <row r="967" spans="1:15" ht="15" x14ac:dyDescent="0.2">
      <c r="A967" s="13">
        <v>70281</v>
      </c>
      <c r="B967" s="9">
        <f>14.2606 * CHOOSE(CONTROL!$C$32, $C$9, 100%, $E$9)</f>
        <v>14.2606</v>
      </c>
      <c r="C967" s="9">
        <f>14.2606 * CHOOSE(CONTROL!$C$32, $C$9, 100%, $E$9)</f>
        <v>14.2606</v>
      </c>
      <c r="D967" s="9">
        <f>14.2621 * CHOOSE(CONTROL!$C$32, $C$9, 100%, $E$9)</f>
        <v>14.2621</v>
      </c>
      <c r="E967" s="11">
        <f>16.3238 * CHOOSE(CONTROL!$C$32, $C$9, 100%, $E$9)</f>
        <v>16.323799999999999</v>
      </c>
      <c r="F967" s="11">
        <f>16.3238 * CHOOSE(CONTROL!$C$32, $C$9, 100%, $E$9)</f>
        <v>16.323799999999999</v>
      </c>
      <c r="G967" s="11">
        <f>16.3291 * CHOOSE(CONTROL!$C$32, $C$9, 100%, $E$9)</f>
        <v>16.3291</v>
      </c>
      <c r="H967" s="11">
        <f>32.7848 * CHOOSE(CONTROL!$C$32, $C$9, 100%, $E$9)</f>
        <v>32.784799999999997</v>
      </c>
      <c r="I967" s="11">
        <f>32.7901 * CHOOSE(CONTROL!$C$32, $C$9, 100%, $E$9)</f>
        <v>32.790100000000002</v>
      </c>
      <c r="J967" s="11">
        <f>32.7848 * CHOOSE(CONTROL!$C$32, $C$9, 100%, $E$9)</f>
        <v>32.784799999999997</v>
      </c>
      <c r="K967" s="11">
        <f>32.7901 * CHOOSE(CONTROL!$C$32, $C$9, 100%, $E$9)</f>
        <v>32.790100000000002</v>
      </c>
      <c r="L967" s="11">
        <f>16.3238 * CHOOSE(CONTROL!$C$32, $C$9, 100%, $E$9)</f>
        <v>16.323799999999999</v>
      </c>
      <c r="M967" s="11">
        <f>16.3291 * CHOOSE(CONTROL!$C$32, $C$9, 100%, $E$9)</f>
        <v>16.3291</v>
      </c>
      <c r="N967" s="11">
        <f>16.3238 * CHOOSE(CONTROL!$C$32, $C$9, 100%, $E$9)</f>
        <v>16.323799999999999</v>
      </c>
      <c r="O967" s="11">
        <f>16.3291 * CHOOSE(CONTROL!$C$32, $C$9, 100%, $E$9)</f>
        <v>16.3291</v>
      </c>
    </row>
    <row r="968" spans="1:15" ht="15" x14ac:dyDescent="0.2">
      <c r="A968" s="13">
        <v>70311</v>
      </c>
      <c r="B968" s="9">
        <f>14.4317 * CHOOSE(CONTROL!$C$32, $C$9, 100%, $E$9)</f>
        <v>14.431699999999999</v>
      </c>
      <c r="C968" s="9">
        <f>14.4317 * CHOOSE(CONTROL!$C$32, $C$9, 100%, $E$9)</f>
        <v>14.431699999999999</v>
      </c>
      <c r="D968" s="9">
        <f>14.4332 * CHOOSE(CONTROL!$C$32, $C$9, 100%, $E$9)</f>
        <v>14.433199999999999</v>
      </c>
      <c r="E968" s="11">
        <f>16.5557 * CHOOSE(CONTROL!$C$32, $C$9, 100%, $E$9)</f>
        <v>16.555700000000002</v>
      </c>
      <c r="F968" s="11">
        <f>16.5557 * CHOOSE(CONTROL!$C$32, $C$9, 100%, $E$9)</f>
        <v>16.555700000000002</v>
      </c>
      <c r="G968" s="11">
        <f>16.561 * CHOOSE(CONTROL!$C$32, $C$9, 100%, $E$9)</f>
        <v>16.561</v>
      </c>
      <c r="H968" s="11">
        <f>32.8531 * CHOOSE(CONTROL!$C$32, $C$9, 100%, $E$9)</f>
        <v>32.853099999999998</v>
      </c>
      <c r="I968" s="11">
        <f>32.8584 * CHOOSE(CONTROL!$C$32, $C$9, 100%, $E$9)</f>
        <v>32.858400000000003</v>
      </c>
      <c r="J968" s="11">
        <f>32.8531 * CHOOSE(CONTROL!$C$32, $C$9, 100%, $E$9)</f>
        <v>32.853099999999998</v>
      </c>
      <c r="K968" s="11">
        <f>32.8584 * CHOOSE(CONTROL!$C$32, $C$9, 100%, $E$9)</f>
        <v>32.858400000000003</v>
      </c>
      <c r="L968" s="11">
        <f>16.5557 * CHOOSE(CONTROL!$C$32, $C$9, 100%, $E$9)</f>
        <v>16.555700000000002</v>
      </c>
      <c r="M968" s="11">
        <f>16.561 * CHOOSE(CONTROL!$C$32, $C$9, 100%, $E$9)</f>
        <v>16.561</v>
      </c>
      <c r="N968" s="11">
        <f>16.5557 * CHOOSE(CONTROL!$C$32, $C$9, 100%, $E$9)</f>
        <v>16.555700000000002</v>
      </c>
      <c r="O968" s="11">
        <f>16.561 * CHOOSE(CONTROL!$C$32, $C$9, 100%, $E$9)</f>
        <v>16.561</v>
      </c>
    </row>
    <row r="969" spans="1:15" ht="15" x14ac:dyDescent="0.2">
      <c r="A969" s="13">
        <v>70342</v>
      </c>
      <c r="B969" s="9">
        <f>14.4384 * CHOOSE(CONTROL!$C$32, $C$9, 100%, $E$9)</f>
        <v>14.4384</v>
      </c>
      <c r="C969" s="9">
        <f>14.4384 * CHOOSE(CONTROL!$C$32, $C$9, 100%, $E$9)</f>
        <v>14.4384</v>
      </c>
      <c r="D969" s="9">
        <f>14.4399 * CHOOSE(CONTROL!$C$32, $C$9, 100%, $E$9)</f>
        <v>14.4399</v>
      </c>
      <c r="E969" s="11">
        <f>16.1367 * CHOOSE(CONTROL!$C$32, $C$9, 100%, $E$9)</f>
        <v>16.136700000000001</v>
      </c>
      <c r="F969" s="11">
        <f>16.1367 * CHOOSE(CONTROL!$C$32, $C$9, 100%, $E$9)</f>
        <v>16.136700000000001</v>
      </c>
      <c r="G969" s="11">
        <f>16.142 * CHOOSE(CONTROL!$C$32, $C$9, 100%, $E$9)</f>
        <v>16.141999999999999</v>
      </c>
      <c r="H969" s="11">
        <f>32.9216 * CHOOSE(CONTROL!$C$32, $C$9, 100%, $E$9)</f>
        <v>32.921599999999998</v>
      </c>
      <c r="I969" s="11">
        <f>32.9269 * CHOOSE(CONTROL!$C$32, $C$9, 100%, $E$9)</f>
        <v>32.926900000000003</v>
      </c>
      <c r="J969" s="11">
        <f>32.9216 * CHOOSE(CONTROL!$C$32, $C$9, 100%, $E$9)</f>
        <v>32.921599999999998</v>
      </c>
      <c r="K969" s="11">
        <f>32.9269 * CHOOSE(CONTROL!$C$32, $C$9, 100%, $E$9)</f>
        <v>32.926900000000003</v>
      </c>
      <c r="L969" s="11">
        <f>16.1367 * CHOOSE(CONTROL!$C$32, $C$9, 100%, $E$9)</f>
        <v>16.136700000000001</v>
      </c>
      <c r="M969" s="11">
        <f>16.142 * CHOOSE(CONTROL!$C$32, $C$9, 100%, $E$9)</f>
        <v>16.141999999999999</v>
      </c>
      <c r="N969" s="11">
        <f>16.1367 * CHOOSE(CONTROL!$C$32, $C$9, 100%, $E$9)</f>
        <v>16.136700000000001</v>
      </c>
      <c r="O969" s="11">
        <f>16.142 * CHOOSE(CONTROL!$C$32, $C$9, 100%, $E$9)</f>
        <v>16.141999999999999</v>
      </c>
    </row>
    <row r="970" spans="1:15" ht="15" x14ac:dyDescent="0.2">
      <c r="A970" s="13">
        <v>70373</v>
      </c>
      <c r="B970" s="9">
        <f>14.4353 * CHOOSE(CONTROL!$C$32, $C$9, 100%, $E$9)</f>
        <v>14.4353</v>
      </c>
      <c r="C970" s="9">
        <f>14.4353 * CHOOSE(CONTROL!$C$32, $C$9, 100%, $E$9)</f>
        <v>14.4353</v>
      </c>
      <c r="D970" s="9">
        <f>14.4369 * CHOOSE(CONTROL!$C$32, $C$9, 100%, $E$9)</f>
        <v>14.4369</v>
      </c>
      <c r="E970" s="11">
        <f>16.0875 * CHOOSE(CONTROL!$C$32, $C$9, 100%, $E$9)</f>
        <v>16.087499999999999</v>
      </c>
      <c r="F970" s="11">
        <f>16.0875 * CHOOSE(CONTROL!$C$32, $C$9, 100%, $E$9)</f>
        <v>16.087499999999999</v>
      </c>
      <c r="G970" s="11">
        <f>16.0928 * CHOOSE(CONTROL!$C$32, $C$9, 100%, $E$9)</f>
        <v>16.0928</v>
      </c>
      <c r="H970" s="11">
        <f>32.9901 * CHOOSE(CONTROL!$C$32, $C$9, 100%, $E$9)</f>
        <v>32.990099999999998</v>
      </c>
      <c r="I970" s="11">
        <f>32.9954 * CHOOSE(CONTROL!$C$32, $C$9, 100%, $E$9)</f>
        <v>32.995399999999997</v>
      </c>
      <c r="J970" s="11">
        <f>32.9901 * CHOOSE(CONTROL!$C$32, $C$9, 100%, $E$9)</f>
        <v>32.990099999999998</v>
      </c>
      <c r="K970" s="11">
        <f>32.9954 * CHOOSE(CONTROL!$C$32, $C$9, 100%, $E$9)</f>
        <v>32.995399999999997</v>
      </c>
      <c r="L970" s="11">
        <f>16.0875 * CHOOSE(CONTROL!$C$32, $C$9, 100%, $E$9)</f>
        <v>16.087499999999999</v>
      </c>
      <c r="M970" s="11">
        <f>16.0928 * CHOOSE(CONTROL!$C$32, $C$9, 100%, $E$9)</f>
        <v>16.0928</v>
      </c>
      <c r="N970" s="11">
        <f>16.0875 * CHOOSE(CONTROL!$C$32, $C$9, 100%, $E$9)</f>
        <v>16.087499999999999</v>
      </c>
      <c r="O970" s="11">
        <f>16.0928 * CHOOSE(CONTROL!$C$32, $C$9, 100%, $E$9)</f>
        <v>16.0928</v>
      </c>
    </row>
    <row r="971" spans="1:15" ht="15" x14ac:dyDescent="0.2">
      <c r="A971" s="13">
        <v>70403</v>
      </c>
      <c r="B971" s="9">
        <f>14.4694 * CHOOSE(CONTROL!$C$32, $C$9, 100%, $E$9)</f>
        <v>14.4694</v>
      </c>
      <c r="C971" s="9">
        <f>14.4694 * CHOOSE(CONTROL!$C$32, $C$9, 100%, $E$9)</f>
        <v>14.4694</v>
      </c>
      <c r="D971" s="9">
        <f>14.4705 * CHOOSE(CONTROL!$C$32, $C$9, 100%, $E$9)</f>
        <v>14.470499999999999</v>
      </c>
      <c r="E971" s="11">
        <f>16.2624 * CHOOSE(CONTROL!$C$32, $C$9, 100%, $E$9)</f>
        <v>16.2624</v>
      </c>
      <c r="F971" s="11">
        <f>16.2624 * CHOOSE(CONTROL!$C$32, $C$9, 100%, $E$9)</f>
        <v>16.2624</v>
      </c>
      <c r="G971" s="11">
        <f>16.266 * CHOOSE(CONTROL!$C$32, $C$9, 100%, $E$9)</f>
        <v>16.265999999999998</v>
      </c>
      <c r="H971" s="11">
        <f>33.0589 * CHOOSE(CONTROL!$C$32, $C$9, 100%, $E$9)</f>
        <v>33.058900000000001</v>
      </c>
      <c r="I971" s="11">
        <f>33.0625 * CHOOSE(CONTROL!$C$32, $C$9, 100%, $E$9)</f>
        <v>33.0625</v>
      </c>
      <c r="J971" s="11">
        <f>33.0589 * CHOOSE(CONTROL!$C$32, $C$9, 100%, $E$9)</f>
        <v>33.058900000000001</v>
      </c>
      <c r="K971" s="11">
        <f>33.0625 * CHOOSE(CONTROL!$C$32, $C$9, 100%, $E$9)</f>
        <v>33.0625</v>
      </c>
      <c r="L971" s="11">
        <f>16.2624 * CHOOSE(CONTROL!$C$32, $C$9, 100%, $E$9)</f>
        <v>16.2624</v>
      </c>
      <c r="M971" s="11">
        <f>16.266 * CHOOSE(CONTROL!$C$32, $C$9, 100%, $E$9)</f>
        <v>16.265999999999998</v>
      </c>
      <c r="N971" s="11">
        <f>16.2624 * CHOOSE(CONTROL!$C$32, $C$9, 100%, $E$9)</f>
        <v>16.2624</v>
      </c>
      <c r="O971" s="11">
        <f>16.266 * CHOOSE(CONTROL!$C$32, $C$9, 100%, $E$9)</f>
        <v>16.265999999999998</v>
      </c>
    </row>
    <row r="972" spans="1:15" ht="15" x14ac:dyDescent="0.2">
      <c r="A972" s="13">
        <v>70434</v>
      </c>
      <c r="B972" s="9">
        <f>14.4724 * CHOOSE(CONTROL!$C$32, $C$9, 100%, $E$9)</f>
        <v>14.4724</v>
      </c>
      <c r="C972" s="9">
        <f>14.4724 * CHOOSE(CONTROL!$C$32, $C$9, 100%, $E$9)</f>
        <v>14.4724</v>
      </c>
      <c r="D972" s="9">
        <f>14.4735 * CHOOSE(CONTROL!$C$32, $C$9, 100%, $E$9)</f>
        <v>14.4735</v>
      </c>
      <c r="E972" s="11">
        <f>16.3586 * CHOOSE(CONTROL!$C$32, $C$9, 100%, $E$9)</f>
        <v>16.358599999999999</v>
      </c>
      <c r="F972" s="11">
        <f>16.3586 * CHOOSE(CONTROL!$C$32, $C$9, 100%, $E$9)</f>
        <v>16.358599999999999</v>
      </c>
      <c r="G972" s="11">
        <f>16.3622 * CHOOSE(CONTROL!$C$32, $C$9, 100%, $E$9)</f>
        <v>16.362200000000001</v>
      </c>
      <c r="H972" s="11">
        <f>33.1277 * CHOOSE(CONTROL!$C$32, $C$9, 100%, $E$9)</f>
        <v>33.127699999999997</v>
      </c>
      <c r="I972" s="11">
        <f>33.1314 * CHOOSE(CONTROL!$C$32, $C$9, 100%, $E$9)</f>
        <v>33.131399999999999</v>
      </c>
      <c r="J972" s="11">
        <f>33.1277 * CHOOSE(CONTROL!$C$32, $C$9, 100%, $E$9)</f>
        <v>33.127699999999997</v>
      </c>
      <c r="K972" s="11">
        <f>33.1314 * CHOOSE(CONTROL!$C$32, $C$9, 100%, $E$9)</f>
        <v>33.131399999999999</v>
      </c>
      <c r="L972" s="11">
        <f>16.3586 * CHOOSE(CONTROL!$C$32, $C$9, 100%, $E$9)</f>
        <v>16.358599999999999</v>
      </c>
      <c r="M972" s="11">
        <f>16.3622 * CHOOSE(CONTROL!$C$32, $C$9, 100%, $E$9)</f>
        <v>16.362200000000001</v>
      </c>
      <c r="N972" s="11">
        <f>16.3586 * CHOOSE(CONTROL!$C$32, $C$9, 100%, $E$9)</f>
        <v>16.358599999999999</v>
      </c>
      <c r="O972" s="11">
        <f>16.3622 * CHOOSE(CONTROL!$C$32, $C$9, 100%, $E$9)</f>
        <v>16.362200000000001</v>
      </c>
    </row>
    <row r="973" spans="1:15" ht="15" x14ac:dyDescent="0.2">
      <c r="A973" s="13">
        <v>70464</v>
      </c>
      <c r="B973" s="9">
        <f>14.4724 * CHOOSE(CONTROL!$C$32, $C$9, 100%, $E$9)</f>
        <v>14.4724</v>
      </c>
      <c r="C973" s="9">
        <f>14.4724 * CHOOSE(CONTROL!$C$32, $C$9, 100%, $E$9)</f>
        <v>14.4724</v>
      </c>
      <c r="D973" s="9">
        <f>14.4735 * CHOOSE(CONTROL!$C$32, $C$9, 100%, $E$9)</f>
        <v>14.4735</v>
      </c>
      <c r="E973" s="11">
        <f>16.1233 * CHOOSE(CONTROL!$C$32, $C$9, 100%, $E$9)</f>
        <v>16.1233</v>
      </c>
      <c r="F973" s="11">
        <f>16.1233 * CHOOSE(CONTROL!$C$32, $C$9, 100%, $E$9)</f>
        <v>16.1233</v>
      </c>
      <c r="G973" s="11">
        <f>16.1269 * CHOOSE(CONTROL!$C$32, $C$9, 100%, $E$9)</f>
        <v>16.126899999999999</v>
      </c>
      <c r="H973" s="11">
        <f>33.1968 * CHOOSE(CONTROL!$C$32, $C$9, 100%, $E$9)</f>
        <v>33.196800000000003</v>
      </c>
      <c r="I973" s="11">
        <f>33.2004 * CHOOSE(CONTROL!$C$32, $C$9, 100%, $E$9)</f>
        <v>33.200400000000002</v>
      </c>
      <c r="J973" s="11">
        <f>33.1968 * CHOOSE(CONTROL!$C$32, $C$9, 100%, $E$9)</f>
        <v>33.196800000000003</v>
      </c>
      <c r="K973" s="11">
        <f>33.2004 * CHOOSE(CONTROL!$C$32, $C$9, 100%, $E$9)</f>
        <v>33.200400000000002</v>
      </c>
      <c r="L973" s="11">
        <f>16.1233 * CHOOSE(CONTROL!$C$32, $C$9, 100%, $E$9)</f>
        <v>16.1233</v>
      </c>
      <c r="M973" s="11">
        <f>16.1269 * CHOOSE(CONTROL!$C$32, $C$9, 100%, $E$9)</f>
        <v>16.126899999999999</v>
      </c>
      <c r="N973" s="11">
        <f>16.1233 * CHOOSE(CONTROL!$C$32, $C$9, 100%, $E$9)</f>
        <v>16.1233</v>
      </c>
      <c r="O973" s="11">
        <f>16.1269 * CHOOSE(CONTROL!$C$32, $C$9, 100%, $E$9)</f>
        <v>16.126899999999999</v>
      </c>
    </row>
    <row r="974" spans="1:15" ht="15" x14ac:dyDescent="0.2">
      <c r="A974" s="13">
        <v>70495</v>
      </c>
      <c r="B974" s="9">
        <f>14.4403 * CHOOSE(CONTROL!$C$32, $C$9, 100%, $E$9)</f>
        <v>14.440300000000001</v>
      </c>
      <c r="C974" s="9">
        <f>14.4403 * CHOOSE(CONTROL!$C$32, $C$9, 100%, $E$9)</f>
        <v>14.440300000000001</v>
      </c>
      <c r="D974" s="9">
        <f>14.4414 * CHOOSE(CONTROL!$C$32, $C$9, 100%, $E$9)</f>
        <v>14.4414</v>
      </c>
      <c r="E974" s="11">
        <f>16.2581 * CHOOSE(CONTROL!$C$32, $C$9, 100%, $E$9)</f>
        <v>16.258099999999999</v>
      </c>
      <c r="F974" s="11">
        <f>16.2581 * CHOOSE(CONTROL!$C$32, $C$9, 100%, $E$9)</f>
        <v>16.258099999999999</v>
      </c>
      <c r="G974" s="11">
        <f>16.2617 * CHOOSE(CONTROL!$C$32, $C$9, 100%, $E$9)</f>
        <v>16.261700000000001</v>
      </c>
      <c r="H974" s="11">
        <f>32.8989 * CHOOSE(CONTROL!$C$32, $C$9, 100%, $E$9)</f>
        <v>32.898899999999998</v>
      </c>
      <c r="I974" s="11">
        <f>32.9025 * CHOOSE(CONTROL!$C$32, $C$9, 100%, $E$9)</f>
        <v>32.902500000000003</v>
      </c>
      <c r="J974" s="11">
        <f>32.8989 * CHOOSE(CONTROL!$C$32, $C$9, 100%, $E$9)</f>
        <v>32.898899999999998</v>
      </c>
      <c r="K974" s="11">
        <f>32.9025 * CHOOSE(CONTROL!$C$32, $C$9, 100%, $E$9)</f>
        <v>32.902500000000003</v>
      </c>
      <c r="L974" s="11">
        <f>16.2581 * CHOOSE(CONTROL!$C$32, $C$9, 100%, $E$9)</f>
        <v>16.258099999999999</v>
      </c>
      <c r="M974" s="11">
        <f>16.2617 * CHOOSE(CONTROL!$C$32, $C$9, 100%, $E$9)</f>
        <v>16.261700000000001</v>
      </c>
      <c r="N974" s="11">
        <f>16.2581 * CHOOSE(CONTROL!$C$32, $C$9, 100%, $E$9)</f>
        <v>16.258099999999999</v>
      </c>
      <c r="O974" s="11">
        <f>16.2617 * CHOOSE(CONTROL!$C$32, $C$9, 100%, $E$9)</f>
        <v>16.261700000000001</v>
      </c>
    </row>
    <row r="975" spans="1:15" ht="15" x14ac:dyDescent="0.2">
      <c r="A975" s="13">
        <v>70526</v>
      </c>
      <c r="B975" s="9">
        <f>14.4373 * CHOOSE(CONTROL!$C$32, $C$9, 100%, $E$9)</f>
        <v>14.4373</v>
      </c>
      <c r="C975" s="9">
        <f>14.4373 * CHOOSE(CONTROL!$C$32, $C$9, 100%, $E$9)</f>
        <v>14.4373</v>
      </c>
      <c r="D975" s="9">
        <f>14.4383 * CHOOSE(CONTROL!$C$32, $C$9, 100%, $E$9)</f>
        <v>14.4383</v>
      </c>
      <c r="E975" s="11">
        <f>15.8041 * CHOOSE(CONTROL!$C$32, $C$9, 100%, $E$9)</f>
        <v>15.8041</v>
      </c>
      <c r="F975" s="11">
        <f>15.8041 * CHOOSE(CONTROL!$C$32, $C$9, 100%, $E$9)</f>
        <v>15.8041</v>
      </c>
      <c r="G975" s="11">
        <f>15.8077 * CHOOSE(CONTROL!$C$32, $C$9, 100%, $E$9)</f>
        <v>15.807700000000001</v>
      </c>
      <c r="H975" s="11">
        <f>32.9675 * CHOOSE(CONTROL!$C$32, $C$9, 100%, $E$9)</f>
        <v>32.967500000000001</v>
      </c>
      <c r="I975" s="11">
        <f>32.9711 * CHOOSE(CONTROL!$C$32, $C$9, 100%, $E$9)</f>
        <v>32.9711</v>
      </c>
      <c r="J975" s="11">
        <f>32.9675 * CHOOSE(CONTROL!$C$32, $C$9, 100%, $E$9)</f>
        <v>32.967500000000001</v>
      </c>
      <c r="K975" s="11">
        <f>32.9711 * CHOOSE(CONTROL!$C$32, $C$9, 100%, $E$9)</f>
        <v>32.9711</v>
      </c>
      <c r="L975" s="11">
        <f>15.8041 * CHOOSE(CONTROL!$C$32, $C$9, 100%, $E$9)</f>
        <v>15.8041</v>
      </c>
      <c r="M975" s="11">
        <f>15.8077 * CHOOSE(CONTROL!$C$32, $C$9, 100%, $E$9)</f>
        <v>15.807700000000001</v>
      </c>
      <c r="N975" s="11">
        <f>15.8041 * CHOOSE(CONTROL!$C$32, $C$9, 100%, $E$9)</f>
        <v>15.8041</v>
      </c>
      <c r="O975" s="11">
        <f>15.8077 * CHOOSE(CONTROL!$C$32, $C$9, 100%, $E$9)</f>
        <v>15.807700000000001</v>
      </c>
    </row>
    <row r="976" spans="1:15" ht="15" x14ac:dyDescent="0.2">
      <c r="A976" s="13">
        <v>70554</v>
      </c>
      <c r="B976" s="9">
        <f>14.4342 * CHOOSE(CONTROL!$C$32, $C$9, 100%, $E$9)</f>
        <v>14.434200000000001</v>
      </c>
      <c r="C976" s="9">
        <f>14.4342 * CHOOSE(CONTROL!$C$32, $C$9, 100%, $E$9)</f>
        <v>14.434200000000001</v>
      </c>
      <c r="D976" s="9">
        <f>14.4353 * CHOOSE(CONTROL!$C$32, $C$9, 100%, $E$9)</f>
        <v>14.4353</v>
      </c>
      <c r="E976" s="11">
        <f>16.1582 * CHOOSE(CONTROL!$C$32, $C$9, 100%, $E$9)</f>
        <v>16.158200000000001</v>
      </c>
      <c r="F976" s="11">
        <f>16.1582 * CHOOSE(CONTROL!$C$32, $C$9, 100%, $E$9)</f>
        <v>16.158200000000001</v>
      </c>
      <c r="G976" s="11">
        <f>16.1618 * CHOOSE(CONTROL!$C$32, $C$9, 100%, $E$9)</f>
        <v>16.161799999999999</v>
      </c>
      <c r="H976" s="11">
        <f>33.0362 * CHOOSE(CONTROL!$C$32, $C$9, 100%, $E$9)</f>
        <v>33.036200000000001</v>
      </c>
      <c r="I976" s="11">
        <f>33.0398 * CHOOSE(CONTROL!$C$32, $C$9, 100%, $E$9)</f>
        <v>33.0398</v>
      </c>
      <c r="J976" s="11">
        <f>33.0362 * CHOOSE(CONTROL!$C$32, $C$9, 100%, $E$9)</f>
        <v>33.036200000000001</v>
      </c>
      <c r="K976" s="11">
        <f>33.0398 * CHOOSE(CONTROL!$C$32, $C$9, 100%, $E$9)</f>
        <v>33.0398</v>
      </c>
      <c r="L976" s="11">
        <f>16.1582 * CHOOSE(CONTROL!$C$32, $C$9, 100%, $E$9)</f>
        <v>16.158200000000001</v>
      </c>
      <c r="M976" s="11">
        <f>16.1618 * CHOOSE(CONTROL!$C$32, $C$9, 100%, $E$9)</f>
        <v>16.161799999999999</v>
      </c>
      <c r="N976" s="11">
        <f>16.1582 * CHOOSE(CONTROL!$C$32, $C$9, 100%, $E$9)</f>
        <v>16.158200000000001</v>
      </c>
      <c r="O976" s="11">
        <f>16.1618 * CHOOSE(CONTROL!$C$32, $C$9, 100%, $E$9)</f>
        <v>16.161799999999999</v>
      </c>
    </row>
    <row r="977" spans="1:15" ht="15" x14ac:dyDescent="0.2">
      <c r="A977" s="13">
        <v>70585</v>
      </c>
      <c r="B977" s="9">
        <f>14.442 * CHOOSE(CONTROL!$C$32, $C$9, 100%, $E$9)</f>
        <v>14.442</v>
      </c>
      <c r="C977" s="9">
        <f>14.442 * CHOOSE(CONTROL!$C$32, $C$9, 100%, $E$9)</f>
        <v>14.442</v>
      </c>
      <c r="D977" s="9">
        <f>14.4431 * CHOOSE(CONTROL!$C$32, $C$9, 100%, $E$9)</f>
        <v>14.443099999999999</v>
      </c>
      <c r="E977" s="11">
        <f>16.5366 * CHOOSE(CONTROL!$C$32, $C$9, 100%, $E$9)</f>
        <v>16.5366</v>
      </c>
      <c r="F977" s="11">
        <f>16.5366 * CHOOSE(CONTROL!$C$32, $C$9, 100%, $E$9)</f>
        <v>16.5366</v>
      </c>
      <c r="G977" s="11">
        <f>16.5402 * CHOOSE(CONTROL!$C$32, $C$9, 100%, $E$9)</f>
        <v>16.540199999999999</v>
      </c>
      <c r="H977" s="11">
        <f>33.105 * CHOOSE(CONTROL!$C$32, $C$9, 100%, $E$9)</f>
        <v>33.104999999999997</v>
      </c>
      <c r="I977" s="11">
        <f>33.1086 * CHOOSE(CONTROL!$C$32, $C$9, 100%, $E$9)</f>
        <v>33.108600000000003</v>
      </c>
      <c r="J977" s="11">
        <f>33.105 * CHOOSE(CONTROL!$C$32, $C$9, 100%, $E$9)</f>
        <v>33.104999999999997</v>
      </c>
      <c r="K977" s="11">
        <f>33.1086 * CHOOSE(CONTROL!$C$32, $C$9, 100%, $E$9)</f>
        <v>33.108600000000003</v>
      </c>
      <c r="L977" s="11">
        <f>16.5366 * CHOOSE(CONTROL!$C$32, $C$9, 100%, $E$9)</f>
        <v>16.5366</v>
      </c>
      <c r="M977" s="11">
        <f>16.5402 * CHOOSE(CONTROL!$C$32, $C$9, 100%, $E$9)</f>
        <v>16.540199999999999</v>
      </c>
      <c r="N977" s="11">
        <f>16.5366 * CHOOSE(CONTROL!$C$32, $C$9, 100%, $E$9)</f>
        <v>16.5366</v>
      </c>
      <c r="O977" s="11">
        <f>16.5402 * CHOOSE(CONTROL!$C$32, $C$9, 100%, $E$9)</f>
        <v>16.540199999999999</v>
      </c>
    </row>
    <row r="978" spans="1:15" ht="15" x14ac:dyDescent="0.2">
      <c r="A978" s="13">
        <v>70615</v>
      </c>
      <c r="B978" s="9">
        <f>14.442 * CHOOSE(CONTROL!$C$32, $C$9, 100%, $E$9)</f>
        <v>14.442</v>
      </c>
      <c r="C978" s="9">
        <f>14.442 * CHOOSE(CONTROL!$C$32, $C$9, 100%, $E$9)</f>
        <v>14.442</v>
      </c>
      <c r="D978" s="9">
        <f>14.4436 * CHOOSE(CONTROL!$C$32, $C$9, 100%, $E$9)</f>
        <v>14.4436</v>
      </c>
      <c r="E978" s="11">
        <f>16.68 * CHOOSE(CONTROL!$C$32, $C$9, 100%, $E$9)</f>
        <v>16.68</v>
      </c>
      <c r="F978" s="11">
        <f>16.68 * CHOOSE(CONTROL!$C$32, $C$9, 100%, $E$9)</f>
        <v>16.68</v>
      </c>
      <c r="G978" s="11">
        <f>16.6853 * CHOOSE(CONTROL!$C$32, $C$9, 100%, $E$9)</f>
        <v>16.685300000000002</v>
      </c>
      <c r="H978" s="11">
        <f>33.1739 * CHOOSE(CONTROL!$C$32, $C$9, 100%, $E$9)</f>
        <v>33.173900000000003</v>
      </c>
      <c r="I978" s="11">
        <f>33.1792 * CHOOSE(CONTROL!$C$32, $C$9, 100%, $E$9)</f>
        <v>33.179200000000002</v>
      </c>
      <c r="J978" s="11">
        <f>33.1739 * CHOOSE(CONTROL!$C$32, $C$9, 100%, $E$9)</f>
        <v>33.173900000000003</v>
      </c>
      <c r="K978" s="11">
        <f>33.1792 * CHOOSE(CONTROL!$C$32, $C$9, 100%, $E$9)</f>
        <v>33.179200000000002</v>
      </c>
      <c r="L978" s="11">
        <f>16.68 * CHOOSE(CONTROL!$C$32, $C$9, 100%, $E$9)</f>
        <v>16.68</v>
      </c>
      <c r="M978" s="11">
        <f>16.6853 * CHOOSE(CONTROL!$C$32, $C$9, 100%, $E$9)</f>
        <v>16.685300000000002</v>
      </c>
      <c r="N978" s="11">
        <f>16.68 * CHOOSE(CONTROL!$C$32, $C$9, 100%, $E$9)</f>
        <v>16.68</v>
      </c>
      <c r="O978" s="11">
        <f>16.6853 * CHOOSE(CONTROL!$C$32, $C$9, 100%, $E$9)</f>
        <v>16.685300000000002</v>
      </c>
    </row>
    <row r="979" spans="1:15" ht="15" x14ac:dyDescent="0.2">
      <c r="A979" s="13">
        <v>70646</v>
      </c>
      <c r="B979" s="9">
        <f>14.4481 * CHOOSE(CONTROL!$C$32, $C$9, 100%, $E$9)</f>
        <v>14.4481</v>
      </c>
      <c r="C979" s="9">
        <f>14.4481 * CHOOSE(CONTROL!$C$32, $C$9, 100%, $E$9)</f>
        <v>14.4481</v>
      </c>
      <c r="D979" s="9">
        <f>14.4497 * CHOOSE(CONTROL!$C$32, $C$9, 100%, $E$9)</f>
        <v>14.4497</v>
      </c>
      <c r="E979" s="11">
        <f>16.5408 * CHOOSE(CONTROL!$C$32, $C$9, 100%, $E$9)</f>
        <v>16.540800000000001</v>
      </c>
      <c r="F979" s="11">
        <f>16.5408 * CHOOSE(CONTROL!$C$32, $C$9, 100%, $E$9)</f>
        <v>16.540800000000001</v>
      </c>
      <c r="G979" s="11">
        <f>16.5461 * CHOOSE(CONTROL!$C$32, $C$9, 100%, $E$9)</f>
        <v>16.546099999999999</v>
      </c>
      <c r="H979" s="11">
        <f>33.2431 * CHOOSE(CONTROL!$C$32, $C$9, 100%, $E$9)</f>
        <v>33.243099999999998</v>
      </c>
      <c r="I979" s="11">
        <f>33.2484 * CHOOSE(CONTROL!$C$32, $C$9, 100%, $E$9)</f>
        <v>33.248399999999997</v>
      </c>
      <c r="J979" s="11">
        <f>33.2431 * CHOOSE(CONTROL!$C$32, $C$9, 100%, $E$9)</f>
        <v>33.243099999999998</v>
      </c>
      <c r="K979" s="11">
        <f>33.2484 * CHOOSE(CONTROL!$C$32, $C$9, 100%, $E$9)</f>
        <v>33.248399999999997</v>
      </c>
      <c r="L979" s="11">
        <f>16.5408 * CHOOSE(CONTROL!$C$32, $C$9, 100%, $E$9)</f>
        <v>16.540800000000001</v>
      </c>
      <c r="M979" s="11">
        <f>16.5461 * CHOOSE(CONTROL!$C$32, $C$9, 100%, $E$9)</f>
        <v>16.546099999999999</v>
      </c>
      <c r="N979" s="11">
        <f>16.5408 * CHOOSE(CONTROL!$C$32, $C$9, 100%, $E$9)</f>
        <v>16.540800000000001</v>
      </c>
      <c r="O979" s="11">
        <f>16.5461 * CHOOSE(CONTROL!$C$32, $C$9, 100%, $E$9)</f>
        <v>16.546099999999999</v>
      </c>
    </row>
    <row r="980" spans="1:15" ht="15" x14ac:dyDescent="0.2">
      <c r="A980" s="13">
        <v>70676</v>
      </c>
      <c r="B980" s="9">
        <f>14.6213 * CHOOSE(CONTROL!$C$32, $C$9, 100%, $E$9)</f>
        <v>14.6213</v>
      </c>
      <c r="C980" s="9">
        <f>14.6213 * CHOOSE(CONTROL!$C$32, $C$9, 100%, $E$9)</f>
        <v>14.6213</v>
      </c>
      <c r="D980" s="9">
        <f>14.6228 * CHOOSE(CONTROL!$C$32, $C$9, 100%, $E$9)</f>
        <v>14.6228</v>
      </c>
      <c r="E980" s="11">
        <f>16.7759 * CHOOSE(CONTROL!$C$32, $C$9, 100%, $E$9)</f>
        <v>16.7759</v>
      </c>
      <c r="F980" s="11">
        <f>16.7759 * CHOOSE(CONTROL!$C$32, $C$9, 100%, $E$9)</f>
        <v>16.7759</v>
      </c>
      <c r="G980" s="11">
        <f>16.7811 * CHOOSE(CONTROL!$C$32, $C$9, 100%, $E$9)</f>
        <v>16.781099999999999</v>
      </c>
      <c r="H980" s="11">
        <f>33.3123 * CHOOSE(CONTROL!$C$32, $C$9, 100%, $E$9)</f>
        <v>33.3123</v>
      </c>
      <c r="I980" s="11">
        <f>33.3176 * CHOOSE(CONTROL!$C$32, $C$9, 100%, $E$9)</f>
        <v>33.317599999999999</v>
      </c>
      <c r="J980" s="11">
        <f>33.3123 * CHOOSE(CONTROL!$C$32, $C$9, 100%, $E$9)</f>
        <v>33.3123</v>
      </c>
      <c r="K980" s="11">
        <f>33.3176 * CHOOSE(CONTROL!$C$32, $C$9, 100%, $E$9)</f>
        <v>33.317599999999999</v>
      </c>
      <c r="L980" s="11">
        <f>16.7759 * CHOOSE(CONTROL!$C$32, $C$9, 100%, $E$9)</f>
        <v>16.7759</v>
      </c>
      <c r="M980" s="11">
        <f>16.7811 * CHOOSE(CONTROL!$C$32, $C$9, 100%, $E$9)</f>
        <v>16.781099999999999</v>
      </c>
      <c r="N980" s="11">
        <f>16.7759 * CHOOSE(CONTROL!$C$32, $C$9, 100%, $E$9)</f>
        <v>16.7759</v>
      </c>
      <c r="O980" s="11">
        <f>16.7811 * CHOOSE(CONTROL!$C$32, $C$9, 100%, $E$9)</f>
        <v>16.781099999999999</v>
      </c>
    </row>
    <row r="981" spans="1:15" ht="15" x14ac:dyDescent="0.2">
      <c r="A981" s="13">
        <v>70707</v>
      </c>
      <c r="B981" s="9">
        <f>14.6279 * CHOOSE(CONTROL!$C$32, $C$9, 100%, $E$9)</f>
        <v>14.6279</v>
      </c>
      <c r="C981" s="9">
        <f>14.6279 * CHOOSE(CONTROL!$C$32, $C$9, 100%, $E$9)</f>
        <v>14.6279</v>
      </c>
      <c r="D981" s="9">
        <f>14.6295 * CHOOSE(CONTROL!$C$32, $C$9, 100%, $E$9)</f>
        <v>14.6295</v>
      </c>
      <c r="E981" s="11">
        <f>16.3501 * CHOOSE(CONTROL!$C$32, $C$9, 100%, $E$9)</f>
        <v>16.350100000000001</v>
      </c>
      <c r="F981" s="11">
        <f>16.3501 * CHOOSE(CONTROL!$C$32, $C$9, 100%, $E$9)</f>
        <v>16.350100000000001</v>
      </c>
      <c r="G981" s="11">
        <f>16.3554 * CHOOSE(CONTROL!$C$32, $C$9, 100%, $E$9)</f>
        <v>16.355399999999999</v>
      </c>
      <c r="H981" s="11">
        <f>33.3817 * CHOOSE(CONTROL!$C$32, $C$9, 100%, $E$9)</f>
        <v>33.381700000000002</v>
      </c>
      <c r="I981" s="11">
        <f>33.387 * CHOOSE(CONTROL!$C$32, $C$9, 100%, $E$9)</f>
        <v>33.387</v>
      </c>
      <c r="J981" s="11">
        <f>33.3817 * CHOOSE(CONTROL!$C$32, $C$9, 100%, $E$9)</f>
        <v>33.381700000000002</v>
      </c>
      <c r="K981" s="11">
        <f>33.387 * CHOOSE(CONTROL!$C$32, $C$9, 100%, $E$9)</f>
        <v>33.387</v>
      </c>
      <c r="L981" s="11">
        <f>16.3501 * CHOOSE(CONTROL!$C$32, $C$9, 100%, $E$9)</f>
        <v>16.350100000000001</v>
      </c>
      <c r="M981" s="11">
        <f>16.3554 * CHOOSE(CONTROL!$C$32, $C$9, 100%, $E$9)</f>
        <v>16.355399999999999</v>
      </c>
      <c r="N981" s="11">
        <f>16.3501 * CHOOSE(CONTROL!$C$32, $C$9, 100%, $E$9)</f>
        <v>16.350100000000001</v>
      </c>
      <c r="O981" s="11">
        <f>16.3554 * CHOOSE(CONTROL!$C$32, $C$9, 100%, $E$9)</f>
        <v>16.355399999999999</v>
      </c>
    </row>
    <row r="982" spans="1:15" ht="15" x14ac:dyDescent="0.2">
      <c r="A982" s="13">
        <v>70738</v>
      </c>
      <c r="B982" s="9">
        <f>14.6249 * CHOOSE(CONTROL!$C$32, $C$9, 100%, $E$9)</f>
        <v>14.6249</v>
      </c>
      <c r="C982" s="9">
        <f>14.6249 * CHOOSE(CONTROL!$C$32, $C$9, 100%, $E$9)</f>
        <v>14.6249</v>
      </c>
      <c r="D982" s="9">
        <f>14.6265 * CHOOSE(CONTROL!$C$32, $C$9, 100%, $E$9)</f>
        <v>14.6265</v>
      </c>
      <c r="E982" s="11">
        <f>16.3002 * CHOOSE(CONTROL!$C$32, $C$9, 100%, $E$9)</f>
        <v>16.3002</v>
      </c>
      <c r="F982" s="11">
        <f>16.3002 * CHOOSE(CONTROL!$C$32, $C$9, 100%, $E$9)</f>
        <v>16.3002</v>
      </c>
      <c r="G982" s="11">
        <f>16.3055 * CHOOSE(CONTROL!$C$32, $C$9, 100%, $E$9)</f>
        <v>16.305499999999999</v>
      </c>
      <c r="H982" s="11">
        <f>33.4513 * CHOOSE(CONTROL!$C$32, $C$9, 100%, $E$9)</f>
        <v>33.451300000000003</v>
      </c>
      <c r="I982" s="11">
        <f>33.4566 * CHOOSE(CONTROL!$C$32, $C$9, 100%, $E$9)</f>
        <v>33.456600000000002</v>
      </c>
      <c r="J982" s="11">
        <f>33.4513 * CHOOSE(CONTROL!$C$32, $C$9, 100%, $E$9)</f>
        <v>33.451300000000003</v>
      </c>
      <c r="K982" s="11">
        <f>33.4566 * CHOOSE(CONTROL!$C$32, $C$9, 100%, $E$9)</f>
        <v>33.456600000000002</v>
      </c>
      <c r="L982" s="11">
        <f>16.3002 * CHOOSE(CONTROL!$C$32, $C$9, 100%, $E$9)</f>
        <v>16.3002</v>
      </c>
      <c r="M982" s="11">
        <f>16.3055 * CHOOSE(CONTROL!$C$32, $C$9, 100%, $E$9)</f>
        <v>16.305499999999999</v>
      </c>
      <c r="N982" s="11">
        <f>16.3002 * CHOOSE(CONTROL!$C$32, $C$9, 100%, $E$9)</f>
        <v>16.3002</v>
      </c>
      <c r="O982" s="11">
        <f>16.3055 * CHOOSE(CONTROL!$C$32, $C$9, 100%, $E$9)</f>
        <v>16.305499999999999</v>
      </c>
    </row>
    <row r="983" spans="1:15" ht="15" x14ac:dyDescent="0.2">
      <c r="A983" s="13">
        <v>70768</v>
      </c>
      <c r="B983" s="9">
        <f>14.6597 * CHOOSE(CONTROL!$C$32, $C$9, 100%, $E$9)</f>
        <v>14.659700000000001</v>
      </c>
      <c r="C983" s="9">
        <f>14.6597 * CHOOSE(CONTROL!$C$32, $C$9, 100%, $E$9)</f>
        <v>14.659700000000001</v>
      </c>
      <c r="D983" s="9">
        <f>14.6608 * CHOOSE(CONTROL!$C$32, $C$9, 100%, $E$9)</f>
        <v>14.6608</v>
      </c>
      <c r="E983" s="11">
        <f>16.478 * CHOOSE(CONTROL!$C$32, $C$9, 100%, $E$9)</f>
        <v>16.478000000000002</v>
      </c>
      <c r="F983" s="11">
        <f>16.478 * CHOOSE(CONTROL!$C$32, $C$9, 100%, $E$9)</f>
        <v>16.478000000000002</v>
      </c>
      <c r="G983" s="11">
        <f>16.4817 * CHOOSE(CONTROL!$C$32, $C$9, 100%, $E$9)</f>
        <v>16.4817</v>
      </c>
      <c r="H983" s="11">
        <f>33.521 * CHOOSE(CONTROL!$C$32, $C$9, 100%, $E$9)</f>
        <v>33.521000000000001</v>
      </c>
      <c r="I983" s="11">
        <f>33.5246 * CHOOSE(CONTROL!$C$32, $C$9, 100%, $E$9)</f>
        <v>33.5246</v>
      </c>
      <c r="J983" s="11">
        <f>33.521 * CHOOSE(CONTROL!$C$32, $C$9, 100%, $E$9)</f>
        <v>33.521000000000001</v>
      </c>
      <c r="K983" s="11">
        <f>33.5246 * CHOOSE(CONTROL!$C$32, $C$9, 100%, $E$9)</f>
        <v>33.5246</v>
      </c>
      <c r="L983" s="11">
        <f>16.478 * CHOOSE(CONTROL!$C$32, $C$9, 100%, $E$9)</f>
        <v>16.478000000000002</v>
      </c>
      <c r="M983" s="11">
        <f>16.4817 * CHOOSE(CONTROL!$C$32, $C$9, 100%, $E$9)</f>
        <v>16.4817</v>
      </c>
      <c r="N983" s="11">
        <f>16.478 * CHOOSE(CONTROL!$C$32, $C$9, 100%, $E$9)</f>
        <v>16.478000000000002</v>
      </c>
      <c r="O983" s="11">
        <f>16.4817 * CHOOSE(CONTROL!$C$32, $C$9, 100%, $E$9)</f>
        <v>16.4817</v>
      </c>
    </row>
    <row r="984" spans="1:15" ht="15" x14ac:dyDescent="0.2">
      <c r="A984" s="13">
        <v>70799</v>
      </c>
      <c r="B984" s="9">
        <f>14.6627 * CHOOSE(CONTROL!$C$32, $C$9, 100%, $E$9)</f>
        <v>14.662699999999999</v>
      </c>
      <c r="C984" s="9">
        <f>14.6627 * CHOOSE(CONTROL!$C$32, $C$9, 100%, $E$9)</f>
        <v>14.662699999999999</v>
      </c>
      <c r="D984" s="9">
        <f>14.6638 * CHOOSE(CONTROL!$C$32, $C$9, 100%, $E$9)</f>
        <v>14.6638</v>
      </c>
      <c r="E984" s="11">
        <f>16.5758 * CHOOSE(CONTROL!$C$32, $C$9, 100%, $E$9)</f>
        <v>16.575800000000001</v>
      </c>
      <c r="F984" s="11">
        <f>16.5758 * CHOOSE(CONTROL!$C$32, $C$9, 100%, $E$9)</f>
        <v>16.575800000000001</v>
      </c>
      <c r="G984" s="11">
        <f>16.5794 * CHOOSE(CONTROL!$C$32, $C$9, 100%, $E$9)</f>
        <v>16.5794</v>
      </c>
      <c r="H984" s="11">
        <f>33.5908 * CHOOSE(CONTROL!$C$32, $C$9, 100%, $E$9)</f>
        <v>33.590800000000002</v>
      </c>
      <c r="I984" s="11">
        <f>33.5944 * CHOOSE(CONTROL!$C$32, $C$9, 100%, $E$9)</f>
        <v>33.5944</v>
      </c>
      <c r="J984" s="11">
        <f>33.5908 * CHOOSE(CONTROL!$C$32, $C$9, 100%, $E$9)</f>
        <v>33.590800000000002</v>
      </c>
      <c r="K984" s="11">
        <f>33.5944 * CHOOSE(CONTROL!$C$32, $C$9, 100%, $E$9)</f>
        <v>33.5944</v>
      </c>
      <c r="L984" s="11">
        <f>16.5758 * CHOOSE(CONTROL!$C$32, $C$9, 100%, $E$9)</f>
        <v>16.575800000000001</v>
      </c>
      <c r="M984" s="11">
        <f>16.5794 * CHOOSE(CONTROL!$C$32, $C$9, 100%, $E$9)</f>
        <v>16.5794</v>
      </c>
      <c r="N984" s="11">
        <f>16.5758 * CHOOSE(CONTROL!$C$32, $C$9, 100%, $E$9)</f>
        <v>16.575800000000001</v>
      </c>
      <c r="O984" s="11">
        <f>16.5794 * CHOOSE(CONTROL!$C$32, $C$9, 100%, $E$9)</f>
        <v>16.5794</v>
      </c>
    </row>
    <row r="985" spans="1:15" ht="15" x14ac:dyDescent="0.2">
      <c r="A985" s="13">
        <v>70829</v>
      </c>
      <c r="B985" s="9">
        <f>14.6627 * CHOOSE(CONTROL!$C$32, $C$9, 100%, $E$9)</f>
        <v>14.662699999999999</v>
      </c>
      <c r="C985" s="9">
        <f>14.6627 * CHOOSE(CONTROL!$C$32, $C$9, 100%, $E$9)</f>
        <v>14.662699999999999</v>
      </c>
      <c r="D985" s="9">
        <f>14.6638 * CHOOSE(CONTROL!$C$32, $C$9, 100%, $E$9)</f>
        <v>14.6638</v>
      </c>
      <c r="E985" s="11">
        <f>16.3367 * CHOOSE(CONTROL!$C$32, $C$9, 100%, $E$9)</f>
        <v>16.3367</v>
      </c>
      <c r="F985" s="11">
        <f>16.3367 * CHOOSE(CONTROL!$C$32, $C$9, 100%, $E$9)</f>
        <v>16.3367</v>
      </c>
      <c r="G985" s="11">
        <f>16.3403 * CHOOSE(CONTROL!$C$32, $C$9, 100%, $E$9)</f>
        <v>16.340299999999999</v>
      </c>
      <c r="H985" s="11">
        <f>33.6608 * CHOOSE(CONTROL!$C$32, $C$9, 100%, $E$9)</f>
        <v>33.660800000000002</v>
      </c>
      <c r="I985" s="11">
        <f>33.6644 * CHOOSE(CONTROL!$C$32, $C$9, 100%, $E$9)</f>
        <v>33.664400000000001</v>
      </c>
      <c r="J985" s="11">
        <f>33.6608 * CHOOSE(CONTROL!$C$32, $C$9, 100%, $E$9)</f>
        <v>33.660800000000002</v>
      </c>
      <c r="K985" s="11">
        <f>33.6644 * CHOOSE(CONTROL!$C$32, $C$9, 100%, $E$9)</f>
        <v>33.664400000000001</v>
      </c>
      <c r="L985" s="11">
        <f>16.3367 * CHOOSE(CONTROL!$C$32, $C$9, 100%, $E$9)</f>
        <v>16.3367</v>
      </c>
      <c r="M985" s="11">
        <f>16.3403 * CHOOSE(CONTROL!$C$32, $C$9, 100%, $E$9)</f>
        <v>16.340299999999999</v>
      </c>
      <c r="N985" s="11">
        <f>16.3367 * CHOOSE(CONTROL!$C$32, $C$9, 100%, $E$9)</f>
        <v>16.3367</v>
      </c>
      <c r="O985" s="11">
        <f>16.3403 * CHOOSE(CONTROL!$C$32, $C$9, 100%, $E$9)</f>
        <v>16.340299999999999</v>
      </c>
    </row>
    <row r="986" spans="1:15" ht="15" x14ac:dyDescent="0.2">
      <c r="A986" s="13">
        <v>70860</v>
      </c>
      <c r="B986" s="9">
        <f>14.6277 * CHOOSE(CONTROL!$C$32, $C$9, 100%, $E$9)</f>
        <v>14.627700000000001</v>
      </c>
      <c r="C986" s="9">
        <f>14.6277 * CHOOSE(CONTROL!$C$32, $C$9, 100%, $E$9)</f>
        <v>14.627700000000001</v>
      </c>
      <c r="D986" s="9">
        <f>14.6287 * CHOOSE(CONTROL!$C$32, $C$9, 100%, $E$9)</f>
        <v>14.6287</v>
      </c>
      <c r="E986" s="11">
        <f>16.4706 * CHOOSE(CONTROL!$C$32, $C$9, 100%, $E$9)</f>
        <v>16.470600000000001</v>
      </c>
      <c r="F986" s="11">
        <f>16.4706 * CHOOSE(CONTROL!$C$32, $C$9, 100%, $E$9)</f>
        <v>16.470600000000001</v>
      </c>
      <c r="G986" s="11">
        <f>16.4742 * CHOOSE(CONTROL!$C$32, $C$9, 100%, $E$9)</f>
        <v>16.4742</v>
      </c>
      <c r="H986" s="11">
        <f>33.3524 * CHOOSE(CONTROL!$C$32, $C$9, 100%, $E$9)</f>
        <v>33.352400000000003</v>
      </c>
      <c r="I986" s="11">
        <f>33.3561 * CHOOSE(CONTROL!$C$32, $C$9, 100%, $E$9)</f>
        <v>33.356099999999998</v>
      </c>
      <c r="J986" s="11">
        <f>33.3524 * CHOOSE(CONTROL!$C$32, $C$9, 100%, $E$9)</f>
        <v>33.352400000000003</v>
      </c>
      <c r="K986" s="11">
        <f>33.3561 * CHOOSE(CONTROL!$C$32, $C$9, 100%, $E$9)</f>
        <v>33.356099999999998</v>
      </c>
      <c r="L986" s="11">
        <f>16.4706 * CHOOSE(CONTROL!$C$32, $C$9, 100%, $E$9)</f>
        <v>16.470600000000001</v>
      </c>
      <c r="M986" s="11">
        <f>16.4742 * CHOOSE(CONTROL!$C$32, $C$9, 100%, $E$9)</f>
        <v>16.4742</v>
      </c>
      <c r="N986" s="11">
        <f>16.4706 * CHOOSE(CONTROL!$C$32, $C$9, 100%, $E$9)</f>
        <v>16.470600000000001</v>
      </c>
      <c r="O986" s="11">
        <f>16.4742 * CHOOSE(CONTROL!$C$32, $C$9, 100%, $E$9)</f>
        <v>16.4742</v>
      </c>
    </row>
    <row r="987" spans="1:15" ht="15" x14ac:dyDescent="0.2">
      <c r="A987" s="13">
        <v>70891</v>
      </c>
      <c r="B987" s="9">
        <f>14.6246 * CHOOSE(CONTROL!$C$32, $C$9, 100%, $E$9)</f>
        <v>14.624599999999999</v>
      </c>
      <c r="C987" s="9">
        <f>14.6246 * CHOOSE(CONTROL!$C$32, $C$9, 100%, $E$9)</f>
        <v>14.624599999999999</v>
      </c>
      <c r="D987" s="9">
        <f>14.6257 * CHOOSE(CONTROL!$C$32, $C$9, 100%, $E$9)</f>
        <v>14.6257</v>
      </c>
      <c r="E987" s="11">
        <f>16.0095 * CHOOSE(CONTROL!$C$32, $C$9, 100%, $E$9)</f>
        <v>16.009499999999999</v>
      </c>
      <c r="F987" s="11">
        <f>16.0095 * CHOOSE(CONTROL!$C$32, $C$9, 100%, $E$9)</f>
        <v>16.009499999999999</v>
      </c>
      <c r="G987" s="11">
        <f>16.0132 * CHOOSE(CONTROL!$C$32, $C$9, 100%, $E$9)</f>
        <v>16.013200000000001</v>
      </c>
      <c r="H987" s="11">
        <f>33.4219 * CHOOSE(CONTROL!$C$32, $C$9, 100%, $E$9)</f>
        <v>33.421900000000001</v>
      </c>
      <c r="I987" s="11">
        <f>33.4255 * CHOOSE(CONTROL!$C$32, $C$9, 100%, $E$9)</f>
        <v>33.4255</v>
      </c>
      <c r="J987" s="11">
        <f>33.4219 * CHOOSE(CONTROL!$C$32, $C$9, 100%, $E$9)</f>
        <v>33.421900000000001</v>
      </c>
      <c r="K987" s="11">
        <f>33.4255 * CHOOSE(CONTROL!$C$32, $C$9, 100%, $E$9)</f>
        <v>33.4255</v>
      </c>
      <c r="L987" s="11">
        <f>16.0095 * CHOOSE(CONTROL!$C$32, $C$9, 100%, $E$9)</f>
        <v>16.009499999999999</v>
      </c>
      <c r="M987" s="11">
        <f>16.0132 * CHOOSE(CONTROL!$C$32, $C$9, 100%, $E$9)</f>
        <v>16.013200000000001</v>
      </c>
      <c r="N987" s="11">
        <f>16.0095 * CHOOSE(CONTROL!$C$32, $C$9, 100%, $E$9)</f>
        <v>16.009499999999999</v>
      </c>
      <c r="O987" s="11">
        <f>16.0132 * CHOOSE(CONTROL!$C$32, $C$9, 100%, $E$9)</f>
        <v>16.013200000000001</v>
      </c>
    </row>
    <row r="988" spans="1:15" ht="15" x14ac:dyDescent="0.2">
      <c r="A988" s="13">
        <v>70919</v>
      </c>
      <c r="B988" s="9">
        <f>14.6216 * CHOOSE(CONTROL!$C$32, $C$9, 100%, $E$9)</f>
        <v>14.621600000000001</v>
      </c>
      <c r="C988" s="9">
        <f>14.6216 * CHOOSE(CONTROL!$C$32, $C$9, 100%, $E$9)</f>
        <v>14.621600000000001</v>
      </c>
      <c r="D988" s="9">
        <f>14.6227 * CHOOSE(CONTROL!$C$32, $C$9, 100%, $E$9)</f>
        <v>14.6227</v>
      </c>
      <c r="E988" s="11">
        <f>16.3692 * CHOOSE(CONTROL!$C$32, $C$9, 100%, $E$9)</f>
        <v>16.369199999999999</v>
      </c>
      <c r="F988" s="11">
        <f>16.3692 * CHOOSE(CONTROL!$C$32, $C$9, 100%, $E$9)</f>
        <v>16.369199999999999</v>
      </c>
      <c r="G988" s="11">
        <f>16.3729 * CHOOSE(CONTROL!$C$32, $C$9, 100%, $E$9)</f>
        <v>16.372900000000001</v>
      </c>
      <c r="H988" s="11">
        <f>33.4915 * CHOOSE(CONTROL!$C$32, $C$9, 100%, $E$9)</f>
        <v>33.491500000000002</v>
      </c>
      <c r="I988" s="11">
        <f>33.4952 * CHOOSE(CONTROL!$C$32, $C$9, 100%, $E$9)</f>
        <v>33.495199999999997</v>
      </c>
      <c r="J988" s="11">
        <f>33.4915 * CHOOSE(CONTROL!$C$32, $C$9, 100%, $E$9)</f>
        <v>33.491500000000002</v>
      </c>
      <c r="K988" s="11">
        <f>33.4952 * CHOOSE(CONTROL!$C$32, $C$9, 100%, $E$9)</f>
        <v>33.495199999999997</v>
      </c>
      <c r="L988" s="11">
        <f>16.3692 * CHOOSE(CONTROL!$C$32, $C$9, 100%, $E$9)</f>
        <v>16.369199999999999</v>
      </c>
      <c r="M988" s="11">
        <f>16.3729 * CHOOSE(CONTROL!$C$32, $C$9, 100%, $E$9)</f>
        <v>16.372900000000001</v>
      </c>
      <c r="N988" s="11">
        <f>16.3692 * CHOOSE(CONTROL!$C$32, $C$9, 100%, $E$9)</f>
        <v>16.369199999999999</v>
      </c>
      <c r="O988" s="11">
        <f>16.3729 * CHOOSE(CONTROL!$C$32, $C$9, 100%, $E$9)</f>
        <v>16.372900000000001</v>
      </c>
    </row>
    <row r="989" spans="1:15" ht="15" x14ac:dyDescent="0.2">
      <c r="A989" s="13">
        <v>70950</v>
      </c>
      <c r="B989" s="9">
        <f>14.6296 * CHOOSE(CONTROL!$C$32, $C$9, 100%, $E$9)</f>
        <v>14.6296</v>
      </c>
      <c r="C989" s="9">
        <f>14.6296 * CHOOSE(CONTROL!$C$32, $C$9, 100%, $E$9)</f>
        <v>14.6296</v>
      </c>
      <c r="D989" s="9">
        <f>14.6306 * CHOOSE(CONTROL!$C$32, $C$9, 100%, $E$9)</f>
        <v>14.630599999999999</v>
      </c>
      <c r="E989" s="11">
        <f>16.7536 * CHOOSE(CONTROL!$C$32, $C$9, 100%, $E$9)</f>
        <v>16.753599999999999</v>
      </c>
      <c r="F989" s="11">
        <f>16.7536 * CHOOSE(CONTROL!$C$32, $C$9, 100%, $E$9)</f>
        <v>16.753599999999999</v>
      </c>
      <c r="G989" s="11">
        <f>16.7572 * CHOOSE(CONTROL!$C$32, $C$9, 100%, $E$9)</f>
        <v>16.757200000000001</v>
      </c>
      <c r="H989" s="11">
        <f>33.5613 * CHOOSE(CONTROL!$C$32, $C$9, 100%, $E$9)</f>
        <v>33.561300000000003</v>
      </c>
      <c r="I989" s="11">
        <f>33.5649 * CHOOSE(CONTROL!$C$32, $C$9, 100%, $E$9)</f>
        <v>33.564900000000002</v>
      </c>
      <c r="J989" s="11">
        <f>33.5613 * CHOOSE(CONTROL!$C$32, $C$9, 100%, $E$9)</f>
        <v>33.561300000000003</v>
      </c>
      <c r="K989" s="11">
        <f>33.5649 * CHOOSE(CONTROL!$C$32, $C$9, 100%, $E$9)</f>
        <v>33.564900000000002</v>
      </c>
      <c r="L989" s="11">
        <f>16.7536 * CHOOSE(CONTROL!$C$32, $C$9, 100%, $E$9)</f>
        <v>16.753599999999999</v>
      </c>
      <c r="M989" s="11">
        <f>16.7572 * CHOOSE(CONTROL!$C$32, $C$9, 100%, $E$9)</f>
        <v>16.757200000000001</v>
      </c>
      <c r="N989" s="11">
        <f>16.7536 * CHOOSE(CONTROL!$C$32, $C$9, 100%, $E$9)</f>
        <v>16.753599999999999</v>
      </c>
      <c r="O989" s="11">
        <f>16.7572 * CHOOSE(CONTROL!$C$32, $C$9, 100%, $E$9)</f>
        <v>16.757200000000001</v>
      </c>
    </row>
    <row r="990" spans="1:15" ht="15" x14ac:dyDescent="0.2">
      <c r="A990" s="13">
        <v>70980</v>
      </c>
      <c r="B990" s="9">
        <f>14.6296 * CHOOSE(CONTROL!$C$32, $C$9, 100%, $E$9)</f>
        <v>14.6296</v>
      </c>
      <c r="C990" s="9">
        <f>14.6296 * CHOOSE(CONTROL!$C$32, $C$9, 100%, $E$9)</f>
        <v>14.6296</v>
      </c>
      <c r="D990" s="9">
        <f>14.6311 * CHOOSE(CONTROL!$C$32, $C$9, 100%, $E$9)</f>
        <v>14.6311</v>
      </c>
      <c r="E990" s="11">
        <f>16.8993 * CHOOSE(CONTROL!$C$32, $C$9, 100%, $E$9)</f>
        <v>16.8993</v>
      </c>
      <c r="F990" s="11">
        <f>16.8993 * CHOOSE(CONTROL!$C$32, $C$9, 100%, $E$9)</f>
        <v>16.8993</v>
      </c>
      <c r="G990" s="11">
        <f>16.9046 * CHOOSE(CONTROL!$C$32, $C$9, 100%, $E$9)</f>
        <v>16.904599999999999</v>
      </c>
      <c r="H990" s="11">
        <f>33.6312 * CHOOSE(CONTROL!$C$32, $C$9, 100%, $E$9)</f>
        <v>33.6312</v>
      </c>
      <c r="I990" s="11">
        <f>33.6365 * CHOOSE(CONTROL!$C$32, $C$9, 100%, $E$9)</f>
        <v>33.636499999999998</v>
      </c>
      <c r="J990" s="11">
        <f>33.6312 * CHOOSE(CONTROL!$C$32, $C$9, 100%, $E$9)</f>
        <v>33.6312</v>
      </c>
      <c r="K990" s="11">
        <f>33.6365 * CHOOSE(CONTROL!$C$32, $C$9, 100%, $E$9)</f>
        <v>33.636499999999998</v>
      </c>
      <c r="L990" s="11">
        <f>16.8993 * CHOOSE(CONTROL!$C$32, $C$9, 100%, $E$9)</f>
        <v>16.8993</v>
      </c>
      <c r="M990" s="11">
        <f>16.9046 * CHOOSE(CONTROL!$C$32, $C$9, 100%, $E$9)</f>
        <v>16.904599999999999</v>
      </c>
      <c r="N990" s="11">
        <f>16.8993 * CHOOSE(CONTROL!$C$32, $C$9, 100%, $E$9)</f>
        <v>16.8993</v>
      </c>
      <c r="O990" s="11">
        <f>16.9046 * CHOOSE(CONTROL!$C$32, $C$9, 100%, $E$9)</f>
        <v>16.904599999999999</v>
      </c>
    </row>
    <row r="991" spans="1:15" ht="15" x14ac:dyDescent="0.2">
      <c r="A991" s="13">
        <v>71011</v>
      </c>
      <c r="B991" s="9">
        <f>14.6356 * CHOOSE(CONTROL!$C$32, $C$9, 100%, $E$9)</f>
        <v>14.6356</v>
      </c>
      <c r="C991" s="9">
        <f>14.6356 * CHOOSE(CONTROL!$C$32, $C$9, 100%, $E$9)</f>
        <v>14.6356</v>
      </c>
      <c r="D991" s="9">
        <f>14.6372 * CHOOSE(CONTROL!$C$32, $C$9, 100%, $E$9)</f>
        <v>14.6372</v>
      </c>
      <c r="E991" s="11">
        <f>16.7578 * CHOOSE(CONTROL!$C$32, $C$9, 100%, $E$9)</f>
        <v>16.7578</v>
      </c>
      <c r="F991" s="11">
        <f>16.7578 * CHOOSE(CONTROL!$C$32, $C$9, 100%, $E$9)</f>
        <v>16.7578</v>
      </c>
      <c r="G991" s="11">
        <f>16.7631 * CHOOSE(CONTROL!$C$32, $C$9, 100%, $E$9)</f>
        <v>16.763100000000001</v>
      </c>
      <c r="H991" s="11">
        <f>33.7013 * CHOOSE(CONTROL!$C$32, $C$9, 100%, $E$9)</f>
        <v>33.701300000000003</v>
      </c>
      <c r="I991" s="11">
        <f>33.7066 * CHOOSE(CONTROL!$C$32, $C$9, 100%, $E$9)</f>
        <v>33.706600000000002</v>
      </c>
      <c r="J991" s="11">
        <f>33.7013 * CHOOSE(CONTROL!$C$32, $C$9, 100%, $E$9)</f>
        <v>33.701300000000003</v>
      </c>
      <c r="K991" s="11">
        <f>33.7066 * CHOOSE(CONTROL!$C$32, $C$9, 100%, $E$9)</f>
        <v>33.706600000000002</v>
      </c>
      <c r="L991" s="11">
        <f>16.7578 * CHOOSE(CONTROL!$C$32, $C$9, 100%, $E$9)</f>
        <v>16.7578</v>
      </c>
      <c r="M991" s="11">
        <f>16.7631 * CHOOSE(CONTROL!$C$32, $C$9, 100%, $E$9)</f>
        <v>16.763100000000001</v>
      </c>
      <c r="N991" s="11">
        <f>16.7578 * CHOOSE(CONTROL!$C$32, $C$9, 100%, $E$9)</f>
        <v>16.7578</v>
      </c>
      <c r="O991" s="11">
        <f>16.7631 * CHOOSE(CONTROL!$C$32, $C$9, 100%, $E$9)</f>
        <v>16.763100000000001</v>
      </c>
    </row>
    <row r="992" spans="1:15" ht="15" x14ac:dyDescent="0.2">
      <c r="A992" s="13">
        <v>71041</v>
      </c>
      <c r="B992" s="9">
        <f>14.8109 * CHOOSE(CONTROL!$C$32, $C$9, 100%, $E$9)</f>
        <v>14.8109</v>
      </c>
      <c r="C992" s="9">
        <f>14.8109 * CHOOSE(CONTROL!$C$32, $C$9, 100%, $E$9)</f>
        <v>14.8109</v>
      </c>
      <c r="D992" s="9">
        <f>14.8124 * CHOOSE(CONTROL!$C$32, $C$9, 100%, $E$9)</f>
        <v>14.8124</v>
      </c>
      <c r="E992" s="11">
        <f>16.996 * CHOOSE(CONTROL!$C$32, $C$9, 100%, $E$9)</f>
        <v>16.995999999999999</v>
      </c>
      <c r="F992" s="11">
        <f>16.996 * CHOOSE(CONTROL!$C$32, $C$9, 100%, $E$9)</f>
        <v>16.995999999999999</v>
      </c>
      <c r="G992" s="11">
        <f>17.0013 * CHOOSE(CONTROL!$C$32, $C$9, 100%, $E$9)</f>
        <v>17.001300000000001</v>
      </c>
      <c r="H992" s="11">
        <f>33.7715 * CHOOSE(CONTROL!$C$32, $C$9, 100%, $E$9)</f>
        <v>33.771500000000003</v>
      </c>
      <c r="I992" s="11">
        <f>33.7768 * CHOOSE(CONTROL!$C$32, $C$9, 100%, $E$9)</f>
        <v>33.776800000000001</v>
      </c>
      <c r="J992" s="11">
        <f>33.7715 * CHOOSE(CONTROL!$C$32, $C$9, 100%, $E$9)</f>
        <v>33.771500000000003</v>
      </c>
      <c r="K992" s="11">
        <f>33.7768 * CHOOSE(CONTROL!$C$32, $C$9, 100%, $E$9)</f>
        <v>33.776800000000001</v>
      </c>
      <c r="L992" s="11">
        <f>16.996 * CHOOSE(CONTROL!$C$32, $C$9, 100%, $E$9)</f>
        <v>16.995999999999999</v>
      </c>
      <c r="M992" s="11">
        <f>17.0013 * CHOOSE(CONTROL!$C$32, $C$9, 100%, $E$9)</f>
        <v>17.001300000000001</v>
      </c>
      <c r="N992" s="11">
        <f>16.996 * CHOOSE(CONTROL!$C$32, $C$9, 100%, $E$9)</f>
        <v>16.995999999999999</v>
      </c>
      <c r="O992" s="11">
        <f>17.0013 * CHOOSE(CONTROL!$C$32, $C$9, 100%, $E$9)</f>
        <v>17.001300000000001</v>
      </c>
    </row>
    <row r="993" spans="1:15" ht="15" x14ac:dyDescent="0.2">
      <c r="A993" s="13">
        <v>71072</v>
      </c>
      <c r="B993" s="9">
        <f>14.8175 * CHOOSE(CONTROL!$C$32, $C$9, 100%, $E$9)</f>
        <v>14.817500000000001</v>
      </c>
      <c r="C993" s="9">
        <f>14.8175 * CHOOSE(CONTROL!$C$32, $C$9, 100%, $E$9)</f>
        <v>14.817500000000001</v>
      </c>
      <c r="D993" s="9">
        <f>14.8191 * CHOOSE(CONTROL!$C$32, $C$9, 100%, $E$9)</f>
        <v>14.819100000000001</v>
      </c>
      <c r="E993" s="11">
        <f>16.5635 * CHOOSE(CONTROL!$C$32, $C$9, 100%, $E$9)</f>
        <v>16.563500000000001</v>
      </c>
      <c r="F993" s="11">
        <f>16.5635 * CHOOSE(CONTROL!$C$32, $C$9, 100%, $E$9)</f>
        <v>16.563500000000001</v>
      </c>
      <c r="G993" s="11">
        <f>16.5688 * CHOOSE(CONTROL!$C$32, $C$9, 100%, $E$9)</f>
        <v>16.5688</v>
      </c>
      <c r="H993" s="11">
        <f>33.8419 * CHOOSE(CONTROL!$C$32, $C$9, 100%, $E$9)</f>
        <v>33.841900000000003</v>
      </c>
      <c r="I993" s="11">
        <f>33.8472 * CHOOSE(CONTROL!$C$32, $C$9, 100%, $E$9)</f>
        <v>33.847200000000001</v>
      </c>
      <c r="J993" s="11">
        <f>33.8419 * CHOOSE(CONTROL!$C$32, $C$9, 100%, $E$9)</f>
        <v>33.841900000000003</v>
      </c>
      <c r="K993" s="11">
        <f>33.8472 * CHOOSE(CONTROL!$C$32, $C$9, 100%, $E$9)</f>
        <v>33.847200000000001</v>
      </c>
      <c r="L993" s="11">
        <f>16.5635 * CHOOSE(CONTROL!$C$32, $C$9, 100%, $E$9)</f>
        <v>16.563500000000001</v>
      </c>
      <c r="M993" s="11">
        <f>16.5688 * CHOOSE(CONTROL!$C$32, $C$9, 100%, $E$9)</f>
        <v>16.5688</v>
      </c>
      <c r="N993" s="11">
        <f>16.5635 * CHOOSE(CONTROL!$C$32, $C$9, 100%, $E$9)</f>
        <v>16.563500000000001</v>
      </c>
      <c r="O993" s="11">
        <f>16.5688 * CHOOSE(CONTROL!$C$32, $C$9, 100%, $E$9)</f>
        <v>16.5688</v>
      </c>
    </row>
    <row r="994" spans="1:15" ht="15" x14ac:dyDescent="0.2">
      <c r="A994" s="13">
        <v>71103</v>
      </c>
      <c r="B994" s="9">
        <f>14.8145 * CHOOSE(CONTROL!$C$32, $C$9, 100%, $E$9)</f>
        <v>14.814500000000001</v>
      </c>
      <c r="C994" s="9">
        <f>14.8145 * CHOOSE(CONTROL!$C$32, $C$9, 100%, $E$9)</f>
        <v>14.814500000000001</v>
      </c>
      <c r="D994" s="9">
        <f>14.8161 * CHOOSE(CONTROL!$C$32, $C$9, 100%, $E$9)</f>
        <v>14.8161</v>
      </c>
      <c r="E994" s="11">
        <f>16.5129 * CHOOSE(CONTROL!$C$32, $C$9, 100%, $E$9)</f>
        <v>16.512899999999998</v>
      </c>
      <c r="F994" s="11">
        <f>16.5129 * CHOOSE(CONTROL!$C$32, $C$9, 100%, $E$9)</f>
        <v>16.512899999999998</v>
      </c>
      <c r="G994" s="11">
        <f>16.5181 * CHOOSE(CONTROL!$C$32, $C$9, 100%, $E$9)</f>
        <v>16.5181</v>
      </c>
      <c r="H994" s="11">
        <f>33.9124 * CHOOSE(CONTROL!$C$32, $C$9, 100%, $E$9)</f>
        <v>33.912399999999998</v>
      </c>
      <c r="I994" s="11">
        <f>33.9177 * CHOOSE(CONTROL!$C$32, $C$9, 100%, $E$9)</f>
        <v>33.917700000000004</v>
      </c>
      <c r="J994" s="11">
        <f>33.9124 * CHOOSE(CONTROL!$C$32, $C$9, 100%, $E$9)</f>
        <v>33.912399999999998</v>
      </c>
      <c r="K994" s="11">
        <f>33.9177 * CHOOSE(CONTROL!$C$32, $C$9, 100%, $E$9)</f>
        <v>33.917700000000004</v>
      </c>
      <c r="L994" s="11">
        <f>16.5129 * CHOOSE(CONTROL!$C$32, $C$9, 100%, $E$9)</f>
        <v>16.512899999999998</v>
      </c>
      <c r="M994" s="11">
        <f>16.5181 * CHOOSE(CONTROL!$C$32, $C$9, 100%, $E$9)</f>
        <v>16.5181</v>
      </c>
      <c r="N994" s="11">
        <f>16.5129 * CHOOSE(CONTROL!$C$32, $C$9, 100%, $E$9)</f>
        <v>16.512899999999998</v>
      </c>
      <c r="O994" s="11">
        <f>16.5181 * CHOOSE(CONTROL!$C$32, $C$9, 100%, $E$9)</f>
        <v>16.5181</v>
      </c>
    </row>
    <row r="995" spans="1:15" ht="15" x14ac:dyDescent="0.2">
      <c r="A995" s="13">
        <v>71133</v>
      </c>
      <c r="B995" s="9">
        <f>14.85 * CHOOSE(CONTROL!$C$32, $C$9, 100%, $E$9)</f>
        <v>14.85</v>
      </c>
      <c r="C995" s="9">
        <f>14.85 * CHOOSE(CONTROL!$C$32, $C$9, 100%, $E$9)</f>
        <v>14.85</v>
      </c>
      <c r="D995" s="9">
        <f>14.8511 * CHOOSE(CONTROL!$C$32, $C$9, 100%, $E$9)</f>
        <v>14.851100000000001</v>
      </c>
      <c r="E995" s="11">
        <f>16.6937 * CHOOSE(CONTROL!$C$32, $C$9, 100%, $E$9)</f>
        <v>16.6937</v>
      </c>
      <c r="F995" s="11">
        <f>16.6937 * CHOOSE(CONTROL!$C$32, $C$9, 100%, $E$9)</f>
        <v>16.6937</v>
      </c>
      <c r="G995" s="11">
        <f>16.6973 * CHOOSE(CONTROL!$C$32, $C$9, 100%, $E$9)</f>
        <v>16.697299999999998</v>
      </c>
      <c r="H995" s="11">
        <f>33.983 * CHOOSE(CONTROL!$C$32, $C$9, 100%, $E$9)</f>
        <v>33.982999999999997</v>
      </c>
      <c r="I995" s="11">
        <f>33.9866 * CHOOSE(CONTROL!$C$32, $C$9, 100%, $E$9)</f>
        <v>33.986600000000003</v>
      </c>
      <c r="J995" s="11">
        <f>33.983 * CHOOSE(CONTROL!$C$32, $C$9, 100%, $E$9)</f>
        <v>33.982999999999997</v>
      </c>
      <c r="K995" s="11">
        <f>33.9866 * CHOOSE(CONTROL!$C$32, $C$9, 100%, $E$9)</f>
        <v>33.986600000000003</v>
      </c>
      <c r="L995" s="11">
        <f>16.6937 * CHOOSE(CONTROL!$C$32, $C$9, 100%, $E$9)</f>
        <v>16.6937</v>
      </c>
      <c r="M995" s="11">
        <f>16.6973 * CHOOSE(CONTROL!$C$32, $C$9, 100%, $E$9)</f>
        <v>16.697299999999998</v>
      </c>
      <c r="N995" s="11">
        <f>16.6937 * CHOOSE(CONTROL!$C$32, $C$9, 100%, $E$9)</f>
        <v>16.6937</v>
      </c>
      <c r="O995" s="11">
        <f>16.6973 * CHOOSE(CONTROL!$C$32, $C$9, 100%, $E$9)</f>
        <v>16.697299999999998</v>
      </c>
    </row>
    <row r="996" spans="1:15" ht="15" x14ac:dyDescent="0.2">
      <c r="A996" s="13">
        <v>71164</v>
      </c>
      <c r="B996" s="9">
        <f>14.8531 * CHOOSE(CONTROL!$C$32, $C$9, 100%, $E$9)</f>
        <v>14.8531</v>
      </c>
      <c r="C996" s="9">
        <f>14.8531 * CHOOSE(CONTROL!$C$32, $C$9, 100%, $E$9)</f>
        <v>14.8531</v>
      </c>
      <c r="D996" s="9">
        <f>14.8541 * CHOOSE(CONTROL!$C$32, $C$9, 100%, $E$9)</f>
        <v>14.854100000000001</v>
      </c>
      <c r="E996" s="11">
        <f>16.793 * CHOOSE(CONTROL!$C$32, $C$9, 100%, $E$9)</f>
        <v>16.792999999999999</v>
      </c>
      <c r="F996" s="11">
        <f>16.793 * CHOOSE(CONTROL!$C$32, $C$9, 100%, $E$9)</f>
        <v>16.792999999999999</v>
      </c>
      <c r="G996" s="11">
        <f>16.7966 * CHOOSE(CONTROL!$C$32, $C$9, 100%, $E$9)</f>
        <v>16.796600000000002</v>
      </c>
      <c r="H996" s="11">
        <f>34.0538 * CHOOSE(CONTROL!$C$32, $C$9, 100%, $E$9)</f>
        <v>34.053800000000003</v>
      </c>
      <c r="I996" s="11">
        <f>34.0574 * CHOOSE(CONTROL!$C$32, $C$9, 100%, $E$9)</f>
        <v>34.057400000000001</v>
      </c>
      <c r="J996" s="11">
        <f>34.0538 * CHOOSE(CONTROL!$C$32, $C$9, 100%, $E$9)</f>
        <v>34.053800000000003</v>
      </c>
      <c r="K996" s="11">
        <f>34.0574 * CHOOSE(CONTROL!$C$32, $C$9, 100%, $E$9)</f>
        <v>34.057400000000001</v>
      </c>
      <c r="L996" s="11">
        <f>16.793 * CHOOSE(CONTROL!$C$32, $C$9, 100%, $E$9)</f>
        <v>16.792999999999999</v>
      </c>
      <c r="M996" s="11">
        <f>16.7966 * CHOOSE(CONTROL!$C$32, $C$9, 100%, $E$9)</f>
        <v>16.796600000000002</v>
      </c>
      <c r="N996" s="11">
        <f>16.793 * CHOOSE(CONTROL!$C$32, $C$9, 100%, $E$9)</f>
        <v>16.792999999999999</v>
      </c>
      <c r="O996" s="11">
        <f>16.7966 * CHOOSE(CONTROL!$C$32, $C$9, 100%, $E$9)</f>
        <v>16.796600000000002</v>
      </c>
    </row>
    <row r="997" spans="1:15" ht="15" x14ac:dyDescent="0.2">
      <c r="A997" s="13">
        <v>71194</v>
      </c>
      <c r="B997" s="9">
        <f>14.8531 * CHOOSE(CONTROL!$C$32, $C$9, 100%, $E$9)</f>
        <v>14.8531</v>
      </c>
      <c r="C997" s="9">
        <f>14.8531 * CHOOSE(CONTROL!$C$32, $C$9, 100%, $E$9)</f>
        <v>14.8531</v>
      </c>
      <c r="D997" s="9">
        <f>14.8541 * CHOOSE(CONTROL!$C$32, $C$9, 100%, $E$9)</f>
        <v>14.854100000000001</v>
      </c>
      <c r="E997" s="11">
        <f>16.5501 * CHOOSE(CONTROL!$C$32, $C$9, 100%, $E$9)</f>
        <v>16.5501</v>
      </c>
      <c r="F997" s="11">
        <f>16.5501 * CHOOSE(CONTROL!$C$32, $C$9, 100%, $E$9)</f>
        <v>16.5501</v>
      </c>
      <c r="G997" s="11">
        <f>16.5537 * CHOOSE(CONTROL!$C$32, $C$9, 100%, $E$9)</f>
        <v>16.553699999999999</v>
      </c>
      <c r="H997" s="11">
        <f>34.1248 * CHOOSE(CONTROL!$C$32, $C$9, 100%, $E$9)</f>
        <v>34.1248</v>
      </c>
      <c r="I997" s="11">
        <f>34.1284 * CHOOSE(CONTROL!$C$32, $C$9, 100%, $E$9)</f>
        <v>34.128399999999999</v>
      </c>
      <c r="J997" s="11">
        <f>34.1248 * CHOOSE(CONTROL!$C$32, $C$9, 100%, $E$9)</f>
        <v>34.1248</v>
      </c>
      <c r="K997" s="11">
        <f>34.1284 * CHOOSE(CONTROL!$C$32, $C$9, 100%, $E$9)</f>
        <v>34.128399999999999</v>
      </c>
      <c r="L997" s="11">
        <f>16.5501 * CHOOSE(CONTROL!$C$32, $C$9, 100%, $E$9)</f>
        <v>16.5501</v>
      </c>
      <c r="M997" s="11">
        <f>16.5537 * CHOOSE(CONTROL!$C$32, $C$9, 100%, $E$9)</f>
        <v>16.553699999999999</v>
      </c>
      <c r="N997" s="11">
        <f>16.5501 * CHOOSE(CONTROL!$C$32, $C$9, 100%, $E$9)</f>
        <v>16.5501</v>
      </c>
      <c r="O997" s="11">
        <f>16.5537 * CHOOSE(CONTROL!$C$32, $C$9, 100%, $E$9)</f>
        <v>16.553699999999999</v>
      </c>
    </row>
    <row r="998" spans="1:15" ht="15" x14ac:dyDescent="0.2">
      <c r="A998" s="13">
        <v>71225</v>
      </c>
      <c r="B998" s="9">
        <f>14.815 * CHOOSE(CONTROL!$C$32, $C$9, 100%, $E$9)</f>
        <v>14.815</v>
      </c>
      <c r="C998" s="9">
        <f>14.815 * CHOOSE(CONTROL!$C$32, $C$9, 100%, $E$9)</f>
        <v>14.815</v>
      </c>
      <c r="D998" s="9">
        <f>14.8161 * CHOOSE(CONTROL!$C$32, $C$9, 100%, $E$9)</f>
        <v>14.8161</v>
      </c>
      <c r="E998" s="11">
        <f>16.6831 * CHOOSE(CONTROL!$C$32, $C$9, 100%, $E$9)</f>
        <v>16.6831</v>
      </c>
      <c r="F998" s="11">
        <f>16.6831 * CHOOSE(CONTROL!$C$32, $C$9, 100%, $E$9)</f>
        <v>16.6831</v>
      </c>
      <c r="G998" s="11">
        <f>16.6867 * CHOOSE(CONTROL!$C$32, $C$9, 100%, $E$9)</f>
        <v>16.686699999999998</v>
      </c>
      <c r="H998" s="11">
        <f>33.8059 * CHOOSE(CONTROL!$C$32, $C$9, 100%, $E$9)</f>
        <v>33.805900000000001</v>
      </c>
      <c r="I998" s="11">
        <f>33.8096 * CHOOSE(CONTROL!$C$32, $C$9, 100%, $E$9)</f>
        <v>33.809600000000003</v>
      </c>
      <c r="J998" s="11">
        <f>33.8059 * CHOOSE(CONTROL!$C$32, $C$9, 100%, $E$9)</f>
        <v>33.805900000000001</v>
      </c>
      <c r="K998" s="11">
        <f>33.8096 * CHOOSE(CONTROL!$C$32, $C$9, 100%, $E$9)</f>
        <v>33.809600000000003</v>
      </c>
      <c r="L998" s="11">
        <f>16.6831 * CHOOSE(CONTROL!$C$32, $C$9, 100%, $E$9)</f>
        <v>16.6831</v>
      </c>
      <c r="M998" s="11">
        <f>16.6867 * CHOOSE(CONTROL!$C$32, $C$9, 100%, $E$9)</f>
        <v>16.686699999999998</v>
      </c>
      <c r="N998" s="11">
        <f>16.6831 * CHOOSE(CONTROL!$C$32, $C$9, 100%, $E$9)</f>
        <v>16.6831</v>
      </c>
      <c r="O998" s="11">
        <f>16.6867 * CHOOSE(CONTROL!$C$32, $C$9, 100%, $E$9)</f>
        <v>16.686699999999998</v>
      </c>
    </row>
    <row r="999" spans="1:15" ht="15" x14ac:dyDescent="0.2">
      <c r="A999" s="13">
        <v>71256</v>
      </c>
      <c r="B999" s="9">
        <f>14.812 * CHOOSE(CONTROL!$C$32, $C$9, 100%, $E$9)</f>
        <v>14.811999999999999</v>
      </c>
      <c r="C999" s="9">
        <f>14.812 * CHOOSE(CONTROL!$C$32, $C$9, 100%, $E$9)</f>
        <v>14.811999999999999</v>
      </c>
      <c r="D999" s="9">
        <f>14.8131 * CHOOSE(CONTROL!$C$32, $C$9, 100%, $E$9)</f>
        <v>14.8131</v>
      </c>
      <c r="E999" s="11">
        <f>16.215 * CHOOSE(CONTROL!$C$32, $C$9, 100%, $E$9)</f>
        <v>16.215</v>
      </c>
      <c r="F999" s="11">
        <f>16.215 * CHOOSE(CONTROL!$C$32, $C$9, 100%, $E$9)</f>
        <v>16.215</v>
      </c>
      <c r="G999" s="11">
        <f>16.2186 * CHOOSE(CONTROL!$C$32, $C$9, 100%, $E$9)</f>
        <v>16.218599999999999</v>
      </c>
      <c r="H999" s="11">
        <f>33.8764 * CHOOSE(CONTROL!$C$32, $C$9, 100%, $E$9)</f>
        <v>33.876399999999997</v>
      </c>
      <c r="I999" s="11">
        <f>33.88 * CHOOSE(CONTROL!$C$32, $C$9, 100%, $E$9)</f>
        <v>33.880000000000003</v>
      </c>
      <c r="J999" s="11">
        <f>33.8764 * CHOOSE(CONTROL!$C$32, $C$9, 100%, $E$9)</f>
        <v>33.876399999999997</v>
      </c>
      <c r="K999" s="11">
        <f>33.88 * CHOOSE(CONTROL!$C$32, $C$9, 100%, $E$9)</f>
        <v>33.880000000000003</v>
      </c>
      <c r="L999" s="11">
        <f>16.215 * CHOOSE(CONTROL!$C$32, $C$9, 100%, $E$9)</f>
        <v>16.215</v>
      </c>
      <c r="M999" s="11">
        <f>16.2186 * CHOOSE(CONTROL!$C$32, $C$9, 100%, $E$9)</f>
        <v>16.218599999999999</v>
      </c>
      <c r="N999" s="11">
        <f>16.215 * CHOOSE(CONTROL!$C$32, $C$9, 100%, $E$9)</f>
        <v>16.215</v>
      </c>
      <c r="O999" s="11">
        <f>16.2186 * CHOOSE(CONTROL!$C$32, $C$9, 100%, $E$9)</f>
        <v>16.218599999999999</v>
      </c>
    </row>
    <row r="1000" spans="1:15" ht="15" x14ac:dyDescent="0.2">
      <c r="A1000" s="13">
        <v>71284</v>
      </c>
      <c r="B1000" s="9">
        <f>14.8089 * CHOOSE(CONTROL!$C$32, $C$9, 100%, $E$9)</f>
        <v>14.8089</v>
      </c>
      <c r="C1000" s="9">
        <f>14.8089 * CHOOSE(CONTROL!$C$32, $C$9, 100%, $E$9)</f>
        <v>14.8089</v>
      </c>
      <c r="D1000" s="9">
        <f>14.81 * CHOOSE(CONTROL!$C$32, $C$9, 100%, $E$9)</f>
        <v>14.81</v>
      </c>
      <c r="E1000" s="11">
        <f>16.5802 * CHOOSE(CONTROL!$C$32, $C$9, 100%, $E$9)</f>
        <v>16.580200000000001</v>
      </c>
      <c r="F1000" s="11">
        <f>16.5802 * CHOOSE(CONTROL!$C$32, $C$9, 100%, $E$9)</f>
        <v>16.580200000000001</v>
      </c>
      <c r="G1000" s="11">
        <f>16.5839 * CHOOSE(CONTROL!$C$32, $C$9, 100%, $E$9)</f>
        <v>16.5839</v>
      </c>
      <c r="H1000" s="11">
        <f>33.9469 * CHOOSE(CONTROL!$C$32, $C$9, 100%, $E$9)</f>
        <v>33.946899999999999</v>
      </c>
      <c r="I1000" s="11">
        <f>33.9506 * CHOOSE(CONTROL!$C$32, $C$9, 100%, $E$9)</f>
        <v>33.950600000000001</v>
      </c>
      <c r="J1000" s="11">
        <f>33.9469 * CHOOSE(CONTROL!$C$32, $C$9, 100%, $E$9)</f>
        <v>33.946899999999999</v>
      </c>
      <c r="K1000" s="11">
        <f>33.9506 * CHOOSE(CONTROL!$C$32, $C$9, 100%, $E$9)</f>
        <v>33.950600000000001</v>
      </c>
      <c r="L1000" s="11">
        <f>16.5802 * CHOOSE(CONTROL!$C$32, $C$9, 100%, $E$9)</f>
        <v>16.580200000000001</v>
      </c>
      <c r="M1000" s="11">
        <f>16.5839 * CHOOSE(CONTROL!$C$32, $C$9, 100%, $E$9)</f>
        <v>16.5839</v>
      </c>
      <c r="N1000" s="11">
        <f>16.5802 * CHOOSE(CONTROL!$C$32, $C$9, 100%, $E$9)</f>
        <v>16.580200000000001</v>
      </c>
      <c r="O1000" s="11">
        <f>16.5839 * CHOOSE(CONTROL!$C$32, $C$9, 100%, $E$9)</f>
        <v>16.5839</v>
      </c>
    </row>
    <row r="1001" spans="1:15" ht="15" x14ac:dyDescent="0.2">
      <c r="A1001" s="13">
        <v>71315</v>
      </c>
      <c r="B1001" s="9">
        <f>14.8171 * CHOOSE(CONTROL!$C$32, $C$9, 100%, $E$9)</f>
        <v>14.8171</v>
      </c>
      <c r="C1001" s="9">
        <f>14.8171 * CHOOSE(CONTROL!$C$32, $C$9, 100%, $E$9)</f>
        <v>14.8171</v>
      </c>
      <c r="D1001" s="9">
        <f>14.8182 * CHOOSE(CONTROL!$C$32, $C$9, 100%, $E$9)</f>
        <v>14.818199999999999</v>
      </c>
      <c r="E1001" s="11">
        <f>16.9706 * CHOOSE(CONTROL!$C$32, $C$9, 100%, $E$9)</f>
        <v>16.970600000000001</v>
      </c>
      <c r="F1001" s="11">
        <f>16.9706 * CHOOSE(CONTROL!$C$32, $C$9, 100%, $E$9)</f>
        <v>16.970600000000001</v>
      </c>
      <c r="G1001" s="11">
        <f>16.9742 * CHOOSE(CONTROL!$C$32, $C$9, 100%, $E$9)</f>
        <v>16.9742</v>
      </c>
      <c r="H1001" s="11">
        <f>34.0177 * CHOOSE(CONTROL!$C$32, $C$9, 100%, $E$9)</f>
        <v>34.017699999999998</v>
      </c>
      <c r="I1001" s="11">
        <f>34.0213 * CHOOSE(CONTROL!$C$32, $C$9, 100%, $E$9)</f>
        <v>34.021299999999997</v>
      </c>
      <c r="J1001" s="11">
        <f>34.0177 * CHOOSE(CONTROL!$C$32, $C$9, 100%, $E$9)</f>
        <v>34.017699999999998</v>
      </c>
      <c r="K1001" s="11">
        <f>34.0213 * CHOOSE(CONTROL!$C$32, $C$9, 100%, $E$9)</f>
        <v>34.021299999999997</v>
      </c>
      <c r="L1001" s="11">
        <f>16.9706 * CHOOSE(CONTROL!$C$32, $C$9, 100%, $E$9)</f>
        <v>16.970600000000001</v>
      </c>
      <c r="M1001" s="11">
        <f>16.9742 * CHOOSE(CONTROL!$C$32, $C$9, 100%, $E$9)</f>
        <v>16.9742</v>
      </c>
      <c r="N1001" s="11">
        <f>16.9706 * CHOOSE(CONTROL!$C$32, $C$9, 100%, $E$9)</f>
        <v>16.970600000000001</v>
      </c>
      <c r="O1001" s="11">
        <f>16.9742 * CHOOSE(CONTROL!$C$32, $C$9, 100%, $E$9)</f>
        <v>16.9742</v>
      </c>
    </row>
    <row r="1002" spans="1:15" ht="15" x14ac:dyDescent="0.2">
      <c r="A1002" s="13">
        <v>71345</v>
      </c>
      <c r="B1002" s="9">
        <f>14.8171 * CHOOSE(CONTROL!$C$32, $C$9, 100%, $E$9)</f>
        <v>14.8171</v>
      </c>
      <c r="C1002" s="9">
        <f>14.8171 * CHOOSE(CONTROL!$C$32, $C$9, 100%, $E$9)</f>
        <v>14.8171</v>
      </c>
      <c r="D1002" s="9">
        <f>14.8187 * CHOOSE(CONTROL!$C$32, $C$9, 100%, $E$9)</f>
        <v>14.8187</v>
      </c>
      <c r="E1002" s="11">
        <f>17.1185 * CHOOSE(CONTROL!$C$32, $C$9, 100%, $E$9)</f>
        <v>17.118500000000001</v>
      </c>
      <c r="F1002" s="11">
        <f>17.1185 * CHOOSE(CONTROL!$C$32, $C$9, 100%, $E$9)</f>
        <v>17.118500000000001</v>
      </c>
      <c r="G1002" s="11">
        <f>17.1238 * CHOOSE(CONTROL!$C$32, $C$9, 100%, $E$9)</f>
        <v>17.123799999999999</v>
      </c>
      <c r="H1002" s="11">
        <f>34.0885 * CHOOSE(CONTROL!$C$32, $C$9, 100%, $E$9)</f>
        <v>34.088500000000003</v>
      </c>
      <c r="I1002" s="11">
        <f>34.0938 * CHOOSE(CONTROL!$C$32, $C$9, 100%, $E$9)</f>
        <v>34.093800000000002</v>
      </c>
      <c r="J1002" s="11">
        <f>34.0885 * CHOOSE(CONTROL!$C$32, $C$9, 100%, $E$9)</f>
        <v>34.088500000000003</v>
      </c>
      <c r="K1002" s="11">
        <f>34.0938 * CHOOSE(CONTROL!$C$32, $C$9, 100%, $E$9)</f>
        <v>34.093800000000002</v>
      </c>
      <c r="L1002" s="11">
        <f>17.1185 * CHOOSE(CONTROL!$C$32, $C$9, 100%, $E$9)</f>
        <v>17.118500000000001</v>
      </c>
      <c r="M1002" s="11">
        <f>17.1238 * CHOOSE(CONTROL!$C$32, $C$9, 100%, $E$9)</f>
        <v>17.123799999999999</v>
      </c>
      <c r="N1002" s="11">
        <f>17.1185 * CHOOSE(CONTROL!$C$32, $C$9, 100%, $E$9)</f>
        <v>17.118500000000001</v>
      </c>
      <c r="O1002" s="11">
        <f>17.1238 * CHOOSE(CONTROL!$C$32, $C$9, 100%, $E$9)</f>
        <v>17.123799999999999</v>
      </c>
    </row>
    <row r="1003" spans="1:15" ht="15" x14ac:dyDescent="0.2">
      <c r="A1003" s="13">
        <v>71376</v>
      </c>
      <c r="B1003" s="9">
        <f>14.8232 * CHOOSE(CONTROL!$C$32, $C$9, 100%, $E$9)</f>
        <v>14.8232</v>
      </c>
      <c r="C1003" s="9">
        <f>14.8232 * CHOOSE(CONTROL!$C$32, $C$9, 100%, $E$9)</f>
        <v>14.8232</v>
      </c>
      <c r="D1003" s="9">
        <f>14.8248 * CHOOSE(CONTROL!$C$32, $C$9, 100%, $E$9)</f>
        <v>14.8248</v>
      </c>
      <c r="E1003" s="11">
        <f>16.9748 * CHOOSE(CONTROL!$C$32, $C$9, 100%, $E$9)</f>
        <v>16.974799999999998</v>
      </c>
      <c r="F1003" s="11">
        <f>16.9748 * CHOOSE(CONTROL!$C$32, $C$9, 100%, $E$9)</f>
        <v>16.974799999999998</v>
      </c>
      <c r="G1003" s="11">
        <f>16.9801 * CHOOSE(CONTROL!$C$32, $C$9, 100%, $E$9)</f>
        <v>16.9801</v>
      </c>
      <c r="H1003" s="11">
        <f>34.1596 * CHOOSE(CONTROL!$C$32, $C$9, 100%, $E$9)</f>
        <v>34.159599999999998</v>
      </c>
      <c r="I1003" s="11">
        <f>34.1649 * CHOOSE(CONTROL!$C$32, $C$9, 100%, $E$9)</f>
        <v>34.164900000000003</v>
      </c>
      <c r="J1003" s="11">
        <f>34.1596 * CHOOSE(CONTROL!$C$32, $C$9, 100%, $E$9)</f>
        <v>34.159599999999998</v>
      </c>
      <c r="K1003" s="11">
        <f>34.1649 * CHOOSE(CONTROL!$C$32, $C$9, 100%, $E$9)</f>
        <v>34.164900000000003</v>
      </c>
      <c r="L1003" s="11">
        <f>16.9748 * CHOOSE(CONTROL!$C$32, $C$9, 100%, $E$9)</f>
        <v>16.974799999999998</v>
      </c>
      <c r="M1003" s="11">
        <f>16.9801 * CHOOSE(CONTROL!$C$32, $C$9, 100%, $E$9)</f>
        <v>16.9801</v>
      </c>
      <c r="N1003" s="11">
        <f>16.9748 * CHOOSE(CONTROL!$C$32, $C$9, 100%, $E$9)</f>
        <v>16.974799999999998</v>
      </c>
      <c r="O1003" s="11">
        <f>16.9801 * CHOOSE(CONTROL!$C$32, $C$9, 100%, $E$9)</f>
        <v>16.9801</v>
      </c>
    </row>
    <row r="1004" spans="1:15" ht="15" x14ac:dyDescent="0.2">
      <c r="A1004" s="13">
        <v>71406</v>
      </c>
      <c r="B1004" s="9">
        <f>15.0005 * CHOOSE(CONTROL!$C$32, $C$9, 100%, $E$9)</f>
        <v>15.000500000000001</v>
      </c>
      <c r="C1004" s="9">
        <f>15.0005 * CHOOSE(CONTROL!$C$32, $C$9, 100%, $E$9)</f>
        <v>15.000500000000001</v>
      </c>
      <c r="D1004" s="9">
        <f>15.002 * CHOOSE(CONTROL!$C$32, $C$9, 100%, $E$9)</f>
        <v>15.002000000000001</v>
      </c>
      <c r="E1004" s="11">
        <f>17.2162 * CHOOSE(CONTROL!$C$32, $C$9, 100%, $E$9)</f>
        <v>17.216200000000001</v>
      </c>
      <c r="F1004" s="11">
        <f>17.2162 * CHOOSE(CONTROL!$C$32, $C$9, 100%, $E$9)</f>
        <v>17.216200000000001</v>
      </c>
      <c r="G1004" s="11">
        <f>17.2215 * CHOOSE(CONTROL!$C$32, $C$9, 100%, $E$9)</f>
        <v>17.221499999999999</v>
      </c>
      <c r="H1004" s="11">
        <f>34.2307 * CHOOSE(CONTROL!$C$32, $C$9, 100%, $E$9)</f>
        <v>34.230699999999999</v>
      </c>
      <c r="I1004" s="11">
        <f>34.236 * CHOOSE(CONTROL!$C$32, $C$9, 100%, $E$9)</f>
        <v>34.235999999999997</v>
      </c>
      <c r="J1004" s="11">
        <f>34.2307 * CHOOSE(CONTROL!$C$32, $C$9, 100%, $E$9)</f>
        <v>34.230699999999999</v>
      </c>
      <c r="K1004" s="11">
        <f>34.236 * CHOOSE(CONTROL!$C$32, $C$9, 100%, $E$9)</f>
        <v>34.235999999999997</v>
      </c>
      <c r="L1004" s="11">
        <f>17.2162 * CHOOSE(CONTROL!$C$32, $C$9, 100%, $E$9)</f>
        <v>17.216200000000001</v>
      </c>
      <c r="M1004" s="11">
        <f>17.2215 * CHOOSE(CONTROL!$C$32, $C$9, 100%, $E$9)</f>
        <v>17.221499999999999</v>
      </c>
      <c r="N1004" s="11">
        <f>17.2162 * CHOOSE(CONTROL!$C$32, $C$9, 100%, $E$9)</f>
        <v>17.216200000000001</v>
      </c>
      <c r="O1004" s="11">
        <f>17.2215 * CHOOSE(CONTROL!$C$32, $C$9, 100%, $E$9)</f>
        <v>17.221499999999999</v>
      </c>
    </row>
    <row r="1005" spans="1:15" ht="15" x14ac:dyDescent="0.2">
      <c r="A1005" s="13">
        <v>71437</v>
      </c>
      <c r="B1005" s="9">
        <f>15.0071 * CHOOSE(CONTROL!$C$32, $C$9, 100%, $E$9)</f>
        <v>15.007099999999999</v>
      </c>
      <c r="C1005" s="9">
        <f>15.0071 * CHOOSE(CONTROL!$C$32, $C$9, 100%, $E$9)</f>
        <v>15.007099999999999</v>
      </c>
      <c r="D1005" s="9">
        <f>15.0087 * CHOOSE(CONTROL!$C$32, $C$9, 100%, $E$9)</f>
        <v>15.008699999999999</v>
      </c>
      <c r="E1005" s="11">
        <f>16.777 * CHOOSE(CONTROL!$C$32, $C$9, 100%, $E$9)</f>
        <v>16.777000000000001</v>
      </c>
      <c r="F1005" s="11">
        <f>16.777 * CHOOSE(CONTROL!$C$32, $C$9, 100%, $E$9)</f>
        <v>16.777000000000001</v>
      </c>
      <c r="G1005" s="11">
        <f>16.7823 * CHOOSE(CONTROL!$C$32, $C$9, 100%, $E$9)</f>
        <v>16.782299999999999</v>
      </c>
      <c r="H1005" s="11">
        <f>34.302 * CHOOSE(CONTROL!$C$32, $C$9, 100%, $E$9)</f>
        <v>34.302</v>
      </c>
      <c r="I1005" s="11">
        <f>34.3073 * CHOOSE(CONTROL!$C$32, $C$9, 100%, $E$9)</f>
        <v>34.307299999999998</v>
      </c>
      <c r="J1005" s="11">
        <f>34.302 * CHOOSE(CONTROL!$C$32, $C$9, 100%, $E$9)</f>
        <v>34.302</v>
      </c>
      <c r="K1005" s="11">
        <f>34.3073 * CHOOSE(CONTROL!$C$32, $C$9, 100%, $E$9)</f>
        <v>34.307299999999998</v>
      </c>
      <c r="L1005" s="11">
        <f>16.777 * CHOOSE(CONTROL!$C$32, $C$9, 100%, $E$9)</f>
        <v>16.777000000000001</v>
      </c>
      <c r="M1005" s="11">
        <f>16.7823 * CHOOSE(CONTROL!$C$32, $C$9, 100%, $E$9)</f>
        <v>16.782299999999999</v>
      </c>
      <c r="N1005" s="11">
        <f>16.777 * CHOOSE(CONTROL!$C$32, $C$9, 100%, $E$9)</f>
        <v>16.777000000000001</v>
      </c>
      <c r="O1005" s="11">
        <f>16.7823 * CHOOSE(CONTROL!$C$32, $C$9, 100%, $E$9)</f>
        <v>16.782299999999999</v>
      </c>
    </row>
    <row r="1006" spans="1:15" ht="15" x14ac:dyDescent="0.2">
      <c r="A1006" s="13">
        <v>71468</v>
      </c>
      <c r="B1006" s="9">
        <f>15.0041 * CHOOSE(CONTROL!$C$32, $C$9, 100%, $E$9)</f>
        <v>15.004099999999999</v>
      </c>
      <c r="C1006" s="9">
        <f>15.0041 * CHOOSE(CONTROL!$C$32, $C$9, 100%, $E$9)</f>
        <v>15.004099999999999</v>
      </c>
      <c r="D1006" s="9">
        <f>15.0057 * CHOOSE(CONTROL!$C$32, $C$9, 100%, $E$9)</f>
        <v>15.005699999999999</v>
      </c>
      <c r="E1006" s="11">
        <f>16.7255 * CHOOSE(CONTROL!$C$32, $C$9, 100%, $E$9)</f>
        <v>16.7255</v>
      </c>
      <c r="F1006" s="11">
        <f>16.7255 * CHOOSE(CONTROL!$C$32, $C$9, 100%, $E$9)</f>
        <v>16.7255</v>
      </c>
      <c r="G1006" s="11">
        <f>16.7308 * CHOOSE(CONTROL!$C$32, $C$9, 100%, $E$9)</f>
        <v>16.730799999999999</v>
      </c>
      <c r="H1006" s="11">
        <f>34.3735 * CHOOSE(CONTROL!$C$32, $C$9, 100%, $E$9)</f>
        <v>34.3735</v>
      </c>
      <c r="I1006" s="11">
        <f>34.3788 * CHOOSE(CONTROL!$C$32, $C$9, 100%, $E$9)</f>
        <v>34.378799999999998</v>
      </c>
      <c r="J1006" s="11">
        <f>34.3735 * CHOOSE(CONTROL!$C$32, $C$9, 100%, $E$9)</f>
        <v>34.3735</v>
      </c>
      <c r="K1006" s="11">
        <f>34.3788 * CHOOSE(CONTROL!$C$32, $C$9, 100%, $E$9)</f>
        <v>34.378799999999998</v>
      </c>
      <c r="L1006" s="11">
        <f>16.7255 * CHOOSE(CONTROL!$C$32, $C$9, 100%, $E$9)</f>
        <v>16.7255</v>
      </c>
      <c r="M1006" s="11">
        <f>16.7308 * CHOOSE(CONTROL!$C$32, $C$9, 100%, $E$9)</f>
        <v>16.730799999999999</v>
      </c>
      <c r="N1006" s="11">
        <f>16.7255 * CHOOSE(CONTROL!$C$32, $C$9, 100%, $E$9)</f>
        <v>16.7255</v>
      </c>
      <c r="O1006" s="11">
        <f>16.7308 * CHOOSE(CONTROL!$C$32, $C$9, 100%, $E$9)</f>
        <v>16.730799999999999</v>
      </c>
    </row>
    <row r="1007" spans="1:15" ht="15" x14ac:dyDescent="0.2">
      <c r="A1007" s="13">
        <v>71498</v>
      </c>
      <c r="B1007" s="9">
        <f>15.0403 * CHOOSE(CONTROL!$C$32, $C$9, 100%, $E$9)</f>
        <v>15.0403</v>
      </c>
      <c r="C1007" s="9">
        <f>15.0403 * CHOOSE(CONTROL!$C$32, $C$9, 100%, $E$9)</f>
        <v>15.0403</v>
      </c>
      <c r="D1007" s="9">
        <f>15.0414 * CHOOSE(CONTROL!$C$32, $C$9, 100%, $E$9)</f>
        <v>15.041399999999999</v>
      </c>
      <c r="E1007" s="11">
        <f>16.9094 * CHOOSE(CONTROL!$C$32, $C$9, 100%, $E$9)</f>
        <v>16.909400000000002</v>
      </c>
      <c r="F1007" s="11">
        <f>16.9094 * CHOOSE(CONTROL!$C$32, $C$9, 100%, $E$9)</f>
        <v>16.909400000000002</v>
      </c>
      <c r="G1007" s="11">
        <f>16.913 * CHOOSE(CONTROL!$C$32, $C$9, 100%, $E$9)</f>
        <v>16.913</v>
      </c>
      <c r="H1007" s="11">
        <f>34.4451 * CHOOSE(CONTROL!$C$32, $C$9, 100%, $E$9)</f>
        <v>34.445099999999996</v>
      </c>
      <c r="I1007" s="11">
        <f>34.4487 * CHOOSE(CONTROL!$C$32, $C$9, 100%, $E$9)</f>
        <v>34.448700000000002</v>
      </c>
      <c r="J1007" s="11">
        <f>34.4451 * CHOOSE(CONTROL!$C$32, $C$9, 100%, $E$9)</f>
        <v>34.445099999999996</v>
      </c>
      <c r="K1007" s="11">
        <f>34.4487 * CHOOSE(CONTROL!$C$32, $C$9, 100%, $E$9)</f>
        <v>34.448700000000002</v>
      </c>
      <c r="L1007" s="11">
        <f>16.9094 * CHOOSE(CONTROL!$C$32, $C$9, 100%, $E$9)</f>
        <v>16.909400000000002</v>
      </c>
      <c r="M1007" s="11">
        <f>16.913 * CHOOSE(CONTROL!$C$32, $C$9, 100%, $E$9)</f>
        <v>16.913</v>
      </c>
      <c r="N1007" s="11">
        <f>16.9094 * CHOOSE(CONTROL!$C$32, $C$9, 100%, $E$9)</f>
        <v>16.909400000000002</v>
      </c>
      <c r="O1007" s="11">
        <f>16.913 * CHOOSE(CONTROL!$C$32, $C$9, 100%, $E$9)</f>
        <v>16.913</v>
      </c>
    </row>
    <row r="1008" spans="1:15" ht="15" x14ac:dyDescent="0.2">
      <c r="A1008" s="13">
        <v>71529</v>
      </c>
      <c r="B1008" s="9">
        <f>15.0434 * CHOOSE(CONTROL!$C$32, $C$9, 100%, $E$9)</f>
        <v>15.0434</v>
      </c>
      <c r="C1008" s="9">
        <f>15.0434 * CHOOSE(CONTROL!$C$32, $C$9, 100%, $E$9)</f>
        <v>15.0434</v>
      </c>
      <c r="D1008" s="9">
        <f>15.0444 * CHOOSE(CONTROL!$C$32, $C$9, 100%, $E$9)</f>
        <v>15.0444</v>
      </c>
      <c r="E1008" s="11">
        <f>17.0102 * CHOOSE(CONTROL!$C$32, $C$9, 100%, $E$9)</f>
        <v>17.010200000000001</v>
      </c>
      <c r="F1008" s="11">
        <f>17.0102 * CHOOSE(CONTROL!$C$32, $C$9, 100%, $E$9)</f>
        <v>17.010200000000001</v>
      </c>
      <c r="G1008" s="11">
        <f>17.0138 * CHOOSE(CONTROL!$C$32, $C$9, 100%, $E$9)</f>
        <v>17.0138</v>
      </c>
      <c r="H1008" s="11">
        <f>34.5169 * CHOOSE(CONTROL!$C$32, $C$9, 100%, $E$9)</f>
        <v>34.5169</v>
      </c>
      <c r="I1008" s="11">
        <f>34.5205 * CHOOSE(CONTROL!$C$32, $C$9, 100%, $E$9)</f>
        <v>34.520499999999998</v>
      </c>
      <c r="J1008" s="11">
        <f>34.5169 * CHOOSE(CONTROL!$C$32, $C$9, 100%, $E$9)</f>
        <v>34.5169</v>
      </c>
      <c r="K1008" s="11">
        <f>34.5205 * CHOOSE(CONTROL!$C$32, $C$9, 100%, $E$9)</f>
        <v>34.520499999999998</v>
      </c>
      <c r="L1008" s="11">
        <f>17.0102 * CHOOSE(CONTROL!$C$32, $C$9, 100%, $E$9)</f>
        <v>17.010200000000001</v>
      </c>
      <c r="M1008" s="11">
        <f>17.0138 * CHOOSE(CONTROL!$C$32, $C$9, 100%, $E$9)</f>
        <v>17.0138</v>
      </c>
      <c r="N1008" s="11">
        <f>17.0102 * CHOOSE(CONTROL!$C$32, $C$9, 100%, $E$9)</f>
        <v>17.010200000000001</v>
      </c>
      <c r="O1008" s="11">
        <f>17.0138 * CHOOSE(CONTROL!$C$32, $C$9, 100%, $E$9)</f>
        <v>17.0138</v>
      </c>
    </row>
    <row r="1009" spans="1:15" ht="15" x14ac:dyDescent="0.2">
      <c r="A1009" s="13">
        <v>71559</v>
      </c>
      <c r="B1009" s="9">
        <f>15.0434 * CHOOSE(CONTROL!$C$32, $C$9, 100%, $E$9)</f>
        <v>15.0434</v>
      </c>
      <c r="C1009" s="9">
        <f>15.0434 * CHOOSE(CONTROL!$C$32, $C$9, 100%, $E$9)</f>
        <v>15.0434</v>
      </c>
      <c r="D1009" s="9">
        <f>15.0444 * CHOOSE(CONTROL!$C$32, $C$9, 100%, $E$9)</f>
        <v>15.0444</v>
      </c>
      <c r="E1009" s="11">
        <f>16.7636 * CHOOSE(CONTROL!$C$32, $C$9, 100%, $E$9)</f>
        <v>16.7636</v>
      </c>
      <c r="F1009" s="11">
        <f>16.7636 * CHOOSE(CONTROL!$C$32, $C$9, 100%, $E$9)</f>
        <v>16.7636</v>
      </c>
      <c r="G1009" s="11">
        <f>16.7672 * CHOOSE(CONTROL!$C$32, $C$9, 100%, $E$9)</f>
        <v>16.767199999999999</v>
      </c>
      <c r="H1009" s="11">
        <f>34.5888 * CHOOSE(CONTROL!$C$32, $C$9, 100%, $E$9)</f>
        <v>34.588799999999999</v>
      </c>
      <c r="I1009" s="11">
        <f>34.5924 * CHOOSE(CONTROL!$C$32, $C$9, 100%, $E$9)</f>
        <v>34.592399999999998</v>
      </c>
      <c r="J1009" s="11">
        <f>34.5888 * CHOOSE(CONTROL!$C$32, $C$9, 100%, $E$9)</f>
        <v>34.588799999999999</v>
      </c>
      <c r="K1009" s="11">
        <f>34.5924 * CHOOSE(CONTROL!$C$32, $C$9, 100%, $E$9)</f>
        <v>34.592399999999998</v>
      </c>
      <c r="L1009" s="11">
        <f>16.7636 * CHOOSE(CONTROL!$C$32, $C$9, 100%, $E$9)</f>
        <v>16.7636</v>
      </c>
      <c r="M1009" s="11">
        <f>16.7672 * CHOOSE(CONTROL!$C$32, $C$9, 100%, $E$9)</f>
        <v>16.767199999999999</v>
      </c>
      <c r="N1009" s="11">
        <f>16.7636 * CHOOSE(CONTROL!$C$32, $C$9, 100%, $E$9)</f>
        <v>16.7636</v>
      </c>
      <c r="O1009" s="11">
        <f>16.7672 * CHOOSE(CONTROL!$C$32, $C$9, 100%, $E$9)</f>
        <v>16.767199999999999</v>
      </c>
    </row>
    <row r="1010" spans="1:15" ht="15" x14ac:dyDescent="0.2">
      <c r="A1010" s="13">
        <v>71590</v>
      </c>
      <c r="B1010" s="9">
        <f>15.0024 * CHOOSE(CONTROL!$C$32, $C$9, 100%, $E$9)</f>
        <v>15.0024</v>
      </c>
      <c r="C1010" s="9">
        <f>15.0024 * CHOOSE(CONTROL!$C$32, $C$9, 100%, $E$9)</f>
        <v>15.0024</v>
      </c>
      <c r="D1010" s="9">
        <f>15.0035 * CHOOSE(CONTROL!$C$32, $C$9, 100%, $E$9)</f>
        <v>15.003500000000001</v>
      </c>
      <c r="E1010" s="11">
        <f>16.8956 * CHOOSE(CONTROL!$C$32, $C$9, 100%, $E$9)</f>
        <v>16.895600000000002</v>
      </c>
      <c r="F1010" s="11">
        <f>16.8956 * CHOOSE(CONTROL!$C$32, $C$9, 100%, $E$9)</f>
        <v>16.895600000000002</v>
      </c>
      <c r="G1010" s="11">
        <f>16.8992 * CHOOSE(CONTROL!$C$32, $C$9, 100%, $E$9)</f>
        <v>16.8992</v>
      </c>
      <c r="H1010" s="11">
        <f>34.2594 * CHOOSE(CONTROL!$C$32, $C$9, 100%, $E$9)</f>
        <v>34.259399999999999</v>
      </c>
      <c r="I1010" s="11">
        <f>34.2631 * CHOOSE(CONTROL!$C$32, $C$9, 100%, $E$9)</f>
        <v>34.263100000000001</v>
      </c>
      <c r="J1010" s="11">
        <f>34.2594 * CHOOSE(CONTROL!$C$32, $C$9, 100%, $E$9)</f>
        <v>34.259399999999999</v>
      </c>
      <c r="K1010" s="11">
        <f>34.2631 * CHOOSE(CONTROL!$C$32, $C$9, 100%, $E$9)</f>
        <v>34.263100000000001</v>
      </c>
      <c r="L1010" s="11">
        <f>16.8956 * CHOOSE(CONTROL!$C$32, $C$9, 100%, $E$9)</f>
        <v>16.895600000000002</v>
      </c>
      <c r="M1010" s="11">
        <f>16.8992 * CHOOSE(CONTROL!$C$32, $C$9, 100%, $E$9)</f>
        <v>16.8992</v>
      </c>
      <c r="N1010" s="11">
        <f>16.8956 * CHOOSE(CONTROL!$C$32, $C$9, 100%, $E$9)</f>
        <v>16.895600000000002</v>
      </c>
      <c r="O1010" s="11">
        <f>16.8992 * CHOOSE(CONTROL!$C$32, $C$9, 100%, $E$9)</f>
        <v>16.8992</v>
      </c>
    </row>
    <row r="1011" spans="1:15" ht="15" x14ac:dyDescent="0.2">
      <c r="A1011" s="13">
        <v>71621</v>
      </c>
      <c r="B1011" s="9">
        <f>14.9993 * CHOOSE(CONTROL!$C$32, $C$9, 100%, $E$9)</f>
        <v>14.9993</v>
      </c>
      <c r="C1011" s="9">
        <f>14.9993 * CHOOSE(CONTROL!$C$32, $C$9, 100%, $E$9)</f>
        <v>14.9993</v>
      </c>
      <c r="D1011" s="9">
        <f>15.0004 * CHOOSE(CONTROL!$C$32, $C$9, 100%, $E$9)</f>
        <v>15.000400000000001</v>
      </c>
      <c r="E1011" s="11">
        <f>16.4204 * CHOOSE(CONTROL!$C$32, $C$9, 100%, $E$9)</f>
        <v>16.420400000000001</v>
      </c>
      <c r="F1011" s="11">
        <f>16.4204 * CHOOSE(CONTROL!$C$32, $C$9, 100%, $E$9)</f>
        <v>16.420400000000001</v>
      </c>
      <c r="G1011" s="11">
        <f>16.424 * CHOOSE(CONTROL!$C$32, $C$9, 100%, $E$9)</f>
        <v>16.423999999999999</v>
      </c>
      <c r="H1011" s="11">
        <f>34.3308 * CHOOSE(CONTROL!$C$32, $C$9, 100%, $E$9)</f>
        <v>34.330800000000004</v>
      </c>
      <c r="I1011" s="11">
        <f>34.3344 * CHOOSE(CONTROL!$C$32, $C$9, 100%, $E$9)</f>
        <v>34.334400000000002</v>
      </c>
      <c r="J1011" s="11">
        <f>34.3308 * CHOOSE(CONTROL!$C$32, $C$9, 100%, $E$9)</f>
        <v>34.330800000000004</v>
      </c>
      <c r="K1011" s="11">
        <f>34.3344 * CHOOSE(CONTROL!$C$32, $C$9, 100%, $E$9)</f>
        <v>34.334400000000002</v>
      </c>
      <c r="L1011" s="11">
        <f>16.4204 * CHOOSE(CONTROL!$C$32, $C$9, 100%, $E$9)</f>
        <v>16.420400000000001</v>
      </c>
      <c r="M1011" s="11">
        <f>16.424 * CHOOSE(CONTROL!$C$32, $C$9, 100%, $E$9)</f>
        <v>16.423999999999999</v>
      </c>
      <c r="N1011" s="11">
        <f>16.4204 * CHOOSE(CONTROL!$C$32, $C$9, 100%, $E$9)</f>
        <v>16.420400000000001</v>
      </c>
      <c r="O1011" s="11">
        <f>16.424 * CHOOSE(CONTROL!$C$32, $C$9, 100%, $E$9)</f>
        <v>16.423999999999999</v>
      </c>
    </row>
    <row r="1012" spans="1:15" ht="15" x14ac:dyDescent="0.2">
      <c r="A1012" s="13">
        <v>71650</v>
      </c>
      <c r="B1012" s="9">
        <f>14.9963 * CHOOSE(CONTROL!$C$32, $C$9, 100%, $E$9)</f>
        <v>14.9963</v>
      </c>
      <c r="C1012" s="9">
        <f>14.9963 * CHOOSE(CONTROL!$C$32, $C$9, 100%, $E$9)</f>
        <v>14.9963</v>
      </c>
      <c r="D1012" s="9">
        <f>14.9974 * CHOOSE(CONTROL!$C$32, $C$9, 100%, $E$9)</f>
        <v>14.997400000000001</v>
      </c>
      <c r="E1012" s="11">
        <f>16.7912 * CHOOSE(CONTROL!$C$32, $C$9, 100%, $E$9)</f>
        <v>16.7912</v>
      </c>
      <c r="F1012" s="11">
        <f>16.7912 * CHOOSE(CONTROL!$C$32, $C$9, 100%, $E$9)</f>
        <v>16.7912</v>
      </c>
      <c r="G1012" s="11">
        <f>16.7949 * CHOOSE(CONTROL!$C$32, $C$9, 100%, $E$9)</f>
        <v>16.794899999999998</v>
      </c>
      <c r="H1012" s="11">
        <f>34.4023 * CHOOSE(CONTROL!$C$32, $C$9, 100%, $E$9)</f>
        <v>34.402299999999997</v>
      </c>
      <c r="I1012" s="11">
        <f>34.406 * CHOOSE(CONTROL!$C$32, $C$9, 100%, $E$9)</f>
        <v>34.405999999999999</v>
      </c>
      <c r="J1012" s="11">
        <f>34.4023 * CHOOSE(CONTROL!$C$32, $C$9, 100%, $E$9)</f>
        <v>34.402299999999997</v>
      </c>
      <c r="K1012" s="11">
        <f>34.406 * CHOOSE(CONTROL!$C$32, $C$9, 100%, $E$9)</f>
        <v>34.405999999999999</v>
      </c>
      <c r="L1012" s="11">
        <f>16.7912 * CHOOSE(CONTROL!$C$32, $C$9, 100%, $E$9)</f>
        <v>16.7912</v>
      </c>
      <c r="M1012" s="11">
        <f>16.7949 * CHOOSE(CONTROL!$C$32, $C$9, 100%, $E$9)</f>
        <v>16.794899999999998</v>
      </c>
      <c r="N1012" s="11">
        <f>16.7912 * CHOOSE(CONTROL!$C$32, $C$9, 100%, $E$9)</f>
        <v>16.7912</v>
      </c>
      <c r="O1012" s="11">
        <f>16.7949 * CHOOSE(CONTROL!$C$32, $C$9, 100%, $E$9)</f>
        <v>16.794899999999998</v>
      </c>
    </row>
    <row r="1013" spans="1:15" ht="15" x14ac:dyDescent="0.2">
      <c r="A1013" s="13">
        <v>71681</v>
      </c>
      <c r="B1013" s="9">
        <f>15.0046 * CHOOSE(CONTROL!$C$32, $C$9, 100%, $E$9)</f>
        <v>15.0046</v>
      </c>
      <c r="C1013" s="9">
        <f>15.0046 * CHOOSE(CONTROL!$C$32, $C$9, 100%, $E$9)</f>
        <v>15.0046</v>
      </c>
      <c r="D1013" s="9">
        <f>15.0057 * CHOOSE(CONTROL!$C$32, $C$9, 100%, $E$9)</f>
        <v>15.005699999999999</v>
      </c>
      <c r="E1013" s="11">
        <f>17.1876 * CHOOSE(CONTROL!$C$32, $C$9, 100%, $E$9)</f>
        <v>17.1876</v>
      </c>
      <c r="F1013" s="11">
        <f>17.1876 * CHOOSE(CONTROL!$C$32, $C$9, 100%, $E$9)</f>
        <v>17.1876</v>
      </c>
      <c r="G1013" s="11">
        <f>17.1912 * CHOOSE(CONTROL!$C$32, $C$9, 100%, $E$9)</f>
        <v>17.191199999999998</v>
      </c>
      <c r="H1013" s="11">
        <f>34.474 * CHOOSE(CONTROL!$C$32, $C$9, 100%, $E$9)</f>
        <v>34.473999999999997</v>
      </c>
      <c r="I1013" s="11">
        <f>34.4776 * CHOOSE(CONTROL!$C$32, $C$9, 100%, $E$9)</f>
        <v>34.477600000000002</v>
      </c>
      <c r="J1013" s="11">
        <f>34.474 * CHOOSE(CONTROL!$C$32, $C$9, 100%, $E$9)</f>
        <v>34.473999999999997</v>
      </c>
      <c r="K1013" s="11">
        <f>34.4776 * CHOOSE(CONTROL!$C$32, $C$9, 100%, $E$9)</f>
        <v>34.477600000000002</v>
      </c>
      <c r="L1013" s="11">
        <f>17.1876 * CHOOSE(CONTROL!$C$32, $C$9, 100%, $E$9)</f>
        <v>17.1876</v>
      </c>
      <c r="M1013" s="11">
        <f>17.1912 * CHOOSE(CONTROL!$C$32, $C$9, 100%, $E$9)</f>
        <v>17.191199999999998</v>
      </c>
      <c r="N1013" s="11">
        <f>17.1876 * CHOOSE(CONTROL!$C$32, $C$9, 100%, $E$9)</f>
        <v>17.1876</v>
      </c>
      <c r="O1013" s="11">
        <f>17.1912 * CHOOSE(CONTROL!$C$32, $C$9, 100%, $E$9)</f>
        <v>17.191199999999998</v>
      </c>
    </row>
    <row r="1014" spans="1:15" ht="15" x14ac:dyDescent="0.2">
      <c r="A1014" s="13">
        <v>71711</v>
      </c>
      <c r="B1014" s="9">
        <f>15.0046 * CHOOSE(CONTROL!$C$32, $C$9, 100%, $E$9)</f>
        <v>15.0046</v>
      </c>
      <c r="C1014" s="9">
        <f>15.0046 * CHOOSE(CONTROL!$C$32, $C$9, 100%, $E$9)</f>
        <v>15.0046</v>
      </c>
      <c r="D1014" s="9">
        <f>15.0062 * CHOOSE(CONTROL!$C$32, $C$9, 100%, $E$9)</f>
        <v>15.0062</v>
      </c>
      <c r="E1014" s="11">
        <f>17.3378 * CHOOSE(CONTROL!$C$32, $C$9, 100%, $E$9)</f>
        <v>17.337800000000001</v>
      </c>
      <c r="F1014" s="11">
        <f>17.3378 * CHOOSE(CONTROL!$C$32, $C$9, 100%, $E$9)</f>
        <v>17.337800000000001</v>
      </c>
      <c r="G1014" s="11">
        <f>17.3431 * CHOOSE(CONTROL!$C$32, $C$9, 100%, $E$9)</f>
        <v>17.3431</v>
      </c>
      <c r="H1014" s="11">
        <f>34.5458 * CHOOSE(CONTROL!$C$32, $C$9, 100%, $E$9)</f>
        <v>34.5458</v>
      </c>
      <c r="I1014" s="11">
        <f>34.5511 * CHOOSE(CONTROL!$C$32, $C$9, 100%, $E$9)</f>
        <v>34.551099999999998</v>
      </c>
      <c r="J1014" s="11">
        <f>34.5458 * CHOOSE(CONTROL!$C$32, $C$9, 100%, $E$9)</f>
        <v>34.5458</v>
      </c>
      <c r="K1014" s="11">
        <f>34.5511 * CHOOSE(CONTROL!$C$32, $C$9, 100%, $E$9)</f>
        <v>34.551099999999998</v>
      </c>
      <c r="L1014" s="11">
        <f>17.3378 * CHOOSE(CONTROL!$C$32, $C$9, 100%, $E$9)</f>
        <v>17.337800000000001</v>
      </c>
      <c r="M1014" s="11">
        <f>17.3431 * CHOOSE(CONTROL!$C$32, $C$9, 100%, $E$9)</f>
        <v>17.3431</v>
      </c>
      <c r="N1014" s="11">
        <f>17.3378 * CHOOSE(CONTROL!$C$32, $C$9, 100%, $E$9)</f>
        <v>17.337800000000001</v>
      </c>
      <c r="O1014" s="11">
        <f>17.3431 * CHOOSE(CONTROL!$C$32, $C$9, 100%, $E$9)</f>
        <v>17.3431</v>
      </c>
    </row>
    <row r="1015" spans="1:15" ht="15" x14ac:dyDescent="0.2">
      <c r="A1015" s="13">
        <v>71742</v>
      </c>
      <c r="B1015" s="9">
        <f>15.0107 * CHOOSE(CONTROL!$C$32, $C$9, 100%, $E$9)</f>
        <v>15.0107</v>
      </c>
      <c r="C1015" s="9">
        <f>15.0107 * CHOOSE(CONTROL!$C$32, $C$9, 100%, $E$9)</f>
        <v>15.0107</v>
      </c>
      <c r="D1015" s="9">
        <f>15.0123 * CHOOSE(CONTROL!$C$32, $C$9, 100%, $E$9)</f>
        <v>15.0123</v>
      </c>
      <c r="E1015" s="11">
        <f>17.1918 * CHOOSE(CONTROL!$C$32, $C$9, 100%, $E$9)</f>
        <v>17.191800000000001</v>
      </c>
      <c r="F1015" s="11">
        <f>17.1918 * CHOOSE(CONTROL!$C$32, $C$9, 100%, $E$9)</f>
        <v>17.191800000000001</v>
      </c>
      <c r="G1015" s="11">
        <f>17.1971 * CHOOSE(CONTROL!$C$32, $C$9, 100%, $E$9)</f>
        <v>17.197099999999999</v>
      </c>
      <c r="H1015" s="11">
        <f>34.6178 * CHOOSE(CONTROL!$C$32, $C$9, 100%, $E$9)</f>
        <v>34.617800000000003</v>
      </c>
      <c r="I1015" s="11">
        <f>34.6231 * CHOOSE(CONTROL!$C$32, $C$9, 100%, $E$9)</f>
        <v>34.623100000000001</v>
      </c>
      <c r="J1015" s="11">
        <f>34.6178 * CHOOSE(CONTROL!$C$32, $C$9, 100%, $E$9)</f>
        <v>34.617800000000003</v>
      </c>
      <c r="K1015" s="11">
        <f>34.6231 * CHOOSE(CONTROL!$C$32, $C$9, 100%, $E$9)</f>
        <v>34.623100000000001</v>
      </c>
      <c r="L1015" s="11">
        <f>17.1918 * CHOOSE(CONTROL!$C$32, $C$9, 100%, $E$9)</f>
        <v>17.191800000000001</v>
      </c>
      <c r="M1015" s="11">
        <f>17.1971 * CHOOSE(CONTROL!$C$32, $C$9, 100%, $E$9)</f>
        <v>17.197099999999999</v>
      </c>
      <c r="N1015" s="11">
        <f>17.1918 * CHOOSE(CONTROL!$C$32, $C$9, 100%, $E$9)</f>
        <v>17.191800000000001</v>
      </c>
      <c r="O1015" s="11">
        <f>17.1971 * CHOOSE(CONTROL!$C$32, $C$9, 100%, $E$9)</f>
        <v>17.197099999999999</v>
      </c>
    </row>
    <row r="1016" spans="1:15" ht="15" x14ac:dyDescent="0.2">
      <c r="A1016" s="13">
        <v>71772</v>
      </c>
      <c r="B1016" s="9">
        <f>15.1901 * CHOOSE(CONTROL!$C$32, $C$9, 100%, $E$9)</f>
        <v>15.190099999999999</v>
      </c>
      <c r="C1016" s="9">
        <f>15.1901 * CHOOSE(CONTROL!$C$32, $C$9, 100%, $E$9)</f>
        <v>15.190099999999999</v>
      </c>
      <c r="D1016" s="9">
        <f>15.1916 * CHOOSE(CONTROL!$C$32, $C$9, 100%, $E$9)</f>
        <v>15.191599999999999</v>
      </c>
      <c r="E1016" s="11">
        <f>17.4364 * CHOOSE(CONTROL!$C$32, $C$9, 100%, $E$9)</f>
        <v>17.436399999999999</v>
      </c>
      <c r="F1016" s="11">
        <f>17.4364 * CHOOSE(CONTROL!$C$32, $C$9, 100%, $E$9)</f>
        <v>17.436399999999999</v>
      </c>
      <c r="G1016" s="11">
        <f>17.4417 * CHOOSE(CONTROL!$C$32, $C$9, 100%, $E$9)</f>
        <v>17.441700000000001</v>
      </c>
      <c r="H1016" s="11">
        <f>34.6899 * CHOOSE(CONTROL!$C$32, $C$9, 100%, $E$9)</f>
        <v>34.689900000000002</v>
      </c>
      <c r="I1016" s="11">
        <f>34.6952 * CHOOSE(CONTROL!$C$32, $C$9, 100%, $E$9)</f>
        <v>34.6952</v>
      </c>
      <c r="J1016" s="11">
        <f>34.6899 * CHOOSE(CONTROL!$C$32, $C$9, 100%, $E$9)</f>
        <v>34.689900000000002</v>
      </c>
      <c r="K1016" s="11">
        <f>34.6952 * CHOOSE(CONTROL!$C$32, $C$9, 100%, $E$9)</f>
        <v>34.6952</v>
      </c>
      <c r="L1016" s="11">
        <f>17.4364 * CHOOSE(CONTROL!$C$32, $C$9, 100%, $E$9)</f>
        <v>17.436399999999999</v>
      </c>
      <c r="M1016" s="11">
        <f>17.4417 * CHOOSE(CONTROL!$C$32, $C$9, 100%, $E$9)</f>
        <v>17.441700000000001</v>
      </c>
      <c r="N1016" s="11">
        <f>17.4364 * CHOOSE(CONTROL!$C$32, $C$9, 100%, $E$9)</f>
        <v>17.436399999999999</v>
      </c>
      <c r="O1016" s="11">
        <f>17.4417 * CHOOSE(CONTROL!$C$32, $C$9, 100%, $E$9)</f>
        <v>17.441700000000001</v>
      </c>
    </row>
    <row r="1017" spans="1:15" ht="15" x14ac:dyDescent="0.2">
      <c r="A1017" s="13">
        <v>71803</v>
      </c>
      <c r="B1017" s="9">
        <f>15.1967 * CHOOSE(CONTROL!$C$32, $C$9, 100%, $E$9)</f>
        <v>15.1967</v>
      </c>
      <c r="C1017" s="9">
        <f>15.1967 * CHOOSE(CONTROL!$C$32, $C$9, 100%, $E$9)</f>
        <v>15.1967</v>
      </c>
      <c r="D1017" s="9">
        <f>15.1983 * CHOOSE(CONTROL!$C$32, $C$9, 100%, $E$9)</f>
        <v>15.1983</v>
      </c>
      <c r="E1017" s="11">
        <f>16.9904 * CHOOSE(CONTROL!$C$32, $C$9, 100%, $E$9)</f>
        <v>16.990400000000001</v>
      </c>
      <c r="F1017" s="11">
        <f>16.9904 * CHOOSE(CONTROL!$C$32, $C$9, 100%, $E$9)</f>
        <v>16.990400000000001</v>
      </c>
      <c r="G1017" s="11">
        <f>16.9957 * CHOOSE(CONTROL!$C$32, $C$9, 100%, $E$9)</f>
        <v>16.995699999999999</v>
      </c>
      <c r="H1017" s="11">
        <f>34.7622 * CHOOSE(CONTROL!$C$32, $C$9, 100%, $E$9)</f>
        <v>34.7622</v>
      </c>
      <c r="I1017" s="11">
        <f>34.7675 * CHOOSE(CONTROL!$C$32, $C$9, 100%, $E$9)</f>
        <v>34.767499999999998</v>
      </c>
      <c r="J1017" s="11">
        <f>34.7622 * CHOOSE(CONTROL!$C$32, $C$9, 100%, $E$9)</f>
        <v>34.7622</v>
      </c>
      <c r="K1017" s="11">
        <f>34.7675 * CHOOSE(CONTROL!$C$32, $C$9, 100%, $E$9)</f>
        <v>34.767499999999998</v>
      </c>
      <c r="L1017" s="11">
        <f>16.9904 * CHOOSE(CONTROL!$C$32, $C$9, 100%, $E$9)</f>
        <v>16.990400000000001</v>
      </c>
      <c r="M1017" s="11">
        <f>16.9957 * CHOOSE(CONTROL!$C$32, $C$9, 100%, $E$9)</f>
        <v>16.995699999999999</v>
      </c>
      <c r="N1017" s="11">
        <f>16.9904 * CHOOSE(CONTROL!$C$32, $C$9, 100%, $E$9)</f>
        <v>16.990400000000001</v>
      </c>
      <c r="O1017" s="11">
        <f>16.9957 * CHOOSE(CONTROL!$C$32, $C$9, 100%, $E$9)</f>
        <v>16.995699999999999</v>
      </c>
    </row>
    <row r="1018" spans="1:15" ht="15" x14ac:dyDescent="0.2">
      <c r="A1018" s="13">
        <v>71834</v>
      </c>
      <c r="B1018" s="9">
        <f>15.1937 * CHOOSE(CONTROL!$C$32, $C$9, 100%, $E$9)</f>
        <v>15.1937</v>
      </c>
      <c r="C1018" s="9">
        <f>15.1937 * CHOOSE(CONTROL!$C$32, $C$9, 100%, $E$9)</f>
        <v>15.1937</v>
      </c>
      <c r="D1018" s="9">
        <f>15.1953 * CHOOSE(CONTROL!$C$32, $C$9, 100%, $E$9)</f>
        <v>15.1953</v>
      </c>
      <c r="E1018" s="11">
        <f>16.9382 * CHOOSE(CONTROL!$C$32, $C$9, 100%, $E$9)</f>
        <v>16.938199999999998</v>
      </c>
      <c r="F1018" s="11">
        <f>16.9382 * CHOOSE(CONTROL!$C$32, $C$9, 100%, $E$9)</f>
        <v>16.938199999999998</v>
      </c>
      <c r="G1018" s="11">
        <f>16.9435 * CHOOSE(CONTROL!$C$32, $C$9, 100%, $E$9)</f>
        <v>16.9435</v>
      </c>
      <c r="H1018" s="11">
        <f>34.8346 * CHOOSE(CONTROL!$C$32, $C$9, 100%, $E$9)</f>
        <v>34.834600000000002</v>
      </c>
      <c r="I1018" s="11">
        <f>34.8399 * CHOOSE(CONTROL!$C$32, $C$9, 100%, $E$9)</f>
        <v>34.8399</v>
      </c>
      <c r="J1018" s="11">
        <f>34.8346 * CHOOSE(CONTROL!$C$32, $C$9, 100%, $E$9)</f>
        <v>34.834600000000002</v>
      </c>
      <c r="K1018" s="11">
        <f>34.8399 * CHOOSE(CONTROL!$C$32, $C$9, 100%, $E$9)</f>
        <v>34.8399</v>
      </c>
      <c r="L1018" s="11">
        <f>16.9382 * CHOOSE(CONTROL!$C$32, $C$9, 100%, $E$9)</f>
        <v>16.938199999999998</v>
      </c>
      <c r="M1018" s="11">
        <f>16.9435 * CHOOSE(CONTROL!$C$32, $C$9, 100%, $E$9)</f>
        <v>16.9435</v>
      </c>
      <c r="N1018" s="11">
        <f>16.9382 * CHOOSE(CONTROL!$C$32, $C$9, 100%, $E$9)</f>
        <v>16.938199999999998</v>
      </c>
      <c r="O1018" s="11">
        <f>16.9435 * CHOOSE(CONTROL!$C$32, $C$9, 100%, $E$9)</f>
        <v>16.9435</v>
      </c>
    </row>
    <row r="1019" spans="1:15" ht="15" x14ac:dyDescent="0.2">
      <c r="A1019" s="13">
        <v>71864</v>
      </c>
      <c r="B1019" s="9">
        <f>15.2306 * CHOOSE(CONTROL!$C$32, $C$9, 100%, $E$9)</f>
        <v>15.230600000000001</v>
      </c>
      <c r="C1019" s="9">
        <f>15.2306 * CHOOSE(CONTROL!$C$32, $C$9, 100%, $E$9)</f>
        <v>15.230600000000001</v>
      </c>
      <c r="D1019" s="9">
        <f>15.2317 * CHOOSE(CONTROL!$C$32, $C$9, 100%, $E$9)</f>
        <v>15.2317</v>
      </c>
      <c r="E1019" s="11">
        <f>17.1251 * CHOOSE(CONTROL!$C$32, $C$9, 100%, $E$9)</f>
        <v>17.1251</v>
      </c>
      <c r="F1019" s="11">
        <f>17.1251 * CHOOSE(CONTROL!$C$32, $C$9, 100%, $E$9)</f>
        <v>17.1251</v>
      </c>
      <c r="G1019" s="11">
        <f>17.1287 * CHOOSE(CONTROL!$C$32, $C$9, 100%, $E$9)</f>
        <v>17.128699999999998</v>
      </c>
      <c r="H1019" s="11">
        <f>34.9072 * CHOOSE(CONTROL!$C$32, $C$9, 100%, $E$9)</f>
        <v>34.907200000000003</v>
      </c>
      <c r="I1019" s="11">
        <f>34.9108 * CHOOSE(CONTROL!$C$32, $C$9, 100%, $E$9)</f>
        <v>34.910800000000002</v>
      </c>
      <c r="J1019" s="11">
        <f>34.9072 * CHOOSE(CONTROL!$C$32, $C$9, 100%, $E$9)</f>
        <v>34.907200000000003</v>
      </c>
      <c r="K1019" s="11">
        <f>34.9108 * CHOOSE(CONTROL!$C$32, $C$9, 100%, $E$9)</f>
        <v>34.910800000000002</v>
      </c>
      <c r="L1019" s="11">
        <f>17.1251 * CHOOSE(CONTROL!$C$32, $C$9, 100%, $E$9)</f>
        <v>17.1251</v>
      </c>
      <c r="M1019" s="11">
        <f>17.1287 * CHOOSE(CONTROL!$C$32, $C$9, 100%, $E$9)</f>
        <v>17.128699999999998</v>
      </c>
      <c r="N1019" s="11">
        <f>17.1251 * CHOOSE(CONTROL!$C$32, $C$9, 100%, $E$9)</f>
        <v>17.1251</v>
      </c>
      <c r="O1019" s="11">
        <f>17.1287 * CHOOSE(CONTROL!$C$32, $C$9, 100%, $E$9)</f>
        <v>17.128699999999998</v>
      </c>
    </row>
    <row r="1020" spans="1:15" ht="15" x14ac:dyDescent="0.2">
      <c r="A1020" s="13">
        <v>71895</v>
      </c>
      <c r="B1020" s="9">
        <f>15.2337 * CHOOSE(CONTROL!$C$32, $C$9, 100%, $E$9)</f>
        <v>15.233700000000001</v>
      </c>
      <c r="C1020" s="9">
        <f>15.2337 * CHOOSE(CONTROL!$C$32, $C$9, 100%, $E$9)</f>
        <v>15.233700000000001</v>
      </c>
      <c r="D1020" s="9">
        <f>15.2347 * CHOOSE(CONTROL!$C$32, $C$9, 100%, $E$9)</f>
        <v>15.2347</v>
      </c>
      <c r="E1020" s="11">
        <f>17.2274 * CHOOSE(CONTROL!$C$32, $C$9, 100%, $E$9)</f>
        <v>17.227399999999999</v>
      </c>
      <c r="F1020" s="11">
        <f>17.2274 * CHOOSE(CONTROL!$C$32, $C$9, 100%, $E$9)</f>
        <v>17.227399999999999</v>
      </c>
      <c r="G1020" s="11">
        <f>17.231 * CHOOSE(CONTROL!$C$32, $C$9, 100%, $E$9)</f>
        <v>17.231000000000002</v>
      </c>
      <c r="H1020" s="11">
        <f>34.9799 * CHOOSE(CONTROL!$C$32, $C$9, 100%, $E$9)</f>
        <v>34.979900000000001</v>
      </c>
      <c r="I1020" s="11">
        <f>34.9835 * CHOOSE(CONTROL!$C$32, $C$9, 100%, $E$9)</f>
        <v>34.983499999999999</v>
      </c>
      <c r="J1020" s="11">
        <f>34.9799 * CHOOSE(CONTROL!$C$32, $C$9, 100%, $E$9)</f>
        <v>34.979900000000001</v>
      </c>
      <c r="K1020" s="11">
        <f>34.9835 * CHOOSE(CONTROL!$C$32, $C$9, 100%, $E$9)</f>
        <v>34.983499999999999</v>
      </c>
      <c r="L1020" s="11">
        <f>17.2274 * CHOOSE(CONTROL!$C$32, $C$9, 100%, $E$9)</f>
        <v>17.227399999999999</v>
      </c>
      <c r="M1020" s="11">
        <f>17.231 * CHOOSE(CONTROL!$C$32, $C$9, 100%, $E$9)</f>
        <v>17.231000000000002</v>
      </c>
      <c r="N1020" s="11">
        <f>17.2274 * CHOOSE(CONTROL!$C$32, $C$9, 100%, $E$9)</f>
        <v>17.227399999999999</v>
      </c>
      <c r="O1020" s="11">
        <f>17.231 * CHOOSE(CONTROL!$C$32, $C$9, 100%, $E$9)</f>
        <v>17.231000000000002</v>
      </c>
    </row>
    <row r="1021" spans="1:15" ht="15" x14ac:dyDescent="0.2">
      <c r="A1021" s="13">
        <v>71925</v>
      </c>
      <c r="B1021" s="9">
        <f>15.2337 * CHOOSE(CONTROL!$C$32, $C$9, 100%, $E$9)</f>
        <v>15.233700000000001</v>
      </c>
      <c r="C1021" s="9">
        <f>15.2337 * CHOOSE(CONTROL!$C$32, $C$9, 100%, $E$9)</f>
        <v>15.233700000000001</v>
      </c>
      <c r="D1021" s="9">
        <f>15.2347 * CHOOSE(CONTROL!$C$32, $C$9, 100%, $E$9)</f>
        <v>15.2347</v>
      </c>
      <c r="E1021" s="11">
        <f>16.977 * CHOOSE(CONTROL!$C$32, $C$9, 100%, $E$9)</f>
        <v>16.977</v>
      </c>
      <c r="F1021" s="11">
        <f>16.977 * CHOOSE(CONTROL!$C$32, $C$9, 100%, $E$9)</f>
        <v>16.977</v>
      </c>
      <c r="G1021" s="11">
        <f>16.9806 * CHOOSE(CONTROL!$C$32, $C$9, 100%, $E$9)</f>
        <v>16.980599999999999</v>
      </c>
      <c r="H1021" s="11">
        <f>35.0528 * CHOOSE(CONTROL!$C$32, $C$9, 100%, $E$9)</f>
        <v>35.052799999999998</v>
      </c>
      <c r="I1021" s="11">
        <f>35.0564 * CHOOSE(CONTROL!$C$32, $C$9, 100%, $E$9)</f>
        <v>35.056399999999996</v>
      </c>
      <c r="J1021" s="11">
        <f>35.0528 * CHOOSE(CONTROL!$C$32, $C$9, 100%, $E$9)</f>
        <v>35.052799999999998</v>
      </c>
      <c r="K1021" s="11">
        <f>35.0564 * CHOOSE(CONTROL!$C$32, $C$9, 100%, $E$9)</f>
        <v>35.056399999999996</v>
      </c>
      <c r="L1021" s="11">
        <f>16.977 * CHOOSE(CONTROL!$C$32, $C$9, 100%, $E$9)</f>
        <v>16.977</v>
      </c>
      <c r="M1021" s="11">
        <f>16.9806 * CHOOSE(CONTROL!$C$32, $C$9, 100%, $E$9)</f>
        <v>16.980599999999999</v>
      </c>
      <c r="N1021" s="11">
        <f>16.977 * CHOOSE(CONTROL!$C$32, $C$9, 100%, $E$9)</f>
        <v>16.977</v>
      </c>
      <c r="O1021" s="11">
        <f>16.9806 * CHOOSE(CONTROL!$C$32, $C$9, 100%, $E$9)</f>
        <v>16.980599999999999</v>
      </c>
    </row>
    <row r="1022" spans="1:15" ht="15" x14ac:dyDescent="0.2">
      <c r="A1022" s="13">
        <v>71956</v>
      </c>
      <c r="B1022" s="9">
        <f>15.1897 * CHOOSE(CONTROL!$C$32, $C$9, 100%, $E$9)</f>
        <v>15.1897</v>
      </c>
      <c r="C1022" s="9">
        <f>15.1897 * CHOOSE(CONTROL!$C$32, $C$9, 100%, $E$9)</f>
        <v>15.1897</v>
      </c>
      <c r="D1022" s="9">
        <f>15.1908 * CHOOSE(CONTROL!$C$32, $C$9, 100%, $E$9)</f>
        <v>15.190799999999999</v>
      </c>
      <c r="E1022" s="11">
        <f>17.1081 * CHOOSE(CONTROL!$C$32, $C$9, 100%, $E$9)</f>
        <v>17.1081</v>
      </c>
      <c r="F1022" s="11">
        <f>17.1081 * CHOOSE(CONTROL!$C$32, $C$9, 100%, $E$9)</f>
        <v>17.1081</v>
      </c>
      <c r="G1022" s="11">
        <f>17.1117 * CHOOSE(CONTROL!$C$32, $C$9, 100%, $E$9)</f>
        <v>17.111699999999999</v>
      </c>
      <c r="H1022" s="11">
        <f>34.713 * CHOOSE(CONTROL!$C$32, $C$9, 100%, $E$9)</f>
        <v>34.713000000000001</v>
      </c>
      <c r="I1022" s="11">
        <f>34.7166 * CHOOSE(CONTROL!$C$32, $C$9, 100%, $E$9)</f>
        <v>34.7166</v>
      </c>
      <c r="J1022" s="11">
        <f>34.713 * CHOOSE(CONTROL!$C$32, $C$9, 100%, $E$9)</f>
        <v>34.713000000000001</v>
      </c>
      <c r="K1022" s="11">
        <f>34.7166 * CHOOSE(CONTROL!$C$32, $C$9, 100%, $E$9)</f>
        <v>34.7166</v>
      </c>
      <c r="L1022" s="11">
        <f>17.1081 * CHOOSE(CONTROL!$C$32, $C$9, 100%, $E$9)</f>
        <v>17.1081</v>
      </c>
      <c r="M1022" s="11">
        <f>17.1117 * CHOOSE(CONTROL!$C$32, $C$9, 100%, $E$9)</f>
        <v>17.111699999999999</v>
      </c>
      <c r="N1022" s="11">
        <f>17.1081 * CHOOSE(CONTROL!$C$32, $C$9, 100%, $E$9)</f>
        <v>17.1081</v>
      </c>
      <c r="O1022" s="11">
        <f>17.1117 * CHOOSE(CONTROL!$C$32, $C$9, 100%, $E$9)</f>
        <v>17.111699999999999</v>
      </c>
    </row>
    <row r="1023" spans="1:15" ht="15" x14ac:dyDescent="0.2">
      <c r="A1023" s="13">
        <v>71987</v>
      </c>
      <c r="B1023" s="9">
        <f>15.1867 * CHOOSE(CONTROL!$C$32, $C$9, 100%, $E$9)</f>
        <v>15.1867</v>
      </c>
      <c r="C1023" s="9">
        <f>15.1867 * CHOOSE(CONTROL!$C$32, $C$9, 100%, $E$9)</f>
        <v>15.1867</v>
      </c>
      <c r="D1023" s="9">
        <f>15.1878 * CHOOSE(CONTROL!$C$32, $C$9, 100%, $E$9)</f>
        <v>15.187799999999999</v>
      </c>
      <c r="E1023" s="11">
        <f>16.6258 * CHOOSE(CONTROL!$C$32, $C$9, 100%, $E$9)</f>
        <v>16.625800000000002</v>
      </c>
      <c r="F1023" s="11">
        <f>16.6258 * CHOOSE(CONTROL!$C$32, $C$9, 100%, $E$9)</f>
        <v>16.625800000000002</v>
      </c>
      <c r="G1023" s="11">
        <f>16.6294 * CHOOSE(CONTROL!$C$32, $C$9, 100%, $E$9)</f>
        <v>16.6294</v>
      </c>
      <c r="H1023" s="11">
        <f>34.7853 * CHOOSE(CONTROL!$C$32, $C$9, 100%, $E$9)</f>
        <v>34.785299999999999</v>
      </c>
      <c r="I1023" s="11">
        <f>34.7889 * CHOOSE(CONTROL!$C$32, $C$9, 100%, $E$9)</f>
        <v>34.788899999999998</v>
      </c>
      <c r="J1023" s="11">
        <f>34.7853 * CHOOSE(CONTROL!$C$32, $C$9, 100%, $E$9)</f>
        <v>34.785299999999999</v>
      </c>
      <c r="K1023" s="11">
        <f>34.7889 * CHOOSE(CONTROL!$C$32, $C$9, 100%, $E$9)</f>
        <v>34.788899999999998</v>
      </c>
      <c r="L1023" s="11">
        <f>16.6258 * CHOOSE(CONTROL!$C$32, $C$9, 100%, $E$9)</f>
        <v>16.625800000000002</v>
      </c>
      <c r="M1023" s="11">
        <f>16.6294 * CHOOSE(CONTROL!$C$32, $C$9, 100%, $E$9)</f>
        <v>16.6294</v>
      </c>
      <c r="N1023" s="11">
        <f>16.6258 * CHOOSE(CONTROL!$C$32, $C$9, 100%, $E$9)</f>
        <v>16.625800000000002</v>
      </c>
      <c r="O1023" s="11">
        <f>16.6294 * CHOOSE(CONTROL!$C$32, $C$9, 100%, $E$9)</f>
        <v>16.6294</v>
      </c>
    </row>
    <row r="1024" spans="1:15" ht="15" x14ac:dyDescent="0.2">
      <c r="A1024" s="13">
        <v>72015</v>
      </c>
      <c r="B1024" s="9">
        <f>15.1837 * CHOOSE(CONTROL!$C$32, $C$9, 100%, $E$9)</f>
        <v>15.1837</v>
      </c>
      <c r="C1024" s="9">
        <f>15.1837 * CHOOSE(CONTROL!$C$32, $C$9, 100%, $E$9)</f>
        <v>15.1837</v>
      </c>
      <c r="D1024" s="9">
        <f>15.1847 * CHOOSE(CONTROL!$C$32, $C$9, 100%, $E$9)</f>
        <v>15.184699999999999</v>
      </c>
      <c r="E1024" s="11">
        <f>17.0022 * CHOOSE(CONTROL!$C$32, $C$9, 100%, $E$9)</f>
        <v>17.002199999999998</v>
      </c>
      <c r="F1024" s="11">
        <f>17.0022 * CHOOSE(CONTROL!$C$32, $C$9, 100%, $E$9)</f>
        <v>17.002199999999998</v>
      </c>
      <c r="G1024" s="11">
        <f>17.0059 * CHOOSE(CONTROL!$C$32, $C$9, 100%, $E$9)</f>
        <v>17.0059</v>
      </c>
      <c r="H1024" s="11">
        <f>34.8577 * CHOOSE(CONTROL!$C$32, $C$9, 100%, $E$9)</f>
        <v>34.857700000000001</v>
      </c>
      <c r="I1024" s="11">
        <f>34.8614 * CHOOSE(CONTROL!$C$32, $C$9, 100%, $E$9)</f>
        <v>34.861400000000003</v>
      </c>
      <c r="J1024" s="11">
        <f>34.8577 * CHOOSE(CONTROL!$C$32, $C$9, 100%, $E$9)</f>
        <v>34.857700000000001</v>
      </c>
      <c r="K1024" s="11">
        <f>34.8614 * CHOOSE(CONTROL!$C$32, $C$9, 100%, $E$9)</f>
        <v>34.861400000000003</v>
      </c>
      <c r="L1024" s="11">
        <f>17.0022 * CHOOSE(CONTROL!$C$32, $C$9, 100%, $E$9)</f>
        <v>17.002199999999998</v>
      </c>
      <c r="M1024" s="11">
        <f>17.0059 * CHOOSE(CONTROL!$C$32, $C$9, 100%, $E$9)</f>
        <v>17.0059</v>
      </c>
      <c r="N1024" s="11">
        <f>17.0022 * CHOOSE(CONTROL!$C$32, $C$9, 100%, $E$9)</f>
        <v>17.002199999999998</v>
      </c>
      <c r="O1024" s="11">
        <f>17.0059 * CHOOSE(CONTROL!$C$32, $C$9, 100%, $E$9)</f>
        <v>17.0059</v>
      </c>
    </row>
    <row r="1025" spans="1:15" ht="15" x14ac:dyDescent="0.2">
      <c r="A1025" s="13">
        <v>72046</v>
      </c>
      <c r="B1025" s="9">
        <f>15.1922 * CHOOSE(CONTROL!$C$32, $C$9, 100%, $E$9)</f>
        <v>15.1922</v>
      </c>
      <c r="C1025" s="9">
        <f>15.1922 * CHOOSE(CONTROL!$C$32, $C$9, 100%, $E$9)</f>
        <v>15.1922</v>
      </c>
      <c r="D1025" s="9">
        <f>15.1932 * CHOOSE(CONTROL!$C$32, $C$9, 100%, $E$9)</f>
        <v>15.193199999999999</v>
      </c>
      <c r="E1025" s="11">
        <f>17.4046 * CHOOSE(CONTROL!$C$32, $C$9, 100%, $E$9)</f>
        <v>17.404599999999999</v>
      </c>
      <c r="F1025" s="11">
        <f>17.4046 * CHOOSE(CONTROL!$C$32, $C$9, 100%, $E$9)</f>
        <v>17.404599999999999</v>
      </c>
      <c r="G1025" s="11">
        <f>17.4082 * CHOOSE(CONTROL!$C$32, $C$9, 100%, $E$9)</f>
        <v>17.408200000000001</v>
      </c>
      <c r="H1025" s="11">
        <f>34.9304 * CHOOSE(CONTROL!$C$32, $C$9, 100%, $E$9)</f>
        <v>34.930399999999999</v>
      </c>
      <c r="I1025" s="11">
        <f>34.934 * CHOOSE(CONTROL!$C$32, $C$9, 100%, $E$9)</f>
        <v>34.933999999999997</v>
      </c>
      <c r="J1025" s="11">
        <f>34.9304 * CHOOSE(CONTROL!$C$32, $C$9, 100%, $E$9)</f>
        <v>34.930399999999999</v>
      </c>
      <c r="K1025" s="11">
        <f>34.934 * CHOOSE(CONTROL!$C$32, $C$9, 100%, $E$9)</f>
        <v>34.933999999999997</v>
      </c>
      <c r="L1025" s="11">
        <f>17.4046 * CHOOSE(CONTROL!$C$32, $C$9, 100%, $E$9)</f>
        <v>17.404599999999999</v>
      </c>
      <c r="M1025" s="11">
        <f>17.4082 * CHOOSE(CONTROL!$C$32, $C$9, 100%, $E$9)</f>
        <v>17.408200000000001</v>
      </c>
      <c r="N1025" s="11">
        <f>17.4046 * CHOOSE(CONTROL!$C$32, $C$9, 100%, $E$9)</f>
        <v>17.404599999999999</v>
      </c>
      <c r="O1025" s="11">
        <f>17.4082 * CHOOSE(CONTROL!$C$32, $C$9, 100%, $E$9)</f>
        <v>17.408200000000001</v>
      </c>
    </row>
    <row r="1026" spans="1:15" ht="15" x14ac:dyDescent="0.2">
      <c r="A1026" s="13">
        <v>72076</v>
      </c>
      <c r="B1026" s="9">
        <f>15.1922 * CHOOSE(CONTROL!$C$32, $C$9, 100%, $E$9)</f>
        <v>15.1922</v>
      </c>
      <c r="C1026" s="9">
        <f>15.1922 * CHOOSE(CONTROL!$C$32, $C$9, 100%, $E$9)</f>
        <v>15.1922</v>
      </c>
      <c r="D1026" s="9">
        <f>15.1938 * CHOOSE(CONTROL!$C$32, $C$9, 100%, $E$9)</f>
        <v>15.1938</v>
      </c>
      <c r="E1026" s="11">
        <f>17.5571 * CHOOSE(CONTROL!$C$32, $C$9, 100%, $E$9)</f>
        <v>17.557099999999998</v>
      </c>
      <c r="F1026" s="11">
        <f>17.5571 * CHOOSE(CONTROL!$C$32, $C$9, 100%, $E$9)</f>
        <v>17.557099999999998</v>
      </c>
      <c r="G1026" s="11">
        <f>17.5623 * CHOOSE(CONTROL!$C$32, $C$9, 100%, $E$9)</f>
        <v>17.5623</v>
      </c>
      <c r="H1026" s="11">
        <f>35.0031 * CHOOSE(CONTROL!$C$32, $C$9, 100%, $E$9)</f>
        <v>35.003100000000003</v>
      </c>
      <c r="I1026" s="11">
        <f>35.0084 * CHOOSE(CONTROL!$C$32, $C$9, 100%, $E$9)</f>
        <v>35.008400000000002</v>
      </c>
      <c r="J1026" s="11">
        <f>35.0031 * CHOOSE(CONTROL!$C$32, $C$9, 100%, $E$9)</f>
        <v>35.003100000000003</v>
      </c>
      <c r="K1026" s="11">
        <f>35.0084 * CHOOSE(CONTROL!$C$32, $C$9, 100%, $E$9)</f>
        <v>35.008400000000002</v>
      </c>
      <c r="L1026" s="11">
        <f>17.5571 * CHOOSE(CONTROL!$C$32, $C$9, 100%, $E$9)</f>
        <v>17.557099999999998</v>
      </c>
      <c r="M1026" s="11">
        <f>17.5623 * CHOOSE(CONTROL!$C$32, $C$9, 100%, $E$9)</f>
        <v>17.5623</v>
      </c>
      <c r="N1026" s="11">
        <f>17.5571 * CHOOSE(CONTROL!$C$32, $C$9, 100%, $E$9)</f>
        <v>17.557099999999998</v>
      </c>
      <c r="O1026" s="11">
        <f>17.5623 * CHOOSE(CONTROL!$C$32, $C$9, 100%, $E$9)</f>
        <v>17.5623</v>
      </c>
    </row>
    <row r="1027" spans="1:15" ht="15" x14ac:dyDescent="0.2">
      <c r="A1027" s="13">
        <v>72107</v>
      </c>
      <c r="B1027" s="9">
        <f>15.1983 * CHOOSE(CONTROL!$C$32, $C$9, 100%, $E$9)</f>
        <v>15.1983</v>
      </c>
      <c r="C1027" s="9">
        <f>15.1983 * CHOOSE(CONTROL!$C$32, $C$9, 100%, $E$9)</f>
        <v>15.1983</v>
      </c>
      <c r="D1027" s="9">
        <f>15.1998 * CHOOSE(CONTROL!$C$32, $C$9, 100%, $E$9)</f>
        <v>15.1998</v>
      </c>
      <c r="E1027" s="11">
        <f>17.4088 * CHOOSE(CONTROL!$C$32, $C$9, 100%, $E$9)</f>
        <v>17.408799999999999</v>
      </c>
      <c r="F1027" s="11">
        <f>17.4088 * CHOOSE(CONTROL!$C$32, $C$9, 100%, $E$9)</f>
        <v>17.408799999999999</v>
      </c>
      <c r="G1027" s="11">
        <f>17.4141 * CHOOSE(CONTROL!$C$32, $C$9, 100%, $E$9)</f>
        <v>17.414100000000001</v>
      </c>
      <c r="H1027" s="11">
        <f>35.0761 * CHOOSE(CONTROL!$C$32, $C$9, 100%, $E$9)</f>
        <v>35.076099999999997</v>
      </c>
      <c r="I1027" s="11">
        <f>35.0813 * CHOOSE(CONTROL!$C$32, $C$9, 100%, $E$9)</f>
        <v>35.081299999999999</v>
      </c>
      <c r="J1027" s="11">
        <f>35.0761 * CHOOSE(CONTROL!$C$32, $C$9, 100%, $E$9)</f>
        <v>35.076099999999997</v>
      </c>
      <c r="K1027" s="11">
        <f>35.0813 * CHOOSE(CONTROL!$C$32, $C$9, 100%, $E$9)</f>
        <v>35.081299999999999</v>
      </c>
      <c r="L1027" s="11">
        <f>17.4088 * CHOOSE(CONTROL!$C$32, $C$9, 100%, $E$9)</f>
        <v>17.408799999999999</v>
      </c>
      <c r="M1027" s="11">
        <f>17.4141 * CHOOSE(CONTROL!$C$32, $C$9, 100%, $E$9)</f>
        <v>17.414100000000001</v>
      </c>
      <c r="N1027" s="11">
        <f>17.4088 * CHOOSE(CONTROL!$C$32, $C$9, 100%, $E$9)</f>
        <v>17.408799999999999</v>
      </c>
      <c r="O1027" s="11">
        <f>17.4141 * CHOOSE(CONTROL!$C$32, $C$9, 100%, $E$9)</f>
        <v>17.414100000000001</v>
      </c>
    </row>
    <row r="1028" spans="1:15" ht="15" x14ac:dyDescent="0.2">
      <c r="A1028" s="13">
        <v>72137</v>
      </c>
      <c r="B1028" s="9">
        <f>15.3797 * CHOOSE(CONTROL!$C$32, $C$9, 100%, $E$9)</f>
        <v>15.3797</v>
      </c>
      <c r="C1028" s="9">
        <f>15.3797 * CHOOSE(CONTROL!$C$32, $C$9, 100%, $E$9)</f>
        <v>15.3797</v>
      </c>
      <c r="D1028" s="9">
        <f>15.3812 * CHOOSE(CONTROL!$C$32, $C$9, 100%, $E$9)</f>
        <v>15.3812</v>
      </c>
      <c r="E1028" s="11">
        <f>17.6566 * CHOOSE(CONTROL!$C$32, $C$9, 100%, $E$9)</f>
        <v>17.656600000000001</v>
      </c>
      <c r="F1028" s="11">
        <f>17.6566 * CHOOSE(CONTROL!$C$32, $C$9, 100%, $E$9)</f>
        <v>17.656600000000001</v>
      </c>
      <c r="G1028" s="11">
        <f>17.6619 * CHOOSE(CONTROL!$C$32, $C$9, 100%, $E$9)</f>
        <v>17.661899999999999</v>
      </c>
      <c r="H1028" s="11">
        <f>35.1491 * CHOOSE(CONTROL!$C$32, $C$9, 100%, $E$9)</f>
        <v>35.149099999999997</v>
      </c>
      <c r="I1028" s="11">
        <f>35.1544 * CHOOSE(CONTROL!$C$32, $C$9, 100%, $E$9)</f>
        <v>35.154400000000003</v>
      </c>
      <c r="J1028" s="11">
        <f>35.1491 * CHOOSE(CONTROL!$C$32, $C$9, 100%, $E$9)</f>
        <v>35.149099999999997</v>
      </c>
      <c r="K1028" s="11">
        <f>35.1544 * CHOOSE(CONTROL!$C$32, $C$9, 100%, $E$9)</f>
        <v>35.154400000000003</v>
      </c>
      <c r="L1028" s="11">
        <f>17.6566 * CHOOSE(CONTROL!$C$32, $C$9, 100%, $E$9)</f>
        <v>17.656600000000001</v>
      </c>
      <c r="M1028" s="11">
        <f>17.6619 * CHOOSE(CONTROL!$C$32, $C$9, 100%, $E$9)</f>
        <v>17.661899999999999</v>
      </c>
      <c r="N1028" s="11">
        <f>17.6566 * CHOOSE(CONTROL!$C$32, $C$9, 100%, $E$9)</f>
        <v>17.656600000000001</v>
      </c>
      <c r="O1028" s="11">
        <f>17.6619 * CHOOSE(CONTROL!$C$32, $C$9, 100%, $E$9)</f>
        <v>17.661899999999999</v>
      </c>
    </row>
    <row r="1029" spans="1:15" ht="15" x14ac:dyDescent="0.2">
      <c r="A1029" s="13">
        <v>72168</v>
      </c>
      <c r="B1029" s="9">
        <f>15.3863 * CHOOSE(CONTROL!$C$32, $C$9, 100%, $E$9)</f>
        <v>15.3863</v>
      </c>
      <c r="C1029" s="9">
        <f>15.3863 * CHOOSE(CONTROL!$C$32, $C$9, 100%, $E$9)</f>
        <v>15.3863</v>
      </c>
      <c r="D1029" s="9">
        <f>15.3879 * CHOOSE(CONTROL!$C$32, $C$9, 100%, $E$9)</f>
        <v>15.3879</v>
      </c>
      <c r="E1029" s="11">
        <f>17.2038 * CHOOSE(CONTROL!$C$32, $C$9, 100%, $E$9)</f>
        <v>17.203800000000001</v>
      </c>
      <c r="F1029" s="11">
        <f>17.2038 * CHOOSE(CONTROL!$C$32, $C$9, 100%, $E$9)</f>
        <v>17.203800000000001</v>
      </c>
      <c r="G1029" s="11">
        <f>17.2091 * CHOOSE(CONTROL!$C$32, $C$9, 100%, $E$9)</f>
        <v>17.209099999999999</v>
      </c>
      <c r="H1029" s="11">
        <f>35.2224 * CHOOSE(CONTROL!$C$32, $C$9, 100%, $E$9)</f>
        <v>35.2224</v>
      </c>
      <c r="I1029" s="11">
        <f>35.2276 * CHOOSE(CONTROL!$C$32, $C$9, 100%, $E$9)</f>
        <v>35.227600000000002</v>
      </c>
      <c r="J1029" s="11">
        <f>35.2224 * CHOOSE(CONTROL!$C$32, $C$9, 100%, $E$9)</f>
        <v>35.2224</v>
      </c>
      <c r="K1029" s="11">
        <f>35.2276 * CHOOSE(CONTROL!$C$32, $C$9, 100%, $E$9)</f>
        <v>35.227600000000002</v>
      </c>
      <c r="L1029" s="11">
        <f>17.2038 * CHOOSE(CONTROL!$C$32, $C$9, 100%, $E$9)</f>
        <v>17.203800000000001</v>
      </c>
      <c r="M1029" s="11">
        <f>17.2091 * CHOOSE(CONTROL!$C$32, $C$9, 100%, $E$9)</f>
        <v>17.209099999999999</v>
      </c>
      <c r="N1029" s="11">
        <f>17.2038 * CHOOSE(CONTROL!$C$32, $C$9, 100%, $E$9)</f>
        <v>17.203800000000001</v>
      </c>
      <c r="O1029" s="11">
        <f>17.2091 * CHOOSE(CONTROL!$C$32, $C$9, 100%, $E$9)</f>
        <v>17.209099999999999</v>
      </c>
    </row>
    <row r="1030" spans="1:15" ht="15" x14ac:dyDescent="0.2">
      <c r="A1030" s="13">
        <v>72199</v>
      </c>
      <c r="B1030" s="9">
        <f>15.3833 * CHOOSE(CONTROL!$C$32, $C$9, 100%, $E$9)</f>
        <v>15.3833</v>
      </c>
      <c r="C1030" s="9">
        <f>15.3833 * CHOOSE(CONTROL!$C$32, $C$9, 100%, $E$9)</f>
        <v>15.3833</v>
      </c>
      <c r="D1030" s="9">
        <f>15.3849 * CHOOSE(CONTROL!$C$32, $C$9, 100%, $E$9)</f>
        <v>15.3849</v>
      </c>
      <c r="E1030" s="11">
        <f>17.1509 * CHOOSE(CONTROL!$C$32, $C$9, 100%, $E$9)</f>
        <v>17.1509</v>
      </c>
      <c r="F1030" s="11">
        <f>17.1509 * CHOOSE(CONTROL!$C$32, $C$9, 100%, $E$9)</f>
        <v>17.1509</v>
      </c>
      <c r="G1030" s="11">
        <f>17.1562 * CHOOSE(CONTROL!$C$32, $C$9, 100%, $E$9)</f>
        <v>17.156199999999998</v>
      </c>
      <c r="H1030" s="11">
        <f>35.2957 * CHOOSE(CONTROL!$C$32, $C$9, 100%, $E$9)</f>
        <v>35.295699999999997</v>
      </c>
      <c r="I1030" s="11">
        <f>35.301 * CHOOSE(CONTROL!$C$32, $C$9, 100%, $E$9)</f>
        <v>35.301000000000002</v>
      </c>
      <c r="J1030" s="11">
        <f>35.2957 * CHOOSE(CONTROL!$C$32, $C$9, 100%, $E$9)</f>
        <v>35.295699999999997</v>
      </c>
      <c r="K1030" s="11">
        <f>35.301 * CHOOSE(CONTROL!$C$32, $C$9, 100%, $E$9)</f>
        <v>35.301000000000002</v>
      </c>
      <c r="L1030" s="11">
        <f>17.1509 * CHOOSE(CONTROL!$C$32, $C$9, 100%, $E$9)</f>
        <v>17.1509</v>
      </c>
      <c r="M1030" s="11">
        <f>17.1562 * CHOOSE(CONTROL!$C$32, $C$9, 100%, $E$9)</f>
        <v>17.156199999999998</v>
      </c>
      <c r="N1030" s="11">
        <f>17.1509 * CHOOSE(CONTROL!$C$32, $C$9, 100%, $E$9)</f>
        <v>17.1509</v>
      </c>
      <c r="O1030" s="11">
        <f>17.1562 * CHOOSE(CONTROL!$C$32, $C$9, 100%, $E$9)</f>
        <v>17.156199999999998</v>
      </c>
    </row>
    <row r="1031" spans="1:15" ht="15" x14ac:dyDescent="0.2">
      <c r="A1031" s="13">
        <v>72229</v>
      </c>
      <c r="B1031" s="9">
        <f>15.4209 * CHOOSE(CONTROL!$C$32, $C$9, 100%, $E$9)</f>
        <v>15.4209</v>
      </c>
      <c r="C1031" s="9">
        <f>15.4209 * CHOOSE(CONTROL!$C$32, $C$9, 100%, $E$9)</f>
        <v>15.4209</v>
      </c>
      <c r="D1031" s="9">
        <f>15.422 * CHOOSE(CONTROL!$C$32, $C$9, 100%, $E$9)</f>
        <v>15.422000000000001</v>
      </c>
      <c r="E1031" s="11">
        <f>17.3408 * CHOOSE(CONTROL!$C$32, $C$9, 100%, $E$9)</f>
        <v>17.340800000000002</v>
      </c>
      <c r="F1031" s="11">
        <f>17.3408 * CHOOSE(CONTROL!$C$32, $C$9, 100%, $E$9)</f>
        <v>17.340800000000002</v>
      </c>
      <c r="G1031" s="11">
        <f>17.3444 * CHOOSE(CONTROL!$C$32, $C$9, 100%, $E$9)</f>
        <v>17.3444</v>
      </c>
      <c r="H1031" s="11">
        <f>35.3693 * CHOOSE(CONTROL!$C$32, $C$9, 100%, $E$9)</f>
        <v>35.369300000000003</v>
      </c>
      <c r="I1031" s="11">
        <f>35.3729 * CHOOSE(CONTROL!$C$32, $C$9, 100%, $E$9)</f>
        <v>35.372900000000001</v>
      </c>
      <c r="J1031" s="11">
        <f>35.3693 * CHOOSE(CONTROL!$C$32, $C$9, 100%, $E$9)</f>
        <v>35.369300000000003</v>
      </c>
      <c r="K1031" s="11">
        <f>35.3729 * CHOOSE(CONTROL!$C$32, $C$9, 100%, $E$9)</f>
        <v>35.372900000000001</v>
      </c>
      <c r="L1031" s="11">
        <f>17.3408 * CHOOSE(CONTROL!$C$32, $C$9, 100%, $E$9)</f>
        <v>17.340800000000002</v>
      </c>
      <c r="M1031" s="11">
        <f>17.3444 * CHOOSE(CONTROL!$C$32, $C$9, 100%, $E$9)</f>
        <v>17.3444</v>
      </c>
      <c r="N1031" s="11">
        <f>17.3408 * CHOOSE(CONTROL!$C$32, $C$9, 100%, $E$9)</f>
        <v>17.340800000000002</v>
      </c>
      <c r="O1031" s="11">
        <f>17.3444 * CHOOSE(CONTROL!$C$32, $C$9, 100%, $E$9)</f>
        <v>17.3444</v>
      </c>
    </row>
    <row r="1032" spans="1:15" ht="15" x14ac:dyDescent="0.2">
      <c r="A1032" s="13">
        <v>72260</v>
      </c>
      <c r="B1032" s="9">
        <f>15.424 * CHOOSE(CONTROL!$C$32, $C$9, 100%, $E$9)</f>
        <v>15.423999999999999</v>
      </c>
      <c r="C1032" s="9">
        <f>15.424 * CHOOSE(CONTROL!$C$32, $C$9, 100%, $E$9)</f>
        <v>15.423999999999999</v>
      </c>
      <c r="D1032" s="9">
        <f>15.425 * CHOOSE(CONTROL!$C$32, $C$9, 100%, $E$9)</f>
        <v>15.425000000000001</v>
      </c>
      <c r="E1032" s="11">
        <f>17.4445 * CHOOSE(CONTROL!$C$32, $C$9, 100%, $E$9)</f>
        <v>17.444500000000001</v>
      </c>
      <c r="F1032" s="11">
        <f>17.4445 * CHOOSE(CONTROL!$C$32, $C$9, 100%, $E$9)</f>
        <v>17.444500000000001</v>
      </c>
      <c r="G1032" s="11">
        <f>17.4482 * CHOOSE(CONTROL!$C$32, $C$9, 100%, $E$9)</f>
        <v>17.4482</v>
      </c>
      <c r="H1032" s="11">
        <f>35.443 * CHOOSE(CONTROL!$C$32, $C$9, 100%, $E$9)</f>
        <v>35.442999999999998</v>
      </c>
      <c r="I1032" s="11">
        <f>35.4466 * CHOOSE(CONTROL!$C$32, $C$9, 100%, $E$9)</f>
        <v>35.446599999999997</v>
      </c>
      <c r="J1032" s="11">
        <f>35.443 * CHOOSE(CONTROL!$C$32, $C$9, 100%, $E$9)</f>
        <v>35.442999999999998</v>
      </c>
      <c r="K1032" s="11">
        <f>35.4466 * CHOOSE(CONTROL!$C$32, $C$9, 100%, $E$9)</f>
        <v>35.446599999999997</v>
      </c>
      <c r="L1032" s="11">
        <f>17.4445 * CHOOSE(CONTROL!$C$32, $C$9, 100%, $E$9)</f>
        <v>17.444500000000001</v>
      </c>
      <c r="M1032" s="11">
        <f>17.4482 * CHOOSE(CONTROL!$C$32, $C$9, 100%, $E$9)</f>
        <v>17.4482</v>
      </c>
      <c r="N1032" s="11">
        <f>17.4445 * CHOOSE(CONTROL!$C$32, $C$9, 100%, $E$9)</f>
        <v>17.444500000000001</v>
      </c>
      <c r="O1032" s="11">
        <f>17.4482 * CHOOSE(CONTROL!$C$32, $C$9, 100%, $E$9)</f>
        <v>17.4482</v>
      </c>
    </row>
    <row r="1033" spans="1:15" ht="15" x14ac:dyDescent="0.2">
      <c r="A1033" s="13">
        <v>72290</v>
      </c>
      <c r="B1033" s="9">
        <f>15.424 * CHOOSE(CONTROL!$C$32, $C$9, 100%, $E$9)</f>
        <v>15.423999999999999</v>
      </c>
      <c r="C1033" s="9">
        <f>15.424 * CHOOSE(CONTROL!$C$32, $C$9, 100%, $E$9)</f>
        <v>15.423999999999999</v>
      </c>
      <c r="D1033" s="9">
        <f>15.425 * CHOOSE(CONTROL!$C$32, $C$9, 100%, $E$9)</f>
        <v>15.425000000000001</v>
      </c>
      <c r="E1033" s="11">
        <f>17.1904 * CHOOSE(CONTROL!$C$32, $C$9, 100%, $E$9)</f>
        <v>17.1904</v>
      </c>
      <c r="F1033" s="11">
        <f>17.1904 * CHOOSE(CONTROL!$C$32, $C$9, 100%, $E$9)</f>
        <v>17.1904</v>
      </c>
      <c r="G1033" s="11">
        <f>17.194 * CHOOSE(CONTROL!$C$32, $C$9, 100%, $E$9)</f>
        <v>17.193999999999999</v>
      </c>
      <c r="H1033" s="11">
        <f>35.5168 * CHOOSE(CONTROL!$C$32, $C$9, 100%, $E$9)</f>
        <v>35.516800000000003</v>
      </c>
      <c r="I1033" s="11">
        <f>35.5204 * CHOOSE(CONTROL!$C$32, $C$9, 100%, $E$9)</f>
        <v>35.520400000000002</v>
      </c>
      <c r="J1033" s="11">
        <f>35.5168 * CHOOSE(CONTROL!$C$32, $C$9, 100%, $E$9)</f>
        <v>35.516800000000003</v>
      </c>
      <c r="K1033" s="11">
        <f>35.5204 * CHOOSE(CONTROL!$C$32, $C$9, 100%, $E$9)</f>
        <v>35.520400000000002</v>
      </c>
      <c r="L1033" s="11">
        <f>17.1904 * CHOOSE(CONTROL!$C$32, $C$9, 100%, $E$9)</f>
        <v>17.1904</v>
      </c>
      <c r="M1033" s="11">
        <f>17.194 * CHOOSE(CONTROL!$C$32, $C$9, 100%, $E$9)</f>
        <v>17.193999999999999</v>
      </c>
      <c r="N1033" s="11">
        <f>17.1904 * CHOOSE(CONTROL!$C$32, $C$9, 100%, $E$9)</f>
        <v>17.1904</v>
      </c>
      <c r="O1033" s="11">
        <f>17.194 * CHOOSE(CONTROL!$C$32, $C$9, 100%, $E$9)</f>
        <v>17.193999999999999</v>
      </c>
    </row>
    <row r="1034" spans="1:15" ht="15" x14ac:dyDescent="0.2">
      <c r="A1034" s="13">
        <v>72321</v>
      </c>
      <c r="B1034" s="9">
        <f>15.3771 * CHOOSE(CONTROL!$C$32, $C$9, 100%, $E$9)</f>
        <v>15.3771</v>
      </c>
      <c r="C1034" s="9">
        <f>15.3771 * CHOOSE(CONTROL!$C$32, $C$9, 100%, $E$9)</f>
        <v>15.3771</v>
      </c>
      <c r="D1034" s="9">
        <f>15.3782 * CHOOSE(CONTROL!$C$32, $C$9, 100%, $E$9)</f>
        <v>15.3782</v>
      </c>
      <c r="E1034" s="11">
        <f>17.3206 * CHOOSE(CONTROL!$C$32, $C$9, 100%, $E$9)</f>
        <v>17.320599999999999</v>
      </c>
      <c r="F1034" s="11">
        <f>17.3206 * CHOOSE(CONTROL!$C$32, $C$9, 100%, $E$9)</f>
        <v>17.320599999999999</v>
      </c>
      <c r="G1034" s="11">
        <f>17.3243 * CHOOSE(CONTROL!$C$32, $C$9, 100%, $E$9)</f>
        <v>17.324300000000001</v>
      </c>
      <c r="H1034" s="11">
        <f>35.1665 * CHOOSE(CONTROL!$C$32, $C$9, 100%, $E$9)</f>
        <v>35.166499999999999</v>
      </c>
      <c r="I1034" s="11">
        <f>35.1701 * CHOOSE(CONTROL!$C$32, $C$9, 100%, $E$9)</f>
        <v>35.170099999999998</v>
      </c>
      <c r="J1034" s="11">
        <f>35.1665 * CHOOSE(CONTROL!$C$32, $C$9, 100%, $E$9)</f>
        <v>35.166499999999999</v>
      </c>
      <c r="K1034" s="11">
        <f>35.1701 * CHOOSE(CONTROL!$C$32, $C$9, 100%, $E$9)</f>
        <v>35.170099999999998</v>
      </c>
      <c r="L1034" s="11">
        <f>17.3206 * CHOOSE(CONTROL!$C$32, $C$9, 100%, $E$9)</f>
        <v>17.320599999999999</v>
      </c>
      <c r="M1034" s="11">
        <f>17.3243 * CHOOSE(CONTROL!$C$32, $C$9, 100%, $E$9)</f>
        <v>17.324300000000001</v>
      </c>
      <c r="N1034" s="11">
        <f>17.3206 * CHOOSE(CONTROL!$C$32, $C$9, 100%, $E$9)</f>
        <v>17.320599999999999</v>
      </c>
      <c r="O1034" s="11">
        <f>17.3243 * CHOOSE(CONTROL!$C$32, $C$9, 100%, $E$9)</f>
        <v>17.324300000000001</v>
      </c>
    </row>
    <row r="1035" spans="1:15" ht="15" x14ac:dyDescent="0.2">
      <c r="A1035" s="13">
        <v>72352</v>
      </c>
      <c r="B1035" s="9">
        <f>15.3741 * CHOOSE(CONTROL!$C$32, $C$9, 100%, $E$9)</f>
        <v>15.3741</v>
      </c>
      <c r="C1035" s="9">
        <f>15.3741 * CHOOSE(CONTROL!$C$32, $C$9, 100%, $E$9)</f>
        <v>15.3741</v>
      </c>
      <c r="D1035" s="9">
        <f>15.3751 * CHOOSE(CONTROL!$C$32, $C$9, 100%, $E$9)</f>
        <v>15.3751</v>
      </c>
      <c r="E1035" s="11">
        <f>16.8312 * CHOOSE(CONTROL!$C$32, $C$9, 100%, $E$9)</f>
        <v>16.831199999999999</v>
      </c>
      <c r="F1035" s="11">
        <f>16.8312 * CHOOSE(CONTROL!$C$32, $C$9, 100%, $E$9)</f>
        <v>16.831199999999999</v>
      </c>
      <c r="G1035" s="11">
        <f>16.8348 * CHOOSE(CONTROL!$C$32, $C$9, 100%, $E$9)</f>
        <v>16.834800000000001</v>
      </c>
      <c r="H1035" s="11">
        <f>35.2397 * CHOOSE(CONTROL!$C$32, $C$9, 100%, $E$9)</f>
        <v>35.239699999999999</v>
      </c>
      <c r="I1035" s="11">
        <f>35.2433 * CHOOSE(CONTROL!$C$32, $C$9, 100%, $E$9)</f>
        <v>35.243299999999998</v>
      </c>
      <c r="J1035" s="11">
        <f>35.2397 * CHOOSE(CONTROL!$C$32, $C$9, 100%, $E$9)</f>
        <v>35.239699999999999</v>
      </c>
      <c r="K1035" s="11">
        <f>35.2433 * CHOOSE(CONTROL!$C$32, $C$9, 100%, $E$9)</f>
        <v>35.243299999999998</v>
      </c>
      <c r="L1035" s="11">
        <f>16.8312 * CHOOSE(CONTROL!$C$32, $C$9, 100%, $E$9)</f>
        <v>16.831199999999999</v>
      </c>
      <c r="M1035" s="11">
        <f>16.8348 * CHOOSE(CONTROL!$C$32, $C$9, 100%, $E$9)</f>
        <v>16.834800000000001</v>
      </c>
      <c r="N1035" s="11">
        <f>16.8312 * CHOOSE(CONTROL!$C$32, $C$9, 100%, $E$9)</f>
        <v>16.831199999999999</v>
      </c>
      <c r="O1035" s="11">
        <f>16.8348 * CHOOSE(CONTROL!$C$32, $C$9, 100%, $E$9)</f>
        <v>16.834800000000001</v>
      </c>
    </row>
    <row r="1036" spans="1:15" ht="15" x14ac:dyDescent="0.2">
      <c r="A1036" s="13">
        <v>72380</v>
      </c>
      <c r="B1036" s="9">
        <f>15.371 * CHOOSE(CONTROL!$C$32, $C$9, 100%, $E$9)</f>
        <v>15.371</v>
      </c>
      <c r="C1036" s="9">
        <f>15.371 * CHOOSE(CONTROL!$C$32, $C$9, 100%, $E$9)</f>
        <v>15.371</v>
      </c>
      <c r="D1036" s="9">
        <f>15.3721 * CHOOSE(CONTROL!$C$32, $C$9, 100%, $E$9)</f>
        <v>15.3721</v>
      </c>
      <c r="E1036" s="11">
        <f>17.2133 * CHOOSE(CONTROL!$C$32, $C$9, 100%, $E$9)</f>
        <v>17.2133</v>
      </c>
      <c r="F1036" s="11">
        <f>17.2133 * CHOOSE(CONTROL!$C$32, $C$9, 100%, $E$9)</f>
        <v>17.2133</v>
      </c>
      <c r="G1036" s="11">
        <f>17.2169 * CHOOSE(CONTROL!$C$32, $C$9, 100%, $E$9)</f>
        <v>17.216899999999999</v>
      </c>
      <c r="H1036" s="11">
        <f>35.3131 * CHOOSE(CONTROL!$C$32, $C$9, 100%, $E$9)</f>
        <v>35.313099999999999</v>
      </c>
      <c r="I1036" s="11">
        <f>35.3168 * CHOOSE(CONTROL!$C$32, $C$9, 100%, $E$9)</f>
        <v>35.316800000000001</v>
      </c>
      <c r="J1036" s="11">
        <f>35.3131 * CHOOSE(CONTROL!$C$32, $C$9, 100%, $E$9)</f>
        <v>35.313099999999999</v>
      </c>
      <c r="K1036" s="11">
        <f>35.3168 * CHOOSE(CONTROL!$C$32, $C$9, 100%, $E$9)</f>
        <v>35.316800000000001</v>
      </c>
      <c r="L1036" s="11">
        <f>17.2133 * CHOOSE(CONTROL!$C$32, $C$9, 100%, $E$9)</f>
        <v>17.2133</v>
      </c>
      <c r="M1036" s="11">
        <f>17.2169 * CHOOSE(CONTROL!$C$32, $C$9, 100%, $E$9)</f>
        <v>17.216899999999999</v>
      </c>
      <c r="N1036" s="11">
        <f>17.2133 * CHOOSE(CONTROL!$C$32, $C$9, 100%, $E$9)</f>
        <v>17.2133</v>
      </c>
      <c r="O1036" s="11">
        <f>17.2169 * CHOOSE(CONTROL!$C$32, $C$9, 100%, $E$9)</f>
        <v>17.216899999999999</v>
      </c>
    </row>
    <row r="1037" spans="1:15" ht="15" x14ac:dyDescent="0.2">
      <c r="A1037" s="13">
        <v>72411</v>
      </c>
      <c r="B1037" s="9">
        <f>15.3797 * CHOOSE(CONTROL!$C$32, $C$9, 100%, $E$9)</f>
        <v>15.3797</v>
      </c>
      <c r="C1037" s="9">
        <f>15.3797 * CHOOSE(CONTROL!$C$32, $C$9, 100%, $E$9)</f>
        <v>15.3797</v>
      </c>
      <c r="D1037" s="9">
        <f>15.3808 * CHOOSE(CONTROL!$C$32, $C$9, 100%, $E$9)</f>
        <v>15.380800000000001</v>
      </c>
      <c r="E1037" s="11">
        <f>17.6216 * CHOOSE(CONTROL!$C$32, $C$9, 100%, $E$9)</f>
        <v>17.621600000000001</v>
      </c>
      <c r="F1037" s="11">
        <f>17.6216 * CHOOSE(CONTROL!$C$32, $C$9, 100%, $E$9)</f>
        <v>17.621600000000001</v>
      </c>
      <c r="G1037" s="11">
        <f>17.6252 * CHOOSE(CONTROL!$C$32, $C$9, 100%, $E$9)</f>
        <v>17.6252</v>
      </c>
      <c r="H1037" s="11">
        <f>35.3867 * CHOOSE(CONTROL!$C$32, $C$9, 100%, $E$9)</f>
        <v>35.386699999999998</v>
      </c>
      <c r="I1037" s="11">
        <f>35.3903 * CHOOSE(CONTROL!$C$32, $C$9, 100%, $E$9)</f>
        <v>35.390300000000003</v>
      </c>
      <c r="J1037" s="11">
        <f>35.3867 * CHOOSE(CONTROL!$C$32, $C$9, 100%, $E$9)</f>
        <v>35.386699999999998</v>
      </c>
      <c r="K1037" s="11">
        <f>35.3903 * CHOOSE(CONTROL!$C$32, $C$9, 100%, $E$9)</f>
        <v>35.390300000000003</v>
      </c>
      <c r="L1037" s="11">
        <f>17.6216 * CHOOSE(CONTROL!$C$32, $C$9, 100%, $E$9)</f>
        <v>17.621600000000001</v>
      </c>
      <c r="M1037" s="11">
        <f>17.6252 * CHOOSE(CONTROL!$C$32, $C$9, 100%, $E$9)</f>
        <v>17.6252</v>
      </c>
      <c r="N1037" s="11">
        <f>17.6216 * CHOOSE(CONTROL!$C$32, $C$9, 100%, $E$9)</f>
        <v>17.621600000000001</v>
      </c>
      <c r="O1037" s="11">
        <f>17.6252 * CHOOSE(CONTROL!$C$32, $C$9, 100%, $E$9)</f>
        <v>17.6252</v>
      </c>
    </row>
    <row r="1038" spans="1:15" ht="15" x14ac:dyDescent="0.2">
      <c r="A1038" s="13">
        <v>72441</v>
      </c>
      <c r="B1038" s="9">
        <f>15.3797 * CHOOSE(CONTROL!$C$32, $C$9, 100%, $E$9)</f>
        <v>15.3797</v>
      </c>
      <c r="C1038" s="9">
        <f>15.3797 * CHOOSE(CONTROL!$C$32, $C$9, 100%, $E$9)</f>
        <v>15.3797</v>
      </c>
      <c r="D1038" s="9">
        <f>15.3813 * CHOOSE(CONTROL!$C$32, $C$9, 100%, $E$9)</f>
        <v>15.3813</v>
      </c>
      <c r="E1038" s="11">
        <f>17.7763 * CHOOSE(CONTROL!$C$32, $C$9, 100%, $E$9)</f>
        <v>17.776299999999999</v>
      </c>
      <c r="F1038" s="11">
        <f>17.7763 * CHOOSE(CONTROL!$C$32, $C$9, 100%, $E$9)</f>
        <v>17.776299999999999</v>
      </c>
      <c r="G1038" s="11">
        <f>17.7816 * CHOOSE(CONTROL!$C$32, $C$9, 100%, $E$9)</f>
        <v>17.781600000000001</v>
      </c>
      <c r="H1038" s="11">
        <f>35.4604 * CHOOSE(CONTROL!$C$32, $C$9, 100%, $E$9)</f>
        <v>35.4604</v>
      </c>
      <c r="I1038" s="11">
        <f>35.4657 * CHOOSE(CONTROL!$C$32, $C$9, 100%, $E$9)</f>
        <v>35.465699999999998</v>
      </c>
      <c r="J1038" s="11">
        <f>35.4604 * CHOOSE(CONTROL!$C$32, $C$9, 100%, $E$9)</f>
        <v>35.4604</v>
      </c>
      <c r="K1038" s="11">
        <f>35.4657 * CHOOSE(CONTROL!$C$32, $C$9, 100%, $E$9)</f>
        <v>35.465699999999998</v>
      </c>
      <c r="L1038" s="11">
        <f>17.7763 * CHOOSE(CONTROL!$C$32, $C$9, 100%, $E$9)</f>
        <v>17.776299999999999</v>
      </c>
      <c r="M1038" s="11">
        <f>17.7816 * CHOOSE(CONTROL!$C$32, $C$9, 100%, $E$9)</f>
        <v>17.781600000000001</v>
      </c>
      <c r="N1038" s="11">
        <f>17.7763 * CHOOSE(CONTROL!$C$32, $C$9, 100%, $E$9)</f>
        <v>17.776299999999999</v>
      </c>
      <c r="O1038" s="11">
        <f>17.7816 * CHOOSE(CONTROL!$C$32, $C$9, 100%, $E$9)</f>
        <v>17.781600000000001</v>
      </c>
    </row>
    <row r="1039" spans="1:15" ht="15" x14ac:dyDescent="0.2">
      <c r="A1039" s="13">
        <v>72472</v>
      </c>
      <c r="B1039" s="9">
        <f>15.3858 * CHOOSE(CONTROL!$C$32, $C$9, 100%, $E$9)</f>
        <v>15.3858</v>
      </c>
      <c r="C1039" s="9">
        <f>15.3858 * CHOOSE(CONTROL!$C$32, $C$9, 100%, $E$9)</f>
        <v>15.3858</v>
      </c>
      <c r="D1039" s="9">
        <f>15.3874 * CHOOSE(CONTROL!$C$32, $C$9, 100%, $E$9)</f>
        <v>15.3874</v>
      </c>
      <c r="E1039" s="11">
        <f>17.6258 * CHOOSE(CONTROL!$C$32, $C$9, 100%, $E$9)</f>
        <v>17.625800000000002</v>
      </c>
      <c r="F1039" s="11">
        <f>17.6258 * CHOOSE(CONTROL!$C$32, $C$9, 100%, $E$9)</f>
        <v>17.625800000000002</v>
      </c>
      <c r="G1039" s="11">
        <f>17.6311 * CHOOSE(CONTROL!$C$32, $C$9, 100%, $E$9)</f>
        <v>17.6311</v>
      </c>
      <c r="H1039" s="11">
        <f>35.5343 * CHOOSE(CONTROL!$C$32, $C$9, 100%, $E$9)</f>
        <v>35.534300000000002</v>
      </c>
      <c r="I1039" s="11">
        <f>35.5396 * CHOOSE(CONTROL!$C$32, $C$9, 100%, $E$9)</f>
        <v>35.5396</v>
      </c>
      <c r="J1039" s="11">
        <f>35.5343 * CHOOSE(CONTROL!$C$32, $C$9, 100%, $E$9)</f>
        <v>35.534300000000002</v>
      </c>
      <c r="K1039" s="11">
        <f>35.5396 * CHOOSE(CONTROL!$C$32, $C$9, 100%, $E$9)</f>
        <v>35.5396</v>
      </c>
      <c r="L1039" s="11">
        <f>17.6258 * CHOOSE(CONTROL!$C$32, $C$9, 100%, $E$9)</f>
        <v>17.625800000000002</v>
      </c>
      <c r="M1039" s="11">
        <f>17.6311 * CHOOSE(CONTROL!$C$32, $C$9, 100%, $E$9)</f>
        <v>17.6311</v>
      </c>
      <c r="N1039" s="11">
        <f>17.6258 * CHOOSE(CONTROL!$C$32, $C$9, 100%, $E$9)</f>
        <v>17.625800000000002</v>
      </c>
      <c r="O1039" s="11">
        <f>17.6311 * CHOOSE(CONTROL!$C$32, $C$9, 100%, $E$9)</f>
        <v>17.6311</v>
      </c>
    </row>
    <row r="1040" spans="1:15" ht="15" x14ac:dyDescent="0.2">
      <c r="A1040" s="13">
        <v>72502</v>
      </c>
      <c r="B1040" s="9">
        <f>15.5692 * CHOOSE(CONTROL!$C$32, $C$9, 100%, $E$9)</f>
        <v>15.5692</v>
      </c>
      <c r="C1040" s="9">
        <f>15.5692 * CHOOSE(CONTROL!$C$32, $C$9, 100%, $E$9)</f>
        <v>15.5692</v>
      </c>
      <c r="D1040" s="9">
        <f>15.5708 * CHOOSE(CONTROL!$C$32, $C$9, 100%, $E$9)</f>
        <v>15.5708</v>
      </c>
      <c r="E1040" s="11">
        <f>17.8768 * CHOOSE(CONTROL!$C$32, $C$9, 100%, $E$9)</f>
        <v>17.876799999999999</v>
      </c>
      <c r="F1040" s="11">
        <f>17.8768 * CHOOSE(CONTROL!$C$32, $C$9, 100%, $E$9)</f>
        <v>17.876799999999999</v>
      </c>
      <c r="G1040" s="11">
        <f>17.8821 * CHOOSE(CONTROL!$C$32, $C$9, 100%, $E$9)</f>
        <v>17.882100000000001</v>
      </c>
      <c r="H1040" s="11">
        <f>35.6083 * CHOOSE(CONTROL!$C$32, $C$9, 100%, $E$9)</f>
        <v>35.6083</v>
      </c>
      <c r="I1040" s="11">
        <f>35.6136 * CHOOSE(CONTROL!$C$32, $C$9, 100%, $E$9)</f>
        <v>35.613599999999998</v>
      </c>
      <c r="J1040" s="11">
        <f>35.6083 * CHOOSE(CONTROL!$C$32, $C$9, 100%, $E$9)</f>
        <v>35.6083</v>
      </c>
      <c r="K1040" s="11">
        <f>35.6136 * CHOOSE(CONTROL!$C$32, $C$9, 100%, $E$9)</f>
        <v>35.613599999999998</v>
      </c>
      <c r="L1040" s="11">
        <f>17.8768 * CHOOSE(CONTROL!$C$32, $C$9, 100%, $E$9)</f>
        <v>17.876799999999999</v>
      </c>
      <c r="M1040" s="11">
        <f>17.8821 * CHOOSE(CONTROL!$C$32, $C$9, 100%, $E$9)</f>
        <v>17.882100000000001</v>
      </c>
      <c r="N1040" s="11">
        <f>17.8768 * CHOOSE(CONTROL!$C$32, $C$9, 100%, $E$9)</f>
        <v>17.876799999999999</v>
      </c>
      <c r="O1040" s="11">
        <f>17.8821 * CHOOSE(CONTROL!$C$32, $C$9, 100%, $E$9)</f>
        <v>17.882100000000001</v>
      </c>
    </row>
    <row r="1041" spans="1:15" ht="15" x14ac:dyDescent="0.2">
      <c r="A1041" s="13">
        <v>72533</v>
      </c>
      <c r="B1041" s="9">
        <f>15.5759 * CHOOSE(CONTROL!$C$32, $C$9, 100%, $E$9)</f>
        <v>15.575900000000001</v>
      </c>
      <c r="C1041" s="9">
        <f>15.5759 * CHOOSE(CONTROL!$C$32, $C$9, 100%, $E$9)</f>
        <v>15.575900000000001</v>
      </c>
      <c r="D1041" s="9">
        <f>15.5775 * CHOOSE(CONTROL!$C$32, $C$9, 100%, $E$9)</f>
        <v>15.577500000000001</v>
      </c>
      <c r="E1041" s="11">
        <f>17.4173 * CHOOSE(CONTROL!$C$32, $C$9, 100%, $E$9)</f>
        <v>17.417300000000001</v>
      </c>
      <c r="F1041" s="11">
        <f>17.4173 * CHOOSE(CONTROL!$C$32, $C$9, 100%, $E$9)</f>
        <v>17.417300000000001</v>
      </c>
      <c r="G1041" s="11">
        <f>17.4226 * CHOOSE(CONTROL!$C$32, $C$9, 100%, $E$9)</f>
        <v>17.422599999999999</v>
      </c>
      <c r="H1041" s="11">
        <f>35.6825 * CHOOSE(CONTROL!$C$32, $C$9, 100%, $E$9)</f>
        <v>35.682499999999997</v>
      </c>
      <c r="I1041" s="11">
        <f>35.6878 * CHOOSE(CONTROL!$C$32, $C$9, 100%, $E$9)</f>
        <v>35.687800000000003</v>
      </c>
      <c r="J1041" s="11">
        <f>35.6825 * CHOOSE(CONTROL!$C$32, $C$9, 100%, $E$9)</f>
        <v>35.682499999999997</v>
      </c>
      <c r="K1041" s="11">
        <f>35.6878 * CHOOSE(CONTROL!$C$32, $C$9, 100%, $E$9)</f>
        <v>35.687800000000003</v>
      </c>
      <c r="L1041" s="11">
        <f>17.4173 * CHOOSE(CONTROL!$C$32, $C$9, 100%, $E$9)</f>
        <v>17.417300000000001</v>
      </c>
      <c r="M1041" s="11">
        <f>17.4226 * CHOOSE(CONTROL!$C$32, $C$9, 100%, $E$9)</f>
        <v>17.422599999999999</v>
      </c>
      <c r="N1041" s="11">
        <f>17.4173 * CHOOSE(CONTROL!$C$32, $C$9, 100%, $E$9)</f>
        <v>17.417300000000001</v>
      </c>
      <c r="O1041" s="11">
        <f>17.4226 * CHOOSE(CONTROL!$C$32, $C$9, 100%, $E$9)</f>
        <v>17.422599999999999</v>
      </c>
    </row>
    <row r="1042" spans="1:15" ht="15" x14ac:dyDescent="0.2">
      <c r="A1042" s="13">
        <v>72564</v>
      </c>
      <c r="B1042" s="9">
        <f>15.5729 * CHOOSE(CONTROL!$C$32, $C$9, 100%, $E$9)</f>
        <v>15.572900000000001</v>
      </c>
      <c r="C1042" s="9">
        <f>15.5729 * CHOOSE(CONTROL!$C$32, $C$9, 100%, $E$9)</f>
        <v>15.572900000000001</v>
      </c>
      <c r="D1042" s="9">
        <f>15.5745 * CHOOSE(CONTROL!$C$32, $C$9, 100%, $E$9)</f>
        <v>15.5745</v>
      </c>
      <c r="E1042" s="11">
        <f>17.3636 * CHOOSE(CONTROL!$C$32, $C$9, 100%, $E$9)</f>
        <v>17.363600000000002</v>
      </c>
      <c r="F1042" s="11">
        <f>17.3636 * CHOOSE(CONTROL!$C$32, $C$9, 100%, $E$9)</f>
        <v>17.363600000000002</v>
      </c>
      <c r="G1042" s="11">
        <f>17.3689 * CHOOSE(CONTROL!$C$32, $C$9, 100%, $E$9)</f>
        <v>17.3689</v>
      </c>
      <c r="H1042" s="11">
        <f>35.7569 * CHOOSE(CONTROL!$C$32, $C$9, 100%, $E$9)</f>
        <v>35.756900000000002</v>
      </c>
      <c r="I1042" s="11">
        <f>35.7621 * CHOOSE(CONTROL!$C$32, $C$9, 100%, $E$9)</f>
        <v>35.762099999999997</v>
      </c>
      <c r="J1042" s="11">
        <f>35.7569 * CHOOSE(CONTROL!$C$32, $C$9, 100%, $E$9)</f>
        <v>35.756900000000002</v>
      </c>
      <c r="K1042" s="11">
        <f>35.7621 * CHOOSE(CONTROL!$C$32, $C$9, 100%, $E$9)</f>
        <v>35.762099999999997</v>
      </c>
      <c r="L1042" s="11">
        <f>17.3636 * CHOOSE(CONTROL!$C$32, $C$9, 100%, $E$9)</f>
        <v>17.363600000000002</v>
      </c>
      <c r="M1042" s="11">
        <f>17.3689 * CHOOSE(CONTROL!$C$32, $C$9, 100%, $E$9)</f>
        <v>17.3689</v>
      </c>
      <c r="N1042" s="11">
        <f>17.3636 * CHOOSE(CONTROL!$C$32, $C$9, 100%, $E$9)</f>
        <v>17.363600000000002</v>
      </c>
      <c r="O1042" s="11">
        <f>17.3689 * CHOOSE(CONTROL!$C$32, $C$9, 100%, $E$9)</f>
        <v>17.3689</v>
      </c>
    </row>
    <row r="1043" spans="1:15" ht="15" x14ac:dyDescent="0.2">
      <c r="A1043" s="13">
        <v>72594</v>
      </c>
      <c r="B1043" s="9">
        <f>15.6112 * CHOOSE(CONTROL!$C$32, $C$9, 100%, $E$9)</f>
        <v>15.6112</v>
      </c>
      <c r="C1043" s="9">
        <f>15.6112 * CHOOSE(CONTROL!$C$32, $C$9, 100%, $E$9)</f>
        <v>15.6112</v>
      </c>
      <c r="D1043" s="9">
        <f>15.6123 * CHOOSE(CONTROL!$C$32, $C$9, 100%, $E$9)</f>
        <v>15.612299999999999</v>
      </c>
      <c r="E1043" s="11">
        <f>17.5565 * CHOOSE(CONTROL!$C$32, $C$9, 100%, $E$9)</f>
        <v>17.5565</v>
      </c>
      <c r="F1043" s="11">
        <f>17.5565 * CHOOSE(CONTROL!$C$32, $C$9, 100%, $E$9)</f>
        <v>17.5565</v>
      </c>
      <c r="G1043" s="11">
        <f>17.5601 * CHOOSE(CONTROL!$C$32, $C$9, 100%, $E$9)</f>
        <v>17.560099999999998</v>
      </c>
      <c r="H1043" s="11">
        <f>35.8313 * CHOOSE(CONTROL!$C$32, $C$9, 100%, $E$9)</f>
        <v>35.831299999999999</v>
      </c>
      <c r="I1043" s="11">
        <f>35.835 * CHOOSE(CONTROL!$C$32, $C$9, 100%, $E$9)</f>
        <v>35.835000000000001</v>
      </c>
      <c r="J1043" s="11">
        <f>35.8313 * CHOOSE(CONTROL!$C$32, $C$9, 100%, $E$9)</f>
        <v>35.831299999999999</v>
      </c>
      <c r="K1043" s="11">
        <f>35.835 * CHOOSE(CONTROL!$C$32, $C$9, 100%, $E$9)</f>
        <v>35.835000000000001</v>
      </c>
      <c r="L1043" s="11">
        <f>17.5565 * CHOOSE(CONTROL!$C$32, $C$9, 100%, $E$9)</f>
        <v>17.5565</v>
      </c>
      <c r="M1043" s="11">
        <f>17.5601 * CHOOSE(CONTROL!$C$32, $C$9, 100%, $E$9)</f>
        <v>17.560099999999998</v>
      </c>
      <c r="N1043" s="11">
        <f>17.5565 * CHOOSE(CONTROL!$C$32, $C$9, 100%, $E$9)</f>
        <v>17.5565</v>
      </c>
      <c r="O1043" s="11">
        <f>17.5601 * CHOOSE(CONTROL!$C$32, $C$9, 100%, $E$9)</f>
        <v>17.560099999999998</v>
      </c>
    </row>
    <row r="1044" spans="1:15" ht="15" x14ac:dyDescent="0.2">
      <c r="A1044" s="13">
        <v>72625</v>
      </c>
      <c r="B1044" s="9">
        <f>15.6143 * CHOOSE(CONTROL!$C$32, $C$9, 100%, $E$9)</f>
        <v>15.6143</v>
      </c>
      <c r="C1044" s="9">
        <f>15.6143 * CHOOSE(CONTROL!$C$32, $C$9, 100%, $E$9)</f>
        <v>15.6143</v>
      </c>
      <c r="D1044" s="9">
        <f>15.6154 * CHOOSE(CONTROL!$C$32, $C$9, 100%, $E$9)</f>
        <v>15.615399999999999</v>
      </c>
      <c r="E1044" s="11">
        <f>17.6617 * CHOOSE(CONTROL!$C$32, $C$9, 100%, $E$9)</f>
        <v>17.6617</v>
      </c>
      <c r="F1044" s="11">
        <f>17.6617 * CHOOSE(CONTROL!$C$32, $C$9, 100%, $E$9)</f>
        <v>17.6617</v>
      </c>
      <c r="G1044" s="11">
        <f>17.6653 * CHOOSE(CONTROL!$C$32, $C$9, 100%, $E$9)</f>
        <v>17.665299999999998</v>
      </c>
      <c r="H1044" s="11">
        <f>35.906 * CHOOSE(CONTROL!$C$32, $C$9, 100%, $E$9)</f>
        <v>35.905999999999999</v>
      </c>
      <c r="I1044" s="11">
        <f>35.9096 * CHOOSE(CONTROL!$C$32, $C$9, 100%, $E$9)</f>
        <v>35.909599999999998</v>
      </c>
      <c r="J1044" s="11">
        <f>35.906 * CHOOSE(CONTROL!$C$32, $C$9, 100%, $E$9)</f>
        <v>35.905999999999999</v>
      </c>
      <c r="K1044" s="11">
        <f>35.9096 * CHOOSE(CONTROL!$C$32, $C$9, 100%, $E$9)</f>
        <v>35.909599999999998</v>
      </c>
      <c r="L1044" s="11">
        <f>17.6617 * CHOOSE(CONTROL!$C$32, $C$9, 100%, $E$9)</f>
        <v>17.6617</v>
      </c>
      <c r="M1044" s="11">
        <f>17.6653 * CHOOSE(CONTROL!$C$32, $C$9, 100%, $E$9)</f>
        <v>17.665299999999998</v>
      </c>
      <c r="N1044" s="11">
        <f>17.6617 * CHOOSE(CONTROL!$C$32, $C$9, 100%, $E$9)</f>
        <v>17.6617</v>
      </c>
      <c r="O1044" s="11">
        <f>17.6653 * CHOOSE(CONTROL!$C$32, $C$9, 100%, $E$9)</f>
        <v>17.665299999999998</v>
      </c>
    </row>
    <row r="1045" spans="1:15" ht="15" x14ac:dyDescent="0.2">
      <c r="A1045" s="13">
        <v>72655</v>
      </c>
      <c r="B1045" s="9">
        <f>15.6143 * CHOOSE(CONTROL!$C$32, $C$9, 100%, $E$9)</f>
        <v>15.6143</v>
      </c>
      <c r="C1045" s="9">
        <f>15.6143 * CHOOSE(CONTROL!$C$32, $C$9, 100%, $E$9)</f>
        <v>15.6143</v>
      </c>
      <c r="D1045" s="9">
        <f>15.6154 * CHOOSE(CONTROL!$C$32, $C$9, 100%, $E$9)</f>
        <v>15.615399999999999</v>
      </c>
      <c r="E1045" s="11">
        <f>17.4039 * CHOOSE(CONTROL!$C$32, $C$9, 100%, $E$9)</f>
        <v>17.4039</v>
      </c>
      <c r="F1045" s="11">
        <f>17.4039 * CHOOSE(CONTROL!$C$32, $C$9, 100%, $E$9)</f>
        <v>17.4039</v>
      </c>
      <c r="G1045" s="11">
        <f>17.4075 * CHOOSE(CONTROL!$C$32, $C$9, 100%, $E$9)</f>
        <v>17.407499999999999</v>
      </c>
      <c r="H1045" s="11">
        <f>35.9808 * CHOOSE(CONTROL!$C$32, $C$9, 100%, $E$9)</f>
        <v>35.980800000000002</v>
      </c>
      <c r="I1045" s="11">
        <f>35.9844 * CHOOSE(CONTROL!$C$32, $C$9, 100%, $E$9)</f>
        <v>35.984400000000001</v>
      </c>
      <c r="J1045" s="11">
        <f>35.9808 * CHOOSE(CONTROL!$C$32, $C$9, 100%, $E$9)</f>
        <v>35.980800000000002</v>
      </c>
      <c r="K1045" s="11">
        <f>35.9844 * CHOOSE(CONTROL!$C$32, $C$9, 100%, $E$9)</f>
        <v>35.984400000000001</v>
      </c>
      <c r="L1045" s="11">
        <f>17.4039 * CHOOSE(CONTROL!$C$32, $C$9, 100%, $E$9)</f>
        <v>17.4039</v>
      </c>
      <c r="M1045" s="11">
        <f>17.4075 * CHOOSE(CONTROL!$C$32, $C$9, 100%, $E$9)</f>
        <v>17.407499999999999</v>
      </c>
      <c r="N1045" s="11">
        <f>17.4039 * CHOOSE(CONTROL!$C$32, $C$9, 100%, $E$9)</f>
        <v>17.4039</v>
      </c>
      <c r="O1045" s="11">
        <f>17.4075 * CHOOSE(CONTROL!$C$32, $C$9, 100%, $E$9)</f>
        <v>17.407499999999999</v>
      </c>
    </row>
    <row r="1046" spans="1:15" ht="15" x14ac:dyDescent="0.2">
      <c r="A1046" s="13">
        <v>72686</v>
      </c>
      <c r="B1046" s="9">
        <f>15.5645 * CHOOSE(CONTROL!$C$32, $C$9, 100%, $E$9)</f>
        <v>15.564500000000001</v>
      </c>
      <c r="C1046" s="9">
        <f>15.5645 * CHOOSE(CONTROL!$C$32, $C$9, 100%, $E$9)</f>
        <v>15.564500000000001</v>
      </c>
      <c r="D1046" s="9">
        <f>15.5655 * CHOOSE(CONTROL!$C$32, $C$9, 100%, $E$9)</f>
        <v>15.5655</v>
      </c>
      <c r="E1046" s="11">
        <f>17.5331 * CHOOSE(CONTROL!$C$32, $C$9, 100%, $E$9)</f>
        <v>17.533100000000001</v>
      </c>
      <c r="F1046" s="11">
        <f>17.5331 * CHOOSE(CONTROL!$C$32, $C$9, 100%, $E$9)</f>
        <v>17.533100000000001</v>
      </c>
      <c r="G1046" s="11">
        <f>17.5368 * CHOOSE(CONTROL!$C$32, $C$9, 100%, $E$9)</f>
        <v>17.536799999999999</v>
      </c>
      <c r="H1046" s="11">
        <f>35.62 * CHOOSE(CONTROL!$C$32, $C$9, 100%, $E$9)</f>
        <v>35.619999999999997</v>
      </c>
      <c r="I1046" s="11">
        <f>35.6236 * CHOOSE(CONTROL!$C$32, $C$9, 100%, $E$9)</f>
        <v>35.623600000000003</v>
      </c>
      <c r="J1046" s="11">
        <f>35.62 * CHOOSE(CONTROL!$C$32, $C$9, 100%, $E$9)</f>
        <v>35.619999999999997</v>
      </c>
      <c r="K1046" s="11">
        <f>35.6236 * CHOOSE(CONTROL!$C$32, $C$9, 100%, $E$9)</f>
        <v>35.623600000000003</v>
      </c>
      <c r="L1046" s="11">
        <f>17.5331 * CHOOSE(CONTROL!$C$32, $C$9, 100%, $E$9)</f>
        <v>17.533100000000001</v>
      </c>
      <c r="M1046" s="11">
        <f>17.5368 * CHOOSE(CONTROL!$C$32, $C$9, 100%, $E$9)</f>
        <v>17.536799999999999</v>
      </c>
      <c r="N1046" s="11">
        <f>17.5331 * CHOOSE(CONTROL!$C$32, $C$9, 100%, $E$9)</f>
        <v>17.533100000000001</v>
      </c>
      <c r="O1046" s="11">
        <f>17.5368 * CHOOSE(CONTROL!$C$32, $C$9, 100%, $E$9)</f>
        <v>17.536799999999999</v>
      </c>
    </row>
    <row r="1047" spans="1:15" ht="15" x14ac:dyDescent="0.2">
      <c r="A1047" s="13">
        <v>72717</v>
      </c>
      <c r="B1047" s="9">
        <f>15.5614 * CHOOSE(CONTROL!$C$32, $C$9, 100%, $E$9)</f>
        <v>15.561400000000001</v>
      </c>
      <c r="C1047" s="9">
        <f>15.5614 * CHOOSE(CONTROL!$C$32, $C$9, 100%, $E$9)</f>
        <v>15.561400000000001</v>
      </c>
      <c r="D1047" s="9">
        <f>15.5625 * CHOOSE(CONTROL!$C$32, $C$9, 100%, $E$9)</f>
        <v>15.5625</v>
      </c>
      <c r="E1047" s="11">
        <f>17.0366 * CHOOSE(CONTROL!$C$32, $C$9, 100%, $E$9)</f>
        <v>17.0366</v>
      </c>
      <c r="F1047" s="11">
        <f>17.0366 * CHOOSE(CONTROL!$C$32, $C$9, 100%, $E$9)</f>
        <v>17.0366</v>
      </c>
      <c r="G1047" s="11">
        <f>17.0402 * CHOOSE(CONTROL!$C$32, $C$9, 100%, $E$9)</f>
        <v>17.040199999999999</v>
      </c>
      <c r="H1047" s="11">
        <f>35.6942 * CHOOSE(CONTROL!$C$32, $C$9, 100%, $E$9)</f>
        <v>35.694200000000002</v>
      </c>
      <c r="I1047" s="11">
        <f>35.6978 * CHOOSE(CONTROL!$C$32, $C$9, 100%, $E$9)</f>
        <v>35.697800000000001</v>
      </c>
      <c r="J1047" s="11">
        <f>35.6942 * CHOOSE(CONTROL!$C$32, $C$9, 100%, $E$9)</f>
        <v>35.694200000000002</v>
      </c>
      <c r="K1047" s="11">
        <f>35.6978 * CHOOSE(CONTROL!$C$32, $C$9, 100%, $E$9)</f>
        <v>35.697800000000001</v>
      </c>
      <c r="L1047" s="11">
        <f>17.0366 * CHOOSE(CONTROL!$C$32, $C$9, 100%, $E$9)</f>
        <v>17.0366</v>
      </c>
      <c r="M1047" s="11">
        <f>17.0402 * CHOOSE(CONTROL!$C$32, $C$9, 100%, $E$9)</f>
        <v>17.040199999999999</v>
      </c>
      <c r="N1047" s="11">
        <f>17.0366 * CHOOSE(CONTROL!$C$32, $C$9, 100%, $E$9)</f>
        <v>17.0366</v>
      </c>
      <c r="O1047" s="11">
        <f>17.0402 * CHOOSE(CONTROL!$C$32, $C$9, 100%, $E$9)</f>
        <v>17.040199999999999</v>
      </c>
    </row>
    <row r="1048" spans="1:15" ht="15" x14ac:dyDescent="0.2">
      <c r="A1048" s="13">
        <v>72745</v>
      </c>
      <c r="B1048" s="9">
        <f>15.5584 * CHOOSE(CONTROL!$C$32, $C$9, 100%, $E$9)</f>
        <v>15.558400000000001</v>
      </c>
      <c r="C1048" s="9">
        <f>15.5584 * CHOOSE(CONTROL!$C$32, $C$9, 100%, $E$9)</f>
        <v>15.558400000000001</v>
      </c>
      <c r="D1048" s="9">
        <f>15.5595 * CHOOSE(CONTROL!$C$32, $C$9, 100%, $E$9)</f>
        <v>15.5595</v>
      </c>
      <c r="E1048" s="11">
        <f>17.4243 * CHOOSE(CONTROL!$C$32, $C$9, 100%, $E$9)</f>
        <v>17.424299999999999</v>
      </c>
      <c r="F1048" s="11">
        <f>17.4243 * CHOOSE(CONTROL!$C$32, $C$9, 100%, $E$9)</f>
        <v>17.424299999999999</v>
      </c>
      <c r="G1048" s="11">
        <f>17.4279 * CHOOSE(CONTROL!$C$32, $C$9, 100%, $E$9)</f>
        <v>17.427900000000001</v>
      </c>
      <c r="H1048" s="11">
        <f>35.7685 * CHOOSE(CONTROL!$C$32, $C$9, 100%, $E$9)</f>
        <v>35.768500000000003</v>
      </c>
      <c r="I1048" s="11">
        <f>35.7721 * CHOOSE(CONTROL!$C$32, $C$9, 100%, $E$9)</f>
        <v>35.772100000000002</v>
      </c>
      <c r="J1048" s="11">
        <f>35.7685 * CHOOSE(CONTROL!$C$32, $C$9, 100%, $E$9)</f>
        <v>35.768500000000003</v>
      </c>
      <c r="K1048" s="11">
        <f>35.7721 * CHOOSE(CONTROL!$C$32, $C$9, 100%, $E$9)</f>
        <v>35.772100000000002</v>
      </c>
      <c r="L1048" s="11">
        <f>17.4243 * CHOOSE(CONTROL!$C$32, $C$9, 100%, $E$9)</f>
        <v>17.424299999999999</v>
      </c>
      <c r="M1048" s="11">
        <f>17.4279 * CHOOSE(CONTROL!$C$32, $C$9, 100%, $E$9)</f>
        <v>17.427900000000001</v>
      </c>
      <c r="N1048" s="11">
        <f>17.4243 * CHOOSE(CONTROL!$C$32, $C$9, 100%, $E$9)</f>
        <v>17.424299999999999</v>
      </c>
      <c r="O1048" s="11">
        <f>17.4279 * CHOOSE(CONTROL!$C$32, $C$9, 100%, $E$9)</f>
        <v>17.427900000000001</v>
      </c>
    </row>
    <row r="1049" spans="1:15" ht="15" x14ac:dyDescent="0.2">
      <c r="A1049" s="13">
        <v>72776</v>
      </c>
      <c r="B1049" s="9">
        <f>15.5673 * CHOOSE(CONTROL!$C$32, $C$9, 100%, $E$9)</f>
        <v>15.567299999999999</v>
      </c>
      <c r="C1049" s="9">
        <f>15.5673 * CHOOSE(CONTROL!$C$32, $C$9, 100%, $E$9)</f>
        <v>15.567299999999999</v>
      </c>
      <c r="D1049" s="9">
        <f>15.5683 * CHOOSE(CONTROL!$C$32, $C$9, 100%, $E$9)</f>
        <v>15.568300000000001</v>
      </c>
      <c r="E1049" s="11">
        <f>17.8386 * CHOOSE(CONTROL!$C$32, $C$9, 100%, $E$9)</f>
        <v>17.8386</v>
      </c>
      <c r="F1049" s="11">
        <f>17.8386 * CHOOSE(CONTROL!$C$32, $C$9, 100%, $E$9)</f>
        <v>17.8386</v>
      </c>
      <c r="G1049" s="11">
        <f>17.8422 * CHOOSE(CONTROL!$C$32, $C$9, 100%, $E$9)</f>
        <v>17.842199999999998</v>
      </c>
      <c r="H1049" s="11">
        <f>35.843 * CHOOSE(CONTROL!$C$32, $C$9, 100%, $E$9)</f>
        <v>35.843000000000004</v>
      </c>
      <c r="I1049" s="11">
        <f>35.8467 * CHOOSE(CONTROL!$C$32, $C$9, 100%, $E$9)</f>
        <v>35.846699999999998</v>
      </c>
      <c r="J1049" s="11">
        <f>35.843 * CHOOSE(CONTROL!$C$32, $C$9, 100%, $E$9)</f>
        <v>35.843000000000004</v>
      </c>
      <c r="K1049" s="11">
        <f>35.8467 * CHOOSE(CONTROL!$C$32, $C$9, 100%, $E$9)</f>
        <v>35.846699999999998</v>
      </c>
      <c r="L1049" s="11">
        <f>17.8386 * CHOOSE(CONTROL!$C$32, $C$9, 100%, $E$9)</f>
        <v>17.8386</v>
      </c>
      <c r="M1049" s="11">
        <f>17.8422 * CHOOSE(CONTROL!$C$32, $C$9, 100%, $E$9)</f>
        <v>17.842199999999998</v>
      </c>
      <c r="N1049" s="11">
        <f>17.8386 * CHOOSE(CONTROL!$C$32, $C$9, 100%, $E$9)</f>
        <v>17.8386</v>
      </c>
      <c r="O1049" s="11">
        <f>17.8422 * CHOOSE(CONTROL!$C$32, $C$9, 100%, $E$9)</f>
        <v>17.842199999999998</v>
      </c>
    </row>
    <row r="1050" spans="1:15" ht="15" x14ac:dyDescent="0.2">
      <c r="A1050" s="13">
        <v>72806</v>
      </c>
      <c r="B1050" s="9">
        <f>15.5673 * CHOOSE(CONTROL!$C$32, $C$9, 100%, $E$9)</f>
        <v>15.567299999999999</v>
      </c>
      <c r="C1050" s="9">
        <f>15.5673 * CHOOSE(CONTROL!$C$32, $C$9, 100%, $E$9)</f>
        <v>15.567299999999999</v>
      </c>
      <c r="D1050" s="9">
        <f>15.5688 * CHOOSE(CONTROL!$C$32, $C$9, 100%, $E$9)</f>
        <v>15.5688</v>
      </c>
      <c r="E1050" s="11">
        <f>17.9956 * CHOOSE(CONTROL!$C$32, $C$9, 100%, $E$9)</f>
        <v>17.9956</v>
      </c>
      <c r="F1050" s="11">
        <f>17.9956 * CHOOSE(CONTROL!$C$32, $C$9, 100%, $E$9)</f>
        <v>17.9956</v>
      </c>
      <c r="G1050" s="11">
        <f>18.0009 * CHOOSE(CONTROL!$C$32, $C$9, 100%, $E$9)</f>
        <v>18.000900000000001</v>
      </c>
      <c r="H1050" s="11">
        <f>35.9177 * CHOOSE(CONTROL!$C$32, $C$9, 100%, $E$9)</f>
        <v>35.917700000000004</v>
      </c>
      <c r="I1050" s="11">
        <f>35.923 * CHOOSE(CONTROL!$C$32, $C$9, 100%, $E$9)</f>
        <v>35.923000000000002</v>
      </c>
      <c r="J1050" s="11">
        <f>35.9177 * CHOOSE(CONTROL!$C$32, $C$9, 100%, $E$9)</f>
        <v>35.917700000000004</v>
      </c>
      <c r="K1050" s="11">
        <f>35.923 * CHOOSE(CONTROL!$C$32, $C$9, 100%, $E$9)</f>
        <v>35.923000000000002</v>
      </c>
      <c r="L1050" s="11">
        <f>17.9956 * CHOOSE(CONTROL!$C$32, $C$9, 100%, $E$9)</f>
        <v>17.9956</v>
      </c>
      <c r="M1050" s="11">
        <f>18.0009 * CHOOSE(CONTROL!$C$32, $C$9, 100%, $E$9)</f>
        <v>18.000900000000001</v>
      </c>
      <c r="N1050" s="11">
        <f>17.9956 * CHOOSE(CONTROL!$C$32, $C$9, 100%, $E$9)</f>
        <v>17.9956</v>
      </c>
      <c r="O1050" s="11">
        <f>18.0009 * CHOOSE(CONTROL!$C$32, $C$9, 100%, $E$9)</f>
        <v>18.000900000000001</v>
      </c>
    </row>
    <row r="1051" spans="1:15" ht="15" x14ac:dyDescent="0.2">
      <c r="A1051" s="13">
        <v>72837</v>
      </c>
      <c r="B1051" s="9">
        <f>15.5733 * CHOOSE(CONTROL!$C$32, $C$9, 100%, $E$9)</f>
        <v>15.5733</v>
      </c>
      <c r="C1051" s="9">
        <f>15.5733 * CHOOSE(CONTROL!$C$32, $C$9, 100%, $E$9)</f>
        <v>15.5733</v>
      </c>
      <c r="D1051" s="9">
        <f>15.5749 * CHOOSE(CONTROL!$C$32, $C$9, 100%, $E$9)</f>
        <v>15.5749</v>
      </c>
      <c r="E1051" s="11">
        <f>17.8428 * CHOOSE(CONTROL!$C$32, $C$9, 100%, $E$9)</f>
        <v>17.8428</v>
      </c>
      <c r="F1051" s="11">
        <f>17.8428 * CHOOSE(CONTROL!$C$32, $C$9, 100%, $E$9)</f>
        <v>17.8428</v>
      </c>
      <c r="G1051" s="11">
        <f>17.8481 * CHOOSE(CONTROL!$C$32, $C$9, 100%, $E$9)</f>
        <v>17.848099999999999</v>
      </c>
      <c r="H1051" s="11">
        <f>35.9926 * CHOOSE(CONTROL!$C$32, $C$9, 100%, $E$9)</f>
        <v>35.992600000000003</v>
      </c>
      <c r="I1051" s="11">
        <f>35.9978 * CHOOSE(CONTROL!$C$32, $C$9, 100%, $E$9)</f>
        <v>35.997799999999998</v>
      </c>
      <c r="J1051" s="11">
        <f>35.9926 * CHOOSE(CONTROL!$C$32, $C$9, 100%, $E$9)</f>
        <v>35.992600000000003</v>
      </c>
      <c r="K1051" s="11">
        <f>35.9978 * CHOOSE(CONTROL!$C$32, $C$9, 100%, $E$9)</f>
        <v>35.997799999999998</v>
      </c>
      <c r="L1051" s="11">
        <f>17.8428 * CHOOSE(CONTROL!$C$32, $C$9, 100%, $E$9)</f>
        <v>17.8428</v>
      </c>
      <c r="M1051" s="11">
        <f>17.8481 * CHOOSE(CONTROL!$C$32, $C$9, 100%, $E$9)</f>
        <v>17.848099999999999</v>
      </c>
      <c r="N1051" s="11">
        <f>17.8428 * CHOOSE(CONTROL!$C$32, $C$9, 100%, $E$9)</f>
        <v>17.8428</v>
      </c>
      <c r="O1051" s="11">
        <f>17.8481 * CHOOSE(CONTROL!$C$32, $C$9, 100%, $E$9)</f>
        <v>17.848099999999999</v>
      </c>
    </row>
    <row r="1052" spans="1:15" ht="15" x14ac:dyDescent="0.2">
      <c r="A1052" s="13">
        <v>72867</v>
      </c>
      <c r="B1052" s="9">
        <f>15.7588 * CHOOSE(CONTROL!$C$32, $C$9, 100%, $E$9)</f>
        <v>15.758800000000001</v>
      </c>
      <c r="C1052" s="9">
        <f>15.7588 * CHOOSE(CONTROL!$C$32, $C$9, 100%, $E$9)</f>
        <v>15.758800000000001</v>
      </c>
      <c r="D1052" s="9">
        <f>15.7604 * CHOOSE(CONTROL!$C$32, $C$9, 100%, $E$9)</f>
        <v>15.760400000000001</v>
      </c>
      <c r="E1052" s="11">
        <f>18.0969 * CHOOSE(CONTROL!$C$32, $C$9, 100%, $E$9)</f>
        <v>18.096900000000002</v>
      </c>
      <c r="F1052" s="11">
        <f>18.0969 * CHOOSE(CONTROL!$C$32, $C$9, 100%, $E$9)</f>
        <v>18.096900000000002</v>
      </c>
      <c r="G1052" s="11">
        <f>18.1022 * CHOOSE(CONTROL!$C$32, $C$9, 100%, $E$9)</f>
        <v>18.1022</v>
      </c>
      <c r="H1052" s="11">
        <f>36.0675 * CHOOSE(CONTROL!$C$32, $C$9, 100%, $E$9)</f>
        <v>36.067500000000003</v>
      </c>
      <c r="I1052" s="11">
        <f>36.0728 * CHOOSE(CONTROL!$C$32, $C$9, 100%, $E$9)</f>
        <v>36.072800000000001</v>
      </c>
      <c r="J1052" s="11">
        <f>36.0675 * CHOOSE(CONTROL!$C$32, $C$9, 100%, $E$9)</f>
        <v>36.067500000000003</v>
      </c>
      <c r="K1052" s="11">
        <f>36.0728 * CHOOSE(CONTROL!$C$32, $C$9, 100%, $E$9)</f>
        <v>36.072800000000001</v>
      </c>
      <c r="L1052" s="11">
        <f>18.0969 * CHOOSE(CONTROL!$C$32, $C$9, 100%, $E$9)</f>
        <v>18.096900000000002</v>
      </c>
      <c r="M1052" s="11">
        <f>18.1022 * CHOOSE(CONTROL!$C$32, $C$9, 100%, $E$9)</f>
        <v>18.1022</v>
      </c>
      <c r="N1052" s="11">
        <f>18.0969 * CHOOSE(CONTROL!$C$32, $C$9, 100%, $E$9)</f>
        <v>18.096900000000002</v>
      </c>
      <c r="O1052" s="11">
        <f>18.1022 * CHOOSE(CONTROL!$C$32, $C$9, 100%, $E$9)</f>
        <v>18.1022</v>
      </c>
    </row>
    <row r="1053" spans="1:15" ht="15" x14ac:dyDescent="0.2">
      <c r="A1053" s="13">
        <v>72898</v>
      </c>
      <c r="B1053" s="9">
        <f>15.7655 * CHOOSE(CONTROL!$C$32, $C$9, 100%, $E$9)</f>
        <v>15.765499999999999</v>
      </c>
      <c r="C1053" s="9">
        <f>15.7655 * CHOOSE(CONTROL!$C$32, $C$9, 100%, $E$9)</f>
        <v>15.765499999999999</v>
      </c>
      <c r="D1053" s="9">
        <f>15.7671 * CHOOSE(CONTROL!$C$32, $C$9, 100%, $E$9)</f>
        <v>15.767099999999999</v>
      </c>
      <c r="E1053" s="11">
        <f>17.6307 * CHOOSE(CONTROL!$C$32, $C$9, 100%, $E$9)</f>
        <v>17.630700000000001</v>
      </c>
      <c r="F1053" s="11">
        <f>17.6307 * CHOOSE(CONTROL!$C$32, $C$9, 100%, $E$9)</f>
        <v>17.630700000000001</v>
      </c>
      <c r="G1053" s="11">
        <f>17.636 * CHOOSE(CONTROL!$C$32, $C$9, 100%, $E$9)</f>
        <v>17.635999999999999</v>
      </c>
      <c r="H1053" s="11">
        <f>36.1427 * CHOOSE(CONTROL!$C$32, $C$9, 100%, $E$9)</f>
        <v>36.142699999999998</v>
      </c>
      <c r="I1053" s="11">
        <f>36.148 * CHOOSE(CONTROL!$C$32, $C$9, 100%, $E$9)</f>
        <v>36.148000000000003</v>
      </c>
      <c r="J1053" s="11">
        <f>36.1427 * CHOOSE(CONTROL!$C$32, $C$9, 100%, $E$9)</f>
        <v>36.142699999999998</v>
      </c>
      <c r="K1053" s="11">
        <f>36.148 * CHOOSE(CONTROL!$C$32, $C$9, 100%, $E$9)</f>
        <v>36.148000000000003</v>
      </c>
      <c r="L1053" s="11">
        <f>17.6307 * CHOOSE(CONTROL!$C$32, $C$9, 100%, $E$9)</f>
        <v>17.630700000000001</v>
      </c>
      <c r="M1053" s="11">
        <f>17.636 * CHOOSE(CONTROL!$C$32, $C$9, 100%, $E$9)</f>
        <v>17.635999999999999</v>
      </c>
      <c r="N1053" s="11">
        <f>17.6307 * CHOOSE(CONTROL!$C$32, $C$9, 100%, $E$9)</f>
        <v>17.630700000000001</v>
      </c>
      <c r="O1053" s="11">
        <f>17.636 * CHOOSE(CONTROL!$C$32, $C$9, 100%, $E$9)</f>
        <v>17.635999999999999</v>
      </c>
    </row>
    <row r="1054" spans="1:15" ht="15" x14ac:dyDescent="0.2">
      <c r="A1054" s="13">
        <v>72929</v>
      </c>
      <c r="B1054" s="9">
        <f>15.7625 * CHOOSE(CONTROL!$C$32, $C$9, 100%, $E$9)</f>
        <v>15.762499999999999</v>
      </c>
      <c r="C1054" s="9">
        <f>15.7625 * CHOOSE(CONTROL!$C$32, $C$9, 100%, $E$9)</f>
        <v>15.762499999999999</v>
      </c>
      <c r="D1054" s="9">
        <f>15.7641 * CHOOSE(CONTROL!$C$32, $C$9, 100%, $E$9)</f>
        <v>15.764099999999999</v>
      </c>
      <c r="E1054" s="11">
        <f>17.5763 * CHOOSE(CONTROL!$C$32, $C$9, 100%, $E$9)</f>
        <v>17.5763</v>
      </c>
      <c r="F1054" s="11">
        <f>17.5763 * CHOOSE(CONTROL!$C$32, $C$9, 100%, $E$9)</f>
        <v>17.5763</v>
      </c>
      <c r="G1054" s="11">
        <f>17.5816 * CHOOSE(CONTROL!$C$32, $C$9, 100%, $E$9)</f>
        <v>17.581600000000002</v>
      </c>
      <c r="H1054" s="11">
        <f>36.218 * CHOOSE(CONTROL!$C$32, $C$9, 100%, $E$9)</f>
        <v>36.218000000000004</v>
      </c>
      <c r="I1054" s="11">
        <f>36.2233 * CHOOSE(CONTROL!$C$32, $C$9, 100%, $E$9)</f>
        <v>36.223300000000002</v>
      </c>
      <c r="J1054" s="11">
        <f>36.218 * CHOOSE(CONTROL!$C$32, $C$9, 100%, $E$9)</f>
        <v>36.218000000000004</v>
      </c>
      <c r="K1054" s="11">
        <f>36.2233 * CHOOSE(CONTROL!$C$32, $C$9, 100%, $E$9)</f>
        <v>36.223300000000002</v>
      </c>
      <c r="L1054" s="11">
        <f>17.5763 * CHOOSE(CONTROL!$C$32, $C$9, 100%, $E$9)</f>
        <v>17.5763</v>
      </c>
      <c r="M1054" s="11">
        <f>17.5816 * CHOOSE(CONTROL!$C$32, $C$9, 100%, $E$9)</f>
        <v>17.581600000000002</v>
      </c>
      <c r="N1054" s="11">
        <f>17.5763 * CHOOSE(CONTROL!$C$32, $C$9, 100%, $E$9)</f>
        <v>17.5763</v>
      </c>
      <c r="O1054" s="11">
        <f>17.5816 * CHOOSE(CONTROL!$C$32, $C$9, 100%, $E$9)</f>
        <v>17.581600000000002</v>
      </c>
    </row>
    <row r="1055" spans="1:15" ht="15" x14ac:dyDescent="0.2">
      <c r="A1055" s="13">
        <v>72959</v>
      </c>
      <c r="B1055" s="9">
        <f>15.8016 * CHOOSE(CONTROL!$C$32, $C$9, 100%, $E$9)</f>
        <v>15.801600000000001</v>
      </c>
      <c r="C1055" s="9">
        <f>15.8016 * CHOOSE(CONTROL!$C$32, $C$9, 100%, $E$9)</f>
        <v>15.801600000000001</v>
      </c>
      <c r="D1055" s="9">
        <f>15.8026 * CHOOSE(CONTROL!$C$32, $C$9, 100%, $E$9)</f>
        <v>15.8026</v>
      </c>
      <c r="E1055" s="11">
        <f>17.7721 * CHOOSE(CONTROL!$C$32, $C$9, 100%, $E$9)</f>
        <v>17.772099999999998</v>
      </c>
      <c r="F1055" s="11">
        <f>17.7721 * CHOOSE(CONTROL!$C$32, $C$9, 100%, $E$9)</f>
        <v>17.772099999999998</v>
      </c>
      <c r="G1055" s="11">
        <f>17.7758 * CHOOSE(CONTROL!$C$32, $C$9, 100%, $E$9)</f>
        <v>17.7758</v>
      </c>
      <c r="H1055" s="11">
        <f>36.2934 * CHOOSE(CONTROL!$C$32, $C$9, 100%, $E$9)</f>
        <v>36.293399999999998</v>
      </c>
      <c r="I1055" s="11">
        <f>36.297 * CHOOSE(CONTROL!$C$32, $C$9, 100%, $E$9)</f>
        <v>36.296999999999997</v>
      </c>
      <c r="J1055" s="11">
        <f>36.2934 * CHOOSE(CONTROL!$C$32, $C$9, 100%, $E$9)</f>
        <v>36.293399999999998</v>
      </c>
      <c r="K1055" s="11">
        <f>36.297 * CHOOSE(CONTROL!$C$32, $C$9, 100%, $E$9)</f>
        <v>36.296999999999997</v>
      </c>
      <c r="L1055" s="11">
        <f>17.7721 * CHOOSE(CONTROL!$C$32, $C$9, 100%, $E$9)</f>
        <v>17.772099999999998</v>
      </c>
      <c r="M1055" s="11">
        <f>17.7758 * CHOOSE(CONTROL!$C$32, $C$9, 100%, $E$9)</f>
        <v>17.7758</v>
      </c>
      <c r="N1055" s="11">
        <f>17.7721 * CHOOSE(CONTROL!$C$32, $C$9, 100%, $E$9)</f>
        <v>17.772099999999998</v>
      </c>
      <c r="O1055" s="11">
        <f>17.7758 * CHOOSE(CONTROL!$C$32, $C$9, 100%, $E$9)</f>
        <v>17.7758</v>
      </c>
    </row>
    <row r="1056" spans="1:15" ht="15" x14ac:dyDescent="0.2">
      <c r="A1056" s="13">
        <v>72990</v>
      </c>
      <c r="B1056" s="9">
        <f>15.8046 * CHOOSE(CONTROL!$C$32, $C$9, 100%, $E$9)</f>
        <v>15.804600000000001</v>
      </c>
      <c r="C1056" s="9">
        <f>15.8046 * CHOOSE(CONTROL!$C$32, $C$9, 100%, $E$9)</f>
        <v>15.804600000000001</v>
      </c>
      <c r="D1056" s="9">
        <f>15.8057 * CHOOSE(CONTROL!$C$32, $C$9, 100%, $E$9)</f>
        <v>15.8057</v>
      </c>
      <c r="E1056" s="11">
        <f>17.8789 * CHOOSE(CONTROL!$C$32, $C$9, 100%, $E$9)</f>
        <v>17.878900000000002</v>
      </c>
      <c r="F1056" s="11">
        <f>17.8789 * CHOOSE(CONTROL!$C$32, $C$9, 100%, $E$9)</f>
        <v>17.878900000000002</v>
      </c>
      <c r="G1056" s="11">
        <f>17.8825 * CHOOSE(CONTROL!$C$32, $C$9, 100%, $E$9)</f>
        <v>17.8825</v>
      </c>
      <c r="H1056" s="11">
        <f>36.369 * CHOOSE(CONTROL!$C$32, $C$9, 100%, $E$9)</f>
        <v>36.369</v>
      </c>
      <c r="I1056" s="11">
        <f>36.3727 * CHOOSE(CONTROL!$C$32, $C$9, 100%, $E$9)</f>
        <v>36.372700000000002</v>
      </c>
      <c r="J1056" s="11">
        <f>36.369 * CHOOSE(CONTROL!$C$32, $C$9, 100%, $E$9)</f>
        <v>36.369</v>
      </c>
      <c r="K1056" s="11">
        <f>36.3727 * CHOOSE(CONTROL!$C$32, $C$9, 100%, $E$9)</f>
        <v>36.372700000000002</v>
      </c>
      <c r="L1056" s="11">
        <f>17.8789 * CHOOSE(CONTROL!$C$32, $C$9, 100%, $E$9)</f>
        <v>17.878900000000002</v>
      </c>
      <c r="M1056" s="11">
        <f>17.8825 * CHOOSE(CONTROL!$C$32, $C$9, 100%, $E$9)</f>
        <v>17.8825</v>
      </c>
      <c r="N1056" s="11">
        <f>17.8789 * CHOOSE(CONTROL!$C$32, $C$9, 100%, $E$9)</f>
        <v>17.878900000000002</v>
      </c>
      <c r="O1056" s="11">
        <f>17.8825 * CHOOSE(CONTROL!$C$32, $C$9, 100%, $E$9)</f>
        <v>17.8825</v>
      </c>
    </row>
    <row r="1057" spans="1:15" ht="15" x14ac:dyDescent="0.2">
      <c r="A1057" s="13">
        <v>73020</v>
      </c>
      <c r="B1057" s="9">
        <f>15.8046 * CHOOSE(CONTROL!$C$32, $C$9, 100%, $E$9)</f>
        <v>15.804600000000001</v>
      </c>
      <c r="C1057" s="9">
        <f>15.8046 * CHOOSE(CONTROL!$C$32, $C$9, 100%, $E$9)</f>
        <v>15.804600000000001</v>
      </c>
      <c r="D1057" s="9">
        <f>15.8057 * CHOOSE(CONTROL!$C$32, $C$9, 100%, $E$9)</f>
        <v>15.8057</v>
      </c>
      <c r="E1057" s="11">
        <f>17.6173 * CHOOSE(CONTROL!$C$32, $C$9, 100%, $E$9)</f>
        <v>17.6173</v>
      </c>
      <c r="F1057" s="11">
        <f>17.6173 * CHOOSE(CONTROL!$C$32, $C$9, 100%, $E$9)</f>
        <v>17.6173</v>
      </c>
      <c r="G1057" s="11">
        <f>17.6209 * CHOOSE(CONTROL!$C$32, $C$9, 100%, $E$9)</f>
        <v>17.620899999999999</v>
      </c>
      <c r="H1057" s="11">
        <f>36.4448 * CHOOSE(CONTROL!$C$32, $C$9, 100%, $E$9)</f>
        <v>36.444800000000001</v>
      </c>
      <c r="I1057" s="11">
        <f>36.4484 * CHOOSE(CONTROL!$C$32, $C$9, 100%, $E$9)</f>
        <v>36.448399999999999</v>
      </c>
      <c r="J1057" s="11">
        <f>36.4448 * CHOOSE(CONTROL!$C$32, $C$9, 100%, $E$9)</f>
        <v>36.444800000000001</v>
      </c>
      <c r="K1057" s="11">
        <f>36.4484 * CHOOSE(CONTROL!$C$32, $C$9, 100%, $E$9)</f>
        <v>36.448399999999999</v>
      </c>
      <c r="L1057" s="11">
        <f>17.6173 * CHOOSE(CONTROL!$C$32, $C$9, 100%, $E$9)</f>
        <v>17.6173</v>
      </c>
      <c r="M1057" s="11">
        <f>17.6209 * CHOOSE(CONTROL!$C$32, $C$9, 100%, $E$9)</f>
        <v>17.620899999999999</v>
      </c>
      <c r="N1057" s="11">
        <f>17.6173 * CHOOSE(CONTROL!$C$32, $C$9, 100%, $E$9)</f>
        <v>17.6173</v>
      </c>
      <c r="O1057" s="11">
        <f>17.6209 * CHOOSE(CONTROL!$C$32, $C$9, 100%, $E$9)</f>
        <v>17.620899999999999</v>
      </c>
    </row>
    <row r="1058" spans="1:15" ht="15" x14ac:dyDescent="0.2">
      <c r="A1058" s="13">
        <v>73051</v>
      </c>
      <c r="B1058" s="9">
        <f>15.7518 * CHOOSE(CONTROL!$C$32, $C$9, 100%, $E$9)</f>
        <v>15.751799999999999</v>
      </c>
      <c r="C1058" s="9">
        <f>15.7518 * CHOOSE(CONTROL!$C$32, $C$9, 100%, $E$9)</f>
        <v>15.751799999999999</v>
      </c>
      <c r="D1058" s="9">
        <f>15.7529 * CHOOSE(CONTROL!$C$32, $C$9, 100%, $E$9)</f>
        <v>15.7529</v>
      </c>
      <c r="E1058" s="11">
        <f>17.7456 * CHOOSE(CONTROL!$C$32, $C$9, 100%, $E$9)</f>
        <v>17.7456</v>
      </c>
      <c r="F1058" s="11">
        <f>17.7456 * CHOOSE(CONTROL!$C$32, $C$9, 100%, $E$9)</f>
        <v>17.7456</v>
      </c>
      <c r="G1058" s="11">
        <f>17.7493 * CHOOSE(CONTROL!$C$32, $C$9, 100%, $E$9)</f>
        <v>17.749300000000002</v>
      </c>
      <c r="H1058" s="11">
        <f>36.0735 * CHOOSE(CONTROL!$C$32, $C$9, 100%, $E$9)</f>
        <v>36.073500000000003</v>
      </c>
      <c r="I1058" s="11">
        <f>36.0771 * CHOOSE(CONTROL!$C$32, $C$9, 100%, $E$9)</f>
        <v>36.077100000000002</v>
      </c>
      <c r="J1058" s="11">
        <f>36.0735 * CHOOSE(CONTROL!$C$32, $C$9, 100%, $E$9)</f>
        <v>36.073500000000003</v>
      </c>
      <c r="K1058" s="11">
        <f>36.0771 * CHOOSE(CONTROL!$C$32, $C$9, 100%, $E$9)</f>
        <v>36.077100000000002</v>
      </c>
      <c r="L1058" s="11">
        <f>17.7456 * CHOOSE(CONTROL!$C$32, $C$9, 100%, $E$9)</f>
        <v>17.7456</v>
      </c>
      <c r="M1058" s="11">
        <f>17.7493 * CHOOSE(CONTROL!$C$32, $C$9, 100%, $E$9)</f>
        <v>17.749300000000002</v>
      </c>
      <c r="N1058" s="11">
        <f>17.7456 * CHOOSE(CONTROL!$C$32, $C$9, 100%, $E$9)</f>
        <v>17.7456</v>
      </c>
      <c r="O1058" s="11">
        <f>17.7493 * CHOOSE(CONTROL!$C$32, $C$9, 100%, $E$9)</f>
        <v>17.749300000000002</v>
      </c>
    </row>
    <row r="1059" spans="1:15" ht="15" x14ac:dyDescent="0.2">
      <c r="A1059" s="13">
        <v>73082</v>
      </c>
      <c r="B1059" s="9">
        <f>15.7488 * CHOOSE(CONTROL!$C$32, $C$9, 100%, $E$9)</f>
        <v>15.748799999999999</v>
      </c>
      <c r="C1059" s="9">
        <f>15.7488 * CHOOSE(CONTROL!$C$32, $C$9, 100%, $E$9)</f>
        <v>15.748799999999999</v>
      </c>
      <c r="D1059" s="9">
        <f>15.7498 * CHOOSE(CONTROL!$C$32, $C$9, 100%, $E$9)</f>
        <v>15.7498</v>
      </c>
      <c r="E1059" s="11">
        <f>17.242 * CHOOSE(CONTROL!$C$32, $C$9, 100%, $E$9)</f>
        <v>17.242000000000001</v>
      </c>
      <c r="F1059" s="11">
        <f>17.242 * CHOOSE(CONTROL!$C$32, $C$9, 100%, $E$9)</f>
        <v>17.242000000000001</v>
      </c>
      <c r="G1059" s="11">
        <f>17.2457 * CHOOSE(CONTROL!$C$32, $C$9, 100%, $E$9)</f>
        <v>17.245699999999999</v>
      </c>
      <c r="H1059" s="11">
        <f>36.1486 * CHOOSE(CONTROL!$C$32, $C$9, 100%, $E$9)</f>
        <v>36.148600000000002</v>
      </c>
      <c r="I1059" s="11">
        <f>36.1522 * CHOOSE(CONTROL!$C$32, $C$9, 100%, $E$9)</f>
        <v>36.152200000000001</v>
      </c>
      <c r="J1059" s="11">
        <f>36.1486 * CHOOSE(CONTROL!$C$32, $C$9, 100%, $E$9)</f>
        <v>36.148600000000002</v>
      </c>
      <c r="K1059" s="11">
        <f>36.1522 * CHOOSE(CONTROL!$C$32, $C$9, 100%, $E$9)</f>
        <v>36.152200000000001</v>
      </c>
      <c r="L1059" s="11">
        <f>17.242 * CHOOSE(CONTROL!$C$32, $C$9, 100%, $E$9)</f>
        <v>17.242000000000001</v>
      </c>
      <c r="M1059" s="11">
        <f>17.2457 * CHOOSE(CONTROL!$C$32, $C$9, 100%, $E$9)</f>
        <v>17.245699999999999</v>
      </c>
      <c r="N1059" s="11">
        <f>17.242 * CHOOSE(CONTROL!$C$32, $C$9, 100%, $E$9)</f>
        <v>17.242000000000001</v>
      </c>
      <c r="O1059" s="11">
        <f>17.2457 * CHOOSE(CONTROL!$C$32, $C$9, 100%, $E$9)</f>
        <v>17.245699999999999</v>
      </c>
    </row>
    <row r="1060" spans="1:15" ht="15" x14ac:dyDescent="0.2">
      <c r="A1060" s="13">
        <v>73110</v>
      </c>
      <c r="B1060" s="9">
        <f>15.7457 * CHOOSE(CONTROL!$C$32, $C$9, 100%, $E$9)</f>
        <v>15.745699999999999</v>
      </c>
      <c r="C1060" s="9">
        <f>15.7457 * CHOOSE(CONTROL!$C$32, $C$9, 100%, $E$9)</f>
        <v>15.745699999999999</v>
      </c>
      <c r="D1060" s="9">
        <f>15.7468 * CHOOSE(CONTROL!$C$32, $C$9, 100%, $E$9)</f>
        <v>15.7468</v>
      </c>
      <c r="E1060" s="11">
        <f>17.6353 * CHOOSE(CONTROL!$C$32, $C$9, 100%, $E$9)</f>
        <v>17.635300000000001</v>
      </c>
      <c r="F1060" s="11">
        <f>17.6353 * CHOOSE(CONTROL!$C$32, $C$9, 100%, $E$9)</f>
        <v>17.635300000000001</v>
      </c>
      <c r="G1060" s="11">
        <f>17.6389 * CHOOSE(CONTROL!$C$32, $C$9, 100%, $E$9)</f>
        <v>17.6389</v>
      </c>
      <c r="H1060" s="11">
        <f>36.2239 * CHOOSE(CONTROL!$C$32, $C$9, 100%, $E$9)</f>
        <v>36.2239</v>
      </c>
      <c r="I1060" s="11">
        <f>36.2275 * CHOOSE(CONTROL!$C$32, $C$9, 100%, $E$9)</f>
        <v>36.227499999999999</v>
      </c>
      <c r="J1060" s="11">
        <f>36.2239 * CHOOSE(CONTROL!$C$32, $C$9, 100%, $E$9)</f>
        <v>36.2239</v>
      </c>
      <c r="K1060" s="11">
        <f>36.2275 * CHOOSE(CONTROL!$C$32, $C$9, 100%, $E$9)</f>
        <v>36.227499999999999</v>
      </c>
      <c r="L1060" s="11">
        <f>17.6353 * CHOOSE(CONTROL!$C$32, $C$9, 100%, $E$9)</f>
        <v>17.635300000000001</v>
      </c>
      <c r="M1060" s="11">
        <f>17.6389 * CHOOSE(CONTROL!$C$32, $C$9, 100%, $E$9)</f>
        <v>17.6389</v>
      </c>
      <c r="N1060" s="11">
        <f>17.6353 * CHOOSE(CONTROL!$C$32, $C$9, 100%, $E$9)</f>
        <v>17.635300000000001</v>
      </c>
      <c r="O1060" s="11">
        <f>17.6389 * CHOOSE(CONTROL!$C$32, $C$9, 100%, $E$9)</f>
        <v>17.6389</v>
      </c>
    </row>
    <row r="1061" spans="1:15" ht="15" x14ac:dyDescent="0.2">
      <c r="A1061" s="13">
        <v>73141</v>
      </c>
      <c r="B1061" s="9">
        <f>15.7548 * CHOOSE(CONTROL!$C$32, $C$9, 100%, $E$9)</f>
        <v>15.754799999999999</v>
      </c>
      <c r="C1061" s="9">
        <f>15.7548 * CHOOSE(CONTROL!$C$32, $C$9, 100%, $E$9)</f>
        <v>15.754799999999999</v>
      </c>
      <c r="D1061" s="9">
        <f>15.7559 * CHOOSE(CONTROL!$C$32, $C$9, 100%, $E$9)</f>
        <v>15.7559</v>
      </c>
      <c r="E1061" s="11">
        <f>18.0556 * CHOOSE(CONTROL!$C$32, $C$9, 100%, $E$9)</f>
        <v>18.055599999999998</v>
      </c>
      <c r="F1061" s="11">
        <f>18.0556 * CHOOSE(CONTROL!$C$32, $C$9, 100%, $E$9)</f>
        <v>18.055599999999998</v>
      </c>
      <c r="G1061" s="11">
        <f>18.0592 * CHOOSE(CONTROL!$C$32, $C$9, 100%, $E$9)</f>
        <v>18.059200000000001</v>
      </c>
      <c r="H1061" s="11">
        <f>36.2994 * CHOOSE(CONTROL!$C$32, $C$9, 100%, $E$9)</f>
        <v>36.299399999999999</v>
      </c>
      <c r="I1061" s="11">
        <f>36.303 * CHOOSE(CONTROL!$C$32, $C$9, 100%, $E$9)</f>
        <v>36.302999999999997</v>
      </c>
      <c r="J1061" s="11">
        <f>36.2994 * CHOOSE(CONTROL!$C$32, $C$9, 100%, $E$9)</f>
        <v>36.299399999999999</v>
      </c>
      <c r="K1061" s="11">
        <f>36.303 * CHOOSE(CONTROL!$C$32, $C$9, 100%, $E$9)</f>
        <v>36.302999999999997</v>
      </c>
      <c r="L1061" s="11">
        <f>18.0556 * CHOOSE(CONTROL!$C$32, $C$9, 100%, $E$9)</f>
        <v>18.055599999999998</v>
      </c>
      <c r="M1061" s="11">
        <f>18.0592 * CHOOSE(CONTROL!$C$32, $C$9, 100%, $E$9)</f>
        <v>18.059200000000001</v>
      </c>
      <c r="N1061" s="11">
        <f>18.0556 * CHOOSE(CONTROL!$C$32, $C$9, 100%, $E$9)</f>
        <v>18.055599999999998</v>
      </c>
      <c r="O1061" s="11">
        <f>18.0592 * CHOOSE(CONTROL!$C$32, $C$9, 100%, $E$9)</f>
        <v>18.059200000000001</v>
      </c>
    </row>
    <row r="1062" spans="1:15" ht="15" x14ac:dyDescent="0.2">
      <c r="A1062" s="13">
        <v>73171</v>
      </c>
      <c r="B1062" s="9">
        <f>15.7548 * CHOOSE(CONTROL!$C$32, $C$9, 100%, $E$9)</f>
        <v>15.754799999999999</v>
      </c>
      <c r="C1062" s="9">
        <f>15.7548 * CHOOSE(CONTROL!$C$32, $C$9, 100%, $E$9)</f>
        <v>15.754799999999999</v>
      </c>
      <c r="D1062" s="9">
        <f>15.7564 * CHOOSE(CONTROL!$C$32, $C$9, 100%, $E$9)</f>
        <v>15.756399999999999</v>
      </c>
      <c r="E1062" s="11">
        <f>18.2148 * CHOOSE(CONTROL!$C$32, $C$9, 100%, $E$9)</f>
        <v>18.2148</v>
      </c>
      <c r="F1062" s="11">
        <f>18.2148 * CHOOSE(CONTROL!$C$32, $C$9, 100%, $E$9)</f>
        <v>18.2148</v>
      </c>
      <c r="G1062" s="11">
        <f>18.2201 * CHOOSE(CONTROL!$C$32, $C$9, 100%, $E$9)</f>
        <v>18.220099999999999</v>
      </c>
      <c r="H1062" s="11">
        <f>36.375 * CHOOSE(CONTROL!$C$32, $C$9, 100%, $E$9)</f>
        <v>36.375</v>
      </c>
      <c r="I1062" s="11">
        <f>36.3803 * CHOOSE(CONTROL!$C$32, $C$9, 100%, $E$9)</f>
        <v>36.380299999999998</v>
      </c>
      <c r="J1062" s="11">
        <f>36.375 * CHOOSE(CONTROL!$C$32, $C$9, 100%, $E$9)</f>
        <v>36.375</v>
      </c>
      <c r="K1062" s="11">
        <f>36.3803 * CHOOSE(CONTROL!$C$32, $C$9, 100%, $E$9)</f>
        <v>36.380299999999998</v>
      </c>
      <c r="L1062" s="11">
        <f>18.2148 * CHOOSE(CONTROL!$C$32, $C$9, 100%, $E$9)</f>
        <v>18.2148</v>
      </c>
      <c r="M1062" s="11">
        <f>18.2201 * CHOOSE(CONTROL!$C$32, $C$9, 100%, $E$9)</f>
        <v>18.220099999999999</v>
      </c>
      <c r="N1062" s="11">
        <f>18.2148 * CHOOSE(CONTROL!$C$32, $C$9, 100%, $E$9)</f>
        <v>18.2148</v>
      </c>
      <c r="O1062" s="11">
        <f>18.2201 * CHOOSE(CONTROL!$C$32, $C$9, 100%, $E$9)</f>
        <v>18.220099999999999</v>
      </c>
    </row>
    <row r="1063" spans="1:15" ht="15" x14ac:dyDescent="0.2">
      <c r="A1063" s="13">
        <v>73202</v>
      </c>
      <c r="B1063" s="9">
        <f>15.7609 * CHOOSE(CONTROL!$C$32, $C$9, 100%, $E$9)</f>
        <v>15.760899999999999</v>
      </c>
      <c r="C1063" s="9">
        <f>15.7609 * CHOOSE(CONTROL!$C$32, $C$9, 100%, $E$9)</f>
        <v>15.760899999999999</v>
      </c>
      <c r="D1063" s="9">
        <f>15.7625 * CHOOSE(CONTROL!$C$32, $C$9, 100%, $E$9)</f>
        <v>15.762499999999999</v>
      </c>
      <c r="E1063" s="11">
        <f>18.0598 * CHOOSE(CONTROL!$C$32, $C$9, 100%, $E$9)</f>
        <v>18.059799999999999</v>
      </c>
      <c r="F1063" s="11">
        <f>18.0598 * CHOOSE(CONTROL!$C$32, $C$9, 100%, $E$9)</f>
        <v>18.059799999999999</v>
      </c>
      <c r="G1063" s="11">
        <f>18.0651 * CHOOSE(CONTROL!$C$32, $C$9, 100%, $E$9)</f>
        <v>18.065100000000001</v>
      </c>
      <c r="H1063" s="11">
        <f>36.4508 * CHOOSE(CONTROL!$C$32, $C$9, 100%, $E$9)</f>
        <v>36.450800000000001</v>
      </c>
      <c r="I1063" s="11">
        <f>36.4561 * CHOOSE(CONTROL!$C$32, $C$9, 100%, $E$9)</f>
        <v>36.456099999999999</v>
      </c>
      <c r="J1063" s="11">
        <f>36.4508 * CHOOSE(CONTROL!$C$32, $C$9, 100%, $E$9)</f>
        <v>36.450800000000001</v>
      </c>
      <c r="K1063" s="11">
        <f>36.4561 * CHOOSE(CONTROL!$C$32, $C$9, 100%, $E$9)</f>
        <v>36.456099999999999</v>
      </c>
      <c r="L1063" s="11">
        <f>18.0598 * CHOOSE(CONTROL!$C$32, $C$9, 100%, $E$9)</f>
        <v>18.059799999999999</v>
      </c>
      <c r="M1063" s="11">
        <f>18.0651 * CHOOSE(CONTROL!$C$32, $C$9, 100%, $E$9)</f>
        <v>18.065100000000001</v>
      </c>
      <c r="N1063" s="11">
        <f>18.0598 * CHOOSE(CONTROL!$C$32, $C$9, 100%, $E$9)</f>
        <v>18.059799999999999</v>
      </c>
      <c r="O1063" s="11">
        <f>18.0651 * CHOOSE(CONTROL!$C$32, $C$9, 100%, $E$9)</f>
        <v>18.065100000000001</v>
      </c>
    </row>
    <row r="1064" spans="1:15" ht="15" x14ac:dyDescent="0.2">
      <c r="A1064" s="13">
        <v>73232</v>
      </c>
      <c r="B1064" s="9">
        <f>15.9484 * CHOOSE(CONTROL!$C$32, $C$9, 100%, $E$9)</f>
        <v>15.948399999999999</v>
      </c>
      <c r="C1064" s="9">
        <f>15.9484 * CHOOSE(CONTROL!$C$32, $C$9, 100%, $E$9)</f>
        <v>15.948399999999999</v>
      </c>
      <c r="D1064" s="9">
        <f>15.95 * CHOOSE(CONTROL!$C$32, $C$9, 100%, $E$9)</f>
        <v>15.95</v>
      </c>
      <c r="E1064" s="11">
        <f>18.3171 * CHOOSE(CONTROL!$C$32, $C$9, 100%, $E$9)</f>
        <v>18.3171</v>
      </c>
      <c r="F1064" s="11">
        <f>18.3171 * CHOOSE(CONTROL!$C$32, $C$9, 100%, $E$9)</f>
        <v>18.3171</v>
      </c>
      <c r="G1064" s="11">
        <f>18.3224 * CHOOSE(CONTROL!$C$32, $C$9, 100%, $E$9)</f>
        <v>18.322399999999998</v>
      </c>
      <c r="H1064" s="11">
        <f>36.5267 * CHOOSE(CONTROL!$C$32, $C$9, 100%, $E$9)</f>
        <v>36.526699999999998</v>
      </c>
      <c r="I1064" s="11">
        <f>36.532 * CHOOSE(CONTROL!$C$32, $C$9, 100%, $E$9)</f>
        <v>36.531999999999996</v>
      </c>
      <c r="J1064" s="11">
        <f>36.5267 * CHOOSE(CONTROL!$C$32, $C$9, 100%, $E$9)</f>
        <v>36.526699999999998</v>
      </c>
      <c r="K1064" s="11">
        <f>36.532 * CHOOSE(CONTROL!$C$32, $C$9, 100%, $E$9)</f>
        <v>36.531999999999996</v>
      </c>
      <c r="L1064" s="11">
        <f>18.3171 * CHOOSE(CONTROL!$C$32, $C$9, 100%, $E$9)</f>
        <v>18.3171</v>
      </c>
      <c r="M1064" s="11">
        <f>18.3224 * CHOOSE(CONTROL!$C$32, $C$9, 100%, $E$9)</f>
        <v>18.322399999999998</v>
      </c>
      <c r="N1064" s="11">
        <f>18.3171 * CHOOSE(CONTROL!$C$32, $C$9, 100%, $E$9)</f>
        <v>18.3171</v>
      </c>
      <c r="O1064" s="11">
        <f>18.3224 * CHOOSE(CONTROL!$C$32, $C$9, 100%, $E$9)</f>
        <v>18.322399999999998</v>
      </c>
    </row>
    <row r="1065" spans="1:15" ht="15" x14ac:dyDescent="0.2">
      <c r="A1065" s="13">
        <v>73263</v>
      </c>
      <c r="B1065" s="9">
        <f>15.9551 * CHOOSE(CONTROL!$C$32, $C$9, 100%, $E$9)</f>
        <v>15.9551</v>
      </c>
      <c r="C1065" s="9">
        <f>15.9551 * CHOOSE(CONTROL!$C$32, $C$9, 100%, $E$9)</f>
        <v>15.9551</v>
      </c>
      <c r="D1065" s="9">
        <f>15.9567 * CHOOSE(CONTROL!$C$32, $C$9, 100%, $E$9)</f>
        <v>15.9567</v>
      </c>
      <c r="E1065" s="11">
        <f>17.8441 * CHOOSE(CONTROL!$C$32, $C$9, 100%, $E$9)</f>
        <v>17.844100000000001</v>
      </c>
      <c r="F1065" s="11">
        <f>17.8441 * CHOOSE(CONTROL!$C$32, $C$9, 100%, $E$9)</f>
        <v>17.844100000000001</v>
      </c>
      <c r="G1065" s="11">
        <f>17.8494 * CHOOSE(CONTROL!$C$32, $C$9, 100%, $E$9)</f>
        <v>17.849399999999999</v>
      </c>
      <c r="H1065" s="11">
        <f>36.6028 * CHOOSE(CONTROL!$C$32, $C$9, 100%, $E$9)</f>
        <v>36.602800000000002</v>
      </c>
      <c r="I1065" s="11">
        <f>36.6081 * CHOOSE(CONTROL!$C$32, $C$9, 100%, $E$9)</f>
        <v>36.6081</v>
      </c>
      <c r="J1065" s="11">
        <f>36.6028 * CHOOSE(CONTROL!$C$32, $C$9, 100%, $E$9)</f>
        <v>36.602800000000002</v>
      </c>
      <c r="K1065" s="11">
        <f>36.6081 * CHOOSE(CONTROL!$C$32, $C$9, 100%, $E$9)</f>
        <v>36.6081</v>
      </c>
      <c r="L1065" s="11">
        <f>17.8441 * CHOOSE(CONTROL!$C$32, $C$9, 100%, $E$9)</f>
        <v>17.844100000000001</v>
      </c>
      <c r="M1065" s="11">
        <f>17.8494 * CHOOSE(CONTROL!$C$32, $C$9, 100%, $E$9)</f>
        <v>17.849399999999999</v>
      </c>
      <c r="N1065" s="11">
        <f>17.8441 * CHOOSE(CONTROL!$C$32, $C$9, 100%, $E$9)</f>
        <v>17.844100000000001</v>
      </c>
      <c r="O1065" s="11">
        <f>17.8494 * CHOOSE(CONTROL!$C$32, $C$9, 100%, $E$9)</f>
        <v>17.849399999999999</v>
      </c>
    </row>
    <row r="1066" spans="1:15" ht="15" x14ac:dyDescent="0.2">
      <c r="A1066" s="13">
        <v>73294</v>
      </c>
      <c r="B1066" s="9">
        <f>15.9521 * CHOOSE(CONTROL!$C$32, $C$9, 100%, $E$9)</f>
        <v>15.9521</v>
      </c>
      <c r="C1066" s="9">
        <f>15.9521 * CHOOSE(CONTROL!$C$32, $C$9, 100%, $E$9)</f>
        <v>15.9521</v>
      </c>
      <c r="D1066" s="9">
        <f>15.9537 * CHOOSE(CONTROL!$C$32, $C$9, 100%, $E$9)</f>
        <v>15.9537</v>
      </c>
      <c r="E1066" s="11">
        <f>17.789 * CHOOSE(CONTROL!$C$32, $C$9, 100%, $E$9)</f>
        <v>17.789000000000001</v>
      </c>
      <c r="F1066" s="11">
        <f>17.789 * CHOOSE(CONTROL!$C$32, $C$9, 100%, $E$9)</f>
        <v>17.789000000000001</v>
      </c>
      <c r="G1066" s="11">
        <f>17.7942 * CHOOSE(CONTROL!$C$32, $C$9, 100%, $E$9)</f>
        <v>17.7942</v>
      </c>
      <c r="H1066" s="11">
        <f>36.6791 * CHOOSE(CONTROL!$C$32, $C$9, 100%, $E$9)</f>
        <v>36.679099999999998</v>
      </c>
      <c r="I1066" s="11">
        <f>36.6844 * CHOOSE(CONTROL!$C$32, $C$9, 100%, $E$9)</f>
        <v>36.684399999999997</v>
      </c>
      <c r="J1066" s="11">
        <f>36.6791 * CHOOSE(CONTROL!$C$32, $C$9, 100%, $E$9)</f>
        <v>36.679099999999998</v>
      </c>
      <c r="K1066" s="11">
        <f>36.6844 * CHOOSE(CONTROL!$C$32, $C$9, 100%, $E$9)</f>
        <v>36.684399999999997</v>
      </c>
      <c r="L1066" s="11">
        <f>17.789 * CHOOSE(CONTROL!$C$32, $C$9, 100%, $E$9)</f>
        <v>17.789000000000001</v>
      </c>
      <c r="M1066" s="11">
        <f>17.7942 * CHOOSE(CONTROL!$C$32, $C$9, 100%, $E$9)</f>
        <v>17.7942</v>
      </c>
      <c r="N1066" s="11">
        <f>17.789 * CHOOSE(CONTROL!$C$32, $C$9, 100%, $E$9)</f>
        <v>17.789000000000001</v>
      </c>
      <c r="O1066" s="11">
        <f>17.7942 * CHOOSE(CONTROL!$C$32, $C$9, 100%, $E$9)</f>
        <v>17.7942</v>
      </c>
    </row>
    <row r="1067" spans="1:15" ht="15" x14ac:dyDescent="0.2">
      <c r="A1067" s="13">
        <v>73324</v>
      </c>
      <c r="B1067" s="9">
        <f>15.9919 * CHOOSE(CONTROL!$C$32, $C$9, 100%, $E$9)</f>
        <v>15.991899999999999</v>
      </c>
      <c r="C1067" s="9">
        <f>15.9919 * CHOOSE(CONTROL!$C$32, $C$9, 100%, $E$9)</f>
        <v>15.991899999999999</v>
      </c>
      <c r="D1067" s="9">
        <f>15.9929 * CHOOSE(CONTROL!$C$32, $C$9, 100%, $E$9)</f>
        <v>15.992900000000001</v>
      </c>
      <c r="E1067" s="11">
        <f>17.9878 * CHOOSE(CONTROL!$C$32, $C$9, 100%, $E$9)</f>
        <v>17.9878</v>
      </c>
      <c r="F1067" s="11">
        <f>17.9878 * CHOOSE(CONTROL!$C$32, $C$9, 100%, $E$9)</f>
        <v>17.9878</v>
      </c>
      <c r="G1067" s="11">
        <f>17.9914 * CHOOSE(CONTROL!$C$32, $C$9, 100%, $E$9)</f>
        <v>17.991399999999999</v>
      </c>
      <c r="H1067" s="11">
        <f>36.7555 * CHOOSE(CONTROL!$C$32, $C$9, 100%, $E$9)</f>
        <v>36.755499999999998</v>
      </c>
      <c r="I1067" s="11">
        <f>36.7591 * CHOOSE(CONTROL!$C$32, $C$9, 100%, $E$9)</f>
        <v>36.759099999999997</v>
      </c>
      <c r="J1067" s="11">
        <f>36.7555 * CHOOSE(CONTROL!$C$32, $C$9, 100%, $E$9)</f>
        <v>36.755499999999998</v>
      </c>
      <c r="K1067" s="11">
        <f>36.7591 * CHOOSE(CONTROL!$C$32, $C$9, 100%, $E$9)</f>
        <v>36.759099999999997</v>
      </c>
      <c r="L1067" s="11">
        <f>17.9878 * CHOOSE(CONTROL!$C$32, $C$9, 100%, $E$9)</f>
        <v>17.9878</v>
      </c>
      <c r="M1067" s="11">
        <f>17.9914 * CHOOSE(CONTROL!$C$32, $C$9, 100%, $E$9)</f>
        <v>17.991399999999999</v>
      </c>
      <c r="N1067" s="11">
        <f>17.9878 * CHOOSE(CONTROL!$C$32, $C$9, 100%, $E$9)</f>
        <v>17.9878</v>
      </c>
      <c r="O1067" s="11">
        <f>17.9914 * CHOOSE(CONTROL!$C$32, $C$9, 100%, $E$9)</f>
        <v>17.991399999999999</v>
      </c>
    </row>
    <row r="1068" spans="1:15" ht="15" x14ac:dyDescent="0.2">
      <c r="A1068" s="13">
        <v>73355</v>
      </c>
      <c r="B1068" s="9">
        <f>15.9949 * CHOOSE(CONTROL!$C$32, $C$9, 100%, $E$9)</f>
        <v>15.994899999999999</v>
      </c>
      <c r="C1068" s="9">
        <f>15.9949 * CHOOSE(CONTROL!$C$32, $C$9, 100%, $E$9)</f>
        <v>15.994899999999999</v>
      </c>
      <c r="D1068" s="9">
        <f>15.996 * CHOOSE(CONTROL!$C$32, $C$9, 100%, $E$9)</f>
        <v>15.996</v>
      </c>
      <c r="E1068" s="11">
        <f>18.0961 * CHOOSE(CONTROL!$C$32, $C$9, 100%, $E$9)</f>
        <v>18.0961</v>
      </c>
      <c r="F1068" s="11">
        <f>18.0961 * CHOOSE(CONTROL!$C$32, $C$9, 100%, $E$9)</f>
        <v>18.0961</v>
      </c>
      <c r="G1068" s="11">
        <f>18.0997 * CHOOSE(CONTROL!$C$32, $C$9, 100%, $E$9)</f>
        <v>18.099699999999999</v>
      </c>
      <c r="H1068" s="11">
        <f>36.8321 * CHOOSE(CONTROL!$C$32, $C$9, 100%, $E$9)</f>
        <v>36.832099999999997</v>
      </c>
      <c r="I1068" s="11">
        <f>36.8357 * CHOOSE(CONTROL!$C$32, $C$9, 100%, $E$9)</f>
        <v>36.835700000000003</v>
      </c>
      <c r="J1068" s="11">
        <f>36.8321 * CHOOSE(CONTROL!$C$32, $C$9, 100%, $E$9)</f>
        <v>36.832099999999997</v>
      </c>
      <c r="K1068" s="11">
        <f>36.8357 * CHOOSE(CONTROL!$C$32, $C$9, 100%, $E$9)</f>
        <v>36.835700000000003</v>
      </c>
      <c r="L1068" s="11">
        <f>18.0961 * CHOOSE(CONTROL!$C$32, $C$9, 100%, $E$9)</f>
        <v>18.0961</v>
      </c>
      <c r="M1068" s="11">
        <f>18.0997 * CHOOSE(CONTROL!$C$32, $C$9, 100%, $E$9)</f>
        <v>18.099699999999999</v>
      </c>
      <c r="N1068" s="11">
        <f>18.0961 * CHOOSE(CONTROL!$C$32, $C$9, 100%, $E$9)</f>
        <v>18.0961</v>
      </c>
      <c r="O1068" s="11">
        <f>18.0997 * CHOOSE(CONTROL!$C$32, $C$9, 100%, $E$9)</f>
        <v>18.099699999999999</v>
      </c>
    </row>
    <row r="1069" spans="1:15" ht="15" x14ac:dyDescent="0.2">
      <c r="A1069" s="13">
        <v>73385</v>
      </c>
      <c r="B1069" s="9">
        <f>15.9949 * CHOOSE(CONTROL!$C$32, $C$9, 100%, $E$9)</f>
        <v>15.994899999999999</v>
      </c>
      <c r="C1069" s="9">
        <f>15.9949 * CHOOSE(CONTROL!$C$32, $C$9, 100%, $E$9)</f>
        <v>15.994899999999999</v>
      </c>
      <c r="D1069" s="9">
        <f>15.996 * CHOOSE(CONTROL!$C$32, $C$9, 100%, $E$9)</f>
        <v>15.996</v>
      </c>
      <c r="E1069" s="11">
        <f>17.8307 * CHOOSE(CONTROL!$C$32, $C$9, 100%, $E$9)</f>
        <v>17.8307</v>
      </c>
      <c r="F1069" s="11">
        <f>17.8307 * CHOOSE(CONTROL!$C$32, $C$9, 100%, $E$9)</f>
        <v>17.8307</v>
      </c>
      <c r="G1069" s="11">
        <f>17.8343 * CHOOSE(CONTROL!$C$32, $C$9, 100%, $E$9)</f>
        <v>17.834299999999999</v>
      </c>
      <c r="H1069" s="11">
        <f>36.9088 * CHOOSE(CONTROL!$C$32, $C$9, 100%, $E$9)</f>
        <v>36.908799999999999</v>
      </c>
      <c r="I1069" s="11">
        <f>36.9124 * CHOOSE(CONTROL!$C$32, $C$9, 100%, $E$9)</f>
        <v>36.912399999999998</v>
      </c>
      <c r="J1069" s="11">
        <f>36.9088 * CHOOSE(CONTROL!$C$32, $C$9, 100%, $E$9)</f>
        <v>36.908799999999999</v>
      </c>
      <c r="K1069" s="11">
        <f>36.9124 * CHOOSE(CONTROL!$C$32, $C$9, 100%, $E$9)</f>
        <v>36.912399999999998</v>
      </c>
      <c r="L1069" s="11">
        <f>17.8307 * CHOOSE(CONTROL!$C$32, $C$9, 100%, $E$9)</f>
        <v>17.8307</v>
      </c>
      <c r="M1069" s="11">
        <f>17.8343 * CHOOSE(CONTROL!$C$32, $C$9, 100%, $E$9)</f>
        <v>17.834299999999999</v>
      </c>
      <c r="N1069" s="11">
        <f>17.8307 * CHOOSE(CONTROL!$C$32, $C$9, 100%, $E$9)</f>
        <v>17.8307</v>
      </c>
      <c r="O1069" s="11">
        <f>17.8343 * CHOOSE(CONTROL!$C$32, $C$9, 100%, $E$9)</f>
        <v>17.834299999999999</v>
      </c>
    </row>
    <row r="1070" spans="1:15" ht="15" x14ac:dyDescent="0.2">
      <c r="A1070" s="12"/>
      <c r="B1070" s="9"/>
      <c r="C1070" s="9"/>
      <c r="D1070" s="9"/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</row>
    <row r="1071" spans="1:15" ht="15" x14ac:dyDescent="0.2">
      <c r="A1071" s="10">
        <v>2013</v>
      </c>
      <c r="B1071" s="9">
        <f t="shared" ref="B1071:O1071" si="0">AVERAGE(B14:B25)</f>
        <v>2.2966500000000001</v>
      </c>
      <c r="C1071" s="9">
        <f t="shared" si="0"/>
        <v>2.2232833333333333</v>
      </c>
      <c r="D1071" s="9">
        <f t="shared" si="0"/>
        <v>2.2699416666666665</v>
      </c>
      <c r="E1071" s="9">
        <f t="shared" si="0"/>
        <v>3.4876333333333331</v>
      </c>
      <c r="F1071" s="9">
        <f t="shared" si="0"/>
        <v>3.1494</v>
      </c>
      <c r="G1071" s="9">
        <f t="shared" si="0"/>
        <v>3.164908333333333</v>
      </c>
      <c r="H1071" s="9">
        <f t="shared" si="0"/>
        <v>5.7296249999999995</v>
      </c>
      <c r="I1071" s="9">
        <f t="shared" si="0"/>
        <v>5.7451333333333325</v>
      </c>
      <c r="J1071" s="9">
        <f t="shared" si="0"/>
        <v>5.7296249999999995</v>
      </c>
      <c r="K1071" s="9">
        <f t="shared" si="0"/>
        <v>5.7451333333333325</v>
      </c>
      <c r="L1071" s="9">
        <f t="shared" si="0"/>
        <v>3.4876333333333331</v>
      </c>
      <c r="M1071" s="9">
        <f t="shared" si="0"/>
        <v>3.5031166666666671</v>
      </c>
      <c r="N1071" s="9">
        <f t="shared" si="0"/>
        <v>3.4876333333333331</v>
      </c>
      <c r="O1071" s="9">
        <f t="shared" si="0"/>
        <v>3.5031166666666671</v>
      </c>
    </row>
    <row r="1072" spans="1:15" ht="15" x14ac:dyDescent="0.2">
      <c r="A1072" s="10">
        <v>2014</v>
      </c>
      <c r="B1072" s="9">
        <f t="shared" ref="B1072:O1072" si="1">AVERAGE(B26:B37)</f>
        <v>2.3654999999999995</v>
      </c>
      <c r="C1072" s="9">
        <f t="shared" si="1"/>
        <v>2.3576916666666663</v>
      </c>
      <c r="D1072" s="9">
        <f t="shared" si="1"/>
        <v>2.40435</v>
      </c>
      <c r="E1072" s="9">
        <f t="shared" si="1"/>
        <v>3.460575</v>
      </c>
      <c r="F1072" s="9">
        <f t="shared" si="1"/>
        <v>3.3780666666666668</v>
      </c>
      <c r="G1072" s="9">
        <f t="shared" si="1"/>
        <v>3.3935666666666671</v>
      </c>
      <c r="H1072" s="9">
        <f t="shared" si="1"/>
        <v>5.7507333333333337</v>
      </c>
      <c r="I1072" s="9">
        <f t="shared" si="1"/>
        <v>5.7662083333333323</v>
      </c>
      <c r="J1072" s="9">
        <f t="shared" si="1"/>
        <v>5.7507333333333337</v>
      </c>
      <c r="K1072" s="9">
        <f t="shared" si="1"/>
        <v>5.7662083333333323</v>
      </c>
      <c r="L1072" s="9">
        <f t="shared" si="1"/>
        <v>3.460575</v>
      </c>
      <c r="M1072" s="9">
        <f t="shared" si="1"/>
        <v>3.4760500000000003</v>
      </c>
      <c r="N1072" s="9">
        <f t="shared" si="1"/>
        <v>3.460575</v>
      </c>
      <c r="O1072" s="9">
        <f t="shared" si="1"/>
        <v>3.4760500000000003</v>
      </c>
    </row>
    <row r="1073" spans="1:15" ht="15" x14ac:dyDescent="0.2">
      <c r="A1073" s="10">
        <v>2015</v>
      </c>
      <c r="B1073" s="9">
        <f t="shared" ref="B1073:O1073" si="2">AVERAGE(B38:B49)</f>
        <v>2.483975</v>
      </c>
      <c r="C1073" s="9">
        <f t="shared" si="2"/>
        <v>2.483975</v>
      </c>
      <c r="D1073" s="9">
        <f t="shared" si="2"/>
        <v>2.485233333333333</v>
      </c>
      <c r="E1073" s="9">
        <f t="shared" si="2"/>
        <v>3.8020250000000004</v>
      </c>
      <c r="F1073" s="9">
        <f t="shared" si="2"/>
        <v>3.5835999999999992</v>
      </c>
      <c r="G1073" s="9">
        <f t="shared" si="2"/>
        <v>3.5879083333333335</v>
      </c>
      <c r="H1073" s="9">
        <f t="shared" si="2"/>
        <v>5.8961499999999987</v>
      </c>
      <c r="I1073" s="9">
        <f t="shared" si="2"/>
        <v>5.9004666666666665</v>
      </c>
      <c r="J1073" s="9">
        <f t="shared" si="2"/>
        <v>5.8961499999999987</v>
      </c>
      <c r="K1073" s="9">
        <f t="shared" si="2"/>
        <v>5.9004666666666665</v>
      </c>
      <c r="L1073" s="9">
        <f t="shared" si="2"/>
        <v>3.8020250000000004</v>
      </c>
      <c r="M1073" s="9">
        <f t="shared" si="2"/>
        <v>3.8063333333333329</v>
      </c>
      <c r="N1073" s="9">
        <f t="shared" si="2"/>
        <v>3.8020250000000004</v>
      </c>
      <c r="O1073" s="9">
        <f t="shared" si="2"/>
        <v>3.8063333333333329</v>
      </c>
    </row>
    <row r="1074" spans="1:15" ht="15" x14ac:dyDescent="0.2">
      <c r="A1074" s="10">
        <v>2016</v>
      </c>
      <c r="B1074" s="9">
        <f t="shared" ref="B1074:O1074" si="3">AVERAGE(B50:B61)</f>
        <v>3.2759166666666668</v>
      </c>
      <c r="C1074" s="9">
        <f t="shared" si="3"/>
        <v>3.2759166666666668</v>
      </c>
      <c r="D1074" s="9">
        <f t="shared" si="3"/>
        <v>3.2771833333333338</v>
      </c>
      <c r="E1074" s="9">
        <f t="shared" si="3"/>
        <v>3.9337</v>
      </c>
      <c r="F1074" s="9">
        <f t="shared" si="3"/>
        <v>3.6856000000000004</v>
      </c>
      <c r="G1074" s="9">
        <f t="shared" si="3"/>
        <v>3.6899083333333333</v>
      </c>
      <c r="H1074" s="9">
        <f t="shared" si="3"/>
        <v>6.045258333333333</v>
      </c>
      <c r="I1074" s="9">
        <f t="shared" si="3"/>
        <v>6.0495666666666663</v>
      </c>
      <c r="J1074" s="9">
        <f t="shared" si="3"/>
        <v>6.045258333333333</v>
      </c>
      <c r="K1074" s="9">
        <f t="shared" si="3"/>
        <v>6.0495666666666663</v>
      </c>
      <c r="L1074" s="9">
        <f t="shared" si="3"/>
        <v>3.9337</v>
      </c>
      <c r="M1074" s="9">
        <f t="shared" si="3"/>
        <v>3.9380083333333329</v>
      </c>
      <c r="N1074" s="9">
        <f t="shared" si="3"/>
        <v>3.9337</v>
      </c>
      <c r="O1074" s="9">
        <f t="shared" si="3"/>
        <v>3.9380083333333329</v>
      </c>
    </row>
    <row r="1075" spans="1:15" ht="15" x14ac:dyDescent="0.2">
      <c r="A1075" s="10">
        <v>2017</v>
      </c>
      <c r="B1075" s="9">
        <f t="shared" ref="B1075:O1075" si="4">AVERAGE(B62:B73)</f>
        <v>3.3130666666666659</v>
      </c>
      <c r="C1075" s="9">
        <f t="shared" si="4"/>
        <v>3.3130666666666659</v>
      </c>
      <c r="D1075" s="9">
        <f t="shared" si="4"/>
        <v>3.3143583333333329</v>
      </c>
      <c r="E1075" s="9">
        <f t="shared" si="4"/>
        <v>3.8792333333333331</v>
      </c>
      <c r="F1075" s="9">
        <f t="shared" si="4"/>
        <v>3.8792333333333331</v>
      </c>
      <c r="G1075" s="9">
        <f t="shared" si="4"/>
        <v>3.8835499999999996</v>
      </c>
      <c r="H1075" s="9">
        <f t="shared" si="4"/>
        <v>6.1981333333333337</v>
      </c>
      <c r="I1075" s="9">
        <f t="shared" si="4"/>
        <v>6.2024333333333344</v>
      </c>
      <c r="J1075" s="9">
        <f t="shared" si="4"/>
        <v>6.1981333333333337</v>
      </c>
      <c r="K1075" s="9">
        <f t="shared" si="4"/>
        <v>6.2024333333333344</v>
      </c>
      <c r="L1075" s="9">
        <f t="shared" si="4"/>
        <v>3.8792333333333331</v>
      </c>
      <c r="M1075" s="9">
        <f t="shared" si="4"/>
        <v>3.8835499999999996</v>
      </c>
      <c r="N1075" s="9">
        <f t="shared" si="4"/>
        <v>3.8792333333333331</v>
      </c>
      <c r="O1075" s="9">
        <f t="shared" si="4"/>
        <v>3.8835499999999996</v>
      </c>
    </row>
    <row r="1076" spans="1:15" ht="15" x14ac:dyDescent="0.2">
      <c r="A1076" s="10">
        <v>2018</v>
      </c>
      <c r="B1076" s="9">
        <f t="shared" ref="B1076:O1076" si="5">AVERAGE(B74:B85)</f>
        <v>3.4019250000000003</v>
      </c>
      <c r="C1076" s="9">
        <f t="shared" si="5"/>
        <v>3.4019250000000003</v>
      </c>
      <c r="D1076" s="9">
        <f t="shared" si="5"/>
        <v>3.4032166666666659</v>
      </c>
      <c r="E1076" s="9">
        <f t="shared" si="5"/>
        <v>3.9989833333333333</v>
      </c>
      <c r="F1076" s="9">
        <f t="shared" si="5"/>
        <v>3.9989833333333333</v>
      </c>
      <c r="G1076" s="9">
        <f t="shared" si="5"/>
        <v>4.0033166666666666</v>
      </c>
      <c r="H1076" s="9">
        <f t="shared" si="5"/>
        <v>6.3548833333333334</v>
      </c>
      <c r="I1076" s="9">
        <f t="shared" si="5"/>
        <v>6.3592000000000004</v>
      </c>
      <c r="J1076" s="9">
        <f t="shared" si="5"/>
        <v>6.3548833333333334</v>
      </c>
      <c r="K1076" s="9">
        <f t="shared" si="5"/>
        <v>6.3592000000000004</v>
      </c>
      <c r="L1076" s="9">
        <f t="shared" si="5"/>
        <v>3.9989833333333333</v>
      </c>
      <c r="M1076" s="9">
        <f t="shared" si="5"/>
        <v>4.0033166666666666</v>
      </c>
      <c r="N1076" s="9">
        <f t="shared" si="5"/>
        <v>3.9989833333333333</v>
      </c>
      <c r="O1076" s="9">
        <f t="shared" si="5"/>
        <v>4.0033166666666666</v>
      </c>
    </row>
    <row r="1077" spans="1:15" ht="15" x14ac:dyDescent="0.2">
      <c r="A1077" s="10">
        <v>2019</v>
      </c>
      <c r="B1077" s="9">
        <f t="shared" ref="B1077:O1077" si="6">AVERAGE(B86:B97)</f>
        <v>3.2222999999999993</v>
      </c>
      <c r="C1077" s="9">
        <f t="shared" si="6"/>
        <v>3.2222999999999993</v>
      </c>
      <c r="D1077" s="9">
        <f t="shared" si="6"/>
        <v>3.2235916666666671</v>
      </c>
      <c r="E1077" s="9">
        <f t="shared" si="6"/>
        <v>4.0889833333333341</v>
      </c>
      <c r="F1077" s="9">
        <f t="shared" si="6"/>
        <v>4.0889833333333341</v>
      </c>
      <c r="G1077" s="9">
        <f t="shared" si="6"/>
        <v>4.0932916666666666</v>
      </c>
      <c r="H1077" s="9">
        <f t="shared" si="6"/>
        <v>6.515575000000001</v>
      </c>
      <c r="I1077" s="9">
        <f t="shared" si="6"/>
        <v>6.5198916666666653</v>
      </c>
      <c r="J1077" s="9">
        <f t="shared" si="6"/>
        <v>6.515575000000001</v>
      </c>
      <c r="K1077" s="9">
        <f t="shared" si="6"/>
        <v>6.5198916666666653</v>
      </c>
      <c r="L1077" s="9">
        <f t="shared" si="6"/>
        <v>4.0889833333333341</v>
      </c>
      <c r="M1077" s="9">
        <f t="shared" si="6"/>
        <v>4.0932916666666666</v>
      </c>
      <c r="N1077" s="9">
        <f t="shared" si="6"/>
        <v>4.0889833333333341</v>
      </c>
      <c r="O1077" s="9">
        <f t="shared" si="6"/>
        <v>4.0932916666666666</v>
      </c>
    </row>
    <row r="1078" spans="1:15" ht="15" x14ac:dyDescent="0.2">
      <c r="A1078" s="10">
        <v>2020</v>
      </c>
      <c r="B1078" s="9">
        <f t="shared" ref="B1078:O1078" si="7">AVERAGE(B98:B109)</f>
        <v>3.286566666666666</v>
      </c>
      <c r="C1078" s="9">
        <f t="shared" si="7"/>
        <v>3.286566666666666</v>
      </c>
      <c r="D1078" s="9">
        <f t="shared" si="7"/>
        <v>3.2878583333333329</v>
      </c>
      <c r="E1078" s="9">
        <f t="shared" si="7"/>
        <v>4.1808833333333331</v>
      </c>
      <c r="F1078" s="9">
        <f t="shared" si="7"/>
        <v>4.1808833333333331</v>
      </c>
      <c r="G1078" s="9">
        <f t="shared" si="7"/>
        <v>4.1851916666666664</v>
      </c>
      <c r="H1078" s="9">
        <f t="shared" si="7"/>
        <v>6.6803416666666662</v>
      </c>
      <c r="I1078" s="9">
        <f t="shared" si="7"/>
        <v>6.6846500000000004</v>
      </c>
      <c r="J1078" s="9">
        <f t="shared" si="7"/>
        <v>6.6803416666666662</v>
      </c>
      <c r="K1078" s="9">
        <f t="shared" si="7"/>
        <v>6.6846500000000004</v>
      </c>
      <c r="L1078" s="9">
        <f t="shared" si="7"/>
        <v>4.1808833333333331</v>
      </c>
      <c r="M1078" s="9">
        <f t="shared" si="7"/>
        <v>4.1851916666666664</v>
      </c>
      <c r="N1078" s="9">
        <f t="shared" si="7"/>
        <v>4.1808833333333331</v>
      </c>
      <c r="O1078" s="9">
        <f t="shared" si="7"/>
        <v>4.1851916666666664</v>
      </c>
    </row>
    <row r="1079" spans="1:15" ht="15" x14ac:dyDescent="0.2">
      <c r="A1079" s="10">
        <v>2021</v>
      </c>
      <c r="B1079" s="9">
        <f t="shared" ref="B1079:O1079" si="8">AVERAGE(B110:B121)</f>
        <v>3.3671249999999993</v>
      </c>
      <c r="C1079" s="9">
        <f t="shared" si="8"/>
        <v>3.3671249999999993</v>
      </c>
      <c r="D1079" s="9">
        <f t="shared" si="8"/>
        <v>3.3684250000000002</v>
      </c>
      <c r="E1079" s="9">
        <f t="shared" si="8"/>
        <v>4.2754583333333338</v>
      </c>
      <c r="F1079" s="9">
        <f t="shared" si="8"/>
        <v>4.2754583333333338</v>
      </c>
      <c r="G1079" s="9">
        <f t="shared" si="8"/>
        <v>4.2797916666666671</v>
      </c>
      <c r="H1079" s="9">
        <f t="shared" si="8"/>
        <v>6.8492999999999995</v>
      </c>
      <c r="I1079" s="9">
        <f t="shared" si="8"/>
        <v>6.8536083333333329</v>
      </c>
      <c r="J1079" s="9">
        <f t="shared" si="8"/>
        <v>6.8492999999999995</v>
      </c>
      <c r="K1079" s="9">
        <f t="shared" si="8"/>
        <v>6.8536083333333329</v>
      </c>
      <c r="L1079" s="9">
        <f t="shared" si="8"/>
        <v>4.2754583333333338</v>
      </c>
      <c r="M1079" s="9">
        <f t="shared" si="8"/>
        <v>4.2797916666666671</v>
      </c>
      <c r="N1079" s="9">
        <f t="shared" si="8"/>
        <v>4.2754583333333338</v>
      </c>
      <c r="O1079" s="9">
        <f t="shared" si="8"/>
        <v>4.2797916666666671</v>
      </c>
    </row>
    <row r="1080" spans="1:15" ht="15" x14ac:dyDescent="0.2">
      <c r="A1080" s="10">
        <v>2022</v>
      </c>
      <c r="B1080" s="9">
        <f t="shared" ref="B1080:O1080" si="9">AVERAGE(B122:B133)</f>
        <v>3.4470750000000003</v>
      </c>
      <c r="C1080" s="9">
        <f t="shared" si="9"/>
        <v>3.4470750000000003</v>
      </c>
      <c r="D1080" s="9">
        <f t="shared" si="9"/>
        <v>3.4483666666666668</v>
      </c>
      <c r="E1080" s="9">
        <f t="shared" si="9"/>
        <v>4.3818083333333337</v>
      </c>
      <c r="F1080" s="9">
        <f t="shared" si="9"/>
        <v>4.3818083333333337</v>
      </c>
      <c r="G1080" s="9">
        <f t="shared" si="9"/>
        <v>4.3861166666666671</v>
      </c>
      <c r="H1080" s="9">
        <f t="shared" si="9"/>
        <v>7.0224916666666681</v>
      </c>
      <c r="I1080" s="9">
        <f t="shared" si="9"/>
        <v>7.026816666666666</v>
      </c>
      <c r="J1080" s="9">
        <f t="shared" si="9"/>
        <v>7.0224916666666681</v>
      </c>
      <c r="K1080" s="9">
        <f t="shared" si="9"/>
        <v>7.026816666666666</v>
      </c>
      <c r="L1080" s="9">
        <f t="shared" si="9"/>
        <v>4.3818083333333337</v>
      </c>
      <c r="M1080" s="9">
        <f t="shared" si="9"/>
        <v>4.3861166666666671</v>
      </c>
      <c r="N1080" s="9">
        <f t="shared" si="9"/>
        <v>4.3818083333333337</v>
      </c>
      <c r="O1080" s="9">
        <f t="shared" si="9"/>
        <v>4.3861166666666671</v>
      </c>
    </row>
    <row r="1081" spans="1:15" ht="15" x14ac:dyDescent="0.2">
      <c r="A1081" s="10">
        <v>2023</v>
      </c>
      <c r="B1081" s="9">
        <f t="shared" ref="B1081:O1081" si="10">AVERAGE(B134:B145)</f>
        <v>3.5408249999999994</v>
      </c>
      <c r="C1081" s="9">
        <f t="shared" si="10"/>
        <v>3.5408249999999994</v>
      </c>
      <c r="D1081" s="9">
        <f t="shared" si="10"/>
        <v>3.5421166666666668</v>
      </c>
      <c r="E1081" s="9">
        <f t="shared" si="10"/>
        <v>4.490308333333334</v>
      </c>
      <c r="F1081" s="9">
        <f t="shared" si="10"/>
        <v>4.490308333333334</v>
      </c>
      <c r="G1081" s="9">
        <f t="shared" si="10"/>
        <v>4.4946166666666665</v>
      </c>
      <c r="H1081" s="9">
        <f t="shared" si="10"/>
        <v>7.2000833333333327</v>
      </c>
      <c r="I1081" s="9">
        <f t="shared" si="10"/>
        <v>7.2043916666666661</v>
      </c>
      <c r="J1081" s="9">
        <f t="shared" si="10"/>
        <v>7.2000833333333327</v>
      </c>
      <c r="K1081" s="9">
        <f t="shared" si="10"/>
        <v>7.2043916666666661</v>
      </c>
      <c r="L1081" s="9">
        <f t="shared" si="10"/>
        <v>4.490308333333334</v>
      </c>
      <c r="M1081" s="9">
        <f t="shared" si="10"/>
        <v>4.4946166666666665</v>
      </c>
      <c r="N1081" s="9">
        <f t="shared" si="10"/>
        <v>4.490308333333334</v>
      </c>
      <c r="O1081" s="9">
        <f t="shared" si="10"/>
        <v>4.4946166666666665</v>
      </c>
    </row>
    <row r="1082" spans="1:15" ht="15" x14ac:dyDescent="0.2">
      <c r="A1082" s="10">
        <v>2024</v>
      </c>
      <c r="B1082" s="9">
        <f t="shared" ref="B1082:O1082" si="11">AVERAGE(B146:B157)</f>
        <v>3.6291499999999997</v>
      </c>
      <c r="C1082" s="9">
        <f t="shared" si="11"/>
        <v>3.6291499999999997</v>
      </c>
      <c r="D1082" s="9">
        <f t="shared" si="11"/>
        <v>3.6304500000000002</v>
      </c>
      <c r="E1082" s="9">
        <f t="shared" si="11"/>
        <v>4.6075583333333325</v>
      </c>
      <c r="F1082" s="9">
        <f t="shared" si="11"/>
        <v>4.6075583333333325</v>
      </c>
      <c r="G1082" s="9">
        <f t="shared" si="11"/>
        <v>4.6118500000000004</v>
      </c>
      <c r="H1082" s="9">
        <f t="shared" si="11"/>
        <v>7.3821750000000002</v>
      </c>
      <c r="I1082" s="9">
        <f t="shared" si="11"/>
        <v>7.3864833333333335</v>
      </c>
      <c r="J1082" s="9">
        <f t="shared" si="11"/>
        <v>7.3821750000000002</v>
      </c>
      <c r="K1082" s="9">
        <f t="shared" si="11"/>
        <v>7.3864833333333335</v>
      </c>
      <c r="L1082" s="9">
        <f t="shared" si="11"/>
        <v>4.6075583333333325</v>
      </c>
      <c r="M1082" s="9">
        <f t="shared" si="11"/>
        <v>4.6118500000000004</v>
      </c>
      <c r="N1082" s="9">
        <f t="shared" si="11"/>
        <v>4.6075583333333325</v>
      </c>
      <c r="O1082" s="9">
        <f t="shared" si="11"/>
        <v>4.6118500000000004</v>
      </c>
    </row>
    <row r="1083" spans="1:15" ht="15" x14ac:dyDescent="0.2">
      <c r="A1083" s="10">
        <v>2025</v>
      </c>
      <c r="B1083" s="9">
        <f t="shared" ref="B1083:O1083" si="12">AVERAGE(B158:B169)</f>
        <v>3.7209500000000002</v>
      </c>
      <c r="C1083" s="9">
        <f t="shared" si="12"/>
        <v>3.7209500000000002</v>
      </c>
      <c r="D1083" s="9">
        <f t="shared" si="12"/>
        <v>3.7222416666666676</v>
      </c>
      <c r="E1083" s="9">
        <f t="shared" si="12"/>
        <v>4.7325583333333325</v>
      </c>
      <c r="F1083" s="9">
        <f t="shared" si="12"/>
        <v>4.7325583333333325</v>
      </c>
      <c r="G1083" s="9">
        <f t="shared" si="12"/>
        <v>4.7368916666666667</v>
      </c>
      <c r="H1083" s="9">
        <f t="shared" si="12"/>
        <v>7.5688499999999985</v>
      </c>
      <c r="I1083" s="9">
        <f t="shared" si="12"/>
        <v>7.5731583333333345</v>
      </c>
      <c r="J1083" s="9">
        <f t="shared" si="12"/>
        <v>7.5688499999999985</v>
      </c>
      <c r="K1083" s="9">
        <f t="shared" si="12"/>
        <v>7.5731583333333345</v>
      </c>
      <c r="L1083" s="9">
        <f t="shared" si="12"/>
        <v>4.7325583333333325</v>
      </c>
      <c r="M1083" s="9">
        <f t="shared" si="12"/>
        <v>4.7368916666666667</v>
      </c>
      <c r="N1083" s="9">
        <f t="shared" si="12"/>
        <v>4.7325583333333325</v>
      </c>
      <c r="O1083" s="9">
        <f t="shared" si="12"/>
        <v>4.7368916666666667</v>
      </c>
    </row>
    <row r="1084" spans="1:15" ht="15" x14ac:dyDescent="0.2">
      <c r="A1084" s="10">
        <v>2026</v>
      </c>
      <c r="B1084" s="9">
        <f t="shared" ref="B1084:O1084" si="13">AVERAGE(B170:B181)</f>
        <v>3.8184083333333336</v>
      </c>
      <c r="C1084" s="9">
        <f t="shared" si="13"/>
        <v>3.8184083333333336</v>
      </c>
      <c r="D1084" s="9">
        <f t="shared" si="13"/>
        <v>3.8196916666666669</v>
      </c>
      <c r="E1084" s="9">
        <f t="shared" si="13"/>
        <v>4.8625583333333324</v>
      </c>
      <c r="F1084" s="9">
        <f t="shared" si="13"/>
        <v>4.8625583333333324</v>
      </c>
      <c r="G1084" s="9">
        <f t="shared" si="13"/>
        <v>4.8668749999999994</v>
      </c>
      <c r="H1084" s="9">
        <f t="shared" si="13"/>
        <v>7.7602500000000001</v>
      </c>
      <c r="I1084" s="9">
        <f t="shared" si="13"/>
        <v>7.7645583333333343</v>
      </c>
      <c r="J1084" s="9">
        <f t="shared" si="13"/>
        <v>7.7602500000000001</v>
      </c>
      <c r="K1084" s="9">
        <f t="shared" si="13"/>
        <v>7.7645583333333343</v>
      </c>
      <c r="L1084" s="9">
        <f t="shared" si="13"/>
        <v>4.8625583333333324</v>
      </c>
      <c r="M1084" s="9">
        <f t="shared" si="13"/>
        <v>4.8668749999999994</v>
      </c>
      <c r="N1084" s="9">
        <f t="shared" si="13"/>
        <v>4.8625583333333324</v>
      </c>
      <c r="O1084" s="9">
        <f t="shared" si="13"/>
        <v>4.8668749999999994</v>
      </c>
    </row>
    <row r="1085" spans="1:15" ht="15" x14ac:dyDescent="0.2">
      <c r="A1085" s="10">
        <v>2027</v>
      </c>
      <c r="B1085" s="9">
        <f t="shared" ref="B1085:O1085" si="14">AVERAGE(B182:B193)</f>
        <v>3.9176666666666669</v>
      </c>
      <c r="C1085" s="9">
        <f t="shared" si="14"/>
        <v>3.9176666666666669</v>
      </c>
      <c r="D1085" s="9">
        <f t="shared" si="14"/>
        <v>3.9189416666666665</v>
      </c>
      <c r="E1085" s="9">
        <f t="shared" si="14"/>
        <v>4.9883083333333325</v>
      </c>
      <c r="F1085" s="9">
        <f t="shared" si="14"/>
        <v>4.9883083333333325</v>
      </c>
      <c r="G1085" s="9">
        <f t="shared" si="14"/>
        <v>4.9926166666666658</v>
      </c>
      <c r="H1085" s="9">
        <f t="shared" si="14"/>
        <v>7.9564916666666656</v>
      </c>
      <c r="I1085" s="9">
        <f t="shared" si="14"/>
        <v>7.9608250000000007</v>
      </c>
      <c r="J1085" s="9">
        <f t="shared" si="14"/>
        <v>7.9564916666666656</v>
      </c>
      <c r="K1085" s="9">
        <f t="shared" si="14"/>
        <v>7.9608250000000007</v>
      </c>
      <c r="L1085" s="9">
        <f t="shared" si="14"/>
        <v>4.9883083333333325</v>
      </c>
      <c r="M1085" s="9">
        <f t="shared" si="14"/>
        <v>4.9926166666666658</v>
      </c>
      <c r="N1085" s="9">
        <f t="shared" si="14"/>
        <v>4.9883083333333325</v>
      </c>
      <c r="O1085" s="9">
        <f t="shared" si="14"/>
        <v>4.9926166666666658</v>
      </c>
    </row>
    <row r="1086" spans="1:15" ht="15" x14ac:dyDescent="0.2">
      <c r="A1086" s="10">
        <v>2028</v>
      </c>
      <c r="B1086" s="9">
        <f t="shared" ref="B1086:O1086" si="15">AVERAGE(B194:B205)</f>
        <v>4.0231749999999984</v>
      </c>
      <c r="C1086" s="9">
        <f t="shared" si="15"/>
        <v>4.0231749999999984</v>
      </c>
      <c r="D1086" s="9">
        <f t="shared" si="15"/>
        <v>4.0244666666666662</v>
      </c>
      <c r="E1086" s="9">
        <f t="shared" si="15"/>
        <v>5.121858333333333</v>
      </c>
      <c r="F1086" s="9">
        <f t="shared" si="15"/>
        <v>5.121858333333333</v>
      </c>
      <c r="G1086" s="9">
        <f t="shared" si="15"/>
        <v>5.1261666666666663</v>
      </c>
      <c r="H1086" s="9">
        <f t="shared" si="15"/>
        <v>8.1576916666666666</v>
      </c>
      <c r="I1086" s="9">
        <f t="shared" si="15"/>
        <v>8.1620249999999999</v>
      </c>
      <c r="J1086" s="9">
        <f t="shared" si="15"/>
        <v>8.1576916666666666</v>
      </c>
      <c r="K1086" s="9">
        <f t="shared" si="15"/>
        <v>8.1620249999999999</v>
      </c>
      <c r="L1086" s="9">
        <f t="shared" si="15"/>
        <v>5.121858333333333</v>
      </c>
      <c r="M1086" s="9">
        <f t="shared" si="15"/>
        <v>5.1261666666666663</v>
      </c>
      <c r="N1086" s="9">
        <f t="shared" si="15"/>
        <v>5.121858333333333</v>
      </c>
      <c r="O1086" s="9">
        <f t="shared" si="15"/>
        <v>5.1261666666666663</v>
      </c>
    </row>
    <row r="1087" spans="1:15" ht="15" x14ac:dyDescent="0.2">
      <c r="A1087" s="10">
        <v>2029</v>
      </c>
      <c r="B1087" s="9">
        <f t="shared" ref="B1087:O1087" si="16">AVERAGE(B206:B217)</f>
        <v>4.1202916666666676</v>
      </c>
      <c r="C1087" s="9">
        <f t="shared" si="16"/>
        <v>4.1202916666666676</v>
      </c>
      <c r="D1087" s="9">
        <f t="shared" si="16"/>
        <v>4.1215583333333337</v>
      </c>
      <c r="E1087" s="9">
        <f t="shared" si="16"/>
        <v>5.2511833333333335</v>
      </c>
      <c r="F1087" s="9">
        <f t="shared" si="16"/>
        <v>5.2511833333333335</v>
      </c>
      <c r="G1087" s="9">
        <f t="shared" si="16"/>
        <v>5.2554916666666669</v>
      </c>
      <c r="H1087" s="9">
        <f t="shared" si="16"/>
        <v>8.363999999999999</v>
      </c>
      <c r="I1087" s="9">
        <f t="shared" si="16"/>
        <v>8.3683083333333332</v>
      </c>
      <c r="J1087" s="9">
        <f t="shared" si="16"/>
        <v>8.363999999999999</v>
      </c>
      <c r="K1087" s="9">
        <f t="shared" si="16"/>
        <v>8.3683083333333332</v>
      </c>
      <c r="L1087" s="9">
        <f t="shared" si="16"/>
        <v>5.2511833333333335</v>
      </c>
      <c r="M1087" s="9">
        <f t="shared" si="16"/>
        <v>5.2554916666666669</v>
      </c>
      <c r="N1087" s="9">
        <f t="shared" si="16"/>
        <v>5.2511833333333335</v>
      </c>
      <c r="O1087" s="9">
        <f t="shared" si="16"/>
        <v>5.2554916666666669</v>
      </c>
    </row>
    <row r="1088" spans="1:15" ht="15" x14ac:dyDescent="0.2">
      <c r="A1088" s="10">
        <v>2030</v>
      </c>
      <c r="B1088" s="9">
        <f t="shared" ref="B1088:O1088" si="17">AVERAGE(B218:B229)</f>
        <v>4.2197500000000003</v>
      </c>
      <c r="C1088" s="9">
        <f t="shared" si="17"/>
        <v>4.2197500000000003</v>
      </c>
      <c r="D1088" s="9">
        <f t="shared" si="17"/>
        <v>4.2210416666666664</v>
      </c>
      <c r="E1088" s="9">
        <f t="shared" si="17"/>
        <v>5.3853833333333334</v>
      </c>
      <c r="F1088" s="9">
        <f t="shared" si="17"/>
        <v>5.3853833333333334</v>
      </c>
      <c r="G1088" s="9">
        <f t="shared" si="17"/>
        <v>5.3897166666666676</v>
      </c>
      <c r="H1088" s="9">
        <f t="shared" si="17"/>
        <v>8.5755250000000007</v>
      </c>
      <c r="I1088" s="9">
        <f t="shared" si="17"/>
        <v>8.5798333333333314</v>
      </c>
      <c r="J1088" s="9">
        <f t="shared" si="17"/>
        <v>8.5755250000000007</v>
      </c>
      <c r="K1088" s="9">
        <f t="shared" si="17"/>
        <v>8.5798333333333314</v>
      </c>
      <c r="L1088" s="9">
        <f t="shared" si="17"/>
        <v>5.3853833333333334</v>
      </c>
      <c r="M1088" s="9">
        <f t="shared" si="17"/>
        <v>5.3897166666666676</v>
      </c>
      <c r="N1088" s="9">
        <f t="shared" si="17"/>
        <v>5.3853833333333334</v>
      </c>
      <c r="O1088" s="9">
        <f t="shared" si="17"/>
        <v>5.3897166666666676</v>
      </c>
    </row>
    <row r="1089" spans="1:15" ht="15" x14ac:dyDescent="0.2">
      <c r="A1089" s="10">
        <v>2031</v>
      </c>
      <c r="B1089" s="9">
        <f t="shared" ref="B1089:O1089" si="18">AVERAGE(B230:B241)</f>
        <v>4.319983333333334</v>
      </c>
      <c r="C1089" s="9">
        <f t="shared" si="18"/>
        <v>4.319983333333334</v>
      </c>
      <c r="D1089" s="9">
        <f t="shared" si="18"/>
        <v>4.321275</v>
      </c>
      <c r="E1089" s="9">
        <f t="shared" si="18"/>
        <v>5.5212583333333329</v>
      </c>
      <c r="F1089" s="9">
        <f t="shared" si="18"/>
        <v>5.5212583333333329</v>
      </c>
      <c r="G1089" s="9">
        <f t="shared" si="18"/>
        <v>5.5255916666666671</v>
      </c>
      <c r="H1089" s="9">
        <f t="shared" si="18"/>
        <v>8.7923666666666644</v>
      </c>
      <c r="I1089" s="9">
        <f t="shared" si="18"/>
        <v>8.7966750000000005</v>
      </c>
      <c r="J1089" s="9">
        <f t="shared" si="18"/>
        <v>8.7923666666666644</v>
      </c>
      <c r="K1089" s="9">
        <f t="shared" si="18"/>
        <v>8.7966750000000005</v>
      </c>
      <c r="L1089" s="9">
        <f t="shared" si="18"/>
        <v>5.5212583333333329</v>
      </c>
      <c r="M1089" s="9">
        <f t="shared" si="18"/>
        <v>5.5255916666666671</v>
      </c>
      <c r="N1089" s="9">
        <f t="shared" si="18"/>
        <v>5.5212583333333329</v>
      </c>
      <c r="O1089" s="9">
        <f t="shared" si="18"/>
        <v>5.5255916666666671</v>
      </c>
    </row>
    <row r="1090" spans="1:15" ht="15" x14ac:dyDescent="0.2">
      <c r="A1090" s="10">
        <v>2032</v>
      </c>
      <c r="B1090" s="9">
        <f t="shared" ref="B1090:O1090" si="19">AVERAGE(B242:B253)</f>
        <v>4.4233666666666664</v>
      </c>
      <c r="C1090" s="9">
        <f t="shared" si="19"/>
        <v>4.4233666666666664</v>
      </c>
      <c r="D1090" s="9">
        <f t="shared" si="19"/>
        <v>4.4246499999999997</v>
      </c>
      <c r="E1090" s="9">
        <f t="shared" si="19"/>
        <v>5.6636583333333341</v>
      </c>
      <c r="F1090" s="9">
        <f t="shared" si="19"/>
        <v>5.6636583333333341</v>
      </c>
      <c r="G1090" s="9">
        <f t="shared" si="19"/>
        <v>5.6679666666666675</v>
      </c>
      <c r="H1090" s="9">
        <f t="shared" si="19"/>
        <v>9.0147333333333322</v>
      </c>
      <c r="I1090" s="9">
        <f t="shared" si="19"/>
        <v>9.0190416666666682</v>
      </c>
      <c r="J1090" s="9">
        <f t="shared" si="19"/>
        <v>9.0147333333333322</v>
      </c>
      <c r="K1090" s="9">
        <f t="shared" si="19"/>
        <v>9.0190416666666682</v>
      </c>
      <c r="L1090" s="9">
        <f t="shared" si="19"/>
        <v>5.6636583333333341</v>
      </c>
      <c r="M1090" s="9">
        <f t="shared" si="19"/>
        <v>5.6679666666666675</v>
      </c>
      <c r="N1090" s="9">
        <f t="shared" si="19"/>
        <v>5.6636583333333341</v>
      </c>
      <c r="O1090" s="9">
        <f t="shared" si="19"/>
        <v>5.6679666666666675</v>
      </c>
    </row>
    <row r="1091" spans="1:15" ht="15" x14ac:dyDescent="0.2">
      <c r="A1091" s="10">
        <v>2033</v>
      </c>
      <c r="B1091" s="9">
        <f t="shared" ref="B1091:O1091" si="20">AVERAGE(B254:B265)</f>
        <v>4.5277250000000011</v>
      </c>
      <c r="C1091" s="9">
        <f t="shared" si="20"/>
        <v>4.5277250000000011</v>
      </c>
      <c r="D1091" s="9">
        <f t="shared" si="20"/>
        <v>4.5290083333333335</v>
      </c>
      <c r="E1091" s="9">
        <f t="shared" si="20"/>
        <v>5.8086833333333336</v>
      </c>
      <c r="F1091" s="9">
        <f t="shared" si="20"/>
        <v>5.8086833333333336</v>
      </c>
      <c r="G1091" s="9">
        <f t="shared" si="20"/>
        <v>5.8129750000000016</v>
      </c>
      <c r="H1091" s="9">
        <f t="shared" si="20"/>
        <v>9.2426833333333338</v>
      </c>
      <c r="I1091" s="9">
        <f t="shared" si="20"/>
        <v>9.2469999999999999</v>
      </c>
      <c r="J1091" s="9">
        <f t="shared" si="20"/>
        <v>9.2426833333333338</v>
      </c>
      <c r="K1091" s="9">
        <f t="shared" si="20"/>
        <v>9.2469999999999999</v>
      </c>
      <c r="L1091" s="9">
        <f t="shared" si="20"/>
        <v>5.8086833333333336</v>
      </c>
      <c r="M1091" s="9">
        <f t="shared" si="20"/>
        <v>5.8129750000000016</v>
      </c>
      <c r="N1091" s="9">
        <f t="shared" si="20"/>
        <v>5.8086833333333336</v>
      </c>
      <c r="O1091" s="9">
        <f t="shared" si="20"/>
        <v>5.8129750000000016</v>
      </c>
    </row>
    <row r="1092" spans="1:15" ht="15" x14ac:dyDescent="0.2">
      <c r="A1092" s="10">
        <v>2034</v>
      </c>
      <c r="B1092" s="9">
        <f t="shared" ref="B1092:O1092" si="21">AVERAGE(B266:B277)</f>
        <v>4.6365749999999997</v>
      </c>
      <c r="C1092" s="9">
        <f t="shared" si="21"/>
        <v>4.6365749999999997</v>
      </c>
      <c r="D1092" s="9">
        <f t="shared" si="21"/>
        <v>4.6378583333333339</v>
      </c>
      <c r="E1092" s="9">
        <f t="shared" si="21"/>
        <v>5.9626083333333346</v>
      </c>
      <c r="F1092" s="9">
        <f t="shared" si="21"/>
        <v>5.9626083333333346</v>
      </c>
      <c r="G1092" s="9">
        <f t="shared" si="21"/>
        <v>5.966941666666667</v>
      </c>
      <c r="H1092" s="9">
        <f t="shared" si="21"/>
        <v>9.4764000000000017</v>
      </c>
      <c r="I1092" s="9">
        <f t="shared" si="21"/>
        <v>9.4807333333333332</v>
      </c>
      <c r="J1092" s="9">
        <f t="shared" si="21"/>
        <v>9.4764000000000017</v>
      </c>
      <c r="K1092" s="9">
        <f t="shared" si="21"/>
        <v>9.4807333333333332</v>
      </c>
      <c r="L1092" s="9">
        <f t="shared" si="21"/>
        <v>5.9626083333333346</v>
      </c>
      <c r="M1092" s="9">
        <f t="shared" si="21"/>
        <v>5.966941666666667</v>
      </c>
      <c r="N1092" s="9">
        <f t="shared" si="21"/>
        <v>5.9626083333333346</v>
      </c>
      <c r="O1092" s="9">
        <f t="shared" si="21"/>
        <v>5.966941666666667</v>
      </c>
    </row>
    <row r="1093" spans="1:15" ht="15" x14ac:dyDescent="0.2">
      <c r="A1093" s="10">
        <v>2035</v>
      </c>
      <c r="B1093" s="9">
        <f t="shared" ref="B1093:O1093" si="22">AVERAGE(B278:B289)</f>
        <v>4.7452499999999995</v>
      </c>
      <c r="C1093" s="9">
        <f t="shared" si="22"/>
        <v>4.7452499999999995</v>
      </c>
      <c r="D1093" s="9">
        <f t="shared" si="22"/>
        <v>4.7465333333333337</v>
      </c>
      <c r="E1093" s="9">
        <f t="shared" si="22"/>
        <v>6.2283083333333344</v>
      </c>
      <c r="F1093" s="9">
        <f t="shared" si="22"/>
        <v>6.2283083333333344</v>
      </c>
      <c r="G1093" s="9">
        <f t="shared" si="22"/>
        <v>6.2326249999999996</v>
      </c>
      <c r="H1093" s="9">
        <f t="shared" si="22"/>
        <v>9.7160499999999974</v>
      </c>
      <c r="I1093" s="9">
        <f t="shared" si="22"/>
        <v>9.7203749999999989</v>
      </c>
      <c r="J1093" s="9">
        <f t="shared" si="22"/>
        <v>9.7160499999999974</v>
      </c>
      <c r="K1093" s="9">
        <f t="shared" si="22"/>
        <v>9.7203749999999989</v>
      </c>
      <c r="L1093" s="9">
        <f t="shared" si="22"/>
        <v>6.2283083333333344</v>
      </c>
      <c r="M1093" s="9">
        <f t="shared" si="22"/>
        <v>6.2326249999999996</v>
      </c>
      <c r="N1093" s="9">
        <f t="shared" si="22"/>
        <v>6.2283083333333344</v>
      </c>
      <c r="O1093" s="9">
        <f t="shared" si="22"/>
        <v>6.2326249999999996</v>
      </c>
    </row>
    <row r="1094" spans="1:15" ht="15" x14ac:dyDescent="0.2">
      <c r="A1094" s="10">
        <v>2036</v>
      </c>
      <c r="B1094" s="9">
        <f t="shared" ref="B1094:O1094" si="23">AVERAGE(B290:B301)</f>
        <v>4.8552916666666661</v>
      </c>
      <c r="C1094" s="9">
        <f t="shared" si="23"/>
        <v>4.8552916666666661</v>
      </c>
      <c r="D1094" s="9">
        <f t="shared" si="23"/>
        <v>4.8565666666666667</v>
      </c>
      <c r="E1094" s="9">
        <f t="shared" si="23"/>
        <v>6.4622250000000001</v>
      </c>
      <c r="F1094" s="9">
        <f t="shared" si="23"/>
        <v>6.4622250000000001</v>
      </c>
      <c r="G1094" s="9">
        <f t="shared" si="23"/>
        <v>6.4665333333333317</v>
      </c>
      <c r="H1094" s="9">
        <f t="shared" si="23"/>
        <v>9.9617666666666675</v>
      </c>
      <c r="I1094" s="9">
        <f t="shared" si="23"/>
        <v>9.9660833333333319</v>
      </c>
      <c r="J1094" s="9">
        <f t="shared" si="23"/>
        <v>9.9617666666666675</v>
      </c>
      <c r="K1094" s="9">
        <f t="shared" si="23"/>
        <v>9.9660833333333319</v>
      </c>
      <c r="L1094" s="9">
        <f t="shared" si="23"/>
        <v>6.4622250000000001</v>
      </c>
      <c r="M1094" s="9">
        <f t="shared" si="23"/>
        <v>6.4665333333333317</v>
      </c>
      <c r="N1094" s="9">
        <f t="shared" si="23"/>
        <v>6.4622250000000001</v>
      </c>
      <c r="O1094" s="9">
        <f t="shared" si="23"/>
        <v>6.4665333333333317</v>
      </c>
    </row>
    <row r="1095" spans="1:15" ht="15" x14ac:dyDescent="0.2">
      <c r="A1095" s="10">
        <v>2037</v>
      </c>
      <c r="B1095" s="9">
        <f t="shared" ref="B1095:O1095" si="24">AVERAGE(B302:B313)</f>
        <v>4.964783333333334</v>
      </c>
      <c r="C1095" s="9">
        <f t="shared" si="24"/>
        <v>4.964783333333334</v>
      </c>
      <c r="D1095" s="9">
        <f t="shared" si="24"/>
        <v>4.9660833333333327</v>
      </c>
      <c r="E1095" s="9">
        <f t="shared" si="24"/>
        <v>6.5224749999999991</v>
      </c>
      <c r="F1095" s="9">
        <f t="shared" si="24"/>
        <v>6.5224749999999991</v>
      </c>
      <c r="G1095" s="9">
        <f t="shared" si="24"/>
        <v>6.5267833333333343</v>
      </c>
      <c r="H1095" s="9">
        <f t="shared" si="24"/>
        <v>10.213691666666668</v>
      </c>
      <c r="I1095" s="9">
        <f t="shared" si="24"/>
        <v>10.217983333333335</v>
      </c>
      <c r="J1095" s="9">
        <f t="shared" si="24"/>
        <v>10.213691666666668</v>
      </c>
      <c r="K1095" s="9">
        <f t="shared" si="24"/>
        <v>10.217983333333335</v>
      </c>
      <c r="L1095" s="9">
        <f t="shared" si="24"/>
        <v>6.5224749999999991</v>
      </c>
      <c r="M1095" s="9">
        <f t="shared" si="24"/>
        <v>6.5267833333333343</v>
      </c>
      <c r="N1095" s="9">
        <f t="shared" si="24"/>
        <v>6.5224749999999991</v>
      </c>
      <c r="O1095" s="9">
        <f t="shared" si="24"/>
        <v>6.5267833333333343</v>
      </c>
    </row>
    <row r="1096" spans="1:15" ht="15" x14ac:dyDescent="0.2">
      <c r="A1096" s="10">
        <v>2038</v>
      </c>
      <c r="B1096" s="9">
        <f t="shared" ref="B1096:O1096" si="25">AVERAGE(B314:B325)</f>
        <v>5.078008333333333</v>
      </c>
      <c r="C1096" s="9">
        <f t="shared" si="25"/>
        <v>5.078008333333333</v>
      </c>
      <c r="D1096" s="9">
        <f t="shared" si="25"/>
        <v>5.0792916666666663</v>
      </c>
      <c r="E1096" s="9">
        <f t="shared" si="25"/>
        <v>6.5534166666666671</v>
      </c>
      <c r="F1096" s="9">
        <f t="shared" si="25"/>
        <v>6.5534166666666671</v>
      </c>
      <c r="G1096" s="9">
        <f t="shared" si="25"/>
        <v>6.5577499999999995</v>
      </c>
      <c r="H1096" s="9">
        <f t="shared" si="25"/>
        <v>10.471974999999999</v>
      </c>
      <c r="I1096" s="9">
        <f t="shared" si="25"/>
        <v>10.476283333333333</v>
      </c>
      <c r="J1096" s="9">
        <f t="shared" si="25"/>
        <v>10.471974999999999</v>
      </c>
      <c r="K1096" s="9">
        <f t="shared" si="25"/>
        <v>10.476283333333333</v>
      </c>
      <c r="L1096" s="9">
        <f t="shared" si="25"/>
        <v>6.5534166666666671</v>
      </c>
      <c r="M1096" s="9">
        <f t="shared" si="25"/>
        <v>6.5577499999999995</v>
      </c>
      <c r="N1096" s="9">
        <f t="shared" si="25"/>
        <v>6.5534166666666671</v>
      </c>
      <c r="O1096" s="9">
        <f t="shared" si="25"/>
        <v>6.5577499999999995</v>
      </c>
    </row>
    <row r="1097" spans="1:15" ht="15" x14ac:dyDescent="0.2">
      <c r="A1097" s="10">
        <v>2039</v>
      </c>
      <c r="B1097" s="9">
        <f t="shared" ref="B1097:O1097" si="26">AVERAGE(B326:B337)</f>
        <v>5.1910833333333333</v>
      </c>
      <c r="C1097" s="9">
        <f t="shared" si="26"/>
        <v>5.1910833333333333</v>
      </c>
      <c r="D1097" s="9">
        <f t="shared" si="26"/>
        <v>5.1923583333333339</v>
      </c>
      <c r="E1097" s="9">
        <f t="shared" si="26"/>
        <v>6.5795250000000003</v>
      </c>
      <c r="F1097" s="9">
        <f t="shared" si="26"/>
        <v>6.5795250000000003</v>
      </c>
      <c r="G1097" s="9">
        <f t="shared" si="26"/>
        <v>6.5838416666666655</v>
      </c>
      <c r="H1097" s="9">
        <f t="shared" si="26"/>
        <v>10.736775</v>
      </c>
      <c r="I1097" s="9">
        <f t="shared" si="26"/>
        <v>10.741091666666668</v>
      </c>
      <c r="J1097" s="9">
        <f t="shared" si="26"/>
        <v>10.736775</v>
      </c>
      <c r="K1097" s="9">
        <f t="shared" si="26"/>
        <v>10.741091666666668</v>
      </c>
      <c r="L1097" s="9">
        <f t="shared" si="26"/>
        <v>6.5795250000000003</v>
      </c>
      <c r="M1097" s="9">
        <f t="shared" si="26"/>
        <v>6.5838416666666655</v>
      </c>
      <c r="N1097" s="9">
        <f t="shared" si="26"/>
        <v>6.5795250000000003</v>
      </c>
      <c r="O1097" s="9">
        <f t="shared" si="26"/>
        <v>6.5838416666666655</v>
      </c>
    </row>
    <row r="1098" spans="1:15" ht="15" x14ac:dyDescent="0.2">
      <c r="A1098" s="10">
        <v>2040</v>
      </c>
      <c r="B1098" s="9">
        <f t="shared" ref="B1098:O1098" si="27">AVERAGE(B338:B349)</f>
        <v>5.3088083333333334</v>
      </c>
      <c r="C1098" s="9">
        <f t="shared" si="27"/>
        <v>5.3088083333333334</v>
      </c>
      <c r="D1098" s="9">
        <f t="shared" si="27"/>
        <v>5.3100916666666675</v>
      </c>
      <c r="E1098" s="9">
        <f t="shared" si="27"/>
        <v>6.6098166666666671</v>
      </c>
      <c r="F1098" s="9">
        <f t="shared" si="27"/>
        <v>6.6098166666666671</v>
      </c>
      <c r="G1098" s="9">
        <f t="shared" si="27"/>
        <v>6.6141166666666669</v>
      </c>
      <c r="H1098" s="9">
        <f t="shared" si="27"/>
        <v>11.008291666666667</v>
      </c>
      <c r="I1098" s="9">
        <f t="shared" si="27"/>
        <v>11.012616666666666</v>
      </c>
      <c r="J1098" s="9">
        <f t="shared" si="27"/>
        <v>11.008291666666667</v>
      </c>
      <c r="K1098" s="9">
        <f t="shared" si="27"/>
        <v>11.012616666666666</v>
      </c>
      <c r="L1098" s="9">
        <f t="shared" si="27"/>
        <v>6.6098166666666671</v>
      </c>
      <c r="M1098" s="9">
        <f t="shared" si="27"/>
        <v>6.6141166666666669</v>
      </c>
      <c r="N1098" s="9">
        <f t="shared" si="27"/>
        <v>6.6098166666666671</v>
      </c>
      <c r="O1098" s="9">
        <f t="shared" si="27"/>
        <v>6.6141166666666669</v>
      </c>
    </row>
    <row r="1099" spans="1:15" ht="15" x14ac:dyDescent="0.2">
      <c r="A1099" s="10">
        <v>2041</v>
      </c>
      <c r="B1099" s="9">
        <f t="shared" ref="B1099:O1099" si="28">AVERAGE(B350:B361)</f>
        <v>5.4292249999999989</v>
      </c>
      <c r="C1099" s="9">
        <f t="shared" si="28"/>
        <v>5.4292249999999989</v>
      </c>
      <c r="D1099" s="9">
        <f t="shared" si="28"/>
        <v>5.430483333333334</v>
      </c>
      <c r="E1099" s="9">
        <f t="shared" si="28"/>
        <v>6.6440333333333328</v>
      </c>
      <c r="F1099" s="9">
        <f t="shared" si="28"/>
        <v>6.6440333333333328</v>
      </c>
      <c r="G1099" s="9">
        <f t="shared" si="28"/>
        <v>6.6483583333333343</v>
      </c>
      <c r="H1099" s="9">
        <f t="shared" si="28"/>
        <v>11.286683333333334</v>
      </c>
      <c r="I1099" s="9">
        <f t="shared" si="28"/>
        <v>11.291000000000002</v>
      </c>
      <c r="J1099" s="9">
        <f t="shared" si="28"/>
        <v>11.286683333333334</v>
      </c>
      <c r="K1099" s="9">
        <f t="shared" si="28"/>
        <v>11.291000000000002</v>
      </c>
      <c r="L1099" s="9">
        <f t="shared" si="28"/>
        <v>6.6440333333333328</v>
      </c>
      <c r="M1099" s="9">
        <f t="shared" si="28"/>
        <v>6.6483583333333343</v>
      </c>
      <c r="N1099" s="9">
        <f t="shared" si="28"/>
        <v>6.6440333333333328</v>
      </c>
      <c r="O1099" s="9">
        <f t="shared" si="28"/>
        <v>6.6483583333333343</v>
      </c>
    </row>
    <row r="1100" spans="1:15" ht="15" x14ac:dyDescent="0.2">
      <c r="A1100" s="10">
        <v>2042</v>
      </c>
      <c r="B1100" s="9">
        <f t="shared" ref="B1100:O1100" si="29">AVERAGE(B362:B373)</f>
        <v>5.5523500000000006</v>
      </c>
      <c r="C1100" s="9">
        <f t="shared" si="29"/>
        <v>5.5523500000000006</v>
      </c>
      <c r="D1100" s="9">
        <f t="shared" si="29"/>
        <v>5.5536416666666675</v>
      </c>
      <c r="E1100" s="9">
        <f t="shared" si="29"/>
        <v>6.6822333333333335</v>
      </c>
      <c r="F1100" s="9">
        <f t="shared" si="29"/>
        <v>6.6822333333333335</v>
      </c>
      <c r="G1100" s="9">
        <f t="shared" si="29"/>
        <v>6.6865499999999995</v>
      </c>
      <c r="H1100" s="9">
        <f t="shared" si="29"/>
        <v>11.572108333333334</v>
      </c>
      <c r="I1100" s="9">
        <f t="shared" si="29"/>
        <v>11.576424999999999</v>
      </c>
      <c r="J1100" s="9">
        <f t="shared" si="29"/>
        <v>11.572108333333334</v>
      </c>
      <c r="K1100" s="9">
        <f t="shared" si="29"/>
        <v>11.576424999999999</v>
      </c>
      <c r="L1100" s="9">
        <f t="shared" si="29"/>
        <v>6.6822333333333335</v>
      </c>
      <c r="M1100" s="9">
        <f t="shared" si="29"/>
        <v>6.6865499999999995</v>
      </c>
      <c r="N1100" s="9">
        <f t="shared" si="29"/>
        <v>6.6822333333333335</v>
      </c>
      <c r="O1100" s="9">
        <f t="shared" si="29"/>
        <v>6.6865499999999995</v>
      </c>
    </row>
    <row r="1101" spans="1:15" ht="15" x14ac:dyDescent="0.2">
      <c r="A1101" s="10">
        <v>2043</v>
      </c>
      <c r="B1101" s="9">
        <f t="shared" ref="B1101:O1101" si="30">AVERAGE(B374:B385)</f>
        <v>5.6783000000000001</v>
      </c>
      <c r="C1101" s="9">
        <f t="shared" si="30"/>
        <v>5.6783000000000001</v>
      </c>
      <c r="D1101" s="9">
        <f t="shared" si="30"/>
        <v>5.6795749999999998</v>
      </c>
      <c r="E1101" s="9">
        <f t="shared" si="30"/>
        <v>6.72445</v>
      </c>
      <c r="F1101" s="9">
        <f t="shared" si="30"/>
        <v>6.72445</v>
      </c>
      <c r="G1101" s="9">
        <f t="shared" si="30"/>
        <v>6.7287666666666661</v>
      </c>
      <c r="H1101" s="9">
        <f t="shared" si="30"/>
        <v>11.864750000000001</v>
      </c>
      <c r="I1101" s="9">
        <f t="shared" si="30"/>
        <v>11.869066666666669</v>
      </c>
      <c r="J1101" s="9">
        <f t="shared" si="30"/>
        <v>11.864750000000001</v>
      </c>
      <c r="K1101" s="9">
        <f t="shared" si="30"/>
        <v>11.869066666666669</v>
      </c>
      <c r="L1101" s="9">
        <f t="shared" si="30"/>
        <v>6.72445</v>
      </c>
      <c r="M1101" s="9">
        <f t="shared" si="30"/>
        <v>6.7287666666666661</v>
      </c>
      <c r="N1101" s="9">
        <f t="shared" si="30"/>
        <v>6.72445</v>
      </c>
      <c r="O1101" s="9">
        <f t="shared" si="30"/>
        <v>6.7287666666666661</v>
      </c>
    </row>
    <row r="1102" spans="1:15" ht="15" x14ac:dyDescent="0.2">
      <c r="A1102" s="10">
        <v>2044</v>
      </c>
      <c r="B1102" s="9">
        <f t="shared" ref="B1102:O1102" si="31">AVERAGE(B386:B397)</f>
        <v>5.807083333333332</v>
      </c>
      <c r="C1102" s="9">
        <f t="shared" si="31"/>
        <v>5.807083333333332</v>
      </c>
      <c r="D1102" s="9">
        <f t="shared" si="31"/>
        <v>5.8083583333333335</v>
      </c>
      <c r="E1102" s="9">
        <f t="shared" si="31"/>
        <v>6.774516666666667</v>
      </c>
      <c r="F1102" s="9">
        <f t="shared" si="31"/>
        <v>6.774516666666667</v>
      </c>
      <c r="G1102" s="9">
        <f t="shared" si="31"/>
        <v>6.7788249999999985</v>
      </c>
      <c r="H1102" s="9">
        <f t="shared" si="31"/>
        <v>12.164783333333332</v>
      </c>
      <c r="I1102" s="9">
        <f t="shared" si="31"/>
        <v>12.169108333333334</v>
      </c>
      <c r="J1102" s="9">
        <f t="shared" si="31"/>
        <v>12.164783333333332</v>
      </c>
      <c r="K1102" s="9">
        <f t="shared" si="31"/>
        <v>12.169108333333334</v>
      </c>
      <c r="L1102" s="9">
        <f t="shared" si="31"/>
        <v>6.774516666666667</v>
      </c>
      <c r="M1102" s="9">
        <f t="shared" si="31"/>
        <v>6.7788249999999985</v>
      </c>
      <c r="N1102" s="9">
        <f t="shared" si="31"/>
        <v>6.774516666666667</v>
      </c>
      <c r="O1102" s="9">
        <f t="shared" si="31"/>
        <v>6.7788249999999985</v>
      </c>
    </row>
    <row r="1103" spans="1:15" ht="15" x14ac:dyDescent="0.2">
      <c r="A1103" s="10">
        <v>2045</v>
      </c>
      <c r="B1103" s="9">
        <f t="shared" ref="B1103:O1103" si="32">AVERAGE(B398:B409)</f>
        <v>5.9387999999999996</v>
      </c>
      <c r="C1103" s="9">
        <f t="shared" si="32"/>
        <v>5.9387999999999996</v>
      </c>
      <c r="D1103" s="9">
        <f t="shared" si="32"/>
        <v>5.9400916666666665</v>
      </c>
      <c r="E1103" s="9">
        <f t="shared" si="32"/>
        <v>6.8389249999999997</v>
      </c>
      <c r="F1103" s="9">
        <f t="shared" si="32"/>
        <v>6.8389249999999997</v>
      </c>
      <c r="G1103" s="9">
        <f t="shared" si="32"/>
        <v>6.8432416666666676</v>
      </c>
      <c r="H1103" s="9">
        <f t="shared" si="32"/>
        <v>12.472433333333333</v>
      </c>
      <c r="I1103" s="9">
        <f t="shared" si="32"/>
        <v>12.476750000000001</v>
      </c>
      <c r="J1103" s="9">
        <f t="shared" si="32"/>
        <v>12.472433333333333</v>
      </c>
      <c r="K1103" s="9">
        <f t="shared" si="32"/>
        <v>12.476750000000001</v>
      </c>
      <c r="L1103" s="9">
        <f t="shared" si="32"/>
        <v>6.8389249999999997</v>
      </c>
      <c r="M1103" s="9">
        <f t="shared" si="32"/>
        <v>6.8432416666666676</v>
      </c>
      <c r="N1103" s="9">
        <f t="shared" si="32"/>
        <v>6.8389249999999997</v>
      </c>
      <c r="O1103" s="9">
        <f t="shared" si="32"/>
        <v>6.8432416666666676</v>
      </c>
    </row>
    <row r="1104" spans="1:15" ht="15" x14ac:dyDescent="0.2">
      <c r="A1104" s="10">
        <v>2046</v>
      </c>
      <c r="B1104" s="9">
        <f t="shared" ref="B1104:O1104" si="33">AVERAGE(B410:B421)</f>
        <v>6.073525000000001</v>
      </c>
      <c r="C1104" s="9">
        <f t="shared" si="33"/>
        <v>6.073525000000001</v>
      </c>
      <c r="D1104" s="9">
        <f t="shared" si="33"/>
        <v>6.0748083333333343</v>
      </c>
      <c r="E1104" s="9">
        <f t="shared" si="33"/>
        <v>6.9243500000000004</v>
      </c>
      <c r="F1104" s="9">
        <f t="shared" si="33"/>
        <v>6.9243500000000004</v>
      </c>
      <c r="G1104" s="9">
        <f t="shared" si="33"/>
        <v>6.9286583333333338</v>
      </c>
      <c r="H1104" s="9">
        <f t="shared" si="33"/>
        <v>12.787824999999998</v>
      </c>
      <c r="I1104" s="9">
        <f t="shared" si="33"/>
        <v>12.792141666666668</v>
      </c>
      <c r="J1104" s="9">
        <f t="shared" si="33"/>
        <v>12.787824999999998</v>
      </c>
      <c r="K1104" s="9">
        <f t="shared" si="33"/>
        <v>12.792141666666668</v>
      </c>
      <c r="L1104" s="9">
        <f t="shared" si="33"/>
        <v>6.9243500000000004</v>
      </c>
      <c r="M1104" s="9">
        <f t="shared" si="33"/>
        <v>6.9286583333333338</v>
      </c>
      <c r="N1104" s="9">
        <f t="shared" si="33"/>
        <v>6.9243500000000004</v>
      </c>
      <c r="O1104" s="9">
        <f t="shared" si="33"/>
        <v>6.9286583333333338</v>
      </c>
    </row>
    <row r="1105" spans="1:15" ht="15" x14ac:dyDescent="0.2">
      <c r="A1105" s="10">
        <v>2047</v>
      </c>
      <c r="B1105" s="9">
        <f t="shared" ref="B1105:O1105" si="34">AVERAGE(B422:B433)</f>
        <v>6.2112833333333333</v>
      </c>
      <c r="C1105" s="9">
        <f t="shared" si="34"/>
        <v>6.2112833333333333</v>
      </c>
      <c r="D1105" s="9">
        <f t="shared" si="34"/>
        <v>6.2125750000000011</v>
      </c>
      <c r="E1105" s="9">
        <f t="shared" si="34"/>
        <v>7.0300916666666664</v>
      </c>
      <c r="F1105" s="9">
        <f t="shared" si="34"/>
        <v>7.0300916666666664</v>
      </c>
      <c r="G1105" s="9">
        <f t="shared" si="34"/>
        <v>7.0343999999999989</v>
      </c>
      <c r="H1105" s="9">
        <f t="shared" si="34"/>
        <v>13.111208333333332</v>
      </c>
      <c r="I1105" s="9">
        <f t="shared" si="34"/>
        <v>13.115533333333333</v>
      </c>
      <c r="J1105" s="9">
        <f t="shared" si="34"/>
        <v>13.111208333333332</v>
      </c>
      <c r="K1105" s="9">
        <f t="shared" si="34"/>
        <v>13.115533333333333</v>
      </c>
      <c r="L1105" s="9">
        <f t="shared" si="34"/>
        <v>7.0300916666666664</v>
      </c>
      <c r="M1105" s="9">
        <f t="shared" si="34"/>
        <v>7.0343999999999989</v>
      </c>
      <c r="N1105" s="9">
        <f t="shared" si="34"/>
        <v>7.0300916666666664</v>
      </c>
      <c r="O1105" s="9">
        <f t="shared" si="34"/>
        <v>7.0343999999999989</v>
      </c>
    </row>
    <row r="1106" spans="1:15" ht="15" x14ac:dyDescent="0.2">
      <c r="A1106" s="10">
        <v>2048</v>
      </c>
      <c r="B1106" s="9">
        <f t="shared" ref="B1106:O1106" si="35">AVERAGE(B434:B445)</f>
        <v>6.3522166666666671</v>
      </c>
      <c r="C1106" s="9">
        <f t="shared" si="35"/>
        <v>6.3522166666666671</v>
      </c>
      <c r="D1106" s="9">
        <f t="shared" si="35"/>
        <v>6.3534666666666668</v>
      </c>
      <c r="E1106" s="9">
        <f t="shared" si="35"/>
        <v>7.1572916666666666</v>
      </c>
      <c r="F1106" s="9">
        <f t="shared" si="35"/>
        <v>7.1572916666666666</v>
      </c>
      <c r="G1106" s="9">
        <f t="shared" si="35"/>
        <v>7.1615916666666672</v>
      </c>
      <c r="H1106" s="9">
        <f t="shared" si="35"/>
        <v>13.442783333333333</v>
      </c>
      <c r="I1106" s="9">
        <f t="shared" si="35"/>
        <v>13.447083333333332</v>
      </c>
      <c r="J1106" s="9">
        <f t="shared" si="35"/>
        <v>13.442783333333333</v>
      </c>
      <c r="K1106" s="9">
        <f t="shared" si="35"/>
        <v>13.447083333333332</v>
      </c>
      <c r="L1106" s="9">
        <f t="shared" si="35"/>
        <v>7.1572916666666666</v>
      </c>
      <c r="M1106" s="9">
        <f t="shared" si="35"/>
        <v>7.1615916666666672</v>
      </c>
      <c r="N1106" s="9">
        <f t="shared" si="35"/>
        <v>7.1572916666666666</v>
      </c>
      <c r="O1106" s="9">
        <f t="shared" si="35"/>
        <v>7.1615916666666672</v>
      </c>
    </row>
    <row r="1107" spans="1:15" ht="15" x14ac:dyDescent="0.2">
      <c r="A1107" s="10">
        <v>2049</v>
      </c>
      <c r="B1107" s="9">
        <f t="shared" ref="B1107:O1107" si="36">AVERAGE(B446:B457)</f>
        <v>6.4963166666666652</v>
      </c>
      <c r="C1107" s="9">
        <f t="shared" si="36"/>
        <v>6.4963166666666652</v>
      </c>
      <c r="D1107" s="9">
        <f t="shared" si="36"/>
        <v>6.4976000000000012</v>
      </c>
      <c r="E1107" s="9">
        <f t="shared" si="36"/>
        <v>7.3044833333333328</v>
      </c>
      <c r="F1107" s="9">
        <f t="shared" si="36"/>
        <v>7.3044833333333328</v>
      </c>
      <c r="G1107" s="9">
        <f t="shared" si="36"/>
        <v>7.3087833333333334</v>
      </c>
      <c r="H1107" s="9">
        <f t="shared" si="36"/>
        <v>13.782716666666667</v>
      </c>
      <c r="I1107" s="9">
        <f t="shared" si="36"/>
        <v>13.787050000000001</v>
      </c>
      <c r="J1107" s="9">
        <f t="shared" si="36"/>
        <v>13.782716666666667</v>
      </c>
      <c r="K1107" s="9">
        <f t="shared" si="36"/>
        <v>13.787050000000001</v>
      </c>
      <c r="L1107" s="9">
        <f t="shared" si="36"/>
        <v>7.3044833333333328</v>
      </c>
      <c r="M1107" s="9">
        <f t="shared" si="36"/>
        <v>7.3087833333333334</v>
      </c>
      <c r="N1107" s="9">
        <f t="shared" si="36"/>
        <v>7.3044833333333328</v>
      </c>
      <c r="O1107" s="9">
        <f t="shared" si="36"/>
        <v>7.3087833333333334</v>
      </c>
    </row>
    <row r="1108" spans="1:15" ht="15" x14ac:dyDescent="0.2">
      <c r="A1108" s="10">
        <v>2050</v>
      </c>
      <c r="B1108" s="9">
        <f t="shared" ref="B1108:O1108" si="37">AVERAGE(B458:B469)</f>
        <v>6.6436749999999982</v>
      </c>
      <c r="C1108" s="9">
        <f t="shared" si="37"/>
        <v>6.6436749999999982</v>
      </c>
      <c r="D1108" s="9">
        <f t="shared" si="37"/>
        <v>6.6449666666666678</v>
      </c>
      <c r="E1108" s="9">
        <f t="shared" si="37"/>
        <v>7.4640833333333338</v>
      </c>
      <c r="F1108" s="9">
        <f t="shared" si="37"/>
        <v>7.4640833333333338</v>
      </c>
      <c r="G1108" s="9">
        <f t="shared" si="37"/>
        <v>7.4683916666666663</v>
      </c>
      <c r="H1108" s="9">
        <f t="shared" si="37"/>
        <v>14.131275</v>
      </c>
      <c r="I1108" s="9">
        <f t="shared" si="37"/>
        <v>14.13559166666667</v>
      </c>
      <c r="J1108" s="9">
        <f t="shared" si="37"/>
        <v>14.131275</v>
      </c>
      <c r="K1108" s="9">
        <f t="shared" si="37"/>
        <v>14.13559166666667</v>
      </c>
      <c r="L1108" s="9">
        <f t="shared" si="37"/>
        <v>7.4640833333333338</v>
      </c>
      <c r="M1108" s="9">
        <f t="shared" si="37"/>
        <v>7.4683916666666663</v>
      </c>
      <c r="N1108" s="9">
        <f t="shared" si="37"/>
        <v>7.4640833333333338</v>
      </c>
      <c r="O1108" s="9">
        <f t="shared" si="37"/>
        <v>7.4683916666666663</v>
      </c>
    </row>
    <row r="1109" spans="1:15" ht="15" x14ac:dyDescent="0.2">
      <c r="A1109" s="10">
        <v>2051</v>
      </c>
      <c r="B1109" s="9">
        <f t="shared" ref="B1109:O1109" si="38">AVERAGE(B470:B481)</f>
        <v>6.7943916666666659</v>
      </c>
      <c r="C1109" s="9">
        <f t="shared" si="38"/>
        <v>6.7943916666666659</v>
      </c>
      <c r="D1109" s="9">
        <f t="shared" si="38"/>
        <v>6.7957000000000001</v>
      </c>
      <c r="E1109" s="9">
        <f t="shared" si="38"/>
        <v>7.627958333333333</v>
      </c>
      <c r="F1109" s="9">
        <f t="shared" si="38"/>
        <v>7.627958333333333</v>
      </c>
      <c r="G1109" s="9">
        <f t="shared" si="38"/>
        <v>7.6322916666666671</v>
      </c>
      <c r="H1109" s="9">
        <f t="shared" si="38"/>
        <v>14.488633333333333</v>
      </c>
      <c r="I1109" s="9">
        <f t="shared" si="38"/>
        <v>14.492941666666667</v>
      </c>
      <c r="J1109" s="9">
        <f t="shared" si="38"/>
        <v>14.488633333333333</v>
      </c>
      <c r="K1109" s="9">
        <f t="shared" si="38"/>
        <v>14.492941666666667</v>
      </c>
      <c r="L1109" s="9">
        <f t="shared" si="38"/>
        <v>7.627958333333333</v>
      </c>
      <c r="M1109" s="9">
        <f t="shared" si="38"/>
        <v>7.6322916666666671</v>
      </c>
      <c r="N1109" s="9">
        <f t="shared" si="38"/>
        <v>7.627958333333333</v>
      </c>
      <c r="O1109" s="9">
        <f t="shared" si="38"/>
        <v>7.6322916666666671</v>
      </c>
    </row>
    <row r="1110" spans="1:15" ht="15" x14ac:dyDescent="0.2">
      <c r="A1110" s="10">
        <v>2052</v>
      </c>
      <c r="B1110" s="9">
        <f t="shared" ref="B1110:O1110" si="39">AVERAGE(B482:B493)</f>
        <v>6.9485583333333336</v>
      </c>
      <c r="C1110" s="9">
        <f t="shared" si="39"/>
        <v>6.9485583333333336</v>
      </c>
      <c r="D1110" s="9">
        <f t="shared" si="39"/>
        <v>6.9498499999999988</v>
      </c>
      <c r="E1110" s="9">
        <f t="shared" si="39"/>
        <v>7.7962999999999996</v>
      </c>
      <c r="F1110" s="9">
        <f t="shared" si="39"/>
        <v>7.7962999999999996</v>
      </c>
      <c r="G1110" s="9">
        <f t="shared" si="39"/>
        <v>7.8006083333333338</v>
      </c>
      <c r="H1110" s="9">
        <f t="shared" si="39"/>
        <v>14.855016666666669</v>
      </c>
      <c r="I1110" s="9">
        <f t="shared" si="39"/>
        <v>14.859341666666667</v>
      </c>
      <c r="J1110" s="9">
        <f t="shared" si="39"/>
        <v>14.855016666666669</v>
      </c>
      <c r="K1110" s="9">
        <f t="shared" si="39"/>
        <v>14.859341666666667</v>
      </c>
      <c r="L1110" s="9">
        <f t="shared" si="39"/>
        <v>7.7962999999999996</v>
      </c>
      <c r="M1110" s="9">
        <f t="shared" si="39"/>
        <v>7.8006083333333338</v>
      </c>
      <c r="N1110" s="9">
        <f t="shared" si="39"/>
        <v>7.7962999999999996</v>
      </c>
      <c r="O1110" s="9">
        <f t="shared" si="39"/>
        <v>7.8006083333333338</v>
      </c>
    </row>
    <row r="1111" spans="1:15" ht="15" x14ac:dyDescent="0.2">
      <c r="A1111" s="10">
        <v>2053</v>
      </c>
      <c r="B1111" s="9">
        <f t="shared" ref="B1111:O1111" si="40">AVERAGE(B494:B505)</f>
        <v>7.1062166666666675</v>
      </c>
      <c r="C1111" s="9">
        <f t="shared" si="40"/>
        <v>7.1062166666666675</v>
      </c>
      <c r="D1111" s="9">
        <f t="shared" si="40"/>
        <v>7.1075000000000008</v>
      </c>
      <c r="E1111" s="9">
        <f t="shared" si="40"/>
        <v>7.9691916666666662</v>
      </c>
      <c r="F1111" s="9">
        <f t="shared" si="40"/>
        <v>7.9691916666666662</v>
      </c>
      <c r="G1111" s="9">
        <f t="shared" si="40"/>
        <v>7.9735166666666659</v>
      </c>
      <c r="H1111" s="9">
        <f t="shared" si="40"/>
        <v>15.230683333333333</v>
      </c>
      <c r="I1111" s="9">
        <f t="shared" si="40"/>
        <v>15.234991666666668</v>
      </c>
      <c r="J1111" s="9">
        <f t="shared" si="40"/>
        <v>15.230683333333333</v>
      </c>
      <c r="K1111" s="9">
        <f t="shared" si="40"/>
        <v>15.234991666666668</v>
      </c>
      <c r="L1111" s="9">
        <f t="shared" si="40"/>
        <v>7.9691916666666662</v>
      </c>
      <c r="M1111" s="9">
        <f t="shared" si="40"/>
        <v>7.9735166666666659</v>
      </c>
      <c r="N1111" s="9">
        <f t="shared" si="40"/>
        <v>7.9691916666666662</v>
      </c>
      <c r="O1111" s="9">
        <f t="shared" si="40"/>
        <v>7.9735166666666659</v>
      </c>
    </row>
    <row r="1112" spans="1:15" ht="15" x14ac:dyDescent="0.2">
      <c r="A1112" s="10">
        <v>2054</v>
      </c>
      <c r="B1112" s="9">
        <f t="shared" ref="B1112:O1112" si="41">AVERAGE(B506:B517)</f>
        <v>7.2674666666666674</v>
      </c>
      <c r="C1112" s="9">
        <f t="shared" si="41"/>
        <v>7.2674666666666674</v>
      </c>
      <c r="D1112" s="9">
        <f t="shared" si="41"/>
        <v>7.2687416666666671</v>
      </c>
      <c r="E1112" s="9">
        <f t="shared" si="41"/>
        <v>8.1467749999999999</v>
      </c>
      <c r="F1112" s="9">
        <f t="shared" si="41"/>
        <v>8.1467749999999999</v>
      </c>
      <c r="G1112" s="9">
        <f t="shared" si="41"/>
        <v>8.151091666666666</v>
      </c>
      <c r="H1112" s="9">
        <f t="shared" si="41"/>
        <v>15.615849999999996</v>
      </c>
      <c r="I1112" s="9">
        <f t="shared" si="41"/>
        <v>15.620158333333334</v>
      </c>
      <c r="J1112" s="9">
        <f t="shared" si="41"/>
        <v>15.615849999999996</v>
      </c>
      <c r="K1112" s="9">
        <f t="shared" si="41"/>
        <v>15.620158333333334</v>
      </c>
      <c r="L1112" s="9">
        <f t="shared" si="41"/>
        <v>8.1467749999999999</v>
      </c>
      <c r="M1112" s="9">
        <f t="shared" si="41"/>
        <v>8.151091666666666</v>
      </c>
      <c r="N1112" s="9">
        <f t="shared" si="41"/>
        <v>8.1467749999999999</v>
      </c>
      <c r="O1112" s="9">
        <f t="shared" si="41"/>
        <v>8.151091666666666</v>
      </c>
    </row>
    <row r="1113" spans="1:15" ht="15" x14ac:dyDescent="0.2">
      <c r="A1113" s="10">
        <v>2055</v>
      </c>
      <c r="B1113" s="9">
        <f t="shared" ref="B1113:O1113" si="42">AVERAGE(B18:B529)</f>
        <v>4.7923289062500007</v>
      </c>
      <c r="C1113" s="9">
        <f t="shared" si="42"/>
        <v>4.7910062500000006</v>
      </c>
      <c r="D1113" s="9">
        <f t="shared" si="42"/>
        <v>4.7941232421875002</v>
      </c>
      <c r="E1113" s="9">
        <f t="shared" si="42"/>
        <v>5.8382347656249998</v>
      </c>
      <c r="F1113" s="9">
        <f t="shared" si="42"/>
        <v>5.8204392578124997</v>
      </c>
      <c r="G1113" s="9">
        <f t="shared" si="42"/>
        <v>5.825210937500005</v>
      </c>
      <c r="H1113" s="9">
        <f t="shared" si="42"/>
        <v>9.9732779296874963</v>
      </c>
      <c r="I1113" s="9">
        <f t="shared" si="42"/>
        <v>9.9780501953125</v>
      </c>
      <c r="J1113" s="9">
        <f t="shared" si="42"/>
        <v>9.9732779296874963</v>
      </c>
      <c r="K1113" s="9">
        <f t="shared" si="42"/>
        <v>9.9780501953125</v>
      </c>
      <c r="L1113" s="9">
        <f t="shared" si="42"/>
        <v>5.8382347656249998</v>
      </c>
      <c r="M1113" s="9">
        <f t="shared" si="42"/>
        <v>5.843004687500005</v>
      </c>
      <c r="N1113" s="9">
        <f t="shared" si="42"/>
        <v>5.8382347656249998</v>
      </c>
      <c r="O1113" s="9">
        <f t="shared" si="42"/>
        <v>5.843004687500005</v>
      </c>
    </row>
    <row r="1114" spans="1:15" ht="15" x14ac:dyDescent="0.2">
      <c r="A1114" s="10">
        <v>2056</v>
      </c>
      <c r="B1114" s="9">
        <f t="shared" ref="B1114:O1114" si="43">AVERAGE(B530:B541)</f>
        <v>7.6010166666666663</v>
      </c>
      <c r="C1114" s="9">
        <f t="shared" si="43"/>
        <v>7.6010166666666663</v>
      </c>
      <c r="D1114" s="9">
        <f t="shared" si="43"/>
        <v>7.6022833333333333</v>
      </c>
      <c r="E1114" s="9">
        <f t="shared" si="43"/>
        <v>8.5165749999999996</v>
      </c>
      <c r="F1114" s="9">
        <f t="shared" si="43"/>
        <v>8.5165749999999996</v>
      </c>
      <c r="G1114" s="9">
        <f t="shared" si="43"/>
        <v>8.5208916666666674</v>
      </c>
      <c r="H1114" s="9">
        <f t="shared" si="43"/>
        <v>16.415625000000002</v>
      </c>
      <c r="I1114" s="9">
        <f t="shared" si="43"/>
        <v>16.419933333333333</v>
      </c>
      <c r="J1114" s="9">
        <f t="shared" si="43"/>
        <v>16.415625000000002</v>
      </c>
      <c r="K1114" s="9">
        <f t="shared" si="43"/>
        <v>16.419933333333333</v>
      </c>
      <c r="L1114" s="9">
        <f t="shared" si="43"/>
        <v>8.5165749999999996</v>
      </c>
      <c r="M1114" s="9">
        <f t="shared" si="43"/>
        <v>8.5208916666666674</v>
      </c>
      <c r="N1114" s="9">
        <f t="shared" si="43"/>
        <v>8.5165749999999996</v>
      </c>
      <c r="O1114" s="9">
        <f t="shared" si="43"/>
        <v>8.5208916666666674</v>
      </c>
    </row>
    <row r="1115" spans="1:15" ht="15" x14ac:dyDescent="0.2">
      <c r="A1115" s="10">
        <v>2057</v>
      </c>
      <c r="B1115" s="9">
        <f t="shared" ref="B1115:O1115" si="44">AVERAGE(B542:B553)</f>
        <v>7.7734750000000012</v>
      </c>
      <c r="C1115" s="9">
        <f t="shared" si="44"/>
        <v>7.7734750000000012</v>
      </c>
      <c r="D1115" s="9">
        <f t="shared" si="44"/>
        <v>7.7747666666666655</v>
      </c>
      <c r="E1115" s="9">
        <f t="shared" si="44"/>
        <v>8.7090916666666676</v>
      </c>
      <c r="F1115" s="9">
        <f t="shared" si="44"/>
        <v>8.7090916666666676</v>
      </c>
      <c r="G1115" s="9">
        <f t="shared" si="44"/>
        <v>8.7134166666666655</v>
      </c>
      <c r="H1115" s="9">
        <f t="shared" si="44"/>
        <v>16.830758333333332</v>
      </c>
      <c r="I1115" s="9">
        <f t="shared" si="44"/>
        <v>16.835075</v>
      </c>
      <c r="J1115" s="9">
        <f t="shared" si="44"/>
        <v>16.830758333333332</v>
      </c>
      <c r="K1115" s="9">
        <f t="shared" si="44"/>
        <v>16.835075</v>
      </c>
      <c r="L1115" s="9">
        <f t="shared" si="44"/>
        <v>8.7090916666666676</v>
      </c>
      <c r="M1115" s="9">
        <f t="shared" si="44"/>
        <v>8.7134166666666655</v>
      </c>
      <c r="N1115" s="9">
        <f t="shared" si="44"/>
        <v>8.7090916666666676</v>
      </c>
      <c r="O1115" s="9">
        <f t="shared" si="44"/>
        <v>8.7134166666666655</v>
      </c>
    </row>
    <row r="1116" spans="1:15" ht="15" x14ac:dyDescent="0.2">
      <c r="A1116" s="10">
        <v>2058</v>
      </c>
      <c r="B1116" s="9">
        <f t="shared" ref="B1116:O1116" si="45">AVERAGE(B554:B565)</f>
        <v>7.9498749999999996</v>
      </c>
      <c r="C1116" s="9">
        <f t="shared" si="45"/>
        <v>7.9498749999999996</v>
      </c>
      <c r="D1116" s="9">
        <f t="shared" si="45"/>
        <v>7.9511750000000019</v>
      </c>
      <c r="E1116" s="9">
        <f t="shared" si="45"/>
        <v>8.9068749999999994</v>
      </c>
      <c r="F1116" s="9">
        <f t="shared" si="45"/>
        <v>8.9068749999999994</v>
      </c>
      <c r="G1116" s="9">
        <f t="shared" si="45"/>
        <v>8.9111916666666673</v>
      </c>
      <c r="H1116" s="9">
        <f t="shared" si="45"/>
        <v>17.256391666666669</v>
      </c>
      <c r="I1116" s="9">
        <f t="shared" si="45"/>
        <v>17.260691666666666</v>
      </c>
      <c r="J1116" s="9">
        <f t="shared" si="45"/>
        <v>17.256391666666669</v>
      </c>
      <c r="K1116" s="9">
        <f t="shared" si="45"/>
        <v>17.260691666666666</v>
      </c>
      <c r="L1116" s="9">
        <f t="shared" si="45"/>
        <v>8.9068749999999994</v>
      </c>
      <c r="M1116" s="9">
        <f t="shared" si="45"/>
        <v>8.9111916666666673</v>
      </c>
      <c r="N1116" s="9">
        <f t="shared" si="45"/>
        <v>8.9068749999999994</v>
      </c>
      <c r="O1116" s="9">
        <f t="shared" si="45"/>
        <v>8.9111916666666673</v>
      </c>
    </row>
    <row r="1117" spans="1:15" ht="15" x14ac:dyDescent="0.2">
      <c r="A1117" s="10">
        <v>2059</v>
      </c>
      <c r="B1117" s="9">
        <f t="shared" ref="B1117:O1117" si="46">AVERAGE(B566:B577)</f>
        <v>8.1302916666666665</v>
      </c>
      <c r="C1117" s="9">
        <f t="shared" si="46"/>
        <v>8.1302916666666665</v>
      </c>
      <c r="D1117" s="9">
        <f t="shared" si="46"/>
        <v>8.1315833333333334</v>
      </c>
      <c r="E1117" s="9">
        <f t="shared" si="46"/>
        <v>9.1100750000000001</v>
      </c>
      <c r="F1117" s="9">
        <f t="shared" si="46"/>
        <v>9.1100750000000001</v>
      </c>
      <c r="G1117" s="9">
        <f t="shared" si="46"/>
        <v>9.1143999999999981</v>
      </c>
      <c r="H1117" s="9">
        <f t="shared" si="46"/>
        <v>17.692775000000001</v>
      </c>
      <c r="I1117" s="9">
        <f t="shared" si="46"/>
        <v>17.697083333333335</v>
      </c>
      <c r="J1117" s="9">
        <f t="shared" si="46"/>
        <v>17.692775000000001</v>
      </c>
      <c r="K1117" s="9">
        <f t="shared" si="46"/>
        <v>17.697083333333335</v>
      </c>
      <c r="L1117" s="9">
        <f t="shared" si="46"/>
        <v>9.1100750000000001</v>
      </c>
      <c r="M1117" s="9">
        <f t="shared" si="46"/>
        <v>9.1143999999999981</v>
      </c>
      <c r="N1117" s="9">
        <f t="shared" si="46"/>
        <v>9.1100750000000001</v>
      </c>
      <c r="O1117" s="9">
        <f t="shared" si="46"/>
        <v>9.1143999999999981</v>
      </c>
    </row>
    <row r="1118" spans="1:15" ht="15" x14ac:dyDescent="0.2">
      <c r="A1118" s="10">
        <v>2060</v>
      </c>
      <c r="B1118" s="9">
        <f t="shared" ref="B1118:O1118" si="47">AVERAGE(B578:B589)</f>
        <v>8.3147999999999982</v>
      </c>
      <c r="C1118" s="9">
        <f t="shared" si="47"/>
        <v>8.3147999999999982</v>
      </c>
      <c r="D1118" s="9">
        <f t="shared" si="47"/>
        <v>8.3160749999999997</v>
      </c>
      <c r="E1118" s="9">
        <f t="shared" si="47"/>
        <v>9.3188999999999993</v>
      </c>
      <c r="F1118" s="9">
        <f t="shared" si="47"/>
        <v>9.3188999999999993</v>
      </c>
      <c r="G1118" s="9">
        <f t="shared" si="47"/>
        <v>9.3232000000000017</v>
      </c>
      <c r="H1118" s="9">
        <f t="shared" si="47"/>
        <v>18.14019166666667</v>
      </c>
      <c r="I1118" s="9">
        <f t="shared" si="47"/>
        <v>18.144516666666664</v>
      </c>
      <c r="J1118" s="9">
        <f t="shared" si="47"/>
        <v>18.14019166666667</v>
      </c>
      <c r="K1118" s="9">
        <f t="shared" si="47"/>
        <v>18.144516666666664</v>
      </c>
      <c r="L1118" s="9">
        <f t="shared" si="47"/>
        <v>9.3188999999999993</v>
      </c>
      <c r="M1118" s="9">
        <f t="shared" si="47"/>
        <v>9.3232000000000017</v>
      </c>
      <c r="N1118" s="9">
        <f t="shared" si="47"/>
        <v>9.3188999999999993</v>
      </c>
      <c r="O1118" s="9">
        <f t="shared" si="47"/>
        <v>9.3232000000000017</v>
      </c>
    </row>
    <row r="1119" spans="1:15" ht="15" x14ac:dyDescent="0.2">
      <c r="A1119" s="10">
        <v>2061</v>
      </c>
      <c r="B1119" s="9">
        <f t="shared" ref="B1119:O1119" si="48">AVERAGE(B590:B601)</f>
        <v>8.5034916666666671</v>
      </c>
      <c r="C1119" s="9">
        <f t="shared" si="48"/>
        <v>8.5034916666666671</v>
      </c>
      <c r="D1119" s="9">
        <f t="shared" si="48"/>
        <v>8.5047749999999986</v>
      </c>
      <c r="E1119" s="9">
        <f t="shared" si="48"/>
        <v>9.5334583333333338</v>
      </c>
      <c r="F1119" s="9">
        <f t="shared" si="48"/>
        <v>9.5334583333333338</v>
      </c>
      <c r="G1119" s="9">
        <f t="shared" si="48"/>
        <v>9.5377750000000017</v>
      </c>
      <c r="H1119" s="9">
        <f t="shared" si="48"/>
        <v>18.598933333333335</v>
      </c>
      <c r="I1119" s="9">
        <f t="shared" si="48"/>
        <v>18.603258333333333</v>
      </c>
      <c r="J1119" s="9">
        <f t="shared" si="48"/>
        <v>18.598933333333335</v>
      </c>
      <c r="K1119" s="9">
        <f t="shared" si="48"/>
        <v>18.603258333333333</v>
      </c>
      <c r="L1119" s="9">
        <f t="shared" si="48"/>
        <v>9.5334583333333338</v>
      </c>
      <c r="M1119" s="9">
        <f t="shared" si="48"/>
        <v>9.5377750000000017</v>
      </c>
      <c r="N1119" s="9">
        <f t="shared" si="48"/>
        <v>9.5334583333333338</v>
      </c>
      <c r="O1119" s="9">
        <f t="shared" si="48"/>
        <v>9.5377750000000017</v>
      </c>
    </row>
    <row r="1120" spans="1:15" ht="15" x14ac:dyDescent="0.2">
      <c r="A1120" s="10">
        <v>2062</v>
      </c>
      <c r="B1120" s="9">
        <f t="shared" ref="B1120:O1129" ca="1" si="49">AVERAGE(OFFSET(B$602,($A1120-$A$1120)*12,0,12,1))</f>
        <v>8.6921999999999979</v>
      </c>
      <c r="C1120" s="9">
        <f t="shared" ca="1" si="49"/>
        <v>8.6921999999999979</v>
      </c>
      <c r="D1120" s="9">
        <f t="shared" ca="1" si="49"/>
        <v>8.6934833333333348</v>
      </c>
      <c r="E1120" s="9">
        <f t="shared" ca="1" si="49"/>
        <v>9.7480333333333338</v>
      </c>
      <c r="F1120" s="9">
        <f t="shared" ca="1" si="49"/>
        <v>9.7480333333333338</v>
      </c>
      <c r="G1120" s="9">
        <f t="shared" ca="1" si="49"/>
        <v>9.7523500000000016</v>
      </c>
      <c r="H1120" s="9">
        <f t="shared" ca="1" si="49"/>
        <v>19.057683333333333</v>
      </c>
      <c r="I1120" s="9">
        <f t="shared" ca="1" si="49"/>
        <v>19.061983333333334</v>
      </c>
      <c r="J1120" s="9">
        <f t="shared" ca="1" si="49"/>
        <v>19.057683333333333</v>
      </c>
      <c r="K1120" s="9">
        <f t="shared" ca="1" si="49"/>
        <v>19.061983333333334</v>
      </c>
      <c r="L1120" s="9">
        <f t="shared" ca="1" si="49"/>
        <v>9.7480333333333338</v>
      </c>
      <c r="M1120" s="9">
        <f t="shared" ca="1" si="49"/>
        <v>9.7523500000000016</v>
      </c>
      <c r="N1120" s="9">
        <f t="shared" ca="1" si="49"/>
        <v>9.7480333333333338</v>
      </c>
      <c r="O1120" s="9">
        <f t="shared" ca="1" si="49"/>
        <v>9.7523500000000016</v>
      </c>
    </row>
    <row r="1121" spans="1:15" ht="15" x14ac:dyDescent="0.2">
      <c r="A1121" s="10">
        <v>2063</v>
      </c>
      <c r="B1121" s="9">
        <f t="shared" ca="1" si="49"/>
        <v>8.8809083333333341</v>
      </c>
      <c r="C1121" s="9">
        <f t="shared" ca="1" si="49"/>
        <v>8.8809083333333341</v>
      </c>
      <c r="D1121" s="9">
        <f t="shared" ca="1" si="49"/>
        <v>8.8821999999999992</v>
      </c>
      <c r="E1121" s="9">
        <f t="shared" ca="1" si="49"/>
        <v>9.9625916666666665</v>
      </c>
      <c r="F1121" s="9">
        <f t="shared" ca="1" si="49"/>
        <v>9.9625916666666665</v>
      </c>
      <c r="G1121" s="9">
        <f t="shared" ca="1" si="49"/>
        <v>9.9669083333333344</v>
      </c>
      <c r="H1121" s="9">
        <f t="shared" ca="1" si="49"/>
        <v>19.516408333333331</v>
      </c>
      <c r="I1121" s="9">
        <f t="shared" ca="1" si="49"/>
        <v>19.520716666666665</v>
      </c>
      <c r="J1121" s="9">
        <f t="shared" ca="1" si="49"/>
        <v>19.516408333333331</v>
      </c>
      <c r="K1121" s="9">
        <f t="shared" ca="1" si="49"/>
        <v>19.520716666666665</v>
      </c>
      <c r="L1121" s="9">
        <f t="shared" ca="1" si="49"/>
        <v>9.9625916666666665</v>
      </c>
      <c r="M1121" s="9">
        <f t="shared" ca="1" si="49"/>
        <v>9.9669083333333344</v>
      </c>
      <c r="N1121" s="9">
        <f t="shared" ca="1" si="49"/>
        <v>9.9625916666666665</v>
      </c>
      <c r="O1121" s="9">
        <f t="shared" ca="1" si="49"/>
        <v>9.9669083333333344</v>
      </c>
    </row>
    <row r="1122" spans="1:15" ht="15" x14ac:dyDescent="0.2">
      <c r="A1122" s="10">
        <v>2064</v>
      </c>
      <c r="B1122" s="9">
        <f t="shared" ca="1" si="49"/>
        <v>9.0695916666666658</v>
      </c>
      <c r="C1122" s="9">
        <f t="shared" ca="1" si="49"/>
        <v>9.0695916666666658</v>
      </c>
      <c r="D1122" s="9">
        <f t="shared" ca="1" si="49"/>
        <v>9.0708916666666664</v>
      </c>
      <c r="E1122" s="9">
        <f t="shared" ca="1" si="49"/>
        <v>10.177166666666666</v>
      </c>
      <c r="F1122" s="9">
        <f t="shared" ca="1" si="49"/>
        <v>10.177166666666666</v>
      </c>
      <c r="G1122" s="9">
        <f t="shared" ca="1" si="49"/>
        <v>10.181483333333334</v>
      </c>
      <c r="H1122" s="9">
        <f t="shared" ca="1" si="49"/>
        <v>19.975158333333333</v>
      </c>
      <c r="I1122" s="9">
        <f t="shared" ca="1" si="49"/>
        <v>19.979458333333337</v>
      </c>
      <c r="J1122" s="9">
        <f t="shared" ca="1" si="49"/>
        <v>19.975158333333333</v>
      </c>
      <c r="K1122" s="9">
        <f t="shared" ca="1" si="49"/>
        <v>19.979458333333337</v>
      </c>
      <c r="L1122" s="9">
        <f t="shared" ca="1" si="49"/>
        <v>10.177166666666666</v>
      </c>
      <c r="M1122" s="9">
        <f t="shared" ca="1" si="49"/>
        <v>10.181483333333334</v>
      </c>
      <c r="N1122" s="9">
        <f t="shared" ca="1" si="49"/>
        <v>10.177166666666666</v>
      </c>
      <c r="O1122" s="9">
        <f t="shared" ca="1" si="49"/>
        <v>10.181483333333334</v>
      </c>
    </row>
    <row r="1123" spans="1:15" ht="15" x14ac:dyDescent="0.2">
      <c r="A1123" s="10">
        <v>2065</v>
      </c>
      <c r="B1123" s="9">
        <f t="shared" ca="1" si="49"/>
        <v>9.2583083333333338</v>
      </c>
      <c r="C1123" s="9">
        <f t="shared" ca="1" si="49"/>
        <v>9.2583083333333338</v>
      </c>
      <c r="D1123" s="9">
        <f t="shared" ca="1" si="49"/>
        <v>9.2596000000000007</v>
      </c>
      <c r="E1123" s="9">
        <f t="shared" ca="1" si="49"/>
        <v>10.391724999999999</v>
      </c>
      <c r="F1123" s="9">
        <f t="shared" ca="1" si="49"/>
        <v>10.391724999999999</v>
      </c>
      <c r="G1123" s="9">
        <f t="shared" ca="1" si="49"/>
        <v>10.396033333333333</v>
      </c>
      <c r="H1123" s="9">
        <f t="shared" ca="1" si="49"/>
        <v>20.433874999999997</v>
      </c>
      <c r="I1123" s="9">
        <f t="shared" ca="1" si="49"/>
        <v>20.438191666666665</v>
      </c>
      <c r="J1123" s="9">
        <f t="shared" ca="1" si="49"/>
        <v>20.433874999999997</v>
      </c>
      <c r="K1123" s="9">
        <f t="shared" ca="1" si="49"/>
        <v>20.438191666666665</v>
      </c>
      <c r="L1123" s="9">
        <f t="shared" ca="1" si="49"/>
        <v>10.391724999999999</v>
      </c>
      <c r="M1123" s="9">
        <f t="shared" ca="1" si="49"/>
        <v>10.396033333333333</v>
      </c>
      <c r="N1123" s="9">
        <f t="shared" ca="1" si="49"/>
        <v>10.391724999999999</v>
      </c>
      <c r="O1123" s="9">
        <f t="shared" ca="1" si="49"/>
        <v>10.396033333333333</v>
      </c>
    </row>
    <row r="1124" spans="1:15" ht="15" x14ac:dyDescent="0.2">
      <c r="A1124" s="10">
        <v>2066</v>
      </c>
      <c r="B1124" s="9">
        <f t="shared" ca="1" si="49"/>
        <v>9.447000000000001</v>
      </c>
      <c r="C1124" s="9">
        <f t="shared" ca="1" si="49"/>
        <v>9.447000000000001</v>
      </c>
      <c r="D1124" s="9">
        <f t="shared" ca="1" si="49"/>
        <v>9.4483000000000015</v>
      </c>
      <c r="E1124" s="9">
        <f t="shared" ca="1" si="49"/>
        <v>10.606275</v>
      </c>
      <c r="F1124" s="9">
        <f t="shared" ca="1" si="49"/>
        <v>10.606275</v>
      </c>
      <c r="G1124" s="9">
        <f t="shared" ca="1" si="49"/>
        <v>10.610583333333336</v>
      </c>
      <c r="H1124" s="9">
        <f t="shared" ca="1" si="49"/>
        <v>20.892624999999999</v>
      </c>
      <c r="I1124" s="9">
        <f t="shared" ca="1" si="49"/>
        <v>20.896933333333337</v>
      </c>
      <c r="J1124" s="9">
        <f t="shared" ca="1" si="49"/>
        <v>20.892624999999999</v>
      </c>
      <c r="K1124" s="9">
        <f t="shared" ca="1" si="49"/>
        <v>20.896933333333337</v>
      </c>
      <c r="L1124" s="9">
        <f t="shared" ca="1" si="49"/>
        <v>10.606275</v>
      </c>
      <c r="M1124" s="9">
        <f t="shared" ca="1" si="49"/>
        <v>10.610583333333336</v>
      </c>
      <c r="N1124" s="9">
        <f t="shared" ca="1" si="49"/>
        <v>10.606275</v>
      </c>
      <c r="O1124" s="9">
        <f t="shared" ca="1" si="49"/>
        <v>10.610583333333336</v>
      </c>
    </row>
    <row r="1125" spans="1:15" ht="15" x14ac:dyDescent="0.2">
      <c r="A1125" s="10">
        <v>2067</v>
      </c>
      <c r="B1125" s="9">
        <f t="shared" ca="1" si="49"/>
        <v>9.6357083333333335</v>
      </c>
      <c r="C1125" s="9">
        <f t="shared" ca="1" si="49"/>
        <v>9.6357083333333335</v>
      </c>
      <c r="D1125" s="9">
        <f t="shared" ca="1" si="49"/>
        <v>9.6369916666666686</v>
      </c>
      <c r="E1125" s="9">
        <f t="shared" ca="1" si="49"/>
        <v>10.82085</v>
      </c>
      <c r="F1125" s="9">
        <f t="shared" ca="1" si="49"/>
        <v>10.82085</v>
      </c>
      <c r="G1125" s="9">
        <f t="shared" ca="1" si="49"/>
        <v>10.825175000000002</v>
      </c>
      <c r="H1125" s="9">
        <f t="shared" ca="1" si="49"/>
        <v>21.351358333333334</v>
      </c>
      <c r="I1125" s="9">
        <f t="shared" ca="1" si="49"/>
        <v>21.355666666666668</v>
      </c>
      <c r="J1125" s="9">
        <f t="shared" ca="1" si="49"/>
        <v>21.351358333333334</v>
      </c>
      <c r="K1125" s="9">
        <f t="shared" ca="1" si="49"/>
        <v>21.355666666666668</v>
      </c>
      <c r="L1125" s="9">
        <f t="shared" ca="1" si="49"/>
        <v>10.82085</v>
      </c>
      <c r="M1125" s="9">
        <f t="shared" ca="1" si="49"/>
        <v>10.825175000000002</v>
      </c>
      <c r="N1125" s="9">
        <f t="shared" ca="1" si="49"/>
        <v>10.82085</v>
      </c>
      <c r="O1125" s="9">
        <f t="shared" ca="1" si="49"/>
        <v>10.825175000000002</v>
      </c>
    </row>
    <row r="1126" spans="1:15" ht="15" x14ac:dyDescent="0.2">
      <c r="A1126" s="10">
        <v>2068</v>
      </c>
      <c r="B1126" s="9">
        <f t="shared" ca="1" si="49"/>
        <v>9.8244083333333343</v>
      </c>
      <c r="C1126" s="9">
        <f t="shared" ca="1" si="49"/>
        <v>9.8244083333333343</v>
      </c>
      <c r="D1126" s="9">
        <f t="shared" ca="1" si="49"/>
        <v>9.8256916666666658</v>
      </c>
      <c r="E1126" s="9">
        <f t="shared" ca="1" si="49"/>
        <v>11.035424999999998</v>
      </c>
      <c r="F1126" s="9">
        <f t="shared" ca="1" si="49"/>
        <v>11.035424999999998</v>
      </c>
      <c r="G1126" s="9">
        <f t="shared" ca="1" si="49"/>
        <v>11.039733333333333</v>
      </c>
      <c r="H1126" s="9">
        <f t="shared" ca="1" si="49"/>
        <v>21.810083333333335</v>
      </c>
      <c r="I1126" s="9">
        <f t="shared" ca="1" si="49"/>
        <v>21.814399999999996</v>
      </c>
      <c r="J1126" s="9">
        <f t="shared" ca="1" si="49"/>
        <v>21.810083333333335</v>
      </c>
      <c r="K1126" s="9">
        <f t="shared" ca="1" si="49"/>
        <v>21.814399999999996</v>
      </c>
      <c r="L1126" s="9">
        <f t="shared" ca="1" si="49"/>
        <v>11.035424999999998</v>
      </c>
      <c r="M1126" s="9">
        <f t="shared" ca="1" si="49"/>
        <v>11.039733333333333</v>
      </c>
      <c r="N1126" s="9">
        <f t="shared" ca="1" si="49"/>
        <v>11.035424999999998</v>
      </c>
      <c r="O1126" s="9">
        <f t="shared" ca="1" si="49"/>
        <v>11.039733333333333</v>
      </c>
    </row>
    <row r="1127" spans="1:15" ht="15" x14ac:dyDescent="0.2">
      <c r="A1127" s="10">
        <v>2069</v>
      </c>
      <c r="B1127" s="9">
        <f t="shared" ca="1" si="49"/>
        <v>10.013091666666666</v>
      </c>
      <c r="C1127" s="9">
        <f t="shared" ca="1" si="49"/>
        <v>10.013091666666666</v>
      </c>
      <c r="D1127" s="9">
        <f t="shared" ca="1" si="49"/>
        <v>10.014383333333335</v>
      </c>
      <c r="E1127" s="9">
        <f t="shared" ca="1" si="49"/>
        <v>11.249983333333333</v>
      </c>
      <c r="F1127" s="9">
        <f t="shared" ca="1" si="49"/>
        <v>11.249983333333333</v>
      </c>
      <c r="G1127" s="9">
        <f t="shared" ca="1" si="49"/>
        <v>11.254300000000001</v>
      </c>
      <c r="H1127" s="9">
        <f t="shared" ca="1" si="49"/>
        <v>22.268825000000003</v>
      </c>
      <c r="I1127" s="9">
        <f t="shared" ca="1" si="49"/>
        <v>22.273141666666664</v>
      </c>
      <c r="J1127" s="9">
        <f t="shared" ca="1" si="49"/>
        <v>22.268825000000003</v>
      </c>
      <c r="K1127" s="9">
        <f t="shared" ca="1" si="49"/>
        <v>22.273141666666664</v>
      </c>
      <c r="L1127" s="9">
        <f t="shared" ca="1" si="49"/>
        <v>11.249983333333333</v>
      </c>
      <c r="M1127" s="9">
        <f t="shared" ca="1" si="49"/>
        <v>11.254300000000001</v>
      </c>
      <c r="N1127" s="9">
        <f t="shared" ca="1" si="49"/>
        <v>11.249983333333333</v>
      </c>
      <c r="O1127" s="9">
        <f t="shared" ca="1" si="49"/>
        <v>11.254300000000001</v>
      </c>
    </row>
    <row r="1128" spans="1:15" ht="15" x14ac:dyDescent="0.2">
      <c r="A1128" s="10">
        <v>2070</v>
      </c>
      <c r="B1128" s="9">
        <f t="shared" ca="1" si="49"/>
        <v>10.201825000000001</v>
      </c>
      <c r="C1128" s="9">
        <f t="shared" ca="1" si="49"/>
        <v>10.201825000000001</v>
      </c>
      <c r="D1128" s="9">
        <f t="shared" ca="1" si="49"/>
        <v>10.203091666666666</v>
      </c>
      <c r="E1128" s="9">
        <f t="shared" ca="1" si="49"/>
        <v>11.464541666666667</v>
      </c>
      <c r="F1128" s="9">
        <f t="shared" ca="1" si="49"/>
        <v>11.464541666666667</v>
      </c>
      <c r="G1128" s="9">
        <f t="shared" ca="1" si="49"/>
        <v>11.468866666666665</v>
      </c>
      <c r="H1128" s="9">
        <f t="shared" ca="1" si="49"/>
        <v>22.72753333333333</v>
      </c>
      <c r="I1128" s="9">
        <f t="shared" ca="1" si="49"/>
        <v>22.731858333333335</v>
      </c>
      <c r="J1128" s="9">
        <f t="shared" ca="1" si="49"/>
        <v>22.72753333333333</v>
      </c>
      <c r="K1128" s="9">
        <f t="shared" ca="1" si="49"/>
        <v>22.731858333333335</v>
      </c>
      <c r="L1128" s="9">
        <f t="shared" ca="1" si="49"/>
        <v>11.464541666666667</v>
      </c>
      <c r="M1128" s="9">
        <f t="shared" ca="1" si="49"/>
        <v>11.468866666666665</v>
      </c>
      <c r="N1128" s="9">
        <f t="shared" ca="1" si="49"/>
        <v>11.464541666666667</v>
      </c>
      <c r="O1128" s="9">
        <f t="shared" ca="1" si="49"/>
        <v>11.468866666666665</v>
      </c>
    </row>
    <row r="1129" spans="1:15" ht="15" x14ac:dyDescent="0.2">
      <c r="A1129" s="10">
        <v>2071</v>
      </c>
      <c r="B1129" s="9">
        <f t="shared" ca="1" si="49"/>
        <v>10.390508333333333</v>
      </c>
      <c r="C1129" s="9">
        <f t="shared" ca="1" si="49"/>
        <v>10.390508333333333</v>
      </c>
      <c r="D1129" s="9">
        <f t="shared" ca="1" si="49"/>
        <v>10.391791666666666</v>
      </c>
      <c r="E1129" s="9">
        <f t="shared" ca="1" si="49"/>
        <v>11.679108333333334</v>
      </c>
      <c r="F1129" s="9">
        <f t="shared" ca="1" si="49"/>
        <v>11.679108333333334</v>
      </c>
      <c r="G1129" s="9">
        <f t="shared" ca="1" si="49"/>
        <v>11.683416666666668</v>
      </c>
      <c r="H1129" s="9">
        <f t="shared" ca="1" si="49"/>
        <v>23.186299999999999</v>
      </c>
      <c r="I1129" s="9">
        <f t="shared" ca="1" si="49"/>
        <v>23.190600000000003</v>
      </c>
      <c r="J1129" s="9">
        <f t="shared" ca="1" si="49"/>
        <v>23.186299999999999</v>
      </c>
      <c r="K1129" s="9">
        <f t="shared" ca="1" si="49"/>
        <v>23.190600000000003</v>
      </c>
      <c r="L1129" s="9">
        <f t="shared" ca="1" si="49"/>
        <v>11.679108333333334</v>
      </c>
      <c r="M1129" s="9">
        <f t="shared" ca="1" si="49"/>
        <v>11.683416666666668</v>
      </c>
      <c r="N1129" s="9">
        <f t="shared" ca="1" si="49"/>
        <v>11.679108333333334</v>
      </c>
      <c r="O1129" s="9">
        <f t="shared" ca="1" si="49"/>
        <v>11.683416666666668</v>
      </c>
    </row>
    <row r="1130" spans="1:15" ht="15" x14ac:dyDescent="0.2">
      <c r="A1130" s="10">
        <v>2072</v>
      </c>
      <c r="B1130" s="9">
        <f t="shared" ref="B1130:O1139" ca="1" si="50">AVERAGE(OFFSET(B$602,($A1130-$A$1120)*12,0,12,1))</f>
        <v>10.579216666666667</v>
      </c>
      <c r="C1130" s="9">
        <f t="shared" ca="1" si="50"/>
        <v>10.579216666666667</v>
      </c>
      <c r="D1130" s="9">
        <f t="shared" ca="1" si="50"/>
        <v>10.580483333333332</v>
      </c>
      <c r="E1130" s="9">
        <f t="shared" ca="1" si="50"/>
        <v>11.893658333333335</v>
      </c>
      <c r="F1130" s="9">
        <f t="shared" ca="1" si="50"/>
        <v>11.893658333333335</v>
      </c>
      <c r="G1130" s="9">
        <f t="shared" ca="1" si="50"/>
        <v>11.897975000000002</v>
      </c>
      <c r="H1130" s="9">
        <f t="shared" ca="1" si="50"/>
        <v>23.645025</v>
      </c>
      <c r="I1130" s="9">
        <f t="shared" ca="1" si="50"/>
        <v>23.649333333333335</v>
      </c>
      <c r="J1130" s="9">
        <f t="shared" ca="1" si="50"/>
        <v>23.645025</v>
      </c>
      <c r="K1130" s="9">
        <f t="shared" ca="1" si="50"/>
        <v>23.649333333333335</v>
      </c>
      <c r="L1130" s="9">
        <f t="shared" ca="1" si="50"/>
        <v>11.893658333333335</v>
      </c>
      <c r="M1130" s="9">
        <f t="shared" ca="1" si="50"/>
        <v>11.897975000000002</v>
      </c>
      <c r="N1130" s="9">
        <f t="shared" ca="1" si="50"/>
        <v>11.893658333333335</v>
      </c>
      <c r="O1130" s="9">
        <f t="shared" ca="1" si="50"/>
        <v>11.897975000000002</v>
      </c>
    </row>
    <row r="1131" spans="1:15" ht="15" x14ac:dyDescent="0.2">
      <c r="A1131" s="10">
        <v>2073</v>
      </c>
      <c r="B1131" s="9">
        <f t="shared" ca="1" si="50"/>
        <v>10.767916666666666</v>
      </c>
      <c r="C1131" s="9">
        <f t="shared" ca="1" si="50"/>
        <v>10.767916666666666</v>
      </c>
      <c r="D1131" s="9">
        <f t="shared" ca="1" si="50"/>
        <v>10.769191666666666</v>
      </c>
      <c r="E1131" s="9">
        <f t="shared" ca="1" si="50"/>
        <v>12.108233333333333</v>
      </c>
      <c r="F1131" s="9">
        <f t="shared" ca="1" si="50"/>
        <v>12.108233333333333</v>
      </c>
      <c r="G1131" s="9">
        <f t="shared" ca="1" si="50"/>
        <v>12.112566666666666</v>
      </c>
      <c r="H1131" s="9">
        <f t="shared" ca="1" si="50"/>
        <v>24.103775000000002</v>
      </c>
      <c r="I1131" s="9">
        <f t="shared" ca="1" si="50"/>
        <v>24.108099999999997</v>
      </c>
      <c r="J1131" s="9">
        <f t="shared" ca="1" si="50"/>
        <v>24.103775000000002</v>
      </c>
      <c r="K1131" s="9">
        <f t="shared" ca="1" si="50"/>
        <v>24.108099999999997</v>
      </c>
      <c r="L1131" s="9">
        <f t="shared" ca="1" si="50"/>
        <v>12.108233333333333</v>
      </c>
      <c r="M1131" s="9">
        <f t="shared" ca="1" si="50"/>
        <v>12.112566666666666</v>
      </c>
      <c r="N1131" s="9">
        <f t="shared" ca="1" si="50"/>
        <v>12.108233333333333</v>
      </c>
      <c r="O1131" s="9">
        <f t="shared" ca="1" si="50"/>
        <v>12.112566666666666</v>
      </c>
    </row>
    <row r="1132" spans="1:15" ht="15" x14ac:dyDescent="0.2">
      <c r="A1132" s="10">
        <v>2074</v>
      </c>
      <c r="B1132" s="9">
        <f t="shared" ca="1" si="50"/>
        <v>10.956608333333334</v>
      </c>
      <c r="C1132" s="9">
        <f t="shared" ca="1" si="50"/>
        <v>10.956608333333334</v>
      </c>
      <c r="D1132" s="9">
        <f t="shared" ca="1" si="50"/>
        <v>10.9579</v>
      </c>
      <c r="E1132" s="9">
        <f t="shared" ca="1" si="50"/>
        <v>12.322799999999999</v>
      </c>
      <c r="F1132" s="9">
        <f t="shared" ca="1" si="50"/>
        <v>12.322799999999999</v>
      </c>
      <c r="G1132" s="9">
        <f t="shared" ca="1" si="50"/>
        <v>12.327133333333334</v>
      </c>
      <c r="H1132" s="9">
        <f t="shared" ca="1" si="50"/>
        <v>24.5625</v>
      </c>
      <c r="I1132" s="9">
        <f t="shared" ca="1" si="50"/>
        <v>24.566825000000005</v>
      </c>
      <c r="J1132" s="9">
        <f t="shared" ca="1" si="50"/>
        <v>24.5625</v>
      </c>
      <c r="K1132" s="9">
        <f t="shared" ca="1" si="50"/>
        <v>24.566825000000005</v>
      </c>
      <c r="L1132" s="9">
        <f t="shared" ca="1" si="50"/>
        <v>12.322799999999999</v>
      </c>
      <c r="M1132" s="9">
        <f t="shared" ca="1" si="50"/>
        <v>12.327133333333334</v>
      </c>
      <c r="N1132" s="9">
        <f t="shared" ca="1" si="50"/>
        <v>12.322799999999999</v>
      </c>
      <c r="O1132" s="9">
        <f t="shared" ca="1" si="50"/>
        <v>12.327133333333334</v>
      </c>
    </row>
    <row r="1133" spans="1:15" ht="15" x14ac:dyDescent="0.2">
      <c r="A1133" s="10">
        <v>2075</v>
      </c>
      <c r="B1133" s="9">
        <f t="shared" ca="1" si="50"/>
        <v>11.145333333333332</v>
      </c>
      <c r="C1133" s="9">
        <f t="shared" ca="1" si="50"/>
        <v>11.145333333333332</v>
      </c>
      <c r="D1133" s="9">
        <f t="shared" ca="1" si="50"/>
        <v>11.146608333333333</v>
      </c>
      <c r="E1133" s="9">
        <f t="shared" ca="1" si="50"/>
        <v>12.537374999999999</v>
      </c>
      <c r="F1133" s="9">
        <f t="shared" ca="1" si="50"/>
        <v>12.537374999999999</v>
      </c>
      <c r="G1133" s="9">
        <f t="shared" ca="1" si="50"/>
        <v>12.541691666666665</v>
      </c>
      <c r="H1133" s="9">
        <f t="shared" ca="1" si="50"/>
        <v>25.021241666666668</v>
      </c>
      <c r="I1133" s="9">
        <f t="shared" ca="1" si="50"/>
        <v>25.025566666666663</v>
      </c>
      <c r="J1133" s="9">
        <f t="shared" ca="1" si="50"/>
        <v>25.021241666666668</v>
      </c>
      <c r="K1133" s="9">
        <f t="shared" ca="1" si="50"/>
        <v>25.025566666666663</v>
      </c>
      <c r="L1133" s="9">
        <f t="shared" ca="1" si="50"/>
        <v>12.537374999999999</v>
      </c>
      <c r="M1133" s="9">
        <f t="shared" ca="1" si="50"/>
        <v>12.541691666666665</v>
      </c>
      <c r="N1133" s="9">
        <f t="shared" ca="1" si="50"/>
        <v>12.537374999999999</v>
      </c>
      <c r="O1133" s="9">
        <f t="shared" ca="1" si="50"/>
        <v>12.541691666666665</v>
      </c>
    </row>
    <row r="1134" spans="1:15" ht="15" x14ac:dyDescent="0.2">
      <c r="A1134" s="10">
        <v>2076</v>
      </c>
      <c r="B1134" s="9">
        <f t="shared" ca="1" si="50"/>
        <v>11.334016666666665</v>
      </c>
      <c r="C1134" s="9">
        <f t="shared" ca="1" si="50"/>
        <v>11.334016666666665</v>
      </c>
      <c r="D1134" s="9">
        <f t="shared" ca="1" si="50"/>
        <v>11.335308333333332</v>
      </c>
      <c r="E1134" s="9">
        <f t="shared" ca="1" si="50"/>
        <v>12.751941666666667</v>
      </c>
      <c r="F1134" s="9">
        <f t="shared" ca="1" si="50"/>
        <v>12.751941666666667</v>
      </c>
      <c r="G1134" s="9">
        <f t="shared" ca="1" si="50"/>
        <v>12.756258333333333</v>
      </c>
      <c r="H1134" s="9">
        <f t="shared" ca="1" si="50"/>
        <v>25.479983333333333</v>
      </c>
      <c r="I1134" s="9">
        <f t="shared" ca="1" si="50"/>
        <v>25.484300000000001</v>
      </c>
      <c r="J1134" s="9">
        <f t="shared" ca="1" si="50"/>
        <v>25.479983333333333</v>
      </c>
      <c r="K1134" s="9">
        <f t="shared" ca="1" si="50"/>
        <v>25.484300000000001</v>
      </c>
      <c r="L1134" s="9">
        <f t="shared" ca="1" si="50"/>
        <v>12.751941666666667</v>
      </c>
      <c r="M1134" s="9">
        <f t="shared" ca="1" si="50"/>
        <v>12.756258333333333</v>
      </c>
      <c r="N1134" s="9">
        <f t="shared" ca="1" si="50"/>
        <v>12.751941666666667</v>
      </c>
      <c r="O1134" s="9">
        <f t="shared" ca="1" si="50"/>
        <v>12.756258333333333</v>
      </c>
    </row>
    <row r="1135" spans="1:15" ht="15" x14ac:dyDescent="0.2">
      <c r="A1135" s="10">
        <v>2077</v>
      </c>
      <c r="B1135" s="9">
        <f t="shared" ca="1" si="50"/>
        <v>11.522716666666668</v>
      </c>
      <c r="C1135" s="9">
        <f t="shared" ca="1" si="50"/>
        <v>11.522716666666668</v>
      </c>
      <c r="D1135" s="9">
        <f t="shared" ca="1" si="50"/>
        <v>11.523991666666666</v>
      </c>
      <c r="E1135" s="9">
        <f t="shared" ca="1" si="50"/>
        <v>12.966499999999998</v>
      </c>
      <c r="F1135" s="9">
        <f t="shared" ca="1" si="50"/>
        <v>12.966499999999998</v>
      </c>
      <c r="G1135" s="9">
        <f t="shared" ca="1" si="50"/>
        <v>12.970808333333332</v>
      </c>
      <c r="H1135" s="9">
        <f t="shared" ca="1" si="50"/>
        <v>25.938749999999999</v>
      </c>
      <c r="I1135" s="9">
        <f t="shared" ca="1" si="50"/>
        <v>25.943058333333337</v>
      </c>
      <c r="J1135" s="9">
        <f t="shared" ca="1" si="50"/>
        <v>25.938749999999999</v>
      </c>
      <c r="K1135" s="9">
        <f t="shared" ca="1" si="50"/>
        <v>25.943058333333337</v>
      </c>
      <c r="L1135" s="9">
        <f t="shared" ca="1" si="50"/>
        <v>12.966499999999998</v>
      </c>
      <c r="M1135" s="9">
        <f t="shared" ca="1" si="50"/>
        <v>12.970808333333332</v>
      </c>
      <c r="N1135" s="9">
        <f t="shared" ca="1" si="50"/>
        <v>12.966499999999998</v>
      </c>
      <c r="O1135" s="9">
        <f t="shared" ca="1" si="50"/>
        <v>12.970808333333332</v>
      </c>
    </row>
    <row r="1136" spans="1:15" ht="15" x14ac:dyDescent="0.2">
      <c r="A1136" s="10">
        <v>2078</v>
      </c>
      <c r="B1136" s="9">
        <f t="shared" ca="1" si="50"/>
        <v>11.711416666666667</v>
      </c>
      <c r="C1136" s="9">
        <f t="shared" ca="1" si="50"/>
        <v>11.711416666666667</v>
      </c>
      <c r="D1136" s="9">
        <f t="shared" ca="1" si="50"/>
        <v>11.712716666666667</v>
      </c>
      <c r="E1136" s="9">
        <f t="shared" ca="1" si="50"/>
        <v>13.181066666666664</v>
      </c>
      <c r="F1136" s="9">
        <f t="shared" ca="1" si="50"/>
        <v>13.181066666666664</v>
      </c>
      <c r="G1136" s="9">
        <f t="shared" ca="1" si="50"/>
        <v>13.185383333333334</v>
      </c>
      <c r="H1136" s="9">
        <f t="shared" ca="1" si="50"/>
        <v>26.397475</v>
      </c>
      <c r="I1136" s="9">
        <f t="shared" ca="1" si="50"/>
        <v>26.401783333333331</v>
      </c>
      <c r="J1136" s="9">
        <f t="shared" ca="1" si="50"/>
        <v>26.397475</v>
      </c>
      <c r="K1136" s="9">
        <f t="shared" ca="1" si="50"/>
        <v>26.401783333333331</v>
      </c>
      <c r="L1136" s="9">
        <f t="shared" ca="1" si="50"/>
        <v>13.181066666666664</v>
      </c>
      <c r="M1136" s="9">
        <f t="shared" ca="1" si="50"/>
        <v>13.185383333333334</v>
      </c>
      <c r="N1136" s="9">
        <f t="shared" ca="1" si="50"/>
        <v>13.181066666666664</v>
      </c>
      <c r="O1136" s="9">
        <f t="shared" ca="1" si="50"/>
        <v>13.185383333333334</v>
      </c>
    </row>
    <row r="1137" spans="1:15" ht="15" x14ac:dyDescent="0.2">
      <c r="A1137" s="10">
        <v>2079</v>
      </c>
      <c r="B1137" s="9">
        <f t="shared" ca="1" si="50"/>
        <v>11.900108333333334</v>
      </c>
      <c r="C1137" s="9">
        <f t="shared" ca="1" si="50"/>
        <v>11.900108333333334</v>
      </c>
      <c r="D1137" s="9">
        <f t="shared" ca="1" si="50"/>
        <v>11.901408333333334</v>
      </c>
      <c r="E1137" s="9">
        <f t="shared" ca="1" si="50"/>
        <v>13.395650000000002</v>
      </c>
      <c r="F1137" s="9">
        <f t="shared" ca="1" si="50"/>
        <v>13.395650000000002</v>
      </c>
      <c r="G1137" s="9">
        <f t="shared" ca="1" si="50"/>
        <v>13.399958333333336</v>
      </c>
      <c r="H1137" s="9">
        <f t="shared" ca="1" si="50"/>
        <v>26.856208333333331</v>
      </c>
      <c r="I1137" s="9">
        <f t="shared" ca="1" si="50"/>
        <v>26.860533333333333</v>
      </c>
      <c r="J1137" s="9">
        <f t="shared" ca="1" si="50"/>
        <v>26.856208333333331</v>
      </c>
      <c r="K1137" s="9">
        <f t="shared" ca="1" si="50"/>
        <v>26.860533333333333</v>
      </c>
      <c r="L1137" s="9">
        <f t="shared" ca="1" si="50"/>
        <v>13.395650000000002</v>
      </c>
      <c r="M1137" s="9">
        <f t="shared" ca="1" si="50"/>
        <v>13.399958333333336</v>
      </c>
      <c r="N1137" s="9">
        <f t="shared" ca="1" si="50"/>
        <v>13.395650000000002</v>
      </c>
      <c r="O1137" s="9">
        <f t="shared" ca="1" si="50"/>
        <v>13.399958333333336</v>
      </c>
    </row>
    <row r="1138" spans="1:15" ht="15" x14ac:dyDescent="0.2">
      <c r="A1138" s="10">
        <v>2080</v>
      </c>
      <c r="B1138" s="9">
        <f t="shared" ca="1" si="50"/>
        <v>12.088825</v>
      </c>
      <c r="C1138" s="9">
        <f t="shared" ca="1" si="50"/>
        <v>12.088825</v>
      </c>
      <c r="D1138" s="9">
        <f t="shared" ca="1" si="50"/>
        <v>12.090108333333333</v>
      </c>
      <c r="E1138" s="9">
        <f t="shared" ca="1" si="50"/>
        <v>13.610216666666666</v>
      </c>
      <c r="F1138" s="9">
        <f t="shared" ca="1" si="50"/>
        <v>13.610216666666666</v>
      </c>
      <c r="G1138" s="9">
        <f t="shared" ca="1" si="50"/>
        <v>13.614524999999999</v>
      </c>
      <c r="H1138" s="9">
        <f t="shared" ca="1" si="50"/>
        <v>27.314933333333329</v>
      </c>
      <c r="I1138" s="9">
        <f t="shared" ca="1" si="50"/>
        <v>27.319249999999997</v>
      </c>
      <c r="J1138" s="9">
        <f t="shared" ca="1" si="50"/>
        <v>27.314933333333329</v>
      </c>
      <c r="K1138" s="9">
        <f t="shared" ca="1" si="50"/>
        <v>27.319249999999997</v>
      </c>
      <c r="L1138" s="9">
        <f t="shared" ca="1" si="50"/>
        <v>13.610216666666666</v>
      </c>
      <c r="M1138" s="9">
        <f t="shared" ca="1" si="50"/>
        <v>13.614524999999999</v>
      </c>
      <c r="N1138" s="9">
        <f t="shared" ca="1" si="50"/>
        <v>13.610216666666666</v>
      </c>
      <c r="O1138" s="9">
        <f t="shared" ca="1" si="50"/>
        <v>13.614524999999999</v>
      </c>
    </row>
    <row r="1139" spans="1:15" ht="15" x14ac:dyDescent="0.2">
      <c r="A1139" s="10">
        <v>2081</v>
      </c>
      <c r="B1139" s="9">
        <f t="shared" ca="1" si="50"/>
        <v>12.277508333333332</v>
      </c>
      <c r="C1139" s="9">
        <f t="shared" ca="1" si="50"/>
        <v>12.277508333333332</v>
      </c>
      <c r="D1139" s="9">
        <f t="shared" ca="1" si="50"/>
        <v>12.278808333333332</v>
      </c>
      <c r="E1139" s="9">
        <f t="shared" ca="1" si="50"/>
        <v>13.824775000000001</v>
      </c>
      <c r="F1139" s="9">
        <f t="shared" ca="1" si="50"/>
        <v>13.824775000000001</v>
      </c>
      <c r="G1139" s="9">
        <f t="shared" ca="1" si="50"/>
        <v>13.829083333333331</v>
      </c>
      <c r="H1139" s="9">
        <f t="shared" ca="1" si="50"/>
        <v>27.773683333333334</v>
      </c>
      <c r="I1139" s="9">
        <f t="shared" ca="1" si="50"/>
        <v>27.777999999999995</v>
      </c>
      <c r="J1139" s="9">
        <f t="shared" ca="1" si="50"/>
        <v>27.773683333333334</v>
      </c>
      <c r="K1139" s="9">
        <f t="shared" ca="1" si="50"/>
        <v>27.777999999999995</v>
      </c>
      <c r="L1139" s="9">
        <f t="shared" ca="1" si="50"/>
        <v>13.824775000000001</v>
      </c>
      <c r="M1139" s="9">
        <f t="shared" ca="1" si="50"/>
        <v>13.829083333333331</v>
      </c>
      <c r="N1139" s="9">
        <f t="shared" ca="1" si="50"/>
        <v>13.824775000000001</v>
      </c>
      <c r="O1139" s="9">
        <f t="shared" ca="1" si="50"/>
        <v>13.829083333333331</v>
      </c>
    </row>
    <row r="1140" spans="1:15" ht="15" x14ac:dyDescent="0.2">
      <c r="A1140" s="10">
        <v>2082</v>
      </c>
      <c r="B1140" s="9">
        <f t="shared" ref="B1140:O1149" ca="1" si="51">AVERAGE(OFFSET(B$602,($A1140-$A$1120)*12,0,12,1))</f>
        <v>12.466233333333333</v>
      </c>
      <c r="C1140" s="9">
        <f t="shared" ca="1" si="51"/>
        <v>12.466233333333333</v>
      </c>
      <c r="D1140" s="9">
        <f t="shared" ca="1" si="51"/>
        <v>12.467500000000001</v>
      </c>
      <c r="E1140" s="9">
        <f t="shared" ca="1" si="51"/>
        <v>14.039341666666667</v>
      </c>
      <c r="F1140" s="9">
        <f t="shared" ca="1" si="51"/>
        <v>14.039341666666667</v>
      </c>
      <c r="G1140" s="9">
        <f t="shared" ca="1" si="51"/>
        <v>14.043658333333333</v>
      </c>
      <c r="H1140" s="9">
        <f t="shared" ca="1" si="51"/>
        <v>28.232424999999996</v>
      </c>
      <c r="I1140" s="9">
        <f t="shared" ca="1" si="51"/>
        <v>28.236733333333333</v>
      </c>
      <c r="J1140" s="9">
        <f t="shared" ca="1" si="51"/>
        <v>28.232424999999996</v>
      </c>
      <c r="K1140" s="9">
        <f t="shared" ca="1" si="51"/>
        <v>28.236733333333333</v>
      </c>
      <c r="L1140" s="9">
        <f t="shared" ca="1" si="51"/>
        <v>14.039341666666667</v>
      </c>
      <c r="M1140" s="9">
        <f t="shared" ca="1" si="51"/>
        <v>14.043658333333333</v>
      </c>
      <c r="N1140" s="9">
        <f t="shared" ca="1" si="51"/>
        <v>14.039341666666667</v>
      </c>
      <c r="O1140" s="9">
        <f t="shared" ca="1" si="51"/>
        <v>14.043658333333333</v>
      </c>
    </row>
    <row r="1141" spans="1:15" ht="15" x14ac:dyDescent="0.2">
      <c r="A1141" s="10">
        <v>2083</v>
      </c>
      <c r="B1141" s="9">
        <f t="shared" ca="1" si="51"/>
        <v>12.654925</v>
      </c>
      <c r="C1141" s="9">
        <f t="shared" ca="1" si="51"/>
        <v>12.654925</v>
      </c>
      <c r="D1141" s="9">
        <f t="shared" ca="1" si="51"/>
        <v>12.656216666666666</v>
      </c>
      <c r="E1141" s="9">
        <f t="shared" ca="1" si="51"/>
        <v>14.253891666666668</v>
      </c>
      <c r="F1141" s="9">
        <f t="shared" ca="1" si="51"/>
        <v>14.253891666666668</v>
      </c>
      <c r="G1141" s="9">
        <f t="shared" ca="1" si="51"/>
        <v>14.258208333333334</v>
      </c>
      <c r="H1141" s="9">
        <f t="shared" ca="1" si="51"/>
        <v>28.691166666666664</v>
      </c>
      <c r="I1141" s="9">
        <f t="shared" ca="1" si="51"/>
        <v>28.695474999999998</v>
      </c>
      <c r="J1141" s="9">
        <f t="shared" ca="1" si="51"/>
        <v>28.691166666666664</v>
      </c>
      <c r="K1141" s="9">
        <f t="shared" ca="1" si="51"/>
        <v>28.695474999999998</v>
      </c>
      <c r="L1141" s="9">
        <f t="shared" ca="1" si="51"/>
        <v>14.253891666666668</v>
      </c>
      <c r="M1141" s="9">
        <f t="shared" ca="1" si="51"/>
        <v>14.258208333333334</v>
      </c>
      <c r="N1141" s="9">
        <f t="shared" ca="1" si="51"/>
        <v>14.253891666666668</v>
      </c>
      <c r="O1141" s="9">
        <f t="shared" ca="1" si="51"/>
        <v>14.258208333333334</v>
      </c>
    </row>
    <row r="1142" spans="1:15" ht="15" x14ac:dyDescent="0.2">
      <c r="A1142" s="10">
        <v>2084</v>
      </c>
      <c r="B1142" s="9">
        <f t="shared" ca="1" si="51"/>
        <v>12.843616666666664</v>
      </c>
      <c r="C1142" s="9">
        <f t="shared" ca="1" si="51"/>
        <v>12.843616666666664</v>
      </c>
      <c r="D1142" s="9">
        <f t="shared" ca="1" si="51"/>
        <v>12.844900000000001</v>
      </c>
      <c r="E1142" s="9">
        <f t="shared" ca="1" si="51"/>
        <v>14.468458333333331</v>
      </c>
      <c r="F1142" s="9">
        <f t="shared" ca="1" si="51"/>
        <v>14.468458333333331</v>
      </c>
      <c r="G1142" s="9">
        <f t="shared" ca="1" si="51"/>
        <v>14.47278333333333</v>
      </c>
      <c r="H1142" s="9">
        <f t="shared" ca="1" si="51"/>
        <v>29.149891666666662</v>
      </c>
      <c r="I1142" s="9">
        <f t="shared" ca="1" si="51"/>
        <v>29.154208333333333</v>
      </c>
      <c r="J1142" s="9">
        <f t="shared" ca="1" si="51"/>
        <v>29.149891666666662</v>
      </c>
      <c r="K1142" s="9">
        <f t="shared" ca="1" si="51"/>
        <v>29.154208333333333</v>
      </c>
      <c r="L1142" s="9">
        <f t="shared" ca="1" si="51"/>
        <v>14.468458333333331</v>
      </c>
      <c r="M1142" s="9">
        <f t="shared" ca="1" si="51"/>
        <v>14.47278333333333</v>
      </c>
      <c r="N1142" s="9">
        <f t="shared" ca="1" si="51"/>
        <v>14.468458333333331</v>
      </c>
      <c r="O1142" s="9">
        <f t="shared" ca="1" si="51"/>
        <v>14.47278333333333</v>
      </c>
    </row>
    <row r="1143" spans="1:15" ht="15" x14ac:dyDescent="0.2">
      <c r="A1143" s="10">
        <v>2085</v>
      </c>
      <c r="B1143" s="9">
        <f t="shared" ca="1" si="51"/>
        <v>13.032333333333334</v>
      </c>
      <c r="C1143" s="9">
        <f t="shared" ca="1" si="51"/>
        <v>13.032333333333334</v>
      </c>
      <c r="D1143" s="9">
        <f t="shared" ca="1" si="51"/>
        <v>13.0336</v>
      </c>
      <c r="E1143" s="9">
        <f t="shared" ca="1" si="51"/>
        <v>14.683025000000001</v>
      </c>
      <c r="F1143" s="9">
        <f t="shared" ca="1" si="51"/>
        <v>14.683025000000001</v>
      </c>
      <c r="G1143" s="9">
        <f t="shared" ca="1" si="51"/>
        <v>14.68734166666667</v>
      </c>
      <c r="H1143" s="9">
        <f t="shared" ca="1" si="51"/>
        <v>29.60863333333333</v>
      </c>
      <c r="I1143" s="9">
        <f t="shared" ca="1" si="51"/>
        <v>29.612941666666668</v>
      </c>
      <c r="J1143" s="9">
        <f t="shared" ca="1" si="51"/>
        <v>29.60863333333333</v>
      </c>
      <c r="K1143" s="9">
        <f t="shared" ca="1" si="51"/>
        <v>29.612941666666668</v>
      </c>
      <c r="L1143" s="9">
        <f t="shared" ca="1" si="51"/>
        <v>14.683025000000001</v>
      </c>
      <c r="M1143" s="9">
        <f t="shared" ca="1" si="51"/>
        <v>14.68734166666667</v>
      </c>
      <c r="N1143" s="9">
        <f t="shared" ca="1" si="51"/>
        <v>14.683025000000001</v>
      </c>
      <c r="O1143" s="9">
        <f t="shared" ca="1" si="51"/>
        <v>14.68734166666667</v>
      </c>
    </row>
    <row r="1144" spans="1:15" ht="15" x14ac:dyDescent="0.2">
      <c r="A1144" s="10">
        <v>2086</v>
      </c>
      <c r="B1144" s="9">
        <f t="shared" ca="1" si="51"/>
        <v>13.221025000000003</v>
      </c>
      <c r="C1144" s="9">
        <f t="shared" ca="1" si="51"/>
        <v>13.221025000000003</v>
      </c>
      <c r="D1144" s="9">
        <f t="shared" ca="1" si="51"/>
        <v>13.22231666666667</v>
      </c>
      <c r="E1144" s="9">
        <f t="shared" ca="1" si="51"/>
        <v>14.897599999999999</v>
      </c>
      <c r="F1144" s="9">
        <f t="shared" ca="1" si="51"/>
        <v>14.897599999999999</v>
      </c>
      <c r="G1144" s="9">
        <f t="shared" ca="1" si="51"/>
        <v>14.90191666666667</v>
      </c>
      <c r="H1144" s="9">
        <f t="shared" ca="1" si="51"/>
        <v>30.067366666666668</v>
      </c>
      <c r="I1144" s="9">
        <f t="shared" ca="1" si="51"/>
        <v>30.071674999999995</v>
      </c>
      <c r="J1144" s="9">
        <f t="shared" ca="1" si="51"/>
        <v>30.067366666666668</v>
      </c>
      <c r="K1144" s="9">
        <f t="shared" ca="1" si="51"/>
        <v>30.071674999999995</v>
      </c>
      <c r="L1144" s="9">
        <f t="shared" ca="1" si="51"/>
        <v>14.897599999999999</v>
      </c>
      <c r="M1144" s="9">
        <f t="shared" ca="1" si="51"/>
        <v>14.90191666666667</v>
      </c>
      <c r="N1144" s="9">
        <f t="shared" ca="1" si="51"/>
        <v>14.897599999999999</v>
      </c>
      <c r="O1144" s="9">
        <f t="shared" ca="1" si="51"/>
        <v>14.90191666666667</v>
      </c>
    </row>
    <row r="1145" spans="1:15" ht="15" x14ac:dyDescent="0.2">
      <c r="A1145" s="10">
        <v>2087</v>
      </c>
      <c r="B1145" s="9">
        <f t="shared" ca="1" si="51"/>
        <v>13.409750000000003</v>
      </c>
      <c r="C1145" s="9">
        <f t="shared" ca="1" si="51"/>
        <v>13.409750000000003</v>
      </c>
      <c r="D1145" s="9">
        <f t="shared" ca="1" si="51"/>
        <v>13.41100833333333</v>
      </c>
      <c r="E1145" s="9">
        <f t="shared" ca="1" si="51"/>
        <v>15.112158333333335</v>
      </c>
      <c r="F1145" s="9">
        <f t="shared" ca="1" si="51"/>
        <v>15.112158333333335</v>
      </c>
      <c r="G1145" s="9">
        <f t="shared" ca="1" si="51"/>
        <v>15.116474999999999</v>
      </c>
      <c r="H1145" s="9">
        <f t="shared" ca="1" si="51"/>
        <v>30.526116666666667</v>
      </c>
      <c r="I1145" s="9">
        <f t="shared" ca="1" si="51"/>
        <v>30.530424999999994</v>
      </c>
      <c r="J1145" s="9">
        <f t="shared" ca="1" si="51"/>
        <v>30.526116666666667</v>
      </c>
      <c r="K1145" s="9">
        <f t="shared" ca="1" si="51"/>
        <v>30.530424999999994</v>
      </c>
      <c r="L1145" s="9">
        <f t="shared" ca="1" si="51"/>
        <v>15.112158333333335</v>
      </c>
      <c r="M1145" s="9">
        <f t="shared" ca="1" si="51"/>
        <v>15.116474999999999</v>
      </c>
      <c r="N1145" s="9">
        <f t="shared" ca="1" si="51"/>
        <v>15.112158333333335</v>
      </c>
      <c r="O1145" s="9">
        <f t="shared" ca="1" si="51"/>
        <v>15.116474999999999</v>
      </c>
    </row>
    <row r="1146" spans="1:15" ht="15" x14ac:dyDescent="0.2">
      <c r="A1146" s="10">
        <v>2088</v>
      </c>
      <c r="B1146" s="9">
        <f t="shared" ca="1" si="51"/>
        <v>13.598433333333332</v>
      </c>
      <c r="C1146" s="9">
        <f t="shared" ca="1" si="51"/>
        <v>13.598433333333332</v>
      </c>
      <c r="D1146" s="9">
        <f t="shared" ca="1" si="51"/>
        <v>13.599724999999999</v>
      </c>
      <c r="E1146" s="9">
        <f t="shared" ca="1" si="51"/>
        <v>15.326716666666664</v>
      </c>
      <c r="F1146" s="9">
        <f t="shared" ca="1" si="51"/>
        <v>15.326716666666664</v>
      </c>
      <c r="G1146" s="9">
        <f t="shared" ca="1" si="51"/>
        <v>15.331025000000002</v>
      </c>
      <c r="H1146" s="9">
        <f t="shared" ca="1" si="51"/>
        <v>30.984849999999994</v>
      </c>
      <c r="I1146" s="9">
        <f t="shared" ca="1" si="51"/>
        <v>30.989166666666666</v>
      </c>
      <c r="J1146" s="9">
        <f t="shared" ca="1" si="51"/>
        <v>30.984849999999994</v>
      </c>
      <c r="K1146" s="9">
        <f t="shared" ca="1" si="51"/>
        <v>30.989166666666666</v>
      </c>
      <c r="L1146" s="9">
        <f t="shared" ca="1" si="51"/>
        <v>15.326716666666664</v>
      </c>
      <c r="M1146" s="9">
        <f t="shared" ca="1" si="51"/>
        <v>15.331025000000002</v>
      </c>
      <c r="N1146" s="9">
        <f t="shared" ca="1" si="51"/>
        <v>15.326716666666664</v>
      </c>
      <c r="O1146" s="9">
        <f t="shared" ca="1" si="51"/>
        <v>15.331025000000002</v>
      </c>
    </row>
    <row r="1147" spans="1:15" ht="15" x14ac:dyDescent="0.2">
      <c r="A1147" s="10">
        <v>2089</v>
      </c>
      <c r="B1147" s="9">
        <f t="shared" ca="1" si="51"/>
        <v>13.787141666666669</v>
      </c>
      <c r="C1147" s="9">
        <f t="shared" ca="1" si="51"/>
        <v>13.787141666666669</v>
      </c>
      <c r="D1147" s="9">
        <f t="shared" ca="1" si="51"/>
        <v>13.788400000000001</v>
      </c>
      <c r="E1147" s="9">
        <f t="shared" ca="1" si="51"/>
        <v>15.541283333333332</v>
      </c>
      <c r="F1147" s="9">
        <f t="shared" ca="1" si="51"/>
        <v>15.541283333333332</v>
      </c>
      <c r="G1147" s="9">
        <f t="shared" ca="1" si="51"/>
        <v>15.5456</v>
      </c>
      <c r="H1147" s="9">
        <f t="shared" ca="1" si="51"/>
        <v>31.443583333333336</v>
      </c>
      <c r="I1147" s="9">
        <f t="shared" ca="1" si="51"/>
        <v>31.447908333333341</v>
      </c>
      <c r="J1147" s="9">
        <f t="shared" ca="1" si="51"/>
        <v>31.443583333333336</v>
      </c>
      <c r="K1147" s="9">
        <f t="shared" ca="1" si="51"/>
        <v>31.447908333333341</v>
      </c>
      <c r="L1147" s="9">
        <f t="shared" ca="1" si="51"/>
        <v>15.541283333333332</v>
      </c>
      <c r="M1147" s="9">
        <f t="shared" ca="1" si="51"/>
        <v>15.5456</v>
      </c>
      <c r="N1147" s="9">
        <f t="shared" ca="1" si="51"/>
        <v>15.541283333333332</v>
      </c>
      <c r="O1147" s="9">
        <f t="shared" ca="1" si="51"/>
        <v>15.5456</v>
      </c>
    </row>
    <row r="1148" spans="1:15" ht="15" x14ac:dyDescent="0.2">
      <c r="A1148" s="10">
        <v>2090</v>
      </c>
      <c r="B1148" s="9">
        <f t="shared" ca="1" si="51"/>
        <v>13.975841666666668</v>
      </c>
      <c r="C1148" s="9">
        <f t="shared" ca="1" si="51"/>
        <v>13.975841666666668</v>
      </c>
      <c r="D1148" s="9">
        <f t="shared" ca="1" si="51"/>
        <v>13.977124999999996</v>
      </c>
      <c r="E1148" s="9">
        <f t="shared" ca="1" si="51"/>
        <v>15.755858333333334</v>
      </c>
      <c r="F1148" s="9">
        <f t="shared" ca="1" si="51"/>
        <v>15.755858333333334</v>
      </c>
      <c r="G1148" s="9">
        <f t="shared" ca="1" si="51"/>
        <v>15.760166666666663</v>
      </c>
      <c r="H1148" s="9">
        <f t="shared" ca="1" si="51"/>
        <v>31.902308333333337</v>
      </c>
      <c r="I1148" s="9">
        <f t="shared" ca="1" si="51"/>
        <v>31.906633333333335</v>
      </c>
      <c r="J1148" s="9">
        <f t="shared" ca="1" si="51"/>
        <v>31.902308333333337</v>
      </c>
      <c r="K1148" s="9">
        <f t="shared" ca="1" si="51"/>
        <v>31.906633333333335</v>
      </c>
      <c r="L1148" s="9">
        <f t="shared" ca="1" si="51"/>
        <v>15.755858333333334</v>
      </c>
      <c r="M1148" s="9">
        <f t="shared" ca="1" si="51"/>
        <v>15.760166666666663</v>
      </c>
      <c r="N1148" s="9">
        <f t="shared" ca="1" si="51"/>
        <v>15.755858333333334</v>
      </c>
      <c r="O1148" s="9">
        <f t="shared" ca="1" si="51"/>
        <v>15.760166666666663</v>
      </c>
    </row>
    <row r="1149" spans="1:15" ht="15" x14ac:dyDescent="0.2">
      <c r="A1149" s="10">
        <v>2091</v>
      </c>
      <c r="B1149" s="9">
        <f t="shared" ca="1" si="51"/>
        <v>14.164533333333333</v>
      </c>
      <c r="C1149" s="9">
        <f t="shared" ca="1" si="51"/>
        <v>14.164533333333333</v>
      </c>
      <c r="D1149" s="9">
        <f t="shared" ca="1" si="51"/>
        <v>14.165816666666665</v>
      </c>
      <c r="E1149" s="9">
        <f t="shared" ca="1" si="51"/>
        <v>15.970408333333333</v>
      </c>
      <c r="F1149" s="9">
        <f t="shared" ca="1" si="51"/>
        <v>15.970408333333333</v>
      </c>
      <c r="G1149" s="9">
        <f t="shared" ca="1" si="51"/>
        <v>15.974724999999999</v>
      </c>
      <c r="H1149" s="9">
        <f t="shared" ca="1" si="51"/>
        <v>32.361066666666666</v>
      </c>
      <c r="I1149" s="9">
        <f t="shared" ca="1" si="51"/>
        <v>32.365366666666667</v>
      </c>
      <c r="J1149" s="9">
        <f t="shared" ca="1" si="51"/>
        <v>32.361066666666666</v>
      </c>
      <c r="K1149" s="9">
        <f t="shared" ca="1" si="51"/>
        <v>32.365366666666667</v>
      </c>
      <c r="L1149" s="9">
        <f t="shared" ca="1" si="51"/>
        <v>15.970408333333333</v>
      </c>
      <c r="M1149" s="9">
        <f t="shared" ca="1" si="51"/>
        <v>15.974724999999999</v>
      </c>
      <c r="N1149" s="9">
        <f t="shared" ca="1" si="51"/>
        <v>15.970408333333333</v>
      </c>
      <c r="O1149" s="9">
        <f t="shared" ca="1" si="51"/>
        <v>15.974724999999999</v>
      </c>
    </row>
    <row r="1150" spans="1:15" ht="15" x14ac:dyDescent="0.2">
      <c r="A1150" s="10">
        <v>2092</v>
      </c>
      <c r="B1150" s="9">
        <f t="shared" ref="B1150:O1158" ca="1" si="52">AVERAGE(OFFSET(B$602,($A1150-$A$1120)*12,0,12,1))</f>
        <v>14.353250000000001</v>
      </c>
      <c r="C1150" s="9">
        <f t="shared" ca="1" si="52"/>
        <v>14.353250000000001</v>
      </c>
      <c r="D1150" s="9">
        <f t="shared" ca="1" si="52"/>
        <v>14.354508333333333</v>
      </c>
      <c r="E1150" s="9">
        <f t="shared" ca="1" si="52"/>
        <v>16.184991666666665</v>
      </c>
      <c r="F1150" s="9">
        <f t="shared" ca="1" si="52"/>
        <v>16.184991666666665</v>
      </c>
      <c r="G1150" s="9">
        <f t="shared" ca="1" si="52"/>
        <v>16.189299999999999</v>
      </c>
      <c r="H1150" s="9">
        <f t="shared" ca="1" si="52"/>
        <v>32.819791666666667</v>
      </c>
      <c r="I1150" s="9">
        <f t="shared" ca="1" si="52"/>
        <v>32.824100000000001</v>
      </c>
      <c r="J1150" s="9">
        <f t="shared" ca="1" si="52"/>
        <v>32.819791666666667</v>
      </c>
      <c r="K1150" s="9">
        <f t="shared" ca="1" si="52"/>
        <v>32.824100000000001</v>
      </c>
      <c r="L1150" s="9">
        <f t="shared" ca="1" si="52"/>
        <v>16.184991666666665</v>
      </c>
      <c r="M1150" s="9">
        <f t="shared" ca="1" si="52"/>
        <v>16.189299999999999</v>
      </c>
      <c r="N1150" s="9">
        <f t="shared" ca="1" si="52"/>
        <v>16.184991666666665</v>
      </c>
      <c r="O1150" s="9">
        <f t="shared" ca="1" si="52"/>
        <v>16.189299999999999</v>
      </c>
    </row>
    <row r="1151" spans="1:15" ht="15" x14ac:dyDescent="0.2">
      <c r="A1151" s="10">
        <v>2093</v>
      </c>
      <c r="B1151" s="9">
        <f t="shared" ca="1" si="52"/>
        <v>14.541925000000001</v>
      </c>
      <c r="C1151" s="9">
        <f t="shared" ca="1" si="52"/>
        <v>14.541925000000001</v>
      </c>
      <c r="D1151" s="9">
        <f t="shared" ca="1" si="52"/>
        <v>14.543216666666666</v>
      </c>
      <c r="E1151" s="9">
        <f t="shared" ca="1" si="52"/>
        <v>16.399541666666668</v>
      </c>
      <c r="F1151" s="9">
        <f t="shared" ca="1" si="52"/>
        <v>16.399541666666668</v>
      </c>
      <c r="G1151" s="9">
        <f t="shared" ca="1" si="52"/>
        <v>16.403849999999995</v>
      </c>
      <c r="H1151" s="9">
        <f t="shared" ca="1" si="52"/>
        <v>33.278541666666669</v>
      </c>
      <c r="I1151" s="9">
        <f t="shared" ca="1" si="52"/>
        <v>33.282850000000003</v>
      </c>
      <c r="J1151" s="9">
        <f t="shared" ca="1" si="52"/>
        <v>33.278541666666669</v>
      </c>
      <c r="K1151" s="9">
        <f t="shared" ca="1" si="52"/>
        <v>33.282850000000003</v>
      </c>
      <c r="L1151" s="9">
        <f t="shared" ca="1" si="52"/>
        <v>16.399541666666668</v>
      </c>
      <c r="M1151" s="9">
        <f t="shared" ca="1" si="52"/>
        <v>16.403849999999995</v>
      </c>
      <c r="N1151" s="9">
        <f t="shared" ca="1" si="52"/>
        <v>16.399541666666668</v>
      </c>
      <c r="O1151" s="9">
        <f t="shared" ca="1" si="52"/>
        <v>16.403849999999995</v>
      </c>
    </row>
    <row r="1152" spans="1:15" ht="15" x14ac:dyDescent="0.2">
      <c r="A1152" s="10">
        <v>2094</v>
      </c>
      <c r="B1152" s="9">
        <f t="shared" ca="1" si="52"/>
        <v>14.730650000000002</v>
      </c>
      <c r="C1152" s="9">
        <f t="shared" ca="1" si="52"/>
        <v>14.730650000000002</v>
      </c>
      <c r="D1152" s="9">
        <f t="shared" ca="1" si="52"/>
        <v>14.731908333333331</v>
      </c>
      <c r="E1152" s="9">
        <f t="shared" ca="1" si="52"/>
        <v>16.614100000000004</v>
      </c>
      <c r="F1152" s="9">
        <f t="shared" ca="1" si="52"/>
        <v>16.614100000000004</v>
      </c>
      <c r="G1152" s="9">
        <f t="shared" ca="1" si="52"/>
        <v>16.618416666666665</v>
      </c>
      <c r="H1152" s="9">
        <f t="shared" ca="1" si="52"/>
        <v>33.737250000000003</v>
      </c>
      <c r="I1152" s="9">
        <f t="shared" ca="1" si="52"/>
        <v>33.741575000000005</v>
      </c>
      <c r="J1152" s="9">
        <f t="shared" ca="1" si="52"/>
        <v>33.737250000000003</v>
      </c>
      <c r="K1152" s="9">
        <f t="shared" ca="1" si="52"/>
        <v>33.741575000000005</v>
      </c>
      <c r="L1152" s="9">
        <f t="shared" ca="1" si="52"/>
        <v>16.614100000000004</v>
      </c>
      <c r="M1152" s="9">
        <f t="shared" ca="1" si="52"/>
        <v>16.618416666666665</v>
      </c>
      <c r="N1152" s="9">
        <f t="shared" ca="1" si="52"/>
        <v>16.614100000000004</v>
      </c>
      <c r="O1152" s="9">
        <f t="shared" ca="1" si="52"/>
        <v>16.618416666666665</v>
      </c>
    </row>
    <row r="1153" spans="1:15" ht="15" x14ac:dyDescent="0.2">
      <c r="A1153" s="10">
        <v>2095</v>
      </c>
      <c r="B1153" s="9">
        <f t="shared" ca="1" si="52"/>
        <v>14.919341666666666</v>
      </c>
      <c r="C1153" s="9">
        <f t="shared" ca="1" si="52"/>
        <v>14.919341666666666</v>
      </c>
      <c r="D1153" s="9">
        <f t="shared" ca="1" si="52"/>
        <v>14.920624999999999</v>
      </c>
      <c r="E1153" s="9">
        <f t="shared" ca="1" si="52"/>
        <v>16.828675</v>
      </c>
      <c r="F1153" s="9">
        <f t="shared" ca="1" si="52"/>
        <v>16.828675</v>
      </c>
      <c r="G1153" s="9">
        <f t="shared" ca="1" si="52"/>
        <v>16.832991666666665</v>
      </c>
      <c r="H1153" s="9">
        <f t="shared" ca="1" si="52"/>
        <v>34.196000000000005</v>
      </c>
      <c r="I1153" s="9">
        <f t="shared" ca="1" si="52"/>
        <v>34.200324999999999</v>
      </c>
      <c r="J1153" s="9">
        <f t="shared" ca="1" si="52"/>
        <v>34.196000000000005</v>
      </c>
      <c r="K1153" s="9">
        <f t="shared" ca="1" si="52"/>
        <v>34.200324999999999</v>
      </c>
      <c r="L1153" s="9">
        <f t="shared" ca="1" si="52"/>
        <v>16.828675</v>
      </c>
      <c r="M1153" s="9">
        <f t="shared" ca="1" si="52"/>
        <v>16.832991666666665</v>
      </c>
      <c r="N1153" s="9">
        <f t="shared" ca="1" si="52"/>
        <v>16.828675</v>
      </c>
      <c r="O1153" s="9">
        <f t="shared" ca="1" si="52"/>
        <v>16.832991666666665</v>
      </c>
    </row>
    <row r="1154" spans="1:15" ht="15" x14ac:dyDescent="0.2">
      <c r="A1154" s="10">
        <v>2096</v>
      </c>
      <c r="B1154" s="9">
        <f t="shared" ca="1" si="52"/>
        <v>15.108033333333333</v>
      </c>
      <c r="C1154" s="9">
        <f t="shared" ca="1" si="52"/>
        <v>15.108033333333333</v>
      </c>
      <c r="D1154" s="9">
        <f t="shared" ca="1" si="52"/>
        <v>15.109316666666665</v>
      </c>
      <c r="E1154" s="9">
        <f t="shared" ca="1" si="52"/>
        <v>17.043241666666667</v>
      </c>
      <c r="F1154" s="9">
        <f t="shared" ca="1" si="52"/>
        <v>17.043241666666667</v>
      </c>
      <c r="G1154" s="9">
        <f t="shared" ca="1" si="52"/>
        <v>17.047558333333335</v>
      </c>
      <c r="H1154" s="9">
        <f t="shared" ca="1" si="52"/>
        <v>34.654724999999992</v>
      </c>
      <c r="I1154" s="9">
        <f t="shared" ca="1" si="52"/>
        <v>34.659050000000001</v>
      </c>
      <c r="J1154" s="9">
        <f t="shared" ca="1" si="52"/>
        <v>34.654724999999992</v>
      </c>
      <c r="K1154" s="9">
        <f t="shared" ca="1" si="52"/>
        <v>34.659050000000001</v>
      </c>
      <c r="L1154" s="9">
        <f t="shared" ca="1" si="52"/>
        <v>17.043241666666667</v>
      </c>
      <c r="M1154" s="9">
        <f t="shared" ca="1" si="52"/>
        <v>17.047558333333335</v>
      </c>
      <c r="N1154" s="9">
        <f t="shared" ca="1" si="52"/>
        <v>17.043241666666667</v>
      </c>
      <c r="O1154" s="9">
        <f t="shared" ca="1" si="52"/>
        <v>17.047558333333335</v>
      </c>
    </row>
    <row r="1155" spans="1:15" ht="15" x14ac:dyDescent="0.2">
      <c r="A1155" s="10">
        <v>2097</v>
      </c>
      <c r="B1155" s="9">
        <f t="shared" ca="1" si="52"/>
        <v>15.296750000000001</v>
      </c>
      <c r="C1155" s="9">
        <f t="shared" ca="1" si="52"/>
        <v>15.296750000000001</v>
      </c>
      <c r="D1155" s="9">
        <f t="shared" ca="1" si="52"/>
        <v>15.298008333333334</v>
      </c>
      <c r="E1155" s="9">
        <f t="shared" ca="1" si="52"/>
        <v>17.2578</v>
      </c>
      <c r="F1155" s="9">
        <f t="shared" ca="1" si="52"/>
        <v>17.2578</v>
      </c>
      <c r="G1155" s="9">
        <f t="shared" ca="1" si="52"/>
        <v>17.262116666666664</v>
      </c>
      <c r="H1155" s="9">
        <f t="shared" ca="1" si="52"/>
        <v>35.113491666666668</v>
      </c>
      <c r="I1155" s="9">
        <f t="shared" ca="1" si="52"/>
        <v>35.117791666666669</v>
      </c>
      <c r="J1155" s="9">
        <f t="shared" ca="1" si="52"/>
        <v>35.113491666666668</v>
      </c>
      <c r="K1155" s="9">
        <f t="shared" ca="1" si="52"/>
        <v>35.117791666666669</v>
      </c>
      <c r="L1155" s="9">
        <f t="shared" ca="1" si="52"/>
        <v>17.2578</v>
      </c>
      <c r="M1155" s="9">
        <f t="shared" ca="1" si="52"/>
        <v>17.262116666666664</v>
      </c>
      <c r="N1155" s="9">
        <f t="shared" ca="1" si="52"/>
        <v>17.2578</v>
      </c>
      <c r="O1155" s="9">
        <f t="shared" ca="1" si="52"/>
        <v>17.262116666666664</v>
      </c>
    </row>
    <row r="1156" spans="1:15" ht="15" x14ac:dyDescent="0.2">
      <c r="A1156" s="10">
        <v>2098</v>
      </c>
      <c r="B1156" s="9">
        <f t="shared" ca="1" si="52"/>
        <v>15.485433333333333</v>
      </c>
      <c r="C1156" s="9">
        <f t="shared" ca="1" si="52"/>
        <v>15.485433333333333</v>
      </c>
      <c r="D1156" s="9">
        <f t="shared" ca="1" si="52"/>
        <v>15.486733333333333</v>
      </c>
      <c r="E1156" s="9">
        <f t="shared" ca="1" si="52"/>
        <v>17.472383333333333</v>
      </c>
      <c r="F1156" s="9">
        <f t="shared" ca="1" si="52"/>
        <v>17.472383333333333</v>
      </c>
      <c r="G1156" s="9">
        <f t="shared" ca="1" si="52"/>
        <v>17.476700000000001</v>
      </c>
      <c r="H1156" s="9">
        <f t="shared" ca="1" si="52"/>
        <v>35.572208333333336</v>
      </c>
      <c r="I1156" s="9">
        <f t="shared" ca="1" si="52"/>
        <v>35.576524999999997</v>
      </c>
      <c r="J1156" s="9">
        <f t="shared" ca="1" si="52"/>
        <v>35.572208333333336</v>
      </c>
      <c r="K1156" s="9">
        <f t="shared" ca="1" si="52"/>
        <v>35.576524999999997</v>
      </c>
      <c r="L1156" s="9">
        <f t="shared" ca="1" si="52"/>
        <v>17.472383333333333</v>
      </c>
      <c r="M1156" s="9">
        <f t="shared" ca="1" si="52"/>
        <v>17.476700000000001</v>
      </c>
      <c r="N1156" s="9">
        <f t="shared" ca="1" si="52"/>
        <v>17.472383333333333</v>
      </c>
      <c r="O1156" s="9">
        <f t="shared" ca="1" si="52"/>
        <v>17.476700000000001</v>
      </c>
    </row>
    <row r="1157" spans="1:15" ht="15" x14ac:dyDescent="0.2">
      <c r="A1157" s="10">
        <v>2099</v>
      </c>
      <c r="B1157" s="9">
        <f t="shared" ca="1" si="52"/>
        <v>15.674149999999999</v>
      </c>
      <c r="C1157" s="9">
        <f t="shared" ca="1" si="52"/>
        <v>15.674149999999999</v>
      </c>
      <c r="D1157" s="9">
        <f t="shared" ca="1" si="52"/>
        <v>15.675425000000002</v>
      </c>
      <c r="E1157" s="9">
        <f t="shared" ca="1" si="52"/>
        <v>17.686933333333332</v>
      </c>
      <c r="F1157" s="9">
        <f t="shared" ca="1" si="52"/>
        <v>17.686933333333332</v>
      </c>
      <c r="G1157" s="9">
        <f t="shared" ca="1" si="52"/>
        <v>17.691258333333334</v>
      </c>
      <c r="H1157" s="9">
        <f t="shared" ca="1" si="52"/>
        <v>36.030949999999997</v>
      </c>
      <c r="I1157" s="9">
        <f t="shared" ca="1" si="52"/>
        <v>36.035266666666665</v>
      </c>
      <c r="J1157" s="9">
        <f t="shared" ca="1" si="52"/>
        <v>36.030949999999997</v>
      </c>
      <c r="K1157" s="9">
        <f t="shared" ca="1" si="52"/>
        <v>36.035266666666665</v>
      </c>
      <c r="L1157" s="9">
        <f t="shared" ca="1" si="52"/>
        <v>17.686933333333332</v>
      </c>
      <c r="M1157" s="9">
        <f t="shared" ca="1" si="52"/>
        <v>17.691258333333334</v>
      </c>
      <c r="N1157" s="9">
        <f t="shared" ca="1" si="52"/>
        <v>17.686933333333332</v>
      </c>
      <c r="O1157" s="9">
        <f t="shared" ca="1" si="52"/>
        <v>17.691258333333334</v>
      </c>
    </row>
    <row r="1158" spans="1:15" ht="15" x14ac:dyDescent="0.2">
      <c r="A1158" s="10">
        <v>2100</v>
      </c>
      <c r="B1158" s="9">
        <f t="shared" ca="1" si="52"/>
        <v>15.862841666666663</v>
      </c>
      <c r="C1158" s="9">
        <f t="shared" ca="1" si="52"/>
        <v>15.862841666666663</v>
      </c>
      <c r="D1158" s="9">
        <f t="shared" ca="1" si="52"/>
        <v>15.864133333333335</v>
      </c>
      <c r="E1158" s="9">
        <f t="shared" ca="1" si="52"/>
        <v>17.901491666666669</v>
      </c>
      <c r="F1158" s="9">
        <f t="shared" ca="1" si="52"/>
        <v>17.901491666666669</v>
      </c>
      <c r="G1158" s="9">
        <f t="shared" ca="1" si="52"/>
        <v>17.905808333333329</v>
      </c>
      <c r="H1158" s="9">
        <f t="shared" ca="1" si="52"/>
        <v>36.489683333333332</v>
      </c>
      <c r="I1158" s="9">
        <f t="shared" ca="1" si="52"/>
        <v>36.493991666666666</v>
      </c>
      <c r="J1158" s="9">
        <f t="shared" ca="1" si="52"/>
        <v>36.489683333333332</v>
      </c>
      <c r="K1158" s="9">
        <f t="shared" ca="1" si="52"/>
        <v>36.493991666666666</v>
      </c>
      <c r="L1158" s="9">
        <f t="shared" ca="1" si="52"/>
        <v>17.901491666666669</v>
      </c>
      <c r="M1158" s="9">
        <f t="shared" ca="1" si="52"/>
        <v>17.905808333333329</v>
      </c>
      <c r="N1158" s="9">
        <f t="shared" ca="1" si="52"/>
        <v>17.901491666666669</v>
      </c>
      <c r="O1158" s="9">
        <f t="shared" ca="1" si="52"/>
        <v>17.905808333333329</v>
      </c>
    </row>
  </sheetData>
  <mergeCells count="7">
    <mergeCell ref="B10:D10"/>
    <mergeCell ref="P10:Q10"/>
    <mergeCell ref="R10:S10"/>
    <mergeCell ref="P9:S9"/>
    <mergeCell ref="E10:G10"/>
    <mergeCell ref="H10:K10"/>
    <mergeCell ref="L10:O10"/>
  </mergeCells>
  <pageMargins left="0.25" right="0.25" top="0.5" bottom="0.5" header="0.25" footer="0.25"/>
  <pageSetup paperSize="17" scale="60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locked="0" defaultSize="0" autoLine="0" autoPict="0">
                <anchor moveWithCells="1">
                  <from>
                    <xdr:col>5</xdr:col>
                    <xdr:colOff>371475</xdr:colOff>
                    <xdr:row>7</xdr:row>
                    <xdr:rowOff>38100</xdr:rowOff>
                  </from>
                  <to>
                    <xdr:col>6</xdr:col>
                    <xdr:colOff>381000</xdr:colOff>
                    <xdr:row>8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Q1176"/>
  <sheetViews>
    <sheetView zoomScale="70" zoomScaleNormal="70" workbookViewId="0">
      <pane xSplit="1" ySplit="11" topLeftCell="B12" activePane="bottomRight" state="frozen"/>
      <selection activeCell="A7" sqref="A7"/>
      <selection pane="topRight" activeCell="A7" sqref="A7"/>
      <selection pane="bottomLeft" activeCell="A7" sqref="A7"/>
      <selection pane="bottomRight" activeCell="B12" sqref="B12"/>
    </sheetView>
  </sheetViews>
  <sheetFormatPr defaultColWidth="7.109375" defaultRowHeight="12.75" x14ac:dyDescent="0.2"/>
  <cols>
    <col min="1" max="1" width="19.77734375" style="31" customWidth="1"/>
    <col min="2" max="4" width="16.109375" style="31" customWidth="1"/>
    <col min="5" max="5" width="21" style="31" customWidth="1"/>
    <col min="6" max="9" width="16.109375" style="31" customWidth="1"/>
    <col min="10" max="10" width="12.33203125" style="8" customWidth="1"/>
    <col min="11" max="11" width="10.77734375" style="8" customWidth="1"/>
    <col min="12" max="12" width="11.6640625" style="8" customWidth="1"/>
    <col min="13" max="16384" width="7.109375" style="8"/>
  </cols>
  <sheetData>
    <row r="1" spans="1:17" ht="15.75" x14ac:dyDescent="0.25">
      <c r="A1" s="107" t="s">
        <v>91</v>
      </c>
    </row>
    <row r="2" spans="1:17" ht="15.75" x14ac:dyDescent="0.25">
      <c r="A2" s="107" t="s">
        <v>92</v>
      </c>
    </row>
    <row r="3" spans="1:17" ht="15.75" x14ac:dyDescent="0.25">
      <c r="A3" s="107" t="s">
        <v>93</v>
      </c>
    </row>
    <row r="4" spans="1:17" ht="15.75" x14ac:dyDescent="0.25">
      <c r="A4" s="107" t="s">
        <v>94</v>
      </c>
    </row>
    <row r="5" spans="1:17" ht="15.75" x14ac:dyDescent="0.25">
      <c r="A5" s="107" t="s">
        <v>96</v>
      </c>
    </row>
    <row r="6" spans="1:17" ht="15.75" x14ac:dyDescent="0.25">
      <c r="A6" s="107" t="s">
        <v>98</v>
      </c>
    </row>
    <row r="8" spans="1:17" ht="15.75" x14ac:dyDescent="0.25">
      <c r="A8" s="43" t="s">
        <v>27</v>
      </c>
      <c r="B8" s="8"/>
      <c r="C8" s="8"/>
      <c r="D8" s="8"/>
      <c r="E8" s="8"/>
      <c r="F8" s="8"/>
      <c r="G8" s="8"/>
      <c r="H8" s="8"/>
      <c r="I8" s="8"/>
    </row>
    <row r="9" spans="1:17" ht="15.75" x14ac:dyDescent="0.25">
      <c r="A9" s="43"/>
      <c r="B9" s="42"/>
      <c r="C9" s="41" t="s">
        <v>25</v>
      </c>
      <c r="D9" s="40">
        <f>1-0.273</f>
        <v>0.72699999999999998</v>
      </c>
      <c r="E9" s="41" t="s">
        <v>24</v>
      </c>
      <c r="F9" s="40">
        <f>1+0.273</f>
        <v>1.2730000000000001</v>
      </c>
      <c r="G9" s="8"/>
      <c r="H9" s="8"/>
      <c r="I9" s="8"/>
    </row>
    <row r="10" spans="1:17" s="36" customFormat="1" ht="21" customHeight="1" x14ac:dyDescent="0.25">
      <c r="B10" s="37" t="s">
        <v>37</v>
      </c>
      <c r="C10" s="37" t="s">
        <v>36</v>
      </c>
      <c r="D10" s="37" t="s">
        <v>35</v>
      </c>
      <c r="E10" s="39" t="s">
        <v>34</v>
      </c>
      <c r="F10" s="37" t="s">
        <v>33</v>
      </c>
      <c r="G10" s="39" t="s">
        <v>32</v>
      </c>
      <c r="H10" s="39" t="s">
        <v>31</v>
      </c>
      <c r="I10" s="37" t="s">
        <v>30</v>
      </c>
      <c r="J10" s="37" t="s">
        <v>29</v>
      </c>
      <c r="K10" s="37" t="s">
        <v>28</v>
      </c>
      <c r="L10" s="37"/>
    </row>
    <row r="11" spans="1:17" s="36" customFormat="1" ht="19.5" customHeight="1" x14ac:dyDescent="0.25">
      <c r="A11" s="38" t="s">
        <v>15</v>
      </c>
      <c r="B11" s="37" t="s">
        <v>14</v>
      </c>
      <c r="C11" s="37" t="s">
        <v>14</v>
      </c>
      <c r="D11" s="37" t="s">
        <v>14</v>
      </c>
      <c r="E11" s="37" t="s">
        <v>14</v>
      </c>
      <c r="F11" s="37" t="s">
        <v>14</v>
      </c>
      <c r="G11" s="37" t="s">
        <v>14</v>
      </c>
      <c r="H11" s="37" t="s">
        <v>14</v>
      </c>
      <c r="I11" s="37" t="s">
        <v>14</v>
      </c>
      <c r="J11" s="37" t="s">
        <v>14</v>
      </c>
      <c r="K11" s="37" t="s">
        <v>14</v>
      </c>
      <c r="L11" s="37"/>
    </row>
    <row r="12" spans="1:17" ht="15" x14ac:dyDescent="0.2">
      <c r="A12" s="13">
        <v>41275</v>
      </c>
      <c r="B12" s="14">
        <v>24.537438554750199</v>
      </c>
      <c r="C12" s="14">
        <v>24.1051915564654</v>
      </c>
      <c r="D12" s="14">
        <v>24.1051915564654</v>
      </c>
      <c r="E12" s="14">
        <v>23.9685330658994</v>
      </c>
      <c r="F12" s="14">
        <v>23.9685330658994</v>
      </c>
      <c r="G12" s="14">
        <v>24.239908537597501</v>
      </c>
      <c r="H12" s="14">
        <v>24.1051915564654</v>
      </c>
      <c r="I12" s="14">
        <v>24.1051915564654</v>
      </c>
      <c r="J12" s="14">
        <v>23.744985724561499</v>
      </c>
      <c r="K12" s="14">
        <v>24.1051915564654</v>
      </c>
      <c r="L12" s="14"/>
      <c r="M12" s="35"/>
      <c r="N12" s="35"/>
      <c r="O12" s="35"/>
      <c r="P12" s="35"/>
      <c r="Q12" s="35"/>
    </row>
    <row r="13" spans="1:17" ht="15" x14ac:dyDescent="0.2">
      <c r="A13" s="13">
        <v>41306</v>
      </c>
      <c r="B13" s="14">
        <v>25.612662092624401</v>
      </c>
      <c r="C13" s="14">
        <v>25.180415094339601</v>
      </c>
      <c r="D13" s="14">
        <v>25.180415094339601</v>
      </c>
      <c r="E13" s="14">
        <v>25.043756603773598</v>
      </c>
      <c r="F13" s="14">
        <v>25.043756603773598</v>
      </c>
      <c r="G13" s="14">
        <v>25.315132075471698</v>
      </c>
      <c r="H13" s="14">
        <v>25.180415094339601</v>
      </c>
      <c r="I13" s="14">
        <v>25.180415094339601</v>
      </c>
      <c r="J13" s="14">
        <v>24.8202092624357</v>
      </c>
      <c r="K13" s="14">
        <v>25.180415094339601</v>
      </c>
      <c r="L13" s="14"/>
      <c r="M13" s="35"/>
      <c r="N13" s="35"/>
      <c r="O13" s="35"/>
      <c r="P13" s="35"/>
      <c r="Q13" s="35"/>
    </row>
    <row r="14" spans="1:17" ht="15" x14ac:dyDescent="0.2">
      <c r="A14" s="13">
        <v>41334</v>
      </c>
      <c r="B14" s="14">
        <v>23.994085486637498</v>
      </c>
      <c r="C14" s="14">
        <v>23.561838488352802</v>
      </c>
      <c r="D14" s="14">
        <v>23.561838488352802</v>
      </c>
      <c r="E14" s="14">
        <v>23.425179997786799</v>
      </c>
      <c r="F14" s="14">
        <v>23.425179997786799</v>
      </c>
      <c r="G14" s="14">
        <v>23.696555469484899</v>
      </c>
      <c r="H14" s="14">
        <v>23.561838488352802</v>
      </c>
      <c r="I14" s="14">
        <v>23.561838488352802</v>
      </c>
      <c r="J14" s="14">
        <v>23.201632656448801</v>
      </c>
      <c r="K14" s="14">
        <v>23.561838488352802</v>
      </c>
      <c r="L14" s="14"/>
      <c r="M14" s="35"/>
      <c r="N14" s="35"/>
      <c r="O14" s="35"/>
      <c r="P14" s="35"/>
      <c r="Q14" s="35"/>
    </row>
    <row r="15" spans="1:17" ht="15" x14ac:dyDescent="0.2">
      <c r="A15" s="13">
        <v>41365</v>
      </c>
      <c r="B15" s="14">
        <v>22.9189005145798</v>
      </c>
      <c r="C15" s="14">
        <v>22.486653516295</v>
      </c>
      <c r="D15" s="14">
        <v>22.486653516295</v>
      </c>
      <c r="E15" s="14">
        <v>22.349995025729001</v>
      </c>
      <c r="F15" s="14">
        <v>22.349995025729001</v>
      </c>
      <c r="G15" s="14">
        <v>22.621370497427101</v>
      </c>
      <c r="H15" s="14">
        <v>22.486653516295</v>
      </c>
      <c r="I15" s="14">
        <v>22.486653516295</v>
      </c>
      <c r="J15" s="14">
        <v>22.126447684391099</v>
      </c>
      <c r="K15" s="14">
        <v>22.486653516295</v>
      </c>
      <c r="L15" s="14"/>
      <c r="M15" s="35"/>
      <c r="N15" s="35"/>
      <c r="O15" s="35"/>
      <c r="P15" s="35"/>
      <c r="Q15" s="35"/>
    </row>
    <row r="16" spans="1:17" ht="15" x14ac:dyDescent="0.2">
      <c r="A16" s="13">
        <v>41395</v>
      </c>
      <c r="B16" s="14">
        <v>22.8476548995739</v>
      </c>
      <c r="C16" s="14">
        <v>22.4154079012892</v>
      </c>
      <c r="D16" s="14">
        <v>22.4154079012892</v>
      </c>
      <c r="E16" s="14">
        <v>22.278749410723201</v>
      </c>
      <c r="F16" s="14">
        <v>22.278749410723201</v>
      </c>
      <c r="G16" s="14">
        <v>22.550124882421301</v>
      </c>
      <c r="H16" s="14">
        <v>22.4154079012892</v>
      </c>
      <c r="I16" s="14">
        <v>22.4154079012892</v>
      </c>
      <c r="J16" s="14">
        <v>22.055202069385299</v>
      </c>
      <c r="K16" s="14">
        <v>22.4154079012892</v>
      </c>
      <c r="L16" s="14"/>
      <c r="M16" s="35"/>
      <c r="N16" s="35"/>
      <c r="O16" s="35"/>
      <c r="P16" s="35"/>
      <c r="Q16" s="35"/>
    </row>
    <row r="17" spans="1:17" ht="15" x14ac:dyDescent="0.2">
      <c r="A17" s="13">
        <v>41426</v>
      </c>
      <c r="B17" s="14">
        <v>22.7692229845626</v>
      </c>
      <c r="C17" s="14">
        <v>22.336975986277899</v>
      </c>
      <c r="D17" s="14">
        <v>22.336975986277899</v>
      </c>
      <c r="E17" s="14">
        <v>22.200317495711801</v>
      </c>
      <c r="F17" s="14">
        <v>22.200317495711801</v>
      </c>
      <c r="G17" s="14">
        <v>22.471692967409901</v>
      </c>
      <c r="H17" s="14">
        <v>22.336975986277899</v>
      </c>
      <c r="I17" s="14">
        <v>22.336975986277899</v>
      </c>
      <c r="J17" s="14">
        <v>21.976770154373899</v>
      </c>
      <c r="K17" s="14">
        <v>22.336975986277899</v>
      </c>
      <c r="L17" s="14"/>
      <c r="M17" s="35"/>
      <c r="N17" s="35"/>
      <c r="O17" s="35"/>
      <c r="P17" s="35"/>
      <c r="Q17" s="35"/>
    </row>
    <row r="18" spans="1:17" ht="15" x14ac:dyDescent="0.2">
      <c r="A18" s="13">
        <v>41456</v>
      </c>
      <c r="B18" s="14">
        <v>23.7831210645715</v>
      </c>
      <c r="C18" s="14">
        <v>23.3508740662867</v>
      </c>
      <c r="D18" s="14">
        <v>23.3508740662867</v>
      </c>
      <c r="E18" s="14">
        <v>23.214215575720701</v>
      </c>
      <c r="F18" s="14">
        <v>23.214215575720701</v>
      </c>
      <c r="G18" s="14">
        <v>23.485591047418801</v>
      </c>
      <c r="H18" s="14">
        <v>23.3508740662867</v>
      </c>
      <c r="I18" s="14">
        <v>23.3508740662867</v>
      </c>
      <c r="J18" s="14">
        <v>22.990668234382799</v>
      </c>
      <c r="K18" s="14">
        <v>23.3508740662867</v>
      </c>
      <c r="L18" s="14"/>
      <c r="M18" s="35"/>
      <c r="N18" s="35"/>
      <c r="O18" s="35"/>
      <c r="P18" s="35"/>
      <c r="Q18" s="35"/>
    </row>
    <row r="19" spans="1:17" ht="15" x14ac:dyDescent="0.2">
      <c r="A19" s="13">
        <v>41487</v>
      </c>
      <c r="B19" s="14">
        <v>24.206792840148299</v>
      </c>
      <c r="C19" s="14">
        <v>23.7745458418635</v>
      </c>
      <c r="D19" s="14">
        <v>23.7745458418635</v>
      </c>
      <c r="E19" s="14">
        <v>23.637887351297501</v>
      </c>
      <c r="F19" s="14">
        <v>23.637887351297501</v>
      </c>
      <c r="G19" s="14">
        <v>23.909262822995601</v>
      </c>
      <c r="H19" s="14">
        <v>23.7745458418635</v>
      </c>
      <c r="I19" s="14">
        <v>23.7745458418635</v>
      </c>
      <c r="J19" s="14">
        <v>23.414340009959599</v>
      </c>
      <c r="K19" s="14">
        <v>23.7745458418635</v>
      </c>
      <c r="L19" s="14"/>
      <c r="M19" s="35"/>
      <c r="N19" s="35"/>
      <c r="O19" s="35"/>
      <c r="P19" s="35"/>
      <c r="Q19" s="35"/>
    </row>
    <row r="20" spans="1:17" ht="15" x14ac:dyDescent="0.2">
      <c r="A20" s="13">
        <v>41518</v>
      </c>
      <c r="B20" s="14">
        <v>24.283552315608901</v>
      </c>
      <c r="C20" s="14">
        <v>23.851305317324201</v>
      </c>
      <c r="D20" s="14">
        <v>23.851305317324201</v>
      </c>
      <c r="E20" s="14">
        <v>23.714646826758099</v>
      </c>
      <c r="F20" s="14">
        <v>23.714646826758099</v>
      </c>
      <c r="G20" s="14">
        <v>23.986022298456302</v>
      </c>
      <c r="H20" s="14">
        <v>23.851305317324201</v>
      </c>
      <c r="I20" s="14">
        <v>23.851305317324201</v>
      </c>
      <c r="J20" s="14">
        <v>23.4910994854202</v>
      </c>
      <c r="K20" s="14">
        <v>23.851305317324201</v>
      </c>
      <c r="L20" s="14"/>
      <c r="M20" s="35"/>
      <c r="N20" s="35"/>
      <c r="O20" s="35"/>
      <c r="P20" s="35"/>
      <c r="Q20" s="35"/>
    </row>
    <row r="21" spans="1:17" ht="15" x14ac:dyDescent="0.2">
      <c r="A21" s="13">
        <v>41548</v>
      </c>
      <c r="B21" s="14">
        <v>23.887713550600299</v>
      </c>
      <c r="C21" s="14">
        <v>23.455466552315599</v>
      </c>
      <c r="D21" s="14">
        <v>23.455466552315599</v>
      </c>
      <c r="E21" s="14">
        <v>23.3188080617496</v>
      </c>
      <c r="F21" s="14">
        <v>23.3188080617496</v>
      </c>
      <c r="G21" s="14">
        <v>23.5901835334477</v>
      </c>
      <c r="H21" s="14">
        <v>23.455466552315599</v>
      </c>
      <c r="I21" s="14">
        <v>23.455466552315599</v>
      </c>
      <c r="J21" s="14">
        <v>23.095260720411702</v>
      </c>
      <c r="K21" s="14">
        <v>23.455466552315599</v>
      </c>
      <c r="L21" s="14"/>
      <c r="M21" s="35"/>
      <c r="N21" s="35"/>
      <c r="O21" s="35"/>
      <c r="P21" s="35"/>
      <c r="Q21" s="35"/>
    </row>
    <row r="22" spans="1:17" ht="15" x14ac:dyDescent="0.2">
      <c r="A22" s="13">
        <v>41579</v>
      </c>
      <c r="B22" s="14">
        <f>23.9717 * CHOOSE(CONTROL!$C$9, $D$9, 100%, $F$9) + CHOOSE(CONTROL!$C$27, 0.0021, 0)</f>
        <v>23.973799999999997</v>
      </c>
      <c r="C22" s="14">
        <f>23.5395 * CHOOSE(CONTROL!$C$9, $D$9, 100%, $F$9) + CHOOSE(CONTROL!$C$27, 0.0021, 0)</f>
        <v>23.541599999999999</v>
      </c>
      <c r="D22" s="14">
        <f>23.5395 * CHOOSE(CONTROL!$C$9, $D$9, 100%, $F$9) + CHOOSE(CONTROL!$C$27, 0.0021, 0)</f>
        <v>23.541599999999999</v>
      </c>
      <c r="E22" s="14">
        <f>23.4028 * CHOOSE(CONTROL!$C$9, $D$9, 100%, $F$9) + CHOOSE(CONTROL!$C$27, 0.0021, 0)</f>
        <v>23.404899999999998</v>
      </c>
      <c r="F22" s="14">
        <f>23.4028 * CHOOSE(CONTROL!$C$9, $D$9, 100%, $F$9) + CHOOSE(CONTROL!$C$27, 0.0021, 0)</f>
        <v>23.404899999999998</v>
      </c>
      <c r="G22" s="14">
        <f>23.6742 * CHOOSE(CONTROL!$C$9, $D$9, 100%, $F$9) + CHOOSE(CONTROL!$C$27, 0.0021, 0)</f>
        <v>23.676299999999998</v>
      </c>
      <c r="H22" s="14">
        <f>23.5395 * CHOOSE(CONTROL!$C$9, $D$9, 100%, $F$9) + CHOOSE(CONTROL!$C$27, 0.0021, 0)</f>
        <v>23.541599999999999</v>
      </c>
      <c r="I22" s="14">
        <f>23.5395 * CHOOSE(CONTROL!$C$9, $D$9, 100%, $F$9) + CHOOSE(CONTROL!$C$27, 0.0021, 0)</f>
        <v>23.541599999999999</v>
      </c>
      <c r="J22" s="14">
        <f>23.1792 * CHOOSE(CONTROL!$C$9, $D$9, 100%, $F$9) + CHOOSE(CONTROL!$C$27, 0.0021, 0)</f>
        <v>23.1813</v>
      </c>
      <c r="K22" s="14">
        <f>23.5395 * CHOOSE(CONTROL!$C$9, $D$9, 100%, $F$9) + CHOOSE(CONTROL!$C$27, 0.0021, 0)</f>
        <v>23.541599999999999</v>
      </c>
      <c r="L22" s="14"/>
      <c r="M22" s="35"/>
      <c r="N22" s="35"/>
      <c r="O22" s="35"/>
      <c r="P22" s="35"/>
      <c r="Q22" s="35"/>
    </row>
    <row r="23" spans="1:17" ht="15" x14ac:dyDescent="0.2">
      <c r="A23" s="13">
        <v>41609</v>
      </c>
      <c r="B23" s="14">
        <f>23.9414 * CHOOSE(CONTROL!$C$9, $D$9, 100%, $F$9) + CHOOSE(CONTROL!$C$27, 0.0021, 0)</f>
        <v>23.9435</v>
      </c>
      <c r="C23" s="14">
        <f>23.5092 * CHOOSE(CONTROL!$C$9, $D$9, 100%, $F$9) + CHOOSE(CONTROL!$C$27, 0.0021, 0)</f>
        <v>23.511299999999999</v>
      </c>
      <c r="D23" s="14">
        <f>23.5092 * CHOOSE(CONTROL!$C$9, $D$9, 100%, $F$9) + CHOOSE(CONTROL!$C$27, 0.0021, 0)</f>
        <v>23.511299999999999</v>
      </c>
      <c r="E23" s="14">
        <f>23.3725 * CHOOSE(CONTROL!$C$9, $D$9, 100%, $F$9) + CHOOSE(CONTROL!$C$27, 0.0021, 0)</f>
        <v>23.374599999999997</v>
      </c>
      <c r="F23" s="14">
        <f>23.3725 * CHOOSE(CONTROL!$C$9, $D$9, 100%, $F$9) + CHOOSE(CONTROL!$C$27, 0.0021, 0)</f>
        <v>23.374599999999997</v>
      </c>
      <c r="G23" s="14">
        <f>23.6439 * CHOOSE(CONTROL!$C$9, $D$9, 100%, $F$9) + CHOOSE(CONTROL!$C$27, 0.0021, 0)</f>
        <v>23.645999999999997</v>
      </c>
      <c r="H23" s="14">
        <f>23.5092 * CHOOSE(CONTROL!$C$9, $D$9, 100%, $F$9) + CHOOSE(CONTROL!$C$27, 0.0021, 0)</f>
        <v>23.511299999999999</v>
      </c>
      <c r="I23" s="14">
        <f>23.5092 * CHOOSE(CONTROL!$C$9, $D$9, 100%, $F$9) + CHOOSE(CONTROL!$C$27, 0.0021, 0)</f>
        <v>23.511299999999999</v>
      </c>
      <c r="J23" s="14">
        <f>23.149 * CHOOSE(CONTROL!$C$9, $D$9, 100%, $F$9) + CHOOSE(CONTROL!$C$27, 0.0021, 0)</f>
        <v>23.1511</v>
      </c>
      <c r="K23" s="14">
        <f>23.5092 * CHOOSE(CONTROL!$C$9, $D$9, 100%, $F$9) + CHOOSE(CONTROL!$C$27, 0.0021, 0)</f>
        <v>23.511299999999999</v>
      </c>
      <c r="L23" s="14"/>
      <c r="M23" s="35"/>
      <c r="N23" s="35"/>
      <c r="O23" s="35"/>
      <c r="P23" s="35"/>
      <c r="Q23" s="35"/>
    </row>
    <row r="24" spans="1:17" ht="15" x14ac:dyDescent="0.2">
      <c r="A24" s="13">
        <v>41640</v>
      </c>
      <c r="B24" s="14">
        <f>23.9155 * CHOOSE(CONTROL!$C$9, $D$9, 100%, $F$9) + CHOOSE(CONTROL!$C$27, 0.0021, 0)</f>
        <v>23.9176</v>
      </c>
      <c r="C24" s="14">
        <f>23.4833 * CHOOSE(CONTROL!$C$9, $D$9, 100%, $F$9) + CHOOSE(CONTROL!$C$27, 0.0021, 0)</f>
        <v>23.485399999999998</v>
      </c>
      <c r="D24" s="14">
        <f>23.4833 * CHOOSE(CONTROL!$C$9, $D$9, 100%, $F$9) + CHOOSE(CONTROL!$C$27, 0.0021, 0)</f>
        <v>23.485399999999998</v>
      </c>
      <c r="E24" s="14">
        <f>23.3466 * CHOOSE(CONTROL!$C$9, $D$9, 100%, $F$9) + CHOOSE(CONTROL!$C$27, 0.0021, 0)</f>
        <v>23.348699999999997</v>
      </c>
      <c r="F24" s="14">
        <f>23.3466 * CHOOSE(CONTROL!$C$9, $D$9, 100%, $F$9) + CHOOSE(CONTROL!$C$27, 0.0021, 0)</f>
        <v>23.348699999999997</v>
      </c>
      <c r="G24" s="14">
        <f>23.618 * CHOOSE(CONTROL!$C$9, $D$9, 100%, $F$9) + CHOOSE(CONTROL!$C$27, 0.0021, 0)</f>
        <v>23.620099999999997</v>
      </c>
      <c r="H24" s="14">
        <f>23.4833 * CHOOSE(CONTROL!$C$9, $D$9, 100%, $F$9) + CHOOSE(CONTROL!$C$27, 0.0021, 0)</f>
        <v>23.485399999999998</v>
      </c>
      <c r="I24" s="14">
        <f>23.4833 * CHOOSE(CONTROL!$C$9, $D$9, 100%, $F$9) + CHOOSE(CONTROL!$C$27, 0.0021, 0)</f>
        <v>23.485399999999998</v>
      </c>
      <c r="J24" s="14">
        <f>23.1231 * CHOOSE(CONTROL!$C$9, $D$9, 100%, $F$9) + CHOOSE(CONTROL!$C$27, 0.0021, 0)</f>
        <v>23.1252</v>
      </c>
      <c r="K24" s="14">
        <f>23.4833 * CHOOSE(CONTROL!$C$9, $D$9, 100%, $F$9) + CHOOSE(CONTROL!$C$27, 0.0021, 0)</f>
        <v>23.485399999999998</v>
      </c>
      <c r="L24" s="14"/>
      <c r="M24" s="35"/>
      <c r="N24" s="35"/>
      <c r="O24" s="35"/>
      <c r="P24" s="35"/>
      <c r="Q24" s="35"/>
    </row>
    <row r="25" spans="1:17" ht="15" x14ac:dyDescent="0.2">
      <c r="A25" s="13">
        <v>41671</v>
      </c>
      <c r="B25" s="14">
        <f>23.8831 * CHOOSE(CONTROL!$C$9, $D$9, 100%, $F$9) + CHOOSE(CONTROL!$C$27, 0.0021, 0)</f>
        <v>23.885199999999998</v>
      </c>
      <c r="C25" s="14">
        <f>23.4508 * CHOOSE(CONTROL!$C$9, $D$9, 100%, $F$9) + CHOOSE(CONTROL!$C$27, 0.0021, 0)</f>
        <v>23.4529</v>
      </c>
      <c r="D25" s="14">
        <f>23.4508 * CHOOSE(CONTROL!$C$9, $D$9, 100%, $F$9) + CHOOSE(CONTROL!$C$27, 0.0021, 0)</f>
        <v>23.4529</v>
      </c>
      <c r="E25" s="14">
        <f>23.3142 * CHOOSE(CONTROL!$C$9, $D$9, 100%, $F$9) + CHOOSE(CONTROL!$C$27, 0.0021, 0)</f>
        <v>23.316299999999998</v>
      </c>
      <c r="F25" s="14">
        <f>23.3142 * CHOOSE(CONTROL!$C$9, $D$9, 100%, $F$9) + CHOOSE(CONTROL!$C$27, 0.0021, 0)</f>
        <v>23.316299999999998</v>
      </c>
      <c r="G25" s="14">
        <f>23.5856 * CHOOSE(CONTROL!$C$9, $D$9, 100%, $F$9) + CHOOSE(CONTROL!$C$27, 0.0021, 0)</f>
        <v>23.587699999999998</v>
      </c>
      <c r="H25" s="14">
        <f>23.4508 * CHOOSE(CONTROL!$C$9, $D$9, 100%, $F$9) + CHOOSE(CONTROL!$C$27, 0.0021, 0)</f>
        <v>23.4529</v>
      </c>
      <c r="I25" s="14">
        <f>23.4508 * CHOOSE(CONTROL!$C$9, $D$9, 100%, $F$9) + CHOOSE(CONTROL!$C$27, 0.0021, 0)</f>
        <v>23.4529</v>
      </c>
      <c r="J25" s="14">
        <f>23.0906 * CHOOSE(CONTROL!$C$9, $D$9, 100%, $F$9) + CHOOSE(CONTROL!$C$27, 0.0021, 0)</f>
        <v>23.092699999999997</v>
      </c>
      <c r="K25" s="14">
        <f>23.4508 * CHOOSE(CONTROL!$C$9, $D$9, 100%, $F$9) + CHOOSE(CONTROL!$C$27, 0.0021, 0)</f>
        <v>23.4529</v>
      </c>
      <c r="L25" s="14"/>
      <c r="M25" s="35"/>
      <c r="N25" s="35"/>
      <c r="O25" s="35"/>
      <c r="P25" s="35"/>
      <c r="Q25" s="35"/>
    </row>
    <row r="26" spans="1:17" ht="15" x14ac:dyDescent="0.2">
      <c r="A26" s="13">
        <v>41699</v>
      </c>
      <c r="B26" s="14">
        <f>23.8183 * CHOOSE(CONTROL!$C$9, $D$9, 100%, $F$9) + CHOOSE(CONTROL!$C$27, 0.0021, 0)</f>
        <v>23.820399999999999</v>
      </c>
      <c r="C26" s="14">
        <f>23.386 * CHOOSE(CONTROL!$C$9, $D$9, 100%, $F$9) + CHOOSE(CONTROL!$C$27, 0.0021, 0)</f>
        <v>23.388099999999998</v>
      </c>
      <c r="D26" s="14">
        <f>23.386 * CHOOSE(CONTROL!$C$9, $D$9, 100%, $F$9) + CHOOSE(CONTROL!$C$27, 0.0021, 0)</f>
        <v>23.388099999999998</v>
      </c>
      <c r="E26" s="14">
        <f>23.2493 * CHOOSE(CONTROL!$C$9, $D$9, 100%, $F$9) + CHOOSE(CONTROL!$C$27, 0.0021, 0)</f>
        <v>23.2514</v>
      </c>
      <c r="F26" s="14">
        <f>23.2493 * CHOOSE(CONTROL!$C$9, $D$9, 100%, $F$9) + CHOOSE(CONTROL!$C$27, 0.0021, 0)</f>
        <v>23.2514</v>
      </c>
      <c r="G26" s="14">
        <f>23.5207 * CHOOSE(CONTROL!$C$9, $D$9, 100%, $F$9) + CHOOSE(CONTROL!$C$27, 0.0021, 0)</f>
        <v>23.5228</v>
      </c>
      <c r="H26" s="14">
        <f>23.386 * CHOOSE(CONTROL!$C$9, $D$9, 100%, $F$9) + CHOOSE(CONTROL!$C$27, 0.0021, 0)</f>
        <v>23.388099999999998</v>
      </c>
      <c r="I26" s="14">
        <f>23.386 * CHOOSE(CONTROL!$C$9, $D$9, 100%, $F$9) + CHOOSE(CONTROL!$C$27, 0.0021, 0)</f>
        <v>23.388099999999998</v>
      </c>
      <c r="J26" s="14">
        <f>23.0258 * CHOOSE(CONTROL!$C$9, $D$9, 100%, $F$9) + CHOOSE(CONTROL!$C$27, 0.0021, 0)</f>
        <v>23.027899999999999</v>
      </c>
      <c r="K26" s="14">
        <f>23.386 * CHOOSE(CONTROL!$C$9, $D$9, 100%, $F$9) + CHOOSE(CONTROL!$C$27, 0.0021, 0)</f>
        <v>23.388099999999998</v>
      </c>
      <c r="L26" s="14"/>
      <c r="M26" s="35"/>
      <c r="N26" s="35"/>
      <c r="O26" s="35"/>
      <c r="P26" s="35"/>
      <c r="Q26" s="35"/>
    </row>
    <row r="27" spans="1:17" ht="15" x14ac:dyDescent="0.2">
      <c r="A27" s="13">
        <v>41730</v>
      </c>
      <c r="B27" s="14">
        <f>23.721 * CHOOSE(CONTROL!$C$9, $D$9, 100%, $F$9) + CHOOSE(CONTROL!$C$27, 0.0021, 0)</f>
        <v>23.723099999999999</v>
      </c>
      <c r="C27" s="14">
        <f>23.2887 * CHOOSE(CONTROL!$C$9, $D$9, 100%, $F$9) + CHOOSE(CONTROL!$C$27, 0.0021, 0)</f>
        <v>23.290799999999997</v>
      </c>
      <c r="D27" s="14">
        <f>23.2887 * CHOOSE(CONTROL!$C$9, $D$9, 100%, $F$9) + CHOOSE(CONTROL!$C$27, 0.0021, 0)</f>
        <v>23.290799999999997</v>
      </c>
      <c r="E27" s="14">
        <f>23.1521 * CHOOSE(CONTROL!$C$9, $D$9, 100%, $F$9) + CHOOSE(CONTROL!$C$27, 0.0021, 0)</f>
        <v>23.154199999999999</v>
      </c>
      <c r="F27" s="14">
        <f>23.1521 * CHOOSE(CONTROL!$C$9, $D$9, 100%, $F$9) + CHOOSE(CONTROL!$C$27, 0.0021, 0)</f>
        <v>23.154199999999999</v>
      </c>
      <c r="G27" s="14">
        <f>23.4235 * CHOOSE(CONTROL!$C$9, $D$9, 100%, $F$9) + CHOOSE(CONTROL!$C$27, 0.0021, 0)</f>
        <v>23.425599999999999</v>
      </c>
      <c r="H27" s="14">
        <f>23.2887 * CHOOSE(CONTROL!$C$9, $D$9, 100%, $F$9) + CHOOSE(CONTROL!$C$27, 0.0021, 0)</f>
        <v>23.290799999999997</v>
      </c>
      <c r="I27" s="14">
        <f>23.2887 * CHOOSE(CONTROL!$C$9, $D$9, 100%, $F$9) + CHOOSE(CONTROL!$C$27, 0.0021, 0)</f>
        <v>23.290799999999997</v>
      </c>
      <c r="J27" s="14">
        <f>22.9285 * CHOOSE(CONTROL!$C$9, $D$9, 100%, $F$9) + CHOOSE(CONTROL!$C$27, 0.0021, 0)</f>
        <v>22.930599999999998</v>
      </c>
      <c r="K27" s="14">
        <f>23.2887 * CHOOSE(CONTROL!$C$9, $D$9, 100%, $F$9) + CHOOSE(CONTROL!$C$27, 0.0021, 0)</f>
        <v>23.290799999999997</v>
      </c>
      <c r="L27" s="14"/>
      <c r="M27" s="35"/>
      <c r="N27" s="35"/>
      <c r="O27" s="35"/>
      <c r="P27" s="35"/>
      <c r="Q27" s="35"/>
    </row>
    <row r="28" spans="1:17" ht="15" x14ac:dyDescent="0.2">
      <c r="A28" s="13">
        <v>41760</v>
      </c>
      <c r="B28" s="14">
        <f>23.6144 * CHOOSE(CONTROL!$C$9, $D$9, 100%, $F$9) + CHOOSE(CONTROL!$C$27, 0.0021, 0)</f>
        <v>23.616499999999998</v>
      </c>
      <c r="C28" s="14">
        <f>23.1821 * CHOOSE(CONTROL!$C$9, $D$9, 100%, $F$9) + CHOOSE(CONTROL!$C$27, 0.0021, 0)</f>
        <v>23.184199999999997</v>
      </c>
      <c r="D28" s="14">
        <f>23.1821 * CHOOSE(CONTROL!$C$9, $D$9, 100%, $F$9) + CHOOSE(CONTROL!$C$27, 0.0021, 0)</f>
        <v>23.184199999999997</v>
      </c>
      <c r="E28" s="14">
        <f>23.0455 * CHOOSE(CONTROL!$C$9, $D$9, 100%, $F$9) + CHOOSE(CONTROL!$C$27, 0.0021, 0)</f>
        <v>23.047599999999999</v>
      </c>
      <c r="F28" s="14">
        <f>23.0455 * CHOOSE(CONTROL!$C$9, $D$9, 100%, $F$9) + CHOOSE(CONTROL!$C$27, 0.0021, 0)</f>
        <v>23.047599999999999</v>
      </c>
      <c r="G28" s="14">
        <f>23.3168 * CHOOSE(CONTROL!$C$9, $D$9, 100%, $F$9) + CHOOSE(CONTROL!$C$27, 0.0021, 0)</f>
        <v>23.318899999999999</v>
      </c>
      <c r="H28" s="14">
        <f>23.1821 * CHOOSE(CONTROL!$C$9, $D$9, 100%, $F$9) + CHOOSE(CONTROL!$C$27, 0.0021, 0)</f>
        <v>23.184199999999997</v>
      </c>
      <c r="I28" s="14">
        <f>23.1821 * CHOOSE(CONTROL!$C$9, $D$9, 100%, $F$9) + CHOOSE(CONTROL!$C$27, 0.0021, 0)</f>
        <v>23.184199999999997</v>
      </c>
      <c r="J28" s="14">
        <f>22.8219 * CHOOSE(CONTROL!$C$9, $D$9, 100%, $F$9) + CHOOSE(CONTROL!$C$27, 0.0021, 0)</f>
        <v>22.823999999999998</v>
      </c>
      <c r="K28" s="14">
        <f>23.1821 * CHOOSE(CONTROL!$C$9, $D$9, 100%, $F$9) + CHOOSE(CONTROL!$C$27, 0.0021, 0)</f>
        <v>23.184199999999997</v>
      </c>
      <c r="L28" s="14"/>
      <c r="M28" s="35"/>
      <c r="N28" s="35"/>
      <c r="O28" s="35"/>
      <c r="P28" s="35"/>
      <c r="Q28" s="35"/>
    </row>
    <row r="29" spans="1:17" ht="15" x14ac:dyDescent="0.2">
      <c r="A29" s="13">
        <v>41791</v>
      </c>
      <c r="B29" s="14">
        <f>23.507 * CHOOSE(CONTROL!$C$9, $D$9, 100%, $F$9) + CHOOSE(CONTROL!$C$27, 0.0021, 0)</f>
        <v>23.5091</v>
      </c>
      <c r="C29" s="14">
        <f>23.0748 * CHOOSE(CONTROL!$C$9, $D$9, 100%, $F$9) + CHOOSE(CONTROL!$C$27, 0.0021, 0)</f>
        <v>23.076899999999998</v>
      </c>
      <c r="D29" s="14">
        <f>23.0748 * CHOOSE(CONTROL!$C$9, $D$9, 100%, $F$9) + CHOOSE(CONTROL!$C$27, 0.0021, 0)</f>
        <v>23.076899999999998</v>
      </c>
      <c r="E29" s="14">
        <f>22.9381 * CHOOSE(CONTROL!$C$9, $D$9, 100%, $F$9) + CHOOSE(CONTROL!$C$27, 0.0021, 0)</f>
        <v>22.940199999999997</v>
      </c>
      <c r="F29" s="14">
        <f>22.9381 * CHOOSE(CONTROL!$C$9, $D$9, 100%, $F$9) + CHOOSE(CONTROL!$C$27, 0.0021, 0)</f>
        <v>22.940199999999997</v>
      </c>
      <c r="G29" s="14">
        <f>23.2095 * CHOOSE(CONTROL!$C$9, $D$9, 100%, $F$9) + CHOOSE(CONTROL!$C$27, 0.0021, 0)</f>
        <v>23.211599999999997</v>
      </c>
      <c r="H29" s="14">
        <f>23.0748 * CHOOSE(CONTROL!$C$9, $D$9, 100%, $F$9) + CHOOSE(CONTROL!$C$27, 0.0021, 0)</f>
        <v>23.076899999999998</v>
      </c>
      <c r="I29" s="14">
        <f>23.0748 * CHOOSE(CONTROL!$C$9, $D$9, 100%, $F$9) + CHOOSE(CONTROL!$C$27, 0.0021, 0)</f>
        <v>23.076899999999998</v>
      </c>
      <c r="J29" s="14">
        <f>22.7146 * CHOOSE(CONTROL!$C$9, $D$9, 100%, $F$9) + CHOOSE(CONTROL!$C$27, 0.0021, 0)</f>
        <v>22.716699999999999</v>
      </c>
      <c r="K29" s="14">
        <f>23.0748 * CHOOSE(CONTROL!$C$9, $D$9, 100%, $F$9) + CHOOSE(CONTROL!$C$27, 0.0021, 0)</f>
        <v>23.076899999999998</v>
      </c>
      <c r="L29" s="14"/>
      <c r="M29" s="35"/>
      <c r="N29" s="35"/>
      <c r="O29" s="35"/>
      <c r="P29" s="35"/>
      <c r="Q29" s="35"/>
    </row>
    <row r="30" spans="1:17" ht="15" x14ac:dyDescent="0.2">
      <c r="A30" s="13">
        <v>41821</v>
      </c>
      <c r="B30" s="14">
        <f>23.4321 * CHOOSE(CONTROL!$C$9, $D$9, 100%, $F$9) + CHOOSE(CONTROL!$C$27, 0.0021, 0)</f>
        <v>23.434199999999997</v>
      </c>
      <c r="C30" s="14">
        <f>22.9999 * CHOOSE(CONTROL!$C$9, $D$9, 100%, $F$9) + CHOOSE(CONTROL!$C$27, 0.0021, 0)</f>
        <v>23.001999999999999</v>
      </c>
      <c r="D30" s="14">
        <f>22.9999 * CHOOSE(CONTROL!$C$9, $D$9, 100%, $F$9) + CHOOSE(CONTROL!$C$27, 0.0021, 0)</f>
        <v>23.001999999999999</v>
      </c>
      <c r="E30" s="14">
        <f>22.8632 * CHOOSE(CONTROL!$C$9, $D$9, 100%, $F$9) + CHOOSE(CONTROL!$C$27, 0.0021, 0)</f>
        <v>22.865299999999998</v>
      </c>
      <c r="F30" s="14">
        <f>22.8632 * CHOOSE(CONTROL!$C$9, $D$9, 100%, $F$9) + CHOOSE(CONTROL!$C$27, 0.0021, 0)</f>
        <v>22.865299999999998</v>
      </c>
      <c r="G30" s="14">
        <f>23.1346 * CHOOSE(CONTROL!$C$9, $D$9, 100%, $F$9) + CHOOSE(CONTROL!$C$27, 0.0021, 0)</f>
        <v>23.136699999999998</v>
      </c>
      <c r="H30" s="14">
        <f>22.9999 * CHOOSE(CONTROL!$C$9, $D$9, 100%, $F$9) + CHOOSE(CONTROL!$C$27, 0.0021, 0)</f>
        <v>23.001999999999999</v>
      </c>
      <c r="I30" s="14">
        <f>22.9999 * CHOOSE(CONTROL!$C$9, $D$9, 100%, $F$9) + CHOOSE(CONTROL!$C$27, 0.0021, 0)</f>
        <v>23.001999999999999</v>
      </c>
      <c r="J30" s="14">
        <f>22.6397 * CHOOSE(CONTROL!$C$9, $D$9, 100%, $F$9) + CHOOSE(CONTROL!$C$27, 0.0021, 0)</f>
        <v>22.6418</v>
      </c>
      <c r="K30" s="14">
        <f>22.9999 * CHOOSE(CONTROL!$C$9, $D$9, 100%, $F$9) + CHOOSE(CONTROL!$C$27, 0.0021, 0)</f>
        <v>23.001999999999999</v>
      </c>
      <c r="L30" s="14"/>
      <c r="M30" s="35"/>
      <c r="N30" s="35"/>
      <c r="O30" s="35"/>
      <c r="P30" s="35"/>
      <c r="Q30" s="35"/>
    </row>
    <row r="31" spans="1:17" ht="15" x14ac:dyDescent="0.2">
      <c r="A31" s="13">
        <v>41852</v>
      </c>
      <c r="B31" s="14">
        <f>23.3723 * CHOOSE(CONTROL!$C$9, $D$9, 100%, $F$9) + CHOOSE(CONTROL!$C$27, 0.0021, 0)</f>
        <v>23.374399999999998</v>
      </c>
      <c r="C31" s="14">
        <f>22.9401 * CHOOSE(CONTROL!$C$9, $D$9, 100%, $F$9) + CHOOSE(CONTROL!$C$27, 0.0021, 0)</f>
        <v>22.9422</v>
      </c>
      <c r="D31" s="14">
        <f>22.9401 * CHOOSE(CONTROL!$C$9, $D$9, 100%, $F$9) + CHOOSE(CONTROL!$C$27, 0.0021, 0)</f>
        <v>22.9422</v>
      </c>
      <c r="E31" s="14">
        <f>22.8034 * CHOOSE(CONTROL!$C$9, $D$9, 100%, $F$9) + CHOOSE(CONTROL!$C$27, 0.0021, 0)</f>
        <v>22.805499999999999</v>
      </c>
      <c r="F31" s="14">
        <f>22.8034 * CHOOSE(CONTROL!$C$9, $D$9, 100%, $F$9) + CHOOSE(CONTROL!$C$27, 0.0021, 0)</f>
        <v>22.805499999999999</v>
      </c>
      <c r="G31" s="14">
        <f>23.0748 * CHOOSE(CONTROL!$C$9, $D$9, 100%, $F$9) + CHOOSE(CONTROL!$C$27, 0.0021, 0)</f>
        <v>23.076899999999998</v>
      </c>
      <c r="H31" s="14">
        <f>22.9401 * CHOOSE(CONTROL!$C$9, $D$9, 100%, $F$9) + CHOOSE(CONTROL!$C$27, 0.0021, 0)</f>
        <v>22.9422</v>
      </c>
      <c r="I31" s="14">
        <f>22.9401 * CHOOSE(CONTROL!$C$9, $D$9, 100%, $F$9) + CHOOSE(CONTROL!$C$27, 0.0021, 0)</f>
        <v>22.9422</v>
      </c>
      <c r="J31" s="14">
        <f>22.5799 * CHOOSE(CONTROL!$C$9, $D$9, 100%, $F$9) + CHOOSE(CONTROL!$C$27, 0.0021, 0)</f>
        <v>22.581999999999997</v>
      </c>
      <c r="K31" s="14">
        <f>22.9401 * CHOOSE(CONTROL!$C$9, $D$9, 100%, $F$9) + CHOOSE(CONTROL!$C$27, 0.0021, 0)</f>
        <v>22.9422</v>
      </c>
      <c r="L31" s="14"/>
      <c r="M31" s="35"/>
      <c r="N31" s="35"/>
      <c r="O31" s="35"/>
      <c r="P31" s="35"/>
      <c r="Q31" s="35"/>
    </row>
    <row r="32" spans="1:17" ht="15" x14ac:dyDescent="0.2">
      <c r="A32" s="13">
        <v>41883</v>
      </c>
      <c r="B32" s="14">
        <f>23.3176 * CHOOSE(CONTROL!$C$9, $D$9, 100%, $F$9) + CHOOSE(CONTROL!$C$27, 0.0021, 0)</f>
        <v>23.319699999999997</v>
      </c>
      <c r="C32" s="14">
        <f>22.8853 * CHOOSE(CONTROL!$C$9, $D$9, 100%, $F$9) + CHOOSE(CONTROL!$C$27, 0.0021, 0)</f>
        <v>22.8874</v>
      </c>
      <c r="D32" s="14">
        <f>22.8853 * CHOOSE(CONTROL!$C$9, $D$9, 100%, $F$9) + CHOOSE(CONTROL!$C$27, 0.0021, 0)</f>
        <v>22.8874</v>
      </c>
      <c r="E32" s="14">
        <f>22.7487 * CHOOSE(CONTROL!$C$9, $D$9, 100%, $F$9) + CHOOSE(CONTROL!$C$27, 0.0021, 0)</f>
        <v>22.750799999999998</v>
      </c>
      <c r="F32" s="14">
        <f>22.7487 * CHOOSE(CONTROL!$C$9, $D$9, 100%, $F$9) + CHOOSE(CONTROL!$C$27, 0.0021, 0)</f>
        <v>22.750799999999998</v>
      </c>
      <c r="G32" s="14">
        <f>23.02 * CHOOSE(CONTROL!$C$9, $D$9, 100%, $F$9) + CHOOSE(CONTROL!$C$27, 0.0021, 0)</f>
        <v>23.022099999999998</v>
      </c>
      <c r="H32" s="14">
        <f>22.8853 * CHOOSE(CONTROL!$C$9, $D$9, 100%, $F$9) + CHOOSE(CONTROL!$C$27, 0.0021, 0)</f>
        <v>22.8874</v>
      </c>
      <c r="I32" s="14">
        <f>22.8853 * CHOOSE(CONTROL!$C$9, $D$9, 100%, $F$9) + CHOOSE(CONTROL!$C$27, 0.0021, 0)</f>
        <v>22.8874</v>
      </c>
      <c r="J32" s="14">
        <f>22.5251 * CHOOSE(CONTROL!$C$9, $D$9, 100%, $F$9) + CHOOSE(CONTROL!$C$27, 0.0021, 0)</f>
        <v>22.527199999999997</v>
      </c>
      <c r="K32" s="14">
        <f>22.8853 * CHOOSE(CONTROL!$C$9, $D$9, 100%, $F$9) + CHOOSE(CONTROL!$C$27, 0.0021, 0)</f>
        <v>22.8874</v>
      </c>
      <c r="L32" s="14"/>
      <c r="M32" s="35"/>
      <c r="N32" s="35"/>
      <c r="O32" s="35"/>
      <c r="P32" s="35"/>
      <c r="Q32" s="35"/>
    </row>
    <row r="33" spans="1:17" ht="15" x14ac:dyDescent="0.2">
      <c r="A33" s="13">
        <v>41913</v>
      </c>
      <c r="B33" s="14">
        <f>23.2851 * CHOOSE(CONTROL!$C$9, $D$9, 100%, $F$9) + CHOOSE(CONTROL!$C$27, 0.0021, 0)</f>
        <v>23.287199999999999</v>
      </c>
      <c r="C33" s="14">
        <f>22.8529 * CHOOSE(CONTROL!$C$9, $D$9, 100%, $F$9) + CHOOSE(CONTROL!$C$27, 0.0021, 0)</f>
        <v>22.855</v>
      </c>
      <c r="D33" s="14">
        <f>22.8529 * CHOOSE(CONTROL!$C$9, $D$9, 100%, $F$9) + CHOOSE(CONTROL!$C$27, 0.0021, 0)</f>
        <v>22.855</v>
      </c>
      <c r="E33" s="14">
        <f>22.7162 * CHOOSE(CONTROL!$C$9, $D$9, 100%, $F$9) + CHOOSE(CONTROL!$C$27, 0.0021, 0)</f>
        <v>22.718299999999999</v>
      </c>
      <c r="F33" s="14">
        <f>22.7162 * CHOOSE(CONTROL!$C$9, $D$9, 100%, $F$9) + CHOOSE(CONTROL!$C$27, 0.0021, 0)</f>
        <v>22.718299999999999</v>
      </c>
      <c r="G33" s="14">
        <f>22.9876 * CHOOSE(CONTROL!$C$9, $D$9, 100%, $F$9) + CHOOSE(CONTROL!$C$27, 0.0021, 0)</f>
        <v>22.989699999999999</v>
      </c>
      <c r="H33" s="14">
        <f>22.8529 * CHOOSE(CONTROL!$C$9, $D$9, 100%, $F$9) + CHOOSE(CONTROL!$C$27, 0.0021, 0)</f>
        <v>22.855</v>
      </c>
      <c r="I33" s="14">
        <f>22.8529 * CHOOSE(CONTROL!$C$9, $D$9, 100%, $F$9) + CHOOSE(CONTROL!$C$27, 0.0021, 0)</f>
        <v>22.855</v>
      </c>
      <c r="J33" s="14">
        <f>22.4927 * CHOOSE(CONTROL!$C$9, $D$9, 100%, $F$9) + CHOOSE(CONTROL!$C$27, 0.0021, 0)</f>
        <v>22.494799999999998</v>
      </c>
      <c r="K33" s="14">
        <f>22.8529 * CHOOSE(CONTROL!$C$9, $D$9, 100%, $F$9) + CHOOSE(CONTROL!$C$27, 0.0021, 0)</f>
        <v>22.855</v>
      </c>
      <c r="L33" s="14"/>
      <c r="M33" s="35"/>
      <c r="N33" s="35"/>
      <c r="O33" s="35"/>
      <c r="P33" s="35"/>
      <c r="Q33" s="35"/>
    </row>
    <row r="34" spans="1:17" ht="15" x14ac:dyDescent="0.2">
      <c r="A34" s="13">
        <v>41944</v>
      </c>
      <c r="B34" s="14">
        <f>23.2671 * CHOOSE(CONTROL!$C$9, $D$9, 100%, $F$9) + CHOOSE(CONTROL!$C$27, 0.0021, 0)</f>
        <v>23.269199999999998</v>
      </c>
      <c r="C34" s="14">
        <f>22.8349 * CHOOSE(CONTROL!$C$9, $D$9, 100%, $F$9) + CHOOSE(CONTROL!$C$27, 0.0021, 0)</f>
        <v>22.837</v>
      </c>
      <c r="D34" s="14">
        <f>22.8349 * CHOOSE(CONTROL!$C$9, $D$9, 100%, $F$9) + CHOOSE(CONTROL!$C$27, 0.0021, 0)</f>
        <v>22.837</v>
      </c>
      <c r="E34" s="14">
        <f>22.6982 * CHOOSE(CONTROL!$C$9, $D$9, 100%, $F$9) + CHOOSE(CONTROL!$C$27, 0.0021, 0)</f>
        <v>22.700299999999999</v>
      </c>
      <c r="F34" s="14">
        <f>22.6982 * CHOOSE(CONTROL!$C$9, $D$9, 100%, $F$9) + CHOOSE(CONTROL!$C$27, 0.0021, 0)</f>
        <v>22.700299999999999</v>
      </c>
      <c r="G34" s="14">
        <f>22.9696 * CHOOSE(CONTROL!$C$9, $D$9, 100%, $F$9) + CHOOSE(CONTROL!$C$27, 0.0021, 0)</f>
        <v>22.971699999999998</v>
      </c>
      <c r="H34" s="14">
        <f>22.8349 * CHOOSE(CONTROL!$C$9, $D$9, 100%, $F$9) + CHOOSE(CONTROL!$C$27, 0.0021, 0)</f>
        <v>22.837</v>
      </c>
      <c r="I34" s="14">
        <f>22.8349 * CHOOSE(CONTROL!$C$9, $D$9, 100%, $F$9) + CHOOSE(CONTROL!$C$27, 0.0021, 0)</f>
        <v>22.837</v>
      </c>
      <c r="J34" s="14">
        <f>22.4747 * CHOOSE(CONTROL!$C$9, $D$9, 100%, $F$9) + CHOOSE(CONTROL!$C$27, 0.0021, 0)</f>
        <v>22.476799999999997</v>
      </c>
      <c r="K34" s="14">
        <f>22.8349 * CHOOSE(CONTROL!$C$9, $D$9, 100%, $F$9) + CHOOSE(CONTROL!$C$27, 0.0021, 0)</f>
        <v>22.837</v>
      </c>
      <c r="L34" s="14"/>
      <c r="M34" s="35"/>
      <c r="N34" s="35"/>
      <c r="O34" s="35"/>
      <c r="P34" s="35"/>
      <c r="Q34" s="35"/>
    </row>
    <row r="35" spans="1:17" ht="15" x14ac:dyDescent="0.2">
      <c r="A35" s="13">
        <v>41974</v>
      </c>
      <c r="B35" s="14">
        <f>23.2412 * CHOOSE(CONTROL!$C$9, $D$9, 100%, $F$9) + CHOOSE(CONTROL!$C$27, 0.0021, 0)</f>
        <v>23.243299999999998</v>
      </c>
      <c r="C35" s="14">
        <f>22.809 * CHOOSE(CONTROL!$C$9, $D$9, 100%, $F$9) + CHOOSE(CONTROL!$C$27, 0.0021, 0)</f>
        <v>22.8111</v>
      </c>
      <c r="D35" s="14">
        <f>22.809 * CHOOSE(CONTROL!$C$9, $D$9, 100%, $F$9) + CHOOSE(CONTROL!$C$27, 0.0021, 0)</f>
        <v>22.8111</v>
      </c>
      <c r="E35" s="14">
        <f>22.6723 * CHOOSE(CONTROL!$C$9, $D$9, 100%, $F$9) + CHOOSE(CONTROL!$C$27, 0.0021, 0)</f>
        <v>22.674399999999999</v>
      </c>
      <c r="F35" s="14">
        <f>22.6723 * CHOOSE(CONTROL!$C$9, $D$9, 100%, $F$9) + CHOOSE(CONTROL!$C$27, 0.0021, 0)</f>
        <v>22.674399999999999</v>
      </c>
      <c r="G35" s="14">
        <f>22.9437 * CHOOSE(CONTROL!$C$9, $D$9, 100%, $F$9) + CHOOSE(CONTROL!$C$27, 0.0021, 0)</f>
        <v>22.945799999999998</v>
      </c>
      <c r="H35" s="14">
        <f>22.809 * CHOOSE(CONTROL!$C$9, $D$9, 100%, $F$9) + CHOOSE(CONTROL!$C$27, 0.0021, 0)</f>
        <v>22.8111</v>
      </c>
      <c r="I35" s="14">
        <f>22.809 * CHOOSE(CONTROL!$C$9, $D$9, 100%, $F$9) + CHOOSE(CONTROL!$C$27, 0.0021, 0)</f>
        <v>22.8111</v>
      </c>
      <c r="J35" s="14">
        <f>22.4487 * CHOOSE(CONTROL!$C$9, $D$9, 100%, $F$9) + CHOOSE(CONTROL!$C$27, 0.0021, 0)</f>
        <v>22.450799999999997</v>
      </c>
      <c r="K35" s="14">
        <f>22.809 * CHOOSE(CONTROL!$C$9, $D$9, 100%, $F$9) + CHOOSE(CONTROL!$C$27, 0.0021, 0)</f>
        <v>22.8111</v>
      </c>
      <c r="L35" s="14"/>
      <c r="M35" s="35"/>
      <c r="N35" s="35"/>
      <c r="O35" s="35"/>
      <c r="P35" s="35"/>
      <c r="Q35" s="35"/>
    </row>
    <row r="36" spans="1:17" ht="15" x14ac:dyDescent="0.2">
      <c r="A36" s="13">
        <v>42005</v>
      </c>
      <c r="B36" s="14">
        <f>23.2145 * CHOOSE(CONTROL!$C$9, $D$9, 100%, $F$9) + CHOOSE(CONTROL!$C$27, 0.0021, 0)</f>
        <v>23.2166</v>
      </c>
      <c r="C36" s="14">
        <f>22.7823 * CHOOSE(CONTROL!$C$9, $D$9, 100%, $F$9) + CHOOSE(CONTROL!$C$27, 0.0021, 0)</f>
        <v>22.784399999999998</v>
      </c>
      <c r="D36" s="14">
        <f>22.7823 * CHOOSE(CONTROL!$C$9, $D$9, 100%, $F$9) + CHOOSE(CONTROL!$C$27, 0.0021, 0)</f>
        <v>22.784399999999998</v>
      </c>
      <c r="E36" s="14">
        <f>22.6456 * CHOOSE(CONTROL!$C$9, $D$9, 100%, $F$9) + CHOOSE(CONTROL!$C$27, 0.0021, 0)</f>
        <v>22.6477</v>
      </c>
      <c r="F36" s="14">
        <f>22.6456 * CHOOSE(CONTROL!$C$9, $D$9, 100%, $F$9) + CHOOSE(CONTROL!$C$27, 0.0021, 0)</f>
        <v>22.6477</v>
      </c>
      <c r="G36" s="14">
        <f>22.917 * CHOOSE(CONTROL!$C$9, $D$9, 100%, $F$9) + CHOOSE(CONTROL!$C$27, 0.0021, 0)</f>
        <v>22.9191</v>
      </c>
      <c r="H36" s="14">
        <f>22.7823 * CHOOSE(CONTROL!$C$9, $D$9, 100%, $F$9) + CHOOSE(CONTROL!$C$27, 0.0021, 0)</f>
        <v>22.784399999999998</v>
      </c>
      <c r="I36" s="14">
        <f>22.7823 * CHOOSE(CONTROL!$C$9, $D$9, 100%, $F$9) + CHOOSE(CONTROL!$C$27, 0.0021, 0)</f>
        <v>22.784399999999998</v>
      </c>
      <c r="J36" s="14">
        <f>22.7823 * CHOOSE(CONTROL!$C$9, $D$9, 100%, $F$9) + CHOOSE(CONTROL!$C$27, 0.0021, 0)</f>
        <v>22.784399999999998</v>
      </c>
      <c r="K36" s="14">
        <f>22.7823 * CHOOSE(CONTROL!$C$9, $D$9, 100%, $F$9) + CHOOSE(CONTROL!$C$27, 0.0021, 0)</f>
        <v>22.784399999999998</v>
      </c>
      <c r="L36" s="14"/>
      <c r="M36" s="35"/>
      <c r="N36" s="35"/>
      <c r="O36" s="35"/>
      <c r="P36" s="35"/>
      <c r="Q36" s="35"/>
    </row>
    <row r="37" spans="1:17" ht="15" x14ac:dyDescent="0.2">
      <c r="A37" s="13">
        <v>42036</v>
      </c>
      <c r="B37" s="14">
        <f>23.1555 * CHOOSE(CONTROL!$C$9, $D$9, 100%, $F$9) + CHOOSE(CONTROL!$C$27, 0.0021, 0)</f>
        <v>23.157599999999999</v>
      </c>
      <c r="C37" s="14">
        <f>22.7232 * CHOOSE(CONTROL!$C$9, $D$9, 100%, $F$9) + CHOOSE(CONTROL!$C$27, 0.0021, 0)</f>
        <v>22.725299999999997</v>
      </c>
      <c r="D37" s="14">
        <f>22.7232 * CHOOSE(CONTROL!$C$9, $D$9, 100%, $F$9) + CHOOSE(CONTROL!$C$27, 0.0021, 0)</f>
        <v>22.725299999999997</v>
      </c>
      <c r="E37" s="14">
        <f>22.5866 * CHOOSE(CONTROL!$C$9, $D$9, 100%, $F$9) + CHOOSE(CONTROL!$C$27, 0.0021, 0)</f>
        <v>22.588699999999999</v>
      </c>
      <c r="F37" s="14">
        <f>22.5866 * CHOOSE(CONTROL!$C$9, $D$9, 100%, $F$9) + CHOOSE(CONTROL!$C$27, 0.0021, 0)</f>
        <v>22.588699999999999</v>
      </c>
      <c r="G37" s="14">
        <f>22.8579 * CHOOSE(CONTROL!$C$9, $D$9, 100%, $F$9) + CHOOSE(CONTROL!$C$27, 0.0021, 0)</f>
        <v>22.86</v>
      </c>
      <c r="H37" s="14">
        <f>22.7232 * CHOOSE(CONTROL!$C$9, $D$9, 100%, $F$9) + CHOOSE(CONTROL!$C$27, 0.0021, 0)</f>
        <v>22.725299999999997</v>
      </c>
      <c r="I37" s="14">
        <f>22.7232 * CHOOSE(CONTROL!$C$9, $D$9, 100%, $F$9) + CHOOSE(CONTROL!$C$27, 0.0021, 0)</f>
        <v>22.725299999999997</v>
      </c>
      <c r="J37" s="14">
        <f>22.7232 * CHOOSE(CONTROL!$C$9, $D$9, 100%, $F$9) + CHOOSE(CONTROL!$C$27, 0.0021, 0)</f>
        <v>22.725299999999997</v>
      </c>
      <c r="K37" s="14">
        <f>22.7232 * CHOOSE(CONTROL!$C$9, $D$9, 100%, $F$9) + CHOOSE(CONTROL!$C$27, 0.0021, 0)</f>
        <v>22.725299999999997</v>
      </c>
      <c r="L37" s="14"/>
      <c r="M37" s="35"/>
      <c r="N37" s="35"/>
      <c r="O37" s="35"/>
      <c r="P37" s="35"/>
      <c r="Q37" s="35"/>
    </row>
    <row r="38" spans="1:17" ht="15" x14ac:dyDescent="0.2">
      <c r="A38" s="13">
        <v>42064</v>
      </c>
      <c r="B38" s="14">
        <f>23.0798 * CHOOSE(CONTROL!$C$9, $D$9, 100%, $F$9) + CHOOSE(CONTROL!$C$27, 0.0021, 0)</f>
        <v>23.081899999999997</v>
      </c>
      <c r="C38" s="14">
        <f>22.6476 * CHOOSE(CONTROL!$C$9, $D$9, 100%, $F$9) + CHOOSE(CONTROL!$C$27, 0.0021, 0)</f>
        <v>22.649699999999999</v>
      </c>
      <c r="D38" s="14">
        <f>22.6476 * CHOOSE(CONTROL!$C$9, $D$9, 100%, $F$9) + CHOOSE(CONTROL!$C$27, 0.0021, 0)</f>
        <v>22.649699999999999</v>
      </c>
      <c r="E38" s="14">
        <f>22.5109 * CHOOSE(CONTROL!$C$9, $D$9, 100%, $F$9) + CHOOSE(CONTROL!$C$27, 0.0021, 0)</f>
        <v>22.512999999999998</v>
      </c>
      <c r="F38" s="14">
        <f>22.5109 * CHOOSE(CONTROL!$C$9, $D$9, 100%, $F$9) + CHOOSE(CONTROL!$C$27, 0.0021, 0)</f>
        <v>22.512999999999998</v>
      </c>
      <c r="G38" s="14">
        <f>22.7823 * CHOOSE(CONTROL!$C$9, $D$9, 100%, $F$9) + CHOOSE(CONTROL!$C$27, 0.0021, 0)</f>
        <v>22.784399999999998</v>
      </c>
      <c r="H38" s="14">
        <f>22.6476 * CHOOSE(CONTROL!$C$9, $D$9, 100%, $F$9) + CHOOSE(CONTROL!$C$27, 0.0021, 0)</f>
        <v>22.649699999999999</v>
      </c>
      <c r="I38" s="14">
        <f>22.6476 * CHOOSE(CONTROL!$C$9, $D$9, 100%, $F$9) + CHOOSE(CONTROL!$C$27, 0.0021, 0)</f>
        <v>22.649699999999999</v>
      </c>
      <c r="J38" s="14">
        <f>22.6476 * CHOOSE(CONTROL!$C$9, $D$9, 100%, $F$9) + CHOOSE(CONTROL!$C$27, 0.0021, 0)</f>
        <v>22.649699999999999</v>
      </c>
      <c r="K38" s="14">
        <f>22.6476 * CHOOSE(CONTROL!$C$9, $D$9, 100%, $F$9) + CHOOSE(CONTROL!$C$27, 0.0021, 0)</f>
        <v>22.649699999999999</v>
      </c>
      <c r="L38" s="14"/>
      <c r="M38" s="35"/>
      <c r="N38" s="35"/>
      <c r="O38" s="35"/>
      <c r="P38" s="35"/>
      <c r="Q38" s="35"/>
    </row>
    <row r="39" spans="1:17" ht="15" x14ac:dyDescent="0.2">
      <c r="A39" s="13">
        <v>42095</v>
      </c>
      <c r="B39" s="14">
        <f>22.9502 * CHOOSE(CONTROL!$C$9, $D$9, 100%, $F$9) + CHOOSE(CONTROL!$C$27, 0.0021, 0)</f>
        <v>22.952299999999997</v>
      </c>
      <c r="C39" s="14">
        <f>22.5179 * CHOOSE(CONTROL!$C$9, $D$9, 100%, $F$9) + CHOOSE(CONTROL!$C$27, 0.0021, 0)</f>
        <v>22.52</v>
      </c>
      <c r="D39" s="14">
        <f>22.5179 * CHOOSE(CONTROL!$C$9, $D$9, 100%, $F$9) + CHOOSE(CONTROL!$C$27, 0.0021, 0)</f>
        <v>22.52</v>
      </c>
      <c r="E39" s="14">
        <f>22.3812 * CHOOSE(CONTROL!$C$9, $D$9, 100%, $F$9) + CHOOSE(CONTROL!$C$27, 0.0021, 0)</f>
        <v>22.383299999999998</v>
      </c>
      <c r="F39" s="14">
        <f>22.3812 * CHOOSE(CONTROL!$C$9, $D$9, 100%, $F$9) + CHOOSE(CONTROL!$C$27, 0.0021, 0)</f>
        <v>22.383299999999998</v>
      </c>
      <c r="G39" s="14">
        <f>22.6526 * CHOOSE(CONTROL!$C$9, $D$9, 100%, $F$9) + CHOOSE(CONTROL!$C$27, 0.0021, 0)</f>
        <v>22.654699999999998</v>
      </c>
      <c r="H39" s="14">
        <f>22.5179 * CHOOSE(CONTROL!$C$9, $D$9, 100%, $F$9) + CHOOSE(CONTROL!$C$27, 0.0021, 0)</f>
        <v>22.52</v>
      </c>
      <c r="I39" s="14">
        <f>22.5179 * CHOOSE(CONTROL!$C$9, $D$9, 100%, $F$9) + CHOOSE(CONTROL!$C$27, 0.0021, 0)</f>
        <v>22.52</v>
      </c>
      <c r="J39" s="14">
        <f>22.5179 * CHOOSE(CONTROL!$C$9, $D$9, 100%, $F$9) + CHOOSE(CONTROL!$C$27, 0.0021, 0)</f>
        <v>22.52</v>
      </c>
      <c r="K39" s="14">
        <f>22.5179 * CHOOSE(CONTROL!$C$9, $D$9, 100%, $F$9) + CHOOSE(CONTROL!$C$27, 0.0021, 0)</f>
        <v>22.52</v>
      </c>
      <c r="L39" s="14"/>
      <c r="M39" s="35"/>
      <c r="N39" s="35"/>
      <c r="O39" s="35"/>
      <c r="P39" s="35"/>
      <c r="Q39" s="35"/>
    </row>
    <row r="40" spans="1:17" ht="15" x14ac:dyDescent="0.2">
      <c r="A40" s="13">
        <v>42125</v>
      </c>
      <c r="B40" s="14">
        <f>22.7917 * CHOOSE(CONTROL!$C$9, $D$9, 100%, $F$9) + CHOOSE(CONTROL!$C$27, 0.0021, 0)</f>
        <v>22.793799999999997</v>
      </c>
      <c r="C40" s="14">
        <f>22.3594 * CHOOSE(CONTROL!$C$9, $D$9, 100%, $F$9) + CHOOSE(CONTROL!$C$27, 0.0021, 0)</f>
        <v>22.361499999999999</v>
      </c>
      <c r="D40" s="14">
        <f>22.3594 * CHOOSE(CONTROL!$C$9, $D$9, 100%, $F$9) + CHOOSE(CONTROL!$C$27, 0.0021, 0)</f>
        <v>22.361499999999999</v>
      </c>
      <c r="E40" s="14">
        <f>22.2228 * CHOOSE(CONTROL!$C$9, $D$9, 100%, $F$9) + CHOOSE(CONTROL!$C$27, 0.0021, 0)</f>
        <v>22.224899999999998</v>
      </c>
      <c r="F40" s="14">
        <f>22.2228 * CHOOSE(CONTROL!$C$9, $D$9, 100%, $F$9) + CHOOSE(CONTROL!$C$27, 0.0021, 0)</f>
        <v>22.224899999999998</v>
      </c>
      <c r="G40" s="14">
        <f>22.4941 * CHOOSE(CONTROL!$C$9, $D$9, 100%, $F$9) + CHOOSE(CONTROL!$C$27, 0.0021, 0)</f>
        <v>22.496199999999998</v>
      </c>
      <c r="H40" s="14">
        <f>22.3594 * CHOOSE(CONTROL!$C$9, $D$9, 100%, $F$9) + CHOOSE(CONTROL!$C$27, 0.0021, 0)</f>
        <v>22.361499999999999</v>
      </c>
      <c r="I40" s="14">
        <f>22.3594 * CHOOSE(CONTROL!$C$9, $D$9, 100%, $F$9) + CHOOSE(CONTROL!$C$27, 0.0021, 0)</f>
        <v>22.361499999999999</v>
      </c>
      <c r="J40" s="14">
        <f>22.3594 * CHOOSE(CONTROL!$C$9, $D$9, 100%, $F$9) + CHOOSE(CONTROL!$C$27, 0.0021, 0)</f>
        <v>22.361499999999999</v>
      </c>
      <c r="K40" s="14">
        <f>22.3594 * CHOOSE(CONTROL!$C$9, $D$9, 100%, $F$9) + CHOOSE(CONTROL!$C$27, 0.0021, 0)</f>
        <v>22.361499999999999</v>
      </c>
      <c r="L40" s="14"/>
      <c r="M40" s="35"/>
      <c r="N40" s="35"/>
      <c r="O40" s="35"/>
      <c r="P40" s="35"/>
      <c r="Q40" s="35"/>
    </row>
    <row r="41" spans="1:17" ht="15" x14ac:dyDescent="0.2">
      <c r="A41" s="13">
        <v>42156</v>
      </c>
      <c r="B41" s="14">
        <f>22.6368 * CHOOSE(CONTROL!$C$9, $D$9, 100%, $F$9) + CHOOSE(CONTROL!$C$27, 0.0021, 0)</f>
        <v>22.6389</v>
      </c>
      <c r="C41" s="14">
        <f>22.2045 * CHOOSE(CONTROL!$C$9, $D$9, 100%, $F$9) + CHOOSE(CONTROL!$C$27, 0.0021, 0)</f>
        <v>22.206599999999998</v>
      </c>
      <c r="D41" s="14">
        <f>22.2045 * CHOOSE(CONTROL!$C$9, $D$9, 100%, $F$9) + CHOOSE(CONTROL!$C$27, 0.0021, 0)</f>
        <v>22.206599999999998</v>
      </c>
      <c r="E41" s="14">
        <f>22.0679 * CHOOSE(CONTROL!$C$9, $D$9, 100%, $F$9) + CHOOSE(CONTROL!$C$27, 0.0021, 0)</f>
        <v>22.07</v>
      </c>
      <c r="F41" s="14">
        <f>22.0679 * CHOOSE(CONTROL!$C$9, $D$9, 100%, $F$9) + CHOOSE(CONTROL!$C$27, 0.0021, 0)</f>
        <v>22.07</v>
      </c>
      <c r="G41" s="14">
        <f>22.3392 * CHOOSE(CONTROL!$C$9, $D$9, 100%, $F$9) + CHOOSE(CONTROL!$C$27, 0.0021, 0)</f>
        <v>22.3413</v>
      </c>
      <c r="H41" s="14">
        <f>22.2045 * CHOOSE(CONTROL!$C$9, $D$9, 100%, $F$9) + CHOOSE(CONTROL!$C$27, 0.0021, 0)</f>
        <v>22.206599999999998</v>
      </c>
      <c r="I41" s="14">
        <f>22.2045 * CHOOSE(CONTROL!$C$9, $D$9, 100%, $F$9) + CHOOSE(CONTROL!$C$27, 0.0021, 0)</f>
        <v>22.206599999999998</v>
      </c>
      <c r="J41" s="14">
        <f>22.2045 * CHOOSE(CONTROL!$C$9, $D$9, 100%, $F$9) + CHOOSE(CONTROL!$C$27, 0.0021, 0)</f>
        <v>22.206599999999998</v>
      </c>
      <c r="K41" s="14">
        <f>22.2045 * CHOOSE(CONTROL!$C$9, $D$9, 100%, $F$9) + CHOOSE(CONTROL!$C$27, 0.0021, 0)</f>
        <v>22.206599999999998</v>
      </c>
      <c r="L41" s="14"/>
      <c r="M41" s="35"/>
      <c r="N41" s="35"/>
      <c r="O41" s="35"/>
      <c r="P41" s="35"/>
      <c r="Q41" s="35"/>
    </row>
    <row r="42" spans="1:17" ht="15" x14ac:dyDescent="0.2">
      <c r="A42" s="13">
        <v>42186</v>
      </c>
      <c r="B42" s="14">
        <f>22.5827 * CHOOSE(CONTROL!$C$9, $D$9, 100%, $F$9) + CHOOSE(CONTROL!$C$27, 0.0021, 0)</f>
        <v>22.584799999999998</v>
      </c>
      <c r="C42" s="14">
        <f>22.1505 * CHOOSE(CONTROL!$C$9, $D$9, 100%, $F$9) + CHOOSE(CONTROL!$C$27, 0.0021, 0)</f>
        <v>22.1526</v>
      </c>
      <c r="D42" s="14">
        <f>22.1505 * CHOOSE(CONTROL!$C$9, $D$9, 100%, $F$9) + CHOOSE(CONTROL!$C$27, 0.0021, 0)</f>
        <v>22.1526</v>
      </c>
      <c r="E42" s="14">
        <f>22.0138 * CHOOSE(CONTROL!$C$9, $D$9, 100%, $F$9) + CHOOSE(CONTROL!$C$27, 0.0021, 0)</f>
        <v>22.015899999999998</v>
      </c>
      <c r="F42" s="14">
        <f>22.0138 * CHOOSE(CONTROL!$C$9, $D$9, 100%, $F$9) + CHOOSE(CONTROL!$C$27, 0.0021, 0)</f>
        <v>22.015899999999998</v>
      </c>
      <c r="G42" s="14">
        <f>22.2852 * CHOOSE(CONTROL!$C$9, $D$9, 100%, $F$9) + CHOOSE(CONTROL!$C$27, 0.0021, 0)</f>
        <v>22.287299999999998</v>
      </c>
      <c r="H42" s="14">
        <f>22.1505 * CHOOSE(CONTROL!$C$9, $D$9, 100%, $F$9) + CHOOSE(CONTROL!$C$27, 0.0021, 0)</f>
        <v>22.1526</v>
      </c>
      <c r="I42" s="14">
        <f>22.1505 * CHOOSE(CONTROL!$C$9, $D$9, 100%, $F$9) + CHOOSE(CONTROL!$C$27, 0.0021, 0)</f>
        <v>22.1526</v>
      </c>
      <c r="J42" s="14">
        <f>22.1505 * CHOOSE(CONTROL!$C$9, $D$9, 100%, $F$9) + CHOOSE(CONTROL!$C$27, 0.0021, 0)</f>
        <v>22.1526</v>
      </c>
      <c r="K42" s="14">
        <f>22.1505 * CHOOSE(CONTROL!$C$9, $D$9, 100%, $F$9) + CHOOSE(CONTROL!$C$27, 0.0021, 0)</f>
        <v>22.1526</v>
      </c>
      <c r="L42" s="14"/>
      <c r="M42" s="35"/>
      <c r="N42" s="35"/>
      <c r="O42" s="35"/>
      <c r="P42" s="35"/>
      <c r="Q42" s="35"/>
    </row>
    <row r="43" spans="1:17" ht="15" x14ac:dyDescent="0.2">
      <c r="A43" s="13">
        <v>42217</v>
      </c>
      <c r="B43" s="14">
        <f>22.5251 * CHOOSE(CONTROL!$C$9, $D$9, 100%, $F$9) + CHOOSE(CONTROL!$C$27, 0.0021, 0)</f>
        <v>22.527199999999997</v>
      </c>
      <c r="C43" s="14">
        <f>22.0929 * CHOOSE(CONTROL!$C$9, $D$9, 100%, $F$9) + CHOOSE(CONTROL!$C$27, 0.0021, 0)</f>
        <v>22.094999999999999</v>
      </c>
      <c r="D43" s="14">
        <f>22.0929 * CHOOSE(CONTROL!$C$9, $D$9, 100%, $F$9) + CHOOSE(CONTROL!$C$27, 0.0021, 0)</f>
        <v>22.094999999999999</v>
      </c>
      <c r="E43" s="14">
        <f>21.9562 * CHOOSE(CONTROL!$C$9, $D$9, 100%, $F$9) + CHOOSE(CONTROL!$C$27, 0.0021, 0)</f>
        <v>21.958299999999998</v>
      </c>
      <c r="F43" s="14">
        <f>21.9562 * CHOOSE(CONTROL!$C$9, $D$9, 100%, $F$9) + CHOOSE(CONTROL!$C$27, 0.0021, 0)</f>
        <v>21.958299999999998</v>
      </c>
      <c r="G43" s="14">
        <f>22.2276 * CHOOSE(CONTROL!$C$9, $D$9, 100%, $F$9) + CHOOSE(CONTROL!$C$27, 0.0021, 0)</f>
        <v>22.229699999999998</v>
      </c>
      <c r="H43" s="14">
        <f>22.0929 * CHOOSE(CONTROL!$C$9, $D$9, 100%, $F$9) + CHOOSE(CONTROL!$C$27, 0.0021, 0)</f>
        <v>22.094999999999999</v>
      </c>
      <c r="I43" s="14">
        <f>22.0929 * CHOOSE(CONTROL!$C$9, $D$9, 100%, $F$9) + CHOOSE(CONTROL!$C$27, 0.0021, 0)</f>
        <v>22.094999999999999</v>
      </c>
      <c r="J43" s="14">
        <f>22.0929 * CHOOSE(CONTROL!$C$9, $D$9, 100%, $F$9) + CHOOSE(CONTROL!$C$27, 0.0021, 0)</f>
        <v>22.094999999999999</v>
      </c>
      <c r="K43" s="14">
        <f>22.0929 * CHOOSE(CONTROL!$C$9, $D$9, 100%, $F$9) + CHOOSE(CONTROL!$C$27, 0.0021, 0)</f>
        <v>22.094999999999999</v>
      </c>
      <c r="L43" s="14"/>
      <c r="M43" s="35"/>
      <c r="N43" s="35"/>
      <c r="O43" s="35"/>
      <c r="P43" s="35"/>
      <c r="Q43" s="35"/>
    </row>
    <row r="44" spans="1:17" ht="15" x14ac:dyDescent="0.2">
      <c r="A44" s="13">
        <v>42248</v>
      </c>
      <c r="B44" s="14">
        <f>22.4675 * CHOOSE(CONTROL!$C$9, $D$9, 100%, $F$9) + CHOOSE(CONTROL!$C$27, 0.0021, 0)</f>
        <v>22.4696</v>
      </c>
      <c r="C44" s="14">
        <f>22.0352 * CHOOSE(CONTROL!$C$9, $D$9, 100%, $F$9) + CHOOSE(CONTROL!$C$27, 0.0021, 0)</f>
        <v>22.037299999999998</v>
      </c>
      <c r="D44" s="14">
        <f>22.0352 * CHOOSE(CONTROL!$C$9, $D$9, 100%, $F$9) + CHOOSE(CONTROL!$C$27, 0.0021, 0)</f>
        <v>22.037299999999998</v>
      </c>
      <c r="E44" s="14">
        <f>21.8986 * CHOOSE(CONTROL!$C$9, $D$9, 100%, $F$9) + CHOOSE(CONTROL!$C$27, 0.0021, 0)</f>
        <v>21.900699999999997</v>
      </c>
      <c r="F44" s="14">
        <f>21.8986 * CHOOSE(CONTROL!$C$9, $D$9, 100%, $F$9) + CHOOSE(CONTROL!$C$27, 0.0021, 0)</f>
        <v>21.900699999999997</v>
      </c>
      <c r="G44" s="14">
        <f>22.1699 * CHOOSE(CONTROL!$C$9, $D$9, 100%, $F$9) + CHOOSE(CONTROL!$C$27, 0.0021, 0)</f>
        <v>22.171999999999997</v>
      </c>
      <c r="H44" s="14">
        <f>22.0352 * CHOOSE(CONTROL!$C$9, $D$9, 100%, $F$9) + CHOOSE(CONTROL!$C$27, 0.0021, 0)</f>
        <v>22.037299999999998</v>
      </c>
      <c r="I44" s="14">
        <f>22.0352 * CHOOSE(CONTROL!$C$9, $D$9, 100%, $F$9) + CHOOSE(CONTROL!$C$27, 0.0021, 0)</f>
        <v>22.037299999999998</v>
      </c>
      <c r="J44" s="14">
        <f>22.0352 * CHOOSE(CONTROL!$C$9, $D$9, 100%, $F$9) + CHOOSE(CONTROL!$C$27, 0.0021, 0)</f>
        <v>22.037299999999998</v>
      </c>
      <c r="K44" s="14">
        <f>22.0352 * CHOOSE(CONTROL!$C$9, $D$9, 100%, $F$9) + CHOOSE(CONTROL!$C$27, 0.0021, 0)</f>
        <v>22.037299999999998</v>
      </c>
      <c r="L44" s="14"/>
      <c r="M44" s="35"/>
      <c r="N44" s="35"/>
      <c r="O44" s="35"/>
      <c r="P44" s="35"/>
      <c r="Q44" s="35"/>
    </row>
    <row r="45" spans="1:17" ht="15" x14ac:dyDescent="0.2">
      <c r="A45" s="13">
        <v>42278</v>
      </c>
      <c r="B45" s="14">
        <f>22.4062 * CHOOSE(CONTROL!$C$9, $D$9, 100%, $F$9) + CHOOSE(CONTROL!$C$27, 0.0021, 0)</f>
        <v>22.408299999999997</v>
      </c>
      <c r="C45" s="14">
        <f>21.974 * CHOOSE(CONTROL!$C$9, $D$9, 100%, $F$9) + CHOOSE(CONTROL!$C$27, 0.0021, 0)</f>
        <v>21.976099999999999</v>
      </c>
      <c r="D45" s="14">
        <f>21.974 * CHOOSE(CONTROL!$C$9, $D$9, 100%, $F$9) + CHOOSE(CONTROL!$C$27, 0.0021, 0)</f>
        <v>21.976099999999999</v>
      </c>
      <c r="E45" s="14">
        <f>21.8373 * CHOOSE(CONTROL!$C$9, $D$9, 100%, $F$9) + CHOOSE(CONTROL!$C$27, 0.0021, 0)</f>
        <v>21.839399999999998</v>
      </c>
      <c r="F45" s="14">
        <f>21.8373 * CHOOSE(CONTROL!$C$9, $D$9, 100%, $F$9) + CHOOSE(CONTROL!$C$27, 0.0021, 0)</f>
        <v>21.839399999999998</v>
      </c>
      <c r="G45" s="14">
        <f>22.1087 * CHOOSE(CONTROL!$C$9, $D$9, 100%, $F$9) + CHOOSE(CONTROL!$C$27, 0.0021, 0)</f>
        <v>22.110799999999998</v>
      </c>
      <c r="H45" s="14">
        <f>21.974 * CHOOSE(CONTROL!$C$9, $D$9, 100%, $F$9) + CHOOSE(CONTROL!$C$27, 0.0021, 0)</f>
        <v>21.976099999999999</v>
      </c>
      <c r="I45" s="14">
        <f>21.974 * CHOOSE(CONTROL!$C$9, $D$9, 100%, $F$9) + CHOOSE(CONTROL!$C$27, 0.0021, 0)</f>
        <v>21.976099999999999</v>
      </c>
      <c r="J45" s="14">
        <f>21.974 * CHOOSE(CONTROL!$C$9, $D$9, 100%, $F$9) + CHOOSE(CONTROL!$C$27, 0.0021, 0)</f>
        <v>21.976099999999999</v>
      </c>
      <c r="K45" s="14">
        <f>21.974 * CHOOSE(CONTROL!$C$9, $D$9, 100%, $F$9) + CHOOSE(CONTROL!$C$27, 0.0021, 0)</f>
        <v>21.976099999999999</v>
      </c>
      <c r="L45" s="14"/>
      <c r="M45" s="35"/>
      <c r="N45" s="35"/>
      <c r="O45" s="35"/>
      <c r="P45" s="35"/>
      <c r="Q45" s="35"/>
    </row>
    <row r="46" spans="1:17" ht="15" x14ac:dyDescent="0.2">
      <c r="A46" s="13">
        <v>42309</v>
      </c>
      <c r="B46" s="14">
        <f>22.3414 * CHOOSE(CONTROL!$C$9, $D$9, 100%, $F$9) + CHOOSE(CONTROL!$C$27, 0.0021, 0)</f>
        <v>22.343499999999999</v>
      </c>
      <c r="C46" s="14">
        <f>21.9092 * CHOOSE(CONTROL!$C$9, $D$9, 100%, $F$9) + CHOOSE(CONTROL!$C$27, 0.0021, 0)</f>
        <v>21.911299999999997</v>
      </c>
      <c r="D46" s="14">
        <f>21.9092 * CHOOSE(CONTROL!$C$9, $D$9, 100%, $F$9) + CHOOSE(CONTROL!$C$27, 0.0021, 0)</f>
        <v>21.911299999999997</v>
      </c>
      <c r="E46" s="14">
        <f>21.7725 * CHOOSE(CONTROL!$C$9, $D$9, 100%, $F$9) + CHOOSE(CONTROL!$C$27, 0.0021, 0)</f>
        <v>21.7746</v>
      </c>
      <c r="F46" s="14">
        <f>21.7725 * CHOOSE(CONTROL!$C$9, $D$9, 100%, $F$9) + CHOOSE(CONTROL!$C$27, 0.0021, 0)</f>
        <v>21.7746</v>
      </c>
      <c r="G46" s="14">
        <f>22.0439 * CHOOSE(CONTROL!$C$9, $D$9, 100%, $F$9) + CHOOSE(CONTROL!$C$27, 0.0021, 0)</f>
        <v>22.045999999999999</v>
      </c>
      <c r="H46" s="14">
        <f>21.9092 * CHOOSE(CONTROL!$C$9, $D$9, 100%, $F$9) + CHOOSE(CONTROL!$C$27, 0.0021, 0)</f>
        <v>21.911299999999997</v>
      </c>
      <c r="I46" s="14">
        <f>21.9092 * CHOOSE(CONTROL!$C$9, $D$9, 100%, $F$9) + CHOOSE(CONTROL!$C$27, 0.0021, 0)</f>
        <v>21.911299999999997</v>
      </c>
      <c r="J46" s="14">
        <f>21.9092 * CHOOSE(CONTROL!$C$9, $D$9, 100%, $F$9) + CHOOSE(CONTROL!$C$27, 0.0021, 0)</f>
        <v>21.911299999999997</v>
      </c>
      <c r="K46" s="14">
        <f>21.9092 * CHOOSE(CONTROL!$C$9, $D$9, 100%, $F$9) + CHOOSE(CONTROL!$C$27, 0.0021, 0)</f>
        <v>21.911299999999997</v>
      </c>
      <c r="L46" s="14"/>
      <c r="M46" s="35"/>
      <c r="N46" s="35"/>
      <c r="O46" s="35"/>
      <c r="P46" s="35"/>
      <c r="Q46" s="35"/>
    </row>
    <row r="47" spans="1:17" ht="15" x14ac:dyDescent="0.2">
      <c r="A47" s="13">
        <v>42339</v>
      </c>
      <c r="B47" s="14">
        <f>22.2802 * CHOOSE(CONTROL!$C$9, $D$9, 100%, $F$9) + CHOOSE(CONTROL!$C$27, 0.0021, 0)</f>
        <v>22.282299999999999</v>
      </c>
      <c r="C47" s="14">
        <f>21.8479 * CHOOSE(CONTROL!$C$9, $D$9, 100%, $F$9) + CHOOSE(CONTROL!$C$27, 0.0021, 0)</f>
        <v>21.849999999999998</v>
      </c>
      <c r="D47" s="14">
        <f>21.8479 * CHOOSE(CONTROL!$C$9, $D$9, 100%, $F$9) + CHOOSE(CONTROL!$C$27, 0.0021, 0)</f>
        <v>21.849999999999998</v>
      </c>
      <c r="E47" s="14">
        <f>21.7113 * CHOOSE(CONTROL!$C$9, $D$9, 100%, $F$9) + CHOOSE(CONTROL!$C$27, 0.0021, 0)</f>
        <v>21.7134</v>
      </c>
      <c r="F47" s="14">
        <f>21.7113 * CHOOSE(CONTROL!$C$9, $D$9, 100%, $F$9) + CHOOSE(CONTROL!$C$27, 0.0021, 0)</f>
        <v>21.7134</v>
      </c>
      <c r="G47" s="14">
        <f>21.9826 * CHOOSE(CONTROL!$C$9, $D$9, 100%, $F$9) + CHOOSE(CONTROL!$C$27, 0.0021, 0)</f>
        <v>21.9847</v>
      </c>
      <c r="H47" s="14">
        <f>21.8479 * CHOOSE(CONTROL!$C$9, $D$9, 100%, $F$9) + CHOOSE(CONTROL!$C$27, 0.0021, 0)</f>
        <v>21.849999999999998</v>
      </c>
      <c r="I47" s="14">
        <f>21.8479 * CHOOSE(CONTROL!$C$9, $D$9, 100%, $F$9) + CHOOSE(CONTROL!$C$27, 0.0021, 0)</f>
        <v>21.849999999999998</v>
      </c>
      <c r="J47" s="14">
        <f>21.8479 * CHOOSE(CONTROL!$C$9, $D$9, 100%, $F$9) + CHOOSE(CONTROL!$C$27, 0.0021, 0)</f>
        <v>21.849999999999998</v>
      </c>
      <c r="K47" s="14">
        <f>21.8479 * CHOOSE(CONTROL!$C$9, $D$9, 100%, $F$9) + CHOOSE(CONTROL!$C$27, 0.0021, 0)</f>
        <v>21.849999999999998</v>
      </c>
      <c r="L47" s="14"/>
      <c r="M47" s="35"/>
      <c r="N47" s="35"/>
      <c r="O47" s="35"/>
      <c r="P47" s="35"/>
      <c r="Q47" s="35"/>
    </row>
    <row r="48" spans="1:17" ht="15" x14ac:dyDescent="0.2">
      <c r="A48" s="13">
        <v>42370</v>
      </c>
      <c r="B48" s="14">
        <f>23.3103 * CHOOSE(CONTROL!$C$9, $D$9, 100%, $F$9) + CHOOSE(CONTROL!$C$27, 0.0021, 0)</f>
        <v>23.3124</v>
      </c>
      <c r="C48" s="14">
        <f>22.878 * CHOOSE(CONTROL!$C$9, $D$9, 100%, $F$9) + CHOOSE(CONTROL!$C$27, 0.0021, 0)</f>
        <v>22.880099999999999</v>
      </c>
      <c r="D48" s="14">
        <f>22.878 * CHOOSE(CONTROL!$C$9, $D$9, 100%, $F$9) + CHOOSE(CONTROL!$C$27, 0.0021, 0)</f>
        <v>22.880099999999999</v>
      </c>
      <c r="E48" s="14">
        <f>22.7414 * CHOOSE(CONTROL!$C$9, $D$9, 100%, $F$9) + CHOOSE(CONTROL!$C$27, 0.0021, 0)</f>
        <v>22.743499999999997</v>
      </c>
      <c r="F48" s="14">
        <f>22.7414 * CHOOSE(CONTROL!$C$9, $D$9, 100%, $F$9) + CHOOSE(CONTROL!$C$27, 0.0021, 0)</f>
        <v>22.743499999999997</v>
      </c>
      <c r="G48" s="14">
        <f>23.0127 * CHOOSE(CONTROL!$C$9, $D$9, 100%, $F$9) + CHOOSE(CONTROL!$C$27, 0.0021, 0)</f>
        <v>23.014799999999997</v>
      </c>
      <c r="H48" s="14">
        <f>22.878 * CHOOSE(CONTROL!$C$9, $D$9, 100%, $F$9) + CHOOSE(CONTROL!$C$27, 0.0021, 0)</f>
        <v>22.880099999999999</v>
      </c>
      <c r="I48" s="14">
        <f>22.878 * CHOOSE(CONTROL!$C$9, $D$9, 100%, $F$9) + CHOOSE(CONTROL!$C$27, 0.0021, 0)</f>
        <v>22.880099999999999</v>
      </c>
      <c r="J48" s="14">
        <f>22.878 * CHOOSE(CONTROL!$C$9, $D$9, 100%, $F$9) + CHOOSE(CONTROL!$C$27, 0.0021, 0)</f>
        <v>22.880099999999999</v>
      </c>
      <c r="K48" s="14">
        <f>22.878 * CHOOSE(CONTROL!$C$9, $D$9, 100%, $F$9) + CHOOSE(CONTROL!$C$27, 0.0021, 0)</f>
        <v>22.880099999999999</v>
      </c>
      <c r="L48" s="14"/>
    </row>
    <row r="49" spans="1:12" ht="15" x14ac:dyDescent="0.2">
      <c r="A49" s="13">
        <v>42401</v>
      </c>
      <c r="B49" s="14">
        <f>22.7158 * CHOOSE(CONTROL!$C$9, $D$9, 100%, $F$9) + CHOOSE(CONTROL!$C$27, 0.0021, 0)</f>
        <v>22.7179</v>
      </c>
      <c r="C49" s="14">
        <f>22.2835 * CHOOSE(CONTROL!$C$9, $D$9, 100%, $F$9) + CHOOSE(CONTROL!$C$27, 0.0021, 0)</f>
        <v>22.285599999999999</v>
      </c>
      <c r="D49" s="14">
        <f>22.2835 * CHOOSE(CONTROL!$C$9, $D$9, 100%, $F$9) + CHOOSE(CONTROL!$C$27, 0.0021, 0)</f>
        <v>22.285599999999999</v>
      </c>
      <c r="E49" s="14">
        <f>22.1469 * CHOOSE(CONTROL!$C$9, $D$9, 100%, $F$9) + CHOOSE(CONTROL!$C$27, 0.0021, 0)</f>
        <v>22.148999999999997</v>
      </c>
      <c r="F49" s="14">
        <f>22.1469 * CHOOSE(CONTROL!$C$9, $D$9, 100%, $F$9) + CHOOSE(CONTROL!$C$27, 0.0021, 0)</f>
        <v>22.148999999999997</v>
      </c>
      <c r="G49" s="14">
        <f>22.4182 * CHOOSE(CONTROL!$C$9, $D$9, 100%, $F$9) + CHOOSE(CONTROL!$C$27, 0.0021, 0)</f>
        <v>22.420299999999997</v>
      </c>
      <c r="H49" s="14">
        <f>22.2835 * CHOOSE(CONTROL!$C$9, $D$9, 100%, $F$9) + CHOOSE(CONTROL!$C$27, 0.0021, 0)</f>
        <v>22.285599999999999</v>
      </c>
      <c r="I49" s="14">
        <f>22.2835 * CHOOSE(CONTROL!$C$9, $D$9, 100%, $F$9) + CHOOSE(CONTROL!$C$27, 0.0021, 0)</f>
        <v>22.285599999999999</v>
      </c>
      <c r="J49" s="14">
        <f>22.2835 * CHOOSE(CONTROL!$C$9, $D$9, 100%, $F$9) + CHOOSE(CONTROL!$C$27, 0.0021, 0)</f>
        <v>22.285599999999999</v>
      </c>
      <c r="K49" s="14">
        <f>22.2835 * CHOOSE(CONTROL!$C$9, $D$9, 100%, $F$9) + CHOOSE(CONTROL!$C$27, 0.0021, 0)</f>
        <v>22.285599999999999</v>
      </c>
      <c r="L49" s="14"/>
    </row>
    <row r="50" spans="1:12" ht="15" x14ac:dyDescent="0.2">
      <c r="A50" s="13">
        <v>42430</v>
      </c>
      <c r="B50" s="14">
        <f>22.4703 * CHOOSE(CONTROL!$C$9, $D$9, 100%, $F$9) + CHOOSE(CONTROL!$C$27, 0.0021, 0)</f>
        <v>22.4724</v>
      </c>
      <c r="C50" s="14">
        <f>22.0381 * CHOOSE(CONTROL!$C$9, $D$9, 100%, $F$9) + CHOOSE(CONTROL!$C$27, 0.0021, 0)</f>
        <v>22.040199999999999</v>
      </c>
      <c r="D50" s="14">
        <f>22.0381 * CHOOSE(CONTROL!$C$9, $D$9, 100%, $F$9) + CHOOSE(CONTROL!$C$27, 0.0021, 0)</f>
        <v>22.040199999999999</v>
      </c>
      <c r="E50" s="14">
        <f>21.9014 * CHOOSE(CONTROL!$C$9, $D$9, 100%, $F$9) + CHOOSE(CONTROL!$C$27, 0.0021, 0)</f>
        <v>21.903499999999998</v>
      </c>
      <c r="F50" s="14">
        <f>21.9014 * CHOOSE(CONTROL!$C$9, $D$9, 100%, $F$9) + CHOOSE(CONTROL!$C$27, 0.0021, 0)</f>
        <v>21.903499999999998</v>
      </c>
      <c r="G50" s="14">
        <f>22.1728 * CHOOSE(CONTROL!$C$9, $D$9, 100%, $F$9) + CHOOSE(CONTROL!$C$27, 0.0021, 0)</f>
        <v>22.174899999999997</v>
      </c>
      <c r="H50" s="14">
        <f>22.0381 * CHOOSE(CONTROL!$C$9, $D$9, 100%, $F$9) + CHOOSE(CONTROL!$C$27, 0.0021, 0)</f>
        <v>22.040199999999999</v>
      </c>
      <c r="I50" s="14">
        <f>22.0381 * CHOOSE(CONTROL!$C$9, $D$9, 100%, $F$9) + CHOOSE(CONTROL!$C$27, 0.0021, 0)</f>
        <v>22.040199999999999</v>
      </c>
      <c r="J50" s="14">
        <f>22.0381 * CHOOSE(CONTROL!$C$9, $D$9, 100%, $F$9) + CHOOSE(CONTROL!$C$27, 0.0021, 0)</f>
        <v>22.040199999999999</v>
      </c>
      <c r="K50" s="14">
        <f>22.0381 * CHOOSE(CONTROL!$C$9, $D$9, 100%, $F$9) + CHOOSE(CONTROL!$C$27, 0.0021, 0)</f>
        <v>22.040199999999999</v>
      </c>
      <c r="L50" s="14"/>
    </row>
    <row r="51" spans="1:12" ht="15" x14ac:dyDescent="0.2">
      <c r="A51" s="13">
        <v>42461</v>
      </c>
      <c r="B51" s="14">
        <f>22.1773 * CHOOSE(CONTROL!$C$9, $D$9, 100%, $F$9) + CHOOSE(CONTROL!$C$27, 0.0021, 0)</f>
        <v>22.179399999999998</v>
      </c>
      <c r="C51" s="14">
        <f>21.7451 * CHOOSE(CONTROL!$C$9, $D$9, 100%, $F$9) + CHOOSE(CONTROL!$C$27, 0.0021, 0)</f>
        <v>21.747199999999999</v>
      </c>
      <c r="D51" s="14">
        <f>21.7451 * CHOOSE(CONTROL!$C$9, $D$9, 100%, $F$9) + CHOOSE(CONTROL!$C$27, 0.0021, 0)</f>
        <v>21.747199999999999</v>
      </c>
      <c r="E51" s="14">
        <f>21.6084 * CHOOSE(CONTROL!$C$9, $D$9, 100%, $F$9) + CHOOSE(CONTROL!$C$27, 0.0021, 0)</f>
        <v>21.610499999999998</v>
      </c>
      <c r="F51" s="14">
        <f>21.6084 * CHOOSE(CONTROL!$C$9, $D$9, 100%, $F$9) + CHOOSE(CONTROL!$C$27, 0.0021, 0)</f>
        <v>21.610499999999998</v>
      </c>
      <c r="G51" s="14">
        <f>21.8798 * CHOOSE(CONTROL!$C$9, $D$9, 100%, $F$9) + CHOOSE(CONTROL!$C$27, 0.0021, 0)</f>
        <v>21.881899999999998</v>
      </c>
      <c r="H51" s="14">
        <f>21.7451 * CHOOSE(CONTROL!$C$9, $D$9, 100%, $F$9) + CHOOSE(CONTROL!$C$27, 0.0021, 0)</f>
        <v>21.747199999999999</v>
      </c>
      <c r="I51" s="14">
        <f>21.7451 * CHOOSE(CONTROL!$C$9, $D$9, 100%, $F$9) + CHOOSE(CONTROL!$C$27, 0.0021, 0)</f>
        <v>21.747199999999999</v>
      </c>
      <c r="J51" s="14">
        <f>21.7451 * CHOOSE(CONTROL!$C$9, $D$9, 100%, $F$9) + CHOOSE(CONTROL!$C$27, 0.0021, 0)</f>
        <v>21.747199999999999</v>
      </c>
      <c r="K51" s="14">
        <f>21.7451 * CHOOSE(CONTROL!$C$9, $D$9, 100%, $F$9) + CHOOSE(CONTROL!$C$27, 0.0021, 0)</f>
        <v>21.747199999999999</v>
      </c>
      <c r="L51" s="14"/>
    </row>
    <row r="52" spans="1:12" ht="15" x14ac:dyDescent="0.2">
      <c r="A52" s="13">
        <v>42491</v>
      </c>
      <c r="B52" s="14">
        <f>22.5949 * CHOOSE(CONTROL!$C$9, $D$9, 100%, $F$9) + CHOOSE(CONTROL!$C$27, 0.0021, 0)</f>
        <v>22.596999999999998</v>
      </c>
      <c r="C52" s="14">
        <f>22.1627 * CHOOSE(CONTROL!$C$9, $D$9, 100%, $F$9) + CHOOSE(CONTROL!$C$27, 0.0021, 0)</f>
        <v>22.1648</v>
      </c>
      <c r="D52" s="14">
        <f>22.1627 * CHOOSE(CONTROL!$C$9, $D$9, 100%, $F$9) + CHOOSE(CONTROL!$C$27, 0.0021, 0)</f>
        <v>22.1648</v>
      </c>
      <c r="E52" s="14">
        <f>22.026 * CHOOSE(CONTROL!$C$9, $D$9, 100%, $F$9) + CHOOSE(CONTROL!$C$27, 0.0021, 0)</f>
        <v>22.028099999999998</v>
      </c>
      <c r="F52" s="14">
        <f>22.026 * CHOOSE(CONTROL!$C$9, $D$9, 100%, $F$9) + CHOOSE(CONTROL!$C$27, 0.0021, 0)</f>
        <v>22.028099999999998</v>
      </c>
      <c r="G52" s="14">
        <f>22.2974 * CHOOSE(CONTROL!$C$9, $D$9, 100%, $F$9) + CHOOSE(CONTROL!$C$27, 0.0021, 0)</f>
        <v>22.299499999999998</v>
      </c>
      <c r="H52" s="14">
        <f>22.1627 * CHOOSE(CONTROL!$C$9, $D$9, 100%, $F$9) + CHOOSE(CONTROL!$C$27, 0.0021, 0)</f>
        <v>22.1648</v>
      </c>
      <c r="I52" s="14">
        <f>22.1627 * CHOOSE(CONTROL!$C$9, $D$9, 100%, $F$9) + CHOOSE(CONTROL!$C$27, 0.0021, 0)</f>
        <v>22.1648</v>
      </c>
      <c r="J52" s="14">
        <f>22.1627 * CHOOSE(CONTROL!$C$9, $D$9, 100%, $F$9) + CHOOSE(CONTROL!$C$27, 0.0021, 0)</f>
        <v>22.1648</v>
      </c>
      <c r="K52" s="14">
        <f>22.1627 * CHOOSE(CONTROL!$C$9, $D$9, 100%, $F$9) + CHOOSE(CONTROL!$C$27, 0.0021, 0)</f>
        <v>22.1648</v>
      </c>
      <c r="L52" s="14"/>
    </row>
    <row r="53" spans="1:12" ht="15" x14ac:dyDescent="0.2">
      <c r="A53" s="13">
        <v>42522</v>
      </c>
      <c r="B53" s="14">
        <f>22.845 * CHOOSE(CONTROL!$C$9, $D$9, 100%, $F$9) + CHOOSE(CONTROL!$C$27, 0.0021, 0)</f>
        <v>22.847099999999998</v>
      </c>
      <c r="C53" s="14">
        <f>22.4128 * CHOOSE(CONTROL!$C$9, $D$9, 100%, $F$9) + CHOOSE(CONTROL!$C$27, 0.0021, 0)</f>
        <v>22.414899999999999</v>
      </c>
      <c r="D53" s="14">
        <f>22.4128 * CHOOSE(CONTROL!$C$9, $D$9, 100%, $F$9) + CHOOSE(CONTROL!$C$27, 0.0021, 0)</f>
        <v>22.414899999999999</v>
      </c>
      <c r="E53" s="14">
        <f>22.2761 * CHOOSE(CONTROL!$C$9, $D$9, 100%, $F$9) + CHOOSE(CONTROL!$C$27, 0.0021, 0)</f>
        <v>22.278199999999998</v>
      </c>
      <c r="F53" s="14">
        <f>22.2761 * CHOOSE(CONTROL!$C$9, $D$9, 100%, $F$9) + CHOOSE(CONTROL!$C$27, 0.0021, 0)</f>
        <v>22.278199999999998</v>
      </c>
      <c r="G53" s="14">
        <f>22.5475 * CHOOSE(CONTROL!$C$9, $D$9, 100%, $F$9) + CHOOSE(CONTROL!$C$27, 0.0021, 0)</f>
        <v>22.549599999999998</v>
      </c>
      <c r="H53" s="14">
        <f>22.4128 * CHOOSE(CONTROL!$C$9, $D$9, 100%, $F$9) + CHOOSE(CONTROL!$C$27, 0.0021, 0)</f>
        <v>22.414899999999999</v>
      </c>
      <c r="I53" s="14">
        <f>22.4128 * CHOOSE(CONTROL!$C$9, $D$9, 100%, $F$9) + CHOOSE(CONTROL!$C$27, 0.0021, 0)</f>
        <v>22.414899999999999</v>
      </c>
      <c r="J53" s="14">
        <f>22.4128 * CHOOSE(CONTROL!$C$9, $D$9, 100%, $F$9) + CHOOSE(CONTROL!$C$27, 0.0021, 0)</f>
        <v>22.414899999999999</v>
      </c>
      <c r="K53" s="14">
        <f>22.4128 * CHOOSE(CONTROL!$C$9, $D$9, 100%, $F$9) + CHOOSE(CONTROL!$C$27, 0.0021, 0)</f>
        <v>22.414899999999999</v>
      </c>
      <c r="L53" s="14"/>
    </row>
    <row r="54" spans="1:12" ht="15" x14ac:dyDescent="0.2">
      <c r="A54" s="13">
        <v>42552</v>
      </c>
      <c r="B54" s="14">
        <f>23.2576 * CHOOSE(CONTROL!$C$9, $D$9, 100%, $F$9) + CHOOSE(CONTROL!$C$27, 0.0021, 0)</f>
        <v>23.259699999999999</v>
      </c>
      <c r="C54" s="14">
        <f>22.8254 * CHOOSE(CONTROL!$C$9, $D$9, 100%, $F$9) + CHOOSE(CONTROL!$C$27, 0.0021, 0)</f>
        <v>22.827499999999997</v>
      </c>
      <c r="D54" s="14">
        <f>22.8254 * CHOOSE(CONTROL!$C$9, $D$9, 100%, $F$9) + CHOOSE(CONTROL!$C$27, 0.0021, 0)</f>
        <v>22.827499999999997</v>
      </c>
      <c r="E54" s="14">
        <f>22.6887 * CHOOSE(CONTROL!$C$9, $D$9, 100%, $F$9) + CHOOSE(CONTROL!$C$27, 0.0021, 0)</f>
        <v>22.690799999999999</v>
      </c>
      <c r="F54" s="14">
        <f>22.6887 * CHOOSE(CONTROL!$C$9, $D$9, 100%, $F$9) + CHOOSE(CONTROL!$C$27, 0.0021, 0)</f>
        <v>22.690799999999999</v>
      </c>
      <c r="G54" s="14">
        <f>22.9601 * CHOOSE(CONTROL!$C$9, $D$9, 100%, $F$9) + CHOOSE(CONTROL!$C$27, 0.0021, 0)</f>
        <v>22.962199999999999</v>
      </c>
      <c r="H54" s="14">
        <f>22.8254 * CHOOSE(CONTROL!$C$9, $D$9, 100%, $F$9) + CHOOSE(CONTROL!$C$27, 0.0021, 0)</f>
        <v>22.827499999999997</v>
      </c>
      <c r="I54" s="14">
        <f>22.8254 * CHOOSE(CONTROL!$C$9, $D$9, 100%, $F$9) + CHOOSE(CONTROL!$C$27, 0.0021, 0)</f>
        <v>22.827499999999997</v>
      </c>
      <c r="J54" s="14">
        <f>22.8254 * CHOOSE(CONTROL!$C$9, $D$9, 100%, $F$9) + CHOOSE(CONTROL!$C$27, 0.0021, 0)</f>
        <v>22.827499999999997</v>
      </c>
      <c r="K54" s="14">
        <f>22.8254 * CHOOSE(CONTROL!$C$9, $D$9, 100%, $F$9) + CHOOSE(CONTROL!$C$27, 0.0021, 0)</f>
        <v>22.827499999999997</v>
      </c>
      <c r="L54" s="14"/>
    </row>
    <row r="55" spans="1:12" ht="15" x14ac:dyDescent="0.2">
      <c r="A55" s="13">
        <v>42583</v>
      </c>
      <c r="B55" s="14">
        <f>23.3836 * CHOOSE(CONTROL!$C$9, $D$9, 100%, $F$9) + CHOOSE(CONTROL!$C$27, 0.0021, 0)</f>
        <v>23.3857</v>
      </c>
      <c r="C55" s="14">
        <f>22.9513 * CHOOSE(CONTROL!$C$9, $D$9, 100%, $F$9) + CHOOSE(CONTROL!$C$27, 0.0021, 0)</f>
        <v>22.953399999999998</v>
      </c>
      <c r="D55" s="14">
        <f>22.9513 * CHOOSE(CONTROL!$C$9, $D$9, 100%, $F$9) + CHOOSE(CONTROL!$C$27, 0.0021, 0)</f>
        <v>22.953399999999998</v>
      </c>
      <c r="E55" s="14">
        <f>22.8147 * CHOOSE(CONTROL!$C$9, $D$9, 100%, $F$9) + CHOOSE(CONTROL!$C$27, 0.0021, 0)</f>
        <v>22.816799999999997</v>
      </c>
      <c r="F55" s="14">
        <f>22.8147 * CHOOSE(CONTROL!$C$9, $D$9, 100%, $F$9) + CHOOSE(CONTROL!$C$27, 0.0021, 0)</f>
        <v>22.816799999999997</v>
      </c>
      <c r="G55" s="14">
        <f>23.0861 * CHOOSE(CONTROL!$C$9, $D$9, 100%, $F$9) + CHOOSE(CONTROL!$C$27, 0.0021, 0)</f>
        <v>23.088199999999997</v>
      </c>
      <c r="H55" s="14">
        <f>22.9513 * CHOOSE(CONTROL!$C$9, $D$9, 100%, $F$9) + CHOOSE(CONTROL!$C$27, 0.0021, 0)</f>
        <v>22.953399999999998</v>
      </c>
      <c r="I55" s="14">
        <f>22.9513 * CHOOSE(CONTROL!$C$9, $D$9, 100%, $F$9) + CHOOSE(CONTROL!$C$27, 0.0021, 0)</f>
        <v>22.953399999999998</v>
      </c>
      <c r="J55" s="14">
        <f>22.9513 * CHOOSE(CONTROL!$C$9, $D$9, 100%, $F$9) + CHOOSE(CONTROL!$C$27, 0.0021, 0)</f>
        <v>22.953399999999998</v>
      </c>
      <c r="K55" s="14">
        <f>22.9513 * CHOOSE(CONTROL!$C$9, $D$9, 100%, $F$9) + CHOOSE(CONTROL!$C$27, 0.0021, 0)</f>
        <v>22.953399999999998</v>
      </c>
      <c r="L55" s="14"/>
    </row>
    <row r="56" spans="1:12" ht="15" x14ac:dyDescent="0.2">
      <c r="A56" s="13">
        <v>42614</v>
      </c>
      <c r="B56" s="14">
        <f>23.8125 * CHOOSE(CONTROL!$C$9, $D$9, 100%, $F$9) + CHOOSE(CONTROL!$C$27, 0.0021, 0)</f>
        <v>23.814599999999999</v>
      </c>
      <c r="C56" s="14">
        <f>23.3802 * CHOOSE(CONTROL!$C$9, $D$9, 100%, $F$9) + CHOOSE(CONTROL!$C$27, 0.0021, 0)</f>
        <v>23.382299999999997</v>
      </c>
      <c r="D56" s="14">
        <f>23.3802 * CHOOSE(CONTROL!$C$9, $D$9, 100%, $F$9) + CHOOSE(CONTROL!$C$27, 0.0021, 0)</f>
        <v>23.382299999999997</v>
      </c>
      <c r="E56" s="14">
        <f>23.2436 * CHOOSE(CONTROL!$C$9, $D$9, 100%, $F$9) + CHOOSE(CONTROL!$C$27, 0.0021, 0)</f>
        <v>23.245699999999999</v>
      </c>
      <c r="F56" s="14">
        <f>23.2436 * CHOOSE(CONTROL!$C$9, $D$9, 100%, $F$9) + CHOOSE(CONTROL!$C$27, 0.0021, 0)</f>
        <v>23.245699999999999</v>
      </c>
      <c r="G56" s="14">
        <f>23.515 * CHOOSE(CONTROL!$C$9, $D$9, 100%, $F$9) + CHOOSE(CONTROL!$C$27, 0.0021, 0)</f>
        <v>23.517099999999999</v>
      </c>
      <c r="H56" s="14">
        <f>23.3802 * CHOOSE(CONTROL!$C$9, $D$9, 100%, $F$9) + CHOOSE(CONTROL!$C$27, 0.0021, 0)</f>
        <v>23.382299999999997</v>
      </c>
      <c r="I56" s="14">
        <f>23.3802 * CHOOSE(CONTROL!$C$9, $D$9, 100%, $F$9) + CHOOSE(CONTROL!$C$27, 0.0021, 0)</f>
        <v>23.382299999999997</v>
      </c>
      <c r="J56" s="14">
        <f>23.3802 * CHOOSE(CONTROL!$C$9, $D$9, 100%, $F$9) + CHOOSE(CONTROL!$C$27, 0.0021, 0)</f>
        <v>23.382299999999997</v>
      </c>
      <c r="K56" s="14">
        <f>23.3802 * CHOOSE(CONTROL!$C$9, $D$9, 100%, $F$9) + CHOOSE(CONTROL!$C$27, 0.0021, 0)</f>
        <v>23.382299999999997</v>
      </c>
      <c r="L56" s="14"/>
    </row>
    <row r="57" spans="1:12" ht="15" x14ac:dyDescent="0.2">
      <c r="A57" s="13">
        <v>42644</v>
      </c>
      <c r="B57" s="14">
        <f>24.3554 * CHOOSE(CONTROL!$C$9, $D$9, 100%, $F$9) + CHOOSE(CONTROL!$C$27, 0.0021, 0)</f>
        <v>24.357499999999998</v>
      </c>
      <c r="C57" s="14">
        <f>23.9231 * CHOOSE(CONTROL!$C$9, $D$9, 100%, $F$9) + CHOOSE(CONTROL!$C$27, 0.0021, 0)</f>
        <v>23.9252</v>
      </c>
      <c r="D57" s="14">
        <f>23.9231 * CHOOSE(CONTROL!$C$9, $D$9, 100%, $F$9) + CHOOSE(CONTROL!$C$27, 0.0021, 0)</f>
        <v>23.9252</v>
      </c>
      <c r="E57" s="14">
        <f>23.7865 * CHOOSE(CONTROL!$C$9, $D$9, 100%, $F$9) + CHOOSE(CONTROL!$C$27, 0.0021, 0)</f>
        <v>23.788599999999999</v>
      </c>
      <c r="F57" s="14">
        <f>23.7865 * CHOOSE(CONTROL!$C$9, $D$9, 100%, $F$9) + CHOOSE(CONTROL!$C$27, 0.0021, 0)</f>
        <v>23.788599999999999</v>
      </c>
      <c r="G57" s="14">
        <f>24.0579 * CHOOSE(CONTROL!$C$9, $D$9, 100%, $F$9) + CHOOSE(CONTROL!$C$27, 0.0021, 0)</f>
        <v>24.06</v>
      </c>
      <c r="H57" s="14">
        <f>23.9231 * CHOOSE(CONTROL!$C$9, $D$9, 100%, $F$9) + CHOOSE(CONTROL!$C$27, 0.0021, 0)</f>
        <v>23.9252</v>
      </c>
      <c r="I57" s="14">
        <f>23.9231 * CHOOSE(CONTROL!$C$9, $D$9, 100%, $F$9) + CHOOSE(CONTROL!$C$27, 0.0021, 0)</f>
        <v>23.9252</v>
      </c>
      <c r="J57" s="14">
        <f>23.9231 * CHOOSE(CONTROL!$C$9, $D$9, 100%, $F$9) + CHOOSE(CONTROL!$C$27, 0.0021, 0)</f>
        <v>23.9252</v>
      </c>
      <c r="K57" s="14">
        <f>23.9231 * CHOOSE(CONTROL!$C$9, $D$9, 100%, $F$9) + CHOOSE(CONTROL!$C$27, 0.0021, 0)</f>
        <v>23.9252</v>
      </c>
      <c r="L57" s="14"/>
    </row>
    <row r="58" spans="1:12" ht="15" x14ac:dyDescent="0.2">
      <c r="A58" s="13">
        <v>42675</v>
      </c>
      <c r="B58" s="14">
        <f>24.4063 * CHOOSE(CONTROL!$C$9, $D$9, 100%, $F$9) + CHOOSE(CONTROL!$C$27, 0.0021, 0)</f>
        <v>24.4084</v>
      </c>
      <c r="C58" s="14">
        <f>23.9741 * CHOOSE(CONTROL!$C$9, $D$9, 100%, $F$9) + CHOOSE(CONTROL!$C$27, 0.0021, 0)</f>
        <v>23.976199999999999</v>
      </c>
      <c r="D58" s="14">
        <f>23.9741 * CHOOSE(CONTROL!$C$9, $D$9, 100%, $F$9) + CHOOSE(CONTROL!$C$27, 0.0021, 0)</f>
        <v>23.976199999999999</v>
      </c>
      <c r="E58" s="14">
        <f>23.8374 * CHOOSE(CONTROL!$C$9, $D$9, 100%, $F$9) + CHOOSE(CONTROL!$C$27, 0.0021, 0)</f>
        <v>23.839499999999997</v>
      </c>
      <c r="F58" s="14">
        <f>23.8374 * CHOOSE(CONTROL!$C$9, $D$9, 100%, $F$9) + CHOOSE(CONTROL!$C$27, 0.0021, 0)</f>
        <v>23.839499999999997</v>
      </c>
      <c r="G58" s="14">
        <f>24.1088 * CHOOSE(CONTROL!$C$9, $D$9, 100%, $F$9) + CHOOSE(CONTROL!$C$27, 0.0021, 0)</f>
        <v>24.110899999999997</v>
      </c>
      <c r="H58" s="14">
        <f>23.9741 * CHOOSE(CONTROL!$C$9, $D$9, 100%, $F$9) + CHOOSE(CONTROL!$C$27, 0.0021, 0)</f>
        <v>23.976199999999999</v>
      </c>
      <c r="I58" s="14">
        <f>23.9741 * CHOOSE(CONTROL!$C$9, $D$9, 100%, $F$9) + CHOOSE(CONTROL!$C$27, 0.0021, 0)</f>
        <v>23.976199999999999</v>
      </c>
      <c r="J58" s="14">
        <f>23.9741 * CHOOSE(CONTROL!$C$9, $D$9, 100%, $F$9) + CHOOSE(CONTROL!$C$27, 0.0021, 0)</f>
        <v>23.976199999999999</v>
      </c>
      <c r="K58" s="14">
        <f>23.9741 * CHOOSE(CONTROL!$C$9, $D$9, 100%, $F$9) + CHOOSE(CONTROL!$C$27, 0.0021, 0)</f>
        <v>23.976199999999999</v>
      </c>
      <c r="L58" s="14"/>
    </row>
    <row r="59" spans="1:12" ht="15" x14ac:dyDescent="0.2">
      <c r="A59" s="13">
        <v>42705</v>
      </c>
      <c r="B59" s="14">
        <f>23.9727 * CHOOSE(CONTROL!$C$9, $D$9, 100%, $F$9) + CHOOSE(CONTROL!$C$27, 0.0021, 0)</f>
        <v>23.974799999999998</v>
      </c>
      <c r="C59" s="14">
        <f>23.5405 * CHOOSE(CONTROL!$C$9, $D$9, 100%, $F$9) + CHOOSE(CONTROL!$C$27, 0.0021, 0)</f>
        <v>23.5426</v>
      </c>
      <c r="D59" s="14">
        <f>23.5405 * CHOOSE(CONTROL!$C$9, $D$9, 100%, $F$9) + CHOOSE(CONTROL!$C$27, 0.0021, 0)</f>
        <v>23.5426</v>
      </c>
      <c r="E59" s="14">
        <f>23.4038 * CHOOSE(CONTROL!$C$9, $D$9, 100%, $F$9) + CHOOSE(CONTROL!$C$27, 0.0021, 0)</f>
        <v>23.405899999999999</v>
      </c>
      <c r="F59" s="14">
        <f>23.4038 * CHOOSE(CONTROL!$C$9, $D$9, 100%, $F$9) + CHOOSE(CONTROL!$C$27, 0.0021, 0)</f>
        <v>23.405899999999999</v>
      </c>
      <c r="G59" s="14">
        <f>23.6752 * CHOOSE(CONTROL!$C$9, $D$9, 100%, $F$9) + CHOOSE(CONTROL!$C$27, 0.0021, 0)</f>
        <v>23.677299999999999</v>
      </c>
      <c r="H59" s="14">
        <f>23.5405 * CHOOSE(CONTROL!$C$9, $D$9, 100%, $F$9) + CHOOSE(CONTROL!$C$27, 0.0021, 0)</f>
        <v>23.5426</v>
      </c>
      <c r="I59" s="14">
        <f>23.5405 * CHOOSE(CONTROL!$C$9, $D$9, 100%, $F$9) + CHOOSE(CONTROL!$C$27, 0.0021, 0)</f>
        <v>23.5426</v>
      </c>
      <c r="J59" s="14">
        <f>23.5405 * CHOOSE(CONTROL!$C$9, $D$9, 100%, $F$9) + CHOOSE(CONTROL!$C$27, 0.0021, 0)</f>
        <v>23.5426</v>
      </c>
      <c r="K59" s="14">
        <f>23.5405 * CHOOSE(CONTROL!$C$9, $D$9, 100%, $F$9) + CHOOSE(CONTROL!$C$27, 0.0021, 0)</f>
        <v>23.5426</v>
      </c>
      <c r="L59" s="14"/>
    </row>
    <row r="60" spans="1:12" ht="15" x14ac:dyDescent="0.2">
      <c r="A60" s="13">
        <v>42736</v>
      </c>
      <c r="B60" s="14">
        <f>23.7524 * CHOOSE(CONTROL!$C$9, $D$9, 100%, $F$9) + CHOOSE(CONTROL!$C$27, 0.0021, 0)</f>
        <v>23.7545</v>
      </c>
      <c r="C60" s="14">
        <f>23.3202 * CHOOSE(CONTROL!$C$9, $D$9, 100%, $F$9) + CHOOSE(CONTROL!$C$27, 0.0021, 0)</f>
        <v>23.322299999999998</v>
      </c>
      <c r="D60" s="14">
        <f>23.3202 * CHOOSE(CONTROL!$C$9, $D$9, 100%, $F$9) + CHOOSE(CONTROL!$C$27, 0.0021, 0)</f>
        <v>23.322299999999998</v>
      </c>
      <c r="E60" s="14">
        <f>23.1835 * CHOOSE(CONTROL!$C$9, $D$9, 100%, $F$9) + CHOOSE(CONTROL!$C$27, 0.0021, 0)</f>
        <v>23.185599999999997</v>
      </c>
      <c r="F60" s="14">
        <f>23.1835 * CHOOSE(CONTROL!$C$9, $D$9, 100%, $F$9) + CHOOSE(CONTROL!$C$27, 0.0021, 0)</f>
        <v>23.185599999999997</v>
      </c>
      <c r="G60" s="14">
        <f>23.4549 * CHOOSE(CONTROL!$C$9, $D$9, 100%, $F$9) + CHOOSE(CONTROL!$C$27, 0.0021, 0)</f>
        <v>23.456999999999997</v>
      </c>
      <c r="H60" s="14">
        <f>23.3202 * CHOOSE(CONTROL!$C$9, $D$9, 100%, $F$9) + CHOOSE(CONTROL!$C$27, 0.0021, 0)</f>
        <v>23.322299999999998</v>
      </c>
      <c r="I60" s="14">
        <f>23.3202 * CHOOSE(CONTROL!$C$9, $D$9, 100%, $F$9) + CHOOSE(CONTROL!$C$27, 0.0021, 0)</f>
        <v>23.322299999999998</v>
      </c>
      <c r="J60" s="14">
        <f>23.3202 * CHOOSE(CONTROL!$C$9, $D$9, 100%, $F$9) + CHOOSE(CONTROL!$C$27, 0.0021, 0)</f>
        <v>23.322299999999998</v>
      </c>
      <c r="K60" s="14">
        <f>23.3202 * CHOOSE(CONTROL!$C$9, $D$9, 100%, $F$9) + CHOOSE(CONTROL!$C$27, 0.0021, 0)</f>
        <v>23.322299999999998</v>
      </c>
      <c r="L60" s="14"/>
    </row>
    <row r="61" spans="1:12" ht="15" x14ac:dyDescent="0.2">
      <c r="A61" s="13">
        <v>42767</v>
      </c>
      <c r="B61" s="14">
        <f>23.1454 * CHOOSE(CONTROL!$C$9, $D$9, 100%, $F$9) + CHOOSE(CONTROL!$C$27, 0.0021, 0)</f>
        <v>23.147499999999997</v>
      </c>
      <c r="C61" s="14">
        <f>22.7132 * CHOOSE(CONTROL!$C$9, $D$9, 100%, $F$9) + CHOOSE(CONTROL!$C$27, 0.0021, 0)</f>
        <v>22.715299999999999</v>
      </c>
      <c r="D61" s="14">
        <f>22.7132 * CHOOSE(CONTROL!$C$9, $D$9, 100%, $F$9) + CHOOSE(CONTROL!$C$27, 0.0021, 0)</f>
        <v>22.715299999999999</v>
      </c>
      <c r="E61" s="14">
        <f>22.5765 * CHOOSE(CONTROL!$C$9, $D$9, 100%, $F$9) + CHOOSE(CONTROL!$C$27, 0.0021, 0)</f>
        <v>22.578599999999998</v>
      </c>
      <c r="F61" s="14">
        <f>22.5765 * CHOOSE(CONTROL!$C$9, $D$9, 100%, $F$9) + CHOOSE(CONTROL!$C$27, 0.0021, 0)</f>
        <v>22.578599999999998</v>
      </c>
      <c r="G61" s="14">
        <f>22.8479 * CHOOSE(CONTROL!$C$9, $D$9, 100%, $F$9) + CHOOSE(CONTROL!$C$27, 0.0021, 0)</f>
        <v>22.849999999999998</v>
      </c>
      <c r="H61" s="14">
        <f>22.7132 * CHOOSE(CONTROL!$C$9, $D$9, 100%, $F$9) + CHOOSE(CONTROL!$C$27, 0.0021, 0)</f>
        <v>22.715299999999999</v>
      </c>
      <c r="I61" s="14">
        <f>22.7132 * CHOOSE(CONTROL!$C$9, $D$9, 100%, $F$9) + CHOOSE(CONTROL!$C$27, 0.0021, 0)</f>
        <v>22.715299999999999</v>
      </c>
      <c r="J61" s="14">
        <f>22.7132 * CHOOSE(CONTROL!$C$9, $D$9, 100%, $F$9) + CHOOSE(CONTROL!$C$27, 0.0021, 0)</f>
        <v>22.715299999999999</v>
      </c>
      <c r="K61" s="14">
        <f>22.7132 * CHOOSE(CONTROL!$C$9, $D$9, 100%, $F$9) + CHOOSE(CONTROL!$C$27, 0.0021, 0)</f>
        <v>22.715299999999999</v>
      </c>
      <c r="L61" s="14"/>
    </row>
    <row r="62" spans="1:12" ht="15" x14ac:dyDescent="0.2">
      <c r="A62" s="13">
        <v>42795</v>
      </c>
      <c r="B62" s="14">
        <f>22.8948 * CHOOSE(CONTROL!$C$9, $D$9, 100%, $F$9) + CHOOSE(CONTROL!$C$27, 0.0021, 0)</f>
        <v>22.896899999999999</v>
      </c>
      <c r="C62" s="14">
        <f>22.4626 * CHOOSE(CONTROL!$C$9, $D$9, 100%, $F$9) + CHOOSE(CONTROL!$C$27, 0.0021, 0)</f>
        <v>22.464699999999997</v>
      </c>
      <c r="D62" s="14">
        <f>22.4626 * CHOOSE(CONTROL!$C$9, $D$9, 100%, $F$9) + CHOOSE(CONTROL!$C$27, 0.0021, 0)</f>
        <v>22.464699999999997</v>
      </c>
      <c r="E62" s="14">
        <f>22.3259 * CHOOSE(CONTROL!$C$9, $D$9, 100%, $F$9) + CHOOSE(CONTROL!$C$27, 0.0021, 0)</f>
        <v>22.327999999999999</v>
      </c>
      <c r="F62" s="14">
        <f>22.3259 * CHOOSE(CONTROL!$C$9, $D$9, 100%, $F$9) + CHOOSE(CONTROL!$C$27, 0.0021, 0)</f>
        <v>22.327999999999999</v>
      </c>
      <c r="G62" s="14">
        <f>22.5973 * CHOOSE(CONTROL!$C$9, $D$9, 100%, $F$9) + CHOOSE(CONTROL!$C$27, 0.0021, 0)</f>
        <v>22.599399999999999</v>
      </c>
      <c r="H62" s="14">
        <f>22.4626 * CHOOSE(CONTROL!$C$9, $D$9, 100%, $F$9) + CHOOSE(CONTROL!$C$27, 0.0021, 0)</f>
        <v>22.464699999999997</v>
      </c>
      <c r="I62" s="14">
        <f>22.4626 * CHOOSE(CONTROL!$C$9, $D$9, 100%, $F$9) + CHOOSE(CONTROL!$C$27, 0.0021, 0)</f>
        <v>22.464699999999997</v>
      </c>
      <c r="J62" s="14">
        <f>22.4626 * CHOOSE(CONTROL!$C$9, $D$9, 100%, $F$9) + CHOOSE(CONTROL!$C$27, 0.0021, 0)</f>
        <v>22.464699999999997</v>
      </c>
      <c r="K62" s="14">
        <f>22.4626 * CHOOSE(CONTROL!$C$9, $D$9, 100%, $F$9) + CHOOSE(CONTROL!$C$27, 0.0021, 0)</f>
        <v>22.464699999999997</v>
      </c>
      <c r="L62" s="14"/>
    </row>
    <row r="63" spans="1:12" ht="15" x14ac:dyDescent="0.2">
      <c r="A63" s="13">
        <v>42826</v>
      </c>
      <c r="B63" s="14">
        <f>22.5957 * CHOOSE(CONTROL!$C$9, $D$9, 100%, $F$9) + CHOOSE(CONTROL!$C$27, 0.0021, 0)</f>
        <v>22.597799999999999</v>
      </c>
      <c r="C63" s="14">
        <f>22.1634 * CHOOSE(CONTROL!$C$9, $D$9, 100%, $F$9) + CHOOSE(CONTROL!$C$27, 0.0021, 0)</f>
        <v>22.165499999999998</v>
      </c>
      <c r="D63" s="14">
        <f>22.1634 * CHOOSE(CONTROL!$C$9, $D$9, 100%, $F$9) + CHOOSE(CONTROL!$C$27, 0.0021, 0)</f>
        <v>22.165499999999998</v>
      </c>
      <c r="E63" s="14">
        <f>22.0268 * CHOOSE(CONTROL!$C$9, $D$9, 100%, $F$9) + CHOOSE(CONTROL!$C$27, 0.0021, 0)</f>
        <v>22.0289</v>
      </c>
      <c r="F63" s="14">
        <f>22.0268 * CHOOSE(CONTROL!$C$9, $D$9, 100%, $F$9) + CHOOSE(CONTROL!$C$27, 0.0021, 0)</f>
        <v>22.0289</v>
      </c>
      <c r="G63" s="14">
        <f>22.2981 * CHOOSE(CONTROL!$C$9, $D$9, 100%, $F$9) + CHOOSE(CONTROL!$C$27, 0.0021, 0)</f>
        <v>22.3002</v>
      </c>
      <c r="H63" s="14">
        <f>22.1634 * CHOOSE(CONTROL!$C$9, $D$9, 100%, $F$9) + CHOOSE(CONTROL!$C$27, 0.0021, 0)</f>
        <v>22.165499999999998</v>
      </c>
      <c r="I63" s="14">
        <f>22.1634 * CHOOSE(CONTROL!$C$9, $D$9, 100%, $F$9) + CHOOSE(CONTROL!$C$27, 0.0021, 0)</f>
        <v>22.165499999999998</v>
      </c>
      <c r="J63" s="14">
        <f>22.1634 * CHOOSE(CONTROL!$C$9, $D$9, 100%, $F$9) + CHOOSE(CONTROL!$C$27, 0.0021, 0)</f>
        <v>22.165499999999998</v>
      </c>
      <c r="K63" s="14">
        <f>22.1634 * CHOOSE(CONTROL!$C$9, $D$9, 100%, $F$9) + CHOOSE(CONTROL!$C$27, 0.0021, 0)</f>
        <v>22.165499999999998</v>
      </c>
      <c r="L63" s="14"/>
    </row>
    <row r="64" spans="1:12" ht="15" x14ac:dyDescent="0.2">
      <c r="A64" s="13">
        <v>42856</v>
      </c>
      <c r="B64" s="14">
        <f>23.022 * CHOOSE(CONTROL!$C$9, $D$9, 100%, $F$9) + CHOOSE(CONTROL!$C$27, 0.0021, 0)</f>
        <v>23.024099999999997</v>
      </c>
      <c r="C64" s="14">
        <f>22.5898 * CHOOSE(CONTROL!$C$9, $D$9, 100%, $F$9) + CHOOSE(CONTROL!$C$27, 0.0021, 0)</f>
        <v>22.591899999999999</v>
      </c>
      <c r="D64" s="14">
        <f>22.5898 * CHOOSE(CONTROL!$C$9, $D$9, 100%, $F$9) + CHOOSE(CONTROL!$C$27, 0.0021, 0)</f>
        <v>22.591899999999999</v>
      </c>
      <c r="E64" s="14">
        <f>22.4531 * CHOOSE(CONTROL!$C$9, $D$9, 100%, $F$9) + CHOOSE(CONTROL!$C$27, 0.0021, 0)</f>
        <v>22.455199999999998</v>
      </c>
      <c r="F64" s="14">
        <f>22.4531 * CHOOSE(CONTROL!$C$9, $D$9, 100%, $F$9) + CHOOSE(CONTROL!$C$27, 0.0021, 0)</f>
        <v>22.455199999999998</v>
      </c>
      <c r="G64" s="14">
        <f>22.7245 * CHOOSE(CONTROL!$C$9, $D$9, 100%, $F$9) + CHOOSE(CONTROL!$C$27, 0.0021, 0)</f>
        <v>22.726599999999998</v>
      </c>
      <c r="H64" s="14">
        <f>22.5898 * CHOOSE(CONTROL!$C$9, $D$9, 100%, $F$9) + CHOOSE(CONTROL!$C$27, 0.0021, 0)</f>
        <v>22.591899999999999</v>
      </c>
      <c r="I64" s="14">
        <f>22.5898 * CHOOSE(CONTROL!$C$9, $D$9, 100%, $F$9) + CHOOSE(CONTROL!$C$27, 0.0021, 0)</f>
        <v>22.591899999999999</v>
      </c>
      <c r="J64" s="14">
        <f>22.5898 * CHOOSE(CONTROL!$C$9, $D$9, 100%, $F$9) + CHOOSE(CONTROL!$C$27, 0.0021, 0)</f>
        <v>22.591899999999999</v>
      </c>
      <c r="K64" s="14">
        <f>22.5898 * CHOOSE(CONTROL!$C$9, $D$9, 100%, $F$9) + CHOOSE(CONTROL!$C$27, 0.0021, 0)</f>
        <v>22.591899999999999</v>
      </c>
      <c r="L64" s="14"/>
    </row>
    <row r="65" spans="1:12" ht="15" x14ac:dyDescent="0.2">
      <c r="A65" s="13">
        <v>42887</v>
      </c>
      <c r="B65" s="14">
        <f>23.2774 * CHOOSE(CONTROL!$C$9, $D$9, 100%, $F$9) + CHOOSE(CONTROL!$C$27, 0.0021, 0)</f>
        <v>23.279499999999999</v>
      </c>
      <c r="C65" s="14">
        <f>22.8452 * CHOOSE(CONTROL!$C$9, $D$9, 100%, $F$9) + CHOOSE(CONTROL!$C$27, 0.0021, 0)</f>
        <v>22.847299999999997</v>
      </c>
      <c r="D65" s="14">
        <f>22.8452 * CHOOSE(CONTROL!$C$9, $D$9, 100%, $F$9) + CHOOSE(CONTROL!$C$27, 0.0021, 0)</f>
        <v>22.847299999999997</v>
      </c>
      <c r="E65" s="14">
        <f>22.7085 * CHOOSE(CONTROL!$C$9, $D$9, 100%, $F$9) + CHOOSE(CONTROL!$C$27, 0.0021, 0)</f>
        <v>22.710599999999999</v>
      </c>
      <c r="F65" s="14">
        <f>22.7085 * CHOOSE(CONTROL!$C$9, $D$9, 100%, $F$9) + CHOOSE(CONTROL!$C$27, 0.0021, 0)</f>
        <v>22.710599999999999</v>
      </c>
      <c r="G65" s="14">
        <f>22.9799 * CHOOSE(CONTROL!$C$9, $D$9, 100%, $F$9) + CHOOSE(CONTROL!$C$27, 0.0021, 0)</f>
        <v>22.981999999999999</v>
      </c>
      <c r="H65" s="14">
        <f>22.8452 * CHOOSE(CONTROL!$C$9, $D$9, 100%, $F$9) + CHOOSE(CONTROL!$C$27, 0.0021, 0)</f>
        <v>22.847299999999997</v>
      </c>
      <c r="I65" s="14">
        <f>22.8452 * CHOOSE(CONTROL!$C$9, $D$9, 100%, $F$9) + CHOOSE(CONTROL!$C$27, 0.0021, 0)</f>
        <v>22.847299999999997</v>
      </c>
      <c r="J65" s="14">
        <f>22.8452 * CHOOSE(CONTROL!$C$9, $D$9, 100%, $F$9) + CHOOSE(CONTROL!$C$27, 0.0021, 0)</f>
        <v>22.847299999999997</v>
      </c>
      <c r="K65" s="14">
        <f>22.8452 * CHOOSE(CONTROL!$C$9, $D$9, 100%, $F$9) + CHOOSE(CONTROL!$C$27, 0.0021, 0)</f>
        <v>22.847299999999997</v>
      </c>
      <c r="L65" s="14"/>
    </row>
    <row r="66" spans="1:12" ht="15" x14ac:dyDescent="0.2">
      <c r="A66" s="13">
        <v>42917</v>
      </c>
      <c r="B66" s="14">
        <f>23.6987 * CHOOSE(CONTROL!$C$9, $D$9, 100%, $F$9) + CHOOSE(CONTROL!$C$27, 0.0021, 0)</f>
        <v>23.700799999999997</v>
      </c>
      <c r="C66" s="14">
        <f>23.2665 * CHOOSE(CONTROL!$C$9, $D$9, 100%, $F$9) + CHOOSE(CONTROL!$C$27, 0.0021, 0)</f>
        <v>23.268599999999999</v>
      </c>
      <c r="D66" s="14">
        <f>23.2665 * CHOOSE(CONTROL!$C$9, $D$9, 100%, $F$9) + CHOOSE(CONTROL!$C$27, 0.0021, 0)</f>
        <v>23.268599999999999</v>
      </c>
      <c r="E66" s="14">
        <f>23.1298 * CHOOSE(CONTROL!$C$9, $D$9, 100%, $F$9) + CHOOSE(CONTROL!$C$27, 0.0021, 0)</f>
        <v>23.131899999999998</v>
      </c>
      <c r="F66" s="14">
        <f>23.1298 * CHOOSE(CONTROL!$C$9, $D$9, 100%, $F$9) + CHOOSE(CONTROL!$C$27, 0.0021, 0)</f>
        <v>23.131899999999998</v>
      </c>
      <c r="G66" s="14">
        <f>23.4012 * CHOOSE(CONTROL!$C$9, $D$9, 100%, $F$9) + CHOOSE(CONTROL!$C$27, 0.0021, 0)</f>
        <v>23.403299999999998</v>
      </c>
      <c r="H66" s="14">
        <f>23.2665 * CHOOSE(CONTROL!$C$9, $D$9, 100%, $F$9) + CHOOSE(CONTROL!$C$27, 0.0021, 0)</f>
        <v>23.268599999999999</v>
      </c>
      <c r="I66" s="14">
        <f>23.2665 * CHOOSE(CONTROL!$C$9, $D$9, 100%, $F$9) + CHOOSE(CONTROL!$C$27, 0.0021, 0)</f>
        <v>23.268599999999999</v>
      </c>
      <c r="J66" s="14">
        <f>23.2665 * CHOOSE(CONTROL!$C$9, $D$9, 100%, $F$9) + CHOOSE(CONTROL!$C$27, 0.0021, 0)</f>
        <v>23.268599999999999</v>
      </c>
      <c r="K66" s="14">
        <f>23.2665 * CHOOSE(CONTROL!$C$9, $D$9, 100%, $F$9) + CHOOSE(CONTROL!$C$27, 0.0021, 0)</f>
        <v>23.268599999999999</v>
      </c>
      <c r="L66" s="14"/>
    </row>
    <row r="67" spans="1:12" ht="15" x14ac:dyDescent="0.2">
      <c r="A67" s="13">
        <v>42948</v>
      </c>
      <c r="B67" s="14">
        <f>23.8273 * CHOOSE(CONTROL!$C$9, $D$9, 100%, $F$9) + CHOOSE(CONTROL!$C$27, 0.0021, 0)</f>
        <v>23.8294</v>
      </c>
      <c r="C67" s="14">
        <f>23.3951 * CHOOSE(CONTROL!$C$9, $D$9, 100%, $F$9) + CHOOSE(CONTROL!$C$27, 0.0021, 0)</f>
        <v>23.397199999999998</v>
      </c>
      <c r="D67" s="14">
        <f>23.3951 * CHOOSE(CONTROL!$C$9, $D$9, 100%, $F$9) + CHOOSE(CONTROL!$C$27, 0.0021, 0)</f>
        <v>23.397199999999998</v>
      </c>
      <c r="E67" s="14">
        <f>23.2584 * CHOOSE(CONTROL!$C$9, $D$9, 100%, $F$9) + CHOOSE(CONTROL!$C$27, 0.0021, 0)</f>
        <v>23.2605</v>
      </c>
      <c r="F67" s="14">
        <f>23.2584 * CHOOSE(CONTROL!$C$9, $D$9, 100%, $F$9) + CHOOSE(CONTROL!$C$27, 0.0021, 0)</f>
        <v>23.2605</v>
      </c>
      <c r="G67" s="14">
        <f>23.5298 * CHOOSE(CONTROL!$C$9, $D$9, 100%, $F$9) + CHOOSE(CONTROL!$C$27, 0.0021, 0)</f>
        <v>23.5319</v>
      </c>
      <c r="H67" s="14">
        <f>23.3951 * CHOOSE(CONTROL!$C$9, $D$9, 100%, $F$9) + CHOOSE(CONTROL!$C$27, 0.0021, 0)</f>
        <v>23.397199999999998</v>
      </c>
      <c r="I67" s="14">
        <f>23.3951 * CHOOSE(CONTROL!$C$9, $D$9, 100%, $F$9) + CHOOSE(CONTROL!$C$27, 0.0021, 0)</f>
        <v>23.397199999999998</v>
      </c>
      <c r="J67" s="14">
        <f>23.3951 * CHOOSE(CONTROL!$C$9, $D$9, 100%, $F$9) + CHOOSE(CONTROL!$C$27, 0.0021, 0)</f>
        <v>23.397199999999998</v>
      </c>
      <c r="K67" s="14">
        <f>23.3951 * CHOOSE(CONTROL!$C$9, $D$9, 100%, $F$9) + CHOOSE(CONTROL!$C$27, 0.0021, 0)</f>
        <v>23.397199999999998</v>
      </c>
      <c r="L67" s="14"/>
    </row>
    <row r="68" spans="1:12" ht="15" x14ac:dyDescent="0.2">
      <c r="A68" s="13">
        <v>42979</v>
      </c>
      <c r="B68" s="14">
        <f>24.2652 * CHOOSE(CONTROL!$C$9, $D$9, 100%, $F$9) + CHOOSE(CONTROL!$C$27, 0.0021, 0)</f>
        <v>24.267299999999999</v>
      </c>
      <c r="C68" s="14">
        <f>23.833 * CHOOSE(CONTROL!$C$9, $D$9, 100%, $F$9) + CHOOSE(CONTROL!$C$27, 0.0021, 0)</f>
        <v>23.835099999999997</v>
      </c>
      <c r="D68" s="14">
        <f>23.833 * CHOOSE(CONTROL!$C$9, $D$9, 100%, $F$9) + CHOOSE(CONTROL!$C$27, 0.0021, 0)</f>
        <v>23.835099999999997</v>
      </c>
      <c r="E68" s="14">
        <f>23.6963 * CHOOSE(CONTROL!$C$9, $D$9, 100%, $F$9) + CHOOSE(CONTROL!$C$27, 0.0021, 0)</f>
        <v>23.698399999999999</v>
      </c>
      <c r="F68" s="14">
        <f>23.6963 * CHOOSE(CONTROL!$C$9, $D$9, 100%, $F$9) + CHOOSE(CONTROL!$C$27, 0.0021, 0)</f>
        <v>23.698399999999999</v>
      </c>
      <c r="G68" s="14">
        <f>23.9677 * CHOOSE(CONTROL!$C$9, $D$9, 100%, $F$9) + CHOOSE(CONTROL!$C$27, 0.0021, 0)</f>
        <v>23.969799999999999</v>
      </c>
      <c r="H68" s="14">
        <f>23.833 * CHOOSE(CONTROL!$C$9, $D$9, 100%, $F$9) + CHOOSE(CONTROL!$C$27, 0.0021, 0)</f>
        <v>23.835099999999997</v>
      </c>
      <c r="I68" s="14">
        <f>23.833 * CHOOSE(CONTROL!$C$9, $D$9, 100%, $F$9) + CHOOSE(CONTROL!$C$27, 0.0021, 0)</f>
        <v>23.835099999999997</v>
      </c>
      <c r="J68" s="14">
        <f>23.833 * CHOOSE(CONTROL!$C$9, $D$9, 100%, $F$9) + CHOOSE(CONTROL!$C$27, 0.0021, 0)</f>
        <v>23.835099999999997</v>
      </c>
      <c r="K68" s="14">
        <f>23.833 * CHOOSE(CONTROL!$C$9, $D$9, 100%, $F$9) + CHOOSE(CONTROL!$C$27, 0.0021, 0)</f>
        <v>23.835099999999997</v>
      </c>
      <c r="L68" s="14"/>
    </row>
    <row r="69" spans="1:12" ht="15" x14ac:dyDescent="0.2">
      <c r="A69" s="13">
        <v>43009</v>
      </c>
      <c r="B69" s="14">
        <f>24.8195 * CHOOSE(CONTROL!$C$9, $D$9, 100%, $F$9) + CHOOSE(CONTROL!$C$27, 0.0021, 0)</f>
        <v>24.8216</v>
      </c>
      <c r="C69" s="14">
        <f>24.3873 * CHOOSE(CONTROL!$C$9, $D$9, 100%, $F$9) + CHOOSE(CONTROL!$C$27, 0.0021, 0)</f>
        <v>24.389399999999998</v>
      </c>
      <c r="D69" s="14">
        <f>24.3873 * CHOOSE(CONTROL!$C$9, $D$9, 100%, $F$9) + CHOOSE(CONTROL!$C$27, 0.0021, 0)</f>
        <v>24.389399999999998</v>
      </c>
      <c r="E69" s="14">
        <f>24.2506 * CHOOSE(CONTROL!$C$9, $D$9, 100%, $F$9) + CHOOSE(CONTROL!$C$27, 0.0021, 0)</f>
        <v>24.252699999999997</v>
      </c>
      <c r="F69" s="14">
        <f>24.2506 * CHOOSE(CONTROL!$C$9, $D$9, 100%, $F$9) + CHOOSE(CONTROL!$C$27, 0.0021, 0)</f>
        <v>24.252699999999997</v>
      </c>
      <c r="G69" s="14">
        <f>24.522 * CHOOSE(CONTROL!$C$9, $D$9, 100%, $F$9) + CHOOSE(CONTROL!$C$27, 0.0021, 0)</f>
        <v>24.524099999999997</v>
      </c>
      <c r="H69" s="14">
        <f>24.3873 * CHOOSE(CONTROL!$C$9, $D$9, 100%, $F$9) + CHOOSE(CONTROL!$C$27, 0.0021, 0)</f>
        <v>24.389399999999998</v>
      </c>
      <c r="I69" s="14">
        <f>24.3873 * CHOOSE(CONTROL!$C$9, $D$9, 100%, $F$9) + CHOOSE(CONTROL!$C$27, 0.0021, 0)</f>
        <v>24.389399999999998</v>
      </c>
      <c r="J69" s="14">
        <f>24.3873 * CHOOSE(CONTROL!$C$9, $D$9, 100%, $F$9) + CHOOSE(CONTROL!$C$27, 0.0021, 0)</f>
        <v>24.389399999999998</v>
      </c>
      <c r="K69" s="14">
        <f>24.3873 * CHOOSE(CONTROL!$C$9, $D$9, 100%, $F$9) + CHOOSE(CONTROL!$C$27, 0.0021, 0)</f>
        <v>24.389399999999998</v>
      </c>
      <c r="L69" s="14"/>
    </row>
    <row r="70" spans="1:12" ht="15" x14ac:dyDescent="0.2">
      <c r="A70" s="13">
        <v>43040</v>
      </c>
      <c r="B70" s="14">
        <f>24.8716 * CHOOSE(CONTROL!$C$9, $D$9, 100%, $F$9) + CHOOSE(CONTROL!$C$27, 0.0021, 0)</f>
        <v>24.873699999999999</v>
      </c>
      <c r="C70" s="14">
        <f>24.4393 * CHOOSE(CONTROL!$C$9, $D$9, 100%, $F$9) + CHOOSE(CONTROL!$C$27, 0.0021, 0)</f>
        <v>24.441399999999998</v>
      </c>
      <c r="D70" s="14">
        <f>24.4393 * CHOOSE(CONTROL!$C$9, $D$9, 100%, $F$9) + CHOOSE(CONTROL!$C$27, 0.0021, 0)</f>
        <v>24.441399999999998</v>
      </c>
      <c r="E70" s="14">
        <f>24.3027 * CHOOSE(CONTROL!$C$9, $D$9, 100%, $F$9) + CHOOSE(CONTROL!$C$27, 0.0021, 0)</f>
        <v>24.3048</v>
      </c>
      <c r="F70" s="14">
        <f>24.3027 * CHOOSE(CONTROL!$C$9, $D$9, 100%, $F$9) + CHOOSE(CONTROL!$C$27, 0.0021, 0)</f>
        <v>24.3048</v>
      </c>
      <c r="G70" s="14">
        <f>24.574 * CHOOSE(CONTROL!$C$9, $D$9, 100%, $F$9) + CHOOSE(CONTROL!$C$27, 0.0021, 0)</f>
        <v>24.5761</v>
      </c>
      <c r="H70" s="14">
        <f>24.4393 * CHOOSE(CONTROL!$C$9, $D$9, 100%, $F$9) + CHOOSE(CONTROL!$C$27, 0.0021, 0)</f>
        <v>24.441399999999998</v>
      </c>
      <c r="I70" s="14">
        <f>24.4393 * CHOOSE(CONTROL!$C$9, $D$9, 100%, $F$9) + CHOOSE(CONTROL!$C$27, 0.0021, 0)</f>
        <v>24.441399999999998</v>
      </c>
      <c r="J70" s="14">
        <f>24.4393 * CHOOSE(CONTROL!$C$9, $D$9, 100%, $F$9) + CHOOSE(CONTROL!$C$27, 0.0021, 0)</f>
        <v>24.441399999999998</v>
      </c>
      <c r="K70" s="14">
        <f>24.4393 * CHOOSE(CONTROL!$C$9, $D$9, 100%, $F$9) + CHOOSE(CONTROL!$C$27, 0.0021, 0)</f>
        <v>24.441399999999998</v>
      </c>
      <c r="L70" s="14"/>
    </row>
    <row r="71" spans="1:12" ht="15" x14ac:dyDescent="0.2">
      <c r="A71" s="13">
        <v>43070</v>
      </c>
      <c r="B71" s="14">
        <f>24.4288 * CHOOSE(CONTROL!$C$9, $D$9, 100%, $F$9) + CHOOSE(CONTROL!$C$27, 0.0021, 0)</f>
        <v>24.430899999999998</v>
      </c>
      <c r="C71" s="14">
        <f>23.9966 * CHOOSE(CONTROL!$C$9, $D$9, 100%, $F$9) + CHOOSE(CONTROL!$C$27, 0.0021, 0)</f>
        <v>23.998699999999999</v>
      </c>
      <c r="D71" s="14">
        <f>23.9966 * CHOOSE(CONTROL!$C$9, $D$9, 100%, $F$9) + CHOOSE(CONTROL!$C$27, 0.0021, 0)</f>
        <v>23.998699999999999</v>
      </c>
      <c r="E71" s="14">
        <f>23.8599 * CHOOSE(CONTROL!$C$9, $D$9, 100%, $F$9) + CHOOSE(CONTROL!$C$27, 0.0021, 0)</f>
        <v>23.861999999999998</v>
      </c>
      <c r="F71" s="14">
        <f>23.8599 * CHOOSE(CONTROL!$C$9, $D$9, 100%, $F$9) + CHOOSE(CONTROL!$C$27, 0.0021, 0)</f>
        <v>23.861999999999998</v>
      </c>
      <c r="G71" s="14">
        <f>24.1313 * CHOOSE(CONTROL!$C$9, $D$9, 100%, $F$9) + CHOOSE(CONTROL!$C$27, 0.0021, 0)</f>
        <v>24.133399999999998</v>
      </c>
      <c r="H71" s="14">
        <f>23.9966 * CHOOSE(CONTROL!$C$9, $D$9, 100%, $F$9) + CHOOSE(CONTROL!$C$27, 0.0021, 0)</f>
        <v>23.998699999999999</v>
      </c>
      <c r="I71" s="14">
        <f>23.9966 * CHOOSE(CONTROL!$C$9, $D$9, 100%, $F$9) + CHOOSE(CONTROL!$C$27, 0.0021, 0)</f>
        <v>23.998699999999999</v>
      </c>
      <c r="J71" s="14">
        <f>23.9966 * CHOOSE(CONTROL!$C$9, $D$9, 100%, $F$9) + CHOOSE(CONTROL!$C$27, 0.0021, 0)</f>
        <v>23.998699999999999</v>
      </c>
      <c r="K71" s="14">
        <f>23.9966 * CHOOSE(CONTROL!$C$9, $D$9, 100%, $F$9) + CHOOSE(CONTROL!$C$27, 0.0021, 0)</f>
        <v>23.998699999999999</v>
      </c>
      <c r="L71" s="14"/>
    </row>
    <row r="72" spans="1:12" ht="15" x14ac:dyDescent="0.2">
      <c r="A72" s="13">
        <v>43101</v>
      </c>
      <c r="B72" s="14">
        <f>25.1083 * CHOOSE(CONTROL!$C$9, $D$9, 100%, $F$9) + CHOOSE(CONTROL!$C$27, 0.0021, 0)</f>
        <v>25.110399999999998</v>
      </c>
      <c r="C72" s="14">
        <f>24.676 * CHOOSE(CONTROL!$C$9, $D$9, 100%, $F$9) + CHOOSE(CONTROL!$C$27, 0.0021, 0)</f>
        <v>24.678099999999997</v>
      </c>
      <c r="D72" s="14">
        <f>24.676 * CHOOSE(CONTROL!$C$9, $D$9, 100%, $F$9) + CHOOSE(CONTROL!$C$27, 0.0021, 0)</f>
        <v>24.678099999999997</v>
      </c>
      <c r="E72" s="14">
        <f>24.5394 * CHOOSE(CONTROL!$C$9, $D$9, 100%, $F$9) + CHOOSE(CONTROL!$C$27, 0.0021, 0)</f>
        <v>24.541499999999999</v>
      </c>
      <c r="F72" s="14">
        <f>24.5394 * CHOOSE(CONTROL!$C$9, $D$9, 100%, $F$9) + CHOOSE(CONTROL!$C$27, 0.0021, 0)</f>
        <v>24.541499999999999</v>
      </c>
      <c r="G72" s="14">
        <f>24.8107 * CHOOSE(CONTROL!$C$9, $D$9, 100%, $F$9) + CHOOSE(CONTROL!$C$27, 0.0021, 0)</f>
        <v>24.812799999999999</v>
      </c>
      <c r="H72" s="14">
        <f>24.676 * CHOOSE(CONTROL!$C$9, $D$9, 100%, $F$9) + CHOOSE(CONTROL!$C$27, 0.0021, 0)</f>
        <v>24.678099999999997</v>
      </c>
      <c r="I72" s="14">
        <f>24.676 * CHOOSE(CONTROL!$C$9, $D$9, 100%, $F$9) + CHOOSE(CONTROL!$C$27, 0.0021, 0)</f>
        <v>24.678099999999997</v>
      </c>
      <c r="J72" s="14">
        <f>24.676 * CHOOSE(CONTROL!$C$9, $D$9, 100%, $F$9) + CHOOSE(CONTROL!$C$27, 0.0021, 0)</f>
        <v>24.678099999999997</v>
      </c>
      <c r="K72" s="14">
        <f>24.676 * CHOOSE(CONTROL!$C$9, $D$9, 100%, $F$9) + CHOOSE(CONTROL!$C$27, 0.0021, 0)</f>
        <v>24.678099999999997</v>
      </c>
      <c r="L72" s="14"/>
    </row>
    <row r="73" spans="1:12" ht="15" x14ac:dyDescent="0.2">
      <c r="A73" s="13">
        <v>43132</v>
      </c>
      <c r="B73" s="14">
        <f>24.4629 * CHOOSE(CONTROL!$C$9, $D$9, 100%, $F$9) + CHOOSE(CONTROL!$C$27, 0.0021, 0)</f>
        <v>24.465</v>
      </c>
      <c r="C73" s="14">
        <f>24.0307 * CHOOSE(CONTROL!$C$9, $D$9, 100%, $F$9) + CHOOSE(CONTROL!$C$27, 0.0021, 0)</f>
        <v>24.032799999999998</v>
      </c>
      <c r="D73" s="14">
        <f>24.0307 * CHOOSE(CONTROL!$C$9, $D$9, 100%, $F$9) + CHOOSE(CONTROL!$C$27, 0.0021, 0)</f>
        <v>24.032799999999998</v>
      </c>
      <c r="E73" s="14">
        <f>23.894 * CHOOSE(CONTROL!$C$9, $D$9, 100%, $F$9) + CHOOSE(CONTROL!$C$27, 0.0021, 0)</f>
        <v>23.896099999999997</v>
      </c>
      <c r="F73" s="14">
        <f>23.894 * CHOOSE(CONTROL!$C$9, $D$9, 100%, $F$9) + CHOOSE(CONTROL!$C$27, 0.0021, 0)</f>
        <v>23.896099999999997</v>
      </c>
      <c r="G73" s="14">
        <f>24.1654 * CHOOSE(CONTROL!$C$9, $D$9, 100%, $F$9) + CHOOSE(CONTROL!$C$27, 0.0021, 0)</f>
        <v>24.1675</v>
      </c>
      <c r="H73" s="14">
        <f>24.0307 * CHOOSE(CONTROL!$C$9, $D$9, 100%, $F$9) + CHOOSE(CONTROL!$C$27, 0.0021, 0)</f>
        <v>24.032799999999998</v>
      </c>
      <c r="I73" s="14">
        <f>24.0307 * CHOOSE(CONTROL!$C$9, $D$9, 100%, $F$9) + CHOOSE(CONTROL!$C$27, 0.0021, 0)</f>
        <v>24.032799999999998</v>
      </c>
      <c r="J73" s="14">
        <f>24.0307 * CHOOSE(CONTROL!$C$9, $D$9, 100%, $F$9) + CHOOSE(CONTROL!$C$27, 0.0021, 0)</f>
        <v>24.032799999999998</v>
      </c>
      <c r="K73" s="14">
        <f>24.0307 * CHOOSE(CONTROL!$C$9, $D$9, 100%, $F$9) + CHOOSE(CONTROL!$C$27, 0.0021, 0)</f>
        <v>24.032799999999998</v>
      </c>
      <c r="L73" s="14"/>
    </row>
    <row r="74" spans="1:12" ht="15" x14ac:dyDescent="0.2">
      <c r="A74" s="13">
        <v>43160</v>
      </c>
      <c r="B74" s="14">
        <f>24.1965 * CHOOSE(CONTROL!$C$9, $D$9, 100%, $F$9) + CHOOSE(CONTROL!$C$27, 0.0021, 0)</f>
        <v>24.198599999999999</v>
      </c>
      <c r="C74" s="14">
        <f>23.7643 * CHOOSE(CONTROL!$C$9, $D$9, 100%, $F$9) + CHOOSE(CONTROL!$C$27, 0.0021, 0)</f>
        <v>23.766399999999997</v>
      </c>
      <c r="D74" s="14">
        <f>23.7643 * CHOOSE(CONTROL!$C$9, $D$9, 100%, $F$9) + CHOOSE(CONTROL!$C$27, 0.0021, 0)</f>
        <v>23.766399999999997</v>
      </c>
      <c r="E74" s="14">
        <f>23.6276 * CHOOSE(CONTROL!$C$9, $D$9, 100%, $F$9) + CHOOSE(CONTROL!$C$27, 0.0021, 0)</f>
        <v>23.6297</v>
      </c>
      <c r="F74" s="14">
        <f>23.6276 * CHOOSE(CONTROL!$C$9, $D$9, 100%, $F$9) + CHOOSE(CONTROL!$C$27, 0.0021, 0)</f>
        <v>23.6297</v>
      </c>
      <c r="G74" s="14">
        <f>23.899 * CHOOSE(CONTROL!$C$9, $D$9, 100%, $F$9) + CHOOSE(CONTROL!$C$27, 0.0021, 0)</f>
        <v>23.9011</v>
      </c>
      <c r="H74" s="14">
        <f>23.7643 * CHOOSE(CONTROL!$C$9, $D$9, 100%, $F$9) + CHOOSE(CONTROL!$C$27, 0.0021, 0)</f>
        <v>23.766399999999997</v>
      </c>
      <c r="I74" s="14">
        <f>23.7643 * CHOOSE(CONTROL!$C$9, $D$9, 100%, $F$9) + CHOOSE(CONTROL!$C$27, 0.0021, 0)</f>
        <v>23.766399999999997</v>
      </c>
      <c r="J74" s="14">
        <f>23.7643 * CHOOSE(CONTROL!$C$9, $D$9, 100%, $F$9) + CHOOSE(CONTROL!$C$27, 0.0021, 0)</f>
        <v>23.766399999999997</v>
      </c>
      <c r="K74" s="14">
        <f>23.7643 * CHOOSE(CONTROL!$C$9, $D$9, 100%, $F$9) + CHOOSE(CONTROL!$C$27, 0.0021, 0)</f>
        <v>23.766399999999997</v>
      </c>
      <c r="L74" s="14"/>
    </row>
    <row r="75" spans="1:12" ht="15" x14ac:dyDescent="0.2">
      <c r="A75" s="13">
        <v>43191</v>
      </c>
      <c r="B75" s="14">
        <f>23.8784 * CHOOSE(CONTROL!$C$9, $D$9, 100%, $F$9) + CHOOSE(CONTROL!$C$27, 0.0021, 0)</f>
        <v>23.880499999999998</v>
      </c>
      <c r="C75" s="14">
        <f>23.4462 * CHOOSE(CONTROL!$C$9, $D$9, 100%, $F$9) + CHOOSE(CONTROL!$C$27, 0.0021, 0)</f>
        <v>23.4483</v>
      </c>
      <c r="D75" s="14">
        <f>23.4462 * CHOOSE(CONTROL!$C$9, $D$9, 100%, $F$9) + CHOOSE(CONTROL!$C$27, 0.0021, 0)</f>
        <v>23.4483</v>
      </c>
      <c r="E75" s="14">
        <f>23.3095 * CHOOSE(CONTROL!$C$9, $D$9, 100%, $F$9) + CHOOSE(CONTROL!$C$27, 0.0021, 0)</f>
        <v>23.311599999999999</v>
      </c>
      <c r="F75" s="14">
        <f>23.3095 * CHOOSE(CONTROL!$C$9, $D$9, 100%, $F$9) + CHOOSE(CONTROL!$C$27, 0.0021, 0)</f>
        <v>23.311599999999999</v>
      </c>
      <c r="G75" s="14">
        <f>23.5809 * CHOOSE(CONTROL!$C$9, $D$9, 100%, $F$9) + CHOOSE(CONTROL!$C$27, 0.0021, 0)</f>
        <v>23.582999999999998</v>
      </c>
      <c r="H75" s="14">
        <f>23.4462 * CHOOSE(CONTROL!$C$9, $D$9, 100%, $F$9) + CHOOSE(CONTROL!$C$27, 0.0021, 0)</f>
        <v>23.4483</v>
      </c>
      <c r="I75" s="14">
        <f>23.4462 * CHOOSE(CONTROL!$C$9, $D$9, 100%, $F$9) + CHOOSE(CONTROL!$C$27, 0.0021, 0)</f>
        <v>23.4483</v>
      </c>
      <c r="J75" s="14">
        <f>23.4462 * CHOOSE(CONTROL!$C$9, $D$9, 100%, $F$9) + CHOOSE(CONTROL!$C$27, 0.0021, 0)</f>
        <v>23.4483</v>
      </c>
      <c r="K75" s="14">
        <f>23.4462 * CHOOSE(CONTROL!$C$9, $D$9, 100%, $F$9) + CHOOSE(CONTROL!$C$27, 0.0021, 0)</f>
        <v>23.4483</v>
      </c>
      <c r="L75" s="14"/>
    </row>
    <row r="76" spans="1:12" ht="15" x14ac:dyDescent="0.2">
      <c r="A76" s="13">
        <v>43221</v>
      </c>
      <c r="B76" s="14">
        <f>24.3317 * CHOOSE(CONTROL!$C$9, $D$9, 100%, $F$9) + CHOOSE(CONTROL!$C$27, 0.0021, 0)</f>
        <v>24.3338</v>
      </c>
      <c r="C76" s="14">
        <f>23.8995 * CHOOSE(CONTROL!$C$9, $D$9, 100%, $F$9) + CHOOSE(CONTROL!$C$27, 0.0021, 0)</f>
        <v>23.901599999999998</v>
      </c>
      <c r="D76" s="14">
        <f>23.8995 * CHOOSE(CONTROL!$C$9, $D$9, 100%, $F$9) + CHOOSE(CONTROL!$C$27, 0.0021, 0)</f>
        <v>23.901599999999998</v>
      </c>
      <c r="E76" s="14">
        <f>23.7628 * CHOOSE(CONTROL!$C$9, $D$9, 100%, $F$9) + CHOOSE(CONTROL!$C$27, 0.0021, 0)</f>
        <v>23.764899999999997</v>
      </c>
      <c r="F76" s="14">
        <f>23.7628 * CHOOSE(CONTROL!$C$9, $D$9, 100%, $F$9) + CHOOSE(CONTROL!$C$27, 0.0021, 0)</f>
        <v>23.764899999999997</v>
      </c>
      <c r="G76" s="14">
        <f>24.0342 * CHOOSE(CONTROL!$C$9, $D$9, 100%, $F$9) + CHOOSE(CONTROL!$C$27, 0.0021, 0)</f>
        <v>24.036299999999997</v>
      </c>
      <c r="H76" s="14">
        <f>23.8995 * CHOOSE(CONTROL!$C$9, $D$9, 100%, $F$9) + CHOOSE(CONTROL!$C$27, 0.0021, 0)</f>
        <v>23.901599999999998</v>
      </c>
      <c r="I76" s="14">
        <f>23.8995 * CHOOSE(CONTROL!$C$9, $D$9, 100%, $F$9) + CHOOSE(CONTROL!$C$27, 0.0021, 0)</f>
        <v>23.901599999999998</v>
      </c>
      <c r="J76" s="14">
        <f>23.8995 * CHOOSE(CONTROL!$C$9, $D$9, 100%, $F$9) + CHOOSE(CONTROL!$C$27, 0.0021, 0)</f>
        <v>23.901599999999998</v>
      </c>
      <c r="K76" s="14">
        <f>23.8995 * CHOOSE(CONTROL!$C$9, $D$9, 100%, $F$9) + CHOOSE(CONTROL!$C$27, 0.0021, 0)</f>
        <v>23.901599999999998</v>
      </c>
      <c r="L76" s="14"/>
    </row>
    <row r="77" spans="1:12" ht="15" x14ac:dyDescent="0.2">
      <c r="A77" s="13">
        <v>43252</v>
      </c>
      <c r="B77" s="14">
        <f>24.6033 * CHOOSE(CONTROL!$C$9, $D$9, 100%, $F$9) + CHOOSE(CONTROL!$C$27, 0.0021, 0)</f>
        <v>24.605399999999999</v>
      </c>
      <c r="C77" s="14">
        <f>24.171 * CHOOSE(CONTROL!$C$9, $D$9, 100%, $F$9) + CHOOSE(CONTROL!$C$27, 0.0021, 0)</f>
        <v>24.173099999999998</v>
      </c>
      <c r="D77" s="14">
        <f>24.171 * CHOOSE(CONTROL!$C$9, $D$9, 100%, $F$9) + CHOOSE(CONTROL!$C$27, 0.0021, 0)</f>
        <v>24.173099999999998</v>
      </c>
      <c r="E77" s="14">
        <f>24.0343 * CHOOSE(CONTROL!$C$9, $D$9, 100%, $F$9) + CHOOSE(CONTROL!$C$27, 0.0021, 0)</f>
        <v>24.0364</v>
      </c>
      <c r="F77" s="14">
        <f>24.0343 * CHOOSE(CONTROL!$C$9, $D$9, 100%, $F$9) + CHOOSE(CONTROL!$C$27, 0.0021, 0)</f>
        <v>24.0364</v>
      </c>
      <c r="G77" s="14">
        <f>24.3057 * CHOOSE(CONTROL!$C$9, $D$9, 100%, $F$9) + CHOOSE(CONTROL!$C$27, 0.0021, 0)</f>
        <v>24.3078</v>
      </c>
      <c r="H77" s="14">
        <f>24.171 * CHOOSE(CONTROL!$C$9, $D$9, 100%, $F$9) + CHOOSE(CONTROL!$C$27, 0.0021, 0)</f>
        <v>24.173099999999998</v>
      </c>
      <c r="I77" s="14">
        <f>24.171 * CHOOSE(CONTROL!$C$9, $D$9, 100%, $F$9) + CHOOSE(CONTROL!$C$27, 0.0021, 0)</f>
        <v>24.173099999999998</v>
      </c>
      <c r="J77" s="14">
        <f>24.171 * CHOOSE(CONTROL!$C$9, $D$9, 100%, $F$9) + CHOOSE(CONTROL!$C$27, 0.0021, 0)</f>
        <v>24.173099999999998</v>
      </c>
      <c r="K77" s="14">
        <f>24.171 * CHOOSE(CONTROL!$C$9, $D$9, 100%, $F$9) + CHOOSE(CONTROL!$C$27, 0.0021, 0)</f>
        <v>24.173099999999998</v>
      </c>
      <c r="L77" s="14"/>
    </row>
    <row r="78" spans="1:12" ht="15" x14ac:dyDescent="0.2">
      <c r="A78" s="13">
        <v>43282</v>
      </c>
      <c r="B78" s="14">
        <f>25.0512 * CHOOSE(CONTROL!$C$9, $D$9, 100%, $F$9) + CHOOSE(CONTROL!$C$27, 0.0021, 0)</f>
        <v>25.0533</v>
      </c>
      <c r="C78" s="14">
        <f>24.6189 * CHOOSE(CONTROL!$C$9, $D$9, 100%, $F$9) + CHOOSE(CONTROL!$C$27, 0.0021, 0)</f>
        <v>24.620999999999999</v>
      </c>
      <c r="D78" s="14">
        <f>24.6189 * CHOOSE(CONTROL!$C$9, $D$9, 100%, $F$9) + CHOOSE(CONTROL!$C$27, 0.0021, 0)</f>
        <v>24.620999999999999</v>
      </c>
      <c r="E78" s="14">
        <f>24.4823 * CHOOSE(CONTROL!$C$9, $D$9, 100%, $F$9) + CHOOSE(CONTROL!$C$27, 0.0021, 0)</f>
        <v>24.484399999999997</v>
      </c>
      <c r="F78" s="14">
        <f>24.4823 * CHOOSE(CONTROL!$C$9, $D$9, 100%, $F$9) + CHOOSE(CONTROL!$C$27, 0.0021, 0)</f>
        <v>24.484399999999997</v>
      </c>
      <c r="G78" s="14">
        <f>24.7536 * CHOOSE(CONTROL!$C$9, $D$9, 100%, $F$9) + CHOOSE(CONTROL!$C$27, 0.0021, 0)</f>
        <v>24.755699999999997</v>
      </c>
      <c r="H78" s="14">
        <f>24.6189 * CHOOSE(CONTROL!$C$9, $D$9, 100%, $F$9) + CHOOSE(CONTROL!$C$27, 0.0021, 0)</f>
        <v>24.620999999999999</v>
      </c>
      <c r="I78" s="14">
        <f>24.6189 * CHOOSE(CONTROL!$C$9, $D$9, 100%, $F$9) + CHOOSE(CONTROL!$C$27, 0.0021, 0)</f>
        <v>24.620999999999999</v>
      </c>
      <c r="J78" s="14">
        <f>24.6189 * CHOOSE(CONTROL!$C$9, $D$9, 100%, $F$9) + CHOOSE(CONTROL!$C$27, 0.0021, 0)</f>
        <v>24.620999999999999</v>
      </c>
      <c r="K78" s="14">
        <f>24.6189 * CHOOSE(CONTROL!$C$9, $D$9, 100%, $F$9) + CHOOSE(CONTROL!$C$27, 0.0021, 0)</f>
        <v>24.620999999999999</v>
      </c>
      <c r="L78" s="14"/>
    </row>
    <row r="79" spans="1:12" ht="15" x14ac:dyDescent="0.2">
      <c r="A79" s="13">
        <v>43313</v>
      </c>
      <c r="B79" s="14">
        <f>25.1879 * CHOOSE(CONTROL!$C$9, $D$9, 100%, $F$9) + CHOOSE(CONTROL!$C$27, 0.0021, 0)</f>
        <v>25.189999999999998</v>
      </c>
      <c r="C79" s="14">
        <f>24.7556 * CHOOSE(CONTROL!$C$9, $D$9, 100%, $F$9) + CHOOSE(CONTROL!$C$27, 0.0021, 0)</f>
        <v>24.7577</v>
      </c>
      <c r="D79" s="14">
        <f>24.7556 * CHOOSE(CONTROL!$C$9, $D$9, 100%, $F$9) + CHOOSE(CONTROL!$C$27, 0.0021, 0)</f>
        <v>24.7577</v>
      </c>
      <c r="E79" s="14">
        <f>24.619 * CHOOSE(CONTROL!$C$9, $D$9, 100%, $F$9) + CHOOSE(CONTROL!$C$27, 0.0021, 0)</f>
        <v>24.621099999999998</v>
      </c>
      <c r="F79" s="14">
        <f>24.619 * CHOOSE(CONTROL!$C$9, $D$9, 100%, $F$9) + CHOOSE(CONTROL!$C$27, 0.0021, 0)</f>
        <v>24.621099999999998</v>
      </c>
      <c r="G79" s="14">
        <f>24.8903 * CHOOSE(CONTROL!$C$9, $D$9, 100%, $F$9) + CHOOSE(CONTROL!$C$27, 0.0021, 0)</f>
        <v>24.892399999999999</v>
      </c>
      <c r="H79" s="14">
        <f>24.7556 * CHOOSE(CONTROL!$C$9, $D$9, 100%, $F$9) + CHOOSE(CONTROL!$C$27, 0.0021, 0)</f>
        <v>24.7577</v>
      </c>
      <c r="I79" s="14">
        <f>24.7556 * CHOOSE(CONTROL!$C$9, $D$9, 100%, $F$9) + CHOOSE(CONTROL!$C$27, 0.0021, 0)</f>
        <v>24.7577</v>
      </c>
      <c r="J79" s="14">
        <f>24.7556 * CHOOSE(CONTROL!$C$9, $D$9, 100%, $F$9) + CHOOSE(CONTROL!$C$27, 0.0021, 0)</f>
        <v>24.7577</v>
      </c>
      <c r="K79" s="14">
        <f>24.7556 * CHOOSE(CONTROL!$C$9, $D$9, 100%, $F$9) + CHOOSE(CONTROL!$C$27, 0.0021, 0)</f>
        <v>24.7577</v>
      </c>
      <c r="L79" s="14"/>
    </row>
    <row r="80" spans="1:12" ht="15" x14ac:dyDescent="0.2">
      <c r="A80" s="13">
        <v>43344</v>
      </c>
      <c r="B80" s="14">
        <f>25.6535 * CHOOSE(CONTROL!$C$9, $D$9, 100%, $F$9) + CHOOSE(CONTROL!$C$27, 0.0021, 0)</f>
        <v>25.6556</v>
      </c>
      <c r="C80" s="14">
        <f>25.2212 * CHOOSE(CONTROL!$C$9, $D$9, 100%, $F$9) + CHOOSE(CONTROL!$C$27, 0.0021, 0)</f>
        <v>25.223299999999998</v>
      </c>
      <c r="D80" s="14">
        <f>25.2212 * CHOOSE(CONTROL!$C$9, $D$9, 100%, $F$9) + CHOOSE(CONTROL!$C$27, 0.0021, 0)</f>
        <v>25.223299999999998</v>
      </c>
      <c r="E80" s="14">
        <f>25.0845 * CHOOSE(CONTROL!$C$9, $D$9, 100%, $F$9) + CHOOSE(CONTROL!$C$27, 0.0021, 0)</f>
        <v>25.086599999999997</v>
      </c>
      <c r="F80" s="14">
        <f>25.0845 * CHOOSE(CONTROL!$C$9, $D$9, 100%, $F$9) + CHOOSE(CONTROL!$C$27, 0.0021, 0)</f>
        <v>25.086599999999997</v>
      </c>
      <c r="G80" s="14">
        <f>25.3559 * CHOOSE(CONTROL!$C$9, $D$9, 100%, $F$9) + CHOOSE(CONTROL!$C$27, 0.0021, 0)</f>
        <v>25.357999999999997</v>
      </c>
      <c r="H80" s="14">
        <f>25.2212 * CHOOSE(CONTROL!$C$9, $D$9, 100%, $F$9) + CHOOSE(CONTROL!$C$27, 0.0021, 0)</f>
        <v>25.223299999999998</v>
      </c>
      <c r="I80" s="14">
        <f>25.2212 * CHOOSE(CONTROL!$C$9, $D$9, 100%, $F$9) + CHOOSE(CONTROL!$C$27, 0.0021, 0)</f>
        <v>25.223299999999998</v>
      </c>
      <c r="J80" s="14">
        <f>25.2212 * CHOOSE(CONTROL!$C$9, $D$9, 100%, $F$9) + CHOOSE(CONTROL!$C$27, 0.0021, 0)</f>
        <v>25.223299999999998</v>
      </c>
      <c r="K80" s="14">
        <f>25.2212 * CHOOSE(CONTROL!$C$9, $D$9, 100%, $F$9) + CHOOSE(CONTROL!$C$27, 0.0021, 0)</f>
        <v>25.223299999999998</v>
      </c>
      <c r="L80" s="14"/>
    </row>
    <row r="81" spans="1:12" ht="15" x14ac:dyDescent="0.2">
      <c r="A81" s="13">
        <v>43374</v>
      </c>
      <c r="B81" s="14">
        <f>26.2428 * CHOOSE(CONTROL!$C$9, $D$9, 100%, $F$9) + CHOOSE(CONTROL!$C$27, 0.0021, 0)</f>
        <v>26.244899999999998</v>
      </c>
      <c r="C81" s="14">
        <f>25.8105 * CHOOSE(CONTROL!$C$9, $D$9, 100%, $F$9) + CHOOSE(CONTROL!$C$27, 0.0021, 0)</f>
        <v>25.8126</v>
      </c>
      <c r="D81" s="14">
        <f>25.8105 * CHOOSE(CONTROL!$C$9, $D$9, 100%, $F$9) + CHOOSE(CONTROL!$C$27, 0.0021, 0)</f>
        <v>25.8126</v>
      </c>
      <c r="E81" s="14">
        <f>25.6739 * CHOOSE(CONTROL!$C$9, $D$9, 100%, $F$9) + CHOOSE(CONTROL!$C$27, 0.0021, 0)</f>
        <v>25.675999999999998</v>
      </c>
      <c r="F81" s="14">
        <f>25.6739 * CHOOSE(CONTROL!$C$9, $D$9, 100%, $F$9) + CHOOSE(CONTROL!$C$27, 0.0021, 0)</f>
        <v>25.675999999999998</v>
      </c>
      <c r="G81" s="14">
        <f>25.9453 * CHOOSE(CONTROL!$C$9, $D$9, 100%, $F$9) + CHOOSE(CONTROL!$C$27, 0.0021, 0)</f>
        <v>25.947399999999998</v>
      </c>
      <c r="H81" s="14">
        <f>25.8105 * CHOOSE(CONTROL!$C$9, $D$9, 100%, $F$9) + CHOOSE(CONTROL!$C$27, 0.0021, 0)</f>
        <v>25.8126</v>
      </c>
      <c r="I81" s="14">
        <f>25.8105 * CHOOSE(CONTROL!$C$9, $D$9, 100%, $F$9) + CHOOSE(CONTROL!$C$27, 0.0021, 0)</f>
        <v>25.8126</v>
      </c>
      <c r="J81" s="14">
        <f>25.8105 * CHOOSE(CONTROL!$C$9, $D$9, 100%, $F$9) + CHOOSE(CONTROL!$C$27, 0.0021, 0)</f>
        <v>25.8126</v>
      </c>
      <c r="K81" s="14">
        <f>25.8105 * CHOOSE(CONTROL!$C$9, $D$9, 100%, $F$9) + CHOOSE(CONTROL!$C$27, 0.0021, 0)</f>
        <v>25.8126</v>
      </c>
      <c r="L81" s="14"/>
    </row>
    <row r="82" spans="1:12" ht="15" x14ac:dyDescent="0.2">
      <c r="A82" s="13">
        <v>43405</v>
      </c>
      <c r="B82" s="14">
        <f>26.2981 * CHOOSE(CONTROL!$C$9, $D$9, 100%, $F$9) + CHOOSE(CONTROL!$C$27, 0.0021, 0)</f>
        <v>26.3002</v>
      </c>
      <c r="C82" s="14">
        <f>25.8659 * CHOOSE(CONTROL!$C$9, $D$9, 100%, $F$9) + CHOOSE(CONTROL!$C$27, 0.0021, 0)</f>
        <v>25.867999999999999</v>
      </c>
      <c r="D82" s="14">
        <f>25.8659 * CHOOSE(CONTROL!$C$9, $D$9, 100%, $F$9) + CHOOSE(CONTROL!$C$27, 0.0021, 0)</f>
        <v>25.867999999999999</v>
      </c>
      <c r="E82" s="14">
        <f>25.7292 * CHOOSE(CONTROL!$C$9, $D$9, 100%, $F$9) + CHOOSE(CONTROL!$C$27, 0.0021, 0)</f>
        <v>25.731299999999997</v>
      </c>
      <c r="F82" s="14">
        <f>25.7292 * CHOOSE(CONTROL!$C$9, $D$9, 100%, $F$9) + CHOOSE(CONTROL!$C$27, 0.0021, 0)</f>
        <v>25.731299999999997</v>
      </c>
      <c r="G82" s="14">
        <f>26.0006 * CHOOSE(CONTROL!$C$9, $D$9, 100%, $F$9) + CHOOSE(CONTROL!$C$27, 0.0021, 0)</f>
        <v>26.002699999999997</v>
      </c>
      <c r="H82" s="14">
        <f>25.8659 * CHOOSE(CONTROL!$C$9, $D$9, 100%, $F$9) + CHOOSE(CONTROL!$C$27, 0.0021, 0)</f>
        <v>25.867999999999999</v>
      </c>
      <c r="I82" s="14">
        <f>25.8659 * CHOOSE(CONTROL!$C$9, $D$9, 100%, $F$9) + CHOOSE(CONTROL!$C$27, 0.0021, 0)</f>
        <v>25.867999999999999</v>
      </c>
      <c r="J82" s="14">
        <f>25.8659 * CHOOSE(CONTROL!$C$9, $D$9, 100%, $F$9) + CHOOSE(CONTROL!$C$27, 0.0021, 0)</f>
        <v>25.867999999999999</v>
      </c>
      <c r="K82" s="14">
        <f>25.8659 * CHOOSE(CONTROL!$C$9, $D$9, 100%, $F$9) + CHOOSE(CONTROL!$C$27, 0.0021, 0)</f>
        <v>25.867999999999999</v>
      </c>
      <c r="L82" s="14"/>
    </row>
    <row r="83" spans="1:12" ht="15" x14ac:dyDescent="0.2">
      <c r="A83" s="13">
        <v>43435</v>
      </c>
      <c r="B83" s="14">
        <f>25.8274 * CHOOSE(CONTROL!$C$9, $D$9, 100%, $F$9) + CHOOSE(CONTROL!$C$27, 0.0021, 0)</f>
        <v>25.829499999999999</v>
      </c>
      <c r="C83" s="14">
        <f>25.3952 * CHOOSE(CONTROL!$C$9, $D$9, 100%, $F$9) + CHOOSE(CONTROL!$C$27, 0.0021, 0)</f>
        <v>25.397299999999998</v>
      </c>
      <c r="D83" s="14">
        <f>25.3952 * CHOOSE(CONTROL!$C$9, $D$9, 100%, $F$9) + CHOOSE(CONTROL!$C$27, 0.0021, 0)</f>
        <v>25.397299999999998</v>
      </c>
      <c r="E83" s="14">
        <f>25.2585 * CHOOSE(CONTROL!$C$9, $D$9, 100%, $F$9) + CHOOSE(CONTROL!$C$27, 0.0021, 0)</f>
        <v>25.2606</v>
      </c>
      <c r="F83" s="14">
        <f>25.2585 * CHOOSE(CONTROL!$C$9, $D$9, 100%, $F$9) + CHOOSE(CONTROL!$C$27, 0.0021, 0)</f>
        <v>25.2606</v>
      </c>
      <c r="G83" s="14">
        <f>25.5299 * CHOOSE(CONTROL!$C$9, $D$9, 100%, $F$9) + CHOOSE(CONTROL!$C$27, 0.0021, 0)</f>
        <v>25.532</v>
      </c>
      <c r="H83" s="14">
        <f>25.3952 * CHOOSE(CONTROL!$C$9, $D$9, 100%, $F$9) + CHOOSE(CONTROL!$C$27, 0.0021, 0)</f>
        <v>25.397299999999998</v>
      </c>
      <c r="I83" s="14">
        <f>25.3952 * CHOOSE(CONTROL!$C$9, $D$9, 100%, $F$9) + CHOOSE(CONTROL!$C$27, 0.0021, 0)</f>
        <v>25.397299999999998</v>
      </c>
      <c r="J83" s="14">
        <f>25.3952 * CHOOSE(CONTROL!$C$9, $D$9, 100%, $F$9) + CHOOSE(CONTROL!$C$27, 0.0021, 0)</f>
        <v>25.397299999999998</v>
      </c>
      <c r="K83" s="14">
        <f>25.3952 * CHOOSE(CONTROL!$C$9, $D$9, 100%, $F$9) + CHOOSE(CONTROL!$C$27, 0.0021, 0)</f>
        <v>25.397299999999998</v>
      </c>
      <c r="L83" s="14"/>
    </row>
    <row r="84" spans="1:12" ht="15" x14ac:dyDescent="0.2">
      <c r="A84" s="13">
        <v>43466</v>
      </c>
      <c r="B84" s="14">
        <f>25.6348 * CHOOSE(CONTROL!$C$9, $D$9, 100%, $F$9) + CHOOSE(CONTROL!$C$27, 0.0021, 0)</f>
        <v>25.636899999999997</v>
      </c>
      <c r="C84" s="14">
        <f>25.2025 * CHOOSE(CONTROL!$C$9, $D$9, 100%, $F$9) + CHOOSE(CONTROL!$C$27, 0.0021, 0)</f>
        <v>25.204599999999999</v>
      </c>
      <c r="D84" s="14">
        <f>25.2025 * CHOOSE(CONTROL!$C$9, $D$9, 100%, $F$9) + CHOOSE(CONTROL!$C$27, 0.0021, 0)</f>
        <v>25.204599999999999</v>
      </c>
      <c r="E84" s="14">
        <f>25.0659 * CHOOSE(CONTROL!$C$9, $D$9, 100%, $F$9) + CHOOSE(CONTROL!$C$27, 0.0021, 0)</f>
        <v>25.067999999999998</v>
      </c>
      <c r="F84" s="14">
        <f>25.0659 * CHOOSE(CONTROL!$C$9, $D$9, 100%, $F$9) + CHOOSE(CONTROL!$C$27, 0.0021, 0)</f>
        <v>25.067999999999998</v>
      </c>
      <c r="G84" s="14">
        <f>25.3372 * CHOOSE(CONTROL!$C$9, $D$9, 100%, $F$9) + CHOOSE(CONTROL!$C$27, 0.0021, 0)</f>
        <v>25.339299999999998</v>
      </c>
      <c r="H84" s="14">
        <f>25.2025 * CHOOSE(CONTROL!$C$9, $D$9, 100%, $F$9) + CHOOSE(CONTROL!$C$27, 0.0021, 0)</f>
        <v>25.204599999999999</v>
      </c>
      <c r="I84" s="14">
        <f>25.2025 * CHOOSE(CONTROL!$C$9, $D$9, 100%, $F$9) + CHOOSE(CONTROL!$C$27, 0.0021, 0)</f>
        <v>25.204599999999999</v>
      </c>
      <c r="J84" s="14">
        <f>25.2025 * CHOOSE(CONTROL!$C$9, $D$9, 100%, $F$9) + CHOOSE(CONTROL!$C$27, 0.0021, 0)</f>
        <v>25.204599999999999</v>
      </c>
      <c r="K84" s="14">
        <f>25.2025 * CHOOSE(CONTROL!$C$9, $D$9, 100%, $F$9) + CHOOSE(CONTROL!$C$27, 0.0021, 0)</f>
        <v>25.204599999999999</v>
      </c>
      <c r="L84" s="14"/>
    </row>
    <row r="85" spans="1:12" ht="15" x14ac:dyDescent="0.2">
      <c r="A85" s="13">
        <v>43497</v>
      </c>
      <c r="B85" s="14">
        <f>24.9745 * CHOOSE(CONTROL!$C$9, $D$9, 100%, $F$9) + CHOOSE(CONTROL!$C$27, 0.0021, 0)</f>
        <v>24.976599999999998</v>
      </c>
      <c r="C85" s="14">
        <f>24.5423 * CHOOSE(CONTROL!$C$9, $D$9, 100%, $F$9) + CHOOSE(CONTROL!$C$27, 0.0021, 0)</f>
        <v>24.5444</v>
      </c>
      <c r="D85" s="14">
        <f>24.5423 * CHOOSE(CONTROL!$C$9, $D$9, 100%, $F$9) + CHOOSE(CONTROL!$C$27, 0.0021, 0)</f>
        <v>24.5444</v>
      </c>
      <c r="E85" s="14">
        <f>24.4056 * CHOOSE(CONTROL!$C$9, $D$9, 100%, $F$9) + CHOOSE(CONTROL!$C$27, 0.0021, 0)</f>
        <v>24.407699999999998</v>
      </c>
      <c r="F85" s="14">
        <f>24.4056 * CHOOSE(CONTROL!$C$9, $D$9, 100%, $F$9) + CHOOSE(CONTROL!$C$27, 0.0021, 0)</f>
        <v>24.407699999999998</v>
      </c>
      <c r="G85" s="14">
        <f>24.677 * CHOOSE(CONTROL!$C$9, $D$9, 100%, $F$9) + CHOOSE(CONTROL!$C$27, 0.0021, 0)</f>
        <v>24.679099999999998</v>
      </c>
      <c r="H85" s="14">
        <f>24.5423 * CHOOSE(CONTROL!$C$9, $D$9, 100%, $F$9) + CHOOSE(CONTROL!$C$27, 0.0021, 0)</f>
        <v>24.5444</v>
      </c>
      <c r="I85" s="14">
        <f>24.5423 * CHOOSE(CONTROL!$C$9, $D$9, 100%, $F$9) + CHOOSE(CONTROL!$C$27, 0.0021, 0)</f>
        <v>24.5444</v>
      </c>
      <c r="J85" s="14">
        <f>24.5423 * CHOOSE(CONTROL!$C$9, $D$9, 100%, $F$9) + CHOOSE(CONTROL!$C$27, 0.0021, 0)</f>
        <v>24.5444</v>
      </c>
      <c r="K85" s="14">
        <f>24.5423 * CHOOSE(CONTROL!$C$9, $D$9, 100%, $F$9) + CHOOSE(CONTROL!$C$27, 0.0021, 0)</f>
        <v>24.5444</v>
      </c>
      <c r="L85" s="14"/>
    </row>
    <row r="86" spans="1:12" ht="15" x14ac:dyDescent="0.2">
      <c r="A86" s="13">
        <v>43525</v>
      </c>
      <c r="B86" s="14">
        <f>24.702 * CHOOSE(CONTROL!$C$9, $D$9, 100%, $F$9) + CHOOSE(CONTROL!$C$27, 0.0021, 0)</f>
        <v>24.7041</v>
      </c>
      <c r="C86" s="14">
        <f>24.2697 * CHOOSE(CONTROL!$C$9, $D$9, 100%, $F$9) + CHOOSE(CONTROL!$C$27, 0.0021, 0)</f>
        <v>24.271799999999999</v>
      </c>
      <c r="D86" s="14">
        <f>24.2697 * CHOOSE(CONTROL!$C$9, $D$9, 100%, $F$9) + CHOOSE(CONTROL!$C$27, 0.0021, 0)</f>
        <v>24.271799999999999</v>
      </c>
      <c r="E86" s="14">
        <f>24.1331 * CHOOSE(CONTROL!$C$9, $D$9, 100%, $F$9) + CHOOSE(CONTROL!$C$27, 0.0021, 0)</f>
        <v>24.135199999999998</v>
      </c>
      <c r="F86" s="14">
        <f>24.1331 * CHOOSE(CONTROL!$C$9, $D$9, 100%, $F$9) + CHOOSE(CONTROL!$C$27, 0.0021, 0)</f>
        <v>24.135199999999998</v>
      </c>
      <c r="G86" s="14">
        <f>24.4044 * CHOOSE(CONTROL!$C$9, $D$9, 100%, $F$9) + CHOOSE(CONTROL!$C$27, 0.0021, 0)</f>
        <v>24.406499999999998</v>
      </c>
      <c r="H86" s="14">
        <f>24.2697 * CHOOSE(CONTROL!$C$9, $D$9, 100%, $F$9) + CHOOSE(CONTROL!$C$27, 0.0021, 0)</f>
        <v>24.271799999999999</v>
      </c>
      <c r="I86" s="14">
        <f>24.2697 * CHOOSE(CONTROL!$C$9, $D$9, 100%, $F$9) + CHOOSE(CONTROL!$C$27, 0.0021, 0)</f>
        <v>24.271799999999999</v>
      </c>
      <c r="J86" s="14">
        <f>24.2697 * CHOOSE(CONTROL!$C$9, $D$9, 100%, $F$9) + CHOOSE(CONTROL!$C$27, 0.0021, 0)</f>
        <v>24.271799999999999</v>
      </c>
      <c r="K86" s="14">
        <f>24.2697 * CHOOSE(CONTROL!$C$9, $D$9, 100%, $F$9) + CHOOSE(CONTROL!$C$27, 0.0021, 0)</f>
        <v>24.271799999999999</v>
      </c>
      <c r="L86" s="14"/>
    </row>
    <row r="87" spans="1:12" ht="15" x14ac:dyDescent="0.2">
      <c r="A87" s="13">
        <v>43556</v>
      </c>
      <c r="B87" s="14">
        <f>24.3765 * CHOOSE(CONTROL!$C$9, $D$9, 100%, $F$9) + CHOOSE(CONTROL!$C$27, 0.0021, 0)</f>
        <v>24.378599999999999</v>
      </c>
      <c r="C87" s="14">
        <f>23.9443 * CHOOSE(CONTROL!$C$9, $D$9, 100%, $F$9) + CHOOSE(CONTROL!$C$27, 0.0021, 0)</f>
        <v>23.946399999999997</v>
      </c>
      <c r="D87" s="14">
        <f>23.9443 * CHOOSE(CONTROL!$C$9, $D$9, 100%, $F$9) + CHOOSE(CONTROL!$C$27, 0.0021, 0)</f>
        <v>23.946399999999997</v>
      </c>
      <c r="E87" s="14">
        <f>23.8076 * CHOOSE(CONTROL!$C$9, $D$9, 100%, $F$9) + CHOOSE(CONTROL!$C$27, 0.0021, 0)</f>
        <v>23.809699999999999</v>
      </c>
      <c r="F87" s="14">
        <f>23.8076 * CHOOSE(CONTROL!$C$9, $D$9, 100%, $F$9) + CHOOSE(CONTROL!$C$27, 0.0021, 0)</f>
        <v>23.809699999999999</v>
      </c>
      <c r="G87" s="14">
        <f>24.079 * CHOOSE(CONTROL!$C$9, $D$9, 100%, $F$9) + CHOOSE(CONTROL!$C$27, 0.0021, 0)</f>
        <v>24.081099999999999</v>
      </c>
      <c r="H87" s="14">
        <f>23.9443 * CHOOSE(CONTROL!$C$9, $D$9, 100%, $F$9) + CHOOSE(CONTROL!$C$27, 0.0021, 0)</f>
        <v>23.946399999999997</v>
      </c>
      <c r="I87" s="14">
        <f>23.9443 * CHOOSE(CONTROL!$C$9, $D$9, 100%, $F$9) + CHOOSE(CONTROL!$C$27, 0.0021, 0)</f>
        <v>23.946399999999997</v>
      </c>
      <c r="J87" s="14">
        <f>23.9443 * CHOOSE(CONTROL!$C$9, $D$9, 100%, $F$9) + CHOOSE(CONTROL!$C$27, 0.0021, 0)</f>
        <v>23.946399999999997</v>
      </c>
      <c r="K87" s="14">
        <f>23.9443 * CHOOSE(CONTROL!$C$9, $D$9, 100%, $F$9) + CHOOSE(CONTROL!$C$27, 0.0021, 0)</f>
        <v>23.946399999999997</v>
      </c>
      <c r="L87" s="14"/>
    </row>
    <row r="88" spans="1:12" ht="15" x14ac:dyDescent="0.2">
      <c r="A88" s="13">
        <v>43586</v>
      </c>
      <c r="B88" s="14">
        <f>24.8403 * CHOOSE(CONTROL!$C$9, $D$9, 100%, $F$9) + CHOOSE(CONTROL!$C$27, 0.0021, 0)</f>
        <v>24.842399999999998</v>
      </c>
      <c r="C88" s="14">
        <f>24.4081 * CHOOSE(CONTROL!$C$9, $D$9, 100%, $F$9) + CHOOSE(CONTROL!$C$27, 0.0021, 0)</f>
        <v>24.4102</v>
      </c>
      <c r="D88" s="14">
        <f>24.4081 * CHOOSE(CONTROL!$C$9, $D$9, 100%, $F$9) + CHOOSE(CONTROL!$C$27, 0.0021, 0)</f>
        <v>24.4102</v>
      </c>
      <c r="E88" s="14">
        <f>24.2714 * CHOOSE(CONTROL!$C$9, $D$9, 100%, $F$9) + CHOOSE(CONTROL!$C$27, 0.0021, 0)</f>
        <v>24.273499999999999</v>
      </c>
      <c r="F88" s="14">
        <f>24.2714 * CHOOSE(CONTROL!$C$9, $D$9, 100%, $F$9) + CHOOSE(CONTROL!$C$27, 0.0021, 0)</f>
        <v>24.273499999999999</v>
      </c>
      <c r="G88" s="14">
        <f>24.5428 * CHOOSE(CONTROL!$C$9, $D$9, 100%, $F$9) + CHOOSE(CONTROL!$C$27, 0.0021, 0)</f>
        <v>24.544899999999998</v>
      </c>
      <c r="H88" s="14">
        <f>24.4081 * CHOOSE(CONTROL!$C$9, $D$9, 100%, $F$9) + CHOOSE(CONTROL!$C$27, 0.0021, 0)</f>
        <v>24.4102</v>
      </c>
      <c r="I88" s="14">
        <f>24.4081 * CHOOSE(CONTROL!$C$9, $D$9, 100%, $F$9) + CHOOSE(CONTROL!$C$27, 0.0021, 0)</f>
        <v>24.4102</v>
      </c>
      <c r="J88" s="14">
        <f>24.4081 * CHOOSE(CONTROL!$C$9, $D$9, 100%, $F$9) + CHOOSE(CONTROL!$C$27, 0.0021, 0)</f>
        <v>24.4102</v>
      </c>
      <c r="K88" s="14">
        <f>24.4081 * CHOOSE(CONTROL!$C$9, $D$9, 100%, $F$9) + CHOOSE(CONTROL!$C$27, 0.0021, 0)</f>
        <v>24.4102</v>
      </c>
      <c r="L88" s="14"/>
    </row>
    <row r="89" spans="1:12" ht="15" x14ac:dyDescent="0.2">
      <c r="A89" s="13">
        <v>43617</v>
      </c>
      <c r="B89" s="14">
        <f>25.1181 * CHOOSE(CONTROL!$C$9, $D$9, 100%, $F$9) + CHOOSE(CONTROL!$C$27, 0.0021, 0)</f>
        <v>25.120199999999997</v>
      </c>
      <c r="C89" s="14">
        <f>24.6859 * CHOOSE(CONTROL!$C$9, $D$9, 100%, $F$9) + CHOOSE(CONTROL!$C$27, 0.0021, 0)</f>
        <v>24.687999999999999</v>
      </c>
      <c r="D89" s="14">
        <f>24.6859 * CHOOSE(CONTROL!$C$9, $D$9, 100%, $F$9) + CHOOSE(CONTROL!$C$27, 0.0021, 0)</f>
        <v>24.687999999999999</v>
      </c>
      <c r="E89" s="14">
        <f>24.5492 * CHOOSE(CONTROL!$C$9, $D$9, 100%, $F$9) + CHOOSE(CONTROL!$C$27, 0.0021, 0)</f>
        <v>24.551299999999998</v>
      </c>
      <c r="F89" s="14">
        <f>24.5492 * CHOOSE(CONTROL!$C$9, $D$9, 100%, $F$9) + CHOOSE(CONTROL!$C$27, 0.0021, 0)</f>
        <v>24.551299999999998</v>
      </c>
      <c r="G89" s="14">
        <f>24.8206 * CHOOSE(CONTROL!$C$9, $D$9, 100%, $F$9) + CHOOSE(CONTROL!$C$27, 0.0021, 0)</f>
        <v>24.822699999999998</v>
      </c>
      <c r="H89" s="14">
        <f>24.6859 * CHOOSE(CONTROL!$C$9, $D$9, 100%, $F$9) + CHOOSE(CONTROL!$C$27, 0.0021, 0)</f>
        <v>24.687999999999999</v>
      </c>
      <c r="I89" s="14">
        <f>24.6859 * CHOOSE(CONTROL!$C$9, $D$9, 100%, $F$9) + CHOOSE(CONTROL!$C$27, 0.0021, 0)</f>
        <v>24.687999999999999</v>
      </c>
      <c r="J89" s="14">
        <f>24.6859 * CHOOSE(CONTROL!$C$9, $D$9, 100%, $F$9) + CHOOSE(CONTROL!$C$27, 0.0021, 0)</f>
        <v>24.687999999999999</v>
      </c>
      <c r="K89" s="14">
        <f>24.6859 * CHOOSE(CONTROL!$C$9, $D$9, 100%, $F$9) + CHOOSE(CONTROL!$C$27, 0.0021, 0)</f>
        <v>24.687999999999999</v>
      </c>
      <c r="L89" s="14"/>
    </row>
    <row r="90" spans="1:12" ht="15" x14ac:dyDescent="0.2">
      <c r="A90" s="13">
        <v>43647</v>
      </c>
      <c r="B90" s="14">
        <f>25.5763 * CHOOSE(CONTROL!$C$9, $D$9, 100%, $F$9) + CHOOSE(CONTROL!$C$27, 0.0021, 0)</f>
        <v>25.578399999999998</v>
      </c>
      <c r="C90" s="14">
        <f>25.1441 * CHOOSE(CONTROL!$C$9, $D$9, 100%, $F$9) + CHOOSE(CONTROL!$C$27, 0.0021, 0)</f>
        <v>25.1462</v>
      </c>
      <c r="D90" s="14">
        <f>25.1441 * CHOOSE(CONTROL!$C$9, $D$9, 100%, $F$9) + CHOOSE(CONTROL!$C$27, 0.0021, 0)</f>
        <v>25.1462</v>
      </c>
      <c r="E90" s="14">
        <f>25.0074 * CHOOSE(CONTROL!$C$9, $D$9, 100%, $F$9) + CHOOSE(CONTROL!$C$27, 0.0021, 0)</f>
        <v>25.009499999999999</v>
      </c>
      <c r="F90" s="14">
        <f>25.0074 * CHOOSE(CONTROL!$C$9, $D$9, 100%, $F$9) + CHOOSE(CONTROL!$C$27, 0.0021, 0)</f>
        <v>25.009499999999999</v>
      </c>
      <c r="G90" s="14">
        <f>25.2788 * CHOOSE(CONTROL!$C$9, $D$9, 100%, $F$9) + CHOOSE(CONTROL!$C$27, 0.0021, 0)</f>
        <v>25.280899999999999</v>
      </c>
      <c r="H90" s="14">
        <f>25.1441 * CHOOSE(CONTROL!$C$9, $D$9, 100%, $F$9) + CHOOSE(CONTROL!$C$27, 0.0021, 0)</f>
        <v>25.1462</v>
      </c>
      <c r="I90" s="14">
        <f>25.1441 * CHOOSE(CONTROL!$C$9, $D$9, 100%, $F$9) + CHOOSE(CONTROL!$C$27, 0.0021, 0)</f>
        <v>25.1462</v>
      </c>
      <c r="J90" s="14">
        <f>25.1441 * CHOOSE(CONTROL!$C$9, $D$9, 100%, $F$9) + CHOOSE(CONTROL!$C$27, 0.0021, 0)</f>
        <v>25.1462</v>
      </c>
      <c r="K90" s="14">
        <f>25.1441 * CHOOSE(CONTROL!$C$9, $D$9, 100%, $F$9) + CHOOSE(CONTROL!$C$27, 0.0021, 0)</f>
        <v>25.1462</v>
      </c>
      <c r="L90" s="14"/>
    </row>
    <row r="91" spans="1:12" ht="15" x14ac:dyDescent="0.2">
      <c r="A91" s="13">
        <v>43678</v>
      </c>
      <c r="B91" s="14">
        <f>25.7162 * CHOOSE(CONTROL!$C$9, $D$9, 100%, $F$9) + CHOOSE(CONTROL!$C$27, 0.0021, 0)</f>
        <v>25.718299999999999</v>
      </c>
      <c r="C91" s="14">
        <f>25.284 * CHOOSE(CONTROL!$C$9, $D$9, 100%, $F$9) + CHOOSE(CONTROL!$C$27, 0.0021, 0)</f>
        <v>25.286099999999998</v>
      </c>
      <c r="D91" s="14">
        <f>25.284 * CHOOSE(CONTROL!$C$9, $D$9, 100%, $F$9) + CHOOSE(CONTROL!$C$27, 0.0021, 0)</f>
        <v>25.286099999999998</v>
      </c>
      <c r="E91" s="14">
        <f>25.1473 * CHOOSE(CONTROL!$C$9, $D$9, 100%, $F$9) + CHOOSE(CONTROL!$C$27, 0.0021, 0)</f>
        <v>25.1494</v>
      </c>
      <c r="F91" s="14">
        <f>25.1473 * CHOOSE(CONTROL!$C$9, $D$9, 100%, $F$9) + CHOOSE(CONTROL!$C$27, 0.0021, 0)</f>
        <v>25.1494</v>
      </c>
      <c r="G91" s="14">
        <f>25.4187 * CHOOSE(CONTROL!$C$9, $D$9, 100%, $F$9) + CHOOSE(CONTROL!$C$27, 0.0021, 0)</f>
        <v>25.4208</v>
      </c>
      <c r="H91" s="14">
        <f>25.284 * CHOOSE(CONTROL!$C$9, $D$9, 100%, $F$9) + CHOOSE(CONTROL!$C$27, 0.0021, 0)</f>
        <v>25.286099999999998</v>
      </c>
      <c r="I91" s="14">
        <f>25.284 * CHOOSE(CONTROL!$C$9, $D$9, 100%, $F$9) + CHOOSE(CONTROL!$C$27, 0.0021, 0)</f>
        <v>25.286099999999998</v>
      </c>
      <c r="J91" s="14">
        <f>25.284 * CHOOSE(CONTROL!$C$9, $D$9, 100%, $F$9) + CHOOSE(CONTROL!$C$27, 0.0021, 0)</f>
        <v>25.286099999999998</v>
      </c>
      <c r="K91" s="14">
        <f>25.284 * CHOOSE(CONTROL!$C$9, $D$9, 100%, $F$9) + CHOOSE(CONTROL!$C$27, 0.0021, 0)</f>
        <v>25.286099999999998</v>
      </c>
      <c r="L91" s="14"/>
    </row>
    <row r="92" spans="1:12" ht="15" x14ac:dyDescent="0.2">
      <c r="A92" s="13">
        <v>43709</v>
      </c>
      <c r="B92" s="14">
        <f>26.1925 * CHOOSE(CONTROL!$C$9, $D$9, 100%, $F$9) + CHOOSE(CONTROL!$C$27, 0.0021, 0)</f>
        <v>26.194599999999998</v>
      </c>
      <c r="C92" s="14">
        <f>25.7603 * CHOOSE(CONTROL!$C$9, $D$9, 100%, $F$9) + CHOOSE(CONTROL!$C$27, 0.0021, 0)</f>
        <v>25.7624</v>
      </c>
      <c r="D92" s="14">
        <f>25.7603 * CHOOSE(CONTROL!$C$9, $D$9, 100%, $F$9) + CHOOSE(CONTROL!$C$27, 0.0021, 0)</f>
        <v>25.7624</v>
      </c>
      <c r="E92" s="14">
        <f>25.6236 * CHOOSE(CONTROL!$C$9, $D$9, 100%, $F$9) + CHOOSE(CONTROL!$C$27, 0.0021, 0)</f>
        <v>25.625699999999998</v>
      </c>
      <c r="F92" s="14">
        <f>25.6236 * CHOOSE(CONTROL!$C$9, $D$9, 100%, $F$9) + CHOOSE(CONTROL!$C$27, 0.0021, 0)</f>
        <v>25.625699999999998</v>
      </c>
      <c r="G92" s="14">
        <f>25.895 * CHOOSE(CONTROL!$C$9, $D$9, 100%, $F$9) + CHOOSE(CONTROL!$C$27, 0.0021, 0)</f>
        <v>25.897099999999998</v>
      </c>
      <c r="H92" s="14">
        <f>25.7603 * CHOOSE(CONTROL!$C$9, $D$9, 100%, $F$9) + CHOOSE(CONTROL!$C$27, 0.0021, 0)</f>
        <v>25.7624</v>
      </c>
      <c r="I92" s="14">
        <f>25.7603 * CHOOSE(CONTROL!$C$9, $D$9, 100%, $F$9) + CHOOSE(CONTROL!$C$27, 0.0021, 0)</f>
        <v>25.7624</v>
      </c>
      <c r="J92" s="14">
        <f>25.7603 * CHOOSE(CONTROL!$C$9, $D$9, 100%, $F$9) + CHOOSE(CONTROL!$C$27, 0.0021, 0)</f>
        <v>25.7624</v>
      </c>
      <c r="K92" s="14">
        <f>25.7603 * CHOOSE(CONTROL!$C$9, $D$9, 100%, $F$9) + CHOOSE(CONTROL!$C$27, 0.0021, 0)</f>
        <v>25.7624</v>
      </c>
      <c r="L92" s="14"/>
    </row>
    <row r="93" spans="1:12" ht="15" x14ac:dyDescent="0.2">
      <c r="A93" s="13">
        <v>43739</v>
      </c>
      <c r="B93" s="14">
        <f>26.7955 * CHOOSE(CONTROL!$C$9, $D$9, 100%, $F$9) + CHOOSE(CONTROL!$C$27, 0.0021, 0)</f>
        <v>26.797599999999999</v>
      </c>
      <c r="C93" s="14">
        <f>26.3632 * CHOOSE(CONTROL!$C$9, $D$9, 100%, $F$9) + CHOOSE(CONTROL!$C$27, 0.0021, 0)</f>
        <v>26.365299999999998</v>
      </c>
      <c r="D93" s="14">
        <f>26.3632 * CHOOSE(CONTROL!$C$9, $D$9, 100%, $F$9) + CHOOSE(CONTROL!$C$27, 0.0021, 0)</f>
        <v>26.365299999999998</v>
      </c>
      <c r="E93" s="14">
        <f>26.2266 * CHOOSE(CONTROL!$C$9, $D$9, 100%, $F$9) + CHOOSE(CONTROL!$C$27, 0.0021, 0)</f>
        <v>26.2287</v>
      </c>
      <c r="F93" s="14">
        <f>26.2266 * CHOOSE(CONTROL!$C$9, $D$9, 100%, $F$9) + CHOOSE(CONTROL!$C$27, 0.0021, 0)</f>
        <v>26.2287</v>
      </c>
      <c r="G93" s="14">
        <f>26.498 * CHOOSE(CONTROL!$C$9, $D$9, 100%, $F$9) + CHOOSE(CONTROL!$C$27, 0.0021, 0)</f>
        <v>26.5001</v>
      </c>
      <c r="H93" s="14">
        <f>26.3632 * CHOOSE(CONTROL!$C$9, $D$9, 100%, $F$9) + CHOOSE(CONTROL!$C$27, 0.0021, 0)</f>
        <v>26.365299999999998</v>
      </c>
      <c r="I93" s="14">
        <f>26.3632 * CHOOSE(CONTROL!$C$9, $D$9, 100%, $F$9) + CHOOSE(CONTROL!$C$27, 0.0021, 0)</f>
        <v>26.365299999999998</v>
      </c>
      <c r="J93" s="14">
        <f>26.3632 * CHOOSE(CONTROL!$C$9, $D$9, 100%, $F$9) + CHOOSE(CONTROL!$C$27, 0.0021, 0)</f>
        <v>26.365299999999998</v>
      </c>
      <c r="K93" s="14">
        <f>26.3632 * CHOOSE(CONTROL!$C$9, $D$9, 100%, $F$9) + CHOOSE(CONTROL!$C$27, 0.0021, 0)</f>
        <v>26.365299999999998</v>
      </c>
      <c r="L93" s="14"/>
    </row>
    <row r="94" spans="1:12" ht="15" x14ac:dyDescent="0.2">
      <c r="A94" s="13">
        <v>43770</v>
      </c>
      <c r="B94" s="14">
        <f>26.8521 * CHOOSE(CONTROL!$C$9, $D$9, 100%, $F$9) + CHOOSE(CONTROL!$C$27, 0.0021, 0)</f>
        <v>26.854199999999999</v>
      </c>
      <c r="C94" s="14">
        <f>26.4198 * CHOOSE(CONTROL!$C$9, $D$9, 100%, $F$9) + CHOOSE(CONTROL!$C$27, 0.0021, 0)</f>
        <v>26.421899999999997</v>
      </c>
      <c r="D94" s="14">
        <f>26.4198 * CHOOSE(CONTROL!$C$9, $D$9, 100%, $F$9) + CHOOSE(CONTROL!$C$27, 0.0021, 0)</f>
        <v>26.421899999999997</v>
      </c>
      <c r="E94" s="14">
        <f>26.2832 * CHOOSE(CONTROL!$C$9, $D$9, 100%, $F$9) + CHOOSE(CONTROL!$C$27, 0.0021, 0)</f>
        <v>26.285299999999999</v>
      </c>
      <c r="F94" s="14">
        <f>26.2832 * CHOOSE(CONTROL!$C$9, $D$9, 100%, $F$9) + CHOOSE(CONTROL!$C$27, 0.0021, 0)</f>
        <v>26.285299999999999</v>
      </c>
      <c r="G94" s="14">
        <f>26.5546 * CHOOSE(CONTROL!$C$9, $D$9, 100%, $F$9) + CHOOSE(CONTROL!$C$27, 0.0021, 0)</f>
        <v>26.556699999999999</v>
      </c>
      <c r="H94" s="14">
        <f>26.4198 * CHOOSE(CONTROL!$C$9, $D$9, 100%, $F$9) + CHOOSE(CONTROL!$C$27, 0.0021, 0)</f>
        <v>26.421899999999997</v>
      </c>
      <c r="I94" s="14">
        <f>26.4198 * CHOOSE(CONTROL!$C$9, $D$9, 100%, $F$9) + CHOOSE(CONTROL!$C$27, 0.0021, 0)</f>
        <v>26.421899999999997</v>
      </c>
      <c r="J94" s="14">
        <f>26.4198 * CHOOSE(CONTROL!$C$9, $D$9, 100%, $F$9) + CHOOSE(CONTROL!$C$27, 0.0021, 0)</f>
        <v>26.421899999999997</v>
      </c>
      <c r="K94" s="14">
        <f>26.4198 * CHOOSE(CONTROL!$C$9, $D$9, 100%, $F$9) + CHOOSE(CONTROL!$C$27, 0.0021, 0)</f>
        <v>26.421899999999997</v>
      </c>
      <c r="L94" s="14"/>
    </row>
    <row r="95" spans="1:12" ht="15" x14ac:dyDescent="0.2">
      <c r="A95" s="13">
        <v>43800</v>
      </c>
      <c r="B95" s="14">
        <f>26.3705 * CHOOSE(CONTROL!$C$9, $D$9, 100%, $F$9) + CHOOSE(CONTROL!$C$27, 0.0021, 0)</f>
        <v>26.372599999999998</v>
      </c>
      <c r="C95" s="14">
        <f>25.9383 * CHOOSE(CONTROL!$C$9, $D$9, 100%, $F$9) + CHOOSE(CONTROL!$C$27, 0.0021, 0)</f>
        <v>25.9404</v>
      </c>
      <c r="D95" s="14">
        <f>25.9383 * CHOOSE(CONTROL!$C$9, $D$9, 100%, $F$9) + CHOOSE(CONTROL!$C$27, 0.0021, 0)</f>
        <v>25.9404</v>
      </c>
      <c r="E95" s="14">
        <f>25.8016 * CHOOSE(CONTROL!$C$9, $D$9, 100%, $F$9) + CHOOSE(CONTROL!$C$27, 0.0021, 0)</f>
        <v>25.803699999999999</v>
      </c>
      <c r="F95" s="14">
        <f>25.8016 * CHOOSE(CONTROL!$C$9, $D$9, 100%, $F$9) + CHOOSE(CONTROL!$C$27, 0.0021, 0)</f>
        <v>25.803699999999999</v>
      </c>
      <c r="G95" s="14">
        <f>26.073 * CHOOSE(CONTROL!$C$9, $D$9, 100%, $F$9) + CHOOSE(CONTROL!$C$27, 0.0021, 0)</f>
        <v>26.075099999999999</v>
      </c>
      <c r="H95" s="14">
        <f>25.9383 * CHOOSE(CONTROL!$C$9, $D$9, 100%, $F$9) + CHOOSE(CONTROL!$C$27, 0.0021, 0)</f>
        <v>25.9404</v>
      </c>
      <c r="I95" s="14">
        <f>25.9383 * CHOOSE(CONTROL!$C$9, $D$9, 100%, $F$9) + CHOOSE(CONTROL!$C$27, 0.0021, 0)</f>
        <v>25.9404</v>
      </c>
      <c r="J95" s="14">
        <f>25.9383 * CHOOSE(CONTROL!$C$9, $D$9, 100%, $F$9) + CHOOSE(CONTROL!$C$27, 0.0021, 0)</f>
        <v>25.9404</v>
      </c>
      <c r="K95" s="14">
        <f>25.9383 * CHOOSE(CONTROL!$C$9, $D$9, 100%, $F$9) + CHOOSE(CONTROL!$C$27, 0.0021, 0)</f>
        <v>25.9404</v>
      </c>
      <c r="L95" s="14"/>
    </row>
    <row r="96" spans="1:12" ht="15" x14ac:dyDescent="0.2">
      <c r="A96" s="13">
        <v>43831</v>
      </c>
      <c r="B96" s="14">
        <f>26.3346 * CHOOSE(CONTROL!$C$9, $D$9, 100%, $F$9) + CHOOSE(CONTROL!$C$27, 0.0021, 0)</f>
        <v>26.336699999999997</v>
      </c>
      <c r="C96" s="14">
        <f>25.9024 * CHOOSE(CONTROL!$C$9, $D$9, 100%, $F$9) + CHOOSE(CONTROL!$C$27, 0.0021, 0)</f>
        <v>25.904499999999999</v>
      </c>
      <c r="D96" s="14">
        <f>25.9024 * CHOOSE(CONTROL!$C$9, $D$9, 100%, $F$9) + CHOOSE(CONTROL!$C$27, 0.0021, 0)</f>
        <v>25.904499999999999</v>
      </c>
      <c r="E96" s="14">
        <f>25.7657 * CHOOSE(CONTROL!$C$9, $D$9, 100%, $F$9) + CHOOSE(CONTROL!$C$27, 0.0021, 0)</f>
        <v>25.767799999999998</v>
      </c>
      <c r="F96" s="14">
        <f>25.7657 * CHOOSE(CONTROL!$C$9, $D$9, 100%, $F$9) + CHOOSE(CONTROL!$C$27, 0.0021, 0)</f>
        <v>25.767799999999998</v>
      </c>
      <c r="G96" s="14">
        <f>26.0371 * CHOOSE(CONTROL!$C$9, $D$9, 100%, $F$9) + CHOOSE(CONTROL!$C$27, 0.0021, 0)</f>
        <v>26.039199999999997</v>
      </c>
      <c r="H96" s="14">
        <f>25.9024 * CHOOSE(CONTROL!$C$9, $D$9, 100%, $F$9) + CHOOSE(CONTROL!$C$27, 0.0021, 0)</f>
        <v>25.904499999999999</v>
      </c>
      <c r="I96" s="14">
        <f>25.9024 * CHOOSE(CONTROL!$C$9, $D$9, 100%, $F$9) + CHOOSE(CONTROL!$C$27, 0.0021, 0)</f>
        <v>25.904499999999999</v>
      </c>
      <c r="J96" s="14">
        <f>25.9024 * CHOOSE(CONTROL!$C$9, $D$9, 100%, $F$9) + CHOOSE(CONTROL!$C$27, 0.0021, 0)</f>
        <v>25.904499999999999</v>
      </c>
      <c r="K96" s="14">
        <f>25.9024 * CHOOSE(CONTROL!$C$9, $D$9, 100%, $F$9) + CHOOSE(CONTROL!$C$27, 0.0021, 0)</f>
        <v>25.904499999999999</v>
      </c>
      <c r="L96" s="14"/>
    </row>
    <row r="97" spans="1:12" ht="15" x14ac:dyDescent="0.2">
      <c r="A97" s="13">
        <v>43862</v>
      </c>
      <c r="B97" s="14">
        <f>25.6546 * CHOOSE(CONTROL!$C$9, $D$9, 100%, $F$9) + CHOOSE(CONTROL!$C$27, 0.0021, 0)</f>
        <v>25.656699999999997</v>
      </c>
      <c r="C97" s="14">
        <f>25.2223 * CHOOSE(CONTROL!$C$9, $D$9, 100%, $F$9) + CHOOSE(CONTROL!$C$27, 0.0021, 0)</f>
        <v>25.224399999999999</v>
      </c>
      <c r="D97" s="14">
        <f>25.2223 * CHOOSE(CONTROL!$C$9, $D$9, 100%, $F$9) + CHOOSE(CONTROL!$C$27, 0.0021, 0)</f>
        <v>25.224399999999999</v>
      </c>
      <c r="E97" s="14">
        <f>25.0856 * CHOOSE(CONTROL!$C$9, $D$9, 100%, $F$9) + CHOOSE(CONTROL!$C$27, 0.0021, 0)</f>
        <v>25.087699999999998</v>
      </c>
      <c r="F97" s="14">
        <f>25.0856 * CHOOSE(CONTROL!$C$9, $D$9, 100%, $F$9) + CHOOSE(CONTROL!$C$27, 0.0021, 0)</f>
        <v>25.087699999999998</v>
      </c>
      <c r="G97" s="14">
        <f>25.357 * CHOOSE(CONTROL!$C$9, $D$9, 100%, $F$9) + CHOOSE(CONTROL!$C$27, 0.0021, 0)</f>
        <v>25.359099999999998</v>
      </c>
      <c r="H97" s="14">
        <f>25.2223 * CHOOSE(CONTROL!$C$9, $D$9, 100%, $F$9) + CHOOSE(CONTROL!$C$27, 0.0021, 0)</f>
        <v>25.224399999999999</v>
      </c>
      <c r="I97" s="14">
        <f>25.2223 * CHOOSE(CONTROL!$C$9, $D$9, 100%, $F$9) + CHOOSE(CONTROL!$C$27, 0.0021, 0)</f>
        <v>25.224399999999999</v>
      </c>
      <c r="J97" s="14">
        <f>25.2223 * CHOOSE(CONTROL!$C$9, $D$9, 100%, $F$9) + CHOOSE(CONTROL!$C$27, 0.0021, 0)</f>
        <v>25.224399999999999</v>
      </c>
      <c r="K97" s="14">
        <f>25.2223 * CHOOSE(CONTROL!$C$9, $D$9, 100%, $F$9) + CHOOSE(CONTROL!$C$27, 0.0021, 0)</f>
        <v>25.224399999999999</v>
      </c>
      <c r="L97" s="14"/>
    </row>
    <row r="98" spans="1:12" ht="15" x14ac:dyDescent="0.2">
      <c r="A98" s="13">
        <v>43891</v>
      </c>
      <c r="B98" s="14">
        <f>25.3738 * CHOOSE(CONTROL!$C$9, $D$9, 100%, $F$9) + CHOOSE(CONTROL!$C$27, 0.0021, 0)</f>
        <v>25.375899999999998</v>
      </c>
      <c r="C98" s="14">
        <f>24.9416 * CHOOSE(CONTROL!$C$9, $D$9, 100%, $F$9) + CHOOSE(CONTROL!$C$27, 0.0021, 0)</f>
        <v>24.9437</v>
      </c>
      <c r="D98" s="14">
        <f>24.9416 * CHOOSE(CONTROL!$C$9, $D$9, 100%, $F$9) + CHOOSE(CONTROL!$C$27, 0.0021, 0)</f>
        <v>24.9437</v>
      </c>
      <c r="E98" s="14">
        <f>24.8049 * CHOOSE(CONTROL!$C$9, $D$9, 100%, $F$9) + CHOOSE(CONTROL!$C$27, 0.0021, 0)</f>
        <v>24.806999999999999</v>
      </c>
      <c r="F98" s="14">
        <f>24.8049 * CHOOSE(CONTROL!$C$9, $D$9, 100%, $F$9) + CHOOSE(CONTROL!$C$27, 0.0021, 0)</f>
        <v>24.806999999999999</v>
      </c>
      <c r="G98" s="14">
        <f>25.0763 * CHOOSE(CONTROL!$C$9, $D$9, 100%, $F$9) + CHOOSE(CONTROL!$C$27, 0.0021, 0)</f>
        <v>25.078399999999998</v>
      </c>
      <c r="H98" s="14">
        <f>24.9416 * CHOOSE(CONTROL!$C$9, $D$9, 100%, $F$9) + CHOOSE(CONTROL!$C$27, 0.0021, 0)</f>
        <v>24.9437</v>
      </c>
      <c r="I98" s="14">
        <f>24.9416 * CHOOSE(CONTROL!$C$9, $D$9, 100%, $F$9) + CHOOSE(CONTROL!$C$27, 0.0021, 0)</f>
        <v>24.9437</v>
      </c>
      <c r="J98" s="14">
        <f>24.9416 * CHOOSE(CONTROL!$C$9, $D$9, 100%, $F$9) + CHOOSE(CONTROL!$C$27, 0.0021, 0)</f>
        <v>24.9437</v>
      </c>
      <c r="K98" s="14">
        <f>24.9416 * CHOOSE(CONTROL!$C$9, $D$9, 100%, $F$9) + CHOOSE(CONTROL!$C$27, 0.0021, 0)</f>
        <v>24.9437</v>
      </c>
      <c r="L98" s="14"/>
    </row>
    <row r="99" spans="1:12" ht="15" x14ac:dyDescent="0.2">
      <c r="A99" s="13">
        <v>43922</v>
      </c>
      <c r="B99" s="14">
        <f>25.0386 * CHOOSE(CONTROL!$C$9, $D$9, 100%, $F$9) + CHOOSE(CONTROL!$C$27, 0.0021, 0)</f>
        <v>25.040699999999998</v>
      </c>
      <c r="C99" s="14">
        <f>24.6064 * CHOOSE(CONTROL!$C$9, $D$9, 100%, $F$9) + CHOOSE(CONTROL!$C$27, 0.0021, 0)</f>
        <v>24.608499999999999</v>
      </c>
      <c r="D99" s="14">
        <f>24.6064 * CHOOSE(CONTROL!$C$9, $D$9, 100%, $F$9) + CHOOSE(CONTROL!$C$27, 0.0021, 0)</f>
        <v>24.608499999999999</v>
      </c>
      <c r="E99" s="14">
        <f>24.4697 * CHOOSE(CONTROL!$C$9, $D$9, 100%, $F$9) + CHOOSE(CONTROL!$C$27, 0.0021, 0)</f>
        <v>24.471799999999998</v>
      </c>
      <c r="F99" s="14">
        <f>24.4697 * CHOOSE(CONTROL!$C$9, $D$9, 100%, $F$9) + CHOOSE(CONTROL!$C$27, 0.0021, 0)</f>
        <v>24.471799999999998</v>
      </c>
      <c r="G99" s="14">
        <f>24.7411 * CHOOSE(CONTROL!$C$9, $D$9, 100%, $F$9) + CHOOSE(CONTROL!$C$27, 0.0021, 0)</f>
        <v>24.743199999999998</v>
      </c>
      <c r="H99" s="14">
        <f>24.6064 * CHOOSE(CONTROL!$C$9, $D$9, 100%, $F$9) + CHOOSE(CONTROL!$C$27, 0.0021, 0)</f>
        <v>24.608499999999999</v>
      </c>
      <c r="I99" s="14">
        <f>24.6064 * CHOOSE(CONTROL!$C$9, $D$9, 100%, $F$9) + CHOOSE(CONTROL!$C$27, 0.0021, 0)</f>
        <v>24.608499999999999</v>
      </c>
      <c r="J99" s="14">
        <f>24.6064 * CHOOSE(CONTROL!$C$9, $D$9, 100%, $F$9) + CHOOSE(CONTROL!$C$27, 0.0021, 0)</f>
        <v>24.608499999999999</v>
      </c>
      <c r="K99" s="14">
        <f>24.6064 * CHOOSE(CONTROL!$C$9, $D$9, 100%, $F$9) + CHOOSE(CONTROL!$C$27, 0.0021, 0)</f>
        <v>24.608499999999999</v>
      </c>
      <c r="L99" s="14"/>
    </row>
    <row r="100" spans="1:12" ht="15" x14ac:dyDescent="0.2">
      <c r="A100" s="13">
        <v>43952</v>
      </c>
      <c r="B100" s="14">
        <f>25.5163 * CHOOSE(CONTROL!$C$9, $D$9, 100%, $F$9) + CHOOSE(CONTROL!$C$27, 0.0021, 0)</f>
        <v>25.5184</v>
      </c>
      <c r="C100" s="14">
        <f>25.0841 * CHOOSE(CONTROL!$C$9, $D$9, 100%, $F$9) + CHOOSE(CONTROL!$C$27, 0.0021, 0)</f>
        <v>25.086199999999998</v>
      </c>
      <c r="D100" s="14">
        <f>25.0841 * CHOOSE(CONTROL!$C$9, $D$9, 100%, $F$9) + CHOOSE(CONTROL!$C$27, 0.0021, 0)</f>
        <v>25.086199999999998</v>
      </c>
      <c r="E100" s="14">
        <f>24.9474 * CHOOSE(CONTROL!$C$9, $D$9, 100%, $F$9) + CHOOSE(CONTROL!$C$27, 0.0021, 0)</f>
        <v>24.949499999999997</v>
      </c>
      <c r="F100" s="14">
        <f>24.9474 * CHOOSE(CONTROL!$C$9, $D$9, 100%, $F$9) + CHOOSE(CONTROL!$C$27, 0.0021, 0)</f>
        <v>24.949499999999997</v>
      </c>
      <c r="G100" s="14">
        <f>25.2188 * CHOOSE(CONTROL!$C$9, $D$9, 100%, $F$9) + CHOOSE(CONTROL!$C$27, 0.0021, 0)</f>
        <v>25.2209</v>
      </c>
      <c r="H100" s="14">
        <f>25.0841 * CHOOSE(CONTROL!$C$9, $D$9, 100%, $F$9) + CHOOSE(CONTROL!$C$27, 0.0021, 0)</f>
        <v>25.086199999999998</v>
      </c>
      <c r="I100" s="14">
        <f>25.0841 * CHOOSE(CONTROL!$C$9, $D$9, 100%, $F$9) + CHOOSE(CONTROL!$C$27, 0.0021, 0)</f>
        <v>25.086199999999998</v>
      </c>
      <c r="J100" s="14">
        <f>25.0841 * CHOOSE(CONTROL!$C$9, $D$9, 100%, $F$9) + CHOOSE(CONTROL!$C$27, 0.0021, 0)</f>
        <v>25.086199999999998</v>
      </c>
      <c r="K100" s="14">
        <f>25.0841 * CHOOSE(CONTROL!$C$9, $D$9, 100%, $F$9) + CHOOSE(CONTROL!$C$27, 0.0021, 0)</f>
        <v>25.086199999999998</v>
      </c>
      <c r="L100" s="14"/>
    </row>
    <row r="101" spans="1:12" ht="15" x14ac:dyDescent="0.2">
      <c r="A101" s="13">
        <v>43983</v>
      </c>
      <c r="B101" s="14">
        <f>25.8024 * CHOOSE(CONTROL!$C$9, $D$9, 100%, $F$9) + CHOOSE(CONTROL!$C$27, 0.0021, 0)</f>
        <v>25.804499999999997</v>
      </c>
      <c r="C101" s="14">
        <f>25.3702 * CHOOSE(CONTROL!$C$9, $D$9, 100%, $F$9) + CHOOSE(CONTROL!$C$27, 0.0021, 0)</f>
        <v>25.372299999999999</v>
      </c>
      <c r="D101" s="14">
        <f>25.3702 * CHOOSE(CONTROL!$C$9, $D$9, 100%, $F$9) + CHOOSE(CONTROL!$C$27, 0.0021, 0)</f>
        <v>25.372299999999999</v>
      </c>
      <c r="E101" s="14">
        <f>25.2335 * CHOOSE(CONTROL!$C$9, $D$9, 100%, $F$9) + CHOOSE(CONTROL!$C$27, 0.0021, 0)</f>
        <v>25.235599999999998</v>
      </c>
      <c r="F101" s="14">
        <f>25.2335 * CHOOSE(CONTROL!$C$9, $D$9, 100%, $F$9) + CHOOSE(CONTROL!$C$27, 0.0021, 0)</f>
        <v>25.235599999999998</v>
      </c>
      <c r="G101" s="14">
        <f>25.5049 * CHOOSE(CONTROL!$C$9, $D$9, 100%, $F$9) + CHOOSE(CONTROL!$C$27, 0.0021, 0)</f>
        <v>25.506999999999998</v>
      </c>
      <c r="H101" s="14">
        <f>25.3702 * CHOOSE(CONTROL!$C$9, $D$9, 100%, $F$9) + CHOOSE(CONTROL!$C$27, 0.0021, 0)</f>
        <v>25.372299999999999</v>
      </c>
      <c r="I101" s="14">
        <f>25.3702 * CHOOSE(CONTROL!$C$9, $D$9, 100%, $F$9) + CHOOSE(CONTROL!$C$27, 0.0021, 0)</f>
        <v>25.372299999999999</v>
      </c>
      <c r="J101" s="14">
        <f>25.3702 * CHOOSE(CONTROL!$C$9, $D$9, 100%, $F$9) + CHOOSE(CONTROL!$C$27, 0.0021, 0)</f>
        <v>25.372299999999999</v>
      </c>
      <c r="K101" s="14">
        <f>25.3702 * CHOOSE(CONTROL!$C$9, $D$9, 100%, $F$9) + CHOOSE(CONTROL!$C$27, 0.0021, 0)</f>
        <v>25.372299999999999</v>
      </c>
      <c r="L101" s="14"/>
    </row>
    <row r="102" spans="1:12" ht="15" x14ac:dyDescent="0.2">
      <c r="A102" s="13">
        <v>44013</v>
      </c>
      <c r="B102" s="14">
        <f>26.2744 * CHOOSE(CONTROL!$C$9, $D$9, 100%, $F$9) + CHOOSE(CONTROL!$C$27, 0.0021, 0)</f>
        <v>26.276499999999999</v>
      </c>
      <c r="C102" s="14">
        <f>25.8422 * CHOOSE(CONTROL!$C$9, $D$9, 100%, $F$9) + CHOOSE(CONTROL!$C$27, 0.0021, 0)</f>
        <v>25.844299999999997</v>
      </c>
      <c r="D102" s="14">
        <f>25.8422 * CHOOSE(CONTROL!$C$9, $D$9, 100%, $F$9) + CHOOSE(CONTROL!$C$27, 0.0021, 0)</f>
        <v>25.844299999999997</v>
      </c>
      <c r="E102" s="14">
        <f>25.7055 * CHOOSE(CONTROL!$C$9, $D$9, 100%, $F$9) + CHOOSE(CONTROL!$C$27, 0.0021, 0)</f>
        <v>25.707599999999999</v>
      </c>
      <c r="F102" s="14">
        <f>25.7055 * CHOOSE(CONTROL!$C$9, $D$9, 100%, $F$9) + CHOOSE(CONTROL!$C$27, 0.0021, 0)</f>
        <v>25.707599999999999</v>
      </c>
      <c r="G102" s="14">
        <f>25.9769 * CHOOSE(CONTROL!$C$9, $D$9, 100%, $F$9) + CHOOSE(CONTROL!$C$27, 0.0021, 0)</f>
        <v>25.978999999999999</v>
      </c>
      <c r="H102" s="14">
        <f>25.8422 * CHOOSE(CONTROL!$C$9, $D$9, 100%, $F$9) + CHOOSE(CONTROL!$C$27, 0.0021, 0)</f>
        <v>25.844299999999997</v>
      </c>
      <c r="I102" s="14">
        <f>25.8422 * CHOOSE(CONTROL!$C$9, $D$9, 100%, $F$9) + CHOOSE(CONTROL!$C$27, 0.0021, 0)</f>
        <v>25.844299999999997</v>
      </c>
      <c r="J102" s="14">
        <f>25.8422 * CHOOSE(CONTROL!$C$9, $D$9, 100%, $F$9) + CHOOSE(CONTROL!$C$27, 0.0021, 0)</f>
        <v>25.844299999999997</v>
      </c>
      <c r="K102" s="14">
        <f>25.8422 * CHOOSE(CONTROL!$C$9, $D$9, 100%, $F$9) + CHOOSE(CONTROL!$C$27, 0.0021, 0)</f>
        <v>25.844299999999997</v>
      </c>
      <c r="L102" s="14"/>
    </row>
    <row r="103" spans="1:12" ht="15" x14ac:dyDescent="0.2">
      <c r="A103" s="13">
        <v>44044</v>
      </c>
      <c r="B103" s="14">
        <f>26.4185 * CHOOSE(CONTROL!$C$9, $D$9, 100%, $F$9) + CHOOSE(CONTROL!$C$27, 0.0021, 0)</f>
        <v>26.4206</v>
      </c>
      <c r="C103" s="14">
        <f>25.9862 * CHOOSE(CONTROL!$C$9, $D$9, 100%, $F$9) + CHOOSE(CONTROL!$C$27, 0.0021, 0)</f>
        <v>25.988299999999999</v>
      </c>
      <c r="D103" s="14">
        <f>25.9862 * CHOOSE(CONTROL!$C$9, $D$9, 100%, $F$9) + CHOOSE(CONTROL!$C$27, 0.0021, 0)</f>
        <v>25.988299999999999</v>
      </c>
      <c r="E103" s="14">
        <f>25.8496 * CHOOSE(CONTROL!$C$9, $D$9, 100%, $F$9) + CHOOSE(CONTROL!$C$27, 0.0021, 0)</f>
        <v>25.851699999999997</v>
      </c>
      <c r="F103" s="14">
        <f>25.8496 * CHOOSE(CONTROL!$C$9, $D$9, 100%, $F$9) + CHOOSE(CONTROL!$C$27, 0.0021, 0)</f>
        <v>25.851699999999997</v>
      </c>
      <c r="G103" s="14">
        <f>26.121 * CHOOSE(CONTROL!$C$9, $D$9, 100%, $F$9) + CHOOSE(CONTROL!$C$27, 0.0021, 0)</f>
        <v>26.123099999999997</v>
      </c>
      <c r="H103" s="14">
        <f>25.9862 * CHOOSE(CONTROL!$C$9, $D$9, 100%, $F$9) + CHOOSE(CONTROL!$C$27, 0.0021, 0)</f>
        <v>25.988299999999999</v>
      </c>
      <c r="I103" s="14">
        <f>25.9862 * CHOOSE(CONTROL!$C$9, $D$9, 100%, $F$9) + CHOOSE(CONTROL!$C$27, 0.0021, 0)</f>
        <v>25.988299999999999</v>
      </c>
      <c r="J103" s="14">
        <f>25.9862 * CHOOSE(CONTROL!$C$9, $D$9, 100%, $F$9) + CHOOSE(CONTROL!$C$27, 0.0021, 0)</f>
        <v>25.988299999999999</v>
      </c>
      <c r="K103" s="14">
        <f>25.9862 * CHOOSE(CONTROL!$C$9, $D$9, 100%, $F$9) + CHOOSE(CONTROL!$C$27, 0.0021, 0)</f>
        <v>25.988299999999999</v>
      </c>
      <c r="L103" s="14"/>
    </row>
    <row r="104" spans="1:12" ht="15" x14ac:dyDescent="0.2">
      <c r="A104" s="13">
        <v>44075</v>
      </c>
      <c r="B104" s="14">
        <f>26.9091 * CHOOSE(CONTROL!$C$9, $D$9, 100%, $F$9) + CHOOSE(CONTROL!$C$27, 0.0021, 0)</f>
        <v>26.911199999999997</v>
      </c>
      <c r="C104" s="14">
        <f>26.4768 * CHOOSE(CONTROL!$C$9, $D$9, 100%, $F$9) + CHOOSE(CONTROL!$C$27, 0.0021, 0)</f>
        <v>26.478899999999999</v>
      </c>
      <c r="D104" s="14">
        <f>26.4768 * CHOOSE(CONTROL!$C$9, $D$9, 100%, $F$9) + CHOOSE(CONTROL!$C$27, 0.0021, 0)</f>
        <v>26.478899999999999</v>
      </c>
      <c r="E104" s="14">
        <f>26.3402 * CHOOSE(CONTROL!$C$9, $D$9, 100%, $F$9) + CHOOSE(CONTROL!$C$27, 0.0021, 0)</f>
        <v>26.342299999999998</v>
      </c>
      <c r="F104" s="14">
        <f>26.3402 * CHOOSE(CONTROL!$C$9, $D$9, 100%, $F$9) + CHOOSE(CONTROL!$C$27, 0.0021, 0)</f>
        <v>26.342299999999998</v>
      </c>
      <c r="G104" s="14">
        <f>26.6116 * CHOOSE(CONTROL!$C$9, $D$9, 100%, $F$9) + CHOOSE(CONTROL!$C$27, 0.0021, 0)</f>
        <v>26.613699999999998</v>
      </c>
      <c r="H104" s="14">
        <f>26.4768 * CHOOSE(CONTROL!$C$9, $D$9, 100%, $F$9) + CHOOSE(CONTROL!$C$27, 0.0021, 0)</f>
        <v>26.478899999999999</v>
      </c>
      <c r="I104" s="14">
        <f>26.4768 * CHOOSE(CONTROL!$C$9, $D$9, 100%, $F$9) + CHOOSE(CONTROL!$C$27, 0.0021, 0)</f>
        <v>26.478899999999999</v>
      </c>
      <c r="J104" s="14">
        <f>26.4768 * CHOOSE(CONTROL!$C$9, $D$9, 100%, $F$9) + CHOOSE(CONTROL!$C$27, 0.0021, 0)</f>
        <v>26.478899999999999</v>
      </c>
      <c r="K104" s="14">
        <f>26.4768 * CHOOSE(CONTROL!$C$9, $D$9, 100%, $F$9) + CHOOSE(CONTROL!$C$27, 0.0021, 0)</f>
        <v>26.478899999999999</v>
      </c>
      <c r="L104" s="14"/>
    </row>
    <row r="105" spans="1:12" ht="15" x14ac:dyDescent="0.2">
      <c r="A105" s="13">
        <v>44105</v>
      </c>
      <c r="B105" s="14">
        <f>27.5301 * CHOOSE(CONTROL!$C$9, $D$9, 100%, $F$9) + CHOOSE(CONTROL!$C$27, 0.0021, 0)</f>
        <v>27.5322</v>
      </c>
      <c r="C105" s="14">
        <f>27.0979 * CHOOSE(CONTROL!$C$9, $D$9, 100%, $F$9) + CHOOSE(CONTROL!$C$27, 0.0021, 0)</f>
        <v>27.099999999999998</v>
      </c>
      <c r="D105" s="14">
        <f>27.0979 * CHOOSE(CONTROL!$C$9, $D$9, 100%, $F$9) + CHOOSE(CONTROL!$C$27, 0.0021, 0)</f>
        <v>27.099999999999998</v>
      </c>
      <c r="E105" s="14">
        <f>26.9612 * CHOOSE(CONTROL!$C$9, $D$9, 100%, $F$9) + CHOOSE(CONTROL!$C$27, 0.0021, 0)</f>
        <v>26.9633</v>
      </c>
      <c r="F105" s="14">
        <f>26.9612 * CHOOSE(CONTROL!$C$9, $D$9, 100%, $F$9) + CHOOSE(CONTROL!$C$27, 0.0021, 0)</f>
        <v>26.9633</v>
      </c>
      <c r="G105" s="14">
        <f>27.2326 * CHOOSE(CONTROL!$C$9, $D$9, 100%, $F$9) + CHOOSE(CONTROL!$C$27, 0.0021, 0)</f>
        <v>27.2347</v>
      </c>
      <c r="H105" s="14">
        <f>27.0979 * CHOOSE(CONTROL!$C$9, $D$9, 100%, $F$9) + CHOOSE(CONTROL!$C$27, 0.0021, 0)</f>
        <v>27.099999999999998</v>
      </c>
      <c r="I105" s="14">
        <f>27.0979 * CHOOSE(CONTROL!$C$9, $D$9, 100%, $F$9) + CHOOSE(CONTROL!$C$27, 0.0021, 0)</f>
        <v>27.099999999999998</v>
      </c>
      <c r="J105" s="14">
        <f>27.0979 * CHOOSE(CONTROL!$C$9, $D$9, 100%, $F$9) + CHOOSE(CONTROL!$C$27, 0.0021, 0)</f>
        <v>27.099999999999998</v>
      </c>
      <c r="K105" s="14">
        <f>27.0979 * CHOOSE(CONTROL!$C$9, $D$9, 100%, $F$9) + CHOOSE(CONTROL!$C$27, 0.0021, 0)</f>
        <v>27.099999999999998</v>
      </c>
      <c r="L105" s="14"/>
    </row>
    <row r="106" spans="1:12" ht="15" x14ac:dyDescent="0.2">
      <c r="A106" s="13">
        <v>44136</v>
      </c>
      <c r="B106" s="14">
        <f>27.5884 * CHOOSE(CONTROL!$C$9, $D$9, 100%, $F$9) + CHOOSE(CONTROL!$C$27, 0.0021, 0)</f>
        <v>27.590499999999999</v>
      </c>
      <c r="C106" s="14">
        <f>27.1562 * CHOOSE(CONTROL!$C$9, $D$9, 100%, $F$9) + CHOOSE(CONTROL!$C$27, 0.0021, 0)</f>
        <v>27.158299999999997</v>
      </c>
      <c r="D106" s="14">
        <f>27.1562 * CHOOSE(CONTROL!$C$9, $D$9, 100%, $F$9) + CHOOSE(CONTROL!$C$27, 0.0021, 0)</f>
        <v>27.158299999999997</v>
      </c>
      <c r="E106" s="14">
        <f>27.0195 * CHOOSE(CONTROL!$C$9, $D$9, 100%, $F$9) + CHOOSE(CONTROL!$C$27, 0.0021, 0)</f>
        <v>27.021599999999999</v>
      </c>
      <c r="F106" s="14">
        <f>27.0195 * CHOOSE(CONTROL!$C$9, $D$9, 100%, $F$9) + CHOOSE(CONTROL!$C$27, 0.0021, 0)</f>
        <v>27.021599999999999</v>
      </c>
      <c r="G106" s="14">
        <f>27.2909 * CHOOSE(CONTROL!$C$9, $D$9, 100%, $F$9) + CHOOSE(CONTROL!$C$27, 0.0021, 0)</f>
        <v>27.292999999999999</v>
      </c>
      <c r="H106" s="14">
        <f>27.1562 * CHOOSE(CONTROL!$C$9, $D$9, 100%, $F$9) + CHOOSE(CONTROL!$C$27, 0.0021, 0)</f>
        <v>27.158299999999997</v>
      </c>
      <c r="I106" s="14">
        <f>27.1562 * CHOOSE(CONTROL!$C$9, $D$9, 100%, $F$9) + CHOOSE(CONTROL!$C$27, 0.0021, 0)</f>
        <v>27.158299999999997</v>
      </c>
      <c r="J106" s="14">
        <f>27.1562 * CHOOSE(CONTROL!$C$9, $D$9, 100%, $F$9) + CHOOSE(CONTROL!$C$27, 0.0021, 0)</f>
        <v>27.158299999999997</v>
      </c>
      <c r="K106" s="14">
        <f>27.1562 * CHOOSE(CONTROL!$C$9, $D$9, 100%, $F$9) + CHOOSE(CONTROL!$C$27, 0.0021, 0)</f>
        <v>27.158299999999997</v>
      </c>
      <c r="L106" s="14"/>
    </row>
    <row r="107" spans="1:12" ht="15" x14ac:dyDescent="0.2">
      <c r="A107" s="13">
        <v>44166</v>
      </c>
      <c r="B107" s="14">
        <f>27.0924 * CHOOSE(CONTROL!$C$9, $D$9, 100%, $F$9) + CHOOSE(CONTROL!$C$27, 0.0021, 0)</f>
        <v>27.0945</v>
      </c>
      <c r="C107" s="14">
        <f>26.6602 * CHOOSE(CONTROL!$C$9, $D$9, 100%, $F$9) + CHOOSE(CONTROL!$C$27, 0.0021, 0)</f>
        <v>26.662299999999998</v>
      </c>
      <c r="D107" s="14">
        <f>26.6602 * CHOOSE(CONTROL!$C$9, $D$9, 100%, $F$9) + CHOOSE(CONTROL!$C$27, 0.0021, 0)</f>
        <v>26.662299999999998</v>
      </c>
      <c r="E107" s="14">
        <f>26.5235 * CHOOSE(CONTROL!$C$9, $D$9, 100%, $F$9) + CHOOSE(CONTROL!$C$27, 0.0021, 0)</f>
        <v>26.525599999999997</v>
      </c>
      <c r="F107" s="14">
        <f>26.5235 * CHOOSE(CONTROL!$C$9, $D$9, 100%, $F$9) + CHOOSE(CONTROL!$C$27, 0.0021, 0)</f>
        <v>26.525599999999997</v>
      </c>
      <c r="G107" s="14">
        <f>26.7949 * CHOOSE(CONTROL!$C$9, $D$9, 100%, $F$9) + CHOOSE(CONTROL!$C$27, 0.0021, 0)</f>
        <v>26.796999999999997</v>
      </c>
      <c r="H107" s="14">
        <f>26.6602 * CHOOSE(CONTROL!$C$9, $D$9, 100%, $F$9) + CHOOSE(CONTROL!$C$27, 0.0021, 0)</f>
        <v>26.662299999999998</v>
      </c>
      <c r="I107" s="14">
        <f>26.6602 * CHOOSE(CONTROL!$C$9, $D$9, 100%, $F$9) + CHOOSE(CONTROL!$C$27, 0.0021, 0)</f>
        <v>26.662299999999998</v>
      </c>
      <c r="J107" s="14">
        <f>26.6602 * CHOOSE(CONTROL!$C$9, $D$9, 100%, $F$9) + CHOOSE(CONTROL!$C$27, 0.0021, 0)</f>
        <v>26.662299999999998</v>
      </c>
      <c r="K107" s="14">
        <f>26.6602 * CHOOSE(CONTROL!$C$9, $D$9, 100%, $F$9) + CHOOSE(CONTROL!$C$27, 0.0021, 0)</f>
        <v>26.662299999999998</v>
      </c>
      <c r="L107" s="14"/>
    </row>
    <row r="108" spans="1:12" ht="15" x14ac:dyDescent="0.2">
      <c r="A108" s="13">
        <v>44197</v>
      </c>
      <c r="B108" s="14">
        <f>27.5537 * CHOOSE(CONTROL!$C$9, $D$9, 100%, $F$9) + CHOOSE(CONTROL!$C$27, 0.0021, 0)</f>
        <v>27.555799999999998</v>
      </c>
      <c r="C108" s="14">
        <f>27.1214 * CHOOSE(CONTROL!$C$9, $D$9, 100%, $F$9) + CHOOSE(CONTROL!$C$27, 0.0021, 0)</f>
        <v>27.1235</v>
      </c>
      <c r="D108" s="14">
        <f>27.1214 * CHOOSE(CONTROL!$C$9, $D$9, 100%, $F$9) + CHOOSE(CONTROL!$C$27, 0.0021, 0)</f>
        <v>27.1235</v>
      </c>
      <c r="E108" s="14">
        <f>26.9847 * CHOOSE(CONTROL!$C$9, $D$9, 100%, $F$9) + CHOOSE(CONTROL!$C$27, 0.0021, 0)</f>
        <v>26.986799999999999</v>
      </c>
      <c r="F108" s="14">
        <f>26.9847 * CHOOSE(CONTROL!$C$9, $D$9, 100%, $F$9) + CHOOSE(CONTROL!$C$27, 0.0021, 0)</f>
        <v>26.986799999999999</v>
      </c>
      <c r="G108" s="14">
        <f>27.2561 * CHOOSE(CONTROL!$C$9, $D$9, 100%, $F$9) + CHOOSE(CONTROL!$C$27, 0.0021, 0)</f>
        <v>27.258199999999999</v>
      </c>
      <c r="H108" s="14">
        <f>27.1214 * CHOOSE(CONTROL!$C$9, $D$9, 100%, $F$9) + CHOOSE(CONTROL!$C$27, 0.0021, 0)</f>
        <v>27.1235</v>
      </c>
      <c r="I108" s="14">
        <f>27.1214 * CHOOSE(CONTROL!$C$9, $D$9, 100%, $F$9) + CHOOSE(CONTROL!$C$27, 0.0021, 0)</f>
        <v>27.1235</v>
      </c>
      <c r="J108" s="14">
        <f>27.1214 * CHOOSE(CONTROL!$C$9, $D$9, 100%, $F$9) + CHOOSE(CONTROL!$C$27, 0.0021, 0)</f>
        <v>27.1235</v>
      </c>
      <c r="K108" s="14">
        <f>27.1214 * CHOOSE(CONTROL!$C$9, $D$9, 100%, $F$9) + CHOOSE(CONTROL!$C$27, 0.0021, 0)</f>
        <v>27.1235</v>
      </c>
      <c r="L108" s="14"/>
    </row>
    <row r="109" spans="1:12" ht="15" x14ac:dyDescent="0.2">
      <c r="A109" s="13">
        <v>44228</v>
      </c>
      <c r="B109" s="14">
        <f>26.8391 * CHOOSE(CONTROL!$C$9, $D$9, 100%, $F$9) + CHOOSE(CONTROL!$C$27, 0.0021, 0)</f>
        <v>26.841199999999997</v>
      </c>
      <c r="C109" s="14">
        <f>26.4069 * CHOOSE(CONTROL!$C$9, $D$9, 100%, $F$9) + CHOOSE(CONTROL!$C$27, 0.0021, 0)</f>
        <v>26.408999999999999</v>
      </c>
      <c r="D109" s="14">
        <f>26.4069 * CHOOSE(CONTROL!$C$9, $D$9, 100%, $F$9) + CHOOSE(CONTROL!$C$27, 0.0021, 0)</f>
        <v>26.408999999999999</v>
      </c>
      <c r="E109" s="14">
        <f>26.2702 * CHOOSE(CONTROL!$C$9, $D$9, 100%, $F$9) + CHOOSE(CONTROL!$C$27, 0.0021, 0)</f>
        <v>26.272299999999998</v>
      </c>
      <c r="F109" s="14">
        <f>26.2702 * CHOOSE(CONTROL!$C$9, $D$9, 100%, $F$9) + CHOOSE(CONTROL!$C$27, 0.0021, 0)</f>
        <v>26.272299999999998</v>
      </c>
      <c r="G109" s="14">
        <f>26.5416 * CHOOSE(CONTROL!$C$9, $D$9, 100%, $F$9) + CHOOSE(CONTROL!$C$27, 0.0021, 0)</f>
        <v>26.543699999999998</v>
      </c>
      <c r="H109" s="14">
        <f>26.4069 * CHOOSE(CONTROL!$C$9, $D$9, 100%, $F$9) + CHOOSE(CONTROL!$C$27, 0.0021, 0)</f>
        <v>26.408999999999999</v>
      </c>
      <c r="I109" s="14">
        <f>26.4069 * CHOOSE(CONTROL!$C$9, $D$9, 100%, $F$9) + CHOOSE(CONTROL!$C$27, 0.0021, 0)</f>
        <v>26.408999999999999</v>
      </c>
      <c r="J109" s="14">
        <f>26.4069 * CHOOSE(CONTROL!$C$9, $D$9, 100%, $F$9) + CHOOSE(CONTROL!$C$27, 0.0021, 0)</f>
        <v>26.408999999999999</v>
      </c>
      <c r="K109" s="14">
        <f>26.4069 * CHOOSE(CONTROL!$C$9, $D$9, 100%, $F$9) + CHOOSE(CONTROL!$C$27, 0.0021, 0)</f>
        <v>26.408999999999999</v>
      </c>
      <c r="L109" s="14"/>
    </row>
    <row r="110" spans="1:12" ht="15" x14ac:dyDescent="0.2">
      <c r="A110" s="13">
        <v>44256</v>
      </c>
      <c r="B110" s="14">
        <f>26.5442 * CHOOSE(CONTROL!$C$9, $D$9, 100%, $F$9) + CHOOSE(CONTROL!$C$27, 0.0021, 0)</f>
        <v>26.546299999999999</v>
      </c>
      <c r="C110" s="14">
        <f>26.1119 * CHOOSE(CONTROL!$C$9, $D$9, 100%, $F$9) + CHOOSE(CONTROL!$C$27, 0.0021, 0)</f>
        <v>26.113999999999997</v>
      </c>
      <c r="D110" s="14">
        <f>26.1119 * CHOOSE(CONTROL!$C$9, $D$9, 100%, $F$9) + CHOOSE(CONTROL!$C$27, 0.0021, 0)</f>
        <v>26.113999999999997</v>
      </c>
      <c r="E110" s="14">
        <f>25.9753 * CHOOSE(CONTROL!$C$9, $D$9, 100%, $F$9) + CHOOSE(CONTROL!$C$27, 0.0021, 0)</f>
        <v>25.977399999999999</v>
      </c>
      <c r="F110" s="14">
        <f>25.9753 * CHOOSE(CONTROL!$C$9, $D$9, 100%, $F$9) + CHOOSE(CONTROL!$C$27, 0.0021, 0)</f>
        <v>25.977399999999999</v>
      </c>
      <c r="G110" s="14">
        <f>26.2466 * CHOOSE(CONTROL!$C$9, $D$9, 100%, $F$9) + CHOOSE(CONTROL!$C$27, 0.0021, 0)</f>
        <v>26.248699999999999</v>
      </c>
      <c r="H110" s="14">
        <f>26.1119 * CHOOSE(CONTROL!$C$9, $D$9, 100%, $F$9) + CHOOSE(CONTROL!$C$27, 0.0021, 0)</f>
        <v>26.113999999999997</v>
      </c>
      <c r="I110" s="14">
        <f>26.1119 * CHOOSE(CONTROL!$C$9, $D$9, 100%, $F$9) + CHOOSE(CONTROL!$C$27, 0.0021, 0)</f>
        <v>26.113999999999997</v>
      </c>
      <c r="J110" s="14">
        <f>26.1119 * CHOOSE(CONTROL!$C$9, $D$9, 100%, $F$9) + CHOOSE(CONTROL!$C$27, 0.0021, 0)</f>
        <v>26.113999999999997</v>
      </c>
      <c r="K110" s="14">
        <f>26.1119 * CHOOSE(CONTROL!$C$9, $D$9, 100%, $F$9) + CHOOSE(CONTROL!$C$27, 0.0021, 0)</f>
        <v>26.113999999999997</v>
      </c>
      <c r="L110" s="14"/>
    </row>
    <row r="111" spans="1:12" ht="15" x14ac:dyDescent="0.2">
      <c r="A111" s="13">
        <v>44287</v>
      </c>
      <c r="B111" s="14">
        <f>26.192 * CHOOSE(CONTROL!$C$9, $D$9, 100%, $F$9) + CHOOSE(CONTROL!$C$27, 0.0021, 0)</f>
        <v>26.194099999999999</v>
      </c>
      <c r="C111" s="14">
        <f>25.7597 * CHOOSE(CONTROL!$C$9, $D$9, 100%, $F$9) + CHOOSE(CONTROL!$C$27, 0.0021, 0)</f>
        <v>25.761799999999997</v>
      </c>
      <c r="D111" s="14">
        <f>25.7597 * CHOOSE(CONTROL!$C$9, $D$9, 100%, $F$9) + CHOOSE(CONTROL!$C$27, 0.0021, 0)</f>
        <v>25.761799999999997</v>
      </c>
      <c r="E111" s="14">
        <f>25.6231 * CHOOSE(CONTROL!$C$9, $D$9, 100%, $F$9) + CHOOSE(CONTROL!$C$27, 0.0021, 0)</f>
        <v>25.6252</v>
      </c>
      <c r="F111" s="14">
        <f>25.6231 * CHOOSE(CONTROL!$C$9, $D$9, 100%, $F$9) + CHOOSE(CONTROL!$C$27, 0.0021, 0)</f>
        <v>25.6252</v>
      </c>
      <c r="G111" s="14">
        <f>25.8945 * CHOOSE(CONTROL!$C$9, $D$9, 100%, $F$9) + CHOOSE(CONTROL!$C$27, 0.0021, 0)</f>
        <v>25.896599999999999</v>
      </c>
      <c r="H111" s="14">
        <f>25.7597 * CHOOSE(CONTROL!$C$9, $D$9, 100%, $F$9) + CHOOSE(CONTROL!$C$27, 0.0021, 0)</f>
        <v>25.761799999999997</v>
      </c>
      <c r="I111" s="14">
        <f>25.7597 * CHOOSE(CONTROL!$C$9, $D$9, 100%, $F$9) + CHOOSE(CONTROL!$C$27, 0.0021, 0)</f>
        <v>25.761799999999997</v>
      </c>
      <c r="J111" s="14">
        <f>25.7597 * CHOOSE(CONTROL!$C$9, $D$9, 100%, $F$9) + CHOOSE(CONTROL!$C$27, 0.0021, 0)</f>
        <v>25.761799999999997</v>
      </c>
      <c r="K111" s="14">
        <f>25.7597 * CHOOSE(CONTROL!$C$9, $D$9, 100%, $F$9) + CHOOSE(CONTROL!$C$27, 0.0021, 0)</f>
        <v>25.761799999999997</v>
      </c>
      <c r="L111" s="14"/>
    </row>
    <row r="112" spans="1:12" ht="15" x14ac:dyDescent="0.2">
      <c r="A112" s="13">
        <v>44317</v>
      </c>
      <c r="B112" s="14">
        <f>26.6939 * CHOOSE(CONTROL!$C$9, $D$9, 100%, $F$9) + CHOOSE(CONTROL!$C$27, 0.0021, 0)</f>
        <v>26.695999999999998</v>
      </c>
      <c r="C112" s="14">
        <f>26.2616 * CHOOSE(CONTROL!$C$9, $D$9, 100%, $F$9) + CHOOSE(CONTROL!$C$27, 0.0021, 0)</f>
        <v>26.2637</v>
      </c>
      <c r="D112" s="14">
        <f>26.2616 * CHOOSE(CONTROL!$C$9, $D$9, 100%, $F$9) + CHOOSE(CONTROL!$C$27, 0.0021, 0)</f>
        <v>26.2637</v>
      </c>
      <c r="E112" s="14">
        <f>26.125 * CHOOSE(CONTROL!$C$9, $D$9, 100%, $F$9) + CHOOSE(CONTROL!$C$27, 0.0021, 0)</f>
        <v>26.127099999999999</v>
      </c>
      <c r="F112" s="14">
        <f>26.125 * CHOOSE(CONTROL!$C$9, $D$9, 100%, $F$9) + CHOOSE(CONTROL!$C$27, 0.0021, 0)</f>
        <v>26.127099999999999</v>
      </c>
      <c r="G112" s="14">
        <f>26.3964 * CHOOSE(CONTROL!$C$9, $D$9, 100%, $F$9) + CHOOSE(CONTROL!$C$27, 0.0021, 0)</f>
        <v>26.398499999999999</v>
      </c>
      <c r="H112" s="14">
        <f>26.2616 * CHOOSE(CONTROL!$C$9, $D$9, 100%, $F$9) + CHOOSE(CONTROL!$C$27, 0.0021, 0)</f>
        <v>26.2637</v>
      </c>
      <c r="I112" s="14">
        <f>26.2616 * CHOOSE(CONTROL!$C$9, $D$9, 100%, $F$9) + CHOOSE(CONTROL!$C$27, 0.0021, 0)</f>
        <v>26.2637</v>
      </c>
      <c r="J112" s="14">
        <f>26.2616 * CHOOSE(CONTROL!$C$9, $D$9, 100%, $F$9) + CHOOSE(CONTROL!$C$27, 0.0021, 0)</f>
        <v>26.2637</v>
      </c>
      <c r="K112" s="14">
        <f>26.2616 * CHOOSE(CONTROL!$C$9, $D$9, 100%, $F$9) + CHOOSE(CONTROL!$C$27, 0.0021, 0)</f>
        <v>26.2637</v>
      </c>
      <c r="L112" s="14"/>
    </row>
    <row r="113" spans="1:12" ht="15" x14ac:dyDescent="0.2">
      <c r="A113" s="13">
        <v>44348</v>
      </c>
      <c r="B113" s="14">
        <f>26.9945 * CHOOSE(CONTROL!$C$9, $D$9, 100%, $F$9) + CHOOSE(CONTROL!$C$27, 0.0021, 0)</f>
        <v>26.996599999999997</v>
      </c>
      <c r="C113" s="14">
        <f>26.5623 * CHOOSE(CONTROL!$C$9, $D$9, 100%, $F$9) + CHOOSE(CONTROL!$C$27, 0.0021, 0)</f>
        <v>26.564399999999999</v>
      </c>
      <c r="D113" s="14">
        <f>26.5623 * CHOOSE(CONTROL!$C$9, $D$9, 100%, $F$9) + CHOOSE(CONTROL!$C$27, 0.0021, 0)</f>
        <v>26.564399999999999</v>
      </c>
      <c r="E113" s="14">
        <f>26.4256 * CHOOSE(CONTROL!$C$9, $D$9, 100%, $F$9) + CHOOSE(CONTROL!$C$27, 0.0021, 0)</f>
        <v>26.427699999999998</v>
      </c>
      <c r="F113" s="14">
        <f>26.4256 * CHOOSE(CONTROL!$C$9, $D$9, 100%, $F$9) + CHOOSE(CONTROL!$C$27, 0.0021, 0)</f>
        <v>26.427699999999998</v>
      </c>
      <c r="G113" s="14">
        <f>26.697 * CHOOSE(CONTROL!$C$9, $D$9, 100%, $F$9) + CHOOSE(CONTROL!$C$27, 0.0021, 0)</f>
        <v>26.699099999999998</v>
      </c>
      <c r="H113" s="14">
        <f>26.5623 * CHOOSE(CONTROL!$C$9, $D$9, 100%, $F$9) + CHOOSE(CONTROL!$C$27, 0.0021, 0)</f>
        <v>26.564399999999999</v>
      </c>
      <c r="I113" s="14">
        <f>26.5623 * CHOOSE(CONTROL!$C$9, $D$9, 100%, $F$9) + CHOOSE(CONTROL!$C$27, 0.0021, 0)</f>
        <v>26.564399999999999</v>
      </c>
      <c r="J113" s="14">
        <f>26.5623 * CHOOSE(CONTROL!$C$9, $D$9, 100%, $F$9) + CHOOSE(CONTROL!$C$27, 0.0021, 0)</f>
        <v>26.564399999999999</v>
      </c>
      <c r="K113" s="14">
        <f>26.5623 * CHOOSE(CONTROL!$C$9, $D$9, 100%, $F$9) + CHOOSE(CONTROL!$C$27, 0.0021, 0)</f>
        <v>26.564399999999999</v>
      </c>
      <c r="L113" s="14"/>
    </row>
    <row r="114" spans="1:12" ht="15" x14ac:dyDescent="0.2">
      <c r="A114" s="13">
        <v>44378</v>
      </c>
      <c r="B114" s="14">
        <f>27.4904 * CHOOSE(CONTROL!$C$9, $D$9, 100%, $F$9) + CHOOSE(CONTROL!$C$27, 0.0021, 0)</f>
        <v>27.4925</v>
      </c>
      <c r="C114" s="14">
        <f>27.0582 * CHOOSE(CONTROL!$C$9, $D$9, 100%, $F$9) + CHOOSE(CONTROL!$C$27, 0.0021, 0)</f>
        <v>27.060299999999998</v>
      </c>
      <c r="D114" s="14">
        <f>27.0582 * CHOOSE(CONTROL!$C$9, $D$9, 100%, $F$9) + CHOOSE(CONTROL!$C$27, 0.0021, 0)</f>
        <v>27.060299999999998</v>
      </c>
      <c r="E114" s="14">
        <f>26.9215 * CHOOSE(CONTROL!$C$9, $D$9, 100%, $F$9) + CHOOSE(CONTROL!$C$27, 0.0021, 0)</f>
        <v>26.9236</v>
      </c>
      <c r="F114" s="14">
        <f>26.9215 * CHOOSE(CONTROL!$C$9, $D$9, 100%, $F$9) + CHOOSE(CONTROL!$C$27, 0.0021, 0)</f>
        <v>26.9236</v>
      </c>
      <c r="G114" s="14">
        <f>27.1929 * CHOOSE(CONTROL!$C$9, $D$9, 100%, $F$9) + CHOOSE(CONTROL!$C$27, 0.0021, 0)</f>
        <v>27.195</v>
      </c>
      <c r="H114" s="14">
        <f>27.0582 * CHOOSE(CONTROL!$C$9, $D$9, 100%, $F$9) + CHOOSE(CONTROL!$C$27, 0.0021, 0)</f>
        <v>27.060299999999998</v>
      </c>
      <c r="I114" s="14">
        <f>27.0582 * CHOOSE(CONTROL!$C$9, $D$9, 100%, $F$9) + CHOOSE(CONTROL!$C$27, 0.0021, 0)</f>
        <v>27.060299999999998</v>
      </c>
      <c r="J114" s="14">
        <f>27.0582 * CHOOSE(CONTROL!$C$9, $D$9, 100%, $F$9) + CHOOSE(CONTROL!$C$27, 0.0021, 0)</f>
        <v>27.060299999999998</v>
      </c>
      <c r="K114" s="14">
        <f>27.0582 * CHOOSE(CONTROL!$C$9, $D$9, 100%, $F$9) + CHOOSE(CONTROL!$C$27, 0.0021, 0)</f>
        <v>27.060299999999998</v>
      </c>
      <c r="L114" s="14"/>
    </row>
    <row r="115" spans="1:12" ht="15" x14ac:dyDescent="0.2">
      <c r="A115" s="13">
        <v>44409</v>
      </c>
      <c r="B115" s="14">
        <f>27.6418 * CHOOSE(CONTROL!$C$9, $D$9, 100%, $F$9) + CHOOSE(CONTROL!$C$27, 0.0021, 0)</f>
        <v>27.643899999999999</v>
      </c>
      <c r="C115" s="14">
        <f>27.2095 * CHOOSE(CONTROL!$C$9, $D$9, 100%, $F$9) + CHOOSE(CONTROL!$C$27, 0.0021, 0)</f>
        <v>27.211599999999997</v>
      </c>
      <c r="D115" s="14">
        <f>27.2095 * CHOOSE(CONTROL!$C$9, $D$9, 100%, $F$9) + CHOOSE(CONTROL!$C$27, 0.0021, 0)</f>
        <v>27.211599999999997</v>
      </c>
      <c r="E115" s="14">
        <f>27.0729 * CHOOSE(CONTROL!$C$9, $D$9, 100%, $F$9) + CHOOSE(CONTROL!$C$27, 0.0021, 0)</f>
        <v>27.074999999999999</v>
      </c>
      <c r="F115" s="14">
        <f>27.0729 * CHOOSE(CONTROL!$C$9, $D$9, 100%, $F$9) + CHOOSE(CONTROL!$C$27, 0.0021, 0)</f>
        <v>27.074999999999999</v>
      </c>
      <c r="G115" s="14">
        <f>27.3443 * CHOOSE(CONTROL!$C$9, $D$9, 100%, $F$9) + CHOOSE(CONTROL!$C$27, 0.0021, 0)</f>
        <v>27.346399999999999</v>
      </c>
      <c r="H115" s="14">
        <f>27.2095 * CHOOSE(CONTROL!$C$9, $D$9, 100%, $F$9) + CHOOSE(CONTROL!$C$27, 0.0021, 0)</f>
        <v>27.211599999999997</v>
      </c>
      <c r="I115" s="14">
        <f>27.2095 * CHOOSE(CONTROL!$C$9, $D$9, 100%, $F$9) + CHOOSE(CONTROL!$C$27, 0.0021, 0)</f>
        <v>27.211599999999997</v>
      </c>
      <c r="J115" s="14">
        <f>27.2095 * CHOOSE(CONTROL!$C$9, $D$9, 100%, $F$9) + CHOOSE(CONTROL!$C$27, 0.0021, 0)</f>
        <v>27.211599999999997</v>
      </c>
      <c r="K115" s="14">
        <f>27.2095 * CHOOSE(CONTROL!$C$9, $D$9, 100%, $F$9) + CHOOSE(CONTROL!$C$27, 0.0021, 0)</f>
        <v>27.211599999999997</v>
      </c>
      <c r="L115" s="14"/>
    </row>
    <row r="116" spans="1:12" ht="15" x14ac:dyDescent="0.2">
      <c r="A116" s="13">
        <v>44440</v>
      </c>
      <c r="B116" s="14">
        <f>28.1573 * CHOOSE(CONTROL!$C$9, $D$9, 100%, $F$9) + CHOOSE(CONTROL!$C$27, 0.0021, 0)</f>
        <v>28.159399999999998</v>
      </c>
      <c r="C116" s="14">
        <f>27.725 * CHOOSE(CONTROL!$C$9, $D$9, 100%, $F$9) + CHOOSE(CONTROL!$C$27, 0.0021, 0)</f>
        <v>27.7271</v>
      </c>
      <c r="D116" s="14">
        <f>27.725 * CHOOSE(CONTROL!$C$9, $D$9, 100%, $F$9) + CHOOSE(CONTROL!$C$27, 0.0021, 0)</f>
        <v>27.7271</v>
      </c>
      <c r="E116" s="14">
        <f>27.5884 * CHOOSE(CONTROL!$C$9, $D$9, 100%, $F$9) + CHOOSE(CONTROL!$C$27, 0.0021, 0)</f>
        <v>27.590499999999999</v>
      </c>
      <c r="F116" s="14">
        <f>27.5884 * CHOOSE(CONTROL!$C$9, $D$9, 100%, $F$9) + CHOOSE(CONTROL!$C$27, 0.0021, 0)</f>
        <v>27.590499999999999</v>
      </c>
      <c r="G116" s="14">
        <f>27.8597 * CHOOSE(CONTROL!$C$9, $D$9, 100%, $F$9) + CHOOSE(CONTROL!$C$27, 0.0021, 0)</f>
        <v>27.861799999999999</v>
      </c>
      <c r="H116" s="14">
        <f>27.725 * CHOOSE(CONTROL!$C$9, $D$9, 100%, $F$9) + CHOOSE(CONTROL!$C$27, 0.0021, 0)</f>
        <v>27.7271</v>
      </c>
      <c r="I116" s="14">
        <f>27.725 * CHOOSE(CONTROL!$C$9, $D$9, 100%, $F$9) + CHOOSE(CONTROL!$C$27, 0.0021, 0)</f>
        <v>27.7271</v>
      </c>
      <c r="J116" s="14">
        <f>27.725 * CHOOSE(CONTROL!$C$9, $D$9, 100%, $F$9) + CHOOSE(CONTROL!$C$27, 0.0021, 0)</f>
        <v>27.7271</v>
      </c>
      <c r="K116" s="14">
        <f>27.725 * CHOOSE(CONTROL!$C$9, $D$9, 100%, $F$9) + CHOOSE(CONTROL!$C$27, 0.0021, 0)</f>
        <v>27.7271</v>
      </c>
      <c r="L116" s="14"/>
    </row>
    <row r="117" spans="1:12" ht="15" x14ac:dyDescent="0.2">
      <c r="A117" s="13">
        <v>44470</v>
      </c>
      <c r="B117" s="14">
        <f>28.8098 * CHOOSE(CONTROL!$C$9, $D$9, 100%, $F$9) + CHOOSE(CONTROL!$C$27, 0.0021, 0)</f>
        <v>28.811899999999998</v>
      </c>
      <c r="C117" s="14">
        <f>28.3775 * CHOOSE(CONTROL!$C$9, $D$9, 100%, $F$9) + CHOOSE(CONTROL!$C$27, 0.0021, 0)</f>
        <v>28.3796</v>
      </c>
      <c r="D117" s="14">
        <f>28.3775 * CHOOSE(CONTROL!$C$9, $D$9, 100%, $F$9) + CHOOSE(CONTROL!$C$27, 0.0021, 0)</f>
        <v>28.3796</v>
      </c>
      <c r="E117" s="14">
        <f>28.2409 * CHOOSE(CONTROL!$C$9, $D$9, 100%, $F$9) + CHOOSE(CONTROL!$C$27, 0.0021, 0)</f>
        <v>28.242999999999999</v>
      </c>
      <c r="F117" s="14">
        <f>28.2409 * CHOOSE(CONTROL!$C$9, $D$9, 100%, $F$9) + CHOOSE(CONTROL!$C$27, 0.0021, 0)</f>
        <v>28.242999999999999</v>
      </c>
      <c r="G117" s="14">
        <f>28.5123 * CHOOSE(CONTROL!$C$9, $D$9, 100%, $F$9) + CHOOSE(CONTROL!$C$27, 0.0021, 0)</f>
        <v>28.514399999999998</v>
      </c>
      <c r="H117" s="14">
        <f>28.3775 * CHOOSE(CONTROL!$C$9, $D$9, 100%, $F$9) + CHOOSE(CONTROL!$C$27, 0.0021, 0)</f>
        <v>28.3796</v>
      </c>
      <c r="I117" s="14">
        <f>28.3775 * CHOOSE(CONTROL!$C$9, $D$9, 100%, $F$9) + CHOOSE(CONTROL!$C$27, 0.0021, 0)</f>
        <v>28.3796</v>
      </c>
      <c r="J117" s="14">
        <f>28.3775 * CHOOSE(CONTROL!$C$9, $D$9, 100%, $F$9) + CHOOSE(CONTROL!$C$27, 0.0021, 0)</f>
        <v>28.3796</v>
      </c>
      <c r="K117" s="14">
        <f>28.3775 * CHOOSE(CONTROL!$C$9, $D$9, 100%, $F$9) + CHOOSE(CONTROL!$C$27, 0.0021, 0)</f>
        <v>28.3796</v>
      </c>
      <c r="L117" s="14"/>
    </row>
    <row r="118" spans="1:12" ht="15" x14ac:dyDescent="0.2">
      <c r="A118" s="13">
        <v>44501</v>
      </c>
      <c r="B118" s="14">
        <f>28.871 * CHOOSE(CONTROL!$C$9, $D$9, 100%, $F$9) + CHOOSE(CONTROL!$C$27, 0.0021, 0)</f>
        <v>28.873099999999997</v>
      </c>
      <c r="C118" s="14">
        <f>28.4388 * CHOOSE(CONTROL!$C$9, $D$9, 100%, $F$9) + CHOOSE(CONTROL!$C$27, 0.0021, 0)</f>
        <v>28.440899999999999</v>
      </c>
      <c r="D118" s="14">
        <f>28.4388 * CHOOSE(CONTROL!$C$9, $D$9, 100%, $F$9) + CHOOSE(CONTROL!$C$27, 0.0021, 0)</f>
        <v>28.440899999999999</v>
      </c>
      <c r="E118" s="14">
        <f>28.3021 * CHOOSE(CONTROL!$C$9, $D$9, 100%, $F$9) + CHOOSE(CONTROL!$C$27, 0.0021, 0)</f>
        <v>28.304199999999998</v>
      </c>
      <c r="F118" s="14">
        <f>28.3021 * CHOOSE(CONTROL!$C$9, $D$9, 100%, $F$9) + CHOOSE(CONTROL!$C$27, 0.0021, 0)</f>
        <v>28.304199999999998</v>
      </c>
      <c r="G118" s="14">
        <f>28.5735 * CHOOSE(CONTROL!$C$9, $D$9, 100%, $F$9) + CHOOSE(CONTROL!$C$27, 0.0021, 0)</f>
        <v>28.575599999999998</v>
      </c>
      <c r="H118" s="14">
        <f>28.4388 * CHOOSE(CONTROL!$C$9, $D$9, 100%, $F$9) + CHOOSE(CONTROL!$C$27, 0.0021, 0)</f>
        <v>28.440899999999999</v>
      </c>
      <c r="I118" s="14">
        <f>28.4388 * CHOOSE(CONTROL!$C$9, $D$9, 100%, $F$9) + CHOOSE(CONTROL!$C$27, 0.0021, 0)</f>
        <v>28.440899999999999</v>
      </c>
      <c r="J118" s="14">
        <f>28.4388 * CHOOSE(CONTROL!$C$9, $D$9, 100%, $F$9) + CHOOSE(CONTROL!$C$27, 0.0021, 0)</f>
        <v>28.440899999999999</v>
      </c>
      <c r="K118" s="14">
        <f>28.4388 * CHOOSE(CONTROL!$C$9, $D$9, 100%, $F$9) + CHOOSE(CONTROL!$C$27, 0.0021, 0)</f>
        <v>28.440899999999999</v>
      </c>
      <c r="L118" s="14"/>
    </row>
    <row r="119" spans="1:12" ht="15" x14ac:dyDescent="0.2">
      <c r="A119" s="13">
        <v>44531</v>
      </c>
      <c r="B119" s="14">
        <f>28.3499 * CHOOSE(CONTROL!$C$9, $D$9, 100%, $F$9) + CHOOSE(CONTROL!$C$27, 0.0021, 0)</f>
        <v>28.352</v>
      </c>
      <c r="C119" s="14">
        <f>27.9176 * CHOOSE(CONTROL!$C$9, $D$9, 100%, $F$9) + CHOOSE(CONTROL!$C$27, 0.0021, 0)</f>
        <v>27.919699999999999</v>
      </c>
      <c r="D119" s="14">
        <f>27.9176 * CHOOSE(CONTROL!$C$9, $D$9, 100%, $F$9) + CHOOSE(CONTROL!$C$27, 0.0021, 0)</f>
        <v>27.919699999999999</v>
      </c>
      <c r="E119" s="14">
        <f>27.781 * CHOOSE(CONTROL!$C$9, $D$9, 100%, $F$9) + CHOOSE(CONTROL!$C$27, 0.0021, 0)</f>
        <v>27.783099999999997</v>
      </c>
      <c r="F119" s="14">
        <f>27.781 * CHOOSE(CONTROL!$C$9, $D$9, 100%, $F$9) + CHOOSE(CONTROL!$C$27, 0.0021, 0)</f>
        <v>27.783099999999997</v>
      </c>
      <c r="G119" s="14">
        <f>28.0524 * CHOOSE(CONTROL!$C$9, $D$9, 100%, $F$9) + CHOOSE(CONTROL!$C$27, 0.0021, 0)</f>
        <v>28.054499999999997</v>
      </c>
      <c r="H119" s="14">
        <f>27.9176 * CHOOSE(CONTROL!$C$9, $D$9, 100%, $F$9) + CHOOSE(CONTROL!$C$27, 0.0021, 0)</f>
        <v>27.919699999999999</v>
      </c>
      <c r="I119" s="14">
        <f>27.9176 * CHOOSE(CONTROL!$C$9, $D$9, 100%, $F$9) + CHOOSE(CONTROL!$C$27, 0.0021, 0)</f>
        <v>27.919699999999999</v>
      </c>
      <c r="J119" s="14">
        <f>27.9176 * CHOOSE(CONTROL!$C$9, $D$9, 100%, $F$9) + CHOOSE(CONTROL!$C$27, 0.0021, 0)</f>
        <v>27.919699999999999</v>
      </c>
      <c r="K119" s="14">
        <f>27.9176 * CHOOSE(CONTROL!$C$9, $D$9, 100%, $F$9) + CHOOSE(CONTROL!$C$27, 0.0021, 0)</f>
        <v>27.919699999999999</v>
      </c>
      <c r="L119" s="14"/>
    </row>
    <row r="120" spans="1:12" ht="15" x14ac:dyDescent="0.2">
      <c r="A120" s="13">
        <v>44562</v>
      </c>
      <c r="B120" s="14">
        <f>28.8492 * CHOOSE(CONTROL!$C$9, $D$9, 100%, $F$9) + CHOOSE(CONTROL!$C$27, 0.0021, 0)</f>
        <v>28.851299999999998</v>
      </c>
      <c r="C120" s="14">
        <f>28.4169 * CHOOSE(CONTROL!$C$9, $D$9, 100%, $F$9) + CHOOSE(CONTROL!$C$27, 0.0021, 0)</f>
        <v>28.418999999999997</v>
      </c>
      <c r="D120" s="14">
        <f>28.4169 * CHOOSE(CONTROL!$C$9, $D$9, 100%, $F$9) + CHOOSE(CONTROL!$C$27, 0.0021, 0)</f>
        <v>28.418999999999997</v>
      </c>
      <c r="E120" s="14">
        <f>28.2803 * CHOOSE(CONTROL!$C$9, $D$9, 100%, $F$9) + CHOOSE(CONTROL!$C$27, 0.0021, 0)</f>
        <v>28.282399999999999</v>
      </c>
      <c r="F120" s="14">
        <f>28.2803 * CHOOSE(CONTROL!$C$9, $D$9, 100%, $F$9) + CHOOSE(CONTROL!$C$27, 0.0021, 0)</f>
        <v>28.282399999999999</v>
      </c>
      <c r="G120" s="14">
        <f>28.5517 * CHOOSE(CONTROL!$C$9, $D$9, 100%, $F$9) + CHOOSE(CONTROL!$C$27, 0.0021, 0)</f>
        <v>28.553799999999999</v>
      </c>
      <c r="H120" s="14">
        <f>28.4169 * CHOOSE(CONTROL!$C$9, $D$9, 100%, $F$9) + CHOOSE(CONTROL!$C$27, 0.0021, 0)</f>
        <v>28.418999999999997</v>
      </c>
      <c r="I120" s="14">
        <f>28.4169 * CHOOSE(CONTROL!$C$9, $D$9, 100%, $F$9) + CHOOSE(CONTROL!$C$27, 0.0021, 0)</f>
        <v>28.418999999999997</v>
      </c>
      <c r="J120" s="14">
        <f>28.4169 * CHOOSE(CONTROL!$C$9, $D$9, 100%, $F$9) + CHOOSE(CONTROL!$C$27, 0.0021, 0)</f>
        <v>28.418999999999997</v>
      </c>
      <c r="K120" s="14">
        <f>28.4169 * CHOOSE(CONTROL!$C$9, $D$9, 100%, $F$9) + CHOOSE(CONTROL!$C$27, 0.0021, 0)</f>
        <v>28.418999999999997</v>
      </c>
      <c r="L120" s="14"/>
    </row>
    <row r="121" spans="1:12" ht="15" x14ac:dyDescent="0.2">
      <c r="A121" s="13">
        <v>44593</v>
      </c>
      <c r="B121" s="14">
        <f>28.098 * CHOOSE(CONTROL!$C$9, $D$9, 100%, $F$9) + CHOOSE(CONTROL!$C$27, 0.0021, 0)</f>
        <v>28.100099999999998</v>
      </c>
      <c r="C121" s="14">
        <f>27.6658 * CHOOSE(CONTROL!$C$9, $D$9, 100%, $F$9) + CHOOSE(CONTROL!$C$27, 0.0021, 0)</f>
        <v>27.667899999999999</v>
      </c>
      <c r="D121" s="14">
        <f>27.6658 * CHOOSE(CONTROL!$C$9, $D$9, 100%, $F$9) + CHOOSE(CONTROL!$C$27, 0.0021, 0)</f>
        <v>27.667899999999999</v>
      </c>
      <c r="E121" s="14">
        <f>27.5291 * CHOOSE(CONTROL!$C$9, $D$9, 100%, $F$9) + CHOOSE(CONTROL!$C$27, 0.0021, 0)</f>
        <v>27.531199999999998</v>
      </c>
      <c r="F121" s="14">
        <f>27.5291 * CHOOSE(CONTROL!$C$9, $D$9, 100%, $F$9) + CHOOSE(CONTROL!$C$27, 0.0021, 0)</f>
        <v>27.531199999999998</v>
      </c>
      <c r="G121" s="14">
        <f>27.8005 * CHOOSE(CONTROL!$C$9, $D$9, 100%, $F$9) + CHOOSE(CONTROL!$C$27, 0.0021, 0)</f>
        <v>27.802599999999998</v>
      </c>
      <c r="H121" s="14">
        <f>27.6658 * CHOOSE(CONTROL!$C$9, $D$9, 100%, $F$9) + CHOOSE(CONTROL!$C$27, 0.0021, 0)</f>
        <v>27.667899999999999</v>
      </c>
      <c r="I121" s="14">
        <f>27.6658 * CHOOSE(CONTROL!$C$9, $D$9, 100%, $F$9) + CHOOSE(CONTROL!$C$27, 0.0021, 0)</f>
        <v>27.667899999999999</v>
      </c>
      <c r="J121" s="14">
        <f>27.6658 * CHOOSE(CONTROL!$C$9, $D$9, 100%, $F$9) + CHOOSE(CONTROL!$C$27, 0.0021, 0)</f>
        <v>27.667899999999999</v>
      </c>
      <c r="K121" s="14">
        <f>27.6658 * CHOOSE(CONTROL!$C$9, $D$9, 100%, $F$9) + CHOOSE(CONTROL!$C$27, 0.0021, 0)</f>
        <v>27.667899999999999</v>
      </c>
      <c r="L121" s="14"/>
    </row>
    <row r="122" spans="1:12" ht="15" x14ac:dyDescent="0.2">
      <c r="A122" s="13">
        <v>44621</v>
      </c>
      <c r="B122" s="14">
        <f>27.7879 * CHOOSE(CONTROL!$C$9, $D$9, 100%, $F$9) + CHOOSE(CONTROL!$C$27, 0.0021, 0)</f>
        <v>27.79</v>
      </c>
      <c r="C122" s="14">
        <f>27.3557 * CHOOSE(CONTROL!$C$9, $D$9, 100%, $F$9) + CHOOSE(CONTROL!$C$27, 0.0021, 0)</f>
        <v>27.357799999999997</v>
      </c>
      <c r="D122" s="14">
        <f>27.3557 * CHOOSE(CONTROL!$C$9, $D$9, 100%, $F$9) + CHOOSE(CONTROL!$C$27, 0.0021, 0)</f>
        <v>27.357799999999997</v>
      </c>
      <c r="E122" s="14">
        <f>27.219 * CHOOSE(CONTROL!$C$9, $D$9, 100%, $F$9) + CHOOSE(CONTROL!$C$27, 0.0021, 0)</f>
        <v>27.2211</v>
      </c>
      <c r="F122" s="14">
        <f>27.219 * CHOOSE(CONTROL!$C$9, $D$9, 100%, $F$9) + CHOOSE(CONTROL!$C$27, 0.0021, 0)</f>
        <v>27.2211</v>
      </c>
      <c r="G122" s="14">
        <f>27.4904 * CHOOSE(CONTROL!$C$9, $D$9, 100%, $F$9) + CHOOSE(CONTROL!$C$27, 0.0021, 0)</f>
        <v>27.4925</v>
      </c>
      <c r="H122" s="14">
        <f>27.3557 * CHOOSE(CONTROL!$C$9, $D$9, 100%, $F$9) + CHOOSE(CONTROL!$C$27, 0.0021, 0)</f>
        <v>27.357799999999997</v>
      </c>
      <c r="I122" s="14">
        <f>27.3557 * CHOOSE(CONTROL!$C$9, $D$9, 100%, $F$9) + CHOOSE(CONTROL!$C$27, 0.0021, 0)</f>
        <v>27.357799999999997</v>
      </c>
      <c r="J122" s="14">
        <f>27.3557 * CHOOSE(CONTROL!$C$9, $D$9, 100%, $F$9) + CHOOSE(CONTROL!$C$27, 0.0021, 0)</f>
        <v>27.357799999999997</v>
      </c>
      <c r="K122" s="14">
        <f>27.3557 * CHOOSE(CONTROL!$C$9, $D$9, 100%, $F$9) + CHOOSE(CONTROL!$C$27, 0.0021, 0)</f>
        <v>27.357799999999997</v>
      </c>
      <c r="L122" s="14"/>
    </row>
    <row r="123" spans="1:12" ht="15" x14ac:dyDescent="0.2">
      <c r="A123" s="13">
        <v>44652</v>
      </c>
      <c r="B123" s="14">
        <f>27.4177 * CHOOSE(CONTROL!$C$9, $D$9, 100%, $F$9) + CHOOSE(CONTROL!$C$27, 0.0021, 0)</f>
        <v>27.419799999999999</v>
      </c>
      <c r="C123" s="14">
        <f>26.9855 * CHOOSE(CONTROL!$C$9, $D$9, 100%, $F$9) + CHOOSE(CONTROL!$C$27, 0.0021, 0)</f>
        <v>26.987599999999997</v>
      </c>
      <c r="D123" s="14">
        <f>26.9855 * CHOOSE(CONTROL!$C$9, $D$9, 100%, $F$9) + CHOOSE(CONTROL!$C$27, 0.0021, 0)</f>
        <v>26.987599999999997</v>
      </c>
      <c r="E123" s="14">
        <f>26.8488 * CHOOSE(CONTROL!$C$9, $D$9, 100%, $F$9) + CHOOSE(CONTROL!$C$27, 0.0021, 0)</f>
        <v>26.850899999999999</v>
      </c>
      <c r="F123" s="14">
        <f>26.8488 * CHOOSE(CONTROL!$C$9, $D$9, 100%, $F$9) + CHOOSE(CONTROL!$C$27, 0.0021, 0)</f>
        <v>26.850899999999999</v>
      </c>
      <c r="G123" s="14">
        <f>27.1202 * CHOOSE(CONTROL!$C$9, $D$9, 100%, $F$9) + CHOOSE(CONTROL!$C$27, 0.0021, 0)</f>
        <v>27.122299999999999</v>
      </c>
      <c r="H123" s="14">
        <f>26.9855 * CHOOSE(CONTROL!$C$9, $D$9, 100%, $F$9) + CHOOSE(CONTROL!$C$27, 0.0021, 0)</f>
        <v>26.987599999999997</v>
      </c>
      <c r="I123" s="14">
        <f>26.9855 * CHOOSE(CONTROL!$C$9, $D$9, 100%, $F$9) + CHOOSE(CONTROL!$C$27, 0.0021, 0)</f>
        <v>26.987599999999997</v>
      </c>
      <c r="J123" s="14">
        <f>26.9855 * CHOOSE(CONTROL!$C$9, $D$9, 100%, $F$9) + CHOOSE(CONTROL!$C$27, 0.0021, 0)</f>
        <v>26.987599999999997</v>
      </c>
      <c r="K123" s="14">
        <f>26.9855 * CHOOSE(CONTROL!$C$9, $D$9, 100%, $F$9) + CHOOSE(CONTROL!$C$27, 0.0021, 0)</f>
        <v>26.987599999999997</v>
      </c>
      <c r="L123" s="14"/>
    </row>
    <row r="124" spans="1:12" ht="15" x14ac:dyDescent="0.2">
      <c r="A124" s="13">
        <v>44682</v>
      </c>
      <c r="B124" s="14">
        <f>27.9453 * CHOOSE(CONTROL!$C$9, $D$9, 100%, $F$9) + CHOOSE(CONTROL!$C$27, 0.0021, 0)</f>
        <v>27.947399999999998</v>
      </c>
      <c r="C124" s="14">
        <f>27.5131 * CHOOSE(CONTROL!$C$9, $D$9, 100%, $F$9) + CHOOSE(CONTROL!$C$27, 0.0021, 0)</f>
        <v>27.5152</v>
      </c>
      <c r="D124" s="14">
        <f>27.5131 * CHOOSE(CONTROL!$C$9, $D$9, 100%, $F$9) + CHOOSE(CONTROL!$C$27, 0.0021, 0)</f>
        <v>27.5152</v>
      </c>
      <c r="E124" s="14">
        <f>27.3764 * CHOOSE(CONTROL!$C$9, $D$9, 100%, $F$9) + CHOOSE(CONTROL!$C$27, 0.0021, 0)</f>
        <v>27.378499999999999</v>
      </c>
      <c r="F124" s="14">
        <f>27.3764 * CHOOSE(CONTROL!$C$9, $D$9, 100%, $F$9) + CHOOSE(CONTROL!$C$27, 0.0021, 0)</f>
        <v>27.378499999999999</v>
      </c>
      <c r="G124" s="14">
        <f>27.6478 * CHOOSE(CONTROL!$C$9, $D$9, 100%, $F$9) + CHOOSE(CONTROL!$C$27, 0.0021, 0)</f>
        <v>27.649899999999999</v>
      </c>
      <c r="H124" s="14">
        <f>27.5131 * CHOOSE(CONTROL!$C$9, $D$9, 100%, $F$9) + CHOOSE(CONTROL!$C$27, 0.0021, 0)</f>
        <v>27.5152</v>
      </c>
      <c r="I124" s="14">
        <f>27.5131 * CHOOSE(CONTROL!$C$9, $D$9, 100%, $F$9) + CHOOSE(CONTROL!$C$27, 0.0021, 0)</f>
        <v>27.5152</v>
      </c>
      <c r="J124" s="14">
        <f>27.5131 * CHOOSE(CONTROL!$C$9, $D$9, 100%, $F$9) + CHOOSE(CONTROL!$C$27, 0.0021, 0)</f>
        <v>27.5152</v>
      </c>
      <c r="K124" s="14">
        <f>27.5131 * CHOOSE(CONTROL!$C$9, $D$9, 100%, $F$9) + CHOOSE(CONTROL!$C$27, 0.0021, 0)</f>
        <v>27.5152</v>
      </c>
      <c r="L124" s="14"/>
    </row>
    <row r="125" spans="1:12" ht="15" x14ac:dyDescent="0.2">
      <c r="A125" s="13">
        <v>44713</v>
      </c>
      <c r="B125" s="14">
        <f>28.2614 * CHOOSE(CONTROL!$C$9, $D$9, 100%, $F$9) + CHOOSE(CONTROL!$C$27, 0.0021, 0)</f>
        <v>28.263499999999997</v>
      </c>
      <c r="C125" s="14">
        <f>27.8291 * CHOOSE(CONTROL!$C$9, $D$9, 100%, $F$9) + CHOOSE(CONTROL!$C$27, 0.0021, 0)</f>
        <v>27.831199999999999</v>
      </c>
      <c r="D125" s="14">
        <f>27.8291 * CHOOSE(CONTROL!$C$9, $D$9, 100%, $F$9) + CHOOSE(CONTROL!$C$27, 0.0021, 0)</f>
        <v>27.831199999999999</v>
      </c>
      <c r="E125" s="14">
        <f>27.6925 * CHOOSE(CONTROL!$C$9, $D$9, 100%, $F$9) + CHOOSE(CONTROL!$C$27, 0.0021, 0)</f>
        <v>27.694599999999998</v>
      </c>
      <c r="F125" s="14">
        <f>27.6925 * CHOOSE(CONTROL!$C$9, $D$9, 100%, $F$9) + CHOOSE(CONTROL!$C$27, 0.0021, 0)</f>
        <v>27.694599999999998</v>
      </c>
      <c r="G125" s="14">
        <f>27.9638 * CHOOSE(CONTROL!$C$9, $D$9, 100%, $F$9) + CHOOSE(CONTROL!$C$27, 0.0021, 0)</f>
        <v>27.965899999999998</v>
      </c>
      <c r="H125" s="14">
        <f>27.8291 * CHOOSE(CONTROL!$C$9, $D$9, 100%, $F$9) + CHOOSE(CONTROL!$C$27, 0.0021, 0)</f>
        <v>27.831199999999999</v>
      </c>
      <c r="I125" s="14">
        <f>27.8291 * CHOOSE(CONTROL!$C$9, $D$9, 100%, $F$9) + CHOOSE(CONTROL!$C$27, 0.0021, 0)</f>
        <v>27.831199999999999</v>
      </c>
      <c r="J125" s="14">
        <f>27.8291 * CHOOSE(CONTROL!$C$9, $D$9, 100%, $F$9) + CHOOSE(CONTROL!$C$27, 0.0021, 0)</f>
        <v>27.831199999999999</v>
      </c>
      <c r="K125" s="14">
        <f>27.8291 * CHOOSE(CONTROL!$C$9, $D$9, 100%, $F$9) + CHOOSE(CONTROL!$C$27, 0.0021, 0)</f>
        <v>27.831199999999999</v>
      </c>
      <c r="L125" s="14"/>
    </row>
    <row r="126" spans="1:12" ht="15" x14ac:dyDescent="0.2">
      <c r="A126" s="13">
        <v>44743</v>
      </c>
      <c r="B126" s="14">
        <f>28.7827 * CHOOSE(CONTROL!$C$9, $D$9, 100%, $F$9) + CHOOSE(CONTROL!$C$27, 0.0021, 0)</f>
        <v>28.784799999999997</v>
      </c>
      <c r="C126" s="14">
        <f>28.3505 * CHOOSE(CONTROL!$C$9, $D$9, 100%, $F$9) + CHOOSE(CONTROL!$C$27, 0.0021, 0)</f>
        <v>28.352599999999999</v>
      </c>
      <c r="D126" s="14">
        <f>28.3505 * CHOOSE(CONTROL!$C$9, $D$9, 100%, $F$9) + CHOOSE(CONTROL!$C$27, 0.0021, 0)</f>
        <v>28.352599999999999</v>
      </c>
      <c r="E126" s="14">
        <f>28.2138 * CHOOSE(CONTROL!$C$9, $D$9, 100%, $F$9) + CHOOSE(CONTROL!$C$27, 0.0021, 0)</f>
        <v>28.215899999999998</v>
      </c>
      <c r="F126" s="14">
        <f>28.2138 * CHOOSE(CONTROL!$C$9, $D$9, 100%, $F$9) + CHOOSE(CONTROL!$C$27, 0.0021, 0)</f>
        <v>28.215899999999998</v>
      </c>
      <c r="G126" s="14">
        <f>28.4852 * CHOOSE(CONTROL!$C$9, $D$9, 100%, $F$9) + CHOOSE(CONTROL!$C$27, 0.0021, 0)</f>
        <v>28.487299999999998</v>
      </c>
      <c r="H126" s="14">
        <f>28.3505 * CHOOSE(CONTROL!$C$9, $D$9, 100%, $F$9) + CHOOSE(CONTROL!$C$27, 0.0021, 0)</f>
        <v>28.352599999999999</v>
      </c>
      <c r="I126" s="14">
        <f>28.3505 * CHOOSE(CONTROL!$C$9, $D$9, 100%, $F$9) + CHOOSE(CONTROL!$C$27, 0.0021, 0)</f>
        <v>28.352599999999999</v>
      </c>
      <c r="J126" s="14">
        <f>28.3505 * CHOOSE(CONTROL!$C$9, $D$9, 100%, $F$9) + CHOOSE(CONTROL!$C$27, 0.0021, 0)</f>
        <v>28.352599999999999</v>
      </c>
      <c r="K126" s="14">
        <f>28.3505 * CHOOSE(CONTROL!$C$9, $D$9, 100%, $F$9) + CHOOSE(CONTROL!$C$27, 0.0021, 0)</f>
        <v>28.352599999999999</v>
      </c>
      <c r="L126" s="14"/>
    </row>
    <row r="127" spans="1:12" ht="15" x14ac:dyDescent="0.2">
      <c r="A127" s="13">
        <v>44774</v>
      </c>
      <c r="B127" s="14">
        <f>28.9419 * CHOOSE(CONTROL!$C$9, $D$9, 100%, $F$9) + CHOOSE(CONTROL!$C$27, 0.0021, 0)</f>
        <v>28.943999999999999</v>
      </c>
      <c r="C127" s="14">
        <f>28.5096 * CHOOSE(CONTROL!$C$9, $D$9, 100%, $F$9) + CHOOSE(CONTROL!$C$27, 0.0021, 0)</f>
        <v>28.511699999999998</v>
      </c>
      <c r="D127" s="14">
        <f>28.5096 * CHOOSE(CONTROL!$C$9, $D$9, 100%, $F$9) + CHOOSE(CONTROL!$C$27, 0.0021, 0)</f>
        <v>28.511699999999998</v>
      </c>
      <c r="E127" s="14">
        <f>28.3729 * CHOOSE(CONTROL!$C$9, $D$9, 100%, $F$9) + CHOOSE(CONTROL!$C$27, 0.0021, 0)</f>
        <v>28.375</v>
      </c>
      <c r="F127" s="14">
        <f>28.3729 * CHOOSE(CONTROL!$C$9, $D$9, 100%, $F$9) + CHOOSE(CONTROL!$C$27, 0.0021, 0)</f>
        <v>28.375</v>
      </c>
      <c r="G127" s="14">
        <f>28.6443 * CHOOSE(CONTROL!$C$9, $D$9, 100%, $F$9) + CHOOSE(CONTROL!$C$27, 0.0021, 0)</f>
        <v>28.6464</v>
      </c>
      <c r="H127" s="14">
        <f>28.5096 * CHOOSE(CONTROL!$C$9, $D$9, 100%, $F$9) + CHOOSE(CONTROL!$C$27, 0.0021, 0)</f>
        <v>28.511699999999998</v>
      </c>
      <c r="I127" s="14">
        <f>28.5096 * CHOOSE(CONTROL!$C$9, $D$9, 100%, $F$9) + CHOOSE(CONTROL!$C$27, 0.0021, 0)</f>
        <v>28.511699999999998</v>
      </c>
      <c r="J127" s="14">
        <f>28.5096 * CHOOSE(CONTROL!$C$9, $D$9, 100%, $F$9) + CHOOSE(CONTROL!$C$27, 0.0021, 0)</f>
        <v>28.511699999999998</v>
      </c>
      <c r="K127" s="14">
        <f>28.5096 * CHOOSE(CONTROL!$C$9, $D$9, 100%, $F$9) + CHOOSE(CONTROL!$C$27, 0.0021, 0)</f>
        <v>28.511699999999998</v>
      </c>
      <c r="L127" s="14"/>
    </row>
    <row r="128" spans="1:12" ht="15" x14ac:dyDescent="0.2">
      <c r="A128" s="13">
        <v>44805</v>
      </c>
      <c r="B128" s="14">
        <f>29.4838 * CHOOSE(CONTROL!$C$9, $D$9, 100%, $F$9) + CHOOSE(CONTROL!$C$27, 0.0021, 0)</f>
        <v>29.485899999999997</v>
      </c>
      <c r="C128" s="14">
        <f>29.0515 * CHOOSE(CONTROL!$C$9, $D$9, 100%, $F$9) + CHOOSE(CONTROL!$C$27, 0.0021, 0)</f>
        <v>29.053599999999999</v>
      </c>
      <c r="D128" s="14">
        <f>29.0515 * CHOOSE(CONTROL!$C$9, $D$9, 100%, $F$9) + CHOOSE(CONTROL!$C$27, 0.0021, 0)</f>
        <v>29.053599999999999</v>
      </c>
      <c r="E128" s="14">
        <f>28.9149 * CHOOSE(CONTROL!$C$9, $D$9, 100%, $F$9) + CHOOSE(CONTROL!$C$27, 0.0021, 0)</f>
        <v>28.916999999999998</v>
      </c>
      <c r="F128" s="14">
        <f>28.9149 * CHOOSE(CONTROL!$C$9, $D$9, 100%, $F$9) + CHOOSE(CONTROL!$C$27, 0.0021, 0)</f>
        <v>28.916999999999998</v>
      </c>
      <c r="G128" s="14">
        <f>29.1862 * CHOOSE(CONTROL!$C$9, $D$9, 100%, $F$9) + CHOOSE(CONTROL!$C$27, 0.0021, 0)</f>
        <v>29.188299999999998</v>
      </c>
      <c r="H128" s="14">
        <f>29.0515 * CHOOSE(CONTROL!$C$9, $D$9, 100%, $F$9) + CHOOSE(CONTROL!$C$27, 0.0021, 0)</f>
        <v>29.053599999999999</v>
      </c>
      <c r="I128" s="14">
        <f>29.0515 * CHOOSE(CONTROL!$C$9, $D$9, 100%, $F$9) + CHOOSE(CONTROL!$C$27, 0.0021, 0)</f>
        <v>29.053599999999999</v>
      </c>
      <c r="J128" s="14">
        <f>29.0515 * CHOOSE(CONTROL!$C$9, $D$9, 100%, $F$9) + CHOOSE(CONTROL!$C$27, 0.0021, 0)</f>
        <v>29.053599999999999</v>
      </c>
      <c r="K128" s="14">
        <f>29.0515 * CHOOSE(CONTROL!$C$9, $D$9, 100%, $F$9) + CHOOSE(CONTROL!$C$27, 0.0021, 0)</f>
        <v>29.053599999999999</v>
      </c>
      <c r="L128" s="14"/>
    </row>
    <row r="129" spans="1:12" ht="15" x14ac:dyDescent="0.2">
      <c r="A129" s="13">
        <v>44835</v>
      </c>
      <c r="B129" s="14">
        <f>30.1697 * CHOOSE(CONTROL!$C$9, $D$9, 100%, $F$9) + CHOOSE(CONTROL!$C$27, 0.0021, 0)</f>
        <v>30.171799999999998</v>
      </c>
      <c r="C129" s="14">
        <f>29.7375 * CHOOSE(CONTROL!$C$9, $D$9, 100%, $F$9) + CHOOSE(CONTROL!$C$27, 0.0021, 0)</f>
        <v>29.739599999999999</v>
      </c>
      <c r="D129" s="14">
        <f>29.7375 * CHOOSE(CONTROL!$C$9, $D$9, 100%, $F$9) + CHOOSE(CONTROL!$C$27, 0.0021, 0)</f>
        <v>29.739599999999999</v>
      </c>
      <c r="E129" s="14">
        <f>29.6008 * CHOOSE(CONTROL!$C$9, $D$9, 100%, $F$9) + CHOOSE(CONTROL!$C$27, 0.0021, 0)</f>
        <v>29.602899999999998</v>
      </c>
      <c r="F129" s="14">
        <f>29.6008 * CHOOSE(CONTROL!$C$9, $D$9, 100%, $F$9) + CHOOSE(CONTROL!$C$27, 0.0021, 0)</f>
        <v>29.602899999999998</v>
      </c>
      <c r="G129" s="14">
        <f>29.8722 * CHOOSE(CONTROL!$C$9, $D$9, 100%, $F$9) + CHOOSE(CONTROL!$C$27, 0.0021, 0)</f>
        <v>29.874299999999998</v>
      </c>
      <c r="H129" s="14">
        <f>29.7375 * CHOOSE(CONTROL!$C$9, $D$9, 100%, $F$9) + CHOOSE(CONTROL!$C$27, 0.0021, 0)</f>
        <v>29.739599999999999</v>
      </c>
      <c r="I129" s="14">
        <f>29.7375 * CHOOSE(CONTROL!$C$9, $D$9, 100%, $F$9) + CHOOSE(CONTROL!$C$27, 0.0021, 0)</f>
        <v>29.739599999999999</v>
      </c>
      <c r="J129" s="14">
        <f>29.7375 * CHOOSE(CONTROL!$C$9, $D$9, 100%, $F$9) + CHOOSE(CONTROL!$C$27, 0.0021, 0)</f>
        <v>29.739599999999999</v>
      </c>
      <c r="K129" s="14">
        <f>29.7375 * CHOOSE(CONTROL!$C$9, $D$9, 100%, $F$9) + CHOOSE(CONTROL!$C$27, 0.0021, 0)</f>
        <v>29.739599999999999</v>
      </c>
      <c r="L129" s="14"/>
    </row>
    <row r="130" spans="1:12" ht="15" x14ac:dyDescent="0.2">
      <c r="A130" s="13">
        <v>44866</v>
      </c>
      <c r="B130" s="14">
        <f>30.2341 * CHOOSE(CONTROL!$C$9, $D$9, 100%, $F$9) + CHOOSE(CONTROL!$C$27, 0.0021, 0)</f>
        <v>30.2362</v>
      </c>
      <c r="C130" s="14">
        <f>29.8019 * CHOOSE(CONTROL!$C$9, $D$9, 100%, $F$9) + CHOOSE(CONTROL!$C$27, 0.0021, 0)</f>
        <v>29.803999999999998</v>
      </c>
      <c r="D130" s="14">
        <f>29.8019 * CHOOSE(CONTROL!$C$9, $D$9, 100%, $F$9) + CHOOSE(CONTROL!$C$27, 0.0021, 0)</f>
        <v>29.803999999999998</v>
      </c>
      <c r="E130" s="14">
        <f>29.6652 * CHOOSE(CONTROL!$C$9, $D$9, 100%, $F$9) + CHOOSE(CONTROL!$C$27, 0.0021, 0)</f>
        <v>29.667299999999997</v>
      </c>
      <c r="F130" s="14">
        <f>29.6652 * CHOOSE(CONTROL!$C$9, $D$9, 100%, $F$9) + CHOOSE(CONTROL!$C$27, 0.0021, 0)</f>
        <v>29.667299999999997</v>
      </c>
      <c r="G130" s="14">
        <f>29.9366 * CHOOSE(CONTROL!$C$9, $D$9, 100%, $F$9) + CHOOSE(CONTROL!$C$27, 0.0021, 0)</f>
        <v>29.938699999999997</v>
      </c>
      <c r="H130" s="14">
        <f>29.8019 * CHOOSE(CONTROL!$C$9, $D$9, 100%, $F$9) + CHOOSE(CONTROL!$C$27, 0.0021, 0)</f>
        <v>29.803999999999998</v>
      </c>
      <c r="I130" s="14">
        <f>29.8019 * CHOOSE(CONTROL!$C$9, $D$9, 100%, $F$9) + CHOOSE(CONTROL!$C$27, 0.0021, 0)</f>
        <v>29.803999999999998</v>
      </c>
      <c r="J130" s="14">
        <f>29.8019 * CHOOSE(CONTROL!$C$9, $D$9, 100%, $F$9) + CHOOSE(CONTROL!$C$27, 0.0021, 0)</f>
        <v>29.803999999999998</v>
      </c>
      <c r="K130" s="14">
        <f>29.8019 * CHOOSE(CONTROL!$C$9, $D$9, 100%, $F$9) + CHOOSE(CONTROL!$C$27, 0.0021, 0)</f>
        <v>29.803999999999998</v>
      </c>
      <c r="L130" s="14"/>
    </row>
    <row r="131" spans="1:12" ht="15" x14ac:dyDescent="0.2">
      <c r="A131" s="13">
        <v>44896</v>
      </c>
      <c r="B131" s="14">
        <f>29.6863 * CHOOSE(CONTROL!$C$9, $D$9, 100%, $F$9) + CHOOSE(CONTROL!$C$27, 0.0021, 0)</f>
        <v>29.688399999999998</v>
      </c>
      <c r="C131" s="14">
        <f>29.254 * CHOOSE(CONTROL!$C$9, $D$9, 100%, $F$9) + CHOOSE(CONTROL!$C$27, 0.0021, 0)</f>
        <v>29.2561</v>
      </c>
      <c r="D131" s="14">
        <f>29.254 * CHOOSE(CONTROL!$C$9, $D$9, 100%, $F$9) + CHOOSE(CONTROL!$C$27, 0.0021, 0)</f>
        <v>29.2561</v>
      </c>
      <c r="E131" s="14">
        <f>29.1174 * CHOOSE(CONTROL!$C$9, $D$9, 100%, $F$9) + CHOOSE(CONTROL!$C$27, 0.0021, 0)</f>
        <v>29.119499999999999</v>
      </c>
      <c r="F131" s="14">
        <f>29.1174 * CHOOSE(CONTROL!$C$9, $D$9, 100%, $F$9) + CHOOSE(CONTROL!$C$27, 0.0021, 0)</f>
        <v>29.119499999999999</v>
      </c>
      <c r="G131" s="14">
        <f>29.3887 * CHOOSE(CONTROL!$C$9, $D$9, 100%, $F$9) + CHOOSE(CONTROL!$C$27, 0.0021, 0)</f>
        <v>29.390799999999999</v>
      </c>
      <c r="H131" s="14">
        <f>29.254 * CHOOSE(CONTROL!$C$9, $D$9, 100%, $F$9) + CHOOSE(CONTROL!$C$27, 0.0021, 0)</f>
        <v>29.2561</v>
      </c>
      <c r="I131" s="14">
        <f>29.254 * CHOOSE(CONTROL!$C$9, $D$9, 100%, $F$9) + CHOOSE(CONTROL!$C$27, 0.0021, 0)</f>
        <v>29.2561</v>
      </c>
      <c r="J131" s="14">
        <f>29.254 * CHOOSE(CONTROL!$C$9, $D$9, 100%, $F$9) + CHOOSE(CONTROL!$C$27, 0.0021, 0)</f>
        <v>29.2561</v>
      </c>
      <c r="K131" s="14">
        <f>29.254 * CHOOSE(CONTROL!$C$9, $D$9, 100%, $F$9) + CHOOSE(CONTROL!$C$27, 0.0021, 0)</f>
        <v>29.2561</v>
      </c>
      <c r="L131" s="14"/>
    </row>
    <row r="132" spans="1:12" ht="15" x14ac:dyDescent="0.2">
      <c r="A132" s="13">
        <v>44927</v>
      </c>
      <c r="B132" s="14">
        <f>30.1009 * CHOOSE(CONTROL!$C$9, $D$9, 100%, $F$9) + CHOOSE(CONTROL!$C$27, 0.0021, 0)</f>
        <v>30.102999999999998</v>
      </c>
      <c r="C132" s="14">
        <f>29.6686 * CHOOSE(CONTROL!$C$9, $D$9, 100%, $F$9) + CHOOSE(CONTROL!$C$27, 0.0021, 0)</f>
        <v>29.6707</v>
      </c>
      <c r="D132" s="14">
        <f>29.6686 * CHOOSE(CONTROL!$C$9, $D$9, 100%, $F$9) + CHOOSE(CONTROL!$C$27, 0.0021, 0)</f>
        <v>29.6707</v>
      </c>
      <c r="E132" s="14">
        <f>29.532 * CHOOSE(CONTROL!$C$9, $D$9, 100%, $F$9) + CHOOSE(CONTROL!$C$27, 0.0021, 0)</f>
        <v>29.534099999999999</v>
      </c>
      <c r="F132" s="14">
        <f>29.532 * CHOOSE(CONTROL!$C$9, $D$9, 100%, $F$9) + CHOOSE(CONTROL!$C$27, 0.0021, 0)</f>
        <v>29.534099999999999</v>
      </c>
      <c r="G132" s="14">
        <f>29.8034 * CHOOSE(CONTROL!$C$9, $D$9, 100%, $F$9) + CHOOSE(CONTROL!$C$27, 0.0021, 0)</f>
        <v>29.805499999999999</v>
      </c>
      <c r="H132" s="14">
        <f>29.6686 * CHOOSE(CONTROL!$C$9, $D$9, 100%, $F$9) + CHOOSE(CONTROL!$C$27, 0.0021, 0)</f>
        <v>29.6707</v>
      </c>
      <c r="I132" s="14">
        <f>29.6686 * CHOOSE(CONTROL!$C$9, $D$9, 100%, $F$9) + CHOOSE(CONTROL!$C$27, 0.0021, 0)</f>
        <v>29.6707</v>
      </c>
      <c r="J132" s="14">
        <f>29.6686 * CHOOSE(CONTROL!$C$9, $D$9, 100%, $F$9) + CHOOSE(CONTROL!$C$27, 0.0021, 0)</f>
        <v>29.6707</v>
      </c>
      <c r="K132" s="14">
        <f>29.6686 * CHOOSE(CONTROL!$C$9, $D$9, 100%, $F$9) + CHOOSE(CONTROL!$C$27, 0.0021, 0)</f>
        <v>29.6707</v>
      </c>
      <c r="L132" s="14"/>
    </row>
    <row r="133" spans="1:12" ht="15" x14ac:dyDescent="0.2">
      <c r="A133" s="13">
        <v>44958</v>
      </c>
      <c r="B133" s="14">
        <f>29.3143 * CHOOSE(CONTROL!$C$9, $D$9, 100%, $F$9) + CHOOSE(CONTROL!$C$27, 0.0021, 0)</f>
        <v>29.316399999999998</v>
      </c>
      <c r="C133" s="14">
        <f>28.8821 * CHOOSE(CONTROL!$C$9, $D$9, 100%, $F$9) + CHOOSE(CONTROL!$C$27, 0.0021, 0)</f>
        <v>28.8842</v>
      </c>
      <c r="D133" s="14">
        <f>28.8821 * CHOOSE(CONTROL!$C$9, $D$9, 100%, $F$9) + CHOOSE(CONTROL!$C$27, 0.0021, 0)</f>
        <v>28.8842</v>
      </c>
      <c r="E133" s="14">
        <f>28.7454 * CHOOSE(CONTROL!$C$9, $D$9, 100%, $F$9) + CHOOSE(CONTROL!$C$27, 0.0021, 0)</f>
        <v>28.747499999999999</v>
      </c>
      <c r="F133" s="14">
        <f>28.7454 * CHOOSE(CONTROL!$C$9, $D$9, 100%, $F$9) + CHOOSE(CONTROL!$C$27, 0.0021, 0)</f>
        <v>28.747499999999999</v>
      </c>
      <c r="G133" s="14">
        <f>29.0168 * CHOOSE(CONTROL!$C$9, $D$9, 100%, $F$9) + CHOOSE(CONTROL!$C$27, 0.0021, 0)</f>
        <v>29.018899999999999</v>
      </c>
      <c r="H133" s="14">
        <f>28.8821 * CHOOSE(CONTROL!$C$9, $D$9, 100%, $F$9) + CHOOSE(CONTROL!$C$27, 0.0021, 0)</f>
        <v>28.8842</v>
      </c>
      <c r="I133" s="14">
        <f>28.8821 * CHOOSE(CONTROL!$C$9, $D$9, 100%, $F$9) + CHOOSE(CONTROL!$C$27, 0.0021, 0)</f>
        <v>28.8842</v>
      </c>
      <c r="J133" s="14">
        <f>28.8821 * CHOOSE(CONTROL!$C$9, $D$9, 100%, $F$9) + CHOOSE(CONTROL!$C$27, 0.0021, 0)</f>
        <v>28.8842</v>
      </c>
      <c r="K133" s="14">
        <f>28.8821 * CHOOSE(CONTROL!$C$9, $D$9, 100%, $F$9) + CHOOSE(CONTROL!$C$27, 0.0021, 0)</f>
        <v>28.8842</v>
      </c>
      <c r="L133" s="14"/>
    </row>
    <row r="134" spans="1:12" ht="15" x14ac:dyDescent="0.2">
      <c r="A134" s="13">
        <v>44986</v>
      </c>
      <c r="B134" s="14">
        <f>28.9896 * CHOOSE(CONTROL!$C$9, $D$9, 100%, $F$9) + CHOOSE(CONTROL!$C$27, 0.0021, 0)</f>
        <v>28.991699999999998</v>
      </c>
      <c r="C134" s="14">
        <f>28.5574 * CHOOSE(CONTROL!$C$9, $D$9, 100%, $F$9) + CHOOSE(CONTROL!$C$27, 0.0021, 0)</f>
        <v>28.5595</v>
      </c>
      <c r="D134" s="14">
        <f>28.5574 * CHOOSE(CONTROL!$C$9, $D$9, 100%, $F$9) + CHOOSE(CONTROL!$C$27, 0.0021, 0)</f>
        <v>28.5595</v>
      </c>
      <c r="E134" s="14">
        <f>28.4207 * CHOOSE(CONTROL!$C$9, $D$9, 100%, $F$9) + CHOOSE(CONTROL!$C$27, 0.0021, 0)</f>
        <v>28.422799999999999</v>
      </c>
      <c r="F134" s="14">
        <f>28.4207 * CHOOSE(CONTROL!$C$9, $D$9, 100%, $F$9) + CHOOSE(CONTROL!$C$27, 0.0021, 0)</f>
        <v>28.422799999999999</v>
      </c>
      <c r="G134" s="14">
        <f>28.6921 * CHOOSE(CONTROL!$C$9, $D$9, 100%, $F$9) + CHOOSE(CONTROL!$C$27, 0.0021, 0)</f>
        <v>28.694199999999999</v>
      </c>
      <c r="H134" s="14">
        <f>28.5574 * CHOOSE(CONTROL!$C$9, $D$9, 100%, $F$9) + CHOOSE(CONTROL!$C$27, 0.0021, 0)</f>
        <v>28.5595</v>
      </c>
      <c r="I134" s="14">
        <f>28.5574 * CHOOSE(CONTROL!$C$9, $D$9, 100%, $F$9) + CHOOSE(CONTROL!$C$27, 0.0021, 0)</f>
        <v>28.5595</v>
      </c>
      <c r="J134" s="14">
        <f>28.5574 * CHOOSE(CONTROL!$C$9, $D$9, 100%, $F$9) + CHOOSE(CONTROL!$C$27, 0.0021, 0)</f>
        <v>28.5595</v>
      </c>
      <c r="K134" s="14">
        <f>28.5574 * CHOOSE(CONTROL!$C$9, $D$9, 100%, $F$9) + CHOOSE(CONTROL!$C$27, 0.0021, 0)</f>
        <v>28.5595</v>
      </c>
      <c r="L134" s="14"/>
    </row>
    <row r="135" spans="1:12" ht="15" x14ac:dyDescent="0.2">
      <c r="A135" s="13">
        <v>45017</v>
      </c>
      <c r="B135" s="14">
        <f>28.6019 * CHOOSE(CONTROL!$C$9, $D$9, 100%, $F$9) + CHOOSE(CONTROL!$C$27, 0.0021, 0)</f>
        <v>28.603999999999999</v>
      </c>
      <c r="C135" s="14">
        <f>28.1697 * CHOOSE(CONTROL!$C$9, $D$9, 100%, $F$9) + CHOOSE(CONTROL!$C$27, 0.0021, 0)</f>
        <v>28.171799999999998</v>
      </c>
      <c r="D135" s="14">
        <f>28.1697 * CHOOSE(CONTROL!$C$9, $D$9, 100%, $F$9) + CHOOSE(CONTROL!$C$27, 0.0021, 0)</f>
        <v>28.171799999999998</v>
      </c>
      <c r="E135" s="14">
        <f>28.033 * CHOOSE(CONTROL!$C$9, $D$9, 100%, $F$9) + CHOOSE(CONTROL!$C$27, 0.0021, 0)</f>
        <v>28.0351</v>
      </c>
      <c r="F135" s="14">
        <f>28.033 * CHOOSE(CONTROL!$C$9, $D$9, 100%, $F$9) + CHOOSE(CONTROL!$C$27, 0.0021, 0)</f>
        <v>28.0351</v>
      </c>
      <c r="G135" s="14">
        <f>28.3044 * CHOOSE(CONTROL!$C$9, $D$9, 100%, $F$9) + CHOOSE(CONTROL!$C$27, 0.0021, 0)</f>
        <v>28.3065</v>
      </c>
      <c r="H135" s="14">
        <f>28.1697 * CHOOSE(CONTROL!$C$9, $D$9, 100%, $F$9) + CHOOSE(CONTROL!$C$27, 0.0021, 0)</f>
        <v>28.171799999999998</v>
      </c>
      <c r="I135" s="14">
        <f>28.1697 * CHOOSE(CONTROL!$C$9, $D$9, 100%, $F$9) + CHOOSE(CONTROL!$C$27, 0.0021, 0)</f>
        <v>28.171799999999998</v>
      </c>
      <c r="J135" s="14">
        <f>28.1697 * CHOOSE(CONTROL!$C$9, $D$9, 100%, $F$9) + CHOOSE(CONTROL!$C$27, 0.0021, 0)</f>
        <v>28.171799999999998</v>
      </c>
      <c r="K135" s="14">
        <f>28.1697 * CHOOSE(CONTROL!$C$9, $D$9, 100%, $F$9) + CHOOSE(CONTROL!$C$27, 0.0021, 0)</f>
        <v>28.171799999999998</v>
      </c>
      <c r="L135" s="14"/>
    </row>
    <row r="136" spans="1:12" ht="15" x14ac:dyDescent="0.2">
      <c r="A136" s="13">
        <v>45047</v>
      </c>
      <c r="B136" s="14">
        <f>29.1544 * CHOOSE(CONTROL!$C$9, $D$9, 100%, $F$9) + CHOOSE(CONTROL!$C$27, 0.0021, 0)</f>
        <v>29.156499999999998</v>
      </c>
      <c r="C136" s="14">
        <f>28.7222 * CHOOSE(CONTROL!$C$9, $D$9, 100%, $F$9) + CHOOSE(CONTROL!$C$27, 0.0021, 0)</f>
        <v>28.724299999999999</v>
      </c>
      <c r="D136" s="14">
        <f>28.7222 * CHOOSE(CONTROL!$C$9, $D$9, 100%, $F$9) + CHOOSE(CONTROL!$C$27, 0.0021, 0)</f>
        <v>28.724299999999999</v>
      </c>
      <c r="E136" s="14">
        <f>28.5855 * CHOOSE(CONTROL!$C$9, $D$9, 100%, $F$9) + CHOOSE(CONTROL!$C$27, 0.0021, 0)</f>
        <v>28.587599999999998</v>
      </c>
      <c r="F136" s="14">
        <f>28.5855 * CHOOSE(CONTROL!$C$9, $D$9, 100%, $F$9) + CHOOSE(CONTROL!$C$27, 0.0021, 0)</f>
        <v>28.587599999999998</v>
      </c>
      <c r="G136" s="14">
        <f>28.8569 * CHOOSE(CONTROL!$C$9, $D$9, 100%, $F$9) + CHOOSE(CONTROL!$C$27, 0.0021, 0)</f>
        <v>28.858999999999998</v>
      </c>
      <c r="H136" s="14">
        <f>28.7222 * CHOOSE(CONTROL!$C$9, $D$9, 100%, $F$9) + CHOOSE(CONTROL!$C$27, 0.0021, 0)</f>
        <v>28.724299999999999</v>
      </c>
      <c r="I136" s="14">
        <f>28.7222 * CHOOSE(CONTROL!$C$9, $D$9, 100%, $F$9) + CHOOSE(CONTROL!$C$27, 0.0021, 0)</f>
        <v>28.724299999999999</v>
      </c>
      <c r="J136" s="14">
        <f>28.7222 * CHOOSE(CONTROL!$C$9, $D$9, 100%, $F$9) + CHOOSE(CONTROL!$C$27, 0.0021, 0)</f>
        <v>28.724299999999999</v>
      </c>
      <c r="K136" s="14">
        <f>28.7222 * CHOOSE(CONTROL!$C$9, $D$9, 100%, $F$9) + CHOOSE(CONTROL!$C$27, 0.0021, 0)</f>
        <v>28.724299999999999</v>
      </c>
      <c r="L136" s="14"/>
    </row>
    <row r="137" spans="1:12" ht="15" x14ac:dyDescent="0.2">
      <c r="A137" s="13">
        <v>45078</v>
      </c>
      <c r="B137" s="14">
        <f>29.4854 * CHOOSE(CONTROL!$C$9, $D$9, 100%, $F$9) + CHOOSE(CONTROL!$C$27, 0.0021, 0)</f>
        <v>29.487499999999997</v>
      </c>
      <c r="C137" s="14">
        <f>29.0531 * CHOOSE(CONTROL!$C$9, $D$9, 100%, $F$9) + CHOOSE(CONTROL!$C$27, 0.0021, 0)</f>
        <v>29.055199999999999</v>
      </c>
      <c r="D137" s="14">
        <f>29.0531 * CHOOSE(CONTROL!$C$9, $D$9, 100%, $F$9) + CHOOSE(CONTROL!$C$27, 0.0021, 0)</f>
        <v>29.055199999999999</v>
      </c>
      <c r="E137" s="14">
        <f>28.9165 * CHOOSE(CONTROL!$C$9, $D$9, 100%, $F$9) + CHOOSE(CONTROL!$C$27, 0.0021, 0)</f>
        <v>28.918599999999998</v>
      </c>
      <c r="F137" s="14">
        <f>28.9165 * CHOOSE(CONTROL!$C$9, $D$9, 100%, $F$9) + CHOOSE(CONTROL!$C$27, 0.0021, 0)</f>
        <v>28.918599999999998</v>
      </c>
      <c r="G137" s="14">
        <f>29.1878 * CHOOSE(CONTROL!$C$9, $D$9, 100%, $F$9) + CHOOSE(CONTROL!$C$27, 0.0021, 0)</f>
        <v>29.189899999999998</v>
      </c>
      <c r="H137" s="14">
        <f>29.0531 * CHOOSE(CONTROL!$C$9, $D$9, 100%, $F$9) + CHOOSE(CONTROL!$C$27, 0.0021, 0)</f>
        <v>29.055199999999999</v>
      </c>
      <c r="I137" s="14">
        <f>29.0531 * CHOOSE(CONTROL!$C$9, $D$9, 100%, $F$9) + CHOOSE(CONTROL!$C$27, 0.0021, 0)</f>
        <v>29.055199999999999</v>
      </c>
      <c r="J137" s="14">
        <f>29.0531 * CHOOSE(CONTROL!$C$9, $D$9, 100%, $F$9) + CHOOSE(CONTROL!$C$27, 0.0021, 0)</f>
        <v>29.055199999999999</v>
      </c>
      <c r="K137" s="14">
        <f>29.0531 * CHOOSE(CONTROL!$C$9, $D$9, 100%, $F$9) + CHOOSE(CONTROL!$C$27, 0.0021, 0)</f>
        <v>29.055199999999999</v>
      </c>
      <c r="L137" s="14"/>
    </row>
    <row r="138" spans="1:12" ht="15" x14ac:dyDescent="0.2">
      <c r="A138" s="13">
        <v>45108</v>
      </c>
      <c r="B138" s="14">
        <f>30.0313 * CHOOSE(CONTROL!$C$9, $D$9, 100%, $F$9) + CHOOSE(CONTROL!$C$27, 0.0021, 0)</f>
        <v>30.0334</v>
      </c>
      <c r="C138" s="14">
        <f>29.599 * CHOOSE(CONTROL!$C$9, $D$9, 100%, $F$9) + CHOOSE(CONTROL!$C$27, 0.0021, 0)</f>
        <v>29.601099999999999</v>
      </c>
      <c r="D138" s="14">
        <f>29.599 * CHOOSE(CONTROL!$C$9, $D$9, 100%, $F$9) + CHOOSE(CONTROL!$C$27, 0.0021, 0)</f>
        <v>29.601099999999999</v>
      </c>
      <c r="E138" s="14">
        <f>29.4624 * CHOOSE(CONTROL!$C$9, $D$9, 100%, $F$9) + CHOOSE(CONTROL!$C$27, 0.0021, 0)</f>
        <v>29.464499999999997</v>
      </c>
      <c r="F138" s="14">
        <f>29.4624 * CHOOSE(CONTROL!$C$9, $D$9, 100%, $F$9) + CHOOSE(CONTROL!$C$27, 0.0021, 0)</f>
        <v>29.464499999999997</v>
      </c>
      <c r="G138" s="14">
        <f>29.7337 * CHOOSE(CONTROL!$C$9, $D$9, 100%, $F$9) + CHOOSE(CONTROL!$C$27, 0.0021, 0)</f>
        <v>29.735799999999998</v>
      </c>
      <c r="H138" s="14">
        <f>29.599 * CHOOSE(CONTROL!$C$9, $D$9, 100%, $F$9) + CHOOSE(CONTROL!$C$27, 0.0021, 0)</f>
        <v>29.601099999999999</v>
      </c>
      <c r="I138" s="14">
        <f>29.599 * CHOOSE(CONTROL!$C$9, $D$9, 100%, $F$9) + CHOOSE(CONTROL!$C$27, 0.0021, 0)</f>
        <v>29.601099999999999</v>
      </c>
      <c r="J138" s="14">
        <f>29.599 * CHOOSE(CONTROL!$C$9, $D$9, 100%, $F$9) + CHOOSE(CONTROL!$C$27, 0.0021, 0)</f>
        <v>29.601099999999999</v>
      </c>
      <c r="K138" s="14">
        <f>29.599 * CHOOSE(CONTROL!$C$9, $D$9, 100%, $F$9) + CHOOSE(CONTROL!$C$27, 0.0021, 0)</f>
        <v>29.601099999999999</v>
      </c>
      <c r="L138" s="14"/>
    </row>
    <row r="139" spans="1:12" ht="15" x14ac:dyDescent="0.2">
      <c r="A139" s="13">
        <v>45139</v>
      </c>
      <c r="B139" s="14">
        <f>30.1979 * CHOOSE(CONTROL!$C$9, $D$9, 100%, $F$9) + CHOOSE(CONTROL!$C$27, 0.0021, 0)</f>
        <v>30.2</v>
      </c>
      <c r="C139" s="14">
        <f>29.7657 * CHOOSE(CONTROL!$C$9, $D$9, 100%, $F$9) + CHOOSE(CONTROL!$C$27, 0.0021, 0)</f>
        <v>29.767799999999998</v>
      </c>
      <c r="D139" s="14">
        <f>29.7657 * CHOOSE(CONTROL!$C$9, $D$9, 100%, $F$9) + CHOOSE(CONTROL!$C$27, 0.0021, 0)</f>
        <v>29.767799999999998</v>
      </c>
      <c r="E139" s="14">
        <f>29.629 * CHOOSE(CONTROL!$C$9, $D$9, 100%, $F$9) + CHOOSE(CONTROL!$C$27, 0.0021, 0)</f>
        <v>29.6311</v>
      </c>
      <c r="F139" s="14">
        <f>29.629 * CHOOSE(CONTROL!$C$9, $D$9, 100%, $F$9) + CHOOSE(CONTROL!$C$27, 0.0021, 0)</f>
        <v>29.6311</v>
      </c>
      <c r="G139" s="14">
        <f>29.9004 * CHOOSE(CONTROL!$C$9, $D$9, 100%, $F$9) + CHOOSE(CONTROL!$C$27, 0.0021, 0)</f>
        <v>29.9025</v>
      </c>
      <c r="H139" s="14">
        <f>29.7657 * CHOOSE(CONTROL!$C$9, $D$9, 100%, $F$9) + CHOOSE(CONTROL!$C$27, 0.0021, 0)</f>
        <v>29.767799999999998</v>
      </c>
      <c r="I139" s="14">
        <f>29.7657 * CHOOSE(CONTROL!$C$9, $D$9, 100%, $F$9) + CHOOSE(CONTROL!$C$27, 0.0021, 0)</f>
        <v>29.767799999999998</v>
      </c>
      <c r="J139" s="14">
        <f>29.7657 * CHOOSE(CONTROL!$C$9, $D$9, 100%, $F$9) + CHOOSE(CONTROL!$C$27, 0.0021, 0)</f>
        <v>29.767799999999998</v>
      </c>
      <c r="K139" s="14">
        <f>29.7657 * CHOOSE(CONTROL!$C$9, $D$9, 100%, $F$9) + CHOOSE(CONTROL!$C$27, 0.0021, 0)</f>
        <v>29.767799999999998</v>
      </c>
      <c r="L139" s="14"/>
    </row>
    <row r="140" spans="1:12" ht="15" x14ac:dyDescent="0.2">
      <c r="A140" s="13">
        <v>45170</v>
      </c>
      <c r="B140" s="14">
        <f>30.7654 * CHOOSE(CONTROL!$C$9, $D$9, 100%, $F$9) + CHOOSE(CONTROL!$C$27, 0.0021, 0)</f>
        <v>30.767499999999998</v>
      </c>
      <c r="C140" s="14">
        <f>30.3331 * CHOOSE(CONTROL!$C$9, $D$9, 100%, $F$9) + CHOOSE(CONTROL!$C$27, 0.0021, 0)</f>
        <v>30.3352</v>
      </c>
      <c r="D140" s="14">
        <f>30.3331 * CHOOSE(CONTROL!$C$9, $D$9, 100%, $F$9) + CHOOSE(CONTROL!$C$27, 0.0021, 0)</f>
        <v>30.3352</v>
      </c>
      <c r="E140" s="14">
        <f>30.1965 * CHOOSE(CONTROL!$C$9, $D$9, 100%, $F$9) + CHOOSE(CONTROL!$C$27, 0.0021, 0)</f>
        <v>30.198599999999999</v>
      </c>
      <c r="F140" s="14">
        <f>30.1965 * CHOOSE(CONTROL!$C$9, $D$9, 100%, $F$9) + CHOOSE(CONTROL!$C$27, 0.0021, 0)</f>
        <v>30.198599999999999</v>
      </c>
      <c r="G140" s="14">
        <f>30.4678 * CHOOSE(CONTROL!$C$9, $D$9, 100%, $F$9) + CHOOSE(CONTROL!$C$27, 0.0021, 0)</f>
        <v>30.469899999999999</v>
      </c>
      <c r="H140" s="14">
        <f>30.3331 * CHOOSE(CONTROL!$C$9, $D$9, 100%, $F$9) + CHOOSE(CONTROL!$C$27, 0.0021, 0)</f>
        <v>30.3352</v>
      </c>
      <c r="I140" s="14">
        <f>30.3331 * CHOOSE(CONTROL!$C$9, $D$9, 100%, $F$9) + CHOOSE(CONTROL!$C$27, 0.0021, 0)</f>
        <v>30.3352</v>
      </c>
      <c r="J140" s="14">
        <f>30.3331 * CHOOSE(CONTROL!$C$9, $D$9, 100%, $F$9) + CHOOSE(CONTROL!$C$27, 0.0021, 0)</f>
        <v>30.3352</v>
      </c>
      <c r="K140" s="14">
        <f>30.3331 * CHOOSE(CONTROL!$C$9, $D$9, 100%, $F$9) + CHOOSE(CONTROL!$C$27, 0.0021, 0)</f>
        <v>30.3352</v>
      </c>
      <c r="L140" s="14"/>
    </row>
    <row r="141" spans="1:12" ht="15" x14ac:dyDescent="0.2">
      <c r="A141" s="13">
        <v>45200</v>
      </c>
      <c r="B141" s="14">
        <f>31.4837 * CHOOSE(CONTROL!$C$9, $D$9, 100%, $F$9) + CHOOSE(CONTROL!$C$27, 0.0021, 0)</f>
        <v>31.485799999999998</v>
      </c>
      <c r="C141" s="14">
        <f>31.0514 * CHOOSE(CONTROL!$C$9, $D$9, 100%, $F$9) + CHOOSE(CONTROL!$C$27, 0.0021, 0)</f>
        <v>31.0535</v>
      </c>
      <c r="D141" s="14">
        <f>31.0514 * CHOOSE(CONTROL!$C$9, $D$9, 100%, $F$9) + CHOOSE(CONTROL!$C$27, 0.0021, 0)</f>
        <v>31.0535</v>
      </c>
      <c r="E141" s="14">
        <f>30.9148 * CHOOSE(CONTROL!$C$9, $D$9, 100%, $F$9) + CHOOSE(CONTROL!$C$27, 0.0021, 0)</f>
        <v>30.916899999999998</v>
      </c>
      <c r="F141" s="14">
        <f>30.9148 * CHOOSE(CONTROL!$C$9, $D$9, 100%, $F$9) + CHOOSE(CONTROL!$C$27, 0.0021, 0)</f>
        <v>30.916899999999998</v>
      </c>
      <c r="G141" s="14">
        <f>31.1861 * CHOOSE(CONTROL!$C$9, $D$9, 100%, $F$9) + CHOOSE(CONTROL!$C$27, 0.0021, 0)</f>
        <v>31.188199999999998</v>
      </c>
      <c r="H141" s="14">
        <f>31.0514 * CHOOSE(CONTROL!$C$9, $D$9, 100%, $F$9) + CHOOSE(CONTROL!$C$27, 0.0021, 0)</f>
        <v>31.0535</v>
      </c>
      <c r="I141" s="14">
        <f>31.0514 * CHOOSE(CONTROL!$C$9, $D$9, 100%, $F$9) + CHOOSE(CONTROL!$C$27, 0.0021, 0)</f>
        <v>31.0535</v>
      </c>
      <c r="J141" s="14">
        <f>31.0514 * CHOOSE(CONTROL!$C$9, $D$9, 100%, $F$9) + CHOOSE(CONTROL!$C$27, 0.0021, 0)</f>
        <v>31.0535</v>
      </c>
      <c r="K141" s="14">
        <f>31.0514 * CHOOSE(CONTROL!$C$9, $D$9, 100%, $F$9) + CHOOSE(CONTROL!$C$27, 0.0021, 0)</f>
        <v>31.0535</v>
      </c>
      <c r="L141" s="14"/>
    </row>
    <row r="142" spans="1:12" ht="15" x14ac:dyDescent="0.2">
      <c r="A142" s="13">
        <v>45231</v>
      </c>
      <c r="B142" s="14">
        <f>31.5511 * CHOOSE(CONTROL!$C$9, $D$9, 100%, $F$9) + CHOOSE(CONTROL!$C$27, 0.0021, 0)</f>
        <v>31.5532</v>
      </c>
      <c r="C142" s="14">
        <f>31.1189 * CHOOSE(CONTROL!$C$9, $D$9, 100%, $F$9) + CHOOSE(CONTROL!$C$27, 0.0021, 0)</f>
        <v>31.120999999999999</v>
      </c>
      <c r="D142" s="14">
        <f>31.1189 * CHOOSE(CONTROL!$C$9, $D$9, 100%, $F$9) + CHOOSE(CONTROL!$C$27, 0.0021, 0)</f>
        <v>31.120999999999999</v>
      </c>
      <c r="E142" s="14">
        <f>30.9822 * CHOOSE(CONTROL!$C$9, $D$9, 100%, $F$9) + CHOOSE(CONTROL!$C$27, 0.0021, 0)</f>
        <v>30.984299999999998</v>
      </c>
      <c r="F142" s="14">
        <f>30.9822 * CHOOSE(CONTROL!$C$9, $D$9, 100%, $F$9) + CHOOSE(CONTROL!$C$27, 0.0021, 0)</f>
        <v>30.984299999999998</v>
      </c>
      <c r="G142" s="14">
        <f>31.2536 * CHOOSE(CONTROL!$C$9, $D$9, 100%, $F$9) + CHOOSE(CONTROL!$C$27, 0.0021, 0)</f>
        <v>31.255699999999997</v>
      </c>
      <c r="H142" s="14">
        <f>31.1189 * CHOOSE(CONTROL!$C$9, $D$9, 100%, $F$9) + CHOOSE(CONTROL!$C$27, 0.0021, 0)</f>
        <v>31.120999999999999</v>
      </c>
      <c r="I142" s="14">
        <f>31.1189 * CHOOSE(CONTROL!$C$9, $D$9, 100%, $F$9) + CHOOSE(CONTROL!$C$27, 0.0021, 0)</f>
        <v>31.120999999999999</v>
      </c>
      <c r="J142" s="14">
        <f>31.1189 * CHOOSE(CONTROL!$C$9, $D$9, 100%, $F$9) + CHOOSE(CONTROL!$C$27, 0.0021, 0)</f>
        <v>31.120999999999999</v>
      </c>
      <c r="K142" s="14">
        <f>31.1189 * CHOOSE(CONTROL!$C$9, $D$9, 100%, $F$9) + CHOOSE(CONTROL!$C$27, 0.0021, 0)</f>
        <v>31.120999999999999</v>
      </c>
      <c r="L142" s="14"/>
    </row>
    <row r="143" spans="1:12" ht="15" x14ac:dyDescent="0.2">
      <c r="A143" s="13">
        <v>45261</v>
      </c>
      <c r="B143" s="14">
        <f>30.9774 * CHOOSE(CONTROL!$C$9, $D$9, 100%, $F$9) + CHOOSE(CONTROL!$C$27, 0.0021, 0)</f>
        <v>30.979499999999998</v>
      </c>
      <c r="C143" s="14">
        <f>30.5452 * CHOOSE(CONTROL!$C$9, $D$9, 100%, $F$9) + CHOOSE(CONTROL!$C$27, 0.0021, 0)</f>
        <v>30.5473</v>
      </c>
      <c r="D143" s="14">
        <f>30.5452 * CHOOSE(CONTROL!$C$9, $D$9, 100%, $F$9) + CHOOSE(CONTROL!$C$27, 0.0021, 0)</f>
        <v>30.5473</v>
      </c>
      <c r="E143" s="14">
        <f>30.4085 * CHOOSE(CONTROL!$C$9, $D$9, 100%, $F$9) + CHOOSE(CONTROL!$C$27, 0.0021, 0)</f>
        <v>30.410599999999999</v>
      </c>
      <c r="F143" s="14">
        <f>30.4085 * CHOOSE(CONTROL!$C$9, $D$9, 100%, $F$9) + CHOOSE(CONTROL!$C$27, 0.0021, 0)</f>
        <v>30.410599999999999</v>
      </c>
      <c r="G143" s="14">
        <f>30.6799 * CHOOSE(CONTROL!$C$9, $D$9, 100%, $F$9) + CHOOSE(CONTROL!$C$27, 0.0021, 0)</f>
        <v>30.681999999999999</v>
      </c>
      <c r="H143" s="14">
        <f>30.5452 * CHOOSE(CONTROL!$C$9, $D$9, 100%, $F$9) + CHOOSE(CONTROL!$C$27, 0.0021, 0)</f>
        <v>30.5473</v>
      </c>
      <c r="I143" s="14">
        <f>30.5452 * CHOOSE(CONTROL!$C$9, $D$9, 100%, $F$9) + CHOOSE(CONTROL!$C$27, 0.0021, 0)</f>
        <v>30.5473</v>
      </c>
      <c r="J143" s="14">
        <f>30.5452 * CHOOSE(CONTROL!$C$9, $D$9, 100%, $F$9) + CHOOSE(CONTROL!$C$27, 0.0021, 0)</f>
        <v>30.5473</v>
      </c>
      <c r="K143" s="14">
        <f>30.5452 * CHOOSE(CONTROL!$C$9, $D$9, 100%, $F$9) + CHOOSE(CONTROL!$C$27, 0.0021, 0)</f>
        <v>30.5473</v>
      </c>
      <c r="L143" s="14"/>
    </row>
    <row r="144" spans="1:12" ht="15" x14ac:dyDescent="0.2">
      <c r="A144" s="13">
        <v>45292</v>
      </c>
      <c r="B144" s="14">
        <f>31.3106 * CHOOSE(CONTROL!$C$9, $D$9, 100%, $F$9) + CHOOSE(CONTROL!$C$27, 0.0021, 0)</f>
        <v>31.3127</v>
      </c>
      <c r="C144" s="14">
        <f>30.8783 * CHOOSE(CONTROL!$C$9, $D$9, 100%, $F$9) + CHOOSE(CONTROL!$C$27, 0.0021, 0)</f>
        <v>30.880399999999998</v>
      </c>
      <c r="D144" s="14">
        <f>30.8783 * CHOOSE(CONTROL!$C$9, $D$9, 100%, $F$9) + CHOOSE(CONTROL!$C$27, 0.0021, 0)</f>
        <v>30.880399999999998</v>
      </c>
      <c r="E144" s="14">
        <f>30.7417 * CHOOSE(CONTROL!$C$9, $D$9, 100%, $F$9) + CHOOSE(CONTROL!$C$27, 0.0021, 0)</f>
        <v>30.7438</v>
      </c>
      <c r="F144" s="14">
        <f>30.7417 * CHOOSE(CONTROL!$C$9, $D$9, 100%, $F$9) + CHOOSE(CONTROL!$C$27, 0.0021, 0)</f>
        <v>30.7438</v>
      </c>
      <c r="G144" s="14">
        <f>31.013 * CHOOSE(CONTROL!$C$9, $D$9, 100%, $F$9) + CHOOSE(CONTROL!$C$27, 0.0021, 0)</f>
        <v>31.0151</v>
      </c>
      <c r="H144" s="14">
        <f>30.8783 * CHOOSE(CONTROL!$C$9, $D$9, 100%, $F$9) + CHOOSE(CONTROL!$C$27, 0.0021, 0)</f>
        <v>30.880399999999998</v>
      </c>
      <c r="I144" s="14">
        <f>30.8783 * CHOOSE(CONTROL!$C$9, $D$9, 100%, $F$9) + CHOOSE(CONTROL!$C$27, 0.0021, 0)</f>
        <v>30.880399999999998</v>
      </c>
      <c r="J144" s="14">
        <f>30.8783 * CHOOSE(CONTROL!$C$9, $D$9, 100%, $F$9) + CHOOSE(CONTROL!$C$27, 0.0021, 0)</f>
        <v>30.880399999999998</v>
      </c>
      <c r="K144" s="14">
        <f>30.8783 * CHOOSE(CONTROL!$C$9, $D$9, 100%, $F$9) + CHOOSE(CONTROL!$C$27, 0.0021, 0)</f>
        <v>30.880399999999998</v>
      </c>
      <c r="L144" s="14"/>
    </row>
    <row r="145" spans="1:12" ht="15" x14ac:dyDescent="0.2">
      <c r="A145" s="13">
        <v>45323</v>
      </c>
      <c r="B145" s="14">
        <f>30.4898 * CHOOSE(CONTROL!$C$9, $D$9, 100%, $F$9) + CHOOSE(CONTROL!$C$27, 0.0021, 0)</f>
        <v>30.491899999999998</v>
      </c>
      <c r="C145" s="14">
        <f>30.0575 * CHOOSE(CONTROL!$C$9, $D$9, 100%, $F$9) + CHOOSE(CONTROL!$C$27, 0.0021, 0)</f>
        <v>30.0596</v>
      </c>
      <c r="D145" s="14">
        <f>30.0575 * CHOOSE(CONTROL!$C$9, $D$9, 100%, $F$9) + CHOOSE(CONTROL!$C$27, 0.0021, 0)</f>
        <v>30.0596</v>
      </c>
      <c r="E145" s="14">
        <f>29.9209 * CHOOSE(CONTROL!$C$9, $D$9, 100%, $F$9) + CHOOSE(CONTROL!$C$27, 0.0021, 0)</f>
        <v>29.922999999999998</v>
      </c>
      <c r="F145" s="14">
        <f>29.9209 * CHOOSE(CONTROL!$C$9, $D$9, 100%, $F$9) + CHOOSE(CONTROL!$C$27, 0.0021, 0)</f>
        <v>29.922999999999998</v>
      </c>
      <c r="G145" s="14">
        <f>30.1922 * CHOOSE(CONTROL!$C$9, $D$9, 100%, $F$9) + CHOOSE(CONTROL!$C$27, 0.0021, 0)</f>
        <v>30.194299999999998</v>
      </c>
      <c r="H145" s="14">
        <f>30.0575 * CHOOSE(CONTROL!$C$9, $D$9, 100%, $F$9) + CHOOSE(CONTROL!$C$27, 0.0021, 0)</f>
        <v>30.0596</v>
      </c>
      <c r="I145" s="14">
        <f>30.0575 * CHOOSE(CONTROL!$C$9, $D$9, 100%, $F$9) + CHOOSE(CONTROL!$C$27, 0.0021, 0)</f>
        <v>30.0596</v>
      </c>
      <c r="J145" s="14">
        <f>30.0575 * CHOOSE(CONTROL!$C$9, $D$9, 100%, $F$9) + CHOOSE(CONTROL!$C$27, 0.0021, 0)</f>
        <v>30.0596</v>
      </c>
      <c r="K145" s="14">
        <f>30.0575 * CHOOSE(CONTROL!$C$9, $D$9, 100%, $F$9) + CHOOSE(CONTROL!$C$27, 0.0021, 0)</f>
        <v>30.0596</v>
      </c>
      <c r="L145" s="14"/>
    </row>
    <row r="146" spans="1:12" ht="15" x14ac:dyDescent="0.2">
      <c r="A146" s="13">
        <v>45352</v>
      </c>
      <c r="B146" s="14">
        <f>30.151 * CHOOSE(CONTROL!$C$9, $D$9, 100%, $F$9) + CHOOSE(CONTROL!$C$27, 0.0021, 0)</f>
        <v>30.153099999999998</v>
      </c>
      <c r="C146" s="14">
        <f>29.7187 * CHOOSE(CONTROL!$C$9, $D$9, 100%, $F$9) + CHOOSE(CONTROL!$C$27, 0.0021, 0)</f>
        <v>29.720799999999997</v>
      </c>
      <c r="D146" s="14">
        <f>29.7187 * CHOOSE(CONTROL!$C$9, $D$9, 100%, $F$9) + CHOOSE(CONTROL!$C$27, 0.0021, 0)</f>
        <v>29.720799999999997</v>
      </c>
      <c r="E146" s="14">
        <f>29.582 * CHOOSE(CONTROL!$C$9, $D$9, 100%, $F$9) + CHOOSE(CONTROL!$C$27, 0.0021, 0)</f>
        <v>29.584099999999999</v>
      </c>
      <c r="F146" s="14">
        <f>29.582 * CHOOSE(CONTROL!$C$9, $D$9, 100%, $F$9) + CHOOSE(CONTROL!$C$27, 0.0021, 0)</f>
        <v>29.584099999999999</v>
      </c>
      <c r="G146" s="14">
        <f>29.8534 * CHOOSE(CONTROL!$C$9, $D$9, 100%, $F$9) + CHOOSE(CONTROL!$C$27, 0.0021, 0)</f>
        <v>29.855499999999999</v>
      </c>
      <c r="H146" s="14">
        <f>29.7187 * CHOOSE(CONTROL!$C$9, $D$9, 100%, $F$9) + CHOOSE(CONTROL!$C$27, 0.0021, 0)</f>
        <v>29.720799999999997</v>
      </c>
      <c r="I146" s="14">
        <f>29.7187 * CHOOSE(CONTROL!$C$9, $D$9, 100%, $F$9) + CHOOSE(CONTROL!$C$27, 0.0021, 0)</f>
        <v>29.720799999999997</v>
      </c>
      <c r="J146" s="14">
        <f>29.7187 * CHOOSE(CONTROL!$C$9, $D$9, 100%, $F$9) + CHOOSE(CONTROL!$C$27, 0.0021, 0)</f>
        <v>29.720799999999997</v>
      </c>
      <c r="K146" s="14">
        <f>29.7187 * CHOOSE(CONTROL!$C$9, $D$9, 100%, $F$9) + CHOOSE(CONTROL!$C$27, 0.0021, 0)</f>
        <v>29.720799999999997</v>
      </c>
      <c r="L146" s="14"/>
    </row>
    <row r="147" spans="1:12" ht="15" x14ac:dyDescent="0.2">
      <c r="A147" s="13">
        <v>45383</v>
      </c>
      <c r="B147" s="14">
        <f>29.7464 * CHOOSE(CONTROL!$C$9, $D$9, 100%, $F$9) + CHOOSE(CONTROL!$C$27, 0.0021, 0)</f>
        <v>29.7485</v>
      </c>
      <c r="C147" s="14">
        <f>29.3141 * CHOOSE(CONTROL!$C$9, $D$9, 100%, $F$9) + CHOOSE(CONTROL!$C$27, 0.0021, 0)</f>
        <v>29.316199999999998</v>
      </c>
      <c r="D147" s="14">
        <f>29.3141 * CHOOSE(CONTROL!$C$9, $D$9, 100%, $F$9) + CHOOSE(CONTROL!$C$27, 0.0021, 0)</f>
        <v>29.316199999999998</v>
      </c>
      <c r="E147" s="14">
        <f>29.1775 * CHOOSE(CONTROL!$C$9, $D$9, 100%, $F$9) + CHOOSE(CONTROL!$C$27, 0.0021, 0)</f>
        <v>29.179599999999997</v>
      </c>
      <c r="F147" s="14">
        <f>29.1775 * CHOOSE(CONTROL!$C$9, $D$9, 100%, $F$9) + CHOOSE(CONTROL!$C$27, 0.0021, 0)</f>
        <v>29.179599999999997</v>
      </c>
      <c r="G147" s="14">
        <f>29.4489 * CHOOSE(CONTROL!$C$9, $D$9, 100%, $F$9) + CHOOSE(CONTROL!$C$27, 0.0021, 0)</f>
        <v>29.450999999999997</v>
      </c>
      <c r="H147" s="14">
        <f>29.3141 * CHOOSE(CONTROL!$C$9, $D$9, 100%, $F$9) + CHOOSE(CONTROL!$C$27, 0.0021, 0)</f>
        <v>29.316199999999998</v>
      </c>
      <c r="I147" s="14">
        <f>29.3141 * CHOOSE(CONTROL!$C$9, $D$9, 100%, $F$9) + CHOOSE(CONTROL!$C$27, 0.0021, 0)</f>
        <v>29.316199999999998</v>
      </c>
      <c r="J147" s="14">
        <f>29.3141 * CHOOSE(CONTROL!$C$9, $D$9, 100%, $F$9) + CHOOSE(CONTROL!$C$27, 0.0021, 0)</f>
        <v>29.316199999999998</v>
      </c>
      <c r="K147" s="14">
        <f>29.3141 * CHOOSE(CONTROL!$C$9, $D$9, 100%, $F$9) + CHOOSE(CONTROL!$C$27, 0.0021, 0)</f>
        <v>29.316199999999998</v>
      </c>
      <c r="L147" s="14"/>
    </row>
    <row r="148" spans="1:12" ht="15" x14ac:dyDescent="0.2">
      <c r="A148" s="13">
        <v>45413</v>
      </c>
      <c r="B148" s="14">
        <f>30.3229 * CHOOSE(CONTROL!$C$9, $D$9, 100%, $F$9) + CHOOSE(CONTROL!$C$27, 0.0021, 0)</f>
        <v>30.324999999999999</v>
      </c>
      <c r="C148" s="14">
        <f>29.8907 * CHOOSE(CONTROL!$C$9, $D$9, 100%, $F$9) + CHOOSE(CONTROL!$C$27, 0.0021, 0)</f>
        <v>29.892799999999998</v>
      </c>
      <c r="D148" s="14">
        <f>29.8907 * CHOOSE(CONTROL!$C$9, $D$9, 100%, $F$9) + CHOOSE(CONTROL!$C$27, 0.0021, 0)</f>
        <v>29.892799999999998</v>
      </c>
      <c r="E148" s="14">
        <f>29.754 * CHOOSE(CONTROL!$C$9, $D$9, 100%, $F$9) + CHOOSE(CONTROL!$C$27, 0.0021, 0)</f>
        <v>29.7561</v>
      </c>
      <c r="F148" s="14">
        <f>29.754 * CHOOSE(CONTROL!$C$9, $D$9, 100%, $F$9) + CHOOSE(CONTROL!$C$27, 0.0021, 0)</f>
        <v>29.7561</v>
      </c>
      <c r="G148" s="14">
        <f>30.0254 * CHOOSE(CONTROL!$C$9, $D$9, 100%, $F$9) + CHOOSE(CONTROL!$C$27, 0.0021, 0)</f>
        <v>30.0275</v>
      </c>
      <c r="H148" s="14">
        <f>29.8907 * CHOOSE(CONTROL!$C$9, $D$9, 100%, $F$9) + CHOOSE(CONTROL!$C$27, 0.0021, 0)</f>
        <v>29.892799999999998</v>
      </c>
      <c r="I148" s="14">
        <f>29.8907 * CHOOSE(CONTROL!$C$9, $D$9, 100%, $F$9) + CHOOSE(CONTROL!$C$27, 0.0021, 0)</f>
        <v>29.892799999999998</v>
      </c>
      <c r="J148" s="14">
        <f>29.8907 * CHOOSE(CONTROL!$C$9, $D$9, 100%, $F$9) + CHOOSE(CONTROL!$C$27, 0.0021, 0)</f>
        <v>29.892799999999998</v>
      </c>
      <c r="K148" s="14">
        <f>29.8907 * CHOOSE(CONTROL!$C$9, $D$9, 100%, $F$9) + CHOOSE(CONTROL!$C$27, 0.0021, 0)</f>
        <v>29.892799999999998</v>
      </c>
      <c r="L148" s="14"/>
    </row>
    <row r="149" spans="1:12" ht="15" x14ac:dyDescent="0.2">
      <c r="A149" s="13">
        <v>45444</v>
      </c>
      <c r="B149" s="14">
        <f>30.6683 * CHOOSE(CONTROL!$C$9, $D$9, 100%, $F$9) + CHOOSE(CONTROL!$C$27, 0.0021, 0)</f>
        <v>30.670399999999997</v>
      </c>
      <c r="C149" s="14">
        <f>30.236 * CHOOSE(CONTROL!$C$9, $D$9, 100%, $F$9) + CHOOSE(CONTROL!$C$27, 0.0021, 0)</f>
        <v>30.238099999999999</v>
      </c>
      <c r="D149" s="14">
        <f>30.236 * CHOOSE(CONTROL!$C$9, $D$9, 100%, $F$9) + CHOOSE(CONTROL!$C$27, 0.0021, 0)</f>
        <v>30.238099999999999</v>
      </c>
      <c r="E149" s="14">
        <f>30.0994 * CHOOSE(CONTROL!$C$9, $D$9, 100%, $F$9) + CHOOSE(CONTROL!$C$27, 0.0021, 0)</f>
        <v>30.101499999999998</v>
      </c>
      <c r="F149" s="14">
        <f>30.0994 * CHOOSE(CONTROL!$C$9, $D$9, 100%, $F$9) + CHOOSE(CONTROL!$C$27, 0.0021, 0)</f>
        <v>30.101499999999998</v>
      </c>
      <c r="G149" s="14">
        <f>30.3707 * CHOOSE(CONTROL!$C$9, $D$9, 100%, $F$9) + CHOOSE(CONTROL!$C$27, 0.0021, 0)</f>
        <v>30.372799999999998</v>
      </c>
      <c r="H149" s="14">
        <f>30.236 * CHOOSE(CONTROL!$C$9, $D$9, 100%, $F$9) + CHOOSE(CONTROL!$C$27, 0.0021, 0)</f>
        <v>30.238099999999999</v>
      </c>
      <c r="I149" s="14">
        <f>30.236 * CHOOSE(CONTROL!$C$9, $D$9, 100%, $F$9) + CHOOSE(CONTROL!$C$27, 0.0021, 0)</f>
        <v>30.238099999999999</v>
      </c>
      <c r="J149" s="14">
        <f>30.236 * CHOOSE(CONTROL!$C$9, $D$9, 100%, $F$9) + CHOOSE(CONTROL!$C$27, 0.0021, 0)</f>
        <v>30.238099999999999</v>
      </c>
      <c r="K149" s="14">
        <f>30.236 * CHOOSE(CONTROL!$C$9, $D$9, 100%, $F$9) + CHOOSE(CONTROL!$C$27, 0.0021, 0)</f>
        <v>30.238099999999999</v>
      </c>
      <c r="L149" s="14"/>
    </row>
    <row r="150" spans="1:12" ht="15" x14ac:dyDescent="0.2">
      <c r="A150" s="13">
        <v>45474</v>
      </c>
      <c r="B150" s="14">
        <f>31.2379 * CHOOSE(CONTROL!$C$9, $D$9, 100%, $F$9) + CHOOSE(CONTROL!$C$27, 0.0021, 0)</f>
        <v>31.24</v>
      </c>
      <c r="C150" s="14">
        <f>30.8057 * CHOOSE(CONTROL!$C$9, $D$9, 100%, $F$9) + CHOOSE(CONTROL!$C$27, 0.0021, 0)</f>
        <v>30.8078</v>
      </c>
      <c r="D150" s="14">
        <f>30.8057 * CHOOSE(CONTROL!$C$9, $D$9, 100%, $F$9) + CHOOSE(CONTROL!$C$27, 0.0021, 0)</f>
        <v>30.8078</v>
      </c>
      <c r="E150" s="14">
        <f>30.669 * CHOOSE(CONTROL!$C$9, $D$9, 100%, $F$9) + CHOOSE(CONTROL!$C$27, 0.0021, 0)</f>
        <v>30.671099999999999</v>
      </c>
      <c r="F150" s="14">
        <f>30.669 * CHOOSE(CONTROL!$C$9, $D$9, 100%, $F$9) + CHOOSE(CONTROL!$C$27, 0.0021, 0)</f>
        <v>30.671099999999999</v>
      </c>
      <c r="G150" s="14">
        <f>30.9404 * CHOOSE(CONTROL!$C$9, $D$9, 100%, $F$9) + CHOOSE(CONTROL!$C$27, 0.0021, 0)</f>
        <v>30.942499999999999</v>
      </c>
      <c r="H150" s="14">
        <f>30.8057 * CHOOSE(CONTROL!$C$9, $D$9, 100%, $F$9) + CHOOSE(CONTROL!$C$27, 0.0021, 0)</f>
        <v>30.8078</v>
      </c>
      <c r="I150" s="14">
        <f>30.8057 * CHOOSE(CONTROL!$C$9, $D$9, 100%, $F$9) + CHOOSE(CONTROL!$C$27, 0.0021, 0)</f>
        <v>30.8078</v>
      </c>
      <c r="J150" s="14">
        <f>30.8057 * CHOOSE(CONTROL!$C$9, $D$9, 100%, $F$9) + CHOOSE(CONTROL!$C$27, 0.0021, 0)</f>
        <v>30.8078</v>
      </c>
      <c r="K150" s="14">
        <f>30.8057 * CHOOSE(CONTROL!$C$9, $D$9, 100%, $F$9) + CHOOSE(CONTROL!$C$27, 0.0021, 0)</f>
        <v>30.8078</v>
      </c>
      <c r="L150" s="14"/>
    </row>
    <row r="151" spans="1:12" ht="15" x14ac:dyDescent="0.2">
      <c r="A151" s="13">
        <v>45505</v>
      </c>
      <c r="B151" s="14">
        <f>31.4118 * CHOOSE(CONTROL!$C$9, $D$9, 100%, $F$9) + CHOOSE(CONTROL!$C$27, 0.0021, 0)</f>
        <v>31.413899999999998</v>
      </c>
      <c r="C151" s="14">
        <f>30.9796 * CHOOSE(CONTROL!$C$9, $D$9, 100%, $F$9) + CHOOSE(CONTROL!$C$27, 0.0021, 0)</f>
        <v>30.9817</v>
      </c>
      <c r="D151" s="14">
        <f>30.9796 * CHOOSE(CONTROL!$C$9, $D$9, 100%, $F$9) + CHOOSE(CONTROL!$C$27, 0.0021, 0)</f>
        <v>30.9817</v>
      </c>
      <c r="E151" s="14">
        <f>30.8429 * CHOOSE(CONTROL!$C$9, $D$9, 100%, $F$9) + CHOOSE(CONTROL!$C$27, 0.0021, 0)</f>
        <v>30.844999999999999</v>
      </c>
      <c r="F151" s="14">
        <f>30.8429 * CHOOSE(CONTROL!$C$9, $D$9, 100%, $F$9) + CHOOSE(CONTROL!$C$27, 0.0021, 0)</f>
        <v>30.844999999999999</v>
      </c>
      <c r="G151" s="14">
        <f>31.1143 * CHOOSE(CONTROL!$C$9, $D$9, 100%, $F$9) + CHOOSE(CONTROL!$C$27, 0.0021, 0)</f>
        <v>31.116399999999999</v>
      </c>
      <c r="H151" s="14">
        <f>30.9796 * CHOOSE(CONTROL!$C$9, $D$9, 100%, $F$9) + CHOOSE(CONTROL!$C$27, 0.0021, 0)</f>
        <v>30.9817</v>
      </c>
      <c r="I151" s="14">
        <f>30.9796 * CHOOSE(CONTROL!$C$9, $D$9, 100%, $F$9) + CHOOSE(CONTROL!$C$27, 0.0021, 0)</f>
        <v>30.9817</v>
      </c>
      <c r="J151" s="14">
        <f>30.9796 * CHOOSE(CONTROL!$C$9, $D$9, 100%, $F$9) + CHOOSE(CONTROL!$C$27, 0.0021, 0)</f>
        <v>30.9817</v>
      </c>
      <c r="K151" s="14">
        <f>30.9796 * CHOOSE(CONTROL!$C$9, $D$9, 100%, $F$9) + CHOOSE(CONTROL!$C$27, 0.0021, 0)</f>
        <v>30.9817</v>
      </c>
      <c r="L151" s="14"/>
    </row>
    <row r="152" spans="1:12" ht="15" x14ac:dyDescent="0.2">
      <c r="A152" s="13">
        <v>45536</v>
      </c>
      <c r="B152" s="14">
        <f>32.004 * CHOOSE(CONTROL!$C$9, $D$9, 100%, $F$9) + CHOOSE(CONTROL!$C$27, 0.0021, 0)</f>
        <v>32.006099999999996</v>
      </c>
      <c r="C152" s="14">
        <f>31.5717 * CHOOSE(CONTROL!$C$9, $D$9, 100%, $F$9) + CHOOSE(CONTROL!$C$27, 0.0021, 0)</f>
        <v>31.573799999999999</v>
      </c>
      <c r="D152" s="14">
        <f>31.5717 * CHOOSE(CONTROL!$C$9, $D$9, 100%, $F$9) + CHOOSE(CONTROL!$C$27, 0.0021, 0)</f>
        <v>31.573799999999999</v>
      </c>
      <c r="E152" s="14">
        <f>31.4351 * CHOOSE(CONTROL!$C$9, $D$9, 100%, $F$9) + CHOOSE(CONTROL!$C$27, 0.0021, 0)</f>
        <v>31.437199999999997</v>
      </c>
      <c r="F152" s="14">
        <f>31.4351 * CHOOSE(CONTROL!$C$9, $D$9, 100%, $F$9) + CHOOSE(CONTROL!$C$27, 0.0021, 0)</f>
        <v>31.437199999999997</v>
      </c>
      <c r="G152" s="14">
        <f>31.7064 * CHOOSE(CONTROL!$C$9, $D$9, 100%, $F$9) + CHOOSE(CONTROL!$C$27, 0.0021, 0)</f>
        <v>31.708499999999997</v>
      </c>
      <c r="H152" s="14">
        <f>31.5717 * CHOOSE(CONTROL!$C$9, $D$9, 100%, $F$9) + CHOOSE(CONTROL!$C$27, 0.0021, 0)</f>
        <v>31.573799999999999</v>
      </c>
      <c r="I152" s="14">
        <f>31.5717 * CHOOSE(CONTROL!$C$9, $D$9, 100%, $F$9) + CHOOSE(CONTROL!$C$27, 0.0021, 0)</f>
        <v>31.573799999999999</v>
      </c>
      <c r="J152" s="14">
        <f>31.5717 * CHOOSE(CONTROL!$C$9, $D$9, 100%, $F$9) + CHOOSE(CONTROL!$C$27, 0.0021, 0)</f>
        <v>31.573799999999999</v>
      </c>
      <c r="K152" s="14">
        <f>31.5717 * CHOOSE(CONTROL!$C$9, $D$9, 100%, $F$9) + CHOOSE(CONTROL!$C$27, 0.0021, 0)</f>
        <v>31.573799999999999</v>
      </c>
      <c r="L152" s="14"/>
    </row>
    <row r="153" spans="1:12" ht="15" x14ac:dyDescent="0.2">
      <c r="A153" s="13">
        <v>45566</v>
      </c>
      <c r="B153" s="14">
        <f>32.7535 * CHOOSE(CONTROL!$C$9, $D$9, 100%, $F$9) + CHOOSE(CONTROL!$C$27, 0.0021, 0)</f>
        <v>32.755600000000001</v>
      </c>
      <c r="C153" s="14">
        <f>32.3213 * CHOOSE(CONTROL!$C$9, $D$9, 100%, $F$9) + CHOOSE(CONTROL!$C$27, 0.0021, 0)</f>
        <v>32.323399999999999</v>
      </c>
      <c r="D153" s="14">
        <f>32.3213 * CHOOSE(CONTROL!$C$9, $D$9, 100%, $F$9) + CHOOSE(CONTROL!$C$27, 0.0021, 0)</f>
        <v>32.323399999999999</v>
      </c>
      <c r="E153" s="14">
        <f>32.1846 * CHOOSE(CONTROL!$C$9, $D$9, 100%, $F$9) + CHOOSE(CONTROL!$C$27, 0.0021, 0)</f>
        <v>32.186700000000002</v>
      </c>
      <c r="F153" s="14">
        <f>32.1846 * CHOOSE(CONTROL!$C$9, $D$9, 100%, $F$9) + CHOOSE(CONTROL!$C$27, 0.0021, 0)</f>
        <v>32.186700000000002</v>
      </c>
      <c r="G153" s="14">
        <f>32.456 * CHOOSE(CONTROL!$C$9, $D$9, 100%, $F$9) + CHOOSE(CONTROL!$C$27, 0.0021, 0)</f>
        <v>32.458100000000002</v>
      </c>
      <c r="H153" s="14">
        <f>32.3213 * CHOOSE(CONTROL!$C$9, $D$9, 100%, $F$9) + CHOOSE(CONTROL!$C$27, 0.0021, 0)</f>
        <v>32.323399999999999</v>
      </c>
      <c r="I153" s="14">
        <f>32.3213 * CHOOSE(CONTROL!$C$9, $D$9, 100%, $F$9) + CHOOSE(CONTROL!$C$27, 0.0021, 0)</f>
        <v>32.323399999999999</v>
      </c>
      <c r="J153" s="14">
        <f>32.3213 * CHOOSE(CONTROL!$C$9, $D$9, 100%, $F$9) + CHOOSE(CONTROL!$C$27, 0.0021, 0)</f>
        <v>32.323399999999999</v>
      </c>
      <c r="K153" s="14">
        <f>32.3213 * CHOOSE(CONTROL!$C$9, $D$9, 100%, $F$9) + CHOOSE(CONTROL!$C$27, 0.0021, 0)</f>
        <v>32.323399999999999</v>
      </c>
      <c r="L153" s="14"/>
    </row>
    <row r="154" spans="1:12" ht="15" x14ac:dyDescent="0.2">
      <c r="A154" s="13">
        <v>45597</v>
      </c>
      <c r="B154" s="14">
        <f>32.8239 * CHOOSE(CONTROL!$C$9, $D$9, 100%, $F$9) + CHOOSE(CONTROL!$C$27, 0.0021, 0)</f>
        <v>32.826000000000001</v>
      </c>
      <c r="C154" s="14">
        <f>32.3916 * CHOOSE(CONTROL!$C$9, $D$9, 100%, $F$9) + CHOOSE(CONTROL!$C$27, 0.0021, 0)</f>
        <v>32.393699999999995</v>
      </c>
      <c r="D154" s="14">
        <f>32.3916 * CHOOSE(CONTROL!$C$9, $D$9, 100%, $F$9) + CHOOSE(CONTROL!$C$27, 0.0021, 0)</f>
        <v>32.393699999999995</v>
      </c>
      <c r="E154" s="14">
        <f>32.255 * CHOOSE(CONTROL!$C$9, $D$9, 100%, $F$9) + CHOOSE(CONTROL!$C$27, 0.0021, 0)</f>
        <v>32.257100000000001</v>
      </c>
      <c r="F154" s="14">
        <f>32.255 * CHOOSE(CONTROL!$C$9, $D$9, 100%, $F$9) + CHOOSE(CONTROL!$C$27, 0.0021, 0)</f>
        <v>32.257100000000001</v>
      </c>
      <c r="G154" s="14">
        <f>32.5263 * CHOOSE(CONTROL!$C$9, $D$9, 100%, $F$9) + CHOOSE(CONTROL!$C$27, 0.0021, 0)</f>
        <v>32.528399999999998</v>
      </c>
      <c r="H154" s="14">
        <f>32.3916 * CHOOSE(CONTROL!$C$9, $D$9, 100%, $F$9) + CHOOSE(CONTROL!$C$27, 0.0021, 0)</f>
        <v>32.393699999999995</v>
      </c>
      <c r="I154" s="14">
        <f>32.3916 * CHOOSE(CONTROL!$C$9, $D$9, 100%, $F$9) + CHOOSE(CONTROL!$C$27, 0.0021, 0)</f>
        <v>32.393699999999995</v>
      </c>
      <c r="J154" s="14">
        <f>32.3916 * CHOOSE(CONTROL!$C$9, $D$9, 100%, $F$9) + CHOOSE(CONTROL!$C$27, 0.0021, 0)</f>
        <v>32.393699999999995</v>
      </c>
      <c r="K154" s="14">
        <f>32.3916 * CHOOSE(CONTROL!$C$9, $D$9, 100%, $F$9) + CHOOSE(CONTROL!$C$27, 0.0021, 0)</f>
        <v>32.393699999999995</v>
      </c>
      <c r="L154" s="14"/>
    </row>
    <row r="155" spans="1:12" ht="15" x14ac:dyDescent="0.2">
      <c r="A155" s="13">
        <v>45627</v>
      </c>
      <c r="B155" s="14">
        <f>32.2252 * CHOOSE(CONTROL!$C$9, $D$9, 100%, $F$9) + CHOOSE(CONTROL!$C$27, 0.0021, 0)</f>
        <v>32.2273</v>
      </c>
      <c r="C155" s="14">
        <f>31.793 * CHOOSE(CONTROL!$C$9, $D$9, 100%, $F$9) + CHOOSE(CONTROL!$C$27, 0.0021, 0)</f>
        <v>31.795099999999998</v>
      </c>
      <c r="D155" s="14">
        <f>31.793 * CHOOSE(CONTROL!$C$9, $D$9, 100%, $F$9) + CHOOSE(CONTROL!$C$27, 0.0021, 0)</f>
        <v>31.795099999999998</v>
      </c>
      <c r="E155" s="14">
        <f>31.6563 * CHOOSE(CONTROL!$C$9, $D$9, 100%, $F$9) + CHOOSE(CONTROL!$C$27, 0.0021, 0)</f>
        <v>31.6584</v>
      </c>
      <c r="F155" s="14">
        <f>31.6563 * CHOOSE(CONTROL!$C$9, $D$9, 100%, $F$9) + CHOOSE(CONTROL!$C$27, 0.0021, 0)</f>
        <v>31.6584</v>
      </c>
      <c r="G155" s="14">
        <f>31.9277 * CHOOSE(CONTROL!$C$9, $D$9, 100%, $F$9) + CHOOSE(CONTROL!$C$27, 0.0021, 0)</f>
        <v>31.9298</v>
      </c>
      <c r="H155" s="14">
        <f>31.793 * CHOOSE(CONTROL!$C$9, $D$9, 100%, $F$9) + CHOOSE(CONTROL!$C$27, 0.0021, 0)</f>
        <v>31.795099999999998</v>
      </c>
      <c r="I155" s="14">
        <f>31.793 * CHOOSE(CONTROL!$C$9, $D$9, 100%, $F$9) + CHOOSE(CONTROL!$C$27, 0.0021, 0)</f>
        <v>31.795099999999998</v>
      </c>
      <c r="J155" s="14">
        <f>31.793 * CHOOSE(CONTROL!$C$9, $D$9, 100%, $F$9) + CHOOSE(CONTROL!$C$27, 0.0021, 0)</f>
        <v>31.795099999999998</v>
      </c>
      <c r="K155" s="14">
        <f>31.793 * CHOOSE(CONTROL!$C$9, $D$9, 100%, $F$9) + CHOOSE(CONTROL!$C$27, 0.0021, 0)</f>
        <v>31.795099999999998</v>
      </c>
      <c r="L155" s="14"/>
    </row>
    <row r="156" spans="1:12" ht="15" x14ac:dyDescent="0.2">
      <c r="A156" s="13">
        <v>45658</v>
      </c>
      <c r="B156" s="14">
        <f>32.4802 * CHOOSE(CONTROL!$C$9, $D$9, 100%, $F$9) + CHOOSE(CONTROL!$C$27, 0.0021, 0)</f>
        <v>32.482300000000002</v>
      </c>
      <c r="C156" s="14">
        <f>32.0479 * CHOOSE(CONTROL!$C$9, $D$9, 100%, $F$9) + CHOOSE(CONTROL!$C$27, 0.0021, 0)</f>
        <v>32.049999999999997</v>
      </c>
      <c r="D156" s="14">
        <f>32.0479 * CHOOSE(CONTROL!$C$9, $D$9, 100%, $F$9) + CHOOSE(CONTROL!$C$27, 0.0021, 0)</f>
        <v>32.049999999999997</v>
      </c>
      <c r="E156" s="14">
        <f>31.9113 * CHOOSE(CONTROL!$C$9, $D$9, 100%, $F$9) + CHOOSE(CONTROL!$C$27, 0.0021, 0)</f>
        <v>31.913399999999999</v>
      </c>
      <c r="F156" s="14">
        <f>31.9113 * CHOOSE(CONTROL!$C$9, $D$9, 100%, $F$9) + CHOOSE(CONTROL!$C$27, 0.0021, 0)</f>
        <v>31.913399999999999</v>
      </c>
      <c r="G156" s="14">
        <f>32.1826 * CHOOSE(CONTROL!$C$9, $D$9, 100%, $F$9) + CHOOSE(CONTROL!$C$27, 0.0021, 0)</f>
        <v>32.184699999999999</v>
      </c>
      <c r="H156" s="14">
        <f>32.0479 * CHOOSE(CONTROL!$C$9, $D$9, 100%, $F$9) + CHOOSE(CONTROL!$C$27, 0.0021, 0)</f>
        <v>32.049999999999997</v>
      </c>
      <c r="I156" s="14">
        <f>32.0479 * CHOOSE(CONTROL!$C$9, $D$9, 100%, $F$9) + CHOOSE(CONTROL!$C$27, 0.0021, 0)</f>
        <v>32.049999999999997</v>
      </c>
      <c r="J156" s="14">
        <f>32.0479 * CHOOSE(CONTROL!$C$9, $D$9, 100%, $F$9) + CHOOSE(CONTROL!$C$27, 0.0021, 0)</f>
        <v>32.049999999999997</v>
      </c>
      <c r="K156" s="14">
        <f>32.0479 * CHOOSE(CONTROL!$C$9, $D$9, 100%, $F$9) + CHOOSE(CONTROL!$C$27, 0.0021, 0)</f>
        <v>32.049999999999997</v>
      </c>
      <c r="L156" s="14"/>
    </row>
    <row r="157" spans="1:12" ht="15" x14ac:dyDescent="0.2">
      <c r="A157" s="13">
        <v>45689</v>
      </c>
      <c r="B157" s="14">
        <f>31.6263 * CHOOSE(CONTROL!$C$9, $D$9, 100%, $F$9) + CHOOSE(CONTROL!$C$27, 0.0021, 0)</f>
        <v>31.628399999999999</v>
      </c>
      <c r="C157" s="14">
        <f>31.1941 * CHOOSE(CONTROL!$C$9, $D$9, 100%, $F$9) + CHOOSE(CONTROL!$C$27, 0.0021, 0)</f>
        <v>31.196199999999997</v>
      </c>
      <c r="D157" s="14">
        <f>31.1941 * CHOOSE(CONTROL!$C$9, $D$9, 100%, $F$9) + CHOOSE(CONTROL!$C$27, 0.0021, 0)</f>
        <v>31.196199999999997</v>
      </c>
      <c r="E157" s="14">
        <f>31.0574 * CHOOSE(CONTROL!$C$9, $D$9, 100%, $F$9) + CHOOSE(CONTROL!$C$27, 0.0021, 0)</f>
        <v>31.0595</v>
      </c>
      <c r="F157" s="14">
        <f>31.0574 * CHOOSE(CONTROL!$C$9, $D$9, 100%, $F$9) + CHOOSE(CONTROL!$C$27, 0.0021, 0)</f>
        <v>31.0595</v>
      </c>
      <c r="G157" s="14">
        <f>31.3288 * CHOOSE(CONTROL!$C$9, $D$9, 100%, $F$9) + CHOOSE(CONTROL!$C$27, 0.0021, 0)</f>
        <v>31.3309</v>
      </c>
      <c r="H157" s="14">
        <f>31.1941 * CHOOSE(CONTROL!$C$9, $D$9, 100%, $F$9) + CHOOSE(CONTROL!$C$27, 0.0021, 0)</f>
        <v>31.196199999999997</v>
      </c>
      <c r="I157" s="14">
        <f>31.1941 * CHOOSE(CONTROL!$C$9, $D$9, 100%, $F$9) + CHOOSE(CONTROL!$C$27, 0.0021, 0)</f>
        <v>31.196199999999997</v>
      </c>
      <c r="J157" s="14">
        <f>31.1941 * CHOOSE(CONTROL!$C$9, $D$9, 100%, $F$9) + CHOOSE(CONTROL!$C$27, 0.0021, 0)</f>
        <v>31.196199999999997</v>
      </c>
      <c r="K157" s="14">
        <f>31.1941 * CHOOSE(CONTROL!$C$9, $D$9, 100%, $F$9) + CHOOSE(CONTROL!$C$27, 0.0021, 0)</f>
        <v>31.196199999999997</v>
      </c>
      <c r="L157" s="14"/>
    </row>
    <row r="158" spans="1:12" ht="15" x14ac:dyDescent="0.2">
      <c r="A158" s="13">
        <v>45717</v>
      </c>
      <c r="B158" s="14">
        <f>31.2738 * CHOOSE(CONTROL!$C$9, $D$9, 100%, $F$9) + CHOOSE(CONTROL!$C$27, 0.0021, 0)</f>
        <v>31.2759</v>
      </c>
      <c r="C158" s="14">
        <f>30.8416 * CHOOSE(CONTROL!$C$9, $D$9, 100%, $F$9) + CHOOSE(CONTROL!$C$27, 0.0021, 0)</f>
        <v>30.843699999999998</v>
      </c>
      <c r="D158" s="14">
        <f>30.8416 * CHOOSE(CONTROL!$C$9, $D$9, 100%, $F$9) + CHOOSE(CONTROL!$C$27, 0.0021, 0)</f>
        <v>30.843699999999998</v>
      </c>
      <c r="E158" s="14">
        <f>30.7049 * CHOOSE(CONTROL!$C$9, $D$9, 100%, $F$9) + CHOOSE(CONTROL!$C$27, 0.0021, 0)</f>
        <v>30.706999999999997</v>
      </c>
      <c r="F158" s="14">
        <f>30.7049 * CHOOSE(CONTROL!$C$9, $D$9, 100%, $F$9) + CHOOSE(CONTROL!$C$27, 0.0021, 0)</f>
        <v>30.706999999999997</v>
      </c>
      <c r="G158" s="14">
        <f>30.9763 * CHOOSE(CONTROL!$C$9, $D$9, 100%, $F$9) + CHOOSE(CONTROL!$C$27, 0.0021, 0)</f>
        <v>30.978399999999997</v>
      </c>
      <c r="H158" s="14">
        <f>30.8416 * CHOOSE(CONTROL!$C$9, $D$9, 100%, $F$9) + CHOOSE(CONTROL!$C$27, 0.0021, 0)</f>
        <v>30.843699999999998</v>
      </c>
      <c r="I158" s="14">
        <f>30.8416 * CHOOSE(CONTROL!$C$9, $D$9, 100%, $F$9) + CHOOSE(CONTROL!$C$27, 0.0021, 0)</f>
        <v>30.843699999999998</v>
      </c>
      <c r="J158" s="14">
        <f>30.8416 * CHOOSE(CONTROL!$C$9, $D$9, 100%, $F$9) + CHOOSE(CONTROL!$C$27, 0.0021, 0)</f>
        <v>30.843699999999998</v>
      </c>
      <c r="K158" s="14">
        <f>30.8416 * CHOOSE(CONTROL!$C$9, $D$9, 100%, $F$9) + CHOOSE(CONTROL!$C$27, 0.0021, 0)</f>
        <v>30.843699999999998</v>
      </c>
      <c r="L158" s="14"/>
    </row>
    <row r="159" spans="1:12" ht="15" x14ac:dyDescent="0.2">
      <c r="A159" s="13">
        <v>45748</v>
      </c>
      <c r="B159" s="14">
        <f>30.853 * CHOOSE(CONTROL!$C$9, $D$9, 100%, $F$9) + CHOOSE(CONTROL!$C$27, 0.0021, 0)</f>
        <v>30.8551</v>
      </c>
      <c r="C159" s="14">
        <f>30.4207 * CHOOSE(CONTROL!$C$9, $D$9, 100%, $F$9) + CHOOSE(CONTROL!$C$27, 0.0021, 0)</f>
        <v>30.422799999999999</v>
      </c>
      <c r="D159" s="14">
        <f>30.4207 * CHOOSE(CONTROL!$C$9, $D$9, 100%, $F$9) + CHOOSE(CONTROL!$C$27, 0.0021, 0)</f>
        <v>30.422799999999999</v>
      </c>
      <c r="E159" s="14">
        <f>30.2841 * CHOOSE(CONTROL!$C$9, $D$9, 100%, $F$9) + CHOOSE(CONTROL!$C$27, 0.0021, 0)</f>
        <v>30.286199999999997</v>
      </c>
      <c r="F159" s="14">
        <f>30.2841 * CHOOSE(CONTROL!$C$9, $D$9, 100%, $F$9) + CHOOSE(CONTROL!$C$27, 0.0021, 0)</f>
        <v>30.286199999999997</v>
      </c>
      <c r="G159" s="14">
        <f>30.5554 * CHOOSE(CONTROL!$C$9, $D$9, 100%, $F$9) + CHOOSE(CONTROL!$C$27, 0.0021, 0)</f>
        <v>30.557499999999997</v>
      </c>
      <c r="H159" s="14">
        <f>30.4207 * CHOOSE(CONTROL!$C$9, $D$9, 100%, $F$9) + CHOOSE(CONTROL!$C$27, 0.0021, 0)</f>
        <v>30.422799999999999</v>
      </c>
      <c r="I159" s="14">
        <f>30.4207 * CHOOSE(CONTROL!$C$9, $D$9, 100%, $F$9) + CHOOSE(CONTROL!$C$27, 0.0021, 0)</f>
        <v>30.422799999999999</v>
      </c>
      <c r="J159" s="14">
        <f>30.4207 * CHOOSE(CONTROL!$C$9, $D$9, 100%, $F$9) + CHOOSE(CONTROL!$C$27, 0.0021, 0)</f>
        <v>30.422799999999999</v>
      </c>
      <c r="K159" s="14">
        <f>30.4207 * CHOOSE(CONTROL!$C$9, $D$9, 100%, $F$9) + CHOOSE(CONTROL!$C$27, 0.0021, 0)</f>
        <v>30.422799999999999</v>
      </c>
      <c r="L159" s="14"/>
    </row>
    <row r="160" spans="1:12" ht="15" x14ac:dyDescent="0.2">
      <c r="A160" s="13">
        <v>45778</v>
      </c>
      <c r="B160" s="14">
        <f>31.4527 * CHOOSE(CONTROL!$C$9, $D$9, 100%, $F$9) + CHOOSE(CONTROL!$C$27, 0.0021, 0)</f>
        <v>31.454799999999999</v>
      </c>
      <c r="C160" s="14">
        <f>31.0205 * CHOOSE(CONTROL!$C$9, $D$9, 100%, $F$9) + CHOOSE(CONTROL!$C$27, 0.0021, 0)</f>
        <v>31.022599999999997</v>
      </c>
      <c r="D160" s="14">
        <f>31.0205 * CHOOSE(CONTROL!$C$9, $D$9, 100%, $F$9) + CHOOSE(CONTROL!$C$27, 0.0021, 0)</f>
        <v>31.022599999999997</v>
      </c>
      <c r="E160" s="14">
        <f>30.8838 * CHOOSE(CONTROL!$C$9, $D$9, 100%, $F$9) + CHOOSE(CONTROL!$C$27, 0.0021, 0)</f>
        <v>30.885899999999999</v>
      </c>
      <c r="F160" s="14">
        <f>30.8838 * CHOOSE(CONTROL!$C$9, $D$9, 100%, $F$9) + CHOOSE(CONTROL!$C$27, 0.0021, 0)</f>
        <v>30.885899999999999</v>
      </c>
      <c r="G160" s="14">
        <f>31.1552 * CHOOSE(CONTROL!$C$9, $D$9, 100%, $F$9) + CHOOSE(CONTROL!$C$27, 0.0021, 0)</f>
        <v>31.157299999999999</v>
      </c>
      <c r="H160" s="14">
        <f>31.0205 * CHOOSE(CONTROL!$C$9, $D$9, 100%, $F$9) + CHOOSE(CONTROL!$C$27, 0.0021, 0)</f>
        <v>31.022599999999997</v>
      </c>
      <c r="I160" s="14">
        <f>31.0205 * CHOOSE(CONTROL!$C$9, $D$9, 100%, $F$9) + CHOOSE(CONTROL!$C$27, 0.0021, 0)</f>
        <v>31.022599999999997</v>
      </c>
      <c r="J160" s="14">
        <f>31.0205 * CHOOSE(CONTROL!$C$9, $D$9, 100%, $F$9) + CHOOSE(CONTROL!$C$27, 0.0021, 0)</f>
        <v>31.022599999999997</v>
      </c>
      <c r="K160" s="14">
        <f>31.0205 * CHOOSE(CONTROL!$C$9, $D$9, 100%, $F$9) + CHOOSE(CONTROL!$C$27, 0.0021, 0)</f>
        <v>31.022599999999997</v>
      </c>
      <c r="L160" s="14"/>
    </row>
    <row r="161" spans="1:12" ht="15" x14ac:dyDescent="0.2">
      <c r="A161" s="13">
        <v>45809</v>
      </c>
      <c r="B161" s="14">
        <f>31.812 * CHOOSE(CONTROL!$C$9, $D$9, 100%, $F$9) + CHOOSE(CONTROL!$C$27, 0.0021, 0)</f>
        <v>31.8141</v>
      </c>
      <c r="C161" s="14">
        <f>31.3797 * CHOOSE(CONTROL!$C$9, $D$9, 100%, $F$9) + CHOOSE(CONTROL!$C$27, 0.0021, 0)</f>
        <v>31.381799999999998</v>
      </c>
      <c r="D161" s="14">
        <f>31.3797 * CHOOSE(CONTROL!$C$9, $D$9, 100%, $F$9) + CHOOSE(CONTROL!$C$27, 0.0021, 0)</f>
        <v>31.381799999999998</v>
      </c>
      <c r="E161" s="14">
        <f>31.2431 * CHOOSE(CONTROL!$C$9, $D$9, 100%, $F$9) + CHOOSE(CONTROL!$C$27, 0.0021, 0)</f>
        <v>31.245199999999997</v>
      </c>
      <c r="F161" s="14">
        <f>31.2431 * CHOOSE(CONTROL!$C$9, $D$9, 100%, $F$9) + CHOOSE(CONTROL!$C$27, 0.0021, 0)</f>
        <v>31.245199999999997</v>
      </c>
      <c r="G161" s="14">
        <f>31.5145 * CHOOSE(CONTROL!$C$9, $D$9, 100%, $F$9) + CHOOSE(CONTROL!$C$27, 0.0021, 0)</f>
        <v>31.5166</v>
      </c>
      <c r="H161" s="14">
        <f>31.3797 * CHOOSE(CONTROL!$C$9, $D$9, 100%, $F$9) + CHOOSE(CONTROL!$C$27, 0.0021, 0)</f>
        <v>31.381799999999998</v>
      </c>
      <c r="I161" s="14">
        <f>31.3797 * CHOOSE(CONTROL!$C$9, $D$9, 100%, $F$9) + CHOOSE(CONTROL!$C$27, 0.0021, 0)</f>
        <v>31.381799999999998</v>
      </c>
      <c r="J161" s="14">
        <f>31.3797 * CHOOSE(CONTROL!$C$9, $D$9, 100%, $F$9) + CHOOSE(CONTROL!$C$27, 0.0021, 0)</f>
        <v>31.381799999999998</v>
      </c>
      <c r="K161" s="14">
        <f>31.3797 * CHOOSE(CONTROL!$C$9, $D$9, 100%, $F$9) + CHOOSE(CONTROL!$C$27, 0.0021, 0)</f>
        <v>31.381799999999998</v>
      </c>
      <c r="L161" s="14"/>
    </row>
    <row r="162" spans="1:12" ht="15" x14ac:dyDescent="0.2">
      <c r="A162" s="13">
        <v>45839</v>
      </c>
      <c r="B162" s="14">
        <f>32.4046 * CHOOSE(CONTROL!$C$9, $D$9, 100%, $F$9) + CHOOSE(CONTROL!$C$27, 0.0021, 0)</f>
        <v>32.406700000000001</v>
      </c>
      <c r="C162" s="14">
        <f>31.9724 * CHOOSE(CONTROL!$C$9, $D$9, 100%, $F$9) + CHOOSE(CONTROL!$C$27, 0.0021, 0)</f>
        <v>31.974499999999999</v>
      </c>
      <c r="D162" s="14">
        <f>31.9724 * CHOOSE(CONTROL!$C$9, $D$9, 100%, $F$9) + CHOOSE(CONTROL!$C$27, 0.0021, 0)</f>
        <v>31.974499999999999</v>
      </c>
      <c r="E162" s="14">
        <f>31.8357 * CHOOSE(CONTROL!$C$9, $D$9, 100%, $F$9) + CHOOSE(CONTROL!$C$27, 0.0021, 0)</f>
        <v>31.837799999999998</v>
      </c>
      <c r="F162" s="14">
        <f>31.8357 * CHOOSE(CONTROL!$C$9, $D$9, 100%, $F$9) + CHOOSE(CONTROL!$C$27, 0.0021, 0)</f>
        <v>31.837799999999998</v>
      </c>
      <c r="G162" s="14">
        <f>32.1071 * CHOOSE(CONTROL!$C$9, $D$9, 100%, $F$9) + CHOOSE(CONTROL!$C$27, 0.0021, 0)</f>
        <v>32.109200000000001</v>
      </c>
      <c r="H162" s="14">
        <f>31.9724 * CHOOSE(CONTROL!$C$9, $D$9, 100%, $F$9) + CHOOSE(CONTROL!$C$27, 0.0021, 0)</f>
        <v>31.974499999999999</v>
      </c>
      <c r="I162" s="14">
        <f>31.9724 * CHOOSE(CONTROL!$C$9, $D$9, 100%, $F$9) + CHOOSE(CONTROL!$C$27, 0.0021, 0)</f>
        <v>31.974499999999999</v>
      </c>
      <c r="J162" s="14">
        <f>31.9724 * CHOOSE(CONTROL!$C$9, $D$9, 100%, $F$9) + CHOOSE(CONTROL!$C$27, 0.0021, 0)</f>
        <v>31.974499999999999</v>
      </c>
      <c r="K162" s="14">
        <f>31.9724 * CHOOSE(CONTROL!$C$9, $D$9, 100%, $F$9) + CHOOSE(CONTROL!$C$27, 0.0021, 0)</f>
        <v>31.974499999999999</v>
      </c>
      <c r="L162" s="14"/>
    </row>
    <row r="163" spans="1:12" ht="15" x14ac:dyDescent="0.2">
      <c r="A163" s="13">
        <v>45870</v>
      </c>
      <c r="B163" s="14">
        <f>32.5855 * CHOOSE(CONTROL!$C$9, $D$9, 100%, $F$9) + CHOOSE(CONTROL!$C$27, 0.0021, 0)</f>
        <v>32.587600000000002</v>
      </c>
      <c r="C163" s="14">
        <f>32.1533 * CHOOSE(CONTROL!$C$9, $D$9, 100%, $F$9) + CHOOSE(CONTROL!$C$27, 0.0021, 0)</f>
        <v>32.1554</v>
      </c>
      <c r="D163" s="14">
        <f>32.1533 * CHOOSE(CONTROL!$C$9, $D$9, 100%, $F$9) + CHOOSE(CONTROL!$C$27, 0.0021, 0)</f>
        <v>32.1554</v>
      </c>
      <c r="E163" s="14">
        <f>32.0166 * CHOOSE(CONTROL!$C$9, $D$9, 100%, $F$9) + CHOOSE(CONTROL!$C$27, 0.0021, 0)</f>
        <v>32.018699999999995</v>
      </c>
      <c r="F163" s="14">
        <f>32.0166 * CHOOSE(CONTROL!$C$9, $D$9, 100%, $F$9) + CHOOSE(CONTROL!$C$27, 0.0021, 0)</f>
        <v>32.018699999999995</v>
      </c>
      <c r="G163" s="14">
        <f>32.288 * CHOOSE(CONTROL!$C$9, $D$9, 100%, $F$9) + CHOOSE(CONTROL!$C$27, 0.0021, 0)</f>
        <v>32.290099999999995</v>
      </c>
      <c r="H163" s="14">
        <f>32.1533 * CHOOSE(CONTROL!$C$9, $D$9, 100%, $F$9) + CHOOSE(CONTROL!$C$27, 0.0021, 0)</f>
        <v>32.1554</v>
      </c>
      <c r="I163" s="14">
        <f>32.1533 * CHOOSE(CONTROL!$C$9, $D$9, 100%, $F$9) + CHOOSE(CONTROL!$C$27, 0.0021, 0)</f>
        <v>32.1554</v>
      </c>
      <c r="J163" s="14">
        <f>32.1533 * CHOOSE(CONTROL!$C$9, $D$9, 100%, $F$9) + CHOOSE(CONTROL!$C$27, 0.0021, 0)</f>
        <v>32.1554</v>
      </c>
      <c r="K163" s="14">
        <f>32.1533 * CHOOSE(CONTROL!$C$9, $D$9, 100%, $F$9) + CHOOSE(CONTROL!$C$27, 0.0021, 0)</f>
        <v>32.1554</v>
      </c>
      <c r="L163" s="14"/>
    </row>
    <row r="164" spans="1:12" ht="15" x14ac:dyDescent="0.2">
      <c r="A164" s="13">
        <v>45901</v>
      </c>
      <c r="B164" s="14">
        <f>33.2015 * CHOOSE(CONTROL!$C$9, $D$9, 100%, $F$9) + CHOOSE(CONTROL!$C$27, 0.0021, 0)</f>
        <v>33.203600000000002</v>
      </c>
      <c r="C164" s="14">
        <f>32.7693 * CHOOSE(CONTROL!$C$9, $D$9, 100%, $F$9) + CHOOSE(CONTROL!$C$27, 0.0021, 0)</f>
        <v>32.7714</v>
      </c>
      <c r="D164" s="14">
        <f>32.7693 * CHOOSE(CONTROL!$C$9, $D$9, 100%, $F$9) + CHOOSE(CONTROL!$C$27, 0.0021, 0)</f>
        <v>32.7714</v>
      </c>
      <c r="E164" s="14">
        <f>32.6326 * CHOOSE(CONTROL!$C$9, $D$9, 100%, $F$9) + CHOOSE(CONTROL!$C$27, 0.0021, 0)</f>
        <v>32.634699999999995</v>
      </c>
      <c r="F164" s="14">
        <f>32.6326 * CHOOSE(CONTROL!$C$9, $D$9, 100%, $F$9) + CHOOSE(CONTROL!$C$27, 0.0021, 0)</f>
        <v>32.634699999999995</v>
      </c>
      <c r="G164" s="14">
        <f>32.904 * CHOOSE(CONTROL!$C$9, $D$9, 100%, $F$9) + CHOOSE(CONTROL!$C$27, 0.0021, 0)</f>
        <v>32.906100000000002</v>
      </c>
      <c r="H164" s="14">
        <f>32.7693 * CHOOSE(CONTROL!$C$9, $D$9, 100%, $F$9) + CHOOSE(CONTROL!$C$27, 0.0021, 0)</f>
        <v>32.7714</v>
      </c>
      <c r="I164" s="14">
        <f>32.7693 * CHOOSE(CONTROL!$C$9, $D$9, 100%, $F$9) + CHOOSE(CONTROL!$C$27, 0.0021, 0)</f>
        <v>32.7714</v>
      </c>
      <c r="J164" s="14">
        <f>32.7693 * CHOOSE(CONTROL!$C$9, $D$9, 100%, $F$9) + CHOOSE(CONTROL!$C$27, 0.0021, 0)</f>
        <v>32.7714</v>
      </c>
      <c r="K164" s="14">
        <f>32.7693 * CHOOSE(CONTROL!$C$9, $D$9, 100%, $F$9) + CHOOSE(CONTROL!$C$27, 0.0021, 0)</f>
        <v>32.7714</v>
      </c>
      <c r="L164" s="14"/>
    </row>
    <row r="165" spans="1:12" ht="15" x14ac:dyDescent="0.2">
      <c r="A165" s="13">
        <v>45931</v>
      </c>
      <c r="B165" s="14">
        <f>33.9813 * CHOOSE(CONTROL!$C$9, $D$9, 100%, $F$9) + CHOOSE(CONTROL!$C$27, 0.0021, 0)</f>
        <v>33.983399999999996</v>
      </c>
      <c r="C165" s="14">
        <f>33.549 * CHOOSE(CONTROL!$C$9, $D$9, 100%, $F$9) + CHOOSE(CONTROL!$C$27, 0.0021, 0)</f>
        <v>33.551099999999998</v>
      </c>
      <c r="D165" s="14">
        <f>33.549 * CHOOSE(CONTROL!$C$9, $D$9, 100%, $F$9) + CHOOSE(CONTROL!$C$27, 0.0021, 0)</f>
        <v>33.551099999999998</v>
      </c>
      <c r="E165" s="14">
        <f>33.4124 * CHOOSE(CONTROL!$C$9, $D$9, 100%, $F$9) + CHOOSE(CONTROL!$C$27, 0.0021, 0)</f>
        <v>33.414499999999997</v>
      </c>
      <c r="F165" s="14">
        <f>33.4124 * CHOOSE(CONTROL!$C$9, $D$9, 100%, $F$9) + CHOOSE(CONTROL!$C$27, 0.0021, 0)</f>
        <v>33.414499999999997</v>
      </c>
      <c r="G165" s="14">
        <f>33.6837 * CHOOSE(CONTROL!$C$9, $D$9, 100%, $F$9) + CHOOSE(CONTROL!$C$27, 0.0021, 0)</f>
        <v>33.6858</v>
      </c>
      <c r="H165" s="14">
        <f>33.549 * CHOOSE(CONTROL!$C$9, $D$9, 100%, $F$9) + CHOOSE(CONTROL!$C$27, 0.0021, 0)</f>
        <v>33.551099999999998</v>
      </c>
      <c r="I165" s="14">
        <f>33.549 * CHOOSE(CONTROL!$C$9, $D$9, 100%, $F$9) + CHOOSE(CONTROL!$C$27, 0.0021, 0)</f>
        <v>33.551099999999998</v>
      </c>
      <c r="J165" s="14">
        <f>33.549 * CHOOSE(CONTROL!$C$9, $D$9, 100%, $F$9) + CHOOSE(CONTROL!$C$27, 0.0021, 0)</f>
        <v>33.551099999999998</v>
      </c>
      <c r="K165" s="14">
        <f>33.549 * CHOOSE(CONTROL!$C$9, $D$9, 100%, $F$9) + CHOOSE(CONTROL!$C$27, 0.0021, 0)</f>
        <v>33.551099999999998</v>
      </c>
      <c r="L165" s="14"/>
    </row>
    <row r="166" spans="1:12" ht="15" x14ac:dyDescent="0.2">
      <c r="A166" s="13">
        <v>45962</v>
      </c>
      <c r="B166" s="14">
        <f>34.0545 * CHOOSE(CONTROL!$C$9, $D$9, 100%, $F$9) + CHOOSE(CONTROL!$C$27, 0.0021, 0)</f>
        <v>34.056599999999996</v>
      </c>
      <c r="C166" s="14">
        <f>33.6222 * CHOOSE(CONTROL!$C$9, $D$9, 100%, $F$9) + CHOOSE(CONTROL!$C$27, 0.0021, 0)</f>
        <v>33.624299999999998</v>
      </c>
      <c r="D166" s="14">
        <f>33.6222 * CHOOSE(CONTROL!$C$9, $D$9, 100%, $F$9) + CHOOSE(CONTROL!$C$27, 0.0021, 0)</f>
        <v>33.624299999999998</v>
      </c>
      <c r="E166" s="14">
        <f>33.4856 * CHOOSE(CONTROL!$C$9, $D$9, 100%, $F$9) + CHOOSE(CONTROL!$C$27, 0.0021, 0)</f>
        <v>33.487699999999997</v>
      </c>
      <c r="F166" s="14">
        <f>33.4856 * CHOOSE(CONTROL!$C$9, $D$9, 100%, $F$9) + CHOOSE(CONTROL!$C$27, 0.0021, 0)</f>
        <v>33.487699999999997</v>
      </c>
      <c r="G166" s="14">
        <f>33.757 * CHOOSE(CONTROL!$C$9, $D$9, 100%, $F$9) + CHOOSE(CONTROL!$C$27, 0.0021, 0)</f>
        <v>33.759099999999997</v>
      </c>
      <c r="H166" s="14">
        <f>33.6222 * CHOOSE(CONTROL!$C$9, $D$9, 100%, $F$9) + CHOOSE(CONTROL!$C$27, 0.0021, 0)</f>
        <v>33.624299999999998</v>
      </c>
      <c r="I166" s="14">
        <f>33.6222 * CHOOSE(CONTROL!$C$9, $D$9, 100%, $F$9) + CHOOSE(CONTROL!$C$27, 0.0021, 0)</f>
        <v>33.624299999999998</v>
      </c>
      <c r="J166" s="14">
        <f>33.6222 * CHOOSE(CONTROL!$C$9, $D$9, 100%, $F$9) + CHOOSE(CONTROL!$C$27, 0.0021, 0)</f>
        <v>33.624299999999998</v>
      </c>
      <c r="K166" s="14">
        <f>33.6222 * CHOOSE(CONTROL!$C$9, $D$9, 100%, $F$9) + CHOOSE(CONTROL!$C$27, 0.0021, 0)</f>
        <v>33.624299999999998</v>
      </c>
      <c r="L166" s="14"/>
    </row>
    <row r="167" spans="1:12" ht="15" x14ac:dyDescent="0.2">
      <c r="A167" s="13">
        <v>45992</v>
      </c>
      <c r="B167" s="14">
        <f>33.4317 * CHOOSE(CONTROL!$C$9, $D$9, 100%, $F$9) + CHOOSE(CONTROL!$C$27, 0.0021, 0)</f>
        <v>33.433799999999998</v>
      </c>
      <c r="C167" s="14">
        <f>32.9995 * CHOOSE(CONTROL!$C$9, $D$9, 100%, $F$9) + CHOOSE(CONTROL!$C$27, 0.0021, 0)</f>
        <v>33.001599999999996</v>
      </c>
      <c r="D167" s="14">
        <f>32.9995 * CHOOSE(CONTROL!$C$9, $D$9, 100%, $F$9) + CHOOSE(CONTROL!$C$27, 0.0021, 0)</f>
        <v>33.001599999999996</v>
      </c>
      <c r="E167" s="14">
        <f>32.8628 * CHOOSE(CONTROL!$C$9, $D$9, 100%, $F$9) + CHOOSE(CONTROL!$C$27, 0.0021, 0)</f>
        <v>32.864899999999999</v>
      </c>
      <c r="F167" s="14">
        <f>32.8628 * CHOOSE(CONTROL!$C$9, $D$9, 100%, $F$9) + CHOOSE(CONTROL!$C$27, 0.0021, 0)</f>
        <v>32.864899999999999</v>
      </c>
      <c r="G167" s="14">
        <f>33.1342 * CHOOSE(CONTROL!$C$9, $D$9, 100%, $F$9) + CHOOSE(CONTROL!$C$27, 0.0021, 0)</f>
        <v>33.136299999999999</v>
      </c>
      <c r="H167" s="14">
        <f>32.9995 * CHOOSE(CONTROL!$C$9, $D$9, 100%, $F$9) + CHOOSE(CONTROL!$C$27, 0.0021, 0)</f>
        <v>33.001599999999996</v>
      </c>
      <c r="I167" s="14">
        <f>32.9995 * CHOOSE(CONTROL!$C$9, $D$9, 100%, $F$9) + CHOOSE(CONTROL!$C$27, 0.0021, 0)</f>
        <v>33.001599999999996</v>
      </c>
      <c r="J167" s="14">
        <f>32.9995 * CHOOSE(CONTROL!$C$9, $D$9, 100%, $F$9) + CHOOSE(CONTROL!$C$27, 0.0021, 0)</f>
        <v>33.001599999999996</v>
      </c>
      <c r="K167" s="14">
        <f>32.9995 * CHOOSE(CONTROL!$C$9, $D$9, 100%, $F$9) + CHOOSE(CONTROL!$C$27, 0.0021, 0)</f>
        <v>33.001599999999996</v>
      </c>
      <c r="L167" s="14"/>
    </row>
    <row r="168" spans="1:12" ht="15" x14ac:dyDescent="0.2">
      <c r="A168" s="13">
        <v>46023</v>
      </c>
      <c r="B168" s="14">
        <f>33.1193 * CHOOSE(CONTROL!$C$9, $D$9, 100%, $F$9) + CHOOSE(CONTROL!$C$27, 0.0021, 0)</f>
        <v>33.121400000000001</v>
      </c>
      <c r="C168" s="14">
        <f>32.6871 * CHOOSE(CONTROL!$C$9, $D$9, 100%, $F$9) + CHOOSE(CONTROL!$C$27, 0.0021, 0)</f>
        <v>32.6892</v>
      </c>
      <c r="D168" s="14">
        <f>32.6871 * CHOOSE(CONTROL!$C$9, $D$9, 100%, $F$9) + CHOOSE(CONTROL!$C$27, 0.0021, 0)</f>
        <v>32.6892</v>
      </c>
      <c r="E168" s="14">
        <f>32.5504 * CHOOSE(CONTROL!$C$9, $D$9, 100%, $F$9) + CHOOSE(CONTROL!$C$27, 0.0021, 0)</f>
        <v>32.552500000000002</v>
      </c>
      <c r="F168" s="14">
        <f>32.5504 * CHOOSE(CONTROL!$C$9, $D$9, 100%, $F$9) + CHOOSE(CONTROL!$C$27, 0.0021, 0)</f>
        <v>32.552500000000002</v>
      </c>
      <c r="G168" s="14">
        <f>32.8218 * CHOOSE(CONTROL!$C$9, $D$9, 100%, $F$9) + CHOOSE(CONTROL!$C$27, 0.0021, 0)</f>
        <v>32.823900000000002</v>
      </c>
      <c r="H168" s="14">
        <f>32.6871 * CHOOSE(CONTROL!$C$9, $D$9, 100%, $F$9) + CHOOSE(CONTROL!$C$27, 0.0021, 0)</f>
        <v>32.6892</v>
      </c>
      <c r="I168" s="14">
        <f>32.6871 * CHOOSE(CONTROL!$C$9, $D$9, 100%, $F$9) + CHOOSE(CONTROL!$C$27, 0.0021, 0)</f>
        <v>32.6892</v>
      </c>
      <c r="J168" s="14">
        <f>32.6871 * CHOOSE(CONTROL!$C$9, $D$9, 100%, $F$9) + CHOOSE(CONTROL!$C$27, 0.0021, 0)</f>
        <v>32.6892</v>
      </c>
      <c r="K168" s="14">
        <f>32.6871 * CHOOSE(CONTROL!$C$9, $D$9, 100%, $F$9) + CHOOSE(CONTROL!$C$27, 0.0021, 0)</f>
        <v>32.6892</v>
      </c>
      <c r="L168" s="14"/>
    </row>
    <row r="169" spans="1:12" ht="15" x14ac:dyDescent="0.2">
      <c r="A169" s="13">
        <v>46054</v>
      </c>
      <c r="B169" s="14">
        <f>32.2474 * CHOOSE(CONTROL!$C$9, $D$9, 100%, $F$9) + CHOOSE(CONTROL!$C$27, 0.0021, 0)</f>
        <v>32.249499999999998</v>
      </c>
      <c r="C169" s="14">
        <f>31.8151 * CHOOSE(CONTROL!$C$9, $D$9, 100%, $F$9) + CHOOSE(CONTROL!$C$27, 0.0021, 0)</f>
        <v>31.8172</v>
      </c>
      <c r="D169" s="14">
        <f>31.8151 * CHOOSE(CONTROL!$C$9, $D$9, 100%, $F$9) + CHOOSE(CONTROL!$C$27, 0.0021, 0)</f>
        <v>31.8172</v>
      </c>
      <c r="E169" s="14">
        <f>31.6785 * CHOOSE(CONTROL!$C$9, $D$9, 100%, $F$9) + CHOOSE(CONTROL!$C$27, 0.0021, 0)</f>
        <v>31.680599999999998</v>
      </c>
      <c r="F169" s="14">
        <f>31.6785 * CHOOSE(CONTROL!$C$9, $D$9, 100%, $F$9) + CHOOSE(CONTROL!$C$27, 0.0021, 0)</f>
        <v>31.680599999999998</v>
      </c>
      <c r="G169" s="14">
        <f>31.9498 * CHOOSE(CONTROL!$C$9, $D$9, 100%, $F$9) + CHOOSE(CONTROL!$C$27, 0.0021, 0)</f>
        <v>31.951899999999998</v>
      </c>
      <c r="H169" s="14">
        <f>31.8151 * CHOOSE(CONTROL!$C$9, $D$9, 100%, $F$9) + CHOOSE(CONTROL!$C$27, 0.0021, 0)</f>
        <v>31.8172</v>
      </c>
      <c r="I169" s="14">
        <f>31.8151 * CHOOSE(CONTROL!$C$9, $D$9, 100%, $F$9) + CHOOSE(CONTROL!$C$27, 0.0021, 0)</f>
        <v>31.8172</v>
      </c>
      <c r="J169" s="14">
        <f>31.8151 * CHOOSE(CONTROL!$C$9, $D$9, 100%, $F$9) + CHOOSE(CONTROL!$C$27, 0.0021, 0)</f>
        <v>31.8172</v>
      </c>
      <c r="K169" s="14">
        <f>31.8151 * CHOOSE(CONTROL!$C$9, $D$9, 100%, $F$9) + CHOOSE(CONTROL!$C$27, 0.0021, 0)</f>
        <v>31.8172</v>
      </c>
      <c r="L169" s="14"/>
    </row>
    <row r="170" spans="1:12" ht="15" x14ac:dyDescent="0.2">
      <c r="A170" s="13">
        <v>46082</v>
      </c>
      <c r="B170" s="14">
        <f>31.8874 * CHOOSE(CONTROL!$C$9, $D$9, 100%, $F$9) + CHOOSE(CONTROL!$C$27, 0.0021, 0)</f>
        <v>31.889499999999998</v>
      </c>
      <c r="C170" s="14">
        <f>31.4552 * CHOOSE(CONTROL!$C$9, $D$9, 100%, $F$9) + CHOOSE(CONTROL!$C$27, 0.0021, 0)</f>
        <v>31.4573</v>
      </c>
      <c r="D170" s="14">
        <f>31.4552 * CHOOSE(CONTROL!$C$9, $D$9, 100%, $F$9) + CHOOSE(CONTROL!$C$27, 0.0021, 0)</f>
        <v>31.4573</v>
      </c>
      <c r="E170" s="14">
        <f>31.3185 * CHOOSE(CONTROL!$C$9, $D$9, 100%, $F$9) + CHOOSE(CONTROL!$C$27, 0.0021, 0)</f>
        <v>31.320599999999999</v>
      </c>
      <c r="F170" s="14">
        <f>31.3185 * CHOOSE(CONTROL!$C$9, $D$9, 100%, $F$9) + CHOOSE(CONTROL!$C$27, 0.0021, 0)</f>
        <v>31.320599999999999</v>
      </c>
      <c r="G170" s="14">
        <f>31.5899 * CHOOSE(CONTROL!$C$9, $D$9, 100%, $F$9) + CHOOSE(CONTROL!$C$27, 0.0021, 0)</f>
        <v>31.591999999999999</v>
      </c>
      <c r="H170" s="14">
        <f>31.4552 * CHOOSE(CONTROL!$C$9, $D$9, 100%, $F$9) + CHOOSE(CONTROL!$C$27, 0.0021, 0)</f>
        <v>31.4573</v>
      </c>
      <c r="I170" s="14">
        <f>31.4552 * CHOOSE(CONTROL!$C$9, $D$9, 100%, $F$9) + CHOOSE(CONTROL!$C$27, 0.0021, 0)</f>
        <v>31.4573</v>
      </c>
      <c r="J170" s="14">
        <f>31.4552 * CHOOSE(CONTROL!$C$9, $D$9, 100%, $F$9) + CHOOSE(CONTROL!$C$27, 0.0021, 0)</f>
        <v>31.4573</v>
      </c>
      <c r="K170" s="14">
        <f>31.4552 * CHOOSE(CONTROL!$C$9, $D$9, 100%, $F$9) + CHOOSE(CONTROL!$C$27, 0.0021, 0)</f>
        <v>31.4573</v>
      </c>
      <c r="L170" s="14"/>
    </row>
    <row r="171" spans="1:12" ht="15" x14ac:dyDescent="0.2">
      <c r="A171" s="13">
        <v>46113</v>
      </c>
      <c r="B171" s="14">
        <f>31.4577 * CHOOSE(CONTROL!$C$9, $D$9, 100%, $F$9) + CHOOSE(CONTROL!$C$27, 0.0021, 0)</f>
        <v>31.459799999999998</v>
      </c>
      <c r="C171" s="14">
        <f>31.0254 * CHOOSE(CONTROL!$C$9, $D$9, 100%, $F$9) + CHOOSE(CONTROL!$C$27, 0.0021, 0)</f>
        <v>31.0275</v>
      </c>
      <c r="D171" s="14">
        <f>31.0254 * CHOOSE(CONTROL!$C$9, $D$9, 100%, $F$9) + CHOOSE(CONTROL!$C$27, 0.0021, 0)</f>
        <v>31.0275</v>
      </c>
      <c r="E171" s="14">
        <f>30.8887 * CHOOSE(CONTROL!$C$9, $D$9, 100%, $F$9) + CHOOSE(CONTROL!$C$27, 0.0021, 0)</f>
        <v>30.890799999999999</v>
      </c>
      <c r="F171" s="14">
        <f>30.8887 * CHOOSE(CONTROL!$C$9, $D$9, 100%, $F$9) + CHOOSE(CONTROL!$C$27, 0.0021, 0)</f>
        <v>30.890799999999999</v>
      </c>
      <c r="G171" s="14">
        <f>31.1601 * CHOOSE(CONTROL!$C$9, $D$9, 100%, $F$9) + CHOOSE(CONTROL!$C$27, 0.0021, 0)</f>
        <v>31.162199999999999</v>
      </c>
      <c r="H171" s="14">
        <f>31.0254 * CHOOSE(CONTROL!$C$9, $D$9, 100%, $F$9) + CHOOSE(CONTROL!$C$27, 0.0021, 0)</f>
        <v>31.0275</v>
      </c>
      <c r="I171" s="14">
        <f>31.0254 * CHOOSE(CONTROL!$C$9, $D$9, 100%, $F$9) + CHOOSE(CONTROL!$C$27, 0.0021, 0)</f>
        <v>31.0275</v>
      </c>
      <c r="J171" s="14">
        <f>31.0254 * CHOOSE(CONTROL!$C$9, $D$9, 100%, $F$9) + CHOOSE(CONTROL!$C$27, 0.0021, 0)</f>
        <v>31.0275</v>
      </c>
      <c r="K171" s="14">
        <f>31.0254 * CHOOSE(CONTROL!$C$9, $D$9, 100%, $F$9) + CHOOSE(CONTROL!$C$27, 0.0021, 0)</f>
        <v>31.0275</v>
      </c>
      <c r="L171" s="14"/>
    </row>
    <row r="172" spans="1:12" ht="15" x14ac:dyDescent="0.2">
      <c r="A172" s="13">
        <v>46143</v>
      </c>
      <c r="B172" s="14">
        <f>32.0701 * CHOOSE(CONTROL!$C$9, $D$9, 100%, $F$9) + CHOOSE(CONTROL!$C$27, 0.0021, 0)</f>
        <v>32.072199999999995</v>
      </c>
      <c r="C172" s="14">
        <f>31.6379 * CHOOSE(CONTROL!$C$9, $D$9, 100%, $F$9) + CHOOSE(CONTROL!$C$27, 0.0021, 0)</f>
        <v>31.639999999999997</v>
      </c>
      <c r="D172" s="14">
        <f>31.6379 * CHOOSE(CONTROL!$C$9, $D$9, 100%, $F$9) + CHOOSE(CONTROL!$C$27, 0.0021, 0)</f>
        <v>31.639999999999997</v>
      </c>
      <c r="E172" s="14">
        <f>31.5012 * CHOOSE(CONTROL!$C$9, $D$9, 100%, $F$9) + CHOOSE(CONTROL!$C$27, 0.0021, 0)</f>
        <v>31.503299999999999</v>
      </c>
      <c r="F172" s="14">
        <f>31.5012 * CHOOSE(CONTROL!$C$9, $D$9, 100%, $F$9) + CHOOSE(CONTROL!$C$27, 0.0021, 0)</f>
        <v>31.503299999999999</v>
      </c>
      <c r="G172" s="14">
        <f>31.7726 * CHOOSE(CONTROL!$C$9, $D$9, 100%, $F$9) + CHOOSE(CONTROL!$C$27, 0.0021, 0)</f>
        <v>31.774699999999999</v>
      </c>
      <c r="H172" s="14">
        <f>31.6379 * CHOOSE(CONTROL!$C$9, $D$9, 100%, $F$9) + CHOOSE(CONTROL!$C$27, 0.0021, 0)</f>
        <v>31.639999999999997</v>
      </c>
      <c r="I172" s="14">
        <f>31.6379 * CHOOSE(CONTROL!$C$9, $D$9, 100%, $F$9) + CHOOSE(CONTROL!$C$27, 0.0021, 0)</f>
        <v>31.639999999999997</v>
      </c>
      <c r="J172" s="14">
        <f>31.6379 * CHOOSE(CONTROL!$C$9, $D$9, 100%, $F$9) + CHOOSE(CONTROL!$C$27, 0.0021, 0)</f>
        <v>31.639999999999997</v>
      </c>
      <c r="K172" s="14">
        <f>31.6379 * CHOOSE(CONTROL!$C$9, $D$9, 100%, $F$9) + CHOOSE(CONTROL!$C$27, 0.0021, 0)</f>
        <v>31.639999999999997</v>
      </c>
      <c r="L172" s="14"/>
    </row>
    <row r="173" spans="1:12" ht="15" x14ac:dyDescent="0.2">
      <c r="A173" s="13">
        <v>46174</v>
      </c>
      <c r="B173" s="14">
        <f>32.437 * CHOOSE(CONTROL!$C$9, $D$9, 100%, $F$9) + CHOOSE(CONTROL!$C$27, 0.0021, 0)</f>
        <v>32.439099999999996</v>
      </c>
      <c r="C173" s="14">
        <f>32.0047 * CHOOSE(CONTROL!$C$9, $D$9, 100%, $F$9) + CHOOSE(CONTROL!$C$27, 0.0021, 0)</f>
        <v>32.006799999999998</v>
      </c>
      <c r="D173" s="14">
        <f>32.0047 * CHOOSE(CONTROL!$C$9, $D$9, 100%, $F$9) + CHOOSE(CONTROL!$C$27, 0.0021, 0)</f>
        <v>32.006799999999998</v>
      </c>
      <c r="E173" s="14">
        <f>31.8681 * CHOOSE(CONTROL!$C$9, $D$9, 100%, $F$9) + CHOOSE(CONTROL!$C$27, 0.0021, 0)</f>
        <v>31.870199999999997</v>
      </c>
      <c r="F173" s="14">
        <f>31.8681 * CHOOSE(CONTROL!$C$9, $D$9, 100%, $F$9) + CHOOSE(CONTROL!$C$27, 0.0021, 0)</f>
        <v>31.870199999999997</v>
      </c>
      <c r="G173" s="14">
        <f>32.1395 * CHOOSE(CONTROL!$C$9, $D$9, 100%, $F$9) + CHOOSE(CONTROL!$C$27, 0.0021, 0)</f>
        <v>32.141599999999997</v>
      </c>
      <c r="H173" s="14">
        <f>32.0047 * CHOOSE(CONTROL!$C$9, $D$9, 100%, $F$9) + CHOOSE(CONTROL!$C$27, 0.0021, 0)</f>
        <v>32.006799999999998</v>
      </c>
      <c r="I173" s="14">
        <f>32.0047 * CHOOSE(CONTROL!$C$9, $D$9, 100%, $F$9) + CHOOSE(CONTROL!$C$27, 0.0021, 0)</f>
        <v>32.006799999999998</v>
      </c>
      <c r="J173" s="14">
        <f>32.0047 * CHOOSE(CONTROL!$C$9, $D$9, 100%, $F$9) + CHOOSE(CONTROL!$C$27, 0.0021, 0)</f>
        <v>32.006799999999998</v>
      </c>
      <c r="K173" s="14">
        <f>32.0047 * CHOOSE(CONTROL!$C$9, $D$9, 100%, $F$9) + CHOOSE(CONTROL!$C$27, 0.0021, 0)</f>
        <v>32.006799999999998</v>
      </c>
      <c r="L173" s="14"/>
    </row>
    <row r="174" spans="1:12" ht="15" x14ac:dyDescent="0.2">
      <c r="A174" s="13">
        <v>46204</v>
      </c>
      <c r="B174" s="14">
        <f>33.0422 * CHOOSE(CONTROL!$C$9, $D$9, 100%, $F$9) + CHOOSE(CONTROL!$C$27, 0.0021, 0)</f>
        <v>33.0443</v>
      </c>
      <c r="C174" s="14">
        <f>32.6099 * CHOOSE(CONTROL!$C$9, $D$9, 100%, $F$9) + CHOOSE(CONTROL!$C$27, 0.0021, 0)</f>
        <v>32.612000000000002</v>
      </c>
      <c r="D174" s="14">
        <f>32.6099 * CHOOSE(CONTROL!$C$9, $D$9, 100%, $F$9) + CHOOSE(CONTROL!$C$27, 0.0021, 0)</f>
        <v>32.612000000000002</v>
      </c>
      <c r="E174" s="14">
        <f>32.4733 * CHOOSE(CONTROL!$C$9, $D$9, 100%, $F$9) + CHOOSE(CONTROL!$C$27, 0.0021, 0)</f>
        <v>32.4754</v>
      </c>
      <c r="F174" s="14">
        <f>32.4733 * CHOOSE(CONTROL!$C$9, $D$9, 100%, $F$9) + CHOOSE(CONTROL!$C$27, 0.0021, 0)</f>
        <v>32.4754</v>
      </c>
      <c r="G174" s="14">
        <f>32.7446 * CHOOSE(CONTROL!$C$9, $D$9, 100%, $F$9) + CHOOSE(CONTROL!$C$27, 0.0021, 0)</f>
        <v>32.746699999999997</v>
      </c>
      <c r="H174" s="14">
        <f>32.6099 * CHOOSE(CONTROL!$C$9, $D$9, 100%, $F$9) + CHOOSE(CONTROL!$C$27, 0.0021, 0)</f>
        <v>32.612000000000002</v>
      </c>
      <c r="I174" s="14">
        <f>32.6099 * CHOOSE(CONTROL!$C$9, $D$9, 100%, $F$9) + CHOOSE(CONTROL!$C$27, 0.0021, 0)</f>
        <v>32.612000000000002</v>
      </c>
      <c r="J174" s="14">
        <f>32.6099 * CHOOSE(CONTROL!$C$9, $D$9, 100%, $F$9) + CHOOSE(CONTROL!$C$27, 0.0021, 0)</f>
        <v>32.612000000000002</v>
      </c>
      <c r="K174" s="14">
        <f>32.6099 * CHOOSE(CONTROL!$C$9, $D$9, 100%, $F$9) + CHOOSE(CONTROL!$C$27, 0.0021, 0)</f>
        <v>32.612000000000002</v>
      </c>
      <c r="L174" s="14"/>
    </row>
    <row r="175" spans="1:12" ht="15" x14ac:dyDescent="0.2">
      <c r="A175" s="13">
        <v>46235</v>
      </c>
      <c r="B175" s="14">
        <f>33.2269 * CHOOSE(CONTROL!$C$9, $D$9, 100%, $F$9) + CHOOSE(CONTROL!$C$27, 0.0021, 0)</f>
        <v>33.228999999999999</v>
      </c>
      <c r="C175" s="14">
        <f>32.7946 * CHOOSE(CONTROL!$C$9, $D$9, 100%, $F$9) + CHOOSE(CONTROL!$C$27, 0.0021, 0)</f>
        <v>32.796700000000001</v>
      </c>
      <c r="D175" s="14">
        <f>32.7946 * CHOOSE(CONTROL!$C$9, $D$9, 100%, $F$9) + CHOOSE(CONTROL!$C$27, 0.0021, 0)</f>
        <v>32.796700000000001</v>
      </c>
      <c r="E175" s="14">
        <f>32.658 * CHOOSE(CONTROL!$C$9, $D$9, 100%, $F$9) + CHOOSE(CONTROL!$C$27, 0.0021, 0)</f>
        <v>32.6601</v>
      </c>
      <c r="F175" s="14">
        <f>32.658 * CHOOSE(CONTROL!$C$9, $D$9, 100%, $F$9) + CHOOSE(CONTROL!$C$27, 0.0021, 0)</f>
        <v>32.6601</v>
      </c>
      <c r="G175" s="14">
        <f>32.9294 * CHOOSE(CONTROL!$C$9, $D$9, 100%, $F$9) + CHOOSE(CONTROL!$C$27, 0.0021, 0)</f>
        <v>32.9315</v>
      </c>
      <c r="H175" s="14">
        <f>32.7946 * CHOOSE(CONTROL!$C$9, $D$9, 100%, $F$9) + CHOOSE(CONTROL!$C$27, 0.0021, 0)</f>
        <v>32.796700000000001</v>
      </c>
      <c r="I175" s="14">
        <f>32.7946 * CHOOSE(CONTROL!$C$9, $D$9, 100%, $F$9) + CHOOSE(CONTROL!$C$27, 0.0021, 0)</f>
        <v>32.796700000000001</v>
      </c>
      <c r="J175" s="14">
        <f>32.7946 * CHOOSE(CONTROL!$C$9, $D$9, 100%, $F$9) + CHOOSE(CONTROL!$C$27, 0.0021, 0)</f>
        <v>32.796700000000001</v>
      </c>
      <c r="K175" s="14">
        <f>32.7946 * CHOOSE(CONTROL!$C$9, $D$9, 100%, $F$9) + CHOOSE(CONTROL!$C$27, 0.0021, 0)</f>
        <v>32.796700000000001</v>
      </c>
      <c r="L175" s="14"/>
    </row>
    <row r="176" spans="1:12" ht="15" x14ac:dyDescent="0.2">
      <c r="A176" s="13">
        <v>46266</v>
      </c>
      <c r="B176" s="14">
        <f>33.8559 * CHOOSE(CONTROL!$C$9, $D$9, 100%, $F$9) + CHOOSE(CONTROL!$C$27, 0.0021, 0)</f>
        <v>33.857999999999997</v>
      </c>
      <c r="C176" s="14">
        <f>33.4237 * CHOOSE(CONTROL!$C$9, $D$9, 100%, $F$9) + CHOOSE(CONTROL!$C$27, 0.0021, 0)</f>
        <v>33.425799999999995</v>
      </c>
      <c r="D176" s="14">
        <f>33.4237 * CHOOSE(CONTROL!$C$9, $D$9, 100%, $F$9) + CHOOSE(CONTROL!$C$27, 0.0021, 0)</f>
        <v>33.425799999999995</v>
      </c>
      <c r="E176" s="14">
        <f>33.287 * CHOOSE(CONTROL!$C$9, $D$9, 100%, $F$9) + CHOOSE(CONTROL!$C$27, 0.0021, 0)</f>
        <v>33.289099999999998</v>
      </c>
      <c r="F176" s="14">
        <f>33.287 * CHOOSE(CONTROL!$C$9, $D$9, 100%, $F$9) + CHOOSE(CONTROL!$C$27, 0.0021, 0)</f>
        <v>33.289099999999998</v>
      </c>
      <c r="G176" s="14">
        <f>33.5584 * CHOOSE(CONTROL!$C$9, $D$9, 100%, $F$9) + CHOOSE(CONTROL!$C$27, 0.0021, 0)</f>
        <v>33.560499999999998</v>
      </c>
      <c r="H176" s="14">
        <f>33.4237 * CHOOSE(CONTROL!$C$9, $D$9, 100%, $F$9) + CHOOSE(CONTROL!$C$27, 0.0021, 0)</f>
        <v>33.425799999999995</v>
      </c>
      <c r="I176" s="14">
        <f>33.4237 * CHOOSE(CONTROL!$C$9, $D$9, 100%, $F$9) + CHOOSE(CONTROL!$C$27, 0.0021, 0)</f>
        <v>33.425799999999995</v>
      </c>
      <c r="J176" s="14">
        <f>33.4237 * CHOOSE(CONTROL!$C$9, $D$9, 100%, $F$9) + CHOOSE(CONTROL!$C$27, 0.0021, 0)</f>
        <v>33.425799999999995</v>
      </c>
      <c r="K176" s="14">
        <f>33.4237 * CHOOSE(CONTROL!$C$9, $D$9, 100%, $F$9) + CHOOSE(CONTROL!$C$27, 0.0021, 0)</f>
        <v>33.425799999999995</v>
      </c>
      <c r="L176" s="14"/>
    </row>
    <row r="177" spans="1:12" ht="15" x14ac:dyDescent="0.2">
      <c r="A177" s="13">
        <v>46296</v>
      </c>
      <c r="B177" s="14">
        <f>34.6522 * CHOOSE(CONTROL!$C$9, $D$9, 100%, $F$9) + CHOOSE(CONTROL!$C$27, 0.0021, 0)</f>
        <v>34.654299999999999</v>
      </c>
      <c r="C177" s="14">
        <f>34.22 * CHOOSE(CONTROL!$C$9, $D$9, 100%, $F$9) + CHOOSE(CONTROL!$C$27, 0.0021, 0)</f>
        <v>34.222099999999998</v>
      </c>
      <c r="D177" s="14">
        <f>34.22 * CHOOSE(CONTROL!$C$9, $D$9, 100%, $F$9) + CHOOSE(CONTROL!$C$27, 0.0021, 0)</f>
        <v>34.222099999999998</v>
      </c>
      <c r="E177" s="14">
        <f>34.0833 * CHOOSE(CONTROL!$C$9, $D$9, 100%, $F$9) + CHOOSE(CONTROL!$C$27, 0.0021, 0)</f>
        <v>34.0854</v>
      </c>
      <c r="F177" s="14">
        <f>34.0833 * CHOOSE(CONTROL!$C$9, $D$9, 100%, $F$9) + CHOOSE(CONTROL!$C$27, 0.0021, 0)</f>
        <v>34.0854</v>
      </c>
      <c r="G177" s="14">
        <f>34.3547 * CHOOSE(CONTROL!$C$9, $D$9, 100%, $F$9) + CHOOSE(CONTROL!$C$27, 0.0021, 0)</f>
        <v>34.3568</v>
      </c>
      <c r="H177" s="14">
        <f>34.22 * CHOOSE(CONTROL!$C$9, $D$9, 100%, $F$9) + CHOOSE(CONTROL!$C$27, 0.0021, 0)</f>
        <v>34.222099999999998</v>
      </c>
      <c r="I177" s="14">
        <f>34.22 * CHOOSE(CONTROL!$C$9, $D$9, 100%, $F$9) + CHOOSE(CONTROL!$C$27, 0.0021, 0)</f>
        <v>34.222099999999998</v>
      </c>
      <c r="J177" s="14">
        <f>34.22 * CHOOSE(CONTROL!$C$9, $D$9, 100%, $F$9) + CHOOSE(CONTROL!$C$27, 0.0021, 0)</f>
        <v>34.222099999999998</v>
      </c>
      <c r="K177" s="14">
        <f>34.22 * CHOOSE(CONTROL!$C$9, $D$9, 100%, $F$9) + CHOOSE(CONTROL!$C$27, 0.0021, 0)</f>
        <v>34.222099999999998</v>
      </c>
      <c r="L177" s="14"/>
    </row>
    <row r="178" spans="1:12" ht="15" x14ac:dyDescent="0.2">
      <c r="A178" s="13">
        <v>46327</v>
      </c>
      <c r="B178" s="14">
        <f>34.727 * CHOOSE(CONTROL!$C$9, $D$9, 100%, $F$9) + CHOOSE(CONTROL!$C$27, 0.0021, 0)</f>
        <v>34.729099999999995</v>
      </c>
      <c r="C178" s="14">
        <f>34.2947 * CHOOSE(CONTROL!$C$9, $D$9, 100%, $F$9) + CHOOSE(CONTROL!$C$27, 0.0021, 0)</f>
        <v>34.296799999999998</v>
      </c>
      <c r="D178" s="14">
        <f>34.2947 * CHOOSE(CONTROL!$C$9, $D$9, 100%, $F$9) + CHOOSE(CONTROL!$C$27, 0.0021, 0)</f>
        <v>34.296799999999998</v>
      </c>
      <c r="E178" s="14">
        <f>34.1581 * CHOOSE(CONTROL!$C$9, $D$9, 100%, $F$9) + CHOOSE(CONTROL!$C$27, 0.0021, 0)</f>
        <v>34.160199999999996</v>
      </c>
      <c r="F178" s="14">
        <f>34.1581 * CHOOSE(CONTROL!$C$9, $D$9, 100%, $F$9) + CHOOSE(CONTROL!$C$27, 0.0021, 0)</f>
        <v>34.160199999999996</v>
      </c>
      <c r="G178" s="14">
        <f>34.4294 * CHOOSE(CONTROL!$C$9, $D$9, 100%, $F$9) + CHOOSE(CONTROL!$C$27, 0.0021, 0)</f>
        <v>34.4315</v>
      </c>
      <c r="H178" s="14">
        <f>34.2947 * CHOOSE(CONTROL!$C$9, $D$9, 100%, $F$9) + CHOOSE(CONTROL!$C$27, 0.0021, 0)</f>
        <v>34.296799999999998</v>
      </c>
      <c r="I178" s="14">
        <f>34.2947 * CHOOSE(CONTROL!$C$9, $D$9, 100%, $F$9) + CHOOSE(CONTROL!$C$27, 0.0021, 0)</f>
        <v>34.296799999999998</v>
      </c>
      <c r="J178" s="14">
        <f>34.2947 * CHOOSE(CONTROL!$C$9, $D$9, 100%, $F$9) + CHOOSE(CONTROL!$C$27, 0.0021, 0)</f>
        <v>34.296799999999998</v>
      </c>
      <c r="K178" s="14">
        <f>34.2947 * CHOOSE(CONTROL!$C$9, $D$9, 100%, $F$9) + CHOOSE(CONTROL!$C$27, 0.0021, 0)</f>
        <v>34.296799999999998</v>
      </c>
      <c r="L178" s="14"/>
    </row>
    <row r="179" spans="1:12" ht="15" x14ac:dyDescent="0.2">
      <c r="A179" s="13">
        <v>46357</v>
      </c>
      <c r="B179" s="14">
        <f>34.091 * CHOOSE(CONTROL!$C$9, $D$9, 100%, $F$9) + CHOOSE(CONTROL!$C$27, 0.0021, 0)</f>
        <v>34.0931</v>
      </c>
      <c r="C179" s="14">
        <f>33.6587 * CHOOSE(CONTROL!$C$9, $D$9, 100%, $F$9) + CHOOSE(CONTROL!$C$27, 0.0021, 0)</f>
        <v>33.660800000000002</v>
      </c>
      <c r="D179" s="14">
        <f>33.6587 * CHOOSE(CONTROL!$C$9, $D$9, 100%, $F$9) + CHOOSE(CONTROL!$C$27, 0.0021, 0)</f>
        <v>33.660800000000002</v>
      </c>
      <c r="E179" s="14">
        <f>33.5221 * CHOOSE(CONTROL!$C$9, $D$9, 100%, $F$9) + CHOOSE(CONTROL!$C$27, 0.0021, 0)</f>
        <v>33.5242</v>
      </c>
      <c r="F179" s="14">
        <f>33.5221 * CHOOSE(CONTROL!$C$9, $D$9, 100%, $F$9) + CHOOSE(CONTROL!$C$27, 0.0021, 0)</f>
        <v>33.5242</v>
      </c>
      <c r="G179" s="14">
        <f>33.7935 * CHOOSE(CONTROL!$C$9, $D$9, 100%, $F$9) + CHOOSE(CONTROL!$C$27, 0.0021, 0)</f>
        <v>33.7956</v>
      </c>
      <c r="H179" s="14">
        <f>33.6587 * CHOOSE(CONTROL!$C$9, $D$9, 100%, $F$9) + CHOOSE(CONTROL!$C$27, 0.0021, 0)</f>
        <v>33.660800000000002</v>
      </c>
      <c r="I179" s="14">
        <f>33.6587 * CHOOSE(CONTROL!$C$9, $D$9, 100%, $F$9) + CHOOSE(CONTROL!$C$27, 0.0021, 0)</f>
        <v>33.660800000000002</v>
      </c>
      <c r="J179" s="14">
        <f>33.6587 * CHOOSE(CONTROL!$C$9, $D$9, 100%, $F$9) + CHOOSE(CONTROL!$C$27, 0.0021, 0)</f>
        <v>33.660800000000002</v>
      </c>
      <c r="K179" s="14">
        <f>33.6587 * CHOOSE(CONTROL!$C$9, $D$9, 100%, $F$9) + CHOOSE(CONTROL!$C$27, 0.0021, 0)</f>
        <v>33.660800000000002</v>
      </c>
      <c r="L179" s="14"/>
    </row>
    <row r="180" spans="1:12" ht="15" x14ac:dyDescent="0.2">
      <c r="A180" s="13">
        <v>46388</v>
      </c>
      <c r="B180" s="14">
        <f>33.7343 * CHOOSE(CONTROL!$C$9, $D$9, 100%, $F$9) + CHOOSE(CONTROL!$C$27, 0.0021, 0)</f>
        <v>33.736399999999996</v>
      </c>
      <c r="C180" s="14">
        <f>33.3021 * CHOOSE(CONTROL!$C$9, $D$9, 100%, $F$9) + CHOOSE(CONTROL!$C$27, 0.0021, 0)</f>
        <v>33.304200000000002</v>
      </c>
      <c r="D180" s="14">
        <f>33.3021 * CHOOSE(CONTROL!$C$9, $D$9, 100%, $F$9) + CHOOSE(CONTROL!$C$27, 0.0021, 0)</f>
        <v>33.304200000000002</v>
      </c>
      <c r="E180" s="14">
        <f>33.1654 * CHOOSE(CONTROL!$C$9, $D$9, 100%, $F$9) + CHOOSE(CONTROL!$C$27, 0.0021, 0)</f>
        <v>33.167499999999997</v>
      </c>
      <c r="F180" s="14">
        <f>33.1654 * CHOOSE(CONTROL!$C$9, $D$9, 100%, $F$9) + CHOOSE(CONTROL!$C$27, 0.0021, 0)</f>
        <v>33.167499999999997</v>
      </c>
      <c r="G180" s="14">
        <f>33.4368 * CHOOSE(CONTROL!$C$9, $D$9, 100%, $F$9) + CHOOSE(CONTROL!$C$27, 0.0021, 0)</f>
        <v>33.438899999999997</v>
      </c>
      <c r="H180" s="14">
        <f>33.3021 * CHOOSE(CONTROL!$C$9, $D$9, 100%, $F$9) + CHOOSE(CONTROL!$C$27, 0.0021, 0)</f>
        <v>33.304200000000002</v>
      </c>
      <c r="I180" s="14">
        <f>33.3021 * CHOOSE(CONTROL!$C$9, $D$9, 100%, $F$9) + CHOOSE(CONTROL!$C$27, 0.0021, 0)</f>
        <v>33.304200000000002</v>
      </c>
      <c r="J180" s="14">
        <f>33.3021 * CHOOSE(CONTROL!$C$9, $D$9, 100%, $F$9) + CHOOSE(CONTROL!$C$27, 0.0021, 0)</f>
        <v>33.304200000000002</v>
      </c>
      <c r="K180" s="14">
        <f>33.3021 * CHOOSE(CONTROL!$C$9, $D$9, 100%, $F$9) + CHOOSE(CONTROL!$C$27, 0.0021, 0)</f>
        <v>33.304200000000002</v>
      </c>
      <c r="L180" s="14"/>
    </row>
    <row r="181" spans="1:12" ht="15" x14ac:dyDescent="0.2">
      <c r="A181" s="13">
        <v>46419</v>
      </c>
      <c r="B181" s="14">
        <f>32.845 * CHOOSE(CONTROL!$C$9, $D$9, 100%, $F$9) + CHOOSE(CONTROL!$C$27, 0.0021, 0)</f>
        <v>32.847099999999998</v>
      </c>
      <c r="C181" s="14">
        <f>32.4127 * CHOOSE(CONTROL!$C$9, $D$9, 100%, $F$9) + CHOOSE(CONTROL!$C$27, 0.0021, 0)</f>
        <v>32.4148</v>
      </c>
      <c r="D181" s="14">
        <f>32.4127 * CHOOSE(CONTROL!$C$9, $D$9, 100%, $F$9) + CHOOSE(CONTROL!$C$27, 0.0021, 0)</f>
        <v>32.4148</v>
      </c>
      <c r="E181" s="14">
        <f>32.2761 * CHOOSE(CONTROL!$C$9, $D$9, 100%, $F$9) + CHOOSE(CONTROL!$C$27, 0.0021, 0)</f>
        <v>32.278199999999998</v>
      </c>
      <c r="F181" s="14">
        <f>32.2761 * CHOOSE(CONTROL!$C$9, $D$9, 100%, $F$9) + CHOOSE(CONTROL!$C$27, 0.0021, 0)</f>
        <v>32.278199999999998</v>
      </c>
      <c r="G181" s="14">
        <f>32.5474 * CHOOSE(CONTROL!$C$9, $D$9, 100%, $F$9) + CHOOSE(CONTROL!$C$27, 0.0021, 0)</f>
        <v>32.549500000000002</v>
      </c>
      <c r="H181" s="14">
        <f>32.4127 * CHOOSE(CONTROL!$C$9, $D$9, 100%, $F$9) + CHOOSE(CONTROL!$C$27, 0.0021, 0)</f>
        <v>32.4148</v>
      </c>
      <c r="I181" s="14">
        <f>32.4127 * CHOOSE(CONTROL!$C$9, $D$9, 100%, $F$9) + CHOOSE(CONTROL!$C$27, 0.0021, 0)</f>
        <v>32.4148</v>
      </c>
      <c r="J181" s="14">
        <f>32.4127 * CHOOSE(CONTROL!$C$9, $D$9, 100%, $F$9) + CHOOSE(CONTROL!$C$27, 0.0021, 0)</f>
        <v>32.4148</v>
      </c>
      <c r="K181" s="14">
        <f>32.4127 * CHOOSE(CONTROL!$C$9, $D$9, 100%, $F$9) + CHOOSE(CONTROL!$C$27, 0.0021, 0)</f>
        <v>32.4148</v>
      </c>
      <c r="L181" s="14"/>
    </row>
    <row r="182" spans="1:12" ht="15" x14ac:dyDescent="0.2">
      <c r="A182" s="13">
        <v>46447</v>
      </c>
      <c r="B182" s="14">
        <f>32.4779 * CHOOSE(CONTROL!$C$9, $D$9, 100%, $F$9) + CHOOSE(CONTROL!$C$27, 0.0021, 0)</f>
        <v>32.479999999999997</v>
      </c>
      <c r="C182" s="14">
        <f>32.0456 * CHOOSE(CONTROL!$C$9, $D$9, 100%, $F$9) + CHOOSE(CONTROL!$C$27, 0.0021, 0)</f>
        <v>32.047699999999999</v>
      </c>
      <c r="D182" s="14">
        <f>32.0456 * CHOOSE(CONTROL!$C$9, $D$9, 100%, $F$9) + CHOOSE(CONTROL!$C$27, 0.0021, 0)</f>
        <v>32.047699999999999</v>
      </c>
      <c r="E182" s="14">
        <f>31.9089 * CHOOSE(CONTROL!$C$9, $D$9, 100%, $F$9) + CHOOSE(CONTROL!$C$27, 0.0021, 0)</f>
        <v>31.910999999999998</v>
      </c>
      <c r="F182" s="14">
        <f>31.9089 * CHOOSE(CONTROL!$C$9, $D$9, 100%, $F$9) + CHOOSE(CONTROL!$C$27, 0.0021, 0)</f>
        <v>31.910999999999998</v>
      </c>
      <c r="G182" s="14">
        <f>32.1803 * CHOOSE(CONTROL!$C$9, $D$9, 100%, $F$9) + CHOOSE(CONTROL!$C$27, 0.0021, 0)</f>
        <v>32.182400000000001</v>
      </c>
      <c r="H182" s="14">
        <f>32.0456 * CHOOSE(CONTROL!$C$9, $D$9, 100%, $F$9) + CHOOSE(CONTROL!$C$27, 0.0021, 0)</f>
        <v>32.047699999999999</v>
      </c>
      <c r="I182" s="14">
        <f>32.0456 * CHOOSE(CONTROL!$C$9, $D$9, 100%, $F$9) + CHOOSE(CONTROL!$C$27, 0.0021, 0)</f>
        <v>32.047699999999999</v>
      </c>
      <c r="J182" s="14">
        <f>32.0456 * CHOOSE(CONTROL!$C$9, $D$9, 100%, $F$9) + CHOOSE(CONTROL!$C$27, 0.0021, 0)</f>
        <v>32.047699999999999</v>
      </c>
      <c r="K182" s="14">
        <f>32.0456 * CHOOSE(CONTROL!$C$9, $D$9, 100%, $F$9) + CHOOSE(CONTROL!$C$27, 0.0021, 0)</f>
        <v>32.047699999999999</v>
      </c>
      <c r="L182" s="14"/>
    </row>
    <row r="183" spans="1:12" ht="15" x14ac:dyDescent="0.2">
      <c r="A183" s="13">
        <v>46478</v>
      </c>
      <c r="B183" s="14">
        <f>32.0395 * CHOOSE(CONTROL!$C$9, $D$9, 100%, $F$9) + CHOOSE(CONTROL!$C$27, 0.0021, 0)</f>
        <v>32.041599999999995</v>
      </c>
      <c r="C183" s="14">
        <f>31.6073 * CHOOSE(CONTROL!$C$9, $D$9, 100%, $F$9) + CHOOSE(CONTROL!$C$27, 0.0021, 0)</f>
        <v>31.609399999999997</v>
      </c>
      <c r="D183" s="14">
        <f>31.6073 * CHOOSE(CONTROL!$C$9, $D$9, 100%, $F$9) + CHOOSE(CONTROL!$C$27, 0.0021, 0)</f>
        <v>31.609399999999997</v>
      </c>
      <c r="E183" s="14">
        <f>31.4706 * CHOOSE(CONTROL!$C$9, $D$9, 100%, $F$9) + CHOOSE(CONTROL!$C$27, 0.0021, 0)</f>
        <v>31.4727</v>
      </c>
      <c r="F183" s="14">
        <f>31.4706 * CHOOSE(CONTROL!$C$9, $D$9, 100%, $F$9) + CHOOSE(CONTROL!$C$27, 0.0021, 0)</f>
        <v>31.4727</v>
      </c>
      <c r="G183" s="14">
        <f>31.742 * CHOOSE(CONTROL!$C$9, $D$9, 100%, $F$9) + CHOOSE(CONTROL!$C$27, 0.0021, 0)</f>
        <v>31.7441</v>
      </c>
      <c r="H183" s="14">
        <f>31.6073 * CHOOSE(CONTROL!$C$9, $D$9, 100%, $F$9) + CHOOSE(CONTROL!$C$27, 0.0021, 0)</f>
        <v>31.609399999999997</v>
      </c>
      <c r="I183" s="14">
        <f>31.6073 * CHOOSE(CONTROL!$C$9, $D$9, 100%, $F$9) + CHOOSE(CONTROL!$C$27, 0.0021, 0)</f>
        <v>31.609399999999997</v>
      </c>
      <c r="J183" s="14">
        <f>31.6073 * CHOOSE(CONTROL!$C$9, $D$9, 100%, $F$9) + CHOOSE(CONTROL!$C$27, 0.0021, 0)</f>
        <v>31.609399999999997</v>
      </c>
      <c r="K183" s="14">
        <f>31.6073 * CHOOSE(CONTROL!$C$9, $D$9, 100%, $F$9) + CHOOSE(CONTROL!$C$27, 0.0021, 0)</f>
        <v>31.609399999999997</v>
      </c>
      <c r="L183" s="14"/>
    </row>
    <row r="184" spans="1:12" ht="15" x14ac:dyDescent="0.2">
      <c r="A184" s="13">
        <v>46508</v>
      </c>
      <c r="B184" s="14">
        <f>32.6642 * CHOOSE(CONTROL!$C$9, $D$9, 100%, $F$9) + CHOOSE(CONTROL!$C$27, 0.0021, 0)</f>
        <v>32.6663</v>
      </c>
      <c r="C184" s="14">
        <f>32.232 * CHOOSE(CONTROL!$C$9, $D$9, 100%, $F$9) + CHOOSE(CONTROL!$C$27, 0.0021, 0)</f>
        <v>32.234099999999998</v>
      </c>
      <c r="D184" s="14">
        <f>32.232 * CHOOSE(CONTROL!$C$9, $D$9, 100%, $F$9) + CHOOSE(CONTROL!$C$27, 0.0021, 0)</f>
        <v>32.234099999999998</v>
      </c>
      <c r="E184" s="14">
        <f>32.0953 * CHOOSE(CONTROL!$C$9, $D$9, 100%, $F$9) + CHOOSE(CONTROL!$C$27, 0.0021, 0)</f>
        <v>32.0974</v>
      </c>
      <c r="F184" s="14">
        <f>32.0953 * CHOOSE(CONTROL!$C$9, $D$9, 100%, $F$9) + CHOOSE(CONTROL!$C$27, 0.0021, 0)</f>
        <v>32.0974</v>
      </c>
      <c r="G184" s="14">
        <f>32.3667 * CHOOSE(CONTROL!$C$9, $D$9, 100%, $F$9) + CHOOSE(CONTROL!$C$27, 0.0021, 0)</f>
        <v>32.3688</v>
      </c>
      <c r="H184" s="14">
        <f>32.232 * CHOOSE(CONTROL!$C$9, $D$9, 100%, $F$9) + CHOOSE(CONTROL!$C$27, 0.0021, 0)</f>
        <v>32.234099999999998</v>
      </c>
      <c r="I184" s="14">
        <f>32.232 * CHOOSE(CONTROL!$C$9, $D$9, 100%, $F$9) + CHOOSE(CONTROL!$C$27, 0.0021, 0)</f>
        <v>32.234099999999998</v>
      </c>
      <c r="J184" s="14">
        <f>32.232 * CHOOSE(CONTROL!$C$9, $D$9, 100%, $F$9) + CHOOSE(CONTROL!$C$27, 0.0021, 0)</f>
        <v>32.234099999999998</v>
      </c>
      <c r="K184" s="14">
        <f>32.232 * CHOOSE(CONTROL!$C$9, $D$9, 100%, $F$9) + CHOOSE(CONTROL!$C$27, 0.0021, 0)</f>
        <v>32.234099999999998</v>
      </c>
      <c r="L184" s="14"/>
    </row>
    <row r="185" spans="1:12" ht="15" x14ac:dyDescent="0.2">
      <c r="A185" s="13">
        <v>46539</v>
      </c>
      <c r="B185" s="14">
        <f>33.0384 * CHOOSE(CONTROL!$C$9, $D$9, 100%, $F$9) + CHOOSE(CONTROL!$C$27, 0.0021, 0)</f>
        <v>33.040500000000002</v>
      </c>
      <c r="C185" s="14">
        <f>32.6061 * CHOOSE(CONTROL!$C$9, $D$9, 100%, $F$9) + CHOOSE(CONTROL!$C$27, 0.0021, 0)</f>
        <v>32.608199999999997</v>
      </c>
      <c r="D185" s="14">
        <f>32.6061 * CHOOSE(CONTROL!$C$9, $D$9, 100%, $F$9) + CHOOSE(CONTROL!$C$27, 0.0021, 0)</f>
        <v>32.608199999999997</v>
      </c>
      <c r="E185" s="14">
        <f>32.4695 * CHOOSE(CONTROL!$C$9, $D$9, 100%, $F$9) + CHOOSE(CONTROL!$C$27, 0.0021, 0)</f>
        <v>32.471599999999995</v>
      </c>
      <c r="F185" s="14">
        <f>32.4695 * CHOOSE(CONTROL!$C$9, $D$9, 100%, $F$9) + CHOOSE(CONTROL!$C$27, 0.0021, 0)</f>
        <v>32.471599999999995</v>
      </c>
      <c r="G185" s="14">
        <f>32.7408 * CHOOSE(CONTROL!$C$9, $D$9, 100%, $F$9) + CHOOSE(CONTROL!$C$27, 0.0021, 0)</f>
        <v>32.742899999999999</v>
      </c>
      <c r="H185" s="14">
        <f>32.6061 * CHOOSE(CONTROL!$C$9, $D$9, 100%, $F$9) + CHOOSE(CONTROL!$C$27, 0.0021, 0)</f>
        <v>32.608199999999997</v>
      </c>
      <c r="I185" s="14">
        <f>32.6061 * CHOOSE(CONTROL!$C$9, $D$9, 100%, $F$9) + CHOOSE(CONTROL!$C$27, 0.0021, 0)</f>
        <v>32.608199999999997</v>
      </c>
      <c r="J185" s="14">
        <f>32.6061 * CHOOSE(CONTROL!$C$9, $D$9, 100%, $F$9) + CHOOSE(CONTROL!$C$27, 0.0021, 0)</f>
        <v>32.608199999999997</v>
      </c>
      <c r="K185" s="14">
        <f>32.6061 * CHOOSE(CONTROL!$C$9, $D$9, 100%, $F$9) + CHOOSE(CONTROL!$C$27, 0.0021, 0)</f>
        <v>32.608199999999997</v>
      </c>
      <c r="L185" s="14"/>
    </row>
    <row r="186" spans="1:12" ht="15" x14ac:dyDescent="0.2">
      <c r="A186" s="13">
        <v>46569</v>
      </c>
      <c r="B186" s="14">
        <f>33.6556 * CHOOSE(CONTROL!$C$9, $D$9, 100%, $F$9) + CHOOSE(CONTROL!$C$27, 0.0021, 0)</f>
        <v>33.657699999999998</v>
      </c>
      <c r="C186" s="14">
        <f>33.2234 * CHOOSE(CONTROL!$C$9, $D$9, 100%, $F$9) + CHOOSE(CONTROL!$C$27, 0.0021, 0)</f>
        <v>33.225499999999997</v>
      </c>
      <c r="D186" s="14">
        <f>33.2234 * CHOOSE(CONTROL!$C$9, $D$9, 100%, $F$9) + CHOOSE(CONTROL!$C$27, 0.0021, 0)</f>
        <v>33.225499999999997</v>
      </c>
      <c r="E186" s="14">
        <f>33.0867 * CHOOSE(CONTROL!$C$9, $D$9, 100%, $F$9) + CHOOSE(CONTROL!$C$27, 0.0021, 0)</f>
        <v>33.088799999999999</v>
      </c>
      <c r="F186" s="14">
        <f>33.0867 * CHOOSE(CONTROL!$C$9, $D$9, 100%, $F$9) + CHOOSE(CONTROL!$C$27, 0.0021, 0)</f>
        <v>33.088799999999999</v>
      </c>
      <c r="G186" s="14">
        <f>33.3581 * CHOOSE(CONTROL!$C$9, $D$9, 100%, $F$9) + CHOOSE(CONTROL!$C$27, 0.0021, 0)</f>
        <v>33.360199999999999</v>
      </c>
      <c r="H186" s="14">
        <f>33.2234 * CHOOSE(CONTROL!$C$9, $D$9, 100%, $F$9) + CHOOSE(CONTROL!$C$27, 0.0021, 0)</f>
        <v>33.225499999999997</v>
      </c>
      <c r="I186" s="14">
        <f>33.2234 * CHOOSE(CONTROL!$C$9, $D$9, 100%, $F$9) + CHOOSE(CONTROL!$C$27, 0.0021, 0)</f>
        <v>33.225499999999997</v>
      </c>
      <c r="J186" s="14">
        <f>33.2234 * CHOOSE(CONTROL!$C$9, $D$9, 100%, $F$9) + CHOOSE(CONTROL!$C$27, 0.0021, 0)</f>
        <v>33.225499999999997</v>
      </c>
      <c r="K186" s="14">
        <f>33.2234 * CHOOSE(CONTROL!$C$9, $D$9, 100%, $F$9) + CHOOSE(CONTROL!$C$27, 0.0021, 0)</f>
        <v>33.225499999999997</v>
      </c>
      <c r="L186" s="14"/>
    </row>
    <row r="187" spans="1:12" ht="15" x14ac:dyDescent="0.2">
      <c r="A187" s="13">
        <v>46600</v>
      </c>
      <c r="B187" s="14">
        <f>33.844 * CHOOSE(CONTROL!$C$9, $D$9, 100%, $F$9) + CHOOSE(CONTROL!$C$27, 0.0021, 0)</f>
        <v>33.8461</v>
      </c>
      <c r="C187" s="14">
        <f>33.4118 * CHOOSE(CONTROL!$C$9, $D$9, 100%, $F$9) + CHOOSE(CONTROL!$C$27, 0.0021, 0)</f>
        <v>33.413899999999998</v>
      </c>
      <c r="D187" s="14">
        <f>33.4118 * CHOOSE(CONTROL!$C$9, $D$9, 100%, $F$9) + CHOOSE(CONTROL!$C$27, 0.0021, 0)</f>
        <v>33.413899999999998</v>
      </c>
      <c r="E187" s="14">
        <f>33.2751 * CHOOSE(CONTROL!$C$9, $D$9, 100%, $F$9) + CHOOSE(CONTROL!$C$27, 0.0021, 0)</f>
        <v>33.277200000000001</v>
      </c>
      <c r="F187" s="14">
        <f>33.2751 * CHOOSE(CONTROL!$C$9, $D$9, 100%, $F$9) + CHOOSE(CONTROL!$C$27, 0.0021, 0)</f>
        <v>33.277200000000001</v>
      </c>
      <c r="G187" s="14">
        <f>33.5465 * CHOOSE(CONTROL!$C$9, $D$9, 100%, $F$9) + CHOOSE(CONTROL!$C$27, 0.0021, 0)</f>
        <v>33.5486</v>
      </c>
      <c r="H187" s="14">
        <f>33.4118 * CHOOSE(CONTROL!$C$9, $D$9, 100%, $F$9) + CHOOSE(CONTROL!$C$27, 0.0021, 0)</f>
        <v>33.413899999999998</v>
      </c>
      <c r="I187" s="14">
        <f>33.4118 * CHOOSE(CONTROL!$C$9, $D$9, 100%, $F$9) + CHOOSE(CONTROL!$C$27, 0.0021, 0)</f>
        <v>33.413899999999998</v>
      </c>
      <c r="J187" s="14">
        <f>33.4118 * CHOOSE(CONTROL!$C$9, $D$9, 100%, $F$9) + CHOOSE(CONTROL!$C$27, 0.0021, 0)</f>
        <v>33.413899999999998</v>
      </c>
      <c r="K187" s="14">
        <f>33.4118 * CHOOSE(CONTROL!$C$9, $D$9, 100%, $F$9) + CHOOSE(CONTROL!$C$27, 0.0021, 0)</f>
        <v>33.413899999999998</v>
      </c>
      <c r="L187" s="14"/>
    </row>
    <row r="188" spans="1:12" ht="15" x14ac:dyDescent="0.2">
      <c r="A188" s="13">
        <v>46631</v>
      </c>
      <c r="B188" s="14">
        <f>34.4856 * CHOOSE(CONTROL!$C$9, $D$9, 100%, $F$9) + CHOOSE(CONTROL!$C$27, 0.0021, 0)</f>
        <v>34.487699999999997</v>
      </c>
      <c r="C188" s="14">
        <f>34.0534 * CHOOSE(CONTROL!$C$9, $D$9, 100%, $F$9) + CHOOSE(CONTROL!$C$27, 0.0021, 0)</f>
        <v>34.055500000000002</v>
      </c>
      <c r="D188" s="14">
        <f>34.0534 * CHOOSE(CONTROL!$C$9, $D$9, 100%, $F$9) + CHOOSE(CONTROL!$C$27, 0.0021, 0)</f>
        <v>34.055500000000002</v>
      </c>
      <c r="E188" s="14">
        <f>33.9167 * CHOOSE(CONTROL!$C$9, $D$9, 100%, $F$9) + CHOOSE(CONTROL!$C$27, 0.0021, 0)</f>
        <v>33.918799999999997</v>
      </c>
      <c r="F188" s="14">
        <f>33.9167 * CHOOSE(CONTROL!$C$9, $D$9, 100%, $F$9) + CHOOSE(CONTROL!$C$27, 0.0021, 0)</f>
        <v>33.918799999999997</v>
      </c>
      <c r="G188" s="14">
        <f>34.1881 * CHOOSE(CONTROL!$C$9, $D$9, 100%, $F$9) + CHOOSE(CONTROL!$C$27, 0.0021, 0)</f>
        <v>34.190199999999997</v>
      </c>
      <c r="H188" s="14">
        <f>34.0534 * CHOOSE(CONTROL!$C$9, $D$9, 100%, $F$9) + CHOOSE(CONTROL!$C$27, 0.0021, 0)</f>
        <v>34.055500000000002</v>
      </c>
      <c r="I188" s="14">
        <f>34.0534 * CHOOSE(CONTROL!$C$9, $D$9, 100%, $F$9) + CHOOSE(CONTROL!$C$27, 0.0021, 0)</f>
        <v>34.055500000000002</v>
      </c>
      <c r="J188" s="14">
        <f>34.0534 * CHOOSE(CONTROL!$C$9, $D$9, 100%, $F$9) + CHOOSE(CONTROL!$C$27, 0.0021, 0)</f>
        <v>34.055500000000002</v>
      </c>
      <c r="K188" s="14">
        <f>34.0534 * CHOOSE(CONTROL!$C$9, $D$9, 100%, $F$9) + CHOOSE(CONTROL!$C$27, 0.0021, 0)</f>
        <v>34.055500000000002</v>
      </c>
      <c r="L188" s="14"/>
    </row>
    <row r="189" spans="1:12" ht="15" x14ac:dyDescent="0.2">
      <c r="A189" s="13">
        <v>46661</v>
      </c>
      <c r="B189" s="14">
        <f>35.2978 * CHOOSE(CONTROL!$C$9, $D$9, 100%, $F$9) + CHOOSE(CONTROL!$C$27, 0.0021, 0)</f>
        <v>35.299900000000001</v>
      </c>
      <c r="C189" s="14">
        <f>34.8655 * CHOOSE(CONTROL!$C$9, $D$9, 100%, $F$9) + CHOOSE(CONTROL!$C$27, 0.0021, 0)</f>
        <v>34.867599999999996</v>
      </c>
      <c r="D189" s="14">
        <f>34.8655 * CHOOSE(CONTROL!$C$9, $D$9, 100%, $F$9) + CHOOSE(CONTROL!$C$27, 0.0021, 0)</f>
        <v>34.867599999999996</v>
      </c>
      <c r="E189" s="14">
        <f>34.7289 * CHOOSE(CONTROL!$C$9, $D$9, 100%, $F$9) + CHOOSE(CONTROL!$C$27, 0.0021, 0)</f>
        <v>34.731000000000002</v>
      </c>
      <c r="F189" s="14">
        <f>34.7289 * CHOOSE(CONTROL!$C$9, $D$9, 100%, $F$9) + CHOOSE(CONTROL!$C$27, 0.0021, 0)</f>
        <v>34.731000000000002</v>
      </c>
      <c r="G189" s="14">
        <f>35.0003 * CHOOSE(CONTROL!$C$9, $D$9, 100%, $F$9) + CHOOSE(CONTROL!$C$27, 0.0021, 0)</f>
        <v>35.002400000000002</v>
      </c>
      <c r="H189" s="14">
        <f>34.8655 * CHOOSE(CONTROL!$C$9, $D$9, 100%, $F$9) + CHOOSE(CONTROL!$C$27, 0.0021, 0)</f>
        <v>34.867599999999996</v>
      </c>
      <c r="I189" s="14">
        <f>34.8655 * CHOOSE(CONTROL!$C$9, $D$9, 100%, $F$9) + CHOOSE(CONTROL!$C$27, 0.0021, 0)</f>
        <v>34.867599999999996</v>
      </c>
      <c r="J189" s="14">
        <f>34.8655 * CHOOSE(CONTROL!$C$9, $D$9, 100%, $F$9) + CHOOSE(CONTROL!$C$27, 0.0021, 0)</f>
        <v>34.867599999999996</v>
      </c>
      <c r="K189" s="14">
        <f>34.8655 * CHOOSE(CONTROL!$C$9, $D$9, 100%, $F$9) + CHOOSE(CONTROL!$C$27, 0.0021, 0)</f>
        <v>34.867599999999996</v>
      </c>
      <c r="L189" s="14"/>
    </row>
    <row r="190" spans="1:12" ht="15" x14ac:dyDescent="0.2">
      <c r="A190" s="13">
        <v>46692</v>
      </c>
      <c r="B190" s="14">
        <f>35.374 * CHOOSE(CONTROL!$C$9, $D$9, 100%, $F$9) + CHOOSE(CONTROL!$C$27, 0.0021, 0)</f>
        <v>35.376100000000001</v>
      </c>
      <c r="C190" s="14">
        <f>34.9418 * CHOOSE(CONTROL!$C$9, $D$9, 100%, $F$9) + CHOOSE(CONTROL!$C$27, 0.0021, 0)</f>
        <v>34.943899999999999</v>
      </c>
      <c r="D190" s="14">
        <f>34.9418 * CHOOSE(CONTROL!$C$9, $D$9, 100%, $F$9) + CHOOSE(CONTROL!$C$27, 0.0021, 0)</f>
        <v>34.943899999999999</v>
      </c>
      <c r="E190" s="14">
        <f>34.8051 * CHOOSE(CONTROL!$C$9, $D$9, 100%, $F$9) + CHOOSE(CONTROL!$C$27, 0.0021, 0)</f>
        <v>34.807200000000002</v>
      </c>
      <c r="F190" s="14">
        <f>34.8051 * CHOOSE(CONTROL!$C$9, $D$9, 100%, $F$9) + CHOOSE(CONTROL!$C$27, 0.0021, 0)</f>
        <v>34.807200000000002</v>
      </c>
      <c r="G190" s="14">
        <f>35.0765 * CHOOSE(CONTROL!$C$9, $D$9, 100%, $F$9) + CHOOSE(CONTROL!$C$27, 0.0021, 0)</f>
        <v>35.078600000000002</v>
      </c>
      <c r="H190" s="14">
        <f>34.9418 * CHOOSE(CONTROL!$C$9, $D$9, 100%, $F$9) + CHOOSE(CONTROL!$C$27, 0.0021, 0)</f>
        <v>34.943899999999999</v>
      </c>
      <c r="I190" s="14">
        <f>34.9418 * CHOOSE(CONTROL!$C$9, $D$9, 100%, $F$9) + CHOOSE(CONTROL!$C$27, 0.0021, 0)</f>
        <v>34.943899999999999</v>
      </c>
      <c r="J190" s="14">
        <f>34.9418 * CHOOSE(CONTROL!$C$9, $D$9, 100%, $F$9) + CHOOSE(CONTROL!$C$27, 0.0021, 0)</f>
        <v>34.943899999999999</v>
      </c>
      <c r="K190" s="14">
        <f>34.9418 * CHOOSE(CONTROL!$C$9, $D$9, 100%, $F$9) + CHOOSE(CONTROL!$C$27, 0.0021, 0)</f>
        <v>34.943899999999999</v>
      </c>
      <c r="L190" s="14"/>
    </row>
    <row r="191" spans="1:12" ht="15" x14ac:dyDescent="0.2">
      <c r="A191" s="13">
        <v>46722</v>
      </c>
      <c r="B191" s="14">
        <f>34.7254 * CHOOSE(CONTROL!$C$9, $D$9, 100%, $F$9) + CHOOSE(CONTROL!$C$27, 0.0021, 0)</f>
        <v>34.727499999999999</v>
      </c>
      <c r="C191" s="14">
        <f>34.2931 * CHOOSE(CONTROL!$C$9, $D$9, 100%, $F$9) + CHOOSE(CONTROL!$C$27, 0.0021, 0)</f>
        <v>34.295200000000001</v>
      </c>
      <c r="D191" s="14">
        <f>34.2931 * CHOOSE(CONTROL!$C$9, $D$9, 100%, $F$9) + CHOOSE(CONTROL!$C$27, 0.0021, 0)</f>
        <v>34.295200000000001</v>
      </c>
      <c r="E191" s="14">
        <f>34.1565 * CHOOSE(CONTROL!$C$9, $D$9, 100%, $F$9) + CHOOSE(CONTROL!$C$27, 0.0021, 0)</f>
        <v>34.1586</v>
      </c>
      <c r="F191" s="14">
        <f>34.1565 * CHOOSE(CONTROL!$C$9, $D$9, 100%, $F$9) + CHOOSE(CONTROL!$C$27, 0.0021, 0)</f>
        <v>34.1586</v>
      </c>
      <c r="G191" s="14">
        <f>34.4278 * CHOOSE(CONTROL!$C$9, $D$9, 100%, $F$9) + CHOOSE(CONTROL!$C$27, 0.0021, 0)</f>
        <v>34.429899999999996</v>
      </c>
      <c r="H191" s="14">
        <f>34.2931 * CHOOSE(CONTROL!$C$9, $D$9, 100%, $F$9) + CHOOSE(CONTROL!$C$27, 0.0021, 0)</f>
        <v>34.295200000000001</v>
      </c>
      <c r="I191" s="14">
        <f>34.2931 * CHOOSE(CONTROL!$C$9, $D$9, 100%, $F$9) + CHOOSE(CONTROL!$C$27, 0.0021, 0)</f>
        <v>34.295200000000001</v>
      </c>
      <c r="J191" s="14">
        <f>34.2931 * CHOOSE(CONTROL!$C$9, $D$9, 100%, $F$9) + CHOOSE(CONTROL!$C$27, 0.0021, 0)</f>
        <v>34.295200000000001</v>
      </c>
      <c r="K191" s="14">
        <f>34.2931 * CHOOSE(CONTROL!$C$9, $D$9, 100%, $F$9) + CHOOSE(CONTROL!$C$27, 0.0021, 0)</f>
        <v>34.295200000000001</v>
      </c>
      <c r="L191" s="14"/>
    </row>
    <row r="192" spans="1:12" ht="15" x14ac:dyDescent="0.2">
      <c r="A192" s="13">
        <v>46753</v>
      </c>
      <c r="B192" s="14">
        <f>34.2996 * CHOOSE(CONTROL!$C$9, $D$9, 100%, $F$9) + CHOOSE(CONTROL!$C$27, 0.0021, 0)</f>
        <v>34.301699999999997</v>
      </c>
      <c r="C192" s="14">
        <f>33.8673 * CHOOSE(CONTROL!$C$9, $D$9, 100%, $F$9) + CHOOSE(CONTROL!$C$27, 0.0021, 0)</f>
        <v>33.869399999999999</v>
      </c>
      <c r="D192" s="14">
        <f>33.8673 * CHOOSE(CONTROL!$C$9, $D$9, 100%, $F$9) + CHOOSE(CONTROL!$C$27, 0.0021, 0)</f>
        <v>33.869399999999999</v>
      </c>
      <c r="E192" s="14">
        <f>33.7307 * CHOOSE(CONTROL!$C$9, $D$9, 100%, $F$9) + CHOOSE(CONTROL!$C$27, 0.0021, 0)</f>
        <v>33.732799999999997</v>
      </c>
      <c r="F192" s="14">
        <f>33.7307 * CHOOSE(CONTROL!$C$9, $D$9, 100%, $F$9) + CHOOSE(CONTROL!$C$27, 0.0021, 0)</f>
        <v>33.732799999999997</v>
      </c>
      <c r="G192" s="14">
        <f>34.0021 * CHOOSE(CONTROL!$C$9, $D$9, 100%, $F$9) + CHOOSE(CONTROL!$C$27, 0.0021, 0)</f>
        <v>34.004199999999997</v>
      </c>
      <c r="H192" s="14">
        <f>33.8673 * CHOOSE(CONTROL!$C$9, $D$9, 100%, $F$9) + CHOOSE(CONTROL!$C$27, 0.0021, 0)</f>
        <v>33.869399999999999</v>
      </c>
      <c r="I192" s="14">
        <f>33.8673 * CHOOSE(CONTROL!$C$9, $D$9, 100%, $F$9) + CHOOSE(CONTROL!$C$27, 0.0021, 0)</f>
        <v>33.869399999999999</v>
      </c>
      <c r="J192" s="14">
        <f>33.8673 * CHOOSE(CONTROL!$C$9, $D$9, 100%, $F$9) + CHOOSE(CONTROL!$C$27, 0.0021, 0)</f>
        <v>33.869399999999999</v>
      </c>
      <c r="K192" s="14">
        <f>33.8673 * CHOOSE(CONTROL!$C$9, $D$9, 100%, $F$9) + CHOOSE(CONTROL!$C$27, 0.0021, 0)</f>
        <v>33.869399999999999</v>
      </c>
      <c r="L192" s="14"/>
    </row>
    <row r="193" spans="1:12" ht="15" x14ac:dyDescent="0.2">
      <c r="A193" s="13">
        <v>46784</v>
      </c>
      <c r="B193" s="14">
        <f>33.3943 * CHOOSE(CONTROL!$C$9, $D$9, 100%, $F$9) + CHOOSE(CONTROL!$C$27, 0.0021, 0)</f>
        <v>33.3964</v>
      </c>
      <c r="C193" s="14">
        <f>32.962 * CHOOSE(CONTROL!$C$9, $D$9, 100%, $F$9) + CHOOSE(CONTROL!$C$27, 0.0021, 0)</f>
        <v>32.964100000000002</v>
      </c>
      <c r="D193" s="14">
        <f>32.962 * CHOOSE(CONTROL!$C$9, $D$9, 100%, $F$9) + CHOOSE(CONTROL!$C$27, 0.0021, 0)</f>
        <v>32.964100000000002</v>
      </c>
      <c r="E193" s="14">
        <f>32.8253 * CHOOSE(CONTROL!$C$9, $D$9, 100%, $F$9) + CHOOSE(CONTROL!$C$27, 0.0021, 0)</f>
        <v>32.827399999999997</v>
      </c>
      <c r="F193" s="14">
        <f>32.8253 * CHOOSE(CONTROL!$C$9, $D$9, 100%, $F$9) + CHOOSE(CONTROL!$C$27, 0.0021, 0)</f>
        <v>32.827399999999997</v>
      </c>
      <c r="G193" s="14">
        <f>33.0967 * CHOOSE(CONTROL!$C$9, $D$9, 100%, $F$9) + CHOOSE(CONTROL!$C$27, 0.0021, 0)</f>
        <v>33.098799999999997</v>
      </c>
      <c r="H193" s="14">
        <f>32.962 * CHOOSE(CONTROL!$C$9, $D$9, 100%, $F$9) + CHOOSE(CONTROL!$C$27, 0.0021, 0)</f>
        <v>32.964100000000002</v>
      </c>
      <c r="I193" s="14">
        <f>32.962 * CHOOSE(CONTROL!$C$9, $D$9, 100%, $F$9) + CHOOSE(CONTROL!$C$27, 0.0021, 0)</f>
        <v>32.964100000000002</v>
      </c>
      <c r="J193" s="14">
        <f>32.962 * CHOOSE(CONTROL!$C$9, $D$9, 100%, $F$9) + CHOOSE(CONTROL!$C$27, 0.0021, 0)</f>
        <v>32.964100000000002</v>
      </c>
      <c r="K193" s="14">
        <f>32.962 * CHOOSE(CONTROL!$C$9, $D$9, 100%, $F$9) + CHOOSE(CONTROL!$C$27, 0.0021, 0)</f>
        <v>32.964100000000002</v>
      </c>
      <c r="L193" s="14"/>
    </row>
    <row r="194" spans="1:12" ht="15" x14ac:dyDescent="0.2">
      <c r="A194" s="13">
        <v>46813</v>
      </c>
      <c r="B194" s="14">
        <f>33.0205 * CHOOSE(CONTROL!$C$9, $D$9, 100%, $F$9) + CHOOSE(CONTROL!$C$27, 0.0021, 0)</f>
        <v>33.022599999999997</v>
      </c>
      <c r="C194" s="14">
        <f>32.5883 * CHOOSE(CONTROL!$C$9, $D$9, 100%, $F$9) + CHOOSE(CONTROL!$C$27, 0.0021, 0)</f>
        <v>32.590399999999995</v>
      </c>
      <c r="D194" s="14">
        <f>32.5883 * CHOOSE(CONTROL!$C$9, $D$9, 100%, $F$9) + CHOOSE(CONTROL!$C$27, 0.0021, 0)</f>
        <v>32.590399999999995</v>
      </c>
      <c r="E194" s="14">
        <f>32.4516 * CHOOSE(CONTROL!$C$9, $D$9, 100%, $F$9) + CHOOSE(CONTROL!$C$27, 0.0021, 0)</f>
        <v>32.453699999999998</v>
      </c>
      <c r="F194" s="14">
        <f>32.4516 * CHOOSE(CONTROL!$C$9, $D$9, 100%, $F$9) + CHOOSE(CONTROL!$C$27, 0.0021, 0)</f>
        <v>32.453699999999998</v>
      </c>
      <c r="G194" s="14">
        <f>32.723 * CHOOSE(CONTROL!$C$9, $D$9, 100%, $F$9) + CHOOSE(CONTROL!$C$27, 0.0021, 0)</f>
        <v>32.725099999999998</v>
      </c>
      <c r="H194" s="14">
        <f>32.5883 * CHOOSE(CONTROL!$C$9, $D$9, 100%, $F$9) + CHOOSE(CONTROL!$C$27, 0.0021, 0)</f>
        <v>32.590399999999995</v>
      </c>
      <c r="I194" s="14">
        <f>32.5883 * CHOOSE(CONTROL!$C$9, $D$9, 100%, $F$9) + CHOOSE(CONTROL!$C$27, 0.0021, 0)</f>
        <v>32.590399999999995</v>
      </c>
      <c r="J194" s="14">
        <f>32.5883 * CHOOSE(CONTROL!$C$9, $D$9, 100%, $F$9) + CHOOSE(CONTROL!$C$27, 0.0021, 0)</f>
        <v>32.590399999999995</v>
      </c>
      <c r="K194" s="14">
        <f>32.5883 * CHOOSE(CONTROL!$C$9, $D$9, 100%, $F$9) + CHOOSE(CONTROL!$C$27, 0.0021, 0)</f>
        <v>32.590399999999995</v>
      </c>
      <c r="L194" s="14"/>
    </row>
    <row r="195" spans="1:12" ht="15" x14ac:dyDescent="0.2">
      <c r="A195" s="13">
        <v>46844</v>
      </c>
      <c r="B195" s="14">
        <f>32.5743 * CHOOSE(CONTROL!$C$9, $D$9, 100%, $F$9) + CHOOSE(CONTROL!$C$27, 0.0021, 0)</f>
        <v>32.5764</v>
      </c>
      <c r="C195" s="14">
        <f>32.1421 * CHOOSE(CONTROL!$C$9, $D$9, 100%, $F$9) + CHOOSE(CONTROL!$C$27, 0.0021, 0)</f>
        <v>32.144199999999998</v>
      </c>
      <c r="D195" s="14">
        <f>32.1421 * CHOOSE(CONTROL!$C$9, $D$9, 100%, $F$9) + CHOOSE(CONTROL!$C$27, 0.0021, 0)</f>
        <v>32.144199999999998</v>
      </c>
      <c r="E195" s="14">
        <f>32.0054 * CHOOSE(CONTROL!$C$9, $D$9, 100%, $F$9) + CHOOSE(CONTROL!$C$27, 0.0021, 0)</f>
        <v>32.0075</v>
      </c>
      <c r="F195" s="14">
        <f>32.0054 * CHOOSE(CONTROL!$C$9, $D$9, 100%, $F$9) + CHOOSE(CONTROL!$C$27, 0.0021, 0)</f>
        <v>32.0075</v>
      </c>
      <c r="G195" s="14">
        <f>32.2768 * CHOOSE(CONTROL!$C$9, $D$9, 100%, $F$9) + CHOOSE(CONTROL!$C$27, 0.0021, 0)</f>
        <v>32.2789</v>
      </c>
      <c r="H195" s="14">
        <f>32.1421 * CHOOSE(CONTROL!$C$9, $D$9, 100%, $F$9) + CHOOSE(CONTROL!$C$27, 0.0021, 0)</f>
        <v>32.144199999999998</v>
      </c>
      <c r="I195" s="14">
        <f>32.1421 * CHOOSE(CONTROL!$C$9, $D$9, 100%, $F$9) + CHOOSE(CONTROL!$C$27, 0.0021, 0)</f>
        <v>32.144199999999998</v>
      </c>
      <c r="J195" s="14">
        <f>32.1421 * CHOOSE(CONTROL!$C$9, $D$9, 100%, $F$9) + CHOOSE(CONTROL!$C$27, 0.0021, 0)</f>
        <v>32.144199999999998</v>
      </c>
      <c r="K195" s="14">
        <f>32.1421 * CHOOSE(CONTROL!$C$9, $D$9, 100%, $F$9) + CHOOSE(CONTROL!$C$27, 0.0021, 0)</f>
        <v>32.144199999999998</v>
      </c>
      <c r="L195" s="14"/>
    </row>
    <row r="196" spans="1:12" ht="15" x14ac:dyDescent="0.2">
      <c r="A196" s="13">
        <v>46874</v>
      </c>
      <c r="B196" s="14">
        <f>33.2102 * CHOOSE(CONTROL!$C$9, $D$9, 100%, $F$9) + CHOOSE(CONTROL!$C$27, 0.0021, 0)</f>
        <v>33.212299999999999</v>
      </c>
      <c r="C196" s="14">
        <f>32.778 * CHOOSE(CONTROL!$C$9, $D$9, 100%, $F$9) + CHOOSE(CONTROL!$C$27, 0.0021, 0)</f>
        <v>32.780099999999997</v>
      </c>
      <c r="D196" s="14">
        <f>32.778 * CHOOSE(CONTROL!$C$9, $D$9, 100%, $F$9) + CHOOSE(CONTROL!$C$27, 0.0021, 0)</f>
        <v>32.780099999999997</v>
      </c>
      <c r="E196" s="14">
        <f>32.6413 * CHOOSE(CONTROL!$C$9, $D$9, 100%, $F$9) + CHOOSE(CONTROL!$C$27, 0.0021, 0)</f>
        <v>32.6434</v>
      </c>
      <c r="F196" s="14">
        <f>32.6413 * CHOOSE(CONTROL!$C$9, $D$9, 100%, $F$9) + CHOOSE(CONTROL!$C$27, 0.0021, 0)</f>
        <v>32.6434</v>
      </c>
      <c r="G196" s="14">
        <f>32.9127 * CHOOSE(CONTROL!$C$9, $D$9, 100%, $F$9) + CHOOSE(CONTROL!$C$27, 0.0021, 0)</f>
        <v>32.9148</v>
      </c>
      <c r="H196" s="14">
        <f>32.778 * CHOOSE(CONTROL!$C$9, $D$9, 100%, $F$9) + CHOOSE(CONTROL!$C$27, 0.0021, 0)</f>
        <v>32.780099999999997</v>
      </c>
      <c r="I196" s="14">
        <f>32.778 * CHOOSE(CONTROL!$C$9, $D$9, 100%, $F$9) + CHOOSE(CONTROL!$C$27, 0.0021, 0)</f>
        <v>32.780099999999997</v>
      </c>
      <c r="J196" s="14">
        <f>32.778 * CHOOSE(CONTROL!$C$9, $D$9, 100%, $F$9) + CHOOSE(CONTROL!$C$27, 0.0021, 0)</f>
        <v>32.780099999999997</v>
      </c>
      <c r="K196" s="14">
        <f>32.778 * CHOOSE(CONTROL!$C$9, $D$9, 100%, $F$9) + CHOOSE(CONTROL!$C$27, 0.0021, 0)</f>
        <v>32.780099999999997</v>
      </c>
      <c r="L196" s="14"/>
    </row>
    <row r="197" spans="1:12" ht="15" x14ac:dyDescent="0.2">
      <c r="A197" s="13">
        <v>46905</v>
      </c>
      <c r="B197" s="14">
        <f>33.5911 * CHOOSE(CONTROL!$C$9, $D$9, 100%, $F$9) + CHOOSE(CONTROL!$C$27, 0.0021, 0)</f>
        <v>33.593199999999996</v>
      </c>
      <c r="C197" s="14">
        <f>33.1589 * CHOOSE(CONTROL!$C$9, $D$9, 100%, $F$9) + CHOOSE(CONTROL!$C$27, 0.0021, 0)</f>
        <v>33.161000000000001</v>
      </c>
      <c r="D197" s="14">
        <f>33.1589 * CHOOSE(CONTROL!$C$9, $D$9, 100%, $F$9) + CHOOSE(CONTROL!$C$27, 0.0021, 0)</f>
        <v>33.161000000000001</v>
      </c>
      <c r="E197" s="14">
        <f>33.0222 * CHOOSE(CONTROL!$C$9, $D$9, 100%, $F$9) + CHOOSE(CONTROL!$C$27, 0.0021, 0)</f>
        <v>33.024299999999997</v>
      </c>
      <c r="F197" s="14">
        <f>33.0222 * CHOOSE(CONTROL!$C$9, $D$9, 100%, $F$9) + CHOOSE(CONTROL!$C$27, 0.0021, 0)</f>
        <v>33.024299999999997</v>
      </c>
      <c r="G197" s="14">
        <f>33.2936 * CHOOSE(CONTROL!$C$9, $D$9, 100%, $F$9) + CHOOSE(CONTROL!$C$27, 0.0021, 0)</f>
        <v>33.295699999999997</v>
      </c>
      <c r="H197" s="14">
        <f>33.1589 * CHOOSE(CONTROL!$C$9, $D$9, 100%, $F$9) + CHOOSE(CONTROL!$C$27, 0.0021, 0)</f>
        <v>33.161000000000001</v>
      </c>
      <c r="I197" s="14">
        <f>33.1589 * CHOOSE(CONTROL!$C$9, $D$9, 100%, $F$9) + CHOOSE(CONTROL!$C$27, 0.0021, 0)</f>
        <v>33.161000000000001</v>
      </c>
      <c r="J197" s="14">
        <f>33.1589 * CHOOSE(CONTROL!$C$9, $D$9, 100%, $F$9) + CHOOSE(CONTROL!$C$27, 0.0021, 0)</f>
        <v>33.161000000000001</v>
      </c>
      <c r="K197" s="14">
        <f>33.1589 * CHOOSE(CONTROL!$C$9, $D$9, 100%, $F$9) + CHOOSE(CONTROL!$C$27, 0.0021, 0)</f>
        <v>33.161000000000001</v>
      </c>
      <c r="L197" s="14"/>
    </row>
    <row r="198" spans="1:12" ht="15" x14ac:dyDescent="0.2">
      <c r="A198" s="13">
        <v>46935</v>
      </c>
      <c r="B198" s="14">
        <f>34.2195 * CHOOSE(CONTROL!$C$9, $D$9, 100%, $F$9) + CHOOSE(CONTROL!$C$27, 0.0021, 0)</f>
        <v>34.221599999999995</v>
      </c>
      <c r="C198" s="14">
        <f>33.7872 * CHOOSE(CONTROL!$C$9, $D$9, 100%, $F$9) + CHOOSE(CONTROL!$C$27, 0.0021, 0)</f>
        <v>33.789299999999997</v>
      </c>
      <c r="D198" s="14">
        <f>33.7872 * CHOOSE(CONTROL!$C$9, $D$9, 100%, $F$9) + CHOOSE(CONTROL!$C$27, 0.0021, 0)</f>
        <v>33.789299999999997</v>
      </c>
      <c r="E198" s="14">
        <f>33.6506 * CHOOSE(CONTROL!$C$9, $D$9, 100%, $F$9) + CHOOSE(CONTROL!$C$27, 0.0021, 0)</f>
        <v>33.652699999999996</v>
      </c>
      <c r="F198" s="14">
        <f>33.6506 * CHOOSE(CONTROL!$C$9, $D$9, 100%, $F$9) + CHOOSE(CONTROL!$C$27, 0.0021, 0)</f>
        <v>33.652699999999996</v>
      </c>
      <c r="G198" s="14">
        <f>33.9219 * CHOOSE(CONTROL!$C$9, $D$9, 100%, $F$9) + CHOOSE(CONTROL!$C$27, 0.0021, 0)</f>
        <v>33.923999999999999</v>
      </c>
      <c r="H198" s="14">
        <f>33.7872 * CHOOSE(CONTROL!$C$9, $D$9, 100%, $F$9) + CHOOSE(CONTROL!$C$27, 0.0021, 0)</f>
        <v>33.789299999999997</v>
      </c>
      <c r="I198" s="14">
        <f>33.7872 * CHOOSE(CONTROL!$C$9, $D$9, 100%, $F$9) + CHOOSE(CONTROL!$C$27, 0.0021, 0)</f>
        <v>33.789299999999997</v>
      </c>
      <c r="J198" s="14">
        <f>33.7872 * CHOOSE(CONTROL!$C$9, $D$9, 100%, $F$9) + CHOOSE(CONTROL!$C$27, 0.0021, 0)</f>
        <v>33.789299999999997</v>
      </c>
      <c r="K198" s="14">
        <f>33.7872 * CHOOSE(CONTROL!$C$9, $D$9, 100%, $F$9) + CHOOSE(CONTROL!$C$27, 0.0021, 0)</f>
        <v>33.789299999999997</v>
      </c>
      <c r="L198" s="14"/>
    </row>
    <row r="199" spans="1:12" ht="15" x14ac:dyDescent="0.2">
      <c r="A199" s="13">
        <v>46966</v>
      </c>
      <c r="B199" s="14">
        <f>34.4113 * CHOOSE(CONTROL!$C$9, $D$9, 100%, $F$9) + CHOOSE(CONTROL!$C$27, 0.0021, 0)</f>
        <v>34.413399999999996</v>
      </c>
      <c r="C199" s="14">
        <f>33.979 * CHOOSE(CONTROL!$C$9, $D$9, 100%, $F$9) + CHOOSE(CONTROL!$C$27, 0.0021, 0)</f>
        <v>33.981099999999998</v>
      </c>
      <c r="D199" s="14">
        <f>33.979 * CHOOSE(CONTROL!$C$9, $D$9, 100%, $F$9) + CHOOSE(CONTROL!$C$27, 0.0021, 0)</f>
        <v>33.981099999999998</v>
      </c>
      <c r="E199" s="14">
        <f>33.8424 * CHOOSE(CONTROL!$C$9, $D$9, 100%, $F$9) + CHOOSE(CONTROL!$C$27, 0.0021, 0)</f>
        <v>33.844499999999996</v>
      </c>
      <c r="F199" s="14">
        <f>33.8424 * CHOOSE(CONTROL!$C$9, $D$9, 100%, $F$9) + CHOOSE(CONTROL!$C$27, 0.0021, 0)</f>
        <v>33.844499999999996</v>
      </c>
      <c r="G199" s="14">
        <f>34.1137 * CHOOSE(CONTROL!$C$9, $D$9, 100%, $F$9) + CHOOSE(CONTROL!$C$27, 0.0021, 0)</f>
        <v>34.1158</v>
      </c>
      <c r="H199" s="14">
        <f>33.979 * CHOOSE(CONTROL!$C$9, $D$9, 100%, $F$9) + CHOOSE(CONTROL!$C$27, 0.0021, 0)</f>
        <v>33.981099999999998</v>
      </c>
      <c r="I199" s="14">
        <f>33.979 * CHOOSE(CONTROL!$C$9, $D$9, 100%, $F$9) + CHOOSE(CONTROL!$C$27, 0.0021, 0)</f>
        <v>33.981099999999998</v>
      </c>
      <c r="J199" s="14">
        <f>33.979 * CHOOSE(CONTROL!$C$9, $D$9, 100%, $F$9) + CHOOSE(CONTROL!$C$27, 0.0021, 0)</f>
        <v>33.981099999999998</v>
      </c>
      <c r="K199" s="14">
        <f>33.979 * CHOOSE(CONTROL!$C$9, $D$9, 100%, $F$9) + CHOOSE(CONTROL!$C$27, 0.0021, 0)</f>
        <v>33.981099999999998</v>
      </c>
      <c r="L199" s="14"/>
    </row>
    <row r="200" spans="1:12" ht="15" x14ac:dyDescent="0.2">
      <c r="A200" s="13">
        <v>46997</v>
      </c>
      <c r="B200" s="14">
        <f>35.0644 * CHOOSE(CONTROL!$C$9, $D$9, 100%, $F$9) + CHOOSE(CONTROL!$C$27, 0.0021, 0)</f>
        <v>35.066499999999998</v>
      </c>
      <c r="C200" s="14">
        <f>34.6322 * CHOOSE(CONTROL!$C$9, $D$9, 100%, $F$9) + CHOOSE(CONTROL!$C$27, 0.0021, 0)</f>
        <v>34.634299999999996</v>
      </c>
      <c r="D200" s="14">
        <f>34.6322 * CHOOSE(CONTROL!$C$9, $D$9, 100%, $F$9) + CHOOSE(CONTROL!$C$27, 0.0021, 0)</f>
        <v>34.634299999999996</v>
      </c>
      <c r="E200" s="14">
        <f>34.4955 * CHOOSE(CONTROL!$C$9, $D$9, 100%, $F$9) + CHOOSE(CONTROL!$C$27, 0.0021, 0)</f>
        <v>34.497599999999998</v>
      </c>
      <c r="F200" s="14">
        <f>34.4955 * CHOOSE(CONTROL!$C$9, $D$9, 100%, $F$9) + CHOOSE(CONTROL!$C$27, 0.0021, 0)</f>
        <v>34.497599999999998</v>
      </c>
      <c r="G200" s="14">
        <f>34.7669 * CHOOSE(CONTROL!$C$9, $D$9, 100%, $F$9) + CHOOSE(CONTROL!$C$27, 0.0021, 0)</f>
        <v>34.768999999999998</v>
      </c>
      <c r="H200" s="14">
        <f>34.6322 * CHOOSE(CONTROL!$C$9, $D$9, 100%, $F$9) + CHOOSE(CONTROL!$C$27, 0.0021, 0)</f>
        <v>34.634299999999996</v>
      </c>
      <c r="I200" s="14">
        <f>34.6322 * CHOOSE(CONTROL!$C$9, $D$9, 100%, $F$9) + CHOOSE(CONTROL!$C$27, 0.0021, 0)</f>
        <v>34.634299999999996</v>
      </c>
      <c r="J200" s="14">
        <f>34.6322 * CHOOSE(CONTROL!$C$9, $D$9, 100%, $F$9) + CHOOSE(CONTROL!$C$27, 0.0021, 0)</f>
        <v>34.634299999999996</v>
      </c>
      <c r="K200" s="14">
        <f>34.6322 * CHOOSE(CONTROL!$C$9, $D$9, 100%, $F$9) + CHOOSE(CONTROL!$C$27, 0.0021, 0)</f>
        <v>34.634299999999996</v>
      </c>
      <c r="L200" s="14"/>
    </row>
    <row r="201" spans="1:12" ht="15" x14ac:dyDescent="0.2">
      <c r="A201" s="13">
        <v>47027</v>
      </c>
      <c r="B201" s="14">
        <f>35.8912 * CHOOSE(CONTROL!$C$9, $D$9, 100%, $F$9) + CHOOSE(CONTROL!$C$27, 0.0021, 0)</f>
        <v>35.893299999999996</v>
      </c>
      <c r="C201" s="14">
        <f>35.4589 * CHOOSE(CONTROL!$C$9, $D$9, 100%, $F$9) + CHOOSE(CONTROL!$C$27, 0.0021, 0)</f>
        <v>35.460999999999999</v>
      </c>
      <c r="D201" s="14">
        <f>35.4589 * CHOOSE(CONTROL!$C$9, $D$9, 100%, $F$9) + CHOOSE(CONTROL!$C$27, 0.0021, 0)</f>
        <v>35.460999999999999</v>
      </c>
      <c r="E201" s="14">
        <f>35.3223 * CHOOSE(CONTROL!$C$9, $D$9, 100%, $F$9) + CHOOSE(CONTROL!$C$27, 0.0021, 0)</f>
        <v>35.324399999999997</v>
      </c>
      <c r="F201" s="14">
        <f>35.3223 * CHOOSE(CONTROL!$C$9, $D$9, 100%, $F$9) + CHOOSE(CONTROL!$C$27, 0.0021, 0)</f>
        <v>35.324399999999997</v>
      </c>
      <c r="G201" s="14">
        <f>35.5936 * CHOOSE(CONTROL!$C$9, $D$9, 100%, $F$9) + CHOOSE(CONTROL!$C$27, 0.0021, 0)</f>
        <v>35.595700000000001</v>
      </c>
      <c r="H201" s="14">
        <f>35.4589 * CHOOSE(CONTROL!$C$9, $D$9, 100%, $F$9) + CHOOSE(CONTROL!$C$27, 0.0021, 0)</f>
        <v>35.460999999999999</v>
      </c>
      <c r="I201" s="14">
        <f>35.4589 * CHOOSE(CONTROL!$C$9, $D$9, 100%, $F$9) + CHOOSE(CONTROL!$C$27, 0.0021, 0)</f>
        <v>35.460999999999999</v>
      </c>
      <c r="J201" s="14">
        <f>35.4589 * CHOOSE(CONTROL!$C$9, $D$9, 100%, $F$9) + CHOOSE(CONTROL!$C$27, 0.0021, 0)</f>
        <v>35.460999999999999</v>
      </c>
      <c r="K201" s="14">
        <f>35.4589 * CHOOSE(CONTROL!$C$9, $D$9, 100%, $F$9) + CHOOSE(CONTROL!$C$27, 0.0021, 0)</f>
        <v>35.460999999999999</v>
      </c>
      <c r="L201" s="14"/>
    </row>
    <row r="202" spans="1:12" ht="15" x14ac:dyDescent="0.2">
      <c r="A202" s="13">
        <v>47058</v>
      </c>
      <c r="B202" s="14">
        <f>35.9688 * CHOOSE(CONTROL!$C$9, $D$9, 100%, $F$9) + CHOOSE(CONTROL!$C$27, 0.0021, 0)</f>
        <v>35.9709</v>
      </c>
      <c r="C202" s="14">
        <f>35.5365 * CHOOSE(CONTROL!$C$9, $D$9, 100%, $F$9) + CHOOSE(CONTROL!$C$27, 0.0021, 0)</f>
        <v>35.538599999999995</v>
      </c>
      <c r="D202" s="14">
        <f>35.5365 * CHOOSE(CONTROL!$C$9, $D$9, 100%, $F$9) + CHOOSE(CONTROL!$C$27, 0.0021, 0)</f>
        <v>35.538599999999995</v>
      </c>
      <c r="E202" s="14">
        <f>35.3999 * CHOOSE(CONTROL!$C$9, $D$9, 100%, $F$9) + CHOOSE(CONTROL!$C$27, 0.0021, 0)</f>
        <v>35.402000000000001</v>
      </c>
      <c r="F202" s="14">
        <f>35.3999 * CHOOSE(CONTROL!$C$9, $D$9, 100%, $F$9) + CHOOSE(CONTROL!$C$27, 0.0021, 0)</f>
        <v>35.402000000000001</v>
      </c>
      <c r="G202" s="14">
        <f>35.6712 * CHOOSE(CONTROL!$C$9, $D$9, 100%, $F$9) + CHOOSE(CONTROL!$C$27, 0.0021, 0)</f>
        <v>35.673299999999998</v>
      </c>
      <c r="H202" s="14">
        <f>35.5365 * CHOOSE(CONTROL!$C$9, $D$9, 100%, $F$9) + CHOOSE(CONTROL!$C$27, 0.0021, 0)</f>
        <v>35.538599999999995</v>
      </c>
      <c r="I202" s="14">
        <f>35.5365 * CHOOSE(CONTROL!$C$9, $D$9, 100%, $F$9) + CHOOSE(CONTROL!$C$27, 0.0021, 0)</f>
        <v>35.538599999999995</v>
      </c>
      <c r="J202" s="14">
        <f>35.5365 * CHOOSE(CONTROL!$C$9, $D$9, 100%, $F$9) + CHOOSE(CONTROL!$C$27, 0.0021, 0)</f>
        <v>35.538599999999995</v>
      </c>
      <c r="K202" s="14">
        <f>35.5365 * CHOOSE(CONTROL!$C$9, $D$9, 100%, $F$9) + CHOOSE(CONTROL!$C$27, 0.0021, 0)</f>
        <v>35.538599999999995</v>
      </c>
      <c r="L202" s="14"/>
    </row>
    <row r="203" spans="1:12" ht="15" x14ac:dyDescent="0.2">
      <c r="A203" s="13">
        <v>47088</v>
      </c>
      <c r="B203" s="14">
        <f>35.3085 * CHOOSE(CONTROL!$C$9, $D$9, 100%, $F$9) + CHOOSE(CONTROL!$C$27, 0.0021, 0)</f>
        <v>35.310600000000001</v>
      </c>
      <c r="C203" s="14">
        <f>34.8762 * CHOOSE(CONTROL!$C$9, $D$9, 100%, $F$9) + CHOOSE(CONTROL!$C$27, 0.0021, 0)</f>
        <v>34.878299999999996</v>
      </c>
      <c r="D203" s="14">
        <f>34.8762 * CHOOSE(CONTROL!$C$9, $D$9, 100%, $F$9) + CHOOSE(CONTROL!$C$27, 0.0021, 0)</f>
        <v>34.878299999999996</v>
      </c>
      <c r="E203" s="14">
        <f>34.7396 * CHOOSE(CONTROL!$C$9, $D$9, 100%, $F$9) + CHOOSE(CONTROL!$C$27, 0.0021, 0)</f>
        <v>34.741700000000002</v>
      </c>
      <c r="F203" s="14">
        <f>34.7396 * CHOOSE(CONTROL!$C$9, $D$9, 100%, $F$9) + CHOOSE(CONTROL!$C$27, 0.0021, 0)</f>
        <v>34.741700000000002</v>
      </c>
      <c r="G203" s="14">
        <f>35.0109 * CHOOSE(CONTROL!$C$9, $D$9, 100%, $F$9) + CHOOSE(CONTROL!$C$27, 0.0021, 0)</f>
        <v>35.012999999999998</v>
      </c>
      <c r="H203" s="14">
        <f>34.8762 * CHOOSE(CONTROL!$C$9, $D$9, 100%, $F$9) + CHOOSE(CONTROL!$C$27, 0.0021, 0)</f>
        <v>34.878299999999996</v>
      </c>
      <c r="I203" s="14">
        <f>34.8762 * CHOOSE(CONTROL!$C$9, $D$9, 100%, $F$9) + CHOOSE(CONTROL!$C$27, 0.0021, 0)</f>
        <v>34.878299999999996</v>
      </c>
      <c r="J203" s="14">
        <f>34.8762 * CHOOSE(CONTROL!$C$9, $D$9, 100%, $F$9) + CHOOSE(CONTROL!$C$27, 0.0021, 0)</f>
        <v>34.878299999999996</v>
      </c>
      <c r="K203" s="14">
        <f>34.8762 * CHOOSE(CONTROL!$C$9, $D$9, 100%, $F$9) + CHOOSE(CONTROL!$C$27, 0.0021, 0)</f>
        <v>34.878299999999996</v>
      </c>
      <c r="L203" s="14"/>
    </row>
    <row r="204" spans="1:12" ht="15" x14ac:dyDescent="0.2">
      <c r="A204" s="13">
        <v>47119</v>
      </c>
      <c r="B204" s="14">
        <f>34.8927 * CHOOSE(CONTROL!$C$9, $D$9, 100%, $F$9) + CHOOSE(CONTROL!$C$27, 0.0021, 0)</f>
        <v>34.894799999999996</v>
      </c>
      <c r="C204" s="14">
        <f>34.4604 * CHOOSE(CONTROL!$C$9, $D$9, 100%, $F$9) + CHOOSE(CONTROL!$C$27, 0.0021, 0)</f>
        <v>34.462499999999999</v>
      </c>
      <c r="D204" s="14">
        <f>34.4604 * CHOOSE(CONTROL!$C$9, $D$9, 100%, $F$9) + CHOOSE(CONTROL!$C$27, 0.0021, 0)</f>
        <v>34.462499999999999</v>
      </c>
      <c r="E204" s="14">
        <f>34.3238 * CHOOSE(CONTROL!$C$9, $D$9, 100%, $F$9) + CHOOSE(CONTROL!$C$27, 0.0021, 0)</f>
        <v>34.325899999999997</v>
      </c>
      <c r="F204" s="14">
        <f>34.3238 * CHOOSE(CONTROL!$C$9, $D$9, 100%, $F$9) + CHOOSE(CONTROL!$C$27, 0.0021, 0)</f>
        <v>34.325899999999997</v>
      </c>
      <c r="G204" s="14">
        <f>34.5951 * CHOOSE(CONTROL!$C$9, $D$9, 100%, $F$9) + CHOOSE(CONTROL!$C$27, 0.0021, 0)</f>
        <v>34.597200000000001</v>
      </c>
      <c r="H204" s="14">
        <f>34.4604 * CHOOSE(CONTROL!$C$9, $D$9, 100%, $F$9) + CHOOSE(CONTROL!$C$27, 0.0021, 0)</f>
        <v>34.462499999999999</v>
      </c>
      <c r="I204" s="14">
        <f>34.4604 * CHOOSE(CONTROL!$C$9, $D$9, 100%, $F$9) + CHOOSE(CONTROL!$C$27, 0.0021, 0)</f>
        <v>34.462499999999999</v>
      </c>
      <c r="J204" s="14">
        <f>34.4604 * CHOOSE(CONTROL!$C$9, $D$9, 100%, $F$9) + CHOOSE(CONTROL!$C$27, 0.0021, 0)</f>
        <v>34.462499999999999</v>
      </c>
      <c r="K204" s="14">
        <f>34.4604 * CHOOSE(CONTROL!$C$9, $D$9, 100%, $F$9) + CHOOSE(CONTROL!$C$27, 0.0021, 0)</f>
        <v>34.462499999999999</v>
      </c>
      <c r="L204" s="14"/>
    </row>
    <row r="205" spans="1:12" ht="15" x14ac:dyDescent="0.2">
      <c r="A205" s="13">
        <v>47150</v>
      </c>
      <c r="B205" s="14">
        <f>33.9705 * CHOOSE(CONTROL!$C$9, $D$9, 100%, $F$9) + CHOOSE(CONTROL!$C$27, 0.0021, 0)</f>
        <v>33.9726</v>
      </c>
      <c r="C205" s="14">
        <f>33.5383 * CHOOSE(CONTROL!$C$9, $D$9, 100%, $F$9) + CHOOSE(CONTROL!$C$27, 0.0021, 0)</f>
        <v>33.540399999999998</v>
      </c>
      <c r="D205" s="14">
        <f>33.5383 * CHOOSE(CONTROL!$C$9, $D$9, 100%, $F$9) + CHOOSE(CONTROL!$C$27, 0.0021, 0)</f>
        <v>33.540399999999998</v>
      </c>
      <c r="E205" s="14">
        <f>33.4016 * CHOOSE(CONTROL!$C$9, $D$9, 100%, $F$9) + CHOOSE(CONTROL!$C$27, 0.0021, 0)</f>
        <v>33.403700000000001</v>
      </c>
      <c r="F205" s="14">
        <f>33.4016 * CHOOSE(CONTROL!$C$9, $D$9, 100%, $F$9) + CHOOSE(CONTROL!$C$27, 0.0021, 0)</f>
        <v>33.403700000000001</v>
      </c>
      <c r="G205" s="14">
        <f>33.673 * CHOOSE(CONTROL!$C$9, $D$9, 100%, $F$9) + CHOOSE(CONTROL!$C$27, 0.0021, 0)</f>
        <v>33.6751</v>
      </c>
      <c r="H205" s="14">
        <f>33.5383 * CHOOSE(CONTROL!$C$9, $D$9, 100%, $F$9) + CHOOSE(CONTROL!$C$27, 0.0021, 0)</f>
        <v>33.540399999999998</v>
      </c>
      <c r="I205" s="14">
        <f>33.5383 * CHOOSE(CONTROL!$C$9, $D$9, 100%, $F$9) + CHOOSE(CONTROL!$C$27, 0.0021, 0)</f>
        <v>33.540399999999998</v>
      </c>
      <c r="J205" s="14">
        <f>33.5383 * CHOOSE(CONTROL!$C$9, $D$9, 100%, $F$9) + CHOOSE(CONTROL!$C$27, 0.0021, 0)</f>
        <v>33.540399999999998</v>
      </c>
      <c r="K205" s="14">
        <f>33.5383 * CHOOSE(CONTROL!$C$9, $D$9, 100%, $F$9) + CHOOSE(CONTROL!$C$27, 0.0021, 0)</f>
        <v>33.540399999999998</v>
      </c>
      <c r="L205" s="14"/>
    </row>
    <row r="206" spans="1:12" ht="15" x14ac:dyDescent="0.2">
      <c r="A206" s="13">
        <v>47178</v>
      </c>
      <c r="B206" s="14">
        <f>33.5899 * CHOOSE(CONTROL!$C$9, $D$9, 100%, $F$9) + CHOOSE(CONTROL!$C$27, 0.0021, 0)</f>
        <v>33.591999999999999</v>
      </c>
      <c r="C206" s="14">
        <f>33.1577 * CHOOSE(CONTROL!$C$9, $D$9, 100%, $F$9) + CHOOSE(CONTROL!$C$27, 0.0021, 0)</f>
        <v>33.159799999999997</v>
      </c>
      <c r="D206" s="14">
        <f>33.1577 * CHOOSE(CONTROL!$C$9, $D$9, 100%, $F$9) + CHOOSE(CONTROL!$C$27, 0.0021, 0)</f>
        <v>33.159799999999997</v>
      </c>
      <c r="E206" s="14">
        <f>33.021 * CHOOSE(CONTROL!$C$9, $D$9, 100%, $F$9) + CHOOSE(CONTROL!$C$27, 0.0021, 0)</f>
        <v>33.023099999999999</v>
      </c>
      <c r="F206" s="14">
        <f>33.021 * CHOOSE(CONTROL!$C$9, $D$9, 100%, $F$9) + CHOOSE(CONTROL!$C$27, 0.0021, 0)</f>
        <v>33.023099999999999</v>
      </c>
      <c r="G206" s="14">
        <f>33.2924 * CHOOSE(CONTROL!$C$9, $D$9, 100%, $F$9) + CHOOSE(CONTROL!$C$27, 0.0021, 0)</f>
        <v>33.294499999999999</v>
      </c>
      <c r="H206" s="14">
        <f>33.1577 * CHOOSE(CONTROL!$C$9, $D$9, 100%, $F$9) + CHOOSE(CONTROL!$C$27, 0.0021, 0)</f>
        <v>33.159799999999997</v>
      </c>
      <c r="I206" s="14">
        <f>33.1577 * CHOOSE(CONTROL!$C$9, $D$9, 100%, $F$9) + CHOOSE(CONTROL!$C$27, 0.0021, 0)</f>
        <v>33.159799999999997</v>
      </c>
      <c r="J206" s="14">
        <f>33.1577 * CHOOSE(CONTROL!$C$9, $D$9, 100%, $F$9) + CHOOSE(CONTROL!$C$27, 0.0021, 0)</f>
        <v>33.159799999999997</v>
      </c>
      <c r="K206" s="14">
        <f>33.1577 * CHOOSE(CONTROL!$C$9, $D$9, 100%, $F$9) + CHOOSE(CONTROL!$C$27, 0.0021, 0)</f>
        <v>33.159799999999997</v>
      </c>
      <c r="L206" s="14"/>
    </row>
    <row r="207" spans="1:12" ht="15" x14ac:dyDescent="0.2">
      <c r="A207" s="13">
        <v>47209</v>
      </c>
      <c r="B207" s="14">
        <f>33.1354 * CHOOSE(CONTROL!$C$9, $D$9, 100%, $F$9) + CHOOSE(CONTROL!$C$27, 0.0021, 0)</f>
        <v>33.137499999999996</v>
      </c>
      <c r="C207" s="14">
        <f>32.7032 * CHOOSE(CONTROL!$C$9, $D$9, 100%, $F$9) + CHOOSE(CONTROL!$C$27, 0.0021, 0)</f>
        <v>32.705300000000001</v>
      </c>
      <c r="D207" s="14">
        <f>32.7032 * CHOOSE(CONTROL!$C$9, $D$9, 100%, $F$9) + CHOOSE(CONTROL!$C$27, 0.0021, 0)</f>
        <v>32.705300000000001</v>
      </c>
      <c r="E207" s="14">
        <f>32.5665 * CHOOSE(CONTROL!$C$9, $D$9, 100%, $F$9) + CHOOSE(CONTROL!$C$27, 0.0021, 0)</f>
        <v>32.568599999999996</v>
      </c>
      <c r="F207" s="14">
        <f>32.5665 * CHOOSE(CONTROL!$C$9, $D$9, 100%, $F$9) + CHOOSE(CONTROL!$C$27, 0.0021, 0)</f>
        <v>32.568599999999996</v>
      </c>
      <c r="G207" s="14">
        <f>32.8379 * CHOOSE(CONTROL!$C$9, $D$9, 100%, $F$9) + CHOOSE(CONTROL!$C$27, 0.0021, 0)</f>
        <v>32.839999999999996</v>
      </c>
      <c r="H207" s="14">
        <f>32.7032 * CHOOSE(CONTROL!$C$9, $D$9, 100%, $F$9) + CHOOSE(CONTROL!$C$27, 0.0021, 0)</f>
        <v>32.705300000000001</v>
      </c>
      <c r="I207" s="14">
        <f>32.7032 * CHOOSE(CONTROL!$C$9, $D$9, 100%, $F$9) + CHOOSE(CONTROL!$C$27, 0.0021, 0)</f>
        <v>32.705300000000001</v>
      </c>
      <c r="J207" s="14">
        <f>32.7032 * CHOOSE(CONTROL!$C$9, $D$9, 100%, $F$9) + CHOOSE(CONTROL!$C$27, 0.0021, 0)</f>
        <v>32.705300000000001</v>
      </c>
      <c r="K207" s="14">
        <f>32.7032 * CHOOSE(CONTROL!$C$9, $D$9, 100%, $F$9) + CHOOSE(CONTROL!$C$27, 0.0021, 0)</f>
        <v>32.705300000000001</v>
      </c>
      <c r="L207" s="14"/>
    </row>
    <row r="208" spans="1:12" ht="15" x14ac:dyDescent="0.2">
      <c r="A208" s="13">
        <v>47239</v>
      </c>
      <c r="B208" s="14">
        <f>33.7831 * CHOOSE(CONTROL!$C$9, $D$9, 100%, $F$9) + CHOOSE(CONTROL!$C$27, 0.0021, 0)</f>
        <v>33.785199999999996</v>
      </c>
      <c r="C208" s="14">
        <f>33.3509 * CHOOSE(CONTROL!$C$9, $D$9, 100%, $F$9) + CHOOSE(CONTROL!$C$27, 0.0021, 0)</f>
        <v>33.353000000000002</v>
      </c>
      <c r="D208" s="14">
        <f>33.3509 * CHOOSE(CONTROL!$C$9, $D$9, 100%, $F$9) + CHOOSE(CONTROL!$C$27, 0.0021, 0)</f>
        <v>33.353000000000002</v>
      </c>
      <c r="E208" s="14">
        <f>33.2142 * CHOOSE(CONTROL!$C$9, $D$9, 100%, $F$9) + CHOOSE(CONTROL!$C$27, 0.0021, 0)</f>
        <v>33.216299999999997</v>
      </c>
      <c r="F208" s="14">
        <f>33.2142 * CHOOSE(CONTROL!$C$9, $D$9, 100%, $F$9) + CHOOSE(CONTROL!$C$27, 0.0021, 0)</f>
        <v>33.216299999999997</v>
      </c>
      <c r="G208" s="14">
        <f>33.4856 * CHOOSE(CONTROL!$C$9, $D$9, 100%, $F$9) + CHOOSE(CONTROL!$C$27, 0.0021, 0)</f>
        <v>33.487699999999997</v>
      </c>
      <c r="H208" s="14">
        <f>33.3509 * CHOOSE(CONTROL!$C$9, $D$9, 100%, $F$9) + CHOOSE(CONTROL!$C$27, 0.0021, 0)</f>
        <v>33.353000000000002</v>
      </c>
      <c r="I208" s="14">
        <f>33.3509 * CHOOSE(CONTROL!$C$9, $D$9, 100%, $F$9) + CHOOSE(CONTROL!$C$27, 0.0021, 0)</f>
        <v>33.353000000000002</v>
      </c>
      <c r="J208" s="14">
        <f>33.3509 * CHOOSE(CONTROL!$C$9, $D$9, 100%, $F$9) + CHOOSE(CONTROL!$C$27, 0.0021, 0)</f>
        <v>33.353000000000002</v>
      </c>
      <c r="K208" s="14">
        <f>33.3509 * CHOOSE(CONTROL!$C$9, $D$9, 100%, $F$9) + CHOOSE(CONTROL!$C$27, 0.0021, 0)</f>
        <v>33.353000000000002</v>
      </c>
      <c r="L208" s="14"/>
    </row>
    <row r="209" spans="1:12" ht="15" x14ac:dyDescent="0.2">
      <c r="A209" s="13">
        <v>47270</v>
      </c>
      <c r="B209" s="14">
        <f>34.1711 * CHOOSE(CONTROL!$C$9, $D$9, 100%, $F$9) + CHOOSE(CONTROL!$C$27, 0.0021, 0)</f>
        <v>34.173200000000001</v>
      </c>
      <c r="C209" s="14">
        <f>33.7388 * CHOOSE(CONTROL!$C$9, $D$9, 100%, $F$9) + CHOOSE(CONTROL!$C$27, 0.0021, 0)</f>
        <v>33.740899999999996</v>
      </c>
      <c r="D209" s="14">
        <f>33.7388 * CHOOSE(CONTROL!$C$9, $D$9, 100%, $F$9) + CHOOSE(CONTROL!$C$27, 0.0021, 0)</f>
        <v>33.740899999999996</v>
      </c>
      <c r="E209" s="14">
        <f>33.6022 * CHOOSE(CONTROL!$C$9, $D$9, 100%, $F$9) + CHOOSE(CONTROL!$C$27, 0.0021, 0)</f>
        <v>33.604300000000002</v>
      </c>
      <c r="F209" s="14">
        <f>33.6022 * CHOOSE(CONTROL!$C$9, $D$9, 100%, $F$9) + CHOOSE(CONTROL!$C$27, 0.0021, 0)</f>
        <v>33.604300000000002</v>
      </c>
      <c r="G209" s="14">
        <f>33.8735 * CHOOSE(CONTROL!$C$9, $D$9, 100%, $F$9) + CHOOSE(CONTROL!$C$27, 0.0021, 0)</f>
        <v>33.875599999999999</v>
      </c>
      <c r="H209" s="14">
        <f>33.7388 * CHOOSE(CONTROL!$C$9, $D$9, 100%, $F$9) + CHOOSE(CONTROL!$C$27, 0.0021, 0)</f>
        <v>33.740899999999996</v>
      </c>
      <c r="I209" s="14">
        <f>33.7388 * CHOOSE(CONTROL!$C$9, $D$9, 100%, $F$9) + CHOOSE(CONTROL!$C$27, 0.0021, 0)</f>
        <v>33.740899999999996</v>
      </c>
      <c r="J209" s="14">
        <f>33.7388 * CHOOSE(CONTROL!$C$9, $D$9, 100%, $F$9) + CHOOSE(CONTROL!$C$27, 0.0021, 0)</f>
        <v>33.740899999999996</v>
      </c>
      <c r="K209" s="14">
        <f>33.7388 * CHOOSE(CONTROL!$C$9, $D$9, 100%, $F$9) + CHOOSE(CONTROL!$C$27, 0.0021, 0)</f>
        <v>33.740899999999996</v>
      </c>
      <c r="L209" s="14"/>
    </row>
    <row r="210" spans="1:12" ht="15" x14ac:dyDescent="0.2">
      <c r="A210" s="13">
        <v>47300</v>
      </c>
      <c r="B210" s="14">
        <f>34.8111 * CHOOSE(CONTROL!$C$9, $D$9, 100%, $F$9) + CHOOSE(CONTROL!$C$27, 0.0021, 0)</f>
        <v>34.813200000000002</v>
      </c>
      <c r="C210" s="14">
        <f>34.3788 * CHOOSE(CONTROL!$C$9, $D$9, 100%, $F$9) + CHOOSE(CONTROL!$C$27, 0.0021, 0)</f>
        <v>34.380899999999997</v>
      </c>
      <c r="D210" s="14">
        <f>34.3788 * CHOOSE(CONTROL!$C$9, $D$9, 100%, $F$9) + CHOOSE(CONTROL!$C$27, 0.0021, 0)</f>
        <v>34.380899999999997</v>
      </c>
      <c r="E210" s="14">
        <f>34.2422 * CHOOSE(CONTROL!$C$9, $D$9, 100%, $F$9) + CHOOSE(CONTROL!$C$27, 0.0021, 0)</f>
        <v>34.244299999999996</v>
      </c>
      <c r="F210" s="14">
        <f>34.2422 * CHOOSE(CONTROL!$C$9, $D$9, 100%, $F$9) + CHOOSE(CONTROL!$C$27, 0.0021, 0)</f>
        <v>34.244299999999996</v>
      </c>
      <c r="G210" s="14">
        <f>34.5135 * CHOOSE(CONTROL!$C$9, $D$9, 100%, $F$9) + CHOOSE(CONTROL!$C$27, 0.0021, 0)</f>
        <v>34.515599999999999</v>
      </c>
      <c r="H210" s="14">
        <f>34.3788 * CHOOSE(CONTROL!$C$9, $D$9, 100%, $F$9) + CHOOSE(CONTROL!$C$27, 0.0021, 0)</f>
        <v>34.380899999999997</v>
      </c>
      <c r="I210" s="14">
        <f>34.3788 * CHOOSE(CONTROL!$C$9, $D$9, 100%, $F$9) + CHOOSE(CONTROL!$C$27, 0.0021, 0)</f>
        <v>34.380899999999997</v>
      </c>
      <c r="J210" s="14">
        <f>34.3788 * CHOOSE(CONTROL!$C$9, $D$9, 100%, $F$9) + CHOOSE(CONTROL!$C$27, 0.0021, 0)</f>
        <v>34.380899999999997</v>
      </c>
      <c r="K210" s="14">
        <f>34.3788 * CHOOSE(CONTROL!$C$9, $D$9, 100%, $F$9) + CHOOSE(CONTROL!$C$27, 0.0021, 0)</f>
        <v>34.380899999999997</v>
      </c>
      <c r="L210" s="14"/>
    </row>
    <row r="211" spans="1:12" ht="15" x14ac:dyDescent="0.2">
      <c r="A211" s="13">
        <v>47331</v>
      </c>
      <c r="B211" s="14">
        <f>35.0064 * CHOOSE(CONTROL!$C$9, $D$9, 100%, $F$9) + CHOOSE(CONTROL!$C$27, 0.0021, 0)</f>
        <v>35.008499999999998</v>
      </c>
      <c r="C211" s="14">
        <f>34.5742 * CHOOSE(CONTROL!$C$9, $D$9, 100%, $F$9) + CHOOSE(CONTROL!$C$27, 0.0021, 0)</f>
        <v>34.576299999999996</v>
      </c>
      <c r="D211" s="14">
        <f>34.5742 * CHOOSE(CONTROL!$C$9, $D$9, 100%, $F$9) + CHOOSE(CONTROL!$C$27, 0.0021, 0)</f>
        <v>34.576299999999996</v>
      </c>
      <c r="E211" s="14">
        <f>34.4375 * CHOOSE(CONTROL!$C$9, $D$9, 100%, $F$9) + CHOOSE(CONTROL!$C$27, 0.0021, 0)</f>
        <v>34.439599999999999</v>
      </c>
      <c r="F211" s="14">
        <f>34.4375 * CHOOSE(CONTROL!$C$9, $D$9, 100%, $F$9) + CHOOSE(CONTROL!$C$27, 0.0021, 0)</f>
        <v>34.439599999999999</v>
      </c>
      <c r="G211" s="14">
        <f>34.7089 * CHOOSE(CONTROL!$C$9, $D$9, 100%, $F$9) + CHOOSE(CONTROL!$C$27, 0.0021, 0)</f>
        <v>34.710999999999999</v>
      </c>
      <c r="H211" s="14">
        <f>34.5742 * CHOOSE(CONTROL!$C$9, $D$9, 100%, $F$9) + CHOOSE(CONTROL!$C$27, 0.0021, 0)</f>
        <v>34.576299999999996</v>
      </c>
      <c r="I211" s="14">
        <f>34.5742 * CHOOSE(CONTROL!$C$9, $D$9, 100%, $F$9) + CHOOSE(CONTROL!$C$27, 0.0021, 0)</f>
        <v>34.576299999999996</v>
      </c>
      <c r="J211" s="14">
        <f>34.5742 * CHOOSE(CONTROL!$C$9, $D$9, 100%, $F$9) + CHOOSE(CONTROL!$C$27, 0.0021, 0)</f>
        <v>34.576299999999996</v>
      </c>
      <c r="K211" s="14">
        <f>34.5742 * CHOOSE(CONTROL!$C$9, $D$9, 100%, $F$9) + CHOOSE(CONTROL!$C$27, 0.0021, 0)</f>
        <v>34.576299999999996</v>
      </c>
      <c r="L211" s="14"/>
    </row>
    <row r="212" spans="1:12" ht="15" x14ac:dyDescent="0.2">
      <c r="A212" s="13">
        <v>47362</v>
      </c>
      <c r="B212" s="14">
        <f>35.6716 * CHOOSE(CONTROL!$C$9, $D$9, 100%, $F$9) + CHOOSE(CONTROL!$C$27, 0.0021, 0)</f>
        <v>35.673699999999997</v>
      </c>
      <c r="C212" s="14">
        <f>35.2394 * CHOOSE(CONTROL!$C$9, $D$9, 100%, $F$9) + CHOOSE(CONTROL!$C$27, 0.0021, 0)</f>
        <v>35.241500000000002</v>
      </c>
      <c r="D212" s="14">
        <f>35.2394 * CHOOSE(CONTROL!$C$9, $D$9, 100%, $F$9) + CHOOSE(CONTROL!$C$27, 0.0021, 0)</f>
        <v>35.241500000000002</v>
      </c>
      <c r="E212" s="14">
        <f>35.1027 * CHOOSE(CONTROL!$C$9, $D$9, 100%, $F$9) + CHOOSE(CONTROL!$C$27, 0.0021, 0)</f>
        <v>35.104799999999997</v>
      </c>
      <c r="F212" s="14">
        <f>35.1027 * CHOOSE(CONTROL!$C$9, $D$9, 100%, $F$9) + CHOOSE(CONTROL!$C$27, 0.0021, 0)</f>
        <v>35.104799999999997</v>
      </c>
      <c r="G212" s="14">
        <f>35.3741 * CHOOSE(CONTROL!$C$9, $D$9, 100%, $F$9) + CHOOSE(CONTROL!$C$27, 0.0021, 0)</f>
        <v>35.376199999999997</v>
      </c>
      <c r="H212" s="14">
        <f>35.2394 * CHOOSE(CONTROL!$C$9, $D$9, 100%, $F$9) + CHOOSE(CONTROL!$C$27, 0.0021, 0)</f>
        <v>35.241500000000002</v>
      </c>
      <c r="I212" s="14">
        <f>35.2394 * CHOOSE(CONTROL!$C$9, $D$9, 100%, $F$9) + CHOOSE(CONTROL!$C$27, 0.0021, 0)</f>
        <v>35.241500000000002</v>
      </c>
      <c r="J212" s="14">
        <f>35.2394 * CHOOSE(CONTROL!$C$9, $D$9, 100%, $F$9) + CHOOSE(CONTROL!$C$27, 0.0021, 0)</f>
        <v>35.241500000000002</v>
      </c>
      <c r="K212" s="14">
        <f>35.2394 * CHOOSE(CONTROL!$C$9, $D$9, 100%, $F$9) + CHOOSE(CONTROL!$C$27, 0.0021, 0)</f>
        <v>35.241500000000002</v>
      </c>
      <c r="L212" s="14"/>
    </row>
    <row r="213" spans="1:12" ht="15" x14ac:dyDescent="0.2">
      <c r="A213" s="13">
        <v>47392</v>
      </c>
      <c r="B213" s="14">
        <f>36.5137 * CHOOSE(CONTROL!$C$9, $D$9, 100%, $F$9) + CHOOSE(CONTROL!$C$27, 0.0021, 0)</f>
        <v>36.515799999999999</v>
      </c>
      <c r="C213" s="14">
        <f>36.0815 * CHOOSE(CONTROL!$C$9, $D$9, 100%, $F$9) + CHOOSE(CONTROL!$C$27, 0.0021, 0)</f>
        <v>36.083599999999997</v>
      </c>
      <c r="D213" s="14">
        <f>36.0815 * CHOOSE(CONTROL!$C$9, $D$9, 100%, $F$9) + CHOOSE(CONTROL!$C$27, 0.0021, 0)</f>
        <v>36.083599999999997</v>
      </c>
      <c r="E213" s="14">
        <f>35.9448 * CHOOSE(CONTROL!$C$9, $D$9, 100%, $F$9) + CHOOSE(CONTROL!$C$27, 0.0021, 0)</f>
        <v>35.946899999999999</v>
      </c>
      <c r="F213" s="14">
        <f>35.9448 * CHOOSE(CONTROL!$C$9, $D$9, 100%, $F$9) + CHOOSE(CONTROL!$C$27, 0.0021, 0)</f>
        <v>35.946899999999999</v>
      </c>
      <c r="G213" s="14">
        <f>36.2162 * CHOOSE(CONTROL!$C$9, $D$9, 100%, $F$9) + CHOOSE(CONTROL!$C$27, 0.0021, 0)</f>
        <v>36.218299999999999</v>
      </c>
      <c r="H213" s="14">
        <f>36.0815 * CHOOSE(CONTROL!$C$9, $D$9, 100%, $F$9) + CHOOSE(CONTROL!$C$27, 0.0021, 0)</f>
        <v>36.083599999999997</v>
      </c>
      <c r="I213" s="14">
        <f>36.0815 * CHOOSE(CONTROL!$C$9, $D$9, 100%, $F$9) + CHOOSE(CONTROL!$C$27, 0.0021, 0)</f>
        <v>36.083599999999997</v>
      </c>
      <c r="J213" s="14">
        <f>36.0815 * CHOOSE(CONTROL!$C$9, $D$9, 100%, $F$9) + CHOOSE(CONTROL!$C$27, 0.0021, 0)</f>
        <v>36.083599999999997</v>
      </c>
      <c r="K213" s="14">
        <f>36.0815 * CHOOSE(CONTROL!$C$9, $D$9, 100%, $F$9) + CHOOSE(CONTROL!$C$27, 0.0021, 0)</f>
        <v>36.083599999999997</v>
      </c>
      <c r="L213" s="14"/>
    </row>
    <row r="214" spans="1:12" ht="15" x14ac:dyDescent="0.2">
      <c r="A214" s="13">
        <v>47423</v>
      </c>
      <c r="B214" s="14">
        <f>36.5928 * CHOOSE(CONTROL!$C$9, $D$9, 100%, $F$9) + CHOOSE(CONTROL!$C$27, 0.0021, 0)</f>
        <v>36.594899999999996</v>
      </c>
      <c r="C214" s="14">
        <f>36.1605 * CHOOSE(CONTROL!$C$9, $D$9, 100%, $F$9) + CHOOSE(CONTROL!$C$27, 0.0021, 0)</f>
        <v>36.162599999999998</v>
      </c>
      <c r="D214" s="14">
        <f>36.1605 * CHOOSE(CONTROL!$C$9, $D$9, 100%, $F$9) + CHOOSE(CONTROL!$C$27, 0.0021, 0)</f>
        <v>36.162599999999998</v>
      </c>
      <c r="E214" s="14">
        <f>36.0239 * CHOOSE(CONTROL!$C$9, $D$9, 100%, $F$9) + CHOOSE(CONTROL!$C$27, 0.0021, 0)</f>
        <v>36.025999999999996</v>
      </c>
      <c r="F214" s="14">
        <f>36.0239 * CHOOSE(CONTROL!$C$9, $D$9, 100%, $F$9) + CHOOSE(CONTROL!$C$27, 0.0021, 0)</f>
        <v>36.025999999999996</v>
      </c>
      <c r="G214" s="14">
        <f>36.2952 * CHOOSE(CONTROL!$C$9, $D$9, 100%, $F$9) + CHOOSE(CONTROL!$C$27, 0.0021, 0)</f>
        <v>36.2973</v>
      </c>
      <c r="H214" s="14">
        <f>36.1605 * CHOOSE(CONTROL!$C$9, $D$9, 100%, $F$9) + CHOOSE(CONTROL!$C$27, 0.0021, 0)</f>
        <v>36.162599999999998</v>
      </c>
      <c r="I214" s="14">
        <f>36.1605 * CHOOSE(CONTROL!$C$9, $D$9, 100%, $F$9) + CHOOSE(CONTROL!$C$27, 0.0021, 0)</f>
        <v>36.162599999999998</v>
      </c>
      <c r="J214" s="14">
        <f>36.1605 * CHOOSE(CONTROL!$C$9, $D$9, 100%, $F$9) + CHOOSE(CONTROL!$C$27, 0.0021, 0)</f>
        <v>36.162599999999998</v>
      </c>
      <c r="K214" s="14">
        <f>36.1605 * CHOOSE(CONTROL!$C$9, $D$9, 100%, $F$9) + CHOOSE(CONTROL!$C$27, 0.0021, 0)</f>
        <v>36.162599999999998</v>
      </c>
      <c r="L214" s="14"/>
    </row>
    <row r="215" spans="1:12" ht="15" x14ac:dyDescent="0.2">
      <c r="A215" s="13">
        <v>47453</v>
      </c>
      <c r="B215" s="14">
        <f>35.9202 * CHOOSE(CONTROL!$C$9, $D$9, 100%, $F$9) + CHOOSE(CONTROL!$C$27, 0.0021, 0)</f>
        <v>35.9223</v>
      </c>
      <c r="C215" s="14">
        <f>35.488 * CHOOSE(CONTROL!$C$9, $D$9, 100%, $F$9) + CHOOSE(CONTROL!$C$27, 0.0021, 0)</f>
        <v>35.490099999999998</v>
      </c>
      <c r="D215" s="14">
        <f>35.488 * CHOOSE(CONTROL!$C$9, $D$9, 100%, $F$9) + CHOOSE(CONTROL!$C$27, 0.0021, 0)</f>
        <v>35.490099999999998</v>
      </c>
      <c r="E215" s="14">
        <f>35.3513 * CHOOSE(CONTROL!$C$9, $D$9, 100%, $F$9) + CHOOSE(CONTROL!$C$27, 0.0021, 0)</f>
        <v>35.353400000000001</v>
      </c>
      <c r="F215" s="14">
        <f>35.3513 * CHOOSE(CONTROL!$C$9, $D$9, 100%, $F$9) + CHOOSE(CONTROL!$C$27, 0.0021, 0)</f>
        <v>35.353400000000001</v>
      </c>
      <c r="G215" s="14">
        <f>35.6227 * CHOOSE(CONTROL!$C$9, $D$9, 100%, $F$9) + CHOOSE(CONTROL!$C$27, 0.0021, 0)</f>
        <v>35.6248</v>
      </c>
      <c r="H215" s="14">
        <f>35.488 * CHOOSE(CONTROL!$C$9, $D$9, 100%, $F$9) + CHOOSE(CONTROL!$C$27, 0.0021, 0)</f>
        <v>35.490099999999998</v>
      </c>
      <c r="I215" s="14">
        <f>35.488 * CHOOSE(CONTROL!$C$9, $D$9, 100%, $F$9) + CHOOSE(CONTROL!$C$27, 0.0021, 0)</f>
        <v>35.490099999999998</v>
      </c>
      <c r="J215" s="14">
        <f>35.488 * CHOOSE(CONTROL!$C$9, $D$9, 100%, $F$9) + CHOOSE(CONTROL!$C$27, 0.0021, 0)</f>
        <v>35.490099999999998</v>
      </c>
      <c r="K215" s="14">
        <f>35.488 * CHOOSE(CONTROL!$C$9, $D$9, 100%, $F$9) + CHOOSE(CONTROL!$C$27, 0.0021, 0)</f>
        <v>35.490099999999998</v>
      </c>
      <c r="L215" s="14"/>
    </row>
    <row r="216" spans="1:12" ht="15" x14ac:dyDescent="0.2">
      <c r="A216" s="13">
        <v>47484</v>
      </c>
      <c r="B216" s="14">
        <f>35.4794 * CHOOSE(CONTROL!$C$9, $D$9, 100%, $F$9) + CHOOSE(CONTROL!$C$27, 0.0021, 0)</f>
        <v>35.481499999999997</v>
      </c>
      <c r="C216" s="14">
        <f>35.0471 * CHOOSE(CONTROL!$C$9, $D$9, 100%, $F$9) + CHOOSE(CONTROL!$C$27, 0.0021, 0)</f>
        <v>35.049199999999999</v>
      </c>
      <c r="D216" s="14">
        <f>35.0471 * CHOOSE(CONTROL!$C$9, $D$9, 100%, $F$9) + CHOOSE(CONTROL!$C$27, 0.0021, 0)</f>
        <v>35.049199999999999</v>
      </c>
      <c r="E216" s="14">
        <f>34.9105 * CHOOSE(CONTROL!$C$9, $D$9, 100%, $F$9) + CHOOSE(CONTROL!$C$27, 0.0021, 0)</f>
        <v>34.912599999999998</v>
      </c>
      <c r="F216" s="14">
        <f>34.9105 * CHOOSE(CONTROL!$C$9, $D$9, 100%, $F$9) + CHOOSE(CONTROL!$C$27, 0.0021, 0)</f>
        <v>34.912599999999998</v>
      </c>
      <c r="G216" s="14">
        <f>35.1818 * CHOOSE(CONTROL!$C$9, $D$9, 100%, $F$9) + CHOOSE(CONTROL!$C$27, 0.0021, 0)</f>
        <v>35.183900000000001</v>
      </c>
      <c r="H216" s="14">
        <f>35.0471 * CHOOSE(CONTROL!$C$9, $D$9, 100%, $F$9) + CHOOSE(CONTROL!$C$27, 0.0021, 0)</f>
        <v>35.049199999999999</v>
      </c>
      <c r="I216" s="14">
        <f>35.0471 * CHOOSE(CONTROL!$C$9, $D$9, 100%, $F$9) + CHOOSE(CONTROL!$C$27, 0.0021, 0)</f>
        <v>35.049199999999999</v>
      </c>
      <c r="J216" s="14">
        <f>35.0471 * CHOOSE(CONTROL!$C$9, $D$9, 100%, $F$9) + CHOOSE(CONTROL!$C$27, 0.0021, 0)</f>
        <v>35.049199999999999</v>
      </c>
      <c r="K216" s="14">
        <f>35.0471 * CHOOSE(CONTROL!$C$9, $D$9, 100%, $F$9) + CHOOSE(CONTROL!$C$27, 0.0021, 0)</f>
        <v>35.049199999999999</v>
      </c>
      <c r="L216" s="14"/>
    </row>
    <row r="217" spans="1:12" ht="15" x14ac:dyDescent="0.2">
      <c r="A217" s="13">
        <v>47515</v>
      </c>
      <c r="B217" s="14">
        <f>34.5407 * CHOOSE(CONTROL!$C$9, $D$9, 100%, $F$9) + CHOOSE(CONTROL!$C$27, 0.0021, 0)</f>
        <v>34.5428</v>
      </c>
      <c r="C217" s="14">
        <f>34.1084 * CHOOSE(CONTROL!$C$9, $D$9, 100%, $F$9) + CHOOSE(CONTROL!$C$27, 0.0021, 0)</f>
        <v>34.110500000000002</v>
      </c>
      <c r="D217" s="14">
        <f>34.1084 * CHOOSE(CONTROL!$C$9, $D$9, 100%, $F$9) + CHOOSE(CONTROL!$C$27, 0.0021, 0)</f>
        <v>34.110500000000002</v>
      </c>
      <c r="E217" s="14">
        <f>33.9718 * CHOOSE(CONTROL!$C$9, $D$9, 100%, $F$9) + CHOOSE(CONTROL!$C$27, 0.0021, 0)</f>
        <v>33.9739</v>
      </c>
      <c r="F217" s="14">
        <f>33.9718 * CHOOSE(CONTROL!$C$9, $D$9, 100%, $F$9) + CHOOSE(CONTROL!$C$27, 0.0021, 0)</f>
        <v>33.9739</v>
      </c>
      <c r="G217" s="14">
        <f>34.2431 * CHOOSE(CONTROL!$C$9, $D$9, 100%, $F$9) + CHOOSE(CONTROL!$C$27, 0.0021, 0)</f>
        <v>34.245199999999997</v>
      </c>
      <c r="H217" s="14">
        <f>34.1084 * CHOOSE(CONTROL!$C$9, $D$9, 100%, $F$9) + CHOOSE(CONTROL!$C$27, 0.0021, 0)</f>
        <v>34.110500000000002</v>
      </c>
      <c r="I217" s="14">
        <f>34.1084 * CHOOSE(CONTROL!$C$9, $D$9, 100%, $F$9) + CHOOSE(CONTROL!$C$27, 0.0021, 0)</f>
        <v>34.110500000000002</v>
      </c>
      <c r="J217" s="14">
        <f>34.1084 * CHOOSE(CONTROL!$C$9, $D$9, 100%, $F$9) + CHOOSE(CONTROL!$C$27, 0.0021, 0)</f>
        <v>34.110500000000002</v>
      </c>
      <c r="K217" s="14">
        <f>34.1084 * CHOOSE(CONTROL!$C$9, $D$9, 100%, $F$9) + CHOOSE(CONTROL!$C$27, 0.0021, 0)</f>
        <v>34.110500000000002</v>
      </c>
      <c r="L217" s="14"/>
    </row>
    <row r="218" spans="1:12" ht="15" x14ac:dyDescent="0.2">
      <c r="A218" s="13">
        <v>47543</v>
      </c>
      <c r="B218" s="14">
        <f>34.1532 * CHOOSE(CONTROL!$C$9, $D$9, 100%, $F$9) + CHOOSE(CONTROL!$C$27, 0.0021, 0)</f>
        <v>34.155299999999997</v>
      </c>
      <c r="C218" s="14">
        <f>33.7209 * CHOOSE(CONTROL!$C$9, $D$9, 100%, $F$9) + CHOOSE(CONTROL!$C$27, 0.0021, 0)</f>
        <v>33.722999999999999</v>
      </c>
      <c r="D218" s="14">
        <f>33.7209 * CHOOSE(CONTROL!$C$9, $D$9, 100%, $F$9) + CHOOSE(CONTROL!$C$27, 0.0021, 0)</f>
        <v>33.722999999999999</v>
      </c>
      <c r="E218" s="14">
        <f>33.5843 * CHOOSE(CONTROL!$C$9, $D$9, 100%, $F$9) + CHOOSE(CONTROL!$C$27, 0.0021, 0)</f>
        <v>33.586399999999998</v>
      </c>
      <c r="F218" s="14">
        <f>33.5843 * CHOOSE(CONTROL!$C$9, $D$9, 100%, $F$9) + CHOOSE(CONTROL!$C$27, 0.0021, 0)</f>
        <v>33.586399999999998</v>
      </c>
      <c r="G218" s="14">
        <f>33.8556 * CHOOSE(CONTROL!$C$9, $D$9, 100%, $F$9) + CHOOSE(CONTROL!$C$27, 0.0021, 0)</f>
        <v>33.857700000000001</v>
      </c>
      <c r="H218" s="14">
        <f>33.7209 * CHOOSE(CONTROL!$C$9, $D$9, 100%, $F$9) + CHOOSE(CONTROL!$C$27, 0.0021, 0)</f>
        <v>33.722999999999999</v>
      </c>
      <c r="I218" s="14">
        <f>33.7209 * CHOOSE(CONTROL!$C$9, $D$9, 100%, $F$9) + CHOOSE(CONTROL!$C$27, 0.0021, 0)</f>
        <v>33.722999999999999</v>
      </c>
      <c r="J218" s="14">
        <f>33.7209 * CHOOSE(CONTROL!$C$9, $D$9, 100%, $F$9) + CHOOSE(CONTROL!$C$27, 0.0021, 0)</f>
        <v>33.722999999999999</v>
      </c>
      <c r="K218" s="14">
        <f>33.7209 * CHOOSE(CONTROL!$C$9, $D$9, 100%, $F$9) + CHOOSE(CONTROL!$C$27, 0.0021, 0)</f>
        <v>33.722999999999999</v>
      </c>
      <c r="L218" s="14"/>
    </row>
    <row r="219" spans="1:12" ht="15" x14ac:dyDescent="0.2">
      <c r="A219" s="13">
        <v>47574</v>
      </c>
      <c r="B219" s="14">
        <f>33.6905 * CHOOSE(CONTROL!$C$9, $D$9, 100%, $F$9) + CHOOSE(CONTROL!$C$27, 0.0021, 0)</f>
        <v>33.692599999999999</v>
      </c>
      <c r="C219" s="14">
        <f>33.2582 * CHOOSE(CONTROL!$C$9, $D$9, 100%, $F$9) + CHOOSE(CONTROL!$C$27, 0.0021, 0)</f>
        <v>33.260300000000001</v>
      </c>
      <c r="D219" s="14">
        <f>33.2582 * CHOOSE(CONTROL!$C$9, $D$9, 100%, $F$9) + CHOOSE(CONTROL!$C$27, 0.0021, 0)</f>
        <v>33.260300000000001</v>
      </c>
      <c r="E219" s="14">
        <f>33.1216 * CHOOSE(CONTROL!$C$9, $D$9, 100%, $F$9) + CHOOSE(CONTROL!$C$27, 0.0021, 0)</f>
        <v>33.123699999999999</v>
      </c>
      <c r="F219" s="14">
        <f>33.1216 * CHOOSE(CONTROL!$C$9, $D$9, 100%, $F$9) + CHOOSE(CONTROL!$C$27, 0.0021, 0)</f>
        <v>33.123699999999999</v>
      </c>
      <c r="G219" s="14">
        <f>33.393 * CHOOSE(CONTROL!$C$9, $D$9, 100%, $F$9) + CHOOSE(CONTROL!$C$27, 0.0021, 0)</f>
        <v>33.395099999999999</v>
      </c>
      <c r="H219" s="14">
        <f>33.2582 * CHOOSE(CONTROL!$C$9, $D$9, 100%, $F$9) + CHOOSE(CONTROL!$C$27, 0.0021, 0)</f>
        <v>33.260300000000001</v>
      </c>
      <c r="I219" s="14">
        <f>33.2582 * CHOOSE(CONTROL!$C$9, $D$9, 100%, $F$9) + CHOOSE(CONTROL!$C$27, 0.0021, 0)</f>
        <v>33.260300000000001</v>
      </c>
      <c r="J219" s="14">
        <f>33.2582 * CHOOSE(CONTROL!$C$9, $D$9, 100%, $F$9) + CHOOSE(CONTROL!$C$27, 0.0021, 0)</f>
        <v>33.260300000000001</v>
      </c>
      <c r="K219" s="14">
        <f>33.2582 * CHOOSE(CONTROL!$C$9, $D$9, 100%, $F$9) + CHOOSE(CONTROL!$C$27, 0.0021, 0)</f>
        <v>33.260300000000001</v>
      </c>
      <c r="L219" s="14"/>
    </row>
    <row r="220" spans="1:12" ht="15" x14ac:dyDescent="0.2">
      <c r="A220" s="13">
        <v>47604</v>
      </c>
      <c r="B220" s="14">
        <f>34.3499 * CHOOSE(CONTROL!$C$9, $D$9, 100%, $F$9) + CHOOSE(CONTROL!$C$27, 0.0021, 0)</f>
        <v>34.351999999999997</v>
      </c>
      <c r="C220" s="14">
        <f>33.9176 * CHOOSE(CONTROL!$C$9, $D$9, 100%, $F$9) + CHOOSE(CONTROL!$C$27, 0.0021, 0)</f>
        <v>33.919699999999999</v>
      </c>
      <c r="D220" s="14">
        <f>33.9176 * CHOOSE(CONTROL!$C$9, $D$9, 100%, $F$9) + CHOOSE(CONTROL!$C$27, 0.0021, 0)</f>
        <v>33.919699999999999</v>
      </c>
      <c r="E220" s="14">
        <f>33.781 * CHOOSE(CONTROL!$C$9, $D$9, 100%, $F$9) + CHOOSE(CONTROL!$C$27, 0.0021, 0)</f>
        <v>33.783099999999997</v>
      </c>
      <c r="F220" s="14">
        <f>33.781 * CHOOSE(CONTROL!$C$9, $D$9, 100%, $F$9) + CHOOSE(CONTROL!$C$27, 0.0021, 0)</f>
        <v>33.783099999999997</v>
      </c>
      <c r="G220" s="14">
        <f>34.0523 * CHOOSE(CONTROL!$C$9, $D$9, 100%, $F$9) + CHOOSE(CONTROL!$C$27, 0.0021, 0)</f>
        <v>34.054400000000001</v>
      </c>
      <c r="H220" s="14">
        <f>33.9176 * CHOOSE(CONTROL!$C$9, $D$9, 100%, $F$9) + CHOOSE(CONTROL!$C$27, 0.0021, 0)</f>
        <v>33.919699999999999</v>
      </c>
      <c r="I220" s="14">
        <f>33.9176 * CHOOSE(CONTROL!$C$9, $D$9, 100%, $F$9) + CHOOSE(CONTROL!$C$27, 0.0021, 0)</f>
        <v>33.919699999999999</v>
      </c>
      <c r="J220" s="14">
        <f>33.9176 * CHOOSE(CONTROL!$C$9, $D$9, 100%, $F$9) + CHOOSE(CONTROL!$C$27, 0.0021, 0)</f>
        <v>33.919699999999999</v>
      </c>
      <c r="K220" s="14">
        <f>33.9176 * CHOOSE(CONTROL!$C$9, $D$9, 100%, $F$9) + CHOOSE(CONTROL!$C$27, 0.0021, 0)</f>
        <v>33.919699999999999</v>
      </c>
      <c r="L220" s="14"/>
    </row>
    <row r="221" spans="1:12" ht="15" x14ac:dyDescent="0.2">
      <c r="A221" s="13">
        <v>47635</v>
      </c>
      <c r="B221" s="14">
        <f>34.7448 * CHOOSE(CONTROL!$C$9, $D$9, 100%, $F$9) + CHOOSE(CONTROL!$C$27, 0.0021, 0)</f>
        <v>34.746899999999997</v>
      </c>
      <c r="C221" s="14">
        <f>34.3126 * CHOOSE(CONTROL!$C$9, $D$9, 100%, $F$9) + CHOOSE(CONTROL!$C$27, 0.0021, 0)</f>
        <v>34.314700000000002</v>
      </c>
      <c r="D221" s="14">
        <f>34.3126 * CHOOSE(CONTROL!$C$9, $D$9, 100%, $F$9) + CHOOSE(CONTROL!$C$27, 0.0021, 0)</f>
        <v>34.314700000000002</v>
      </c>
      <c r="E221" s="14">
        <f>34.1759 * CHOOSE(CONTROL!$C$9, $D$9, 100%, $F$9) + CHOOSE(CONTROL!$C$27, 0.0021, 0)</f>
        <v>34.177999999999997</v>
      </c>
      <c r="F221" s="14">
        <f>34.1759 * CHOOSE(CONTROL!$C$9, $D$9, 100%, $F$9) + CHOOSE(CONTROL!$C$27, 0.0021, 0)</f>
        <v>34.177999999999997</v>
      </c>
      <c r="G221" s="14">
        <f>34.4473 * CHOOSE(CONTROL!$C$9, $D$9, 100%, $F$9) + CHOOSE(CONTROL!$C$27, 0.0021, 0)</f>
        <v>34.449399999999997</v>
      </c>
      <c r="H221" s="14">
        <f>34.3126 * CHOOSE(CONTROL!$C$9, $D$9, 100%, $F$9) + CHOOSE(CONTROL!$C$27, 0.0021, 0)</f>
        <v>34.314700000000002</v>
      </c>
      <c r="I221" s="14">
        <f>34.3126 * CHOOSE(CONTROL!$C$9, $D$9, 100%, $F$9) + CHOOSE(CONTROL!$C$27, 0.0021, 0)</f>
        <v>34.314700000000002</v>
      </c>
      <c r="J221" s="14">
        <f>34.3126 * CHOOSE(CONTROL!$C$9, $D$9, 100%, $F$9) + CHOOSE(CONTROL!$C$27, 0.0021, 0)</f>
        <v>34.314700000000002</v>
      </c>
      <c r="K221" s="14">
        <f>34.3126 * CHOOSE(CONTROL!$C$9, $D$9, 100%, $F$9) + CHOOSE(CONTROL!$C$27, 0.0021, 0)</f>
        <v>34.314700000000002</v>
      </c>
      <c r="L221" s="14"/>
    </row>
    <row r="222" spans="1:12" ht="15" x14ac:dyDescent="0.2">
      <c r="A222" s="13">
        <v>47665</v>
      </c>
      <c r="B222" s="14">
        <f>35.3963 * CHOOSE(CONTROL!$C$9, $D$9, 100%, $F$9) + CHOOSE(CONTROL!$C$27, 0.0021, 0)</f>
        <v>35.398399999999995</v>
      </c>
      <c r="C222" s="14">
        <f>34.9641 * CHOOSE(CONTROL!$C$9, $D$9, 100%, $F$9) + CHOOSE(CONTROL!$C$27, 0.0021, 0)</f>
        <v>34.966200000000001</v>
      </c>
      <c r="D222" s="14">
        <f>34.9641 * CHOOSE(CONTROL!$C$9, $D$9, 100%, $F$9) + CHOOSE(CONTROL!$C$27, 0.0021, 0)</f>
        <v>34.966200000000001</v>
      </c>
      <c r="E222" s="14">
        <f>34.8274 * CHOOSE(CONTROL!$C$9, $D$9, 100%, $F$9) + CHOOSE(CONTROL!$C$27, 0.0021, 0)</f>
        <v>34.829499999999996</v>
      </c>
      <c r="F222" s="14">
        <f>34.8274 * CHOOSE(CONTROL!$C$9, $D$9, 100%, $F$9) + CHOOSE(CONTROL!$C$27, 0.0021, 0)</f>
        <v>34.829499999999996</v>
      </c>
      <c r="G222" s="14">
        <f>35.0988 * CHOOSE(CONTROL!$C$9, $D$9, 100%, $F$9) + CHOOSE(CONTROL!$C$27, 0.0021, 0)</f>
        <v>35.100899999999996</v>
      </c>
      <c r="H222" s="14">
        <f>34.9641 * CHOOSE(CONTROL!$C$9, $D$9, 100%, $F$9) + CHOOSE(CONTROL!$C$27, 0.0021, 0)</f>
        <v>34.966200000000001</v>
      </c>
      <c r="I222" s="14">
        <f>34.9641 * CHOOSE(CONTROL!$C$9, $D$9, 100%, $F$9) + CHOOSE(CONTROL!$C$27, 0.0021, 0)</f>
        <v>34.966200000000001</v>
      </c>
      <c r="J222" s="14">
        <f>34.9641 * CHOOSE(CONTROL!$C$9, $D$9, 100%, $F$9) + CHOOSE(CONTROL!$C$27, 0.0021, 0)</f>
        <v>34.966200000000001</v>
      </c>
      <c r="K222" s="14">
        <f>34.9641 * CHOOSE(CONTROL!$C$9, $D$9, 100%, $F$9) + CHOOSE(CONTROL!$C$27, 0.0021, 0)</f>
        <v>34.966200000000001</v>
      </c>
      <c r="L222" s="14"/>
    </row>
    <row r="223" spans="1:12" ht="15" x14ac:dyDescent="0.2">
      <c r="A223" s="13">
        <v>47696</v>
      </c>
      <c r="B223" s="14">
        <f>35.5952 * CHOOSE(CONTROL!$C$9, $D$9, 100%, $F$9) + CHOOSE(CONTROL!$C$27, 0.0021, 0)</f>
        <v>35.597299999999997</v>
      </c>
      <c r="C223" s="14">
        <f>35.1629 * CHOOSE(CONTROL!$C$9, $D$9, 100%, $F$9) + CHOOSE(CONTROL!$C$27, 0.0021, 0)</f>
        <v>35.164999999999999</v>
      </c>
      <c r="D223" s="14">
        <f>35.1629 * CHOOSE(CONTROL!$C$9, $D$9, 100%, $F$9) + CHOOSE(CONTROL!$C$27, 0.0021, 0)</f>
        <v>35.164999999999999</v>
      </c>
      <c r="E223" s="14">
        <f>35.0263 * CHOOSE(CONTROL!$C$9, $D$9, 100%, $F$9) + CHOOSE(CONTROL!$C$27, 0.0021, 0)</f>
        <v>35.028399999999998</v>
      </c>
      <c r="F223" s="14">
        <f>35.0263 * CHOOSE(CONTROL!$C$9, $D$9, 100%, $F$9) + CHOOSE(CONTROL!$C$27, 0.0021, 0)</f>
        <v>35.028399999999998</v>
      </c>
      <c r="G223" s="14">
        <f>35.2976 * CHOOSE(CONTROL!$C$9, $D$9, 100%, $F$9) + CHOOSE(CONTROL!$C$27, 0.0021, 0)</f>
        <v>35.299700000000001</v>
      </c>
      <c r="H223" s="14">
        <f>35.1629 * CHOOSE(CONTROL!$C$9, $D$9, 100%, $F$9) + CHOOSE(CONTROL!$C$27, 0.0021, 0)</f>
        <v>35.164999999999999</v>
      </c>
      <c r="I223" s="14">
        <f>35.1629 * CHOOSE(CONTROL!$C$9, $D$9, 100%, $F$9) + CHOOSE(CONTROL!$C$27, 0.0021, 0)</f>
        <v>35.164999999999999</v>
      </c>
      <c r="J223" s="14">
        <f>35.1629 * CHOOSE(CONTROL!$C$9, $D$9, 100%, $F$9) + CHOOSE(CONTROL!$C$27, 0.0021, 0)</f>
        <v>35.164999999999999</v>
      </c>
      <c r="K223" s="14">
        <f>35.1629 * CHOOSE(CONTROL!$C$9, $D$9, 100%, $F$9) + CHOOSE(CONTROL!$C$27, 0.0021, 0)</f>
        <v>35.164999999999999</v>
      </c>
      <c r="L223" s="14"/>
    </row>
    <row r="224" spans="1:12" ht="15" x14ac:dyDescent="0.2">
      <c r="A224" s="13">
        <v>47727</v>
      </c>
      <c r="B224" s="14">
        <f>36.2724 * CHOOSE(CONTROL!$C$9, $D$9, 100%, $F$9) + CHOOSE(CONTROL!$C$27, 0.0021, 0)</f>
        <v>36.274499999999996</v>
      </c>
      <c r="C224" s="14">
        <f>35.8401 * CHOOSE(CONTROL!$C$9, $D$9, 100%, $F$9) + CHOOSE(CONTROL!$C$27, 0.0021, 0)</f>
        <v>35.842199999999998</v>
      </c>
      <c r="D224" s="14">
        <f>35.8401 * CHOOSE(CONTROL!$C$9, $D$9, 100%, $F$9) + CHOOSE(CONTROL!$C$27, 0.0021, 0)</f>
        <v>35.842199999999998</v>
      </c>
      <c r="E224" s="14">
        <f>35.7035 * CHOOSE(CONTROL!$C$9, $D$9, 100%, $F$9) + CHOOSE(CONTROL!$C$27, 0.0021, 0)</f>
        <v>35.705599999999997</v>
      </c>
      <c r="F224" s="14">
        <f>35.7035 * CHOOSE(CONTROL!$C$9, $D$9, 100%, $F$9) + CHOOSE(CONTROL!$C$27, 0.0021, 0)</f>
        <v>35.705599999999997</v>
      </c>
      <c r="G224" s="14">
        <f>35.9749 * CHOOSE(CONTROL!$C$9, $D$9, 100%, $F$9) + CHOOSE(CONTROL!$C$27, 0.0021, 0)</f>
        <v>35.976999999999997</v>
      </c>
      <c r="H224" s="14">
        <f>35.8401 * CHOOSE(CONTROL!$C$9, $D$9, 100%, $F$9) + CHOOSE(CONTROL!$C$27, 0.0021, 0)</f>
        <v>35.842199999999998</v>
      </c>
      <c r="I224" s="14">
        <f>35.8401 * CHOOSE(CONTROL!$C$9, $D$9, 100%, $F$9) + CHOOSE(CONTROL!$C$27, 0.0021, 0)</f>
        <v>35.842199999999998</v>
      </c>
      <c r="J224" s="14">
        <f>35.8401 * CHOOSE(CONTROL!$C$9, $D$9, 100%, $F$9) + CHOOSE(CONTROL!$C$27, 0.0021, 0)</f>
        <v>35.842199999999998</v>
      </c>
      <c r="K224" s="14">
        <f>35.8401 * CHOOSE(CONTROL!$C$9, $D$9, 100%, $F$9) + CHOOSE(CONTROL!$C$27, 0.0021, 0)</f>
        <v>35.842199999999998</v>
      </c>
      <c r="L224" s="14"/>
    </row>
    <row r="225" spans="1:12" ht="15" x14ac:dyDescent="0.2">
      <c r="A225" s="13">
        <v>47757</v>
      </c>
      <c r="B225" s="14">
        <f>37.1296 * CHOOSE(CONTROL!$C$9, $D$9, 100%, $F$9) + CHOOSE(CONTROL!$C$27, 0.0021, 0)</f>
        <v>37.131700000000002</v>
      </c>
      <c r="C225" s="14">
        <f>36.6974 * CHOOSE(CONTROL!$C$9, $D$9, 100%, $F$9) + CHOOSE(CONTROL!$C$27, 0.0021, 0)</f>
        <v>36.6995</v>
      </c>
      <c r="D225" s="14">
        <f>36.6974 * CHOOSE(CONTROL!$C$9, $D$9, 100%, $F$9) + CHOOSE(CONTROL!$C$27, 0.0021, 0)</f>
        <v>36.6995</v>
      </c>
      <c r="E225" s="14">
        <f>36.5607 * CHOOSE(CONTROL!$C$9, $D$9, 100%, $F$9) + CHOOSE(CONTROL!$C$27, 0.0021, 0)</f>
        <v>36.562799999999996</v>
      </c>
      <c r="F225" s="14">
        <f>36.5607 * CHOOSE(CONTROL!$C$9, $D$9, 100%, $F$9) + CHOOSE(CONTROL!$C$27, 0.0021, 0)</f>
        <v>36.562799999999996</v>
      </c>
      <c r="G225" s="14">
        <f>36.8321 * CHOOSE(CONTROL!$C$9, $D$9, 100%, $F$9) + CHOOSE(CONTROL!$C$27, 0.0021, 0)</f>
        <v>36.834199999999996</v>
      </c>
      <c r="H225" s="14">
        <f>36.6974 * CHOOSE(CONTROL!$C$9, $D$9, 100%, $F$9) + CHOOSE(CONTROL!$C$27, 0.0021, 0)</f>
        <v>36.6995</v>
      </c>
      <c r="I225" s="14">
        <f>36.6974 * CHOOSE(CONTROL!$C$9, $D$9, 100%, $F$9) + CHOOSE(CONTROL!$C$27, 0.0021, 0)</f>
        <v>36.6995</v>
      </c>
      <c r="J225" s="14">
        <f>36.6974 * CHOOSE(CONTROL!$C$9, $D$9, 100%, $F$9) + CHOOSE(CONTROL!$C$27, 0.0021, 0)</f>
        <v>36.6995</v>
      </c>
      <c r="K225" s="14">
        <f>36.6974 * CHOOSE(CONTROL!$C$9, $D$9, 100%, $F$9) + CHOOSE(CONTROL!$C$27, 0.0021, 0)</f>
        <v>36.6995</v>
      </c>
      <c r="L225" s="14"/>
    </row>
    <row r="226" spans="1:12" ht="15" x14ac:dyDescent="0.2">
      <c r="A226" s="13">
        <v>47788</v>
      </c>
      <c r="B226" s="14">
        <f>37.2101 * CHOOSE(CONTROL!$C$9, $D$9, 100%, $F$9) + CHOOSE(CONTROL!$C$27, 0.0021, 0)</f>
        <v>37.212199999999996</v>
      </c>
      <c r="C226" s="14">
        <f>36.7778 * CHOOSE(CONTROL!$C$9, $D$9, 100%, $F$9) + CHOOSE(CONTROL!$C$27, 0.0021, 0)</f>
        <v>36.779899999999998</v>
      </c>
      <c r="D226" s="14">
        <f>36.7778 * CHOOSE(CONTROL!$C$9, $D$9, 100%, $F$9) + CHOOSE(CONTROL!$C$27, 0.0021, 0)</f>
        <v>36.779899999999998</v>
      </c>
      <c r="E226" s="14">
        <f>36.6412 * CHOOSE(CONTROL!$C$9, $D$9, 100%, $F$9) + CHOOSE(CONTROL!$C$27, 0.0021, 0)</f>
        <v>36.643299999999996</v>
      </c>
      <c r="F226" s="14">
        <f>36.6412 * CHOOSE(CONTROL!$C$9, $D$9, 100%, $F$9) + CHOOSE(CONTROL!$C$27, 0.0021, 0)</f>
        <v>36.643299999999996</v>
      </c>
      <c r="G226" s="14">
        <f>36.9126 * CHOOSE(CONTROL!$C$9, $D$9, 100%, $F$9) + CHOOSE(CONTROL!$C$27, 0.0021, 0)</f>
        <v>36.914699999999996</v>
      </c>
      <c r="H226" s="14">
        <f>36.7778 * CHOOSE(CONTROL!$C$9, $D$9, 100%, $F$9) + CHOOSE(CONTROL!$C$27, 0.0021, 0)</f>
        <v>36.779899999999998</v>
      </c>
      <c r="I226" s="14">
        <f>36.7778 * CHOOSE(CONTROL!$C$9, $D$9, 100%, $F$9) + CHOOSE(CONTROL!$C$27, 0.0021, 0)</f>
        <v>36.779899999999998</v>
      </c>
      <c r="J226" s="14">
        <f>36.7778 * CHOOSE(CONTROL!$C$9, $D$9, 100%, $F$9) + CHOOSE(CONTROL!$C$27, 0.0021, 0)</f>
        <v>36.779899999999998</v>
      </c>
      <c r="K226" s="14">
        <f>36.7778 * CHOOSE(CONTROL!$C$9, $D$9, 100%, $F$9) + CHOOSE(CONTROL!$C$27, 0.0021, 0)</f>
        <v>36.779899999999998</v>
      </c>
      <c r="L226" s="14"/>
    </row>
    <row r="227" spans="1:12" ht="15" x14ac:dyDescent="0.2">
      <c r="A227" s="13">
        <v>47818</v>
      </c>
      <c r="B227" s="14">
        <f>36.5254 * CHOOSE(CONTROL!$C$9, $D$9, 100%, $F$9) + CHOOSE(CONTROL!$C$27, 0.0021, 0)</f>
        <v>36.527499999999996</v>
      </c>
      <c r="C227" s="14">
        <f>36.0932 * CHOOSE(CONTROL!$C$9, $D$9, 100%, $F$9) + CHOOSE(CONTROL!$C$27, 0.0021, 0)</f>
        <v>36.095300000000002</v>
      </c>
      <c r="D227" s="14">
        <f>36.0932 * CHOOSE(CONTROL!$C$9, $D$9, 100%, $F$9) + CHOOSE(CONTROL!$C$27, 0.0021, 0)</f>
        <v>36.095300000000002</v>
      </c>
      <c r="E227" s="14">
        <f>35.9565 * CHOOSE(CONTROL!$C$9, $D$9, 100%, $F$9) + CHOOSE(CONTROL!$C$27, 0.0021, 0)</f>
        <v>35.958599999999997</v>
      </c>
      <c r="F227" s="14">
        <f>35.9565 * CHOOSE(CONTROL!$C$9, $D$9, 100%, $F$9) + CHOOSE(CONTROL!$C$27, 0.0021, 0)</f>
        <v>35.958599999999997</v>
      </c>
      <c r="G227" s="14">
        <f>36.2279 * CHOOSE(CONTROL!$C$9, $D$9, 100%, $F$9) + CHOOSE(CONTROL!$C$27, 0.0021, 0)</f>
        <v>36.229999999999997</v>
      </c>
      <c r="H227" s="14">
        <f>36.0932 * CHOOSE(CONTROL!$C$9, $D$9, 100%, $F$9) + CHOOSE(CONTROL!$C$27, 0.0021, 0)</f>
        <v>36.095300000000002</v>
      </c>
      <c r="I227" s="14">
        <f>36.0932 * CHOOSE(CONTROL!$C$9, $D$9, 100%, $F$9) + CHOOSE(CONTROL!$C$27, 0.0021, 0)</f>
        <v>36.095300000000002</v>
      </c>
      <c r="J227" s="14">
        <f>36.0932 * CHOOSE(CONTROL!$C$9, $D$9, 100%, $F$9) + CHOOSE(CONTROL!$C$27, 0.0021, 0)</f>
        <v>36.095300000000002</v>
      </c>
      <c r="K227" s="14">
        <f>36.0932 * CHOOSE(CONTROL!$C$9, $D$9, 100%, $F$9) + CHOOSE(CONTROL!$C$27, 0.0021, 0)</f>
        <v>36.095300000000002</v>
      </c>
      <c r="L227" s="14"/>
    </row>
    <row r="228" spans="1:12" ht="15" x14ac:dyDescent="0.2">
      <c r="A228" s="13">
        <v>47849</v>
      </c>
      <c r="B228" s="14">
        <f>36.0769 * CHOOSE(CONTROL!$C$9, $D$9, 100%, $F$9) + CHOOSE(CONTROL!$C$27, 0.0021, 0)</f>
        <v>36.079000000000001</v>
      </c>
      <c r="C228" s="14">
        <f>35.6447 * CHOOSE(CONTROL!$C$9, $D$9, 100%, $F$9) + CHOOSE(CONTROL!$C$27, 0.0021, 0)</f>
        <v>35.646799999999999</v>
      </c>
      <c r="D228" s="14">
        <f>35.6447 * CHOOSE(CONTROL!$C$9, $D$9, 100%, $F$9) + CHOOSE(CONTROL!$C$27, 0.0021, 0)</f>
        <v>35.646799999999999</v>
      </c>
      <c r="E228" s="14">
        <f>35.508 * CHOOSE(CONTROL!$C$9, $D$9, 100%, $F$9) + CHOOSE(CONTROL!$C$27, 0.0021, 0)</f>
        <v>35.510100000000001</v>
      </c>
      <c r="F228" s="14">
        <f>35.508 * CHOOSE(CONTROL!$C$9, $D$9, 100%, $F$9) + CHOOSE(CONTROL!$C$27, 0.0021, 0)</f>
        <v>35.510100000000001</v>
      </c>
      <c r="G228" s="14">
        <f>35.7794 * CHOOSE(CONTROL!$C$9, $D$9, 100%, $F$9) + CHOOSE(CONTROL!$C$27, 0.0021, 0)</f>
        <v>35.781500000000001</v>
      </c>
      <c r="H228" s="14">
        <f>35.6447 * CHOOSE(CONTROL!$C$9, $D$9, 100%, $F$9) + CHOOSE(CONTROL!$C$27, 0.0021, 0)</f>
        <v>35.646799999999999</v>
      </c>
      <c r="I228" s="14">
        <f>35.6447 * CHOOSE(CONTROL!$C$9, $D$9, 100%, $F$9) + CHOOSE(CONTROL!$C$27, 0.0021, 0)</f>
        <v>35.646799999999999</v>
      </c>
      <c r="J228" s="14">
        <f>35.6447 * CHOOSE(CONTROL!$C$9, $D$9, 100%, $F$9) + CHOOSE(CONTROL!$C$27, 0.0021, 0)</f>
        <v>35.646799999999999</v>
      </c>
      <c r="K228" s="14">
        <f>35.6447 * CHOOSE(CONTROL!$C$9, $D$9, 100%, $F$9) + CHOOSE(CONTROL!$C$27, 0.0021, 0)</f>
        <v>35.646799999999999</v>
      </c>
      <c r="L228" s="14"/>
    </row>
    <row r="229" spans="1:12" ht="15" x14ac:dyDescent="0.2">
      <c r="A229" s="13">
        <v>47880</v>
      </c>
      <c r="B229" s="14">
        <f>35.1213 * CHOOSE(CONTROL!$C$9, $D$9, 100%, $F$9) + CHOOSE(CONTROL!$C$27, 0.0021, 0)</f>
        <v>35.123399999999997</v>
      </c>
      <c r="C229" s="14">
        <f>34.689 * CHOOSE(CONTROL!$C$9, $D$9, 100%, $F$9) + CHOOSE(CONTROL!$C$27, 0.0021, 0)</f>
        <v>34.691099999999999</v>
      </c>
      <c r="D229" s="14">
        <f>34.689 * CHOOSE(CONTROL!$C$9, $D$9, 100%, $F$9) + CHOOSE(CONTROL!$C$27, 0.0021, 0)</f>
        <v>34.691099999999999</v>
      </c>
      <c r="E229" s="14">
        <f>34.5524 * CHOOSE(CONTROL!$C$9, $D$9, 100%, $F$9) + CHOOSE(CONTROL!$C$27, 0.0021, 0)</f>
        <v>34.554499999999997</v>
      </c>
      <c r="F229" s="14">
        <f>34.5524 * CHOOSE(CONTROL!$C$9, $D$9, 100%, $F$9) + CHOOSE(CONTROL!$C$27, 0.0021, 0)</f>
        <v>34.554499999999997</v>
      </c>
      <c r="G229" s="14">
        <f>34.8238 * CHOOSE(CONTROL!$C$9, $D$9, 100%, $F$9) + CHOOSE(CONTROL!$C$27, 0.0021, 0)</f>
        <v>34.825899999999997</v>
      </c>
      <c r="H229" s="14">
        <f>34.689 * CHOOSE(CONTROL!$C$9, $D$9, 100%, $F$9) + CHOOSE(CONTROL!$C$27, 0.0021, 0)</f>
        <v>34.691099999999999</v>
      </c>
      <c r="I229" s="14">
        <f>34.689 * CHOOSE(CONTROL!$C$9, $D$9, 100%, $F$9) + CHOOSE(CONTROL!$C$27, 0.0021, 0)</f>
        <v>34.691099999999999</v>
      </c>
      <c r="J229" s="14">
        <f>34.689 * CHOOSE(CONTROL!$C$9, $D$9, 100%, $F$9) + CHOOSE(CONTROL!$C$27, 0.0021, 0)</f>
        <v>34.691099999999999</v>
      </c>
      <c r="K229" s="14">
        <f>34.689 * CHOOSE(CONTROL!$C$9, $D$9, 100%, $F$9) + CHOOSE(CONTROL!$C$27, 0.0021, 0)</f>
        <v>34.691099999999999</v>
      </c>
      <c r="L229" s="14"/>
    </row>
    <row r="230" spans="1:12" ht="15" x14ac:dyDescent="0.2">
      <c r="A230" s="13">
        <v>47908</v>
      </c>
      <c r="B230" s="14">
        <f>34.7268 * CHOOSE(CONTROL!$C$9, $D$9, 100%, $F$9) + CHOOSE(CONTROL!$C$27, 0.0021, 0)</f>
        <v>34.728899999999996</v>
      </c>
      <c r="C230" s="14">
        <f>34.2946 * CHOOSE(CONTROL!$C$9, $D$9, 100%, $F$9) + CHOOSE(CONTROL!$C$27, 0.0021, 0)</f>
        <v>34.296700000000001</v>
      </c>
      <c r="D230" s="14">
        <f>34.2946 * CHOOSE(CONTROL!$C$9, $D$9, 100%, $F$9) + CHOOSE(CONTROL!$C$27, 0.0021, 0)</f>
        <v>34.296700000000001</v>
      </c>
      <c r="E230" s="14">
        <f>34.1579 * CHOOSE(CONTROL!$C$9, $D$9, 100%, $F$9) + CHOOSE(CONTROL!$C$27, 0.0021, 0)</f>
        <v>34.159999999999997</v>
      </c>
      <c r="F230" s="14">
        <f>34.1579 * CHOOSE(CONTROL!$C$9, $D$9, 100%, $F$9) + CHOOSE(CONTROL!$C$27, 0.0021, 0)</f>
        <v>34.159999999999997</v>
      </c>
      <c r="G230" s="14">
        <f>34.4293 * CHOOSE(CONTROL!$C$9, $D$9, 100%, $F$9) + CHOOSE(CONTROL!$C$27, 0.0021, 0)</f>
        <v>34.431399999999996</v>
      </c>
      <c r="H230" s="14">
        <f>34.2946 * CHOOSE(CONTROL!$C$9, $D$9, 100%, $F$9) + CHOOSE(CONTROL!$C$27, 0.0021, 0)</f>
        <v>34.296700000000001</v>
      </c>
      <c r="I230" s="14">
        <f>34.2946 * CHOOSE(CONTROL!$C$9, $D$9, 100%, $F$9) + CHOOSE(CONTROL!$C$27, 0.0021, 0)</f>
        <v>34.296700000000001</v>
      </c>
      <c r="J230" s="14">
        <f>34.2946 * CHOOSE(CONTROL!$C$9, $D$9, 100%, $F$9) + CHOOSE(CONTROL!$C$27, 0.0021, 0)</f>
        <v>34.296700000000001</v>
      </c>
      <c r="K230" s="14">
        <f>34.2946 * CHOOSE(CONTROL!$C$9, $D$9, 100%, $F$9) + CHOOSE(CONTROL!$C$27, 0.0021, 0)</f>
        <v>34.296700000000001</v>
      </c>
      <c r="L230" s="14"/>
    </row>
    <row r="231" spans="1:12" ht="15" x14ac:dyDescent="0.2">
      <c r="A231" s="13">
        <v>47939</v>
      </c>
      <c r="B231" s="14">
        <f>34.2558 * CHOOSE(CONTROL!$C$9, $D$9, 100%, $F$9) + CHOOSE(CONTROL!$C$27, 0.0021, 0)</f>
        <v>34.257899999999999</v>
      </c>
      <c r="C231" s="14">
        <f>33.8236 * CHOOSE(CONTROL!$C$9, $D$9, 100%, $F$9) + CHOOSE(CONTROL!$C$27, 0.0021, 0)</f>
        <v>33.825699999999998</v>
      </c>
      <c r="D231" s="14">
        <f>33.8236 * CHOOSE(CONTROL!$C$9, $D$9, 100%, $F$9) + CHOOSE(CONTROL!$C$27, 0.0021, 0)</f>
        <v>33.825699999999998</v>
      </c>
      <c r="E231" s="14">
        <f>33.6869 * CHOOSE(CONTROL!$C$9, $D$9, 100%, $F$9) + CHOOSE(CONTROL!$C$27, 0.0021, 0)</f>
        <v>33.689</v>
      </c>
      <c r="F231" s="14">
        <f>33.6869 * CHOOSE(CONTROL!$C$9, $D$9, 100%, $F$9) + CHOOSE(CONTROL!$C$27, 0.0021, 0)</f>
        <v>33.689</v>
      </c>
      <c r="G231" s="14">
        <f>33.9583 * CHOOSE(CONTROL!$C$9, $D$9, 100%, $F$9) + CHOOSE(CONTROL!$C$27, 0.0021, 0)</f>
        <v>33.9604</v>
      </c>
      <c r="H231" s="14">
        <f>33.8236 * CHOOSE(CONTROL!$C$9, $D$9, 100%, $F$9) + CHOOSE(CONTROL!$C$27, 0.0021, 0)</f>
        <v>33.825699999999998</v>
      </c>
      <c r="I231" s="14">
        <f>33.8236 * CHOOSE(CONTROL!$C$9, $D$9, 100%, $F$9) + CHOOSE(CONTROL!$C$27, 0.0021, 0)</f>
        <v>33.825699999999998</v>
      </c>
      <c r="J231" s="14">
        <f>33.8236 * CHOOSE(CONTROL!$C$9, $D$9, 100%, $F$9) + CHOOSE(CONTROL!$C$27, 0.0021, 0)</f>
        <v>33.825699999999998</v>
      </c>
      <c r="K231" s="14">
        <f>33.8236 * CHOOSE(CONTROL!$C$9, $D$9, 100%, $F$9) + CHOOSE(CONTROL!$C$27, 0.0021, 0)</f>
        <v>33.825699999999998</v>
      </c>
      <c r="L231" s="14"/>
    </row>
    <row r="232" spans="1:12" ht="15" x14ac:dyDescent="0.2">
      <c r="A232" s="13">
        <v>47969</v>
      </c>
      <c r="B232" s="14">
        <f>34.9271 * CHOOSE(CONTROL!$C$9, $D$9, 100%, $F$9) + CHOOSE(CONTROL!$C$27, 0.0021, 0)</f>
        <v>34.929200000000002</v>
      </c>
      <c r="C232" s="14">
        <f>34.4948 * CHOOSE(CONTROL!$C$9, $D$9, 100%, $F$9) + CHOOSE(CONTROL!$C$27, 0.0021, 0)</f>
        <v>34.496899999999997</v>
      </c>
      <c r="D232" s="14">
        <f>34.4948 * CHOOSE(CONTROL!$C$9, $D$9, 100%, $F$9) + CHOOSE(CONTROL!$C$27, 0.0021, 0)</f>
        <v>34.496899999999997</v>
      </c>
      <c r="E232" s="14">
        <f>34.3582 * CHOOSE(CONTROL!$C$9, $D$9, 100%, $F$9) + CHOOSE(CONTROL!$C$27, 0.0021, 0)</f>
        <v>34.360299999999995</v>
      </c>
      <c r="F232" s="14">
        <f>34.3582 * CHOOSE(CONTROL!$C$9, $D$9, 100%, $F$9) + CHOOSE(CONTROL!$C$27, 0.0021, 0)</f>
        <v>34.360299999999995</v>
      </c>
      <c r="G232" s="14">
        <f>34.6295 * CHOOSE(CONTROL!$C$9, $D$9, 100%, $F$9) + CHOOSE(CONTROL!$C$27, 0.0021, 0)</f>
        <v>34.631599999999999</v>
      </c>
      <c r="H232" s="14">
        <f>34.4948 * CHOOSE(CONTROL!$C$9, $D$9, 100%, $F$9) + CHOOSE(CONTROL!$C$27, 0.0021, 0)</f>
        <v>34.496899999999997</v>
      </c>
      <c r="I232" s="14">
        <f>34.4948 * CHOOSE(CONTROL!$C$9, $D$9, 100%, $F$9) + CHOOSE(CONTROL!$C$27, 0.0021, 0)</f>
        <v>34.496899999999997</v>
      </c>
      <c r="J232" s="14">
        <f>34.4948 * CHOOSE(CONTROL!$C$9, $D$9, 100%, $F$9) + CHOOSE(CONTROL!$C$27, 0.0021, 0)</f>
        <v>34.496899999999997</v>
      </c>
      <c r="K232" s="14">
        <f>34.4948 * CHOOSE(CONTROL!$C$9, $D$9, 100%, $F$9) + CHOOSE(CONTROL!$C$27, 0.0021, 0)</f>
        <v>34.496899999999997</v>
      </c>
      <c r="L232" s="14"/>
    </row>
    <row r="233" spans="1:12" ht="15" x14ac:dyDescent="0.2">
      <c r="A233" s="13">
        <v>48000</v>
      </c>
      <c r="B233" s="14">
        <f>35.3291 * CHOOSE(CONTROL!$C$9, $D$9, 100%, $F$9) + CHOOSE(CONTROL!$C$27, 0.0021, 0)</f>
        <v>35.331199999999995</v>
      </c>
      <c r="C233" s="14">
        <f>34.8969 * CHOOSE(CONTROL!$C$9, $D$9, 100%, $F$9) + CHOOSE(CONTROL!$C$27, 0.0021, 0)</f>
        <v>34.899000000000001</v>
      </c>
      <c r="D233" s="14">
        <f>34.8969 * CHOOSE(CONTROL!$C$9, $D$9, 100%, $F$9) + CHOOSE(CONTROL!$C$27, 0.0021, 0)</f>
        <v>34.899000000000001</v>
      </c>
      <c r="E233" s="14">
        <f>34.7602 * CHOOSE(CONTROL!$C$9, $D$9, 100%, $F$9) + CHOOSE(CONTROL!$C$27, 0.0021, 0)</f>
        <v>34.762299999999996</v>
      </c>
      <c r="F233" s="14">
        <f>34.7602 * CHOOSE(CONTROL!$C$9, $D$9, 100%, $F$9) + CHOOSE(CONTROL!$C$27, 0.0021, 0)</f>
        <v>34.762299999999996</v>
      </c>
      <c r="G233" s="14">
        <f>35.0316 * CHOOSE(CONTROL!$C$9, $D$9, 100%, $F$9) + CHOOSE(CONTROL!$C$27, 0.0021, 0)</f>
        <v>35.033699999999996</v>
      </c>
      <c r="H233" s="14">
        <f>34.8969 * CHOOSE(CONTROL!$C$9, $D$9, 100%, $F$9) + CHOOSE(CONTROL!$C$27, 0.0021, 0)</f>
        <v>34.899000000000001</v>
      </c>
      <c r="I233" s="14">
        <f>34.8969 * CHOOSE(CONTROL!$C$9, $D$9, 100%, $F$9) + CHOOSE(CONTROL!$C$27, 0.0021, 0)</f>
        <v>34.899000000000001</v>
      </c>
      <c r="J233" s="14">
        <f>34.8969 * CHOOSE(CONTROL!$C$9, $D$9, 100%, $F$9) + CHOOSE(CONTROL!$C$27, 0.0021, 0)</f>
        <v>34.899000000000001</v>
      </c>
      <c r="K233" s="14">
        <f>34.8969 * CHOOSE(CONTROL!$C$9, $D$9, 100%, $F$9) + CHOOSE(CONTROL!$C$27, 0.0021, 0)</f>
        <v>34.899000000000001</v>
      </c>
      <c r="L233" s="14"/>
    </row>
    <row r="234" spans="1:12" ht="15" x14ac:dyDescent="0.2">
      <c r="A234" s="13">
        <v>48030</v>
      </c>
      <c r="B234" s="14">
        <f>35.9923 * CHOOSE(CONTROL!$C$9, $D$9, 100%, $F$9) + CHOOSE(CONTROL!$C$27, 0.0021, 0)</f>
        <v>35.994399999999999</v>
      </c>
      <c r="C234" s="14">
        <f>35.5601 * CHOOSE(CONTROL!$C$9, $D$9, 100%, $F$9) + CHOOSE(CONTROL!$C$27, 0.0021, 0)</f>
        <v>35.562199999999997</v>
      </c>
      <c r="D234" s="14">
        <f>35.5601 * CHOOSE(CONTROL!$C$9, $D$9, 100%, $F$9) + CHOOSE(CONTROL!$C$27, 0.0021, 0)</f>
        <v>35.562199999999997</v>
      </c>
      <c r="E234" s="14">
        <f>35.4234 * CHOOSE(CONTROL!$C$9, $D$9, 100%, $F$9) + CHOOSE(CONTROL!$C$27, 0.0021, 0)</f>
        <v>35.4255</v>
      </c>
      <c r="F234" s="14">
        <f>35.4234 * CHOOSE(CONTROL!$C$9, $D$9, 100%, $F$9) + CHOOSE(CONTROL!$C$27, 0.0021, 0)</f>
        <v>35.4255</v>
      </c>
      <c r="G234" s="14">
        <f>35.6948 * CHOOSE(CONTROL!$C$9, $D$9, 100%, $F$9) + CHOOSE(CONTROL!$C$27, 0.0021, 0)</f>
        <v>35.696899999999999</v>
      </c>
      <c r="H234" s="14">
        <f>35.5601 * CHOOSE(CONTROL!$C$9, $D$9, 100%, $F$9) + CHOOSE(CONTROL!$C$27, 0.0021, 0)</f>
        <v>35.562199999999997</v>
      </c>
      <c r="I234" s="14">
        <f>35.5601 * CHOOSE(CONTROL!$C$9, $D$9, 100%, $F$9) + CHOOSE(CONTROL!$C$27, 0.0021, 0)</f>
        <v>35.562199999999997</v>
      </c>
      <c r="J234" s="14">
        <f>35.5601 * CHOOSE(CONTROL!$C$9, $D$9, 100%, $F$9) + CHOOSE(CONTROL!$C$27, 0.0021, 0)</f>
        <v>35.562199999999997</v>
      </c>
      <c r="K234" s="14">
        <f>35.5601 * CHOOSE(CONTROL!$C$9, $D$9, 100%, $F$9) + CHOOSE(CONTROL!$C$27, 0.0021, 0)</f>
        <v>35.562199999999997</v>
      </c>
      <c r="L234" s="14"/>
    </row>
    <row r="235" spans="1:12" ht="15" x14ac:dyDescent="0.2">
      <c r="A235" s="13">
        <v>48061</v>
      </c>
      <c r="B235" s="14">
        <f>36.1948 * CHOOSE(CONTROL!$C$9, $D$9, 100%, $F$9) + CHOOSE(CONTROL!$C$27, 0.0021, 0)</f>
        <v>36.196899999999999</v>
      </c>
      <c r="C235" s="14">
        <f>35.7625 * CHOOSE(CONTROL!$C$9, $D$9, 100%, $F$9) + CHOOSE(CONTROL!$C$27, 0.0021, 0)</f>
        <v>35.764600000000002</v>
      </c>
      <c r="D235" s="14">
        <f>35.7625 * CHOOSE(CONTROL!$C$9, $D$9, 100%, $F$9) + CHOOSE(CONTROL!$C$27, 0.0021, 0)</f>
        <v>35.764600000000002</v>
      </c>
      <c r="E235" s="14">
        <f>35.6259 * CHOOSE(CONTROL!$C$9, $D$9, 100%, $F$9) + CHOOSE(CONTROL!$C$27, 0.0021, 0)</f>
        <v>35.628</v>
      </c>
      <c r="F235" s="14">
        <f>35.6259 * CHOOSE(CONTROL!$C$9, $D$9, 100%, $F$9) + CHOOSE(CONTROL!$C$27, 0.0021, 0)</f>
        <v>35.628</v>
      </c>
      <c r="G235" s="14">
        <f>35.8973 * CHOOSE(CONTROL!$C$9, $D$9, 100%, $F$9) + CHOOSE(CONTROL!$C$27, 0.0021, 0)</f>
        <v>35.8994</v>
      </c>
      <c r="H235" s="14">
        <f>35.7625 * CHOOSE(CONTROL!$C$9, $D$9, 100%, $F$9) + CHOOSE(CONTROL!$C$27, 0.0021, 0)</f>
        <v>35.764600000000002</v>
      </c>
      <c r="I235" s="14">
        <f>35.7625 * CHOOSE(CONTROL!$C$9, $D$9, 100%, $F$9) + CHOOSE(CONTROL!$C$27, 0.0021, 0)</f>
        <v>35.764600000000002</v>
      </c>
      <c r="J235" s="14">
        <f>35.7625 * CHOOSE(CONTROL!$C$9, $D$9, 100%, $F$9) + CHOOSE(CONTROL!$C$27, 0.0021, 0)</f>
        <v>35.764600000000002</v>
      </c>
      <c r="K235" s="14">
        <f>35.7625 * CHOOSE(CONTROL!$C$9, $D$9, 100%, $F$9) + CHOOSE(CONTROL!$C$27, 0.0021, 0)</f>
        <v>35.764600000000002</v>
      </c>
      <c r="L235" s="14"/>
    </row>
    <row r="236" spans="1:12" ht="15" x14ac:dyDescent="0.2">
      <c r="A236" s="13">
        <v>48092</v>
      </c>
      <c r="B236" s="14">
        <f>36.8842 * CHOOSE(CONTROL!$C$9, $D$9, 100%, $F$9) + CHOOSE(CONTROL!$C$27, 0.0021, 0)</f>
        <v>36.886299999999999</v>
      </c>
      <c r="C236" s="14">
        <f>36.4519 * CHOOSE(CONTROL!$C$9, $D$9, 100%, $F$9) + CHOOSE(CONTROL!$C$27, 0.0021, 0)</f>
        <v>36.454000000000001</v>
      </c>
      <c r="D236" s="14">
        <f>36.4519 * CHOOSE(CONTROL!$C$9, $D$9, 100%, $F$9) + CHOOSE(CONTROL!$C$27, 0.0021, 0)</f>
        <v>36.454000000000001</v>
      </c>
      <c r="E236" s="14">
        <f>36.3153 * CHOOSE(CONTROL!$C$9, $D$9, 100%, $F$9) + CHOOSE(CONTROL!$C$27, 0.0021, 0)</f>
        <v>36.317399999999999</v>
      </c>
      <c r="F236" s="14">
        <f>36.3153 * CHOOSE(CONTROL!$C$9, $D$9, 100%, $F$9) + CHOOSE(CONTROL!$C$27, 0.0021, 0)</f>
        <v>36.317399999999999</v>
      </c>
      <c r="G236" s="14">
        <f>36.5867 * CHOOSE(CONTROL!$C$9, $D$9, 100%, $F$9) + CHOOSE(CONTROL!$C$27, 0.0021, 0)</f>
        <v>36.588799999999999</v>
      </c>
      <c r="H236" s="14">
        <f>36.4519 * CHOOSE(CONTROL!$C$9, $D$9, 100%, $F$9) + CHOOSE(CONTROL!$C$27, 0.0021, 0)</f>
        <v>36.454000000000001</v>
      </c>
      <c r="I236" s="14">
        <f>36.4519 * CHOOSE(CONTROL!$C$9, $D$9, 100%, $F$9) + CHOOSE(CONTROL!$C$27, 0.0021, 0)</f>
        <v>36.454000000000001</v>
      </c>
      <c r="J236" s="14">
        <f>36.4519 * CHOOSE(CONTROL!$C$9, $D$9, 100%, $F$9) + CHOOSE(CONTROL!$C$27, 0.0021, 0)</f>
        <v>36.454000000000001</v>
      </c>
      <c r="K236" s="14">
        <f>36.4519 * CHOOSE(CONTROL!$C$9, $D$9, 100%, $F$9) + CHOOSE(CONTROL!$C$27, 0.0021, 0)</f>
        <v>36.454000000000001</v>
      </c>
      <c r="L236" s="14"/>
    </row>
    <row r="237" spans="1:12" ht="15" x14ac:dyDescent="0.2">
      <c r="A237" s="13">
        <v>48122</v>
      </c>
      <c r="B237" s="14">
        <f>37.7569 * CHOOSE(CONTROL!$C$9, $D$9, 100%, $F$9) + CHOOSE(CONTROL!$C$27, 0.0021, 0)</f>
        <v>37.759</v>
      </c>
      <c r="C237" s="14">
        <f>37.3246 * CHOOSE(CONTROL!$C$9, $D$9, 100%, $F$9) + CHOOSE(CONTROL!$C$27, 0.0021, 0)</f>
        <v>37.326699999999995</v>
      </c>
      <c r="D237" s="14">
        <f>37.3246 * CHOOSE(CONTROL!$C$9, $D$9, 100%, $F$9) + CHOOSE(CONTROL!$C$27, 0.0021, 0)</f>
        <v>37.326699999999995</v>
      </c>
      <c r="E237" s="14">
        <f>37.1879 * CHOOSE(CONTROL!$C$9, $D$9, 100%, $F$9) + CHOOSE(CONTROL!$C$27, 0.0021, 0)</f>
        <v>37.19</v>
      </c>
      <c r="F237" s="14">
        <f>37.1879 * CHOOSE(CONTROL!$C$9, $D$9, 100%, $F$9) + CHOOSE(CONTROL!$C$27, 0.0021, 0)</f>
        <v>37.19</v>
      </c>
      <c r="G237" s="14">
        <f>37.4593 * CHOOSE(CONTROL!$C$9, $D$9, 100%, $F$9) + CHOOSE(CONTROL!$C$27, 0.0021, 0)</f>
        <v>37.461399999999998</v>
      </c>
      <c r="H237" s="14">
        <f>37.3246 * CHOOSE(CONTROL!$C$9, $D$9, 100%, $F$9) + CHOOSE(CONTROL!$C$27, 0.0021, 0)</f>
        <v>37.326699999999995</v>
      </c>
      <c r="I237" s="14">
        <f>37.3246 * CHOOSE(CONTROL!$C$9, $D$9, 100%, $F$9) + CHOOSE(CONTROL!$C$27, 0.0021, 0)</f>
        <v>37.326699999999995</v>
      </c>
      <c r="J237" s="14">
        <f>37.3246 * CHOOSE(CONTROL!$C$9, $D$9, 100%, $F$9) + CHOOSE(CONTROL!$C$27, 0.0021, 0)</f>
        <v>37.326699999999995</v>
      </c>
      <c r="K237" s="14">
        <f>37.3246 * CHOOSE(CONTROL!$C$9, $D$9, 100%, $F$9) + CHOOSE(CONTROL!$C$27, 0.0021, 0)</f>
        <v>37.326699999999995</v>
      </c>
      <c r="L237" s="14"/>
    </row>
    <row r="238" spans="1:12" ht="15" x14ac:dyDescent="0.2">
      <c r="A238" s="13">
        <v>48153</v>
      </c>
      <c r="B238" s="14">
        <f>37.8388 * CHOOSE(CONTROL!$C$9, $D$9, 100%, $F$9) + CHOOSE(CONTROL!$C$27, 0.0021, 0)</f>
        <v>37.840899999999998</v>
      </c>
      <c r="C238" s="14">
        <f>37.4065 * CHOOSE(CONTROL!$C$9, $D$9, 100%, $F$9) + CHOOSE(CONTROL!$C$27, 0.0021, 0)</f>
        <v>37.4086</v>
      </c>
      <c r="D238" s="14">
        <f>37.4065 * CHOOSE(CONTROL!$C$9, $D$9, 100%, $F$9) + CHOOSE(CONTROL!$C$27, 0.0021, 0)</f>
        <v>37.4086</v>
      </c>
      <c r="E238" s="14">
        <f>37.2699 * CHOOSE(CONTROL!$C$9, $D$9, 100%, $F$9) + CHOOSE(CONTROL!$C$27, 0.0021, 0)</f>
        <v>37.271999999999998</v>
      </c>
      <c r="F238" s="14">
        <f>37.2699 * CHOOSE(CONTROL!$C$9, $D$9, 100%, $F$9) + CHOOSE(CONTROL!$C$27, 0.0021, 0)</f>
        <v>37.271999999999998</v>
      </c>
      <c r="G238" s="14">
        <f>37.5412 * CHOOSE(CONTROL!$C$9, $D$9, 100%, $F$9) + CHOOSE(CONTROL!$C$27, 0.0021, 0)</f>
        <v>37.543300000000002</v>
      </c>
      <c r="H238" s="14">
        <f>37.4065 * CHOOSE(CONTROL!$C$9, $D$9, 100%, $F$9) + CHOOSE(CONTROL!$C$27, 0.0021, 0)</f>
        <v>37.4086</v>
      </c>
      <c r="I238" s="14">
        <f>37.4065 * CHOOSE(CONTROL!$C$9, $D$9, 100%, $F$9) + CHOOSE(CONTROL!$C$27, 0.0021, 0)</f>
        <v>37.4086</v>
      </c>
      <c r="J238" s="14">
        <f>37.4065 * CHOOSE(CONTROL!$C$9, $D$9, 100%, $F$9) + CHOOSE(CONTROL!$C$27, 0.0021, 0)</f>
        <v>37.4086</v>
      </c>
      <c r="K238" s="14">
        <f>37.4065 * CHOOSE(CONTROL!$C$9, $D$9, 100%, $F$9) + CHOOSE(CONTROL!$C$27, 0.0021, 0)</f>
        <v>37.4086</v>
      </c>
      <c r="L238" s="14"/>
    </row>
    <row r="239" spans="1:12" ht="15" x14ac:dyDescent="0.2">
      <c r="A239" s="13">
        <v>48183</v>
      </c>
      <c r="B239" s="14">
        <f>37.1418 * CHOOSE(CONTROL!$C$9, $D$9, 100%, $F$9) + CHOOSE(CONTROL!$C$27, 0.0021, 0)</f>
        <v>37.143900000000002</v>
      </c>
      <c r="C239" s="14">
        <f>36.7095 * CHOOSE(CONTROL!$C$9, $D$9, 100%, $F$9) + CHOOSE(CONTROL!$C$27, 0.0021, 0)</f>
        <v>36.711599999999997</v>
      </c>
      <c r="D239" s="14">
        <f>36.7095 * CHOOSE(CONTROL!$C$9, $D$9, 100%, $F$9) + CHOOSE(CONTROL!$C$27, 0.0021, 0)</f>
        <v>36.711599999999997</v>
      </c>
      <c r="E239" s="14">
        <f>36.5729 * CHOOSE(CONTROL!$C$9, $D$9, 100%, $F$9) + CHOOSE(CONTROL!$C$27, 0.0021, 0)</f>
        <v>36.574999999999996</v>
      </c>
      <c r="F239" s="14">
        <f>36.5729 * CHOOSE(CONTROL!$C$9, $D$9, 100%, $F$9) + CHOOSE(CONTROL!$C$27, 0.0021, 0)</f>
        <v>36.574999999999996</v>
      </c>
      <c r="G239" s="14">
        <f>36.8443 * CHOOSE(CONTROL!$C$9, $D$9, 100%, $F$9) + CHOOSE(CONTROL!$C$27, 0.0021, 0)</f>
        <v>36.846399999999996</v>
      </c>
      <c r="H239" s="14">
        <f>36.7095 * CHOOSE(CONTROL!$C$9, $D$9, 100%, $F$9) + CHOOSE(CONTROL!$C$27, 0.0021, 0)</f>
        <v>36.711599999999997</v>
      </c>
      <c r="I239" s="14">
        <f>36.7095 * CHOOSE(CONTROL!$C$9, $D$9, 100%, $F$9) + CHOOSE(CONTROL!$C$27, 0.0021, 0)</f>
        <v>36.711599999999997</v>
      </c>
      <c r="J239" s="14">
        <f>36.7095 * CHOOSE(CONTROL!$C$9, $D$9, 100%, $F$9) + CHOOSE(CONTROL!$C$27, 0.0021, 0)</f>
        <v>36.711599999999997</v>
      </c>
      <c r="K239" s="14">
        <f>36.7095 * CHOOSE(CONTROL!$C$9, $D$9, 100%, $F$9) + CHOOSE(CONTROL!$C$27, 0.0021, 0)</f>
        <v>36.711599999999997</v>
      </c>
      <c r="L239" s="14"/>
    </row>
    <row r="240" spans="1:12" ht="15" x14ac:dyDescent="0.2">
      <c r="A240" s="13">
        <v>48214</v>
      </c>
      <c r="B240" s="14">
        <f>36.6852 * CHOOSE(CONTROL!$C$9, $D$9, 100%, $F$9) + CHOOSE(CONTROL!$C$27, 0.0021, 0)</f>
        <v>36.6873</v>
      </c>
      <c r="C240" s="14">
        <f>36.2529 * CHOOSE(CONTROL!$C$9, $D$9, 100%, $F$9) + CHOOSE(CONTROL!$C$27, 0.0021, 0)</f>
        <v>36.254999999999995</v>
      </c>
      <c r="D240" s="14">
        <f>36.2529 * CHOOSE(CONTROL!$C$9, $D$9, 100%, $F$9) + CHOOSE(CONTROL!$C$27, 0.0021, 0)</f>
        <v>36.254999999999995</v>
      </c>
      <c r="E240" s="14">
        <f>36.1163 * CHOOSE(CONTROL!$C$9, $D$9, 100%, $F$9) + CHOOSE(CONTROL!$C$27, 0.0021, 0)</f>
        <v>36.118400000000001</v>
      </c>
      <c r="F240" s="14">
        <f>36.1163 * CHOOSE(CONTROL!$C$9, $D$9, 100%, $F$9) + CHOOSE(CONTROL!$C$27, 0.0021, 0)</f>
        <v>36.118400000000001</v>
      </c>
      <c r="G240" s="14">
        <f>36.3877 * CHOOSE(CONTROL!$C$9, $D$9, 100%, $F$9) + CHOOSE(CONTROL!$C$27, 0.0021, 0)</f>
        <v>36.389800000000001</v>
      </c>
      <c r="H240" s="14">
        <f>36.2529 * CHOOSE(CONTROL!$C$9, $D$9, 100%, $F$9) + CHOOSE(CONTROL!$C$27, 0.0021, 0)</f>
        <v>36.254999999999995</v>
      </c>
      <c r="I240" s="14">
        <f>36.2529 * CHOOSE(CONTROL!$C$9, $D$9, 100%, $F$9) + CHOOSE(CONTROL!$C$27, 0.0021, 0)</f>
        <v>36.254999999999995</v>
      </c>
      <c r="J240" s="14">
        <f>36.2529 * CHOOSE(CONTROL!$C$9, $D$9, 100%, $F$9) + CHOOSE(CONTROL!$C$27, 0.0021, 0)</f>
        <v>36.254999999999995</v>
      </c>
      <c r="K240" s="14">
        <f>36.2529 * CHOOSE(CONTROL!$C$9, $D$9, 100%, $F$9) + CHOOSE(CONTROL!$C$27, 0.0021, 0)</f>
        <v>36.254999999999995</v>
      </c>
      <c r="L240" s="14"/>
    </row>
    <row r="241" spans="1:12" ht="15" x14ac:dyDescent="0.2">
      <c r="A241" s="13">
        <v>48245</v>
      </c>
      <c r="B241" s="14">
        <f>35.7124 * CHOOSE(CONTROL!$C$9, $D$9, 100%, $F$9) + CHOOSE(CONTROL!$C$27, 0.0021, 0)</f>
        <v>35.714500000000001</v>
      </c>
      <c r="C241" s="14">
        <f>35.2801 * CHOOSE(CONTROL!$C$9, $D$9, 100%, $F$9) + CHOOSE(CONTROL!$C$27, 0.0021, 0)</f>
        <v>35.282199999999996</v>
      </c>
      <c r="D241" s="14">
        <f>35.2801 * CHOOSE(CONTROL!$C$9, $D$9, 100%, $F$9) + CHOOSE(CONTROL!$C$27, 0.0021, 0)</f>
        <v>35.282199999999996</v>
      </c>
      <c r="E241" s="14">
        <f>35.1435 * CHOOSE(CONTROL!$C$9, $D$9, 100%, $F$9) + CHOOSE(CONTROL!$C$27, 0.0021, 0)</f>
        <v>35.145600000000002</v>
      </c>
      <c r="F241" s="14">
        <f>35.1435 * CHOOSE(CONTROL!$C$9, $D$9, 100%, $F$9) + CHOOSE(CONTROL!$C$27, 0.0021, 0)</f>
        <v>35.145600000000002</v>
      </c>
      <c r="G241" s="14">
        <f>35.4148 * CHOOSE(CONTROL!$C$9, $D$9, 100%, $F$9) + CHOOSE(CONTROL!$C$27, 0.0021, 0)</f>
        <v>35.416899999999998</v>
      </c>
      <c r="H241" s="14">
        <f>35.2801 * CHOOSE(CONTROL!$C$9, $D$9, 100%, $F$9) + CHOOSE(CONTROL!$C$27, 0.0021, 0)</f>
        <v>35.282199999999996</v>
      </c>
      <c r="I241" s="14">
        <f>35.2801 * CHOOSE(CONTROL!$C$9, $D$9, 100%, $F$9) + CHOOSE(CONTROL!$C$27, 0.0021, 0)</f>
        <v>35.282199999999996</v>
      </c>
      <c r="J241" s="14">
        <f>35.2801 * CHOOSE(CONTROL!$C$9, $D$9, 100%, $F$9) + CHOOSE(CONTROL!$C$27, 0.0021, 0)</f>
        <v>35.282199999999996</v>
      </c>
      <c r="K241" s="14">
        <f>35.2801 * CHOOSE(CONTROL!$C$9, $D$9, 100%, $F$9) + CHOOSE(CONTROL!$C$27, 0.0021, 0)</f>
        <v>35.282199999999996</v>
      </c>
      <c r="L241" s="14"/>
    </row>
    <row r="242" spans="1:12" ht="15" x14ac:dyDescent="0.2">
      <c r="A242" s="13">
        <v>48274</v>
      </c>
      <c r="B242" s="14">
        <f>35.3108 * CHOOSE(CONTROL!$C$9, $D$9, 100%, $F$9) + CHOOSE(CONTROL!$C$27, 0.0021, 0)</f>
        <v>35.312899999999999</v>
      </c>
      <c r="C242" s="14">
        <f>34.8786 * CHOOSE(CONTROL!$C$9, $D$9, 100%, $F$9) + CHOOSE(CONTROL!$C$27, 0.0021, 0)</f>
        <v>34.880699999999997</v>
      </c>
      <c r="D242" s="14">
        <f>34.8786 * CHOOSE(CONTROL!$C$9, $D$9, 100%, $F$9) + CHOOSE(CONTROL!$C$27, 0.0021, 0)</f>
        <v>34.880699999999997</v>
      </c>
      <c r="E242" s="14">
        <f>34.7419 * CHOOSE(CONTROL!$C$9, $D$9, 100%, $F$9) + CHOOSE(CONTROL!$C$27, 0.0021, 0)</f>
        <v>34.744</v>
      </c>
      <c r="F242" s="14">
        <f>34.7419 * CHOOSE(CONTROL!$C$9, $D$9, 100%, $F$9) + CHOOSE(CONTROL!$C$27, 0.0021, 0)</f>
        <v>34.744</v>
      </c>
      <c r="G242" s="14">
        <f>35.0133 * CHOOSE(CONTROL!$C$9, $D$9, 100%, $F$9) + CHOOSE(CONTROL!$C$27, 0.0021, 0)</f>
        <v>35.0154</v>
      </c>
      <c r="H242" s="14">
        <f>34.8786 * CHOOSE(CONTROL!$C$9, $D$9, 100%, $F$9) + CHOOSE(CONTROL!$C$27, 0.0021, 0)</f>
        <v>34.880699999999997</v>
      </c>
      <c r="I242" s="14">
        <f>34.8786 * CHOOSE(CONTROL!$C$9, $D$9, 100%, $F$9) + CHOOSE(CONTROL!$C$27, 0.0021, 0)</f>
        <v>34.880699999999997</v>
      </c>
      <c r="J242" s="14">
        <f>34.8786 * CHOOSE(CONTROL!$C$9, $D$9, 100%, $F$9) + CHOOSE(CONTROL!$C$27, 0.0021, 0)</f>
        <v>34.880699999999997</v>
      </c>
      <c r="K242" s="14">
        <f>34.8786 * CHOOSE(CONTROL!$C$9, $D$9, 100%, $F$9) + CHOOSE(CONTROL!$C$27, 0.0021, 0)</f>
        <v>34.880699999999997</v>
      </c>
      <c r="L242" s="14"/>
    </row>
    <row r="243" spans="1:12" ht="15" x14ac:dyDescent="0.2">
      <c r="A243" s="13">
        <v>48305</v>
      </c>
      <c r="B243" s="14">
        <f>34.8313 * CHOOSE(CONTROL!$C$9, $D$9, 100%, $F$9) + CHOOSE(CONTROL!$C$27, 0.0021, 0)</f>
        <v>34.833399999999997</v>
      </c>
      <c r="C243" s="14">
        <f>34.3991 * CHOOSE(CONTROL!$C$9, $D$9, 100%, $F$9) + CHOOSE(CONTROL!$C$27, 0.0021, 0)</f>
        <v>34.401199999999996</v>
      </c>
      <c r="D243" s="14">
        <f>34.3991 * CHOOSE(CONTROL!$C$9, $D$9, 100%, $F$9) + CHOOSE(CONTROL!$C$27, 0.0021, 0)</f>
        <v>34.401199999999996</v>
      </c>
      <c r="E243" s="14">
        <f>34.2624 * CHOOSE(CONTROL!$C$9, $D$9, 100%, $F$9) + CHOOSE(CONTROL!$C$27, 0.0021, 0)</f>
        <v>34.264499999999998</v>
      </c>
      <c r="F243" s="14">
        <f>34.2624 * CHOOSE(CONTROL!$C$9, $D$9, 100%, $F$9) + CHOOSE(CONTROL!$C$27, 0.0021, 0)</f>
        <v>34.264499999999998</v>
      </c>
      <c r="G243" s="14">
        <f>34.5338 * CHOOSE(CONTROL!$C$9, $D$9, 100%, $F$9) + CHOOSE(CONTROL!$C$27, 0.0021, 0)</f>
        <v>34.535899999999998</v>
      </c>
      <c r="H243" s="14">
        <f>34.3991 * CHOOSE(CONTROL!$C$9, $D$9, 100%, $F$9) + CHOOSE(CONTROL!$C$27, 0.0021, 0)</f>
        <v>34.401199999999996</v>
      </c>
      <c r="I243" s="14">
        <f>34.3991 * CHOOSE(CONTROL!$C$9, $D$9, 100%, $F$9) + CHOOSE(CONTROL!$C$27, 0.0021, 0)</f>
        <v>34.401199999999996</v>
      </c>
      <c r="J243" s="14">
        <f>34.3991 * CHOOSE(CONTROL!$C$9, $D$9, 100%, $F$9) + CHOOSE(CONTROL!$C$27, 0.0021, 0)</f>
        <v>34.401199999999996</v>
      </c>
      <c r="K243" s="14">
        <f>34.3991 * CHOOSE(CONTROL!$C$9, $D$9, 100%, $F$9) + CHOOSE(CONTROL!$C$27, 0.0021, 0)</f>
        <v>34.401199999999996</v>
      </c>
      <c r="L243" s="14"/>
    </row>
    <row r="244" spans="1:12" ht="15" x14ac:dyDescent="0.2">
      <c r="A244" s="13">
        <v>48335</v>
      </c>
      <c r="B244" s="14">
        <f>35.5146 * CHOOSE(CONTROL!$C$9, $D$9, 100%, $F$9) + CHOOSE(CONTROL!$C$27, 0.0021, 0)</f>
        <v>35.5167</v>
      </c>
      <c r="C244" s="14">
        <f>35.0824 * CHOOSE(CONTROL!$C$9, $D$9, 100%, $F$9) + CHOOSE(CONTROL!$C$27, 0.0021, 0)</f>
        <v>35.084499999999998</v>
      </c>
      <c r="D244" s="14">
        <f>35.0824 * CHOOSE(CONTROL!$C$9, $D$9, 100%, $F$9) + CHOOSE(CONTROL!$C$27, 0.0021, 0)</f>
        <v>35.084499999999998</v>
      </c>
      <c r="E244" s="14">
        <f>34.9457 * CHOOSE(CONTROL!$C$9, $D$9, 100%, $F$9) + CHOOSE(CONTROL!$C$27, 0.0021, 0)</f>
        <v>34.947800000000001</v>
      </c>
      <c r="F244" s="14">
        <f>34.9457 * CHOOSE(CONTROL!$C$9, $D$9, 100%, $F$9) + CHOOSE(CONTROL!$C$27, 0.0021, 0)</f>
        <v>34.947800000000001</v>
      </c>
      <c r="G244" s="14">
        <f>35.2171 * CHOOSE(CONTROL!$C$9, $D$9, 100%, $F$9) + CHOOSE(CONTROL!$C$27, 0.0021, 0)</f>
        <v>35.219200000000001</v>
      </c>
      <c r="H244" s="14">
        <f>35.0824 * CHOOSE(CONTROL!$C$9, $D$9, 100%, $F$9) + CHOOSE(CONTROL!$C$27, 0.0021, 0)</f>
        <v>35.084499999999998</v>
      </c>
      <c r="I244" s="14">
        <f>35.0824 * CHOOSE(CONTROL!$C$9, $D$9, 100%, $F$9) + CHOOSE(CONTROL!$C$27, 0.0021, 0)</f>
        <v>35.084499999999998</v>
      </c>
      <c r="J244" s="14">
        <f>35.0824 * CHOOSE(CONTROL!$C$9, $D$9, 100%, $F$9) + CHOOSE(CONTROL!$C$27, 0.0021, 0)</f>
        <v>35.084499999999998</v>
      </c>
      <c r="K244" s="14">
        <f>35.0824 * CHOOSE(CONTROL!$C$9, $D$9, 100%, $F$9) + CHOOSE(CONTROL!$C$27, 0.0021, 0)</f>
        <v>35.084499999999998</v>
      </c>
      <c r="L244" s="14"/>
    </row>
    <row r="245" spans="1:12" ht="15" x14ac:dyDescent="0.2">
      <c r="A245" s="13">
        <v>48366</v>
      </c>
      <c r="B245" s="14">
        <f>35.9239 * CHOOSE(CONTROL!$C$9, $D$9, 100%, $F$9) + CHOOSE(CONTROL!$C$27, 0.0021, 0)</f>
        <v>35.926000000000002</v>
      </c>
      <c r="C245" s="14">
        <f>35.4917 * CHOOSE(CONTROL!$C$9, $D$9, 100%, $F$9) + CHOOSE(CONTROL!$C$27, 0.0021, 0)</f>
        <v>35.4938</v>
      </c>
      <c r="D245" s="14">
        <f>35.4917 * CHOOSE(CONTROL!$C$9, $D$9, 100%, $F$9) + CHOOSE(CONTROL!$C$27, 0.0021, 0)</f>
        <v>35.4938</v>
      </c>
      <c r="E245" s="14">
        <f>35.355 * CHOOSE(CONTROL!$C$9, $D$9, 100%, $F$9) + CHOOSE(CONTROL!$C$27, 0.0021, 0)</f>
        <v>35.357099999999996</v>
      </c>
      <c r="F245" s="14">
        <f>35.355 * CHOOSE(CONTROL!$C$9, $D$9, 100%, $F$9) + CHOOSE(CONTROL!$C$27, 0.0021, 0)</f>
        <v>35.357099999999996</v>
      </c>
      <c r="G245" s="14">
        <f>35.6264 * CHOOSE(CONTROL!$C$9, $D$9, 100%, $F$9) + CHOOSE(CONTROL!$C$27, 0.0021, 0)</f>
        <v>35.628499999999995</v>
      </c>
      <c r="H245" s="14">
        <f>35.4917 * CHOOSE(CONTROL!$C$9, $D$9, 100%, $F$9) + CHOOSE(CONTROL!$C$27, 0.0021, 0)</f>
        <v>35.4938</v>
      </c>
      <c r="I245" s="14">
        <f>35.4917 * CHOOSE(CONTROL!$C$9, $D$9, 100%, $F$9) + CHOOSE(CONTROL!$C$27, 0.0021, 0)</f>
        <v>35.4938</v>
      </c>
      <c r="J245" s="14">
        <f>35.4917 * CHOOSE(CONTROL!$C$9, $D$9, 100%, $F$9) + CHOOSE(CONTROL!$C$27, 0.0021, 0)</f>
        <v>35.4938</v>
      </c>
      <c r="K245" s="14">
        <f>35.4917 * CHOOSE(CONTROL!$C$9, $D$9, 100%, $F$9) + CHOOSE(CONTROL!$C$27, 0.0021, 0)</f>
        <v>35.4938</v>
      </c>
      <c r="L245" s="14"/>
    </row>
    <row r="246" spans="1:12" ht="15" x14ac:dyDescent="0.2">
      <c r="A246" s="13">
        <v>48396</v>
      </c>
      <c r="B246" s="14">
        <f>36.5991 * CHOOSE(CONTROL!$C$9, $D$9, 100%, $F$9) + CHOOSE(CONTROL!$C$27, 0.0021, 0)</f>
        <v>36.601199999999999</v>
      </c>
      <c r="C246" s="14">
        <f>36.1669 * CHOOSE(CONTROL!$C$9, $D$9, 100%, $F$9) + CHOOSE(CONTROL!$C$27, 0.0021, 0)</f>
        <v>36.168999999999997</v>
      </c>
      <c r="D246" s="14">
        <f>36.1669 * CHOOSE(CONTROL!$C$9, $D$9, 100%, $F$9) + CHOOSE(CONTROL!$C$27, 0.0021, 0)</f>
        <v>36.168999999999997</v>
      </c>
      <c r="E246" s="14">
        <f>36.0302 * CHOOSE(CONTROL!$C$9, $D$9, 100%, $F$9) + CHOOSE(CONTROL!$C$27, 0.0021, 0)</f>
        <v>36.032299999999999</v>
      </c>
      <c r="F246" s="14">
        <f>36.0302 * CHOOSE(CONTROL!$C$9, $D$9, 100%, $F$9) + CHOOSE(CONTROL!$C$27, 0.0021, 0)</f>
        <v>36.032299999999999</v>
      </c>
      <c r="G246" s="14">
        <f>36.3016 * CHOOSE(CONTROL!$C$9, $D$9, 100%, $F$9) + CHOOSE(CONTROL!$C$27, 0.0021, 0)</f>
        <v>36.303699999999999</v>
      </c>
      <c r="H246" s="14">
        <f>36.1669 * CHOOSE(CONTROL!$C$9, $D$9, 100%, $F$9) + CHOOSE(CONTROL!$C$27, 0.0021, 0)</f>
        <v>36.168999999999997</v>
      </c>
      <c r="I246" s="14">
        <f>36.1669 * CHOOSE(CONTROL!$C$9, $D$9, 100%, $F$9) + CHOOSE(CONTROL!$C$27, 0.0021, 0)</f>
        <v>36.168999999999997</v>
      </c>
      <c r="J246" s="14">
        <f>36.1669 * CHOOSE(CONTROL!$C$9, $D$9, 100%, $F$9) + CHOOSE(CONTROL!$C$27, 0.0021, 0)</f>
        <v>36.168999999999997</v>
      </c>
      <c r="K246" s="14">
        <f>36.1669 * CHOOSE(CONTROL!$C$9, $D$9, 100%, $F$9) + CHOOSE(CONTROL!$C$27, 0.0021, 0)</f>
        <v>36.168999999999997</v>
      </c>
      <c r="L246" s="14"/>
    </row>
    <row r="247" spans="1:12" ht="15" x14ac:dyDescent="0.2">
      <c r="A247" s="13">
        <v>48427</v>
      </c>
      <c r="B247" s="14">
        <f>36.8052 * CHOOSE(CONTROL!$C$9, $D$9, 100%, $F$9) + CHOOSE(CONTROL!$C$27, 0.0021, 0)</f>
        <v>36.807299999999998</v>
      </c>
      <c r="C247" s="14">
        <f>36.3729 * CHOOSE(CONTROL!$C$9, $D$9, 100%, $F$9) + CHOOSE(CONTROL!$C$27, 0.0021, 0)</f>
        <v>36.375</v>
      </c>
      <c r="D247" s="14">
        <f>36.3729 * CHOOSE(CONTROL!$C$9, $D$9, 100%, $F$9) + CHOOSE(CONTROL!$C$27, 0.0021, 0)</f>
        <v>36.375</v>
      </c>
      <c r="E247" s="14">
        <f>36.2363 * CHOOSE(CONTROL!$C$9, $D$9, 100%, $F$9) + CHOOSE(CONTROL!$C$27, 0.0021, 0)</f>
        <v>36.238399999999999</v>
      </c>
      <c r="F247" s="14">
        <f>36.2363 * CHOOSE(CONTROL!$C$9, $D$9, 100%, $F$9) + CHOOSE(CONTROL!$C$27, 0.0021, 0)</f>
        <v>36.238399999999999</v>
      </c>
      <c r="G247" s="14">
        <f>36.5077 * CHOOSE(CONTROL!$C$9, $D$9, 100%, $F$9) + CHOOSE(CONTROL!$C$27, 0.0021, 0)</f>
        <v>36.509799999999998</v>
      </c>
      <c r="H247" s="14">
        <f>36.3729 * CHOOSE(CONTROL!$C$9, $D$9, 100%, $F$9) + CHOOSE(CONTROL!$C$27, 0.0021, 0)</f>
        <v>36.375</v>
      </c>
      <c r="I247" s="14">
        <f>36.3729 * CHOOSE(CONTROL!$C$9, $D$9, 100%, $F$9) + CHOOSE(CONTROL!$C$27, 0.0021, 0)</f>
        <v>36.375</v>
      </c>
      <c r="J247" s="14">
        <f>36.3729 * CHOOSE(CONTROL!$C$9, $D$9, 100%, $F$9) + CHOOSE(CONTROL!$C$27, 0.0021, 0)</f>
        <v>36.375</v>
      </c>
      <c r="K247" s="14">
        <f>36.3729 * CHOOSE(CONTROL!$C$9, $D$9, 100%, $F$9) + CHOOSE(CONTROL!$C$27, 0.0021, 0)</f>
        <v>36.375</v>
      </c>
      <c r="L247" s="14"/>
    </row>
    <row r="248" spans="1:12" ht="15" x14ac:dyDescent="0.2">
      <c r="A248" s="13">
        <v>48458</v>
      </c>
      <c r="B248" s="14">
        <f>37.507 * CHOOSE(CONTROL!$C$9, $D$9, 100%, $F$9) + CHOOSE(CONTROL!$C$27, 0.0021, 0)</f>
        <v>37.509099999999997</v>
      </c>
      <c r="C248" s="14">
        <f>37.0748 * CHOOSE(CONTROL!$C$9, $D$9, 100%, $F$9) + CHOOSE(CONTROL!$C$27, 0.0021, 0)</f>
        <v>37.076900000000002</v>
      </c>
      <c r="D248" s="14">
        <f>37.0748 * CHOOSE(CONTROL!$C$9, $D$9, 100%, $F$9) + CHOOSE(CONTROL!$C$27, 0.0021, 0)</f>
        <v>37.076900000000002</v>
      </c>
      <c r="E248" s="14">
        <f>36.9381 * CHOOSE(CONTROL!$C$9, $D$9, 100%, $F$9) + CHOOSE(CONTROL!$C$27, 0.0021, 0)</f>
        <v>36.940199999999997</v>
      </c>
      <c r="F248" s="14">
        <f>36.9381 * CHOOSE(CONTROL!$C$9, $D$9, 100%, $F$9) + CHOOSE(CONTROL!$C$27, 0.0021, 0)</f>
        <v>36.940199999999997</v>
      </c>
      <c r="G248" s="14">
        <f>37.2095 * CHOOSE(CONTROL!$C$9, $D$9, 100%, $F$9) + CHOOSE(CONTROL!$C$27, 0.0021, 0)</f>
        <v>37.211599999999997</v>
      </c>
      <c r="H248" s="14">
        <f>37.0748 * CHOOSE(CONTROL!$C$9, $D$9, 100%, $F$9) + CHOOSE(CONTROL!$C$27, 0.0021, 0)</f>
        <v>37.076900000000002</v>
      </c>
      <c r="I248" s="14">
        <f>37.0748 * CHOOSE(CONTROL!$C$9, $D$9, 100%, $F$9) + CHOOSE(CONTROL!$C$27, 0.0021, 0)</f>
        <v>37.076900000000002</v>
      </c>
      <c r="J248" s="14">
        <f>37.0748 * CHOOSE(CONTROL!$C$9, $D$9, 100%, $F$9) + CHOOSE(CONTROL!$C$27, 0.0021, 0)</f>
        <v>37.076900000000002</v>
      </c>
      <c r="K248" s="14">
        <f>37.0748 * CHOOSE(CONTROL!$C$9, $D$9, 100%, $F$9) + CHOOSE(CONTROL!$C$27, 0.0021, 0)</f>
        <v>37.076900000000002</v>
      </c>
      <c r="L248" s="14"/>
    </row>
    <row r="249" spans="1:12" ht="15" x14ac:dyDescent="0.2">
      <c r="A249" s="13">
        <v>48488</v>
      </c>
      <c r="B249" s="14">
        <f>38.3954 * CHOOSE(CONTROL!$C$9, $D$9, 100%, $F$9) + CHOOSE(CONTROL!$C$27, 0.0021, 0)</f>
        <v>38.397500000000001</v>
      </c>
      <c r="C249" s="14">
        <f>37.9631 * CHOOSE(CONTROL!$C$9, $D$9, 100%, $F$9) + CHOOSE(CONTROL!$C$27, 0.0021, 0)</f>
        <v>37.965199999999996</v>
      </c>
      <c r="D249" s="14">
        <f>37.9631 * CHOOSE(CONTROL!$C$9, $D$9, 100%, $F$9) + CHOOSE(CONTROL!$C$27, 0.0021, 0)</f>
        <v>37.965199999999996</v>
      </c>
      <c r="E249" s="14">
        <f>37.8265 * CHOOSE(CONTROL!$C$9, $D$9, 100%, $F$9) + CHOOSE(CONTROL!$C$27, 0.0021, 0)</f>
        <v>37.828600000000002</v>
      </c>
      <c r="F249" s="14">
        <f>37.8265 * CHOOSE(CONTROL!$C$9, $D$9, 100%, $F$9) + CHOOSE(CONTROL!$C$27, 0.0021, 0)</f>
        <v>37.828600000000002</v>
      </c>
      <c r="G249" s="14">
        <f>38.0979 * CHOOSE(CONTROL!$C$9, $D$9, 100%, $F$9) + CHOOSE(CONTROL!$C$27, 0.0021, 0)</f>
        <v>38.1</v>
      </c>
      <c r="H249" s="14">
        <f>37.9631 * CHOOSE(CONTROL!$C$9, $D$9, 100%, $F$9) + CHOOSE(CONTROL!$C$27, 0.0021, 0)</f>
        <v>37.965199999999996</v>
      </c>
      <c r="I249" s="14">
        <f>37.9631 * CHOOSE(CONTROL!$C$9, $D$9, 100%, $F$9) + CHOOSE(CONTROL!$C$27, 0.0021, 0)</f>
        <v>37.965199999999996</v>
      </c>
      <c r="J249" s="14">
        <f>37.9631 * CHOOSE(CONTROL!$C$9, $D$9, 100%, $F$9) + CHOOSE(CONTROL!$C$27, 0.0021, 0)</f>
        <v>37.965199999999996</v>
      </c>
      <c r="K249" s="14">
        <f>37.9631 * CHOOSE(CONTROL!$C$9, $D$9, 100%, $F$9) + CHOOSE(CONTROL!$C$27, 0.0021, 0)</f>
        <v>37.965199999999996</v>
      </c>
      <c r="L249" s="14"/>
    </row>
    <row r="250" spans="1:12" ht="15" x14ac:dyDescent="0.2">
      <c r="A250" s="13">
        <v>48519</v>
      </c>
      <c r="B250" s="14">
        <f>38.4788 * CHOOSE(CONTROL!$C$9, $D$9, 100%, $F$9) + CHOOSE(CONTROL!$C$27, 0.0021, 0)</f>
        <v>38.480899999999998</v>
      </c>
      <c r="C250" s="14">
        <f>38.0465 * CHOOSE(CONTROL!$C$9, $D$9, 100%, $F$9) + CHOOSE(CONTROL!$C$27, 0.0021, 0)</f>
        <v>38.0486</v>
      </c>
      <c r="D250" s="14">
        <f>38.0465 * CHOOSE(CONTROL!$C$9, $D$9, 100%, $F$9) + CHOOSE(CONTROL!$C$27, 0.0021, 0)</f>
        <v>38.0486</v>
      </c>
      <c r="E250" s="14">
        <f>37.9099 * CHOOSE(CONTROL!$C$9, $D$9, 100%, $F$9) + CHOOSE(CONTROL!$C$27, 0.0021, 0)</f>
        <v>37.911999999999999</v>
      </c>
      <c r="F250" s="14">
        <f>37.9099 * CHOOSE(CONTROL!$C$9, $D$9, 100%, $F$9) + CHOOSE(CONTROL!$C$27, 0.0021, 0)</f>
        <v>37.911999999999999</v>
      </c>
      <c r="G250" s="14">
        <f>38.1813 * CHOOSE(CONTROL!$C$9, $D$9, 100%, $F$9) + CHOOSE(CONTROL!$C$27, 0.0021, 0)</f>
        <v>38.183399999999999</v>
      </c>
      <c r="H250" s="14">
        <f>38.0465 * CHOOSE(CONTROL!$C$9, $D$9, 100%, $F$9) + CHOOSE(CONTROL!$C$27, 0.0021, 0)</f>
        <v>38.0486</v>
      </c>
      <c r="I250" s="14">
        <f>38.0465 * CHOOSE(CONTROL!$C$9, $D$9, 100%, $F$9) + CHOOSE(CONTROL!$C$27, 0.0021, 0)</f>
        <v>38.0486</v>
      </c>
      <c r="J250" s="14">
        <f>38.0465 * CHOOSE(CONTROL!$C$9, $D$9, 100%, $F$9) + CHOOSE(CONTROL!$C$27, 0.0021, 0)</f>
        <v>38.0486</v>
      </c>
      <c r="K250" s="14">
        <f>38.0465 * CHOOSE(CONTROL!$C$9, $D$9, 100%, $F$9) + CHOOSE(CONTROL!$C$27, 0.0021, 0)</f>
        <v>38.0486</v>
      </c>
      <c r="L250" s="14"/>
    </row>
    <row r="251" spans="1:12" ht="15" x14ac:dyDescent="0.2">
      <c r="A251" s="13">
        <v>48549</v>
      </c>
      <c r="B251" s="14">
        <f>37.7693 * CHOOSE(CONTROL!$C$9, $D$9, 100%, $F$9) + CHOOSE(CONTROL!$C$27, 0.0021, 0)</f>
        <v>37.7714</v>
      </c>
      <c r="C251" s="14">
        <f>37.337 * CHOOSE(CONTROL!$C$9, $D$9, 100%, $F$9) + CHOOSE(CONTROL!$C$27, 0.0021, 0)</f>
        <v>37.339100000000002</v>
      </c>
      <c r="D251" s="14">
        <f>37.337 * CHOOSE(CONTROL!$C$9, $D$9, 100%, $F$9) + CHOOSE(CONTROL!$C$27, 0.0021, 0)</f>
        <v>37.339100000000002</v>
      </c>
      <c r="E251" s="14">
        <f>37.2003 * CHOOSE(CONTROL!$C$9, $D$9, 100%, $F$9) + CHOOSE(CONTROL!$C$27, 0.0021, 0)</f>
        <v>37.202399999999997</v>
      </c>
      <c r="F251" s="14">
        <f>37.2003 * CHOOSE(CONTROL!$C$9, $D$9, 100%, $F$9) + CHOOSE(CONTROL!$C$27, 0.0021, 0)</f>
        <v>37.202399999999997</v>
      </c>
      <c r="G251" s="14">
        <f>37.4717 * CHOOSE(CONTROL!$C$9, $D$9, 100%, $F$9) + CHOOSE(CONTROL!$C$27, 0.0021, 0)</f>
        <v>37.473799999999997</v>
      </c>
      <c r="H251" s="14">
        <f>37.337 * CHOOSE(CONTROL!$C$9, $D$9, 100%, $F$9) + CHOOSE(CONTROL!$C$27, 0.0021, 0)</f>
        <v>37.339100000000002</v>
      </c>
      <c r="I251" s="14">
        <f>37.337 * CHOOSE(CONTROL!$C$9, $D$9, 100%, $F$9) + CHOOSE(CONTROL!$C$27, 0.0021, 0)</f>
        <v>37.339100000000002</v>
      </c>
      <c r="J251" s="14">
        <f>37.337 * CHOOSE(CONTROL!$C$9, $D$9, 100%, $F$9) + CHOOSE(CONTROL!$C$27, 0.0021, 0)</f>
        <v>37.339100000000002</v>
      </c>
      <c r="K251" s="14">
        <f>37.337 * CHOOSE(CONTROL!$C$9, $D$9, 100%, $F$9) + CHOOSE(CONTROL!$C$27, 0.0021, 0)</f>
        <v>37.339100000000002</v>
      </c>
      <c r="L251" s="14"/>
    </row>
    <row r="252" spans="1:12" ht="15" x14ac:dyDescent="0.2">
      <c r="A252" s="13">
        <v>48580</v>
      </c>
      <c r="B252" s="14">
        <f>37.3044 * CHOOSE(CONTROL!$C$9, $D$9, 100%, $F$9) + CHOOSE(CONTROL!$C$27, 0.0021, 0)</f>
        <v>37.3065</v>
      </c>
      <c r="C252" s="14">
        <f>36.8722 * CHOOSE(CONTROL!$C$9, $D$9, 100%, $F$9) + CHOOSE(CONTROL!$C$27, 0.0021, 0)</f>
        <v>36.874299999999998</v>
      </c>
      <c r="D252" s="14">
        <f>36.8722 * CHOOSE(CONTROL!$C$9, $D$9, 100%, $F$9) + CHOOSE(CONTROL!$C$27, 0.0021, 0)</f>
        <v>36.874299999999998</v>
      </c>
      <c r="E252" s="14">
        <f>36.7355 * CHOOSE(CONTROL!$C$9, $D$9, 100%, $F$9) + CHOOSE(CONTROL!$C$27, 0.0021, 0)</f>
        <v>36.7376</v>
      </c>
      <c r="F252" s="14">
        <f>36.7355 * CHOOSE(CONTROL!$C$9, $D$9, 100%, $F$9) + CHOOSE(CONTROL!$C$27, 0.0021, 0)</f>
        <v>36.7376</v>
      </c>
      <c r="G252" s="14">
        <f>37.0069 * CHOOSE(CONTROL!$C$9, $D$9, 100%, $F$9) + CHOOSE(CONTROL!$C$27, 0.0021, 0)</f>
        <v>37.009</v>
      </c>
      <c r="H252" s="14">
        <f>36.8722 * CHOOSE(CONTROL!$C$9, $D$9, 100%, $F$9) + CHOOSE(CONTROL!$C$27, 0.0021, 0)</f>
        <v>36.874299999999998</v>
      </c>
      <c r="I252" s="14">
        <f>36.8722 * CHOOSE(CONTROL!$C$9, $D$9, 100%, $F$9) + CHOOSE(CONTROL!$C$27, 0.0021, 0)</f>
        <v>36.874299999999998</v>
      </c>
      <c r="J252" s="14">
        <f>36.8722 * CHOOSE(CONTROL!$C$9, $D$9, 100%, $F$9) + CHOOSE(CONTROL!$C$27, 0.0021, 0)</f>
        <v>36.874299999999998</v>
      </c>
      <c r="K252" s="14">
        <f>36.8722 * CHOOSE(CONTROL!$C$9, $D$9, 100%, $F$9) + CHOOSE(CONTROL!$C$27, 0.0021, 0)</f>
        <v>36.874299999999998</v>
      </c>
      <c r="L252" s="14"/>
    </row>
    <row r="253" spans="1:12" ht="15" x14ac:dyDescent="0.2">
      <c r="A253" s="13">
        <v>48611</v>
      </c>
      <c r="B253" s="14">
        <f>36.3141 * CHOOSE(CONTROL!$C$9, $D$9, 100%, $F$9) + CHOOSE(CONTROL!$C$27, 0.0021, 0)</f>
        <v>36.316200000000002</v>
      </c>
      <c r="C253" s="14">
        <f>35.8818 * CHOOSE(CONTROL!$C$9, $D$9, 100%, $F$9) + CHOOSE(CONTROL!$C$27, 0.0021, 0)</f>
        <v>35.883899999999997</v>
      </c>
      <c r="D253" s="14">
        <f>35.8818 * CHOOSE(CONTROL!$C$9, $D$9, 100%, $F$9) + CHOOSE(CONTROL!$C$27, 0.0021, 0)</f>
        <v>35.883899999999997</v>
      </c>
      <c r="E253" s="14">
        <f>35.7452 * CHOOSE(CONTROL!$C$9, $D$9, 100%, $F$9) + CHOOSE(CONTROL!$C$27, 0.0021, 0)</f>
        <v>35.747299999999996</v>
      </c>
      <c r="F253" s="14">
        <f>35.7452 * CHOOSE(CONTROL!$C$9, $D$9, 100%, $F$9) + CHOOSE(CONTROL!$C$27, 0.0021, 0)</f>
        <v>35.747299999999996</v>
      </c>
      <c r="G253" s="14">
        <f>36.0166 * CHOOSE(CONTROL!$C$9, $D$9, 100%, $F$9) + CHOOSE(CONTROL!$C$27, 0.0021, 0)</f>
        <v>36.018699999999995</v>
      </c>
      <c r="H253" s="14">
        <f>35.8818 * CHOOSE(CONTROL!$C$9, $D$9, 100%, $F$9) + CHOOSE(CONTROL!$C$27, 0.0021, 0)</f>
        <v>35.883899999999997</v>
      </c>
      <c r="I253" s="14">
        <f>35.8818 * CHOOSE(CONTROL!$C$9, $D$9, 100%, $F$9) + CHOOSE(CONTROL!$C$27, 0.0021, 0)</f>
        <v>35.883899999999997</v>
      </c>
      <c r="J253" s="14">
        <f>35.8818 * CHOOSE(CONTROL!$C$9, $D$9, 100%, $F$9) + CHOOSE(CONTROL!$C$27, 0.0021, 0)</f>
        <v>35.883899999999997</v>
      </c>
      <c r="K253" s="14">
        <f>35.8818 * CHOOSE(CONTROL!$C$9, $D$9, 100%, $F$9) + CHOOSE(CONTROL!$C$27, 0.0021, 0)</f>
        <v>35.883899999999997</v>
      </c>
      <c r="L253" s="14"/>
    </row>
    <row r="254" spans="1:12" ht="15" x14ac:dyDescent="0.2">
      <c r="A254" s="13">
        <v>48639</v>
      </c>
      <c r="B254" s="14">
        <f>35.9053 * CHOOSE(CONTROL!$C$9, $D$9, 100%, $F$9) + CHOOSE(CONTROL!$C$27, 0.0021, 0)</f>
        <v>35.907399999999996</v>
      </c>
      <c r="C254" s="14">
        <f>35.473 * CHOOSE(CONTROL!$C$9, $D$9, 100%, $F$9) + CHOOSE(CONTROL!$C$27, 0.0021, 0)</f>
        <v>35.475099999999998</v>
      </c>
      <c r="D254" s="14">
        <f>35.473 * CHOOSE(CONTROL!$C$9, $D$9, 100%, $F$9) + CHOOSE(CONTROL!$C$27, 0.0021, 0)</f>
        <v>35.475099999999998</v>
      </c>
      <c r="E254" s="14">
        <f>35.3364 * CHOOSE(CONTROL!$C$9, $D$9, 100%, $F$9) + CHOOSE(CONTROL!$C$27, 0.0021, 0)</f>
        <v>35.338499999999996</v>
      </c>
      <c r="F254" s="14">
        <f>35.3364 * CHOOSE(CONTROL!$C$9, $D$9, 100%, $F$9) + CHOOSE(CONTROL!$C$27, 0.0021, 0)</f>
        <v>35.338499999999996</v>
      </c>
      <c r="G254" s="14">
        <f>35.6078 * CHOOSE(CONTROL!$C$9, $D$9, 100%, $F$9) + CHOOSE(CONTROL!$C$27, 0.0021, 0)</f>
        <v>35.609899999999996</v>
      </c>
      <c r="H254" s="14">
        <f>35.473 * CHOOSE(CONTROL!$C$9, $D$9, 100%, $F$9) + CHOOSE(CONTROL!$C$27, 0.0021, 0)</f>
        <v>35.475099999999998</v>
      </c>
      <c r="I254" s="14">
        <f>35.473 * CHOOSE(CONTROL!$C$9, $D$9, 100%, $F$9) + CHOOSE(CONTROL!$C$27, 0.0021, 0)</f>
        <v>35.475099999999998</v>
      </c>
      <c r="J254" s="14">
        <f>35.473 * CHOOSE(CONTROL!$C$9, $D$9, 100%, $F$9) + CHOOSE(CONTROL!$C$27, 0.0021, 0)</f>
        <v>35.475099999999998</v>
      </c>
      <c r="K254" s="14">
        <f>35.473 * CHOOSE(CONTROL!$C$9, $D$9, 100%, $F$9) + CHOOSE(CONTROL!$C$27, 0.0021, 0)</f>
        <v>35.475099999999998</v>
      </c>
      <c r="L254" s="14"/>
    </row>
    <row r="255" spans="1:12" ht="15" x14ac:dyDescent="0.2">
      <c r="A255" s="13">
        <v>48670</v>
      </c>
      <c r="B255" s="14">
        <f>35.4172 * CHOOSE(CONTROL!$C$9, $D$9, 100%, $F$9) + CHOOSE(CONTROL!$C$27, 0.0021, 0)</f>
        <v>35.4193</v>
      </c>
      <c r="C255" s="14">
        <f>34.9849 * CHOOSE(CONTROL!$C$9, $D$9, 100%, $F$9) + CHOOSE(CONTROL!$C$27, 0.0021, 0)</f>
        <v>34.987000000000002</v>
      </c>
      <c r="D255" s="14">
        <f>34.9849 * CHOOSE(CONTROL!$C$9, $D$9, 100%, $F$9) + CHOOSE(CONTROL!$C$27, 0.0021, 0)</f>
        <v>34.987000000000002</v>
      </c>
      <c r="E255" s="14">
        <f>34.8483 * CHOOSE(CONTROL!$C$9, $D$9, 100%, $F$9) + CHOOSE(CONTROL!$C$27, 0.0021, 0)</f>
        <v>34.8504</v>
      </c>
      <c r="F255" s="14">
        <f>34.8483 * CHOOSE(CONTROL!$C$9, $D$9, 100%, $F$9) + CHOOSE(CONTROL!$C$27, 0.0021, 0)</f>
        <v>34.8504</v>
      </c>
      <c r="G255" s="14">
        <f>35.1196 * CHOOSE(CONTROL!$C$9, $D$9, 100%, $F$9) + CHOOSE(CONTROL!$C$27, 0.0021, 0)</f>
        <v>35.121699999999997</v>
      </c>
      <c r="H255" s="14">
        <f>34.9849 * CHOOSE(CONTROL!$C$9, $D$9, 100%, $F$9) + CHOOSE(CONTROL!$C$27, 0.0021, 0)</f>
        <v>34.987000000000002</v>
      </c>
      <c r="I255" s="14">
        <f>34.9849 * CHOOSE(CONTROL!$C$9, $D$9, 100%, $F$9) + CHOOSE(CONTROL!$C$27, 0.0021, 0)</f>
        <v>34.987000000000002</v>
      </c>
      <c r="J255" s="14">
        <f>34.9849 * CHOOSE(CONTROL!$C$9, $D$9, 100%, $F$9) + CHOOSE(CONTROL!$C$27, 0.0021, 0)</f>
        <v>34.987000000000002</v>
      </c>
      <c r="K255" s="14">
        <f>34.9849 * CHOOSE(CONTROL!$C$9, $D$9, 100%, $F$9) + CHOOSE(CONTROL!$C$27, 0.0021, 0)</f>
        <v>34.987000000000002</v>
      </c>
      <c r="L255" s="14"/>
    </row>
    <row r="256" spans="1:12" ht="15" x14ac:dyDescent="0.2">
      <c r="A256" s="13">
        <v>48700</v>
      </c>
      <c r="B256" s="14">
        <f>36.1128 * CHOOSE(CONTROL!$C$9, $D$9, 100%, $F$9) + CHOOSE(CONTROL!$C$27, 0.0021, 0)</f>
        <v>36.114899999999999</v>
      </c>
      <c r="C256" s="14">
        <f>35.6806 * CHOOSE(CONTROL!$C$9, $D$9, 100%, $F$9) + CHOOSE(CONTROL!$C$27, 0.0021, 0)</f>
        <v>35.682699999999997</v>
      </c>
      <c r="D256" s="14">
        <f>35.6806 * CHOOSE(CONTROL!$C$9, $D$9, 100%, $F$9) + CHOOSE(CONTROL!$C$27, 0.0021, 0)</f>
        <v>35.682699999999997</v>
      </c>
      <c r="E256" s="14">
        <f>35.5439 * CHOOSE(CONTROL!$C$9, $D$9, 100%, $F$9) + CHOOSE(CONTROL!$C$27, 0.0021, 0)</f>
        <v>35.545999999999999</v>
      </c>
      <c r="F256" s="14">
        <f>35.5439 * CHOOSE(CONTROL!$C$9, $D$9, 100%, $F$9) + CHOOSE(CONTROL!$C$27, 0.0021, 0)</f>
        <v>35.545999999999999</v>
      </c>
      <c r="G256" s="14">
        <f>35.8153 * CHOOSE(CONTROL!$C$9, $D$9, 100%, $F$9) + CHOOSE(CONTROL!$C$27, 0.0021, 0)</f>
        <v>35.817399999999999</v>
      </c>
      <c r="H256" s="14">
        <f>35.6806 * CHOOSE(CONTROL!$C$9, $D$9, 100%, $F$9) + CHOOSE(CONTROL!$C$27, 0.0021, 0)</f>
        <v>35.682699999999997</v>
      </c>
      <c r="I256" s="14">
        <f>35.6806 * CHOOSE(CONTROL!$C$9, $D$9, 100%, $F$9) + CHOOSE(CONTROL!$C$27, 0.0021, 0)</f>
        <v>35.682699999999997</v>
      </c>
      <c r="J256" s="14">
        <f>35.6806 * CHOOSE(CONTROL!$C$9, $D$9, 100%, $F$9) + CHOOSE(CONTROL!$C$27, 0.0021, 0)</f>
        <v>35.682699999999997</v>
      </c>
      <c r="K256" s="14">
        <f>35.6806 * CHOOSE(CONTROL!$C$9, $D$9, 100%, $F$9) + CHOOSE(CONTROL!$C$27, 0.0021, 0)</f>
        <v>35.682699999999997</v>
      </c>
      <c r="L256" s="14"/>
    </row>
    <row r="257" spans="1:12" ht="15" x14ac:dyDescent="0.2">
      <c r="A257" s="13">
        <v>48731</v>
      </c>
      <c r="B257" s="14">
        <f>36.5295 * CHOOSE(CONTROL!$C$9, $D$9, 100%, $F$9) + CHOOSE(CONTROL!$C$27, 0.0021, 0)</f>
        <v>36.531599999999997</v>
      </c>
      <c r="C257" s="14">
        <f>36.0972 * CHOOSE(CONTROL!$C$9, $D$9, 100%, $F$9) + CHOOSE(CONTROL!$C$27, 0.0021, 0)</f>
        <v>36.099299999999999</v>
      </c>
      <c r="D257" s="14">
        <f>36.0972 * CHOOSE(CONTROL!$C$9, $D$9, 100%, $F$9) + CHOOSE(CONTROL!$C$27, 0.0021, 0)</f>
        <v>36.099299999999999</v>
      </c>
      <c r="E257" s="14">
        <f>35.9606 * CHOOSE(CONTROL!$C$9, $D$9, 100%, $F$9) + CHOOSE(CONTROL!$C$27, 0.0021, 0)</f>
        <v>35.962699999999998</v>
      </c>
      <c r="F257" s="14">
        <f>35.9606 * CHOOSE(CONTROL!$C$9, $D$9, 100%, $F$9) + CHOOSE(CONTROL!$C$27, 0.0021, 0)</f>
        <v>35.962699999999998</v>
      </c>
      <c r="G257" s="14">
        <f>36.2319 * CHOOSE(CONTROL!$C$9, $D$9, 100%, $F$9) + CHOOSE(CONTROL!$C$27, 0.0021, 0)</f>
        <v>36.234000000000002</v>
      </c>
      <c r="H257" s="14">
        <f>36.0972 * CHOOSE(CONTROL!$C$9, $D$9, 100%, $F$9) + CHOOSE(CONTROL!$C$27, 0.0021, 0)</f>
        <v>36.099299999999999</v>
      </c>
      <c r="I257" s="14">
        <f>36.0972 * CHOOSE(CONTROL!$C$9, $D$9, 100%, $F$9) + CHOOSE(CONTROL!$C$27, 0.0021, 0)</f>
        <v>36.099299999999999</v>
      </c>
      <c r="J257" s="14">
        <f>36.0972 * CHOOSE(CONTROL!$C$9, $D$9, 100%, $F$9) + CHOOSE(CONTROL!$C$27, 0.0021, 0)</f>
        <v>36.099299999999999</v>
      </c>
      <c r="K257" s="14">
        <f>36.0972 * CHOOSE(CONTROL!$C$9, $D$9, 100%, $F$9) + CHOOSE(CONTROL!$C$27, 0.0021, 0)</f>
        <v>36.099299999999999</v>
      </c>
      <c r="L257" s="14"/>
    </row>
    <row r="258" spans="1:12" ht="15" x14ac:dyDescent="0.2">
      <c r="A258" s="13">
        <v>48761</v>
      </c>
      <c r="B258" s="14">
        <f>37.2168 * CHOOSE(CONTROL!$C$9, $D$9, 100%, $F$9) + CHOOSE(CONTROL!$C$27, 0.0021, 0)</f>
        <v>37.218899999999998</v>
      </c>
      <c r="C258" s="14">
        <f>36.7845 * CHOOSE(CONTROL!$C$9, $D$9, 100%, $F$9) + CHOOSE(CONTROL!$C$27, 0.0021, 0)</f>
        <v>36.7866</v>
      </c>
      <c r="D258" s="14">
        <f>36.7845 * CHOOSE(CONTROL!$C$9, $D$9, 100%, $F$9) + CHOOSE(CONTROL!$C$27, 0.0021, 0)</f>
        <v>36.7866</v>
      </c>
      <c r="E258" s="14">
        <f>36.6479 * CHOOSE(CONTROL!$C$9, $D$9, 100%, $F$9) + CHOOSE(CONTROL!$C$27, 0.0021, 0)</f>
        <v>36.65</v>
      </c>
      <c r="F258" s="14">
        <f>36.6479 * CHOOSE(CONTROL!$C$9, $D$9, 100%, $F$9) + CHOOSE(CONTROL!$C$27, 0.0021, 0)</f>
        <v>36.65</v>
      </c>
      <c r="G258" s="14">
        <f>36.9193 * CHOOSE(CONTROL!$C$9, $D$9, 100%, $F$9) + CHOOSE(CONTROL!$C$27, 0.0021, 0)</f>
        <v>36.921399999999998</v>
      </c>
      <c r="H258" s="14">
        <f>36.7845 * CHOOSE(CONTROL!$C$9, $D$9, 100%, $F$9) + CHOOSE(CONTROL!$C$27, 0.0021, 0)</f>
        <v>36.7866</v>
      </c>
      <c r="I258" s="14">
        <f>36.7845 * CHOOSE(CONTROL!$C$9, $D$9, 100%, $F$9) + CHOOSE(CONTROL!$C$27, 0.0021, 0)</f>
        <v>36.7866</v>
      </c>
      <c r="J258" s="14">
        <f>36.7845 * CHOOSE(CONTROL!$C$9, $D$9, 100%, $F$9) + CHOOSE(CONTROL!$C$27, 0.0021, 0)</f>
        <v>36.7866</v>
      </c>
      <c r="K258" s="14">
        <f>36.7845 * CHOOSE(CONTROL!$C$9, $D$9, 100%, $F$9) + CHOOSE(CONTROL!$C$27, 0.0021, 0)</f>
        <v>36.7866</v>
      </c>
      <c r="L258" s="14"/>
    </row>
    <row r="259" spans="1:12" ht="15" x14ac:dyDescent="0.2">
      <c r="A259" s="13">
        <v>48792</v>
      </c>
      <c r="B259" s="14">
        <f>37.4266 * CHOOSE(CONTROL!$C$9, $D$9, 100%, $F$9) + CHOOSE(CONTROL!$C$27, 0.0021, 0)</f>
        <v>37.428699999999999</v>
      </c>
      <c r="C259" s="14">
        <f>36.9943 * CHOOSE(CONTROL!$C$9, $D$9, 100%, $F$9) + CHOOSE(CONTROL!$C$27, 0.0021, 0)</f>
        <v>36.996400000000001</v>
      </c>
      <c r="D259" s="14">
        <f>36.9943 * CHOOSE(CONTROL!$C$9, $D$9, 100%, $F$9) + CHOOSE(CONTROL!$C$27, 0.0021, 0)</f>
        <v>36.996400000000001</v>
      </c>
      <c r="E259" s="14">
        <f>36.8577 * CHOOSE(CONTROL!$C$9, $D$9, 100%, $F$9) + CHOOSE(CONTROL!$C$27, 0.0021, 0)</f>
        <v>36.8598</v>
      </c>
      <c r="F259" s="14">
        <f>36.8577 * CHOOSE(CONTROL!$C$9, $D$9, 100%, $F$9) + CHOOSE(CONTROL!$C$27, 0.0021, 0)</f>
        <v>36.8598</v>
      </c>
      <c r="G259" s="14">
        <f>37.1291 * CHOOSE(CONTROL!$C$9, $D$9, 100%, $F$9) + CHOOSE(CONTROL!$C$27, 0.0021, 0)</f>
        <v>37.1312</v>
      </c>
      <c r="H259" s="14">
        <f>36.9943 * CHOOSE(CONTROL!$C$9, $D$9, 100%, $F$9) + CHOOSE(CONTROL!$C$27, 0.0021, 0)</f>
        <v>36.996400000000001</v>
      </c>
      <c r="I259" s="14">
        <f>36.9943 * CHOOSE(CONTROL!$C$9, $D$9, 100%, $F$9) + CHOOSE(CONTROL!$C$27, 0.0021, 0)</f>
        <v>36.996400000000001</v>
      </c>
      <c r="J259" s="14">
        <f>36.9943 * CHOOSE(CONTROL!$C$9, $D$9, 100%, $F$9) + CHOOSE(CONTROL!$C$27, 0.0021, 0)</f>
        <v>36.996400000000001</v>
      </c>
      <c r="K259" s="14">
        <f>36.9943 * CHOOSE(CONTROL!$C$9, $D$9, 100%, $F$9) + CHOOSE(CONTROL!$C$27, 0.0021, 0)</f>
        <v>36.996400000000001</v>
      </c>
      <c r="L259" s="14"/>
    </row>
    <row r="260" spans="1:12" ht="15" x14ac:dyDescent="0.2">
      <c r="A260" s="13">
        <v>48823</v>
      </c>
      <c r="B260" s="14">
        <f>38.141 * CHOOSE(CONTROL!$C$9, $D$9, 100%, $F$9) + CHOOSE(CONTROL!$C$27, 0.0021, 0)</f>
        <v>38.143099999999997</v>
      </c>
      <c r="C260" s="14">
        <f>37.7088 * CHOOSE(CONTROL!$C$9, $D$9, 100%, $F$9) + CHOOSE(CONTROL!$C$27, 0.0021, 0)</f>
        <v>37.710899999999995</v>
      </c>
      <c r="D260" s="14">
        <f>37.7088 * CHOOSE(CONTROL!$C$9, $D$9, 100%, $F$9) + CHOOSE(CONTROL!$C$27, 0.0021, 0)</f>
        <v>37.710899999999995</v>
      </c>
      <c r="E260" s="14">
        <f>37.5721 * CHOOSE(CONTROL!$C$9, $D$9, 100%, $F$9) + CHOOSE(CONTROL!$C$27, 0.0021, 0)</f>
        <v>37.574199999999998</v>
      </c>
      <c r="F260" s="14">
        <f>37.5721 * CHOOSE(CONTROL!$C$9, $D$9, 100%, $F$9) + CHOOSE(CONTROL!$C$27, 0.0021, 0)</f>
        <v>37.574199999999998</v>
      </c>
      <c r="G260" s="14">
        <f>37.8435 * CHOOSE(CONTROL!$C$9, $D$9, 100%, $F$9) + CHOOSE(CONTROL!$C$27, 0.0021, 0)</f>
        <v>37.845599999999997</v>
      </c>
      <c r="H260" s="14">
        <f>37.7088 * CHOOSE(CONTROL!$C$9, $D$9, 100%, $F$9) + CHOOSE(CONTROL!$C$27, 0.0021, 0)</f>
        <v>37.710899999999995</v>
      </c>
      <c r="I260" s="14">
        <f>37.7088 * CHOOSE(CONTROL!$C$9, $D$9, 100%, $F$9) + CHOOSE(CONTROL!$C$27, 0.0021, 0)</f>
        <v>37.710899999999995</v>
      </c>
      <c r="J260" s="14">
        <f>37.7088 * CHOOSE(CONTROL!$C$9, $D$9, 100%, $F$9) + CHOOSE(CONTROL!$C$27, 0.0021, 0)</f>
        <v>37.710899999999995</v>
      </c>
      <c r="K260" s="14">
        <f>37.7088 * CHOOSE(CONTROL!$C$9, $D$9, 100%, $F$9) + CHOOSE(CONTROL!$C$27, 0.0021, 0)</f>
        <v>37.710899999999995</v>
      </c>
      <c r="L260" s="14"/>
    </row>
    <row r="261" spans="1:12" ht="15" x14ac:dyDescent="0.2">
      <c r="A261" s="13">
        <v>48853</v>
      </c>
      <c r="B261" s="14">
        <f>39.0454 * CHOOSE(CONTROL!$C$9, $D$9, 100%, $F$9) + CHOOSE(CONTROL!$C$27, 0.0021, 0)</f>
        <v>39.047499999999999</v>
      </c>
      <c r="C261" s="14">
        <f>38.6132 * CHOOSE(CONTROL!$C$9, $D$9, 100%, $F$9) + CHOOSE(CONTROL!$C$27, 0.0021, 0)</f>
        <v>38.615299999999998</v>
      </c>
      <c r="D261" s="14">
        <f>38.6132 * CHOOSE(CONTROL!$C$9, $D$9, 100%, $F$9) + CHOOSE(CONTROL!$C$27, 0.0021, 0)</f>
        <v>38.615299999999998</v>
      </c>
      <c r="E261" s="14">
        <f>38.4765 * CHOOSE(CONTROL!$C$9, $D$9, 100%, $F$9) + CHOOSE(CONTROL!$C$27, 0.0021, 0)</f>
        <v>38.4786</v>
      </c>
      <c r="F261" s="14">
        <f>38.4765 * CHOOSE(CONTROL!$C$9, $D$9, 100%, $F$9) + CHOOSE(CONTROL!$C$27, 0.0021, 0)</f>
        <v>38.4786</v>
      </c>
      <c r="G261" s="14">
        <f>38.7479 * CHOOSE(CONTROL!$C$9, $D$9, 100%, $F$9) + CHOOSE(CONTROL!$C$27, 0.0021, 0)</f>
        <v>38.75</v>
      </c>
      <c r="H261" s="14">
        <f>38.6132 * CHOOSE(CONTROL!$C$9, $D$9, 100%, $F$9) + CHOOSE(CONTROL!$C$27, 0.0021, 0)</f>
        <v>38.615299999999998</v>
      </c>
      <c r="I261" s="14">
        <f>38.6132 * CHOOSE(CONTROL!$C$9, $D$9, 100%, $F$9) + CHOOSE(CONTROL!$C$27, 0.0021, 0)</f>
        <v>38.615299999999998</v>
      </c>
      <c r="J261" s="14">
        <f>38.6132 * CHOOSE(CONTROL!$C$9, $D$9, 100%, $F$9) + CHOOSE(CONTROL!$C$27, 0.0021, 0)</f>
        <v>38.615299999999998</v>
      </c>
      <c r="K261" s="14">
        <f>38.6132 * CHOOSE(CONTROL!$C$9, $D$9, 100%, $F$9) + CHOOSE(CONTROL!$C$27, 0.0021, 0)</f>
        <v>38.615299999999998</v>
      </c>
      <c r="L261" s="14"/>
    </row>
    <row r="262" spans="1:12" ht="15" x14ac:dyDescent="0.2">
      <c r="A262" s="13">
        <v>48884</v>
      </c>
      <c r="B262" s="14">
        <f>39.1303 * CHOOSE(CONTROL!$C$9, $D$9, 100%, $F$9) + CHOOSE(CONTROL!$C$27, 0.0021, 0)</f>
        <v>39.132399999999997</v>
      </c>
      <c r="C262" s="14">
        <f>38.6981 * CHOOSE(CONTROL!$C$9, $D$9, 100%, $F$9) + CHOOSE(CONTROL!$C$27, 0.0021, 0)</f>
        <v>38.700199999999995</v>
      </c>
      <c r="D262" s="14">
        <f>38.6981 * CHOOSE(CONTROL!$C$9, $D$9, 100%, $F$9) + CHOOSE(CONTROL!$C$27, 0.0021, 0)</f>
        <v>38.700199999999995</v>
      </c>
      <c r="E262" s="14">
        <f>38.5614 * CHOOSE(CONTROL!$C$9, $D$9, 100%, $F$9) + CHOOSE(CONTROL!$C$27, 0.0021, 0)</f>
        <v>38.563499999999998</v>
      </c>
      <c r="F262" s="14">
        <f>38.5614 * CHOOSE(CONTROL!$C$9, $D$9, 100%, $F$9) + CHOOSE(CONTROL!$C$27, 0.0021, 0)</f>
        <v>38.563499999999998</v>
      </c>
      <c r="G262" s="14">
        <f>38.8328 * CHOOSE(CONTROL!$C$9, $D$9, 100%, $F$9) + CHOOSE(CONTROL!$C$27, 0.0021, 0)</f>
        <v>38.834899999999998</v>
      </c>
      <c r="H262" s="14">
        <f>38.6981 * CHOOSE(CONTROL!$C$9, $D$9, 100%, $F$9) + CHOOSE(CONTROL!$C$27, 0.0021, 0)</f>
        <v>38.700199999999995</v>
      </c>
      <c r="I262" s="14">
        <f>38.6981 * CHOOSE(CONTROL!$C$9, $D$9, 100%, $F$9) + CHOOSE(CONTROL!$C$27, 0.0021, 0)</f>
        <v>38.700199999999995</v>
      </c>
      <c r="J262" s="14">
        <f>38.6981 * CHOOSE(CONTROL!$C$9, $D$9, 100%, $F$9) + CHOOSE(CONTROL!$C$27, 0.0021, 0)</f>
        <v>38.700199999999995</v>
      </c>
      <c r="K262" s="14">
        <f>38.6981 * CHOOSE(CONTROL!$C$9, $D$9, 100%, $F$9) + CHOOSE(CONTROL!$C$27, 0.0021, 0)</f>
        <v>38.700199999999995</v>
      </c>
      <c r="L262" s="14"/>
    </row>
    <row r="263" spans="1:12" ht="15" x14ac:dyDescent="0.2">
      <c r="A263" s="13">
        <v>48914</v>
      </c>
      <c r="B263" s="14">
        <f>38.408 * CHOOSE(CONTROL!$C$9, $D$9, 100%, $F$9) + CHOOSE(CONTROL!$C$27, 0.0021, 0)</f>
        <v>38.4101</v>
      </c>
      <c r="C263" s="14">
        <f>37.9758 * CHOOSE(CONTROL!$C$9, $D$9, 100%, $F$9) + CHOOSE(CONTROL!$C$27, 0.0021, 0)</f>
        <v>37.977899999999998</v>
      </c>
      <c r="D263" s="14">
        <f>37.9758 * CHOOSE(CONTROL!$C$9, $D$9, 100%, $F$9) + CHOOSE(CONTROL!$C$27, 0.0021, 0)</f>
        <v>37.977899999999998</v>
      </c>
      <c r="E263" s="14">
        <f>37.8391 * CHOOSE(CONTROL!$C$9, $D$9, 100%, $F$9) + CHOOSE(CONTROL!$C$27, 0.0021, 0)</f>
        <v>37.841200000000001</v>
      </c>
      <c r="F263" s="14">
        <f>37.8391 * CHOOSE(CONTROL!$C$9, $D$9, 100%, $F$9) + CHOOSE(CONTROL!$C$27, 0.0021, 0)</f>
        <v>37.841200000000001</v>
      </c>
      <c r="G263" s="14">
        <f>38.1105 * CHOOSE(CONTROL!$C$9, $D$9, 100%, $F$9) + CHOOSE(CONTROL!$C$27, 0.0021, 0)</f>
        <v>38.1126</v>
      </c>
      <c r="H263" s="14">
        <f>37.9758 * CHOOSE(CONTROL!$C$9, $D$9, 100%, $F$9) + CHOOSE(CONTROL!$C$27, 0.0021, 0)</f>
        <v>37.977899999999998</v>
      </c>
      <c r="I263" s="14">
        <f>37.9758 * CHOOSE(CONTROL!$C$9, $D$9, 100%, $F$9) + CHOOSE(CONTROL!$C$27, 0.0021, 0)</f>
        <v>37.977899999999998</v>
      </c>
      <c r="J263" s="14">
        <f>37.9758 * CHOOSE(CONTROL!$C$9, $D$9, 100%, $F$9) + CHOOSE(CONTROL!$C$27, 0.0021, 0)</f>
        <v>37.977899999999998</v>
      </c>
      <c r="K263" s="14">
        <f>37.9758 * CHOOSE(CONTROL!$C$9, $D$9, 100%, $F$9) + CHOOSE(CONTROL!$C$27, 0.0021, 0)</f>
        <v>37.977899999999998</v>
      </c>
      <c r="L263" s="14"/>
    </row>
    <row r="264" spans="1:12" ht="15" x14ac:dyDescent="0.2">
      <c r="A264" s="13">
        <v>48945</v>
      </c>
      <c r="B264" s="14">
        <f>37.9348 * CHOOSE(CONTROL!$C$9, $D$9, 100%, $F$9) + CHOOSE(CONTROL!$C$27, 0.0021, 0)</f>
        <v>37.936900000000001</v>
      </c>
      <c r="C264" s="14">
        <f>37.5026 * CHOOSE(CONTROL!$C$9, $D$9, 100%, $F$9) + CHOOSE(CONTROL!$C$27, 0.0021, 0)</f>
        <v>37.5047</v>
      </c>
      <c r="D264" s="14">
        <f>37.5026 * CHOOSE(CONTROL!$C$9, $D$9, 100%, $F$9) + CHOOSE(CONTROL!$C$27, 0.0021, 0)</f>
        <v>37.5047</v>
      </c>
      <c r="E264" s="14">
        <f>37.3659 * CHOOSE(CONTROL!$C$9, $D$9, 100%, $F$9) + CHOOSE(CONTROL!$C$27, 0.0021, 0)</f>
        <v>37.368000000000002</v>
      </c>
      <c r="F264" s="14">
        <f>37.3659 * CHOOSE(CONTROL!$C$9, $D$9, 100%, $F$9) + CHOOSE(CONTROL!$C$27, 0.0021, 0)</f>
        <v>37.368000000000002</v>
      </c>
      <c r="G264" s="14">
        <f>37.6373 * CHOOSE(CONTROL!$C$9, $D$9, 100%, $F$9) + CHOOSE(CONTROL!$C$27, 0.0021, 0)</f>
        <v>37.639400000000002</v>
      </c>
      <c r="H264" s="14">
        <f>37.5026 * CHOOSE(CONTROL!$C$9, $D$9, 100%, $F$9) + CHOOSE(CONTROL!$C$27, 0.0021, 0)</f>
        <v>37.5047</v>
      </c>
      <c r="I264" s="14">
        <f>37.5026 * CHOOSE(CONTROL!$C$9, $D$9, 100%, $F$9) + CHOOSE(CONTROL!$C$27, 0.0021, 0)</f>
        <v>37.5047</v>
      </c>
      <c r="J264" s="14">
        <f>37.5026 * CHOOSE(CONTROL!$C$9, $D$9, 100%, $F$9) + CHOOSE(CONTROL!$C$27, 0.0021, 0)</f>
        <v>37.5047</v>
      </c>
      <c r="K264" s="14">
        <f>37.5026 * CHOOSE(CONTROL!$C$9, $D$9, 100%, $F$9) + CHOOSE(CONTROL!$C$27, 0.0021, 0)</f>
        <v>37.5047</v>
      </c>
      <c r="L264" s="14"/>
    </row>
    <row r="265" spans="1:12" ht="15" x14ac:dyDescent="0.2">
      <c r="A265" s="13">
        <v>48976</v>
      </c>
      <c r="B265" s="14">
        <f>36.9267 * CHOOSE(CONTROL!$C$9, $D$9, 100%, $F$9) + CHOOSE(CONTROL!$C$27, 0.0021, 0)</f>
        <v>36.928799999999995</v>
      </c>
      <c r="C265" s="14">
        <f>36.4944 * CHOOSE(CONTROL!$C$9, $D$9, 100%, $F$9) + CHOOSE(CONTROL!$C$27, 0.0021, 0)</f>
        <v>36.496499999999997</v>
      </c>
      <c r="D265" s="14">
        <f>36.4944 * CHOOSE(CONTROL!$C$9, $D$9, 100%, $F$9) + CHOOSE(CONTROL!$C$27, 0.0021, 0)</f>
        <v>36.496499999999997</v>
      </c>
      <c r="E265" s="14">
        <f>36.3577 * CHOOSE(CONTROL!$C$9, $D$9, 100%, $F$9) + CHOOSE(CONTROL!$C$27, 0.0021, 0)</f>
        <v>36.3598</v>
      </c>
      <c r="F265" s="14">
        <f>36.3577 * CHOOSE(CONTROL!$C$9, $D$9, 100%, $F$9) + CHOOSE(CONTROL!$C$27, 0.0021, 0)</f>
        <v>36.3598</v>
      </c>
      <c r="G265" s="14">
        <f>36.6291 * CHOOSE(CONTROL!$C$9, $D$9, 100%, $F$9) + CHOOSE(CONTROL!$C$27, 0.0021, 0)</f>
        <v>36.6312</v>
      </c>
      <c r="H265" s="14">
        <f>36.4944 * CHOOSE(CONTROL!$C$9, $D$9, 100%, $F$9) + CHOOSE(CONTROL!$C$27, 0.0021, 0)</f>
        <v>36.496499999999997</v>
      </c>
      <c r="I265" s="14">
        <f>36.4944 * CHOOSE(CONTROL!$C$9, $D$9, 100%, $F$9) + CHOOSE(CONTROL!$C$27, 0.0021, 0)</f>
        <v>36.496499999999997</v>
      </c>
      <c r="J265" s="14">
        <f>36.4944 * CHOOSE(CONTROL!$C$9, $D$9, 100%, $F$9) + CHOOSE(CONTROL!$C$27, 0.0021, 0)</f>
        <v>36.496499999999997</v>
      </c>
      <c r="K265" s="14">
        <f>36.4944 * CHOOSE(CONTROL!$C$9, $D$9, 100%, $F$9) + CHOOSE(CONTROL!$C$27, 0.0021, 0)</f>
        <v>36.496499999999997</v>
      </c>
      <c r="L265" s="14"/>
    </row>
    <row r="266" spans="1:12" ht="15" x14ac:dyDescent="0.2">
      <c r="A266" s="13">
        <v>49004</v>
      </c>
      <c r="B266" s="14">
        <f>36.5105 * CHOOSE(CONTROL!$C$9, $D$9, 100%, $F$9) + CHOOSE(CONTROL!$C$27, 0.0021, 0)</f>
        <v>36.512599999999999</v>
      </c>
      <c r="C266" s="14">
        <f>36.0782 * CHOOSE(CONTROL!$C$9, $D$9, 100%, $F$9) + CHOOSE(CONTROL!$C$27, 0.0021, 0)</f>
        <v>36.080300000000001</v>
      </c>
      <c r="D266" s="14">
        <f>36.0782 * CHOOSE(CONTROL!$C$9, $D$9, 100%, $F$9) + CHOOSE(CONTROL!$C$27, 0.0021, 0)</f>
        <v>36.080300000000001</v>
      </c>
      <c r="E266" s="14">
        <f>35.9416 * CHOOSE(CONTROL!$C$9, $D$9, 100%, $F$9) + CHOOSE(CONTROL!$C$27, 0.0021, 0)</f>
        <v>35.9437</v>
      </c>
      <c r="F266" s="14">
        <f>35.9416 * CHOOSE(CONTROL!$C$9, $D$9, 100%, $F$9) + CHOOSE(CONTROL!$C$27, 0.0021, 0)</f>
        <v>35.9437</v>
      </c>
      <c r="G266" s="14">
        <f>36.213 * CHOOSE(CONTROL!$C$9, $D$9, 100%, $F$9) + CHOOSE(CONTROL!$C$27, 0.0021, 0)</f>
        <v>36.2151</v>
      </c>
      <c r="H266" s="14">
        <f>36.0782 * CHOOSE(CONTROL!$C$9, $D$9, 100%, $F$9) + CHOOSE(CONTROL!$C$27, 0.0021, 0)</f>
        <v>36.080300000000001</v>
      </c>
      <c r="I266" s="14">
        <f>36.0782 * CHOOSE(CONTROL!$C$9, $D$9, 100%, $F$9) + CHOOSE(CONTROL!$C$27, 0.0021, 0)</f>
        <v>36.080300000000001</v>
      </c>
      <c r="J266" s="14">
        <f>36.0782 * CHOOSE(CONTROL!$C$9, $D$9, 100%, $F$9) + CHOOSE(CONTROL!$C$27, 0.0021, 0)</f>
        <v>36.080300000000001</v>
      </c>
      <c r="K266" s="14">
        <f>36.0782 * CHOOSE(CONTROL!$C$9, $D$9, 100%, $F$9) + CHOOSE(CONTROL!$C$27, 0.0021, 0)</f>
        <v>36.080300000000001</v>
      </c>
      <c r="L266" s="14"/>
    </row>
    <row r="267" spans="1:12" ht="15" x14ac:dyDescent="0.2">
      <c r="A267" s="13">
        <v>49035</v>
      </c>
      <c r="B267" s="14">
        <f>36.0136 * CHOOSE(CONTROL!$C$9, $D$9, 100%, $F$9) + CHOOSE(CONTROL!$C$27, 0.0021, 0)</f>
        <v>36.015699999999995</v>
      </c>
      <c r="C267" s="14">
        <f>35.5813 * CHOOSE(CONTROL!$C$9, $D$9, 100%, $F$9) + CHOOSE(CONTROL!$C$27, 0.0021, 0)</f>
        <v>35.583399999999997</v>
      </c>
      <c r="D267" s="14">
        <f>35.5813 * CHOOSE(CONTROL!$C$9, $D$9, 100%, $F$9) + CHOOSE(CONTROL!$C$27, 0.0021, 0)</f>
        <v>35.583399999999997</v>
      </c>
      <c r="E267" s="14">
        <f>35.4447 * CHOOSE(CONTROL!$C$9, $D$9, 100%, $F$9) + CHOOSE(CONTROL!$C$27, 0.0021, 0)</f>
        <v>35.446799999999996</v>
      </c>
      <c r="F267" s="14">
        <f>35.4447 * CHOOSE(CONTROL!$C$9, $D$9, 100%, $F$9) + CHOOSE(CONTROL!$C$27, 0.0021, 0)</f>
        <v>35.446799999999996</v>
      </c>
      <c r="G267" s="14">
        <f>35.716 * CHOOSE(CONTROL!$C$9, $D$9, 100%, $F$9) + CHOOSE(CONTROL!$C$27, 0.0021, 0)</f>
        <v>35.7181</v>
      </c>
      <c r="H267" s="14">
        <f>35.5813 * CHOOSE(CONTROL!$C$9, $D$9, 100%, $F$9) + CHOOSE(CONTROL!$C$27, 0.0021, 0)</f>
        <v>35.583399999999997</v>
      </c>
      <c r="I267" s="14">
        <f>35.5813 * CHOOSE(CONTROL!$C$9, $D$9, 100%, $F$9) + CHOOSE(CONTROL!$C$27, 0.0021, 0)</f>
        <v>35.583399999999997</v>
      </c>
      <c r="J267" s="14">
        <f>35.5813 * CHOOSE(CONTROL!$C$9, $D$9, 100%, $F$9) + CHOOSE(CONTROL!$C$27, 0.0021, 0)</f>
        <v>35.583399999999997</v>
      </c>
      <c r="K267" s="14">
        <f>35.5813 * CHOOSE(CONTROL!$C$9, $D$9, 100%, $F$9) + CHOOSE(CONTROL!$C$27, 0.0021, 0)</f>
        <v>35.583399999999997</v>
      </c>
      <c r="L267" s="14"/>
    </row>
    <row r="268" spans="1:12" ht="15" x14ac:dyDescent="0.2">
      <c r="A268" s="13">
        <v>49065</v>
      </c>
      <c r="B268" s="14">
        <f>36.7217 * CHOOSE(CONTROL!$C$9, $D$9, 100%, $F$9) + CHOOSE(CONTROL!$C$27, 0.0021, 0)</f>
        <v>36.723799999999997</v>
      </c>
      <c r="C268" s="14">
        <f>36.2895 * CHOOSE(CONTROL!$C$9, $D$9, 100%, $F$9) + CHOOSE(CONTROL!$C$27, 0.0021, 0)</f>
        <v>36.291599999999995</v>
      </c>
      <c r="D268" s="14">
        <f>36.2895 * CHOOSE(CONTROL!$C$9, $D$9, 100%, $F$9) + CHOOSE(CONTROL!$C$27, 0.0021, 0)</f>
        <v>36.291599999999995</v>
      </c>
      <c r="E268" s="14">
        <f>36.1528 * CHOOSE(CONTROL!$C$9, $D$9, 100%, $F$9) + CHOOSE(CONTROL!$C$27, 0.0021, 0)</f>
        <v>36.154899999999998</v>
      </c>
      <c r="F268" s="14">
        <f>36.1528 * CHOOSE(CONTROL!$C$9, $D$9, 100%, $F$9) + CHOOSE(CONTROL!$C$27, 0.0021, 0)</f>
        <v>36.154899999999998</v>
      </c>
      <c r="G268" s="14">
        <f>36.4242 * CHOOSE(CONTROL!$C$9, $D$9, 100%, $F$9) + CHOOSE(CONTROL!$C$27, 0.0021, 0)</f>
        <v>36.426299999999998</v>
      </c>
      <c r="H268" s="14">
        <f>36.2895 * CHOOSE(CONTROL!$C$9, $D$9, 100%, $F$9) + CHOOSE(CONTROL!$C$27, 0.0021, 0)</f>
        <v>36.291599999999995</v>
      </c>
      <c r="I268" s="14">
        <f>36.2895 * CHOOSE(CONTROL!$C$9, $D$9, 100%, $F$9) + CHOOSE(CONTROL!$C$27, 0.0021, 0)</f>
        <v>36.291599999999995</v>
      </c>
      <c r="J268" s="14">
        <f>36.2895 * CHOOSE(CONTROL!$C$9, $D$9, 100%, $F$9) + CHOOSE(CONTROL!$C$27, 0.0021, 0)</f>
        <v>36.291599999999995</v>
      </c>
      <c r="K268" s="14">
        <f>36.2895 * CHOOSE(CONTROL!$C$9, $D$9, 100%, $F$9) + CHOOSE(CONTROL!$C$27, 0.0021, 0)</f>
        <v>36.291599999999995</v>
      </c>
      <c r="L268" s="14"/>
    </row>
    <row r="269" spans="1:12" ht="15" x14ac:dyDescent="0.2">
      <c r="A269" s="13">
        <v>49096</v>
      </c>
      <c r="B269" s="14">
        <f>37.1459 * CHOOSE(CONTROL!$C$9, $D$9, 100%, $F$9) + CHOOSE(CONTROL!$C$27, 0.0021, 0)</f>
        <v>37.147999999999996</v>
      </c>
      <c r="C269" s="14">
        <f>36.7136 * CHOOSE(CONTROL!$C$9, $D$9, 100%, $F$9) + CHOOSE(CONTROL!$C$27, 0.0021, 0)</f>
        <v>36.715699999999998</v>
      </c>
      <c r="D269" s="14">
        <f>36.7136 * CHOOSE(CONTROL!$C$9, $D$9, 100%, $F$9) + CHOOSE(CONTROL!$C$27, 0.0021, 0)</f>
        <v>36.715699999999998</v>
      </c>
      <c r="E269" s="14">
        <f>36.577 * CHOOSE(CONTROL!$C$9, $D$9, 100%, $F$9) + CHOOSE(CONTROL!$C$27, 0.0021, 0)</f>
        <v>36.579099999999997</v>
      </c>
      <c r="F269" s="14">
        <f>36.577 * CHOOSE(CONTROL!$C$9, $D$9, 100%, $F$9) + CHOOSE(CONTROL!$C$27, 0.0021, 0)</f>
        <v>36.579099999999997</v>
      </c>
      <c r="G269" s="14">
        <f>36.8484 * CHOOSE(CONTROL!$C$9, $D$9, 100%, $F$9) + CHOOSE(CONTROL!$C$27, 0.0021, 0)</f>
        <v>36.850499999999997</v>
      </c>
      <c r="H269" s="14">
        <f>36.7136 * CHOOSE(CONTROL!$C$9, $D$9, 100%, $F$9) + CHOOSE(CONTROL!$C$27, 0.0021, 0)</f>
        <v>36.715699999999998</v>
      </c>
      <c r="I269" s="14">
        <f>36.7136 * CHOOSE(CONTROL!$C$9, $D$9, 100%, $F$9) + CHOOSE(CONTROL!$C$27, 0.0021, 0)</f>
        <v>36.715699999999998</v>
      </c>
      <c r="J269" s="14">
        <f>36.7136 * CHOOSE(CONTROL!$C$9, $D$9, 100%, $F$9) + CHOOSE(CONTROL!$C$27, 0.0021, 0)</f>
        <v>36.715699999999998</v>
      </c>
      <c r="K269" s="14">
        <f>36.7136 * CHOOSE(CONTROL!$C$9, $D$9, 100%, $F$9) + CHOOSE(CONTROL!$C$27, 0.0021, 0)</f>
        <v>36.715699999999998</v>
      </c>
      <c r="L269" s="14"/>
    </row>
    <row r="270" spans="1:12" ht="15" x14ac:dyDescent="0.2">
      <c r="A270" s="13">
        <v>49126</v>
      </c>
      <c r="B270" s="14">
        <f>37.8456 * CHOOSE(CONTROL!$C$9, $D$9, 100%, $F$9) + CHOOSE(CONTROL!$C$27, 0.0021, 0)</f>
        <v>37.847699999999996</v>
      </c>
      <c r="C270" s="14">
        <f>37.4134 * CHOOSE(CONTROL!$C$9, $D$9, 100%, $F$9) + CHOOSE(CONTROL!$C$27, 0.0021, 0)</f>
        <v>37.415500000000002</v>
      </c>
      <c r="D270" s="14">
        <f>37.4134 * CHOOSE(CONTROL!$C$9, $D$9, 100%, $F$9) + CHOOSE(CONTROL!$C$27, 0.0021, 0)</f>
        <v>37.415500000000002</v>
      </c>
      <c r="E270" s="14">
        <f>37.2767 * CHOOSE(CONTROL!$C$9, $D$9, 100%, $F$9) + CHOOSE(CONTROL!$C$27, 0.0021, 0)</f>
        <v>37.278799999999997</v>
      </c>
      <c r="F270" s="14">
        <f>37.2767 * CHOOSE(CONTROL!$C$9, $D$9, 100%, $F$9) + CHOOSE(CONTROL!$C$27, 0.0021, 0)</f>
        <v>37.278799999999997</v>
      </c>
      <c r="G270" s="14">
        <f>37.5481 * CHOOSE(CONTROL!$C$9, $D$9, 100%, $F$9) + CHOOSE(CONTROL!$C$27, 0.0021, 0)</f>
        <v>37.550199999999997</v>
      </c>
      <c r="H270" s="14">
        <f>37.4134 * CHOOSE(CONTROL!$C$9, $D$9, 100%, $F$9) + CHOOSE(CONTROL!$C$27, 0.0021, 0)</f>
        <v>37.415500000000002</v>
      </c>
      <c r="I270" s="14">
        <f>37.4134 * CHOOSE(CONTROL!$C$9, $D$9, 100%, $F$9) + CHOOSE(CONTROL!$C$27, 0.0021, 0)</f>
        <v>37.415500000000002</v>
      </c>
      <c r="J270" s="14">
        <f>37.4134 * CHOOSE(CONTROL!$C$9, $D$9, 100%, $F$9) + CHOOSE(CONTROL!$C$27, 0.0021, 0)</f>
        <v>37.415500000000002</v>
      </c>
      <c r="K270" s="14">
        <f>37.4134 * CHOOSE(CONTROL!$C$9, $D$9, 100%, $F$9) + CHOOSE(CONTROL!$C$27, 0.0021, 0)</f>
        <v>37.415500000000002</v>
      </c>
      <c r="L270" s="14"/>
    </row>
    <row r="271" spans="1:12" ht="15" x14ac:dyDescent="0.2">
      <c r="A271" s="13">
        <v>49157</v>
      </c>
      <c r="B271" s="14">
        <f>38.0592 * CHOOSE(CONTROL!$C$9, $D$9, 100%, $F$9) + CHOOSE(CONTROL!$C$27, 0.0021, 0)</f>
        <v>38.061299999999996</v>
      </c>
      <c r="C271" s="14">
        <f>37.6269 * CHOOSE(CONTROL!$C$9, $D$9, 100%, $F$9) + CHOOSE(CONTROL!$C$27, 0.0021, 0)</f>
        <v>37.628999999999998</v>
      </c>
      <c r="D271" s="14">
        <f>37.6269 * CHOOSE(CONTROL!$C$9, $D$9, 100%, $F$9) + CHOOSE(CONTROL!$C$27, 0.0021, 0)</f>
        <v>37.628999999999998</v>
      </c>
      <c r="E271" s="14">
        <f>37.4903 * CHOOSE(CONTROL!$C$9, $D$9, 100%, $F$9) + CHOOSE(CONTROL!$C$27, 0.0021, 0)</f>
        <v>37.492399999999996</v>
      </c>
      <c r="F271" s="14">
        <f>37.4903 * CHOOSE(CONTROL!$C$9, $D$9, 100%, $F$9) + CHOOSE(CONTROL!$C$27, 0.0021, 0)</f>
        <v>37.492399999999996</v>
      </c>
      <c r="G271" s="14">
        <f>37.7616 * CHOOSE(CONTROL!$C$9, $D$9, 100%, $F$9) + CHOOSE(CONTROL!$C$27, 0.0021, 0)</f>
        <v>37.7637</v>
      </c>
      <c r="H271" s="14">
        <f>37.6269 * CHOOSE(CONTROL!$C$9, $D$9, 100%, $F$9) + CHOOSE(CONTROL!$C$27, 0.0021, 0)</f>
        <v>37.628999999999998</v>
      </c>
      <c r="I271" s="14">
        <f>37.6269 * CHOOSE(CONTROL!$C$9, $D$9, 100%, $F$9) + CHOOSE(CONTROL!$C$27, 0.0021, 0)</f>
        <v>37.628999999999998</v>
      </c>
      <c r="J271" s="14">
        <f>37.6269 * CHOOSE(CONTROL!$C$9, $D$9, 100%, $F$9) + CHOOSE(CONTROL!$C$27, 0.0021, 0)</f>
        <v>37.628999999999998</v>
      </c>
      <c r="K271" s="14">
        <f>37.6269 * CHOOSE(CONTROL!$C$9, $D$9, 100%, $F$9) + CHOOSE(CONTROL!$C$27, 0.0021, 0)</f>
        <v>37.628999999999998</v>
      </c>
      <c r="L271" s="14"/>
    </row>
    <row r="272" spans="1:12" ht="15" x14ac:dyDescent="0.2">
      <c r="A272" s="13">
        <v>49188</v>
      </c>
      <c r="B272" s="14">
        <f>38.7865 * CHOOSE(CONTROL!$C$9, $D$9, 100%, $F$9) + CHOOSE(CONTROL!$C$27, 0.0021, 0)</f>
        <v>38.788599999999995</v>
      </c>
      <c r="C272" s="14">
        <f>38.3542 * CHOOSE(CONTROL!$C$9, $D$9, 100%, $F$9) + CHOOSE(CONTROL!$C$27, 0.0021, 0)</f>
        <v>38.356299999999997</v>
      </c>
      <c r="D272" s="14">
        <f>38.3542 * CHOOSE(CONTROL!$C$9, $D$9, 100%, $F$9) + CHOOSE(CONTROL!$C$27, 0.0021, 0)</f>
        <v>38.356299999999997</v>
      </c>
      <c r="E272" s="14">
        <f>38.2176 * CHOOSE(CONTROL!$C$9, $D$9, 100%, $F$9) + CHOOSE(CONTROL!$C$27, 0.0021, 0)</f>
        <v>38.219699999999996</v>
      </c>
      <c r="F272" s="14">
        <f>38.2176 * CHOOSE(CONTROL!$C$9, $D$9, 100%, $F$9) + CHOOSE(CONTROL!$C$27, 0.0021, 0)</f>
        <v>38.219699999999996</v>
      </c>
      <c r="G272" s="14">
        <f>38.489 * CHOOSE(CONTROL!$C$9, $D$9, 100%, $F$9) + CHOOSE(CONTROL!$C$27, 0.0021, 0)</f>
        <v>38.491099999999996</v>
      </c>
      <c r="H272" s="14">
        <f>38.3542 * CHOOSE(CONTROL!$C$9, $D$9, 100%, $F$9) + CHOOSE(CONTROL!$C$27, 0.0021, 0)</f>
        <v>38.356299999999997</v>
      </c>
      <c r="I272" s="14">
        <f>38.3542 * CHOOSE(CONTROL!$C$9, $D$9, 100%, $F$9) + CHOOSE(CONTROL!$C$27, 0.0021, 0)</f>
        <v>38.356299999999997</v>
      </c>
      <c r="J272" s="14">
        <f>38.3542 * CHOOSE(CONTROL!$C$9, $D$9, 100%, $F$9) + CHOOSE(CONTROL!$C$27, 0.0021, 0)</f>
        <v>38.356299999999997</v>
      </c>
      <c r="K272" s="14">
        <f>38.3542 * CHOOSE(CONTROL!$C$9, $D$9, 100%, $F$9) + CHOOSE(CONTROL!$C$27, 0.0021, 0)</f>
        <v>38.356299999999997</v>
      </c>
      <c r="L272" s="14"/>
    </row>
    <row r="273" spans="1:12" ht="15" x14ac:dyDescent="0.2">
      <c r="A273" s="13">
        <v>49218</v>
      </c>
      <c r="B273" s="14">
        <f>39.7071 * CHOOSE(CONTROL!$C$9, $D$9, 100%, $F$9) + CHOOSE(CONTROL!$C$27, 0.0021, 0)</f>
        <v>39.709199999999996</v>
      </c>
      <c r="C273" s="14">
        <f>39.2749 * CHOOSE(CONTROL!$C$9, $D$9, 100%, $F$9) + CHOOSE(CONTROL!$C$27, 0.0021, 0)</f>
        <v>39.277000000000001</v>
      </c>
      <c r="D273" s="14">
        <f>39.2749 * CHOOSE(CONTROL!$C$9, $D$9, 100%, $F$9) + CHOOSE(CONTROL!$C$27, 0.0021, 0)</f>
        <v>39.277000000000001</v>
      </c>
      <c r="E273" s="14">
        <f>39.1382 * CHOOSE(CONTROL!$C$9, $D$9, 100%, $F$9) + CHOOSE(CONTROL!$C$27, 0.0021, 0)</f>
        <v>39.140299999999996</v>
      </c>
      <c r="F273" s="14">
        <f>39.1382 * CHOOSE(CONTROL!$C$9, $D$9, 100%, $F$9) + CHOOSE(CONTROL!$C$27, 0.0021, 0)</f>
        <v>39.140299999999996</v>
      </c>
      <c r="G273" s="14">
        <f>39.4096 * CHOOSE(CONTROL!$C$9, $D$9, 100%, $F$9) + CHOOSE(CONTROL!$C$27, 0.0021, 0)</f>
        <v>39.411699999999996</v>
      </c>
      <c r="H273" s="14">
        <f>39.2749 * CHOOSE(CONTROL!$C$9, $D$9, 100%, $F$9) + CHOOSE(CONTROL!$C$27, 0.0021, 0)</f>
        <v>39.277000000000001</v>
      </c>
      <c r="I273" s="14">
        <f>39.2749 * CHOOSE(CONTROL!$C$9, $D$9, 100%, $F$9) + CHOOSE(CONTROL!$C$27, 0.0021, 0)</f>
        <v>39.277000000000001</v>
      </c>
      <c r="J273" s="14">
        <f>39.2749 * CHOOSE(CONTROL!$C$9, $D$9, 100%, $F$9) + CHOOSE(CONTROL!$C$27, 0.0021, 0)</f>
        <v>39.277000000000001</v>
      </c>
      <c r="K273" s="14">
        <f>39.2749 * CHOOSE(CONTROL!$C$9, $D$9, 100%, $F$9) + CHOOSE(CONTROL!$C$27, 0.0021, 0)</f>
        <v>39.277000000000001</v>
      </c>
      <c r="L273" s="14"/>
    </row>
    <row r="274" spans="1:12" ht="15" x14ac:dyDescent="0.2">
      <c r="A274" s="13">
        <v>49249</v>
      </c>
      <c r="B274" s="14">
        <f>39.7936 * CHOOSE(CONTROL!$C$9, $D$9, 100%, $F$9) + CHOOSE(CONTROL!$C$27, 0.0021, 0)</f>
        <v>39.795699999999997</v>
      </c>
      <c r="C274" s="14">
        <f>39.3613 * CHOOSE(CONTROL!$C$9, $D$9, 100%, $F$9) + CHOOSE(CONTROL!$C$27, 0.0021, 0)</f>
        <v>39.363399999999999</v>
      </c>
      <c r="D274" s="14">
        <f>39.3613 * CHOOSE(CONTROL!$C$9, $D$9, 100%, $F$9) + CHOOSE(CONTROL!$C$27, 0.0021, 0)</f>
        <v>39.363399999999999</v>
      </c>
      <c r="E274" s="14">
        <f>39.2247 * CHOOSE(CONTROL!$C$9, $D$9, 100%, $F$9) + CHOOSE(CONTROL!$C$27, 0.0021, 0)</f>
        <v>39.226799999999997</v>
      </c>
      <c r="F274" s="14">
        <f>39.2247 * CHOOSE(CONTROL!$C$9, $D$9, 100%, $F$9) + CHOOSE(CONTROL!$C$27, 0.0021, 0)</f>
        <v>39.226799999999997</v>
      </c>
      <c r="G274" s="14">
        <f>39.496 * CHOOSE(CONTROL!$C$9, $D$9, 100%, $F$9) + CHOOSE(CONTROL!$C$27, 0.0021, 0)</f>
        <v>39.498100000000001</v>
      </c>
      <c r="H274" s="14">
        <f>39.3613 * CHOOSE(CONTROL!$C$9, $D$9, 100%, $F$9) + CHOOSE(CONTROL!$C$27, 0.0021, 0)</f>
        <v>39.363399999999999</v>
      </c>
      <c r="I274" s="14">
        <f>39.3613 * CHOOSE(CONTROL!$C$9, $D$9, 100%, $F$9) + CHOOSE(CONTROL!$C$27, 0.0021, 0)</f>
        <v>39.363399999999999</v>
      </c>
      <c r="J274" s="14">
        <f>39.3613 * CHOOSE(CONTROL!$C$9, $D$9, 100%, $F$9) + CHOOSE(CONTROL!$C$27, 0.0021, 0)</f>
        <v>39.363399999999999</v>
      </c>
      <c r="K274" s="14">
        <f>39.3613 * CHOOSE(CONTROL!$C$9, $D$9, 100%, $F$9) + CHOOSE(CONTROL!$C$27, 0.0021, 0)</f>
        <v>39.363399999999999</v>
      </c>
      <c r="L274" s="14"/>
    </row>
    <row r="275" spans="1:12" ht="15" x14ac:dyDescent="0.2">
      <c r="A275" s="13">
        <v>49279</v>
      </c>
      <c r="B275" s="14">
        <f>39.0583 * CHOOSE(CONTROL!$C$9, $D$9, 100%, $F$9) + CHOOSE(CONTROL!$C$27, 0.0021, 0)</f>
        <v>39.060400000000001</v>
      </c>
      <c r="C275" s="14">
        <f>38.626 * CHOOSE(CONTROL!$C$9, $D$9, 100%, $F$9) + CHOOSE(CONTROL!$C$27, 0.0021, 0)</f>
        <v>38.628099999999996</v>
      </c>
      <c r="D275" s="14">
        <f>38.626 * CHOOSE(CONTROL!$C$9, $D$9, 100%, $F$9) + CHOOSE(CONTROL!$C$27, 0.0021, 0)</f>
        <v>38.628099999999996</v>
      </c>
      <c r="E275" s="14">
        <f>38.4894 * CHOOSE(CONTROL!$C$9, $D$9, 100%, $F$9) + CHOOSE(CONTROL!$C$27, 0.0021, 0)</f>
        <v>38.491500000000002</v>
      </c>
      <c r="F275" s="14">
        <f>38.4894 * CHOOSE(CONTROL!$C$9, $D$9, 100%, $F$9) + CHOOSE(CONTROL!$C$27, 0.0021, 0)</f>
        <v>38.491500000000002</v>
      </c>
      <c r="G275" s="14">
        <f>38.7607 * CHOOSE(CONTROL!$C$9, $D$9, 100%, $F$9) + CHOOSE(CONTROL!$C$27, 0.0021, 0)</f>
        <v>38.762799999999999</v>
      </c>
      <c r="H275" s="14">
        <f>38.626 * CHOOSE(CONTROL!$C$9, $D$9, 100%, $F$9) + CHOOSE(CONTROL!$C$27, 0.0021, 0)</f>
        <v>38.628099999999996</v>
      </c>
      <c r="I275" s="14">
        <f>38.626 * CHOOSE(CONTROL!$C$9, $D$9, 100%, $F$9) + CHOOSE(CONTROL!$C$27, 0.0021, 0)</f>
        <v>38.628099999999996</v>
      </c>
      <c r="J275" s="14">
        <f>38.626 * CHOOSE(CONTROL!$C$9, $D$9, 100%, $F$9) + CHOOSE(CONTROL!$C$27, 0.0021, 0)</f>
        <v>38.628099999999996</v>
      </c>
      <c r="K275" s="14">
        <f>38.626 * CHOOSE(CONTROL!$C$9, $D$9, 100%, $F$9) + CHOOSE(CONTROL!$C$27, 0.0021, 0)</f>
        <v>38.628099999999996</v>
      </c>
      <c r="L275" s="14"/>
    </row>
    <row r="276" spans="1:12" ht="15" x14ac:dyDescent="0.2">
      <c r="A276" s="13">
        <v>49310</v>
      </c>
      <c r="B276" s="14">
        <f>38.5766 * CHOOSE(CONTROL!$C$9, $D$9, 100%, $F$9) + CHOOSE(CONTROL!$C$27, 0.0021, 0)</f>
        <v>38.578699999999998</v>
      </c>
      <c r="C276" s="14">
        <f>38.1443 * CHOOSE(CONTROL!$C$9, $D$9, 100%, $F$9) + CHOOSE(CONTROL!$C$27, 0.0021, 0)</f>
        <v>38.1464</v>
      </c>
      <c r="D276" s="14">
        <f>38.1443 * CHOOSE(CONTROL!$C$9, $D$9, 100%, $F$9) + CHOOSE(CONTROL!$C$27, 0.0021, 0)</f>
        <v>38.1464</v>
      </c>
      <c r="E276" s="14">
        <f>38.0076 * CHOOSE(CONTROL!$C$9, $D$9, 100%, $F$9) + CHOOSE(CONTROL!$C$27, 0.0021, 0)</f>
        <v>38.009699999999995</v>
      </c>
      <c r="F276" s="14">
        <f>38.0076 * CHOOSE(CONTROL!$C$9, $D$9, 100%, $F$9) + CHOOSE(CONTROL!$C$27, 0.0021, 0)</f>
        <v>38.009699999999995</v>
      </c>
      <c r="G276" s="14">
        <f>38.279 * CHOOSE(CONTROL!$C$9, $D$9, 100%, $F$9) + CHOOSE(CONTROL!$C$27, 0.0021, 0)</f>
        <v>38.281100000000002</v>
      </c>
      <c r="H276" s="14">
        <f>38.1443 * CHOOSE(CONTROL!$C$9, $D$9, 100%, $F$9) + CHOOSE(CONTROL!$C$27, 0.0021, 0)</f>
        <v>38.1464</v>
      </c>
      <c r="I276" s="14">
        <f>38.1443 * CHOOSE(CONTROL!$C$9, $D$9, 100%, $F$9) + CHOOSE(CONTROL!$C$27, 0.0021, 0)</f>
        <v>38.1464</v>
      </c>
      <c r="J276" s="14">
        <f>38.1443 * CHOOSE(CONTROL!$C$9, $D$9, 100%, $F$9) + CHOOSE(CONTROL!$C$27, 0.0021, 0)</f>
        <v>38.1464</v>
      </c>
      <c r="K276" s="14">
        <f>38.1443 * CHOOSE(CONTROL!$C$9, $D$9, 100%, $F$9) + CHOOSE(CONTROL!$C$27, 0.0021, 0)</f>
        <v>38.1464</v>
      </c>
      <c r="L276" s="14"/>
    </row>
    <row r="277" spans="1:12" ht="15" x14ac:dyDescent="0.2">
      <c r="A277" s="13">
        <v>49341</v>
      </c>
      <c r="B277" s="14">
        <f>37.5502 * CHOOSE(CONTROL!$C$9, $D$9, 100%, $F$9) + CHOOSE(CONTROL!$C$27, 0.0021, 0)</f>
        <v>37.552299999999995</v>
      </c>
      <c r="C277" s="14">
        <f>37.118 * CHOOSE(CONTROL!$C$9, $D$9, 100%, $F$9) + CHOOSE(CONTROL!$C$27, 0.0021, 0)</f>
        <v>37.120100000000001</v>
      </c>
      <c r="D277" s="14">
        <f>37.118 * CHOOSE(CONTROL!$C$9, $D$9, 100%, $F$9) + CHOOSE(CONTROL!$C$27, 0.0021, 0)</f>
        <v>37.120100000000001</v>
      </c>
      <c r="E277" s="14">
        <f>36.9813 * CHOOSE(CONTROL!$C$9, $D$9, 100%, $F$9) + CHOOSE(CONTROL!$C$27, 0.0021, 0)</f>
        <v>36.983399999999996</v>
      </c>
      <c r="F277" s="14">
        <f>36.9813 * CHOOSE(CONTROL!$C$9, $D$9, 100%, $F$9) + CHOOSE(CONTROL!$C$27, 0.0021, 0)</f>
        <v>36.983399999999996</v>
      </c>
      <c r="G277" s="14">
        <f>37.2527 * CHOOSE(CONTROL!$C$9, $D$9, 100%, $F$9) + CHOOSE(CONTROL!$C$27, 0.0021, 0)</f>
        <v>37.254799999999996</v>
      </c>
      <c r="H277" s="14">
        <f>37.118 * CHOOSE(CONTROL!$C$9, $D$9, 100%, $F$9) + CHOOSE(CONTROL!$C$27, 0.0021, 0)</f>
        <v>37.120100000000001</v>
      </c>
      <c r="I277" s="14">
        <f>37.118 * CHOOSE(CONTROL!$C$9, $D$9, 100%, $F$9) + CHOOSE(CONTROL!$C$27, 0.0021, 0)</f>
        <v>37.120100000000001</v>
      </c>
      <c r="J277" s="14">
        <f>37.118 * CHOOSE(CONTROL!$C$9, $D$9, 100%, $F$9) + CHOOSE(CONTROL!$C$27, 0.0021, 0)</f>
        <v>37.120100000000001</v>
      </c>
      <c r="K277" s="14">
        <f>37.118 * CHOOSE(CONTROL!$C$9, $D$9, 100%, $F$9) + CHOOSE(CONTROL!$C$27, 0.0021, 0)</f>
        <v>37.120100000000001</v>
      </c>
      <c r="L277" s="14"/>
    </row>
    <row r="278" spans="1:12" ht="15" x14ac:dyDescent="0.2">
      <c r="A278" s="13">
        <v>49369</v>
      </c>
      <c r="B278" s="14">
        <f>37.1266 * CHOOSE(CONTROL!$C$9, $D$9, 100%, $F$9) + CHOOSE(CONTROL!$C$27, 0.0021, 0)</f>
        <v>37.128700000000002</v>
      </c>
      <c r="C278" s="14">
        <f>36.6943 * CHOOSE(CONTROL!$C$9, $D$9, 100%, $F$9) + CHOOSE(CONTROL!$C$27, 0.0021, 0)</f>
        <v>36.696399999999997</v>
      </c>
      <c r="D278" s="14">
        <f>36.6943 * CHOOSE(CONTROL!$C$9, $D$9, 100%, $F$9) + CHOOSE(CONTROL!$C$27, 0.0021, 0)</f>
        <v>36.696399999999997</v>
      </c>
      <c r="E278" s="14">
        <f>36.5577 * CHOOSE(CONTROL!$C$9, $D$9, 100%, $F$9) + CHOOSE(CONTROL!$C$27, 0.0021, 0)</f>
        <v>36.559799999999996</v>
      </c>
      <c r="F278" s="14">
        <f>36.5577 * CHOOSE(CONTROL!$C$9, $D$9, 100%, $F$9) + CHOOSE(CONTROL!$C$27, 0.0021, 0)</f>
        <v>36.559799999999996</v>
      </c>
      <c r="G278" s="14">
        <f>36.829 * CHOOSE(CONTROL!$C$9, $D$9, 100%, $F$9) + CHOOSE(CONTROL!$C$27, 0.0021, 0)</f>
        <v>36.831099999999999</v>
      </c>
      <c r="H278" s="14">
        <f>36.6943 * CHOOSE(CONTROL!$C$9, $D$9, 100%, $F$9) + CHOOSE(CONTROL!$C$27, 0.0021, 0)</f>
        <v>36.696399999999997</v>
      </c>
      <c r="I278" s="14">
        <f>36.6943 * CHOOSE(CONTROL!$C$9, $D$9, 100%, $F$9) + CHOOSE(CONTROL!$C$27, 0.0021, 0)</f>
        <v>36.696399999999997</v>
      </c>
      <c r="J278" s="14">
        <f>36.6943 * CHOOSE(CONTROL!$C$9, $D$9, 100%, $F$9) + CHOOSE(CONTROL!$C$27, 0.0021, 0)</f>
        <v>36.696399999999997</v>
      </c>
      <c r="K278" s="14">
        <f>36.6943 * CHOOSE(CONTROL!$C$9, $D$9, 100%, $F$9) + CHOOSE(CONTROL!$C$27, 0.0021, 0)</f>
        <v>36.696399999999997</v>
      </c>
      <c r="L278" s="14"/>
    </row>
    <row r="279" spans="1:12" ht="15" x14ac:dyDescent="0.2">
      <c r="A279" s="13">
        <v>49400</v>
      </c>
      <c r="B279" s="14">
        <f>36.6207 * CHOOSE(CONTROL!$C$9, $D$9, 100%, $F$9) + CHOOSE(CONTROL!$C$27, 0.0021, 0)</f>
        <v>36.622799999999998</v>
      </c>
      <c r="C279" s="14">
        <f>36.1885 * CHOOSE(CONTROL!$C$9, $D$9, 100%, $F$9) + CHOOSE(CONTROL!$C$27, 0.0021, 0)</f>
        <v>36.190599999999996</v>
      </c>
      <c r="D279" s="14">
        <f>36.1885 * CHOOSE(CONTROL!$C$9, $D$9, 100%, $F$9) + CHOOSE(CONTROL!$C$27, 0.0021, 0)</f>
        <v>36.190599999999996</v>
      </c>
      <c r="E279" s="14">
        <f>36.0518 * CHOOSE(CONTROL!$C$9, $D$9, 100%, $F$9) + CHOOSE(CONTROL!$C$27, 0.0021, 0)</f>
        <v>36.053899999999999</v>
      </c>
      <c r="F279" s="14">
        <f>36.0518 * CHOOSE(CONTROL!$C$9, $D$9, 100%, $F$9) + CHOOSE(CONTROL!$C$27, 0.0021, 0)</f>
        <v>36.053899999999999</v>
      </c>
      <c r="G279" s="14">
        <f>36.3232 * CHOOSE(CONTROL!$C$9, $D$9, 100%, $F$9) + CHOOSE(CONTROL!$C$27, 0.0021, 0)</f>
        <v>36.325299999999999</v>
      </c>
      <c r="H279" s="14">
        <f>36.1885 * CHOOSE(CONTROL!$C$9, $D$9, 100%, $F$9) + CHOOSE(CONTROL!$C$27, 0.0021, 0)</f>
        <v>36.190599999999996</v>
      </c>
      <c r="I279" s="14">
        <f>36.1885 * CHOOSE(CONTROL!$C$9, $D$9, 100%, $F$9) + CHOOSE(CONTROL!$C$27, 0.0021, 0)</f>
        <v>36.190599999999996</v>
      </c>
      <c r="J279" s="14">
        <f>36.1885 * CHOOSE(CONTROL!$C$9, $D$9, 100%, $F$9) + CHOOSE(CONTROL!$C$27, 0.0021, 0)</f>
        <v>36.190599999999996</v>
      </c>
      <c r="K279" s="14">
        <f>36.1885 * CHOOSE(CONTROL!$C$9, $D$9, 100%, $F$9) + CHOOSE(CONTROL!$C$27, 0.0021, 0)</f>
        <v>36.190599999999996</v>
      </c>
      <c r="L279" s="14"/>
    </row>
    <row r="280" spans="1:12" ht="15" x14ac:dyDescent="0.2">
      <c r="A280" s="13">
        <v>49430</v>
      </c>
      <c r="B280" s="14">
        <f>37.3416 * CHOOSE(CONTROL!$C$9, $D$9, 100%, $F$9) + CHOOSE(CONTROL!$C$27, 0.0021, 0)</f>
        <v>37.343699999999998</v>
      </c>
      <c r="C280" s="14">
        <f>36.9094 * CHOOSE(CONTROL!$C$9, $D$9, 100%, $F$9) + CHOOSE(CONTROL!$C$27, 0.0021, 0)</f>
        <v>36.911499999999997</v>
      </c>
      <c r="D280" s="14">
        <f>36.9094 * CHOOSE(CONTROL!$C$9, $D$9, 100%, $F$9) + CHOOSE(CONTROL!$C$27, 0.0021, 0)</f>
        <v>36.911499999999997</v>
      </c>
      <c r="E280" s="14">
        <f>36.7727 * CHOOSE(CONTROL!$C$9, $D$9, 100%, $F$9) + CHOOSE(CONTROL!$C$27, 0.0021, 0)</f>
        <v>36.774799999999999</v>
      </c>
      <c r="F280" s="14">
        <f>36.7727 * CHOOSE(CONTROL!$C$9, $D$9, 100%, $F$9) + CHOOSE(CONTROL!$C$27, 0.0021, 0)</f>
        <v>36.774799999999999</v>
      </c>
      <c r="G280" s="14">
        <f>37.0441 * CHOOSE(CONTROL!$C$9, $D$9, 100%, $F$9) + CHOOSE(CONTROL!$C$27, 0.0021, 0)</f>
        <v>37.046199999999999</v>
      </c>
      <c r="H280" s="14">
        <f>36.9094 * CHOOSE(CONTROL!$C$9, $D$9, 100%, $F$9) + CHOOSE(CONTROL!$C$27, 0.0021, 0)</f>
        <v>36.911499999999997</v>
      </c>
      <c r="I280" s="14">
        <f>36.9094 * CHOOSE(CONTROL!$C$9, $D$9, 100%, $F$9) + CHOOSE(CONTROL!$C$27, 0.0021, 0)</f>
        <v>36.911499999999997</v>
      </c>
      <c r="J280" s="14">
        <f>36.9094 * CHOOSE(CONTROL!$C$9, $D$9, 100%, $F$9) + CHOOSE(CONTROL!$C$27, 0.0021, 0)</f>
        <v>36.911499999999997</v>
      </c>
      <c r="K280" s="14">
        <f>36.9094 * CHOOSE(CONTROL!$C$9, $D$9, 100%, $F$9) + CHOOSE(CONTROL!$C$27, 0.0021, 0)</f>
        <v>36.911499999999997</v>
      </c>
      <c r="L280" s="14"/>
    </row>
    <row r="281" spans="1:12" ht="15" x14ac:dyDescent="0.2">
      <c r="A281" s="34">
        <v>49461</v>
      </c>
      <c r="B281" s="14">
        <f>37.7734 * CHOOSE(CONTROL!$C$9, $D$9, 100%, $F$9) + CHOOSE(CONTROL!$C$27, 0.0021, 0)</f>
        <v>37.775500000000001</v>
      </c>
      <c r="C281" s="14">
        <f>37.3412 * CHOOSE(CONTROL!$C$9, $D$9, 100%, $F$9) + CHOOSE(CONTROL!$C$27, 0.0021, 0)</f>
        <v>37.343299999999999</v>
      </c>
      <c r="D281" s="14">
        <f>37.3412 * CHOOSE(CONTROL!$C$9, $D$9, 100%, $F$9) + CHOOSE(CONTROL!$C$27, 0.0021, 0)</f>
        <v>37.343299999999999</v>
      </c>
      <c r="E281" s="14">
        <f>37.2045 * CHOOSE(CONTROL!$C$9, $D$9, 100%, $F$9) + CHOOSE(CONTROL!$C$27, 0.0021, 0)</f>
        <v>37.206600000000002</v>
      </c>
      <c r="F281" s="14">
        <f>37.2045 * CHOOSE(CONTROL!$C$9, $D$9, 100%, $F$9) + CHOOSE(CONTROL!$C$27, 0.0021, 0)</f>
        <v>37.206600000000002</v>
      </c>
      <c r="G281" s="14">
        <f>37.4759 * CHOOSE(CONTROL!$C$9, $D$9, 100%, $F$9) + CHOOSE(CONTROL!$C$27, 0.0021, 0)</f>
        <v>37.478000000000002</v>
      </c>
      <c r="H281" s="14">
        <f>37.3412 * CHOOSE(CONTROL!$C$9, $D$9, 100%, $F$9) + CHOOSE(CONTROL!$C$27, 0.0021, 0)</f>
        <v>37.343299999999999</v>
      </c>
      <c r="I281" s="14">
        <f>37.3412 * CHOOSE(CONTROL!$C$9, $D$9, 100%, $F$9) + CHOOSE(CONTROL!$C$27, 0.0021, 0)</f>
        <v>37.343299999999999</v>
      </c>
      <c r="J281" s="14">
        <f>37.3412 * CHOOSE(CONTROL!$C$9, $D$9, 100%, $F$9) + CHOOSE(CONTROL!$C$27, 0.0021, 0)</f>
        <v>37.343299999999999</v>
      </c>
      <c r="K281" s="14">
        <f>37.3412 * CHOOSE(CONTROL!$C$9, $D$9, 100%, $F$9) + CHOOSE(CONTROL!$C$27, 0.0021, 0)</f>
        <v>37.343299999999999</v>
      </c>
      <c r="L281" s="14"/>
    </row>
    <row r="282" spans="1:12" ht="15" x14ac:dyDescent="0.2">
      <c r="A282" s="34">
        <v>49491</v>
      </c>
      <c r="B282" s="14">
        <f>38.4857 * CHOOSE(CONTROL!$C$9, $D$9, 100%, $F$9) + CHOOSE(CONTROL!$C$27, 0.0021, 0)</f>
        <v>38.4878</v>
      </c>
      <c r="C282" s="14">
        <f>38.0535 * CHOOSE(CONTROL!$C$9, $D$9, 100%, $F$9) + CHOOSE(CONTROL!$C$27, 0.0021, 0)</f>
        <v>38.055599999999998</v>
      </c>
      <c r="D282" s="14">
        <f>38.0535 * CHOOSE(CONTROL!$C$9, $D$9, 100%, $F$9) + CHOOSE(CONTROL!$C$27, 0.0021, 0)</f>
        <v>38.055599999999998</v>
      </c>
      <c r="E282" s="14">
        <f>37.9168 * CHOOSE(CONTROL!$C$9, $D$9, 100%, $F$9) + CHOOSE(CONTROL!$C$27, 0.0021, 0)</f>
        <v>37.918900000000001</v>
      </c>
      <c r="F282" s="14">
        <f>37.9168 * CHOOSE(CONTROL!$C$9, $D$9, 100%, $F$9) + CHOOSE(CONTROL!$C$27, 0.0021, 0)</f>
        <v>37.918900000000001</v>
      </c>
      <c r="G282" s="14">
        <f>38.1882 * CHOOSE(CONTROL!$C$9, $D$9, 100%, $F$9) + CHOOSE(CONTROL!$C$27, 0.0021, 0)</f>
        <v>38.190300000000001</v>
      </c>
      <c r="H282" s="14">
        <f>38.0535 * CHOOSE(CONTROL!$C$9, $D$9, 100%, $F$9) + CHOOSE(CONTROL!$C$27, 0.0021, 0)</f>
        <v>38.055599999999998</v>
      </c>
      <c r="I282" s="14">
        <f>38.0535 * CHOOSE(CONTROL!$C$9, $D$9, 100%, $F$9) + CHOOSE(CONTROL!$C$27, 0.0021, 0)</f>
        <v>38.055599999999998</v>
      </c>
      <c r="J282" s="14">
        <f>38.0535 * CHOOSE(CONTROL!$C$9, $D$9, 100%, $F$9) + CHOOSE(CONTROL!$C$27, 0.0021, 0)</f>
        <v>38.055599999999998</v>
      </c>
      <c r="K282" s="14">
        <f>38.0535 * CHOOSE(CONTROL!$C$9, $D$9, 100%, $F$9) + CHOOSE(CONTROL!$C$27, 0.0021, 0)</f>
        <v>38.055599999999998</v>
      </c>
      <c r="L282" s="14"/>
    </row>
    <row r="283" spans="1:12" ht="15" x14ac:dyDescent="0.2">
      <c r="A283" s="34">
        <v>49522</v>
      </c>
      <c r="B283" s="14">
        <f>38.7031 * CHOOSE(CONTROL!$C$9, $D$9, 100%, $F$9) + CHOOSE(CONTROL!$C$27, 0.0021, 0)</f>
        <v>38.705199999999998</v>
      </c>
      <c r="C283" s="14">
        <f>38.2709 * CHOOSE(CONTROL!$C$9, $D$9, 100%, $F$9) + CHOOSE(CONTROL!$C$27, 0.0021, 0)</f>
        <v>38.272999999999996</v>
      </c>
      <c r="D283" s="14">
        <f>38.2709 * CHOOSE(CONTROL!$C$9, $D$9, 100%, $F$9) + CHOOSE(CONTROL!$C$27, 0.0021, 0)</f>
        <v>38.272999999999996</v>
      </c>
      <c r="E283" s="14">
        <f>38.1342 * CHOOSE(CONTROL!$C$9, $D$9, 100%, $F$9) + CHOOSE(CONTROL!$C$27, 0.0021, 0)</f>
        <v>38.136299999999999</v>
      </c>
      <c r="F283" s="14">
        <f>38.1342 * CHOOSE(CONTROL!$C$9, $D$9, 100%, $F$9) + CHOOSE(CONTROL!$C$27, 0.0021, 0)</f>
        <v>38.136299999999999</v>
      </c>
      <c r="G283" s="14">
        <f>38.4056 * CHOOSE(CONTROL!$C$9, $D$9, 100%, $F$9) + CHOOSE(CONTROL!$C$27, 0.0021, 0)</f>
        <v>38.407699999999998</v>
      </c>
      <c r="H283" s="14">
        <f>38.2709 * CHOOSE(CONTROL!$C$9, $D$9, 100%, $F$9) + CHOOSE(CONTROL!$C$27, 0.0021, 0)</f>
        <v>38.272999999999996</v>
      </c>
      <c r="I283" s="14">
        <f>38.2709 * CHOOSE(CONTROL!$C$9, $D$9, 100%, $F$9) + CHOOSE(CONTROL!$C$27, 0.0021, 0)</f>
        <v>38.272999999999996</v>
      </c>
      <c r="J283" s="14">
        <f>38.2709 * CHOOSE(CONTROL!$C$9, $D$9, 100%, $F$9) + CHOOSE(CONTROL!$C$27, 0.0021, 0)</f>
        <v>38.272999999999996</v>
      </c>
      <c r="K283" s="14">
        <f>38.2709 * CHOOSE(CONTROL!$C$9, $D$9, 100%, $F$9) + CHOOSE(CONTROL!$C$27, 0.0021, 0)</f>
        <v>38.272999999999996</v>
      </c>
      <c r="L283" s="14"/>
    </row>
    <row r="284" spans="1:12" ht="15" x14ac:dyDescent="0.2">
      <c r="A284" s="34">
        <v>49553</v>
      </c>
      <c r="B284" s="14">
        <f>39.4436 * CHOOSE(CONTROL!$C$9, $D$9, 100%, $F$9) + CHOOSE(CONTROL!$C$27, 0.0021, 0)</f>
        <v>39.445700000000002</v>
      </c>
      <c r="C284" s="14">
        <f>39.0113 * CHOOSE(CONTROL!$C$9, $D$9, 100%, $F$9) + CHOOSE(CONTROL!$C$27, 0.0021, 0)</f>
        <v>39.013399999999997</v>
      </c>
      <c r="D284" s="14">
        <f>39.0113 * CHOOSE(CONTROL!$C$9, $D$9, 100%, $F$9) + CHOOSE(CONTROL!$C$27, 0.0021, 0)</f>
        <v>39.013399999999997</v>
      </c>
      <c r="E284" s="14">
        <f>38.8747 * CHOOSE(CONTROL!$C$9, $D$9, 100%, $F$9) + CHOOSE(CONTROL!$C$27, 0.0021, 0)</f>
        <v>38.876799999999996</v>
      </c>
      <c r="F284" s="14">
        <f>38.8747 * CHOOSE(CONTROL!$C$9, $D$9, 100%, $F$9) + CHOOSE(CONTROL!$C$27, 0.0021, 0)</f>
        <v>38.876799999999996</v>
      </c>
      <c r="G284" s="14">
        <f>39.146 * CHOOSE(CONTROL!$C$9, $D$9, 100%, $F$9) + CHOOSE(CONTROL!$C$27, 0.0021, 0)</f>
        <v>39.148099999999999</v>
      </c>
      <c r="H284" s="14">
        <f>39.0113 * CHOOSE(CONTROL!$C$9, $D$9, 100%, $F$9) + CHOOSE(CONTROL!$C$27, 0.0021, 0)</f>
        <v>39.013399999999997</v>
      </c>
      <c r="I284" s="14">
        <f>39.0113 * CHOOSE(CONTROL!$C$9, $D$9, 100%, $F$9) + CHOOSE(CONTROL!$C$27, 0.0021, 0)</f>
        <v>39.013399999999997</v>
      </c>
      <c r="J284" s="14">
        <f>39.0113 * CHOOSE(CONTROL!$C$9, $D$9, 100%, $F$9) + CHOOSE(CONTROL!$C$27, 0.0021, 0)</f>
        <v>39.013399999999997</v>
      </c>
      <c r="K284" s="14">
        <f>39.0113 * CHOOSE(CONTROL!$C$9, $D$9, 100%, $F$9) + CHOOSE(CONTROL!$C$27, 0.0021, 0)</f>
        <v>39.013399999999997</v>
      </c>
      <c r="L284" s="14"/>
    </row>
    <row r="285" spans="1:12" ht="15" x14ac:dyDescent="0.2">
      <c r="A285" s="34">
        <v>49583</v>
      </c>
      <c r="B285" s="14">
        <f>40.3808 * CHOOSE(CONTROL!$C$9, $D$9, 100%, $F$9) + CHOOSE(CONTROL!$C$27, 0.0021, 0)</f>
        <v>40.382899999999999</v>
      </c>
      <c r="C285" s="14">
        <f>39.9485 * CHOOSE(CONTROL!$C$9, $D$9, 100%, $F$9) + CHOOSE(CONTROL!$C$27, 0.0021, 0)</f>
        <v>39.950600000000001</v>
      </c>
      <c r="D285" s="14">
        <f>39.9485 * CHOOSE(CONTROL!$C$9, $D$9, 100%, $F$9) + CHOOSE(CONTROL!$C$27, 0.0021, 0)</f>
        <v>39.950600000000001</v>
      </c>
      <c r="E285" s="14">
        <f>39.8119 * CHOOSE(CONTROL!$C$9, $D$9, 100%, $F$9) + CHOOSE(CONTROL!$C$27, 0.0021, 0)</f>
        <v>39.814</v>
      </c>
      <c r="F285" s="14">
        <f>39.8119 * CHOOSE(CONTROL!$C$9, $D$9, 100%, $F$9) + CHOOSE(CONTROL!$C$27, 0.0021, 0)</f>
        <v>39.814</v>
      </c>
      <c r="G285" s="14">
        <f>40.0833 * CHOOSE(CONTROL!$C$9, $D$9, 100%, $F$9) + CHOOSE(CONTROL!$C$27, 0.0021, 0)</f>
        <v>40.0854</v>
      </c>
      <c r="H285" s="14">
        <f>39.9485 * CHOOSE(CONTROL!$C$9, $D$9, 100%, $F$9) + CHOOSE(CONTROL!$C$27, 0.0021, 0)</f>
        <v>39.950600000000001</v>
      </c>
      <c r="I285" s="14">
        <f>39.9485 * CHOOSE(CONTROL!$C$9, $D$9, 100%, $F$9) + CHOOSE(CONTROL!$C$27, 0.0021, 0)</f>
        <v>39.950600000000001</v>
      </c>
      <c r="J285" s="14">
        <f>39.9485 * CHOOSE(CONTROL!$C$9, $D$9, 100%, $F$9) + CHOOSE(CONTROL!$C$27, 0.0021, 0)</f>
        <v>39.950600000000001</v>
      </c>
      <c r="K285" s="14">
        <f>39.9485 * CHOOSE(CONTROL!$C$9, $D$9, 100%, $F$9) + CHOOSE(CONTROL!$C$27, 0.0021, 0)</f>
        <v>39.950600000000001</v>
      </c>
      <c r="L285" s="14"/>
    </row>
    <row r="286" spans="1:12" ht="15" x14ac:dyDescent="0.2">
      <c r="A286" s="34">
        <v>49614</v>
      </c>
      <c r="B286" s="14">
        <f>40.4688 * CHOOSE(CONTROL!$C$9, $D$9, 100%, $F$9) + CHOOSE(CONTROL!$C$27, 0.0021, 0)</f>
        <v>40.4709</v>
      </c>
      <c r="C286" s="14">
        <f>40.0365 * CHOOSE(CONTROL!$C$9, $D$9, 100%, $F$9) + CHOOSE(CONTROL!$C$27, 0.0021, 0)</f>
        <v>40.038599999999995</v>
      </c>
      <c r="D286" s="14">
        <f>40.0365 * CHOOSE(CONTROL!$C$9, $D$9, 100%, $F$9) + CHOOSE(CONTROL!$C$27, 0.0021, 0)</f>
        <v>40.038599999999995</v>
      </c>
      <c r="E286" s="14">
        <f>39.8999 * CHOOSE(CONTROL!$C$9, $D$9, 100%, $F$9) + CHOOSE(CONTROL!$C$27, 0.0021, 0)</f>
        <v>39.902000000000001</v>
      </c>
      <c r="F286" s="14">
        <f>39.8999 * CHOOSE(CONTROL!$C$9, $D$9, 100%, $F$9) + CHOOSE(CONTROL!$C$27, 0.0021, 0)</f>
        <v>39.902000000000001</v>
      </c>
      <c r="G286" s="14">
        <f>40.1713 * CHOOSE(CONTROL!$C$9, $D$9, 100%, $F$9) + CHOOSE(CONTROL!$C$27, 0.0021, 0)</f>
        <v>40.173400000000001</v>
      </c>
      <c r="H286" s="14">
        <f>40.0365 * CHOOSE(CONTROL!$C$9, $D$9, 100%, $F$9) + CHOOSE(CONTROL!$C$27, 0.0021, 0)</f>
        <v>40.038599999999995</v>
      </c>
      <c r="I286" s="14">
        <f>40.0365 * CHOOSE(CONTROL!$C$9, $D$9, 100%, $F$9) + CHOOSE(CONTROL!$C$27, 0.0021, 0)</f>
        <v>40.038599999999995</v>
      </c>
      <c r="J286" s="14">
        <f>40.0365 * CHOOSE(CONTROL!$C$9, $D$9, 100%, $F$9) + CHOOSE(CONTROL!$C$27, 0.0021, 0)</f>
        <v>40.038599999999995</v>
      </c>
      <c r="K286" s="14">
        <f>40.0365 * CHOOSE(CONTROL!$C$9, $D$9, 100%, $F$9) + CHOOSE(CONTROL!$C$27, 0.0021, 0)</f>
        <v>40.038599999999995</v>
      </c>
      <c r="L286" s="14"/>
    </row>
    <row r="287" spans="1:12" ht="15" x14ac:dyDescent="0.2">
      <c r="A287" s="34">
        <v>49644</v>
      </c>
      <c r="B287" s="14">
        <f>39.7202 * CHOOSE(CONTROL!$C$9, $D$9, 100%, $F$9) + CHOOSE(CONTROL!$C$27, 0.0021, 0)</f>
        <v>39.722299999999997</v>
      </c>
      <c r="C287" s="14">
        <f>39.288 * CHOOSE(CONTROL!$C$9, $D$9, 100%, $F$9) + CHOOSE(CONTROL!$C$27, 0.0021, 0)</f>
        <v>39.290099999999995</v>
      </c>
      <c r="D287" s="14">
        <f>39.288 * CHOOSE(CONTROL!$C$9, $D$9, 100%, $F$9) + CHOOSE(CONTROL!$C$27, 0.0021, 0)</f>
        <v>39.290099999999995</v>
      </c>
      <c r="E287" s="14">
        <f>39.1513 * CHOOSE(CONTROL!$C$9, $D$9, 100%, $F$9) + CHOOSE(CONTROL!$C$27, 0.0021, 0)</f>
        <v>39.153399999999998</v>
      </c>
      <c r="F287" s="14">
        <f>39.1513 * CHOOSE(CONTROL!$C$9, $D$9, 100%, $F$9) + CHOOSE(CONTROL!$C$27, 0.0021, 0)</f>
        <v>39.153399999999998</v>
      </c>
      <c r="G287" s="14">
        <f>39.4227 * CHOOSE(CONTROL!$C$9, $D$9, 100%, $F$9) + CHOOSE(CONTROL!$C$27, 0.0021, 0)</f>
        <v>39.424799999999998</v>
      </c>
      <c r="H287" s="14">
        <f>39.288 * CHOOSE(CONTROL!$C$9, $D$9, 100%, $F$9) + CHOOSE(CONTROL!$C$27, 0.0021, 0)</f>
        <v>39.290099999999995</v>
      </c>
      <c r="I287" s="14">
        <f>39.288 * CHOOSE(CONTROL!$C$9, $D$9, 100%, $F$9) + CHOOSE(CONTROL!$C$27, 0.0021, 0)</f>
        <v>39.290099999999995</v>
      </c>
      <c r="J287" s="14">
        <f>39.288 * CHOOSE(CONTROL!$C$9, $D$9, 100%, $F$9) + CHOOSE(CONTROL!$C$27, 0.0021, 0)</f>
        <v>39.290099999999995</v>
      </c>
      <c r="K287" s="14">
        <f>39.288 * CHOOSE(CONTROL!$C$9, $D$9, 100%, $F$9) + CHOOSE(CONTROL!$C$27, 0.0021, 0)</f>
        <v>39.290099999999995</v>
      </c>
      <c r="L287" s="14"/>
    </row>
    <row r="288" spans="1:12" ht="15" x14ac:dyDescent="0.2">
      <c r="A288" s="34">
        <v>49675</v>
      </c>
      <c r="B288" s="14">
        <f>39.2298 * CHOOSE(CONTROL!$C$9, $D$9, 100%, $F$9) + CHOOSE(CONTROL!$C$27, 0.0021, 0)</f>
        <v>39.231899999999996</v>
      </c>
      <c r="C288" s="14">
        <f>38.7976 * CHOOSE(CONTROL!$C$9, $D$9, 100%, $F$9) + CHOOSE(CONTROL!$C$27, 0.0021, 0)</f>
        <v>38.799700000000001</v>
      </c>
      <c r="D288" s="14">
        <f>38.7976 * CHOOSE(CONTROL!$C$9, $D$9, 100%, $F$9) + CHOOSE(CONTROL!$C$27, 0.0021, 0)</f>
        <v>38.799700000000001</v>
      </c>
      <c r="E288" s="14">
        <f>38.6609 * CHOOSE(CONTROL!$C$9, $D$9, 100%, $F$9) + CHOOSE(CONTROL!$C$27, 0.0021, 0)</f>
        <v>38.662999999999997</v>
      </c>
      <c r="F288" s="14">
        <f>38.6609 * CHOOSE(CONTROL!$C$9, $D$9, 100%, $F$9) + CHOOSE(CONTROL!$C$27, 0.0021, 0)</f>
        <v>38.662999999999997</v>
      </c>
      <c r="G288" s="14">
        <f>38.9323 * CHOOSE(CONTROL!$C$9, $D$9, 100%, $F$9) + CHOOSE(CONTROL!$C$27, 0.0021, 0)</f>
        <v>38.934399999999997</v>
      </c>
      <c r="H288" s="14">
        <f>38.7976 * CHOOSE(CONTROL!$C$9, $D$9, 100%, $F$9) + CHOOSE(CONTROL!$C$27, 0.0021, 0)</f>
        <v>38.799700000000001</v>
      </c>
      <c r="I288" s="14">
        <f>38.7976 * CHOOSE(CONTROL!$C$9, $D$9, 100%, $F$9) + CHOOSE(CONTROL!$C$27, 0.0021, 0)</f>
        <v>38.799700000000001</v>
      </c>
      <c r="J288" s="14">
        <f>38.7976 * CHOOSE(CONTROL!$C$9, $D$9, 100%, $F$9) + CHOOSE(CONTROL!$C$27, 0.0021, 0)</f>
        <v>38.799700000000001</v>
      </c>
      <c r="K288" s="14">
        <f>38.7976 * CHOOSE(CONTROL!$C$9, $D$9, 100%, $F$9) + CHOOSE(CONTROL!$C$27, 0.0021, 0)</f>
        <v>38.799700000000001</v>
      </c>
      <c r="L288" s="14"/>
    </row>
    <row r="289" spans="1:12" ht="15" x14ac:dyDescent="0.2">
      <c r="A289" s="34">
        <v>49706</v>
      </c>
      <c r="B289" s="14">
        <f>38.185 * CHOOSE(CONTROL!$C$9, $D$9, 100%, $F$9) + CHOOSE(CONTROL!$C$27, 0.0021, 0)</f>
        <v>38.187100000000001</v>
      </c>
      <c r="C289" s="14">
        <f>37.7528 * CHOOSE(CONTROL!$C$9, $D$9, 100%, $F$9) + CHOOSE(CONTROL!$C$27, 0.0021, 0)</f>
        <v>37.754899999999999</v>
      </c>
      <c r="D289" s="14">
        <f>37.7528 * CHOOSE(CONTROL!$C$9, $D$9, 100%, $F$9) + CHOOSE(CONTROL!$C$27, 0.0021, 0)</f>
        <v>37.754899999999999</v>
      </c>
      <c r="E289" s="14">
        <f>37.6161 * CHOOSE(CONTROL!$C$9, $D$9, 100%, $F$9) + CHOOSE(CONTROL!$C$27, 0.0021, 0)</f>
        <v>37.618200000000002</v>
      </c>
      <c r="F289" s="14">
        <f>37.6161 * CHOOSE(CONTROL!$C$9, $D$9, 100%, $F$9) + CHOOSE(CONTROL!$C$27, 0.0021, 0)</f>
        <v>37.618200000000002</v>
      </c>
      <c r="G289" s="14">
        <f>37.8875 * CHOOSE(CONTROL!$C$9, $D$9, 100%, $F$9) + CHOOSE(CONTROL!$C$27, 0.0021, 0)</f>
        <v>37.889600000000002</v>
      </c>
      <c r="H289" s="14">
        <f>37.7528 * CHOOSE(CONTROL!$C$9, $D$9, 100%, $F$9) + CHOOSE(CONTROL!$C$27, 0.0021, 0)</f>
        <v>37.754899999999999</v>
      </c>
      <c r="I289" s="14">
        <f>37.7528 * CHOOSE(CONTROL!$C$9, $D$9, 100%, $F$9) + CHOOSE(CONTROL!$C$27, 0.0021, 0)</f>
        <v>37.754899999999999</v>
      </c>
      <c r="J289" s="14">
        <f>37.7528 * CHOOSE(CONTROL!$C$9, $D$9, 100%, $F$9) + CHOOSE(CONTROL!$C$27, 0.0021, 0)</f>
        <v>37.754899999999999</v>
      </c>
      <c r="K289" s="14">
        <f>37.7528 * CHOOSE(CONTROL!$C$9, $D$9, 100%, $F$9) + CHOOSE(CONTROL!$C$27, 0.0021, 0)</f>
        <v>37.754899999999999</v>
      </c>
      <c r="L289" s="14"/>
    </row>
    <row r="290" spans="1:12" ht="15" x14ac:dyDescent="0.2">
      <c r="A290" s="34">
        <v>49735</v>
      </c>
      <c r="B290" s="14">
        <f>37.7538 * CHOOSE(CONTROL!$C$9, $D$9, 100%, $F$9) + CHOOSE(CONTROL!$C$27, 0.0021, 0)</f>
        <v>37.755899999999997</v>
      </c>
      <c r="C290" s="14">
        <f>37.3215 * CHOOSE(CONTROL!$C$9, $D$9, 100%, $F$9) + CHOOSE(CONTROL!$C$27, 0.0021, 0)</f>
        <v>37.323599999999999</v>
      </c>
      <c r="D290" s="14">
        <f>37.3215 * CHOOSE(CONTROL!$C$9, $D$9, 100%, $F$9) + CHOOSE(CONTROL!$C$27, 0.0021, 0)</f>
        <v>37.323599999999999</v>
      </c>
      <c r="E290" s="14">
        <f>37.1849 * CHOOSE(CONTROL!$C$9, $D$9, 100%, $F$9) + CHOOSE(CONTROL!$C$27, 0.0021, 0)</f>
        <v>37.186999999999998</v>
      </c>
      <c r="F290" s="14">
        <f>37.1849 * CHOOSE(CONTROL!$C$9, $D$9, 100%, $F$9) + CHOOSE(CONTROL!$C$27, 0.0021, 0)</f>
        <v>37.186999999999998</v>
      </c>
      <c r="G290" s="14">
        <f>37.4562 * CHOOSE(CONTROL!$C$9, $D$9, 100%, $F$9) + CHOOSE(CONTROL!$C$27, 0.0021, 0)</f>
        <v>37.458300000000001</v>
      </c>
      <c r="H290" s="14">
        <f>37.3215 * CHOOSE(CONTROL!$C$9, $D$9, 100%, $F$9) + CHOOSE(CONTROL!$C$27, 0.0021, 0)</f>
        <v>37.323599999999999</v>
      </c>
      <c r="I290" s="14">
        <f>37.3215 * CHOOSE(CONTROL!$C$9, $D$9, 100%, $F$9) + CHOOSE(CONTROL!$C$27, 0.0021, 0)</f>
        <v>37.323599999999999</v>
      </c>
      <c r="J290" s="14">
        <f>37.3215 * CHOOSE(CONTROL!$C$9, $D$9, 100%, $F$9) + CHOOSE(CONTROL!$C$27, 0.0021, 0)</f>
        <v>37.323599999999999</v>
      </c>
      <c r="K290" s="14">
        <f>37.3215 * CHOOSE(CONTROL!$C$9, $D$9, 100%, $F$9) + CHOOSE(CONTROL!$C$27, 0.0021, 0)</f>
        <v>37.323599999999999</v>
      </c>
      <c r="L290" s="14"/>
    </row>
    <row r="291" spans="1:12" ht="15" x14ac:dyDescent="0.2">
      <c r="A291" s="34">
        <v>49766</v>
      </c>
      <c r="B291" s="14">
        <f>37.2388 * CHOOSE(CONTROL!$C$9, $D$9, 100%, $F$9) + CHOOSE(CONTROL!$C$27, 0.0021, 0)</f>
        <v>37.240899999999996</v>
      </c>
      <c r="C291" s="14">
        <f>36.8065 * CHOOSE(CONTROL!$C$9, $D$9, 100%, $F$9) + CHOOSE(CONTROL!$C$27, 0.0021, 0)</f>
        <v>36.808599999999998</v>
      </c>
      <c r="D291" s="14">
        <f>36.8065 * CHOOSE(CONTROL!$C$9, $D$9, 100%, $F$9) + CHOOSE(CONTROL!$C$27, 0.0021, 0)</f>
        <v>36.808599999999998</v>
      </c>
      <c r="E291" s="14">
        <f>36.6699 * CHOOSE(CONTROL!$C$9, $D$9, 100%, $F$9) + CHOOSE(CONTROL!$C$27, 0.0021, 0)</f>
        <v>36.671999999999997</v>
      </c>
      <c r="F291" s="14">
        <f>36.6699 * CHOOSE(CONTROL!$C$9, $D$9, 100%, $F$9) + CHOOSE(CONTROL!$C$27, 0.0021, 0)</f>
        <v>36.671999999999997</v>
      </c>
      <c r="G291" s="14">
        <f>36.9413 * CHOOSE(CONTROL!$C$9, $D$9, 100%, $F$9) + CHOOSE(CONTROL!$C$27, 0.0021, 0)</f>
        <v>36.943399999999997</v>
      </c>
      <c r="H291" s="14">
        <f>36.8065 * CHOOSE(CONTROL!$C$9, $D$9, 100%, $F$9) + CHOOSE(CONTROL!$C$27, 0.0021, 0)</f>
        <v>36.808599999999998</v>
      </c>
      <c r="I291" s="14">
        <f>36.8065 * CHOOSE(CONTROL!$C$9, $D$9, 100%, $F$9) + CHOOSE(CONTROL!$C$27, 0.0021, 0)</f>
        <v>36.808599999999998</v>
      </c>
      <c r="J291" s="14">
        <f>36.8065 * CHOOSE(CONTROL!$C$9, $D$9, 100%, $F$9) + CHOOSE(CONTROL!$C$27, 0.0021, 0)</f>
        <v>36.808599999999998</v>
      </c>
      <c r="K291" s="14">
        <f>36.8065 * CHOOSE(CONTROL!$C$9, $D$9, 100%, $F$9) + CHOOSE(CONTROL!$C$27, 0.0021, 0)</f>
        <v>36.808599999999998</v>
      </c>
      <c r="L291" s="14"/>
    </row>
    <row r="292" spans="1:12" ht="15" x14ac:dyDescent="0.2">
      <c r="A292" s="34">
        <v>49796</v>
      </c>
      <c r="B292" s="14">
        <f>37.9727 * CHOOSE(CONTROL!$C$9, $D$9, 100%, $F$9) + CHOOSE(CONTROL!$C$27, 0.0021, 0)</f>
        <v>37.974800000000002</v>
      </c>
      <c r="C292" s="14">
        <f>37.5404 * CHOOSE(CONTROL!$C$9, $D$9, 100%, $F$9) + CHOOSE(CONTROL!$C$27, 0.0021, 0)</f>
        <v>37.542499999999997</v>
      </c>
      <c r="D292" s="14">
        <f>37.5404 * CHOOSE(CONTROL!$C$9, $D$9, 100%, $F$9) + CHOOSE(CONTROL!$C$27, 0.0021, 0)</f>
        <v>37.542499999999997</v>
      </c>
      <c r="E292" s="14">
        <f>37.4038 * CHOOSE(CONTROL!$C$9, $D$9, 100%, $F$9) + CHOOSE(CONTROL!$C$27, 0.0021, 0)</f>
        <v>37.405899999999995</v>
      </c>
      <c r="F292" s="14">
        <f>37.4038 * CHOOSE(CONTROL!$C$9, $D$9, 100%, $F$9) + CHOOSE(CONTROL!$C$27, 0.0021, 0)</f>
        <v>37.405899999999995</v>
      </c>
      <c r="G292" s="14">
        <f>37.6752 * CHOOSE(CONTROL!$C$9, $D$9, 100%, $F$9) + CHOOSE(CONTROL!$C$27, 0.0021, 0)</f>
        <v>37.677299999999995</v>
      </c>
      <c r="H292" s="14">
        <f>37.5404 * CHOOSE(CONTROL!$C$9, $D$9, 100%, $F$9) + CHOOSE(CONTROL!$C$27, 0.0021, 0)</f>
        <v>37.542499999999997</v>
      </c>
      <c r="I292" s="14">
        <f>37.5404 * CHOOSE(CONTROL!$C$9, $D$9, 100%, $F$9) + CHOOSE(CONTROL!$C$27, 0.0021, 0)</f>
        <v>37.542499999999997</v>
      </c>
      <c r="J292" s="14">
        <f>37.5404 * CHOOSE(CONTROL!$C$9, $D$9, 100%, $F$9) + CHOOSE(CONTROL!$C$27, 0.0021, 0)</f>
        <v>37.542499999999997</v>
      </c>
      <c r="K292" s="14">
        <f>37.5404 * CHOOSE(CONTROL!$C$9, $D$9, 100%, $F$9) + CHOOSE(CONTROL!$C$27, 0.0021, 0)</f>
        <v>37.542499999999997</v>
      </c>
      <c r="L292" s="14"/>
    </row>
    <row r="293" spans="1:12" ht="15" x14ac:dyDescent="0.2">
      <c r="A293" s="34">
        <v>49827</v>
      </c>
      <c r="B293" s="14">
        <f>38.4123 * CHOOSE(CONTROL!$C$9, $D$9, 100%, $F$9) + CHOOSE(CONTROL!$C$27, 0.0021, 0)</f>
        <v>38.414400000000001</v>
      </c>
      <c r="C293" s="14">
        <f>37.98 * CHOOSE(CONTROL!$C$9, $D$9, 100%, $F$9) + CHOOSE(CONTROL!$C$27, 0.0021, 0)</f>
        <v>37.982099999999996</v>
      </c>
      <c r="D293" s="14">
        <f>37.98 * CHOOSE(CONTROL!$C$9, $D$9, 100%, $F$9) + CHOOSE(CONTROL!$C$27, 0.0021, 0)</f>
        <v>37.982099999999996</v>
      </c>
      <c r="E293" s="14">
        <f>37.8434 * CHOOSE(CONTROL!$C$9, $D$9, 100%, $F$9) + CHOOSE(CONTROL!$C$27, 0.0021, 0)</f>
        <v>37.845500000000001</v>
      </c>
      <c r="F293" s="14">
        <f>37.8434 * CHOOSE(CONTROL!$C$9, $D$9, 100%, $F$9) + CHOOSE(CONTROL!$C$27, 0.0021, 0)</f>
        <v>37.845500000000001</v>
      </c>
      <c r="G293" s="14">
        <f>38.1147 * CHOOSE(CONTROL!$C$9, $D$9, 100%, $F$9) + CHOOSE(CONTROL!$C$27, 0.0021, 0)</f>
        <v>38.116799999999998</v>
      </c>
      <c r="H293" s="14">
        <f>37.98 * CHOOSE(CONTROL!$C$9, $D$9, 100%, $F$9) + CHOOSE(CONTROL!$C$27, 0.0021, 0)</f>
        <v>37.982099999999996</v>
      </c>
      <c r="I293" s="14">
        <f>37.98 * CHOOSE(CONTROL!$C$9, $D$9, 100%, $F$9) + CHOOSE(CONTROL!$C$27, 0.0021, 0)</f>
        <v>37.982099999999996</v>
      </c>
      <c r="J293" s="14">
        <f>37.98 * CHOOSE(CONTROL!$C$9, $D$9, 100%, $F$9) + CHOOSE(CONTROL!$C$27, 0.0021, 0)</f>
        <v>37.982099999999996</v>
      </c>
      <c r="K293" s="14">
        <f>37.98 * CHOOSE(CONTROL!$C$9, $D$9, 100%, $F$9) + CHOOSE(CONTROL!$C$27, 0.0021, 0)</f>
        <v>37.982099999999996</v>
      </c>
      <c r="L293" s="14"/>
    </row>
    <row r="294" spans="1:12" ht="15" x14ac:dyDescent="0.2">
      <c r="A294" s="34">
        <v>49857</v>
      </c>
      <c r="B294" s="14">
        <f>39.1374 * CHOOSE(CONTROL!$C$9, $D$9, 100%, $F$9) + CHOOSE(CONTROL!$C$27, 0.0021, 0)</f>
        <v>39.139499999999998</v>
      </c>
      <c r="C294" s="14">
        <f>38.7051 * CHOOSE(CONTROL!$C$9, $D$9, 100%, $F$9) + CHOOSE(CONTROL!$C$27, 0.0021, 0)</f>
        <v>38.7072</v>
      </c>
      <c r="D294" s="14">
        <f>38.7051 * CHOOSE(CONTROL!$C$9, $D$9, 100%, $F$9) + CHOOSE(CONTROL!$C$27, 0.0021, 0)</f>
        <v>38.7072</v>
      </c>
      <c r="E294" s="14">
        <f>38.5685 * CHOOSE(CONTROL!$C$9, $D$9, 100%, $F$9) + CHOOSE(CONTROL!$C$27, 0.0021, 0)</f>
        <v>38.570599999999999</v>
      </c>
      <c r="F294" s="14">
        <f>38.5685 * CHOOSE(CONTROL!$C$9, $D$9, 100%, $F$9) + CHOOSE(CONTROL!$C$27, 0.0021, 0)</f>
        <v>38.570599999999999</v>
      </c>
      <c r="G294" s="14">
        <f>38.8399 * CHOOSE(CONTROL!$C$9, $D$9, 100%, $F$9) + CHOOSE(CONTROL!$C$27, 0.0021, 0)</f>
        <v>38.841999999999999</v>
      </c>
      <c r="H294" s="14">
        <f>38.7051 * CHOOSE(CONTROL!$C$9, $D$9, 100%, $F$9) + CHOOSE(CONTROL!$C$27, 0.0021, 0)</f>
        <v>38.7072</v>
      </c>
      <c r="I294" s="14">
        <f>38.7051 * CHOOSE(CONTROL!$C$9, $D$9, 100%, $F$9) + CHOOSE(CONTROL!$C$27, 0.0021, 0)</f>
        <v>38.7072</v>
      </c>
      <c r="J294" s="14">
        <f>38.7051 * CHOOSE(CONTROL!$C$9, $D$9, 100%, $F$9) + CHOOSE(CONTROL!$C$27, 0.0021, 0)</f>
        <v>38.7072</v>
      </c>
      <c r="K294" s="14">
        <f>38.7051 * CHOOSE(CONTROL!$C$9, $D$9, 100%, $F$9) + CHOOSE(CONTROL!$C$27, 0.0021, 0)</f>
        <v>38.7072</v>
      </c>
      <c r="L294" s="14"/>
    </row>
    <row r="295" spans="1:12" ht="15" x14ac:dyDescent="0.2">
      <c r="A295" s="34">
        <v>49888</v>
      </c>
      <c r="B295" s="14">
        <f>39.3587 * CHOOSE(CONTROL!$C$9, $D$9, 100%, $F$9) + CHOOSE(CONTROL!$C$27, 0.0021, 0)</f>
        <v>39.360799999999998</v>
      </c>
      <c r="C295" s="14">
        <f>38.9265 * CHOOSE(CONTROL!$C$9, $D$9, 100%, $F$9) + CHOOSE(CONTROL!$C$27, 0.0021, 0)</f>
        <v>38.928599999999996</v>
      </c>
      <c r="D295" s="14">
        <f>38.9265 * CHOOSE(CONTROL!$C$9, $D$9, 100%, $F$9) + CHOOSE(CONTROL!$C$27, 0.0021, 0)</f>
        <v>38.928599999999996</v>
      </c>
      <c r="E295" s="14">
        <f>38.7898 * CHOOSE(CONTROL!$C$9, $D$9, 100%, $F$9) + CHOOSE(CONTROL!$C$27, 0.0021, 0)</f>
        <v>38.791899999999998</v>
      </c>
      <c r="F295" s="14">
        <f>38.7898 * CHOOSE(CONTROL!$C$9, $D$9, 100%, $F$9) + CHOOSE(CONTROL!$C$27, 0.0021, 0)</f>
        <v>38.791899999999998</v>
      </c>
      <c r="G295" s="14">
        <f>39.0612 * CHOOSE(CONTROL!$C$9, $D$9, 100%, $F$9) + CHOOSE(CONTROL!$C$27, 0.0021, 0)</f>
        <v>39.063299999999998</v>
      </c>
      <c r="H295" s="14">
        <f>38.9265 * CHOOSE(CONTROL!$C$9, $D$9, 100%, $F$9) + CHOOSE(CONTROL!$C$27, 0.0021, 0)</f>
        <v>38.928599999999996</v>
      </c>
      <c r="I295" s="14">
        <f>38.9265 * CHOOSE(CONTROL!$C$9, $D$9, 100%, $F$9) + CHOOSE(CONTROL!$C$27, 0.0021, 0)</f>
        <v>38.928599999999996</v>
      </c>
      <c r="J295" s="14">
        <f>38.9265 * CHOOSE(CONTROL!$C$9, $D$9, 100%, $F$9) + CHOOSE(CONTROL!$C$27, 0.0021, 0)</f>
        <v>38.928599999999996</v>
      </c>
      <c r="K295" s="14">
        <f>38.9265 * CHOOSE(CONTROL!$C$9, $D$9, 100%, $F$9) + CHOOSE(CONTROL!$C$27, 0.0021, 0)</f>
        <v>38.928599999999996</v>
      </c>
      <c r="L295" s="14"/>
    </row>
    <row r="296" spans="1:12" ht="15" x14ac:dyDescent="0.2">
      <c r="A296" s="34">
        <v>49919</v>
      </c>
      <c r="B296" s="14">
        <f>40.1125 * CHOOSE(CONTROL!$C$9, $D$9, 100%, $F$9) + CHOOSE(CONTROL!$C$27, 0.0021, 0)</f>
        <v>40.114599999999996</v>
      </c>
      <c r="C296" s="14">
        <f>39.6802 * CHOOSE(CONTROL!$C$9, $D$9, 100%, $F$9) + CHOOSE(CONTROL!$C$27, 0.0021, 0)</f>
        <v>39.682299999999998</v>
      </c>
      <c r="D296" s="14">
        <f>39.6802 * CHOOSE(CONTROL!$C$9, $D$9, 100%, $F$9) + CHOOSE(CONTROL!$C$27, 0.0021, 0)</f>
        <v>39.682299999999998</v>
      </c>
      <c r="E296" s="14">
        <f>39.5436 * CHOOSE(CONTROL!$C$9, $D$9, 100%, $F$9) + CHOOSE(CONTROL!$C$27, 0.0021, 0)</f>
        <v>39.545699999999997</v>
      </c>
      <c r="F296" s="14">
        <f>39.5436 * CHOOSE(CONTROL!$C$9, $D$9, 100%, $F$9) + CHOOSE(CONTROL!$C$27, 0.0021, 0)</f>
        <v>39.545699999999997</v>
      </c>
      <c r="G296" s="14">
        <f>39.8149 * CHOOSE(CONTROL!$C$9, $D$9, 100%, $F$9) + CHOOSE(CONTROL!$C$27, 0.0021, 0)</f>
        <v>39.817</v>
      </c>
      <c r="H296" s="14">
        <f>39.6802 * CHOOSE(CONTROL!$C$9, $D$9, 100%, $F$9) + CHOOSE(CONTROL!$C$27, 0.0021, 0)</f>
        <v>39.682299999999998</v>
      </c>
      <c r="I296" s="14">
        <f>39.6802 * CHOOSE(CONTROL!$C$9, $D$9, 100%, $F$9) + CHOOSE(CONTROL!$C$27, 0.0021, 0)</f>
        <v>39.682299999999998</v>
      </c>
      <c r="J296" s="14">
        <f>39.6802 * CHOOSE(CONTROL!$C$9, $D$9, 100%, $F$9) + CHOOSE(CONTROL!$C$27, 0.0021, 0)</f>
        <v>39.682299999999998</v>
      </c>
      <c r="K296" s="14">
        <f>39.6802 * CHOOSE(CONTROL!$C$9, $D$9, 100%, $F$9) + CHOOSE(CONTROL!$C$27, 0.0021, 0)</f>
        <v>39.682299999999998</v>
      </c>
      <c r="L296" s="14"/>
    </row>
    <row r="297" spans="1:12" ht="15" x14ac:dyDescent="0.2">
      <c r="A297" s="34">
        <v>49949</v>
      </c>
      <c r="B297" s="14">
        <f>41.0666 * CHOOSE(CONTROL!$C$9, $D$9, 100%, $F$9) + CHOOSE(CONTROL!$C$27, 0.0021, 0)</f>
        <v>41.0687</v>
      </c>
      <c r="C297" s="14">
        <f>40.6343 * CHOOSE(CONTROL!$C$9, $D$9, 100%, $F$9) + CHOOSE(CONTROL!$C$27, 0.0021, 0)</f>
        <v>40.636400000000002</v>
      </c>
      <c r="D297" s="14">
        <f>40.6343 * CHOOSE(CONTROL!$C$9, $D$9, 100%, $F$9) + CHOOSE(CONTROL!$C$27, 0.0021, 0)</f>
        <v>40.636400000000002</v>
      </c>
      <c r="E297" s="14">
        <f>40.4977 * CHOOSE(CONTROL!$C$9, $D$9, 100%, $F$9) + CHOOSE(CONTROL!$C$27, 0.0021, 0)</f>
        <v>40.4998</v>
      </c>
      <c r="F297" s="14">
        <f>40.4977 * CHOOSE(CONTROL!$C$9, $D$9, 100%, $F$9) + CHOOSE(CONTROL!$C$27, 0.0021, 0)</f>
        <v>40.4998</v>
      </c>
      <c r="G297" s="14">
        <f>40.769 * CHOOSE(CONTROL!$C$9, $D$9, 100%, $F$9) + CHOOSE(CONTROL!$C$27, 0.0021, 0)</f>
        <v>40.771099999999997</v>
      </c>
      <c r="H297" s="14">
        <f>40.6343 * CHOOSE(CONTROL!$C$9, $D$9, 100%, $F$9) + CHOOSE(CONTROL!$C$27, 0.0021, 0)</f>
        <v>40.636400000000002</v>
      </c>
      <c r="I297" s="14">
        <f>40.6343 * CHOOSE(CONTROL!$C$9, $D$9, 100%, $F$9) + CHOOSE(CONTROL!$C$27, 0.0021, 0)</f>
        <v>40.636400000000002</v>
      </c>
      <c r="J297" s="14">
        <f>40.6343 * CHOOSE(CONTROL!$C$9, $D$9, 100%, $F$9) + CHOOSE(CONTROL!$C$27, 0.0021, 0)</f>
        <v>40.636400000000002</v>
      </c>
      <c r="K297" s="14">
        <f>40.6343 * CHOOSE(CONTROL!$C$9, $D$9, 100%, $F$9) + CHOOSE(CONTROL!$C$27, 0.0021, 0)</f>
        <v>40.636400000000002</v>
      </c>
      <c r="L297" s="14"/>
    </row>
    <row r="298" spans="1:12" ht="15" x14ac:dyDescent="0.2">
      <c r="A298" s="34">
        <v>49980</v>
      </c>
      <c r="B298" s="14">
        <f>41.1561 * CHOOSE(CONTROL!$C$9, $D$9, 100%, $F$9) + CHOOSE(CONTROL!$C$27, 0.0021, 0)</f>
        <v>41.158200000000001</v>
      </c>
      <c r="C298" s="14">
        <f>40.7239 * CHOOSE(CONTROL!$C$9, $D$9, 100%, $F$9) + CHOOSE(CONTROL!$C$27, 0.0021, 0)</f>
        <v>40.725999999999999</v>
      </c>
      <c r="D298" s="14">
        <f>40.7239 * CHOOSE(CONTROL!$C$9, $D$9, 100%, $F$9) + CHOOSE(CONTROL!$C$27, 0.0021, 0)</f>
        <v>40.725999999999999</v>
      </c>
      <c r="E298" s="14">
        <f>40.5872 * CHOOSE(CONTROL!$C$9, $D$9, 100%, $F$9) + CHOOSE(CONTROL!$C$27, 0.0021, 0)</f>
        <v>40.589300000000001</v>
      </c>
      <c r="F298" s="14">
        <f>40.5872 * CHOOSE(CONTROL!$C$9, $D$9, 100%, $F$9) + CHOOSE(CONTROL!$C$27, 0.0021, 0)</f>
        <v>40.589300000000001</v>
      </c>
      <c r="G298" s="14">
        <f>40.8586 * CHOOSE(CONTROL!$C$9, $D$9, 100%, $F$9) + CHOOSE(CONTROL!$C$27, 0.0021, 0)</f>
        <v>40.860700000000001</v>
      </c>
      <c r="H298" s="14">
        <f>40.7239 * CHOOSE(CONTROL!$C$9, $D$9, 100%, $F$9) + CHOOSE(CONTROL!$C$27, 0.0021, 0)</f>
        <v>40.725999999999999</v>
      </c>
      <c r="I298" s="14">
        <f>40.7239 * CHOOSE(CONTROL!$C$9, $D$9, 100%, $F$9) + CHOOSE(CONTROL!$C$27, 0.0021, 0)</f>
        <v>40.725999999999999</v>
      </c>
      <c r="J298" s="14">
        <f>40.7239 * CHOOSE(CONTROL!$C$9, $D$9, 100%, $F$9) + CHOOSE(CONTROL!$C$27, 0.0021, 0)</f>
        <v>40.725999999999999</v>
      </c>
      <c r="K298" s="14">
        <f>40.7239 * CHOOSE(CONTROL!$C$9, $D$9, 100%, $F$9) + CHOOSE(CONTROL!$C$27, 0.0021, 0)</f>
        <v>40.725999999999999</v>
      </c>
      <c r="L298" s="14"/>
    </row>
    <row r="299" spans="1:12" ht="15" x14ac:dyDescent="0.2">
      <c r="A299" s="34">
        <v>50010</v>
      </c>
      <c r="B299" s="14">
        <f>40.3941 * CHOOSE(CONTROL!$C$9, $D$9, 100%, $F$9) + CHOOSE(CONTROL!$C$27, 0.0021, 0)</f>
        <v>40.3962</v>
      </c>
      <c r="C299" s="14">
        <f>39.9619 * CHOOSE(CONTROL!$C$9, $D$9, 100%, $F$9) + CHOOSE(CONTROL!$C$27, 0.0021, 0)</f>
        <v>39.963999999999999</v>
      </c>
      <c r="D299" s="14">
        <f>39.9619 * CHOOSE(CONTROL!$C$9, $D$9, 100%, $F$9) + CHOOSE(CONTROL!$C$27, 0.0021, 0)</f>
        <v>39.963999999999999</v>
      </c>
      <c r="E299" s="14">
        <f>39.8252 * CHOOSE(CONTROL!$C$9, $D$9, 100%, $F$9) + CHOOSE(CONTROL!$C$27, 0.0021, 0)</f>
        <v>39.827300000000001</v>
      </c>
      <c r="F299" s="14">
        <f>39.8252 * CHOOSE(CONTROL!$C$9, $D$9, 100%, $F$9) + CHOOSE(CONTROL!$C$27, 0.0021, 0)</f>
        <v>39.827300000000001</v>
      </c>
      <c r="G299" s="14">
        <f>40.0966 * CHOOSE(CONTROL!$C$9, $D$9, 100%, $F$9) + CHOOSE(CONTROL!$C$27, 0.0021, 0)</f>
        <v>40.098700000000001</v>
      </c>
      <c r="H299" s="14">
        <f>39.9619 * CHOOSE(CONTROL!$C$9, $D$9, 100%, $F$9) + CHOOSE(CONTROL!$C$27, 0.0021, 0)</f>
        <v>39.963999999999999</v>
      </c>
      <c r="I299" s="14">
        <f>39.9619 * CHOOSE(CONTROL!$C$9, $D$9, 100%, $F$9) + CHOOSE(CONTROL!$C$27, 0.0021, 0)</f>
        <v>39.963999999999999</v>
      </c>
      <c r="J299" s="14">
        <f>39.9619 * CHOOSE(CONTROL!$C$9, $D$9, 100%, $F$9) + CHOOSE(CONTROL!$C$27, 0.0021, 0)</f>
        <v>39.963999999999999</v>
      </c>
      <c r="K299" s="14">
        <f>39.9619 * CHOOSE(CONTROL!$C$9, $D$9, 100%, $F$9) + CHOOSE(CONTROL!$C$27, 0.0021, 0)</f>
        <v>39.963999999999999</v>
      </c>
      <c r="L299" s="14"/>
    </row>
    <row r="300" spans="1:12" ht="15" x14ac:dyDescent="0.2">
      <c r="A300" s="34">
        <v>50041</v>
      </c>
      <c r="B300" s="14">
        <f>39.8949 * CHOOSE(CONTROL!$C$9, $D$9, 100%, $F$9) + CHOOSE(CONTROL!$C$27, 0.0021, 0)</f>
        <v>39.896999999999998</v>
      </c>
      <c r="C300" s="14">
        <f>39.4626 * CHOOSE(CONTROL!$C$9, $D$9, 100%, $F$9) + CHOOSE(CONTROL!$C$27, 0.0021, 0)</f>
        <v>39.464700000000001</v>
      </c>
      <c r="D300" s="14">
        <f>39.4626 * CHOOSE(CONTROL!$C$9, $D$9, 100%, $F$9) + CHOOSE(CONTROL!$C$27, 0.0021, 0)</f>
        <v>39.464700000000001</v>
      </c>
      <c r="E300" s="14">
        <f>39.326 * CHOOSE(CONTROL!$C$9, $D$9, 100%, $F$9) + CHOOSE(CONTROL!$C$27, 0.0021, 0)</f>
        <v>39.328099999999999</v>
      </c>
      <c r="F300" s="14">
        <f>39.326 * CHOOSE(CONTROL!$C$9, $D$9, 100%, $F$9) + CHOOSE(CONTROL!$C$27, 0.0021, 0)</f>
        <v>39.328099999999999</v>
      </c>
      <c r="G300" s="14">
        <f>39.5974 * CHOOSE(CONTROL!$C$9, $D$9, 100%, $F$9) + CHOOSE(CONTROL!$C$27, 0.0021, 0)</f>
        <v>39.599499999999999</v>
      </c>
      <c r="H300" s="14">
        <f>39.4626 * CHOOSE(CONTROL!$C$9, $D$9, 100%, $F$9) + CHOOSE(CONTROL!$C$27, 0.0021, 0)</f>
        <v>39.464700000000001</v>
      </c>
      <c r="I300" s="14">
        <f>39.4626 * CHOOSE(CONTROL!$C$9, $D$9, 100%, $F$9) + CHOOSE(CONTROL!$C$27, 0.0021, 0)</f>
        <v>39.464700000000001</v>
      </c>
      <c r="J300" s="14">
        <f>39.4626 * CHOOSE(CONTROL!$C$9, $D$9, 100%, $F$9) + CHOOSE(CONTROL!$C$27, 0.0021, 0)</f>
        <v>39.464700000000001</v>
      </c>
      <c r="K300" s="14">
        <f>39.4626 * CHOOSE(CONTROL!$C$9, $D$9, 100%, $F$9) + CHOOSE(CONTROL!$C$27, 0.0021, 0)</f>
        <v>39.464700000000001</v>
      </c>
      <c r="L300" s="14"/>
    </row>
    <row r="301" spans="1:12" ht="15" x14ac:dyDescent="0.2">
      <c r="A301" s="34">
        <v>50072</v>
      </c>
      <c r="B301" s="14">
        <f>38.8313 * CHOOSE(CONTROL!$C$9, $D$9, 100%, $F$9) + CHOOSE(CONTROL!$C$27, 0.0021, 0)</f>
        <v>38.833399999999997</v>
      </c>
      <c r="C301" s="14">
        <f>38.399 * CHOOSE(CONTROL!$C$9, $D$9, 100%, $F$9) + CHOOSE(CONTROL!$C$27, 0.0021, 0)</f>
        <v>38.4011</v>
      </c>
      <c r="D301" s="14">
        <f>38.399 * CHOOSE(CONTROL!$C$9, $D$9, 100%, $F$9) + CHOOSE(CONTROL!$C$27, 0.0021, 0)</f>
        <v>38.4011</v>
      </c>
      <c r="E301" s="14">
        <f>38.2624 * CHOOSE(CONTROL!$C$9, $D$9, 100%, $F$9) + CHOOSE(CONTROL!$C$27, 0.0021, 0)</f>
        <v>38.264499999999998</v>
      </c>
      <c r="F301" s="14">
        <f>38.2624 * CHOOSE(CONTROL!$C$9, $D$9, 100%, $F$9) + CHOOSE(CONTROL!$C$27, 0.0021, 0)</f>
        <v>38.264499999999998</v>
      </c>
      <c r="G301" s="14">
        <f>38.5338 * CHOOSE(CONTROL!$C$9, $D$9, 100%, $F$9) + CHOOSE(CONTROL!$C$27, 0.0021, 0)</f>
        <v>38.535899999999998</v>
      </c>
      <c r="H301" s="14">
        <f>38.399 * CHOOSE(CONTROL!$C$9, $D$9, 100%, $F$9) + CHOOSE(CONTROL!$C$27, 0.0021, 0)</f>
        <v>38.4011</v>
      </c>
      <c r="I301" s="14">
        <f>38.399 * CHOOSE(CONTROL!$C$9, $D$9, 100%, $F$9) + CHOOSE(CONTROL!$C$27, 0.0021, 0)</f>
        <v>38.4011</v>
      </c>
      <c r="J301" s="14">
        <f>38.399 * CHOOSE(CONTROL!$C$9, $D$9, 100%, $F$9) + CHOOSE(CONTROL!$C$27, 0.0021, 0)</f>
        <v>38.4011</v>
      </c>
      <c r="K301" s="14">
        <f>38.399 * CHOOSE(CONTROL!$C$9, $D$9, 100%, $F$9) + CHOOSE(CONTROL!$C$27, 0.0021, 0)</f>
        <v>38.4011</v>
      </c>
      <c r="L301" s="14"/>
    </row>
    <row r="302" spans="1:12" ht="15" x14ac:dyDescent="0.2">
      <c r="A302" s="34">
        <v>50100</v>
      </c>
      <c r="B302" s="14">
        <f>38.3922 * CHOOSE(CONTROL!$C$9, $D$9, 100%, $F$9) + CHOOSE(CONTROL!$C$27, 0.0021, 0)</f>
        <v>38.394300000000001</v>
      </c>
      <c r="C302" s="14">
        <f>37.96 * CHOOSE(CONTROL!$C$9, $D$9, 100%, $F$9) + CHOOSE(CONTROL!$C$27, 0.0021, 0)</f>
        <v>37.9621</v>
      </c>
      <c r="D302" s="14">
        <f>37.96 * CHOOSE(CONTROL!$C$9, $D$9, 100%, $F$9) + CHOOSE(CONTROL!$C$27, 0.0021, 0)</f>
        <v>37.9621</v>
      </c>
      <c r="E302" s="14">
        <f>37.8233 * CHOOSE(CONTROL!$C$9, $D$9, 100%, $F$9) + CHOOSE(CONTROL!$C$27, 0.0021, 0)</f>
        <v>37.825400000000002</v>
      </c>
      <c r="F302" s="14">
        <f>37.8233 * CHOOSE(CONTROL!$C$9, $D$9, 100%, $F$9) + CHOOSE(CONTROL!$C$27, 0.0021, 0)</f>
        <v>37.825400000000002</v>
      </c>
      <c r="G302" s="14">
        <f>38.0947 * CHOOSE(CONTROL!$C$9, $D$9, 100%, $F$9) + CHOOSE(CONTROL!$C$27, 0.0021, 0)</f>
        <v>38.096800000000002</v>
      </c>
      <c r="H302" s="14">
        <f>37.96 * CHOOSE(CONTROL!$C$9, $D$9, 100%, $F$9) + CHOOSE(CONTROL!$C$27, 0.0021, 0)</f>
        <v>37.9621</v>
      </c>
      <c r="I302" s="14">
        <f>37.96 * CHOOSE(CONTROL!$C$9, $D$9, 100%, $F$9) + CHOOSE(CONTROL!$C$27, 0.0021, 0)</f>
        <v>37.9621</v>
      </c>
      <c r="J302" s="14">
        <f>37.96 * CHOOSE(CONTROL!$C$9, $D$9, 100%, $F$9) + CHOOSE(CONTROL!$C$27, 0.0021, 0)</f>
        <v>37.9621</v>
      </c>
      <c r="K302" s="14">
        <f>37.96 * CHOOSE(CONTROL!$C$9, $D$9, 100%, $F$9) + CHOOSE(CONTROL!$C$27, 0.0021, 0)</f>
        <v>37.9621</v>
      </c>
      <c r="L302" s="14"/>
    </row>
    <row r="303" spans="1:12" ht="15" x14ac:dyDescent="0.2">
      <c r="A303" s="34">
        <v>50131</v>
      </c>
      <c r="B303" s="14">
        <f>37.868 * CHOOSE(CONTROL!$C$9, $D$9, 100%, $F$9) + CHOOSE(CONTROL!$C$27, 0.0021, 0)</f>
        <v>37.870100000000001</v>
      </c>
      <c r="C303" s="14">
        <f>37.4358 * CHOOSE(CONTROL!$C$9, $D$9, 100%, $F$9) + CHOOSE(CONTROL!$C$27, 0.0021, 0)</f>
        <v>37.437899999999999</v>
      </c>
      <c r="D303" s="14">
        <f>37.4358 * CHOOSE(CONTROL!$C$9, $D$9, 100%, $F$9) + CHOOSE(CONTROL!$C$27, 0.0021, 0)</f>
        <v>37.437899999999999</v>
      </c>
      <c r="E303" s="14">
        <f>37.2991 * CHOOSE(CONTROL!$C$9, $D$9, 100%, $F$9) + CHOOSE(CONTROL!$C$27, 0.0021, 0)</f>
        <v>37.301200000000001</v>
      </c>
      <c r="F303" s="14">
        <f>37.2991 * CHOOSE(CONTROL!$C$9, $D$9, 100%, $F$9) + CHOOSE(CONTROL!$C$27, 0.0021, 0)</f>
        <v>37.301200000000001</v>
      </c>
      <c r="G303" s="14">
        <f>37.5705 * CHOOSE(CONTROL!$C$9, $D$9, 100%, $F$9) + CHOOSE(CONTROL!$C$27, 0.0021, 0)</f>
        <v>37.572600000000001</v>
      </c>
      <c r="H303" s="14">
        <f>37.4358 * CHOOSE(CONTROL!$C$9, $D$9, 100%, $F$9) + CHOOSE(CONTROL!$C$27, 0.0021, 0)</f>
        <v>37.437899999999999</v>
      </c>
      <c r="I303" s="14">
        <f>37.4358 * CHOOSE(CONTROL!$C$9, $D$9, 100%, $F$9) + CHOOSE(CONTROL!$C$27, 0.0021, 0)</f>
        <v>37.437899999999999</v>
      </c>
      <c r="J303" s="14">
        <f>37.4358 * CHOOSE(CONTROL!$C$9, $D$9, 100%, $F$9) + CHOOSE(CONTROL!$C$27, 0.0021, 0)</f>
        <v>37.437899999999999</v>
      </c>
      <c r="K303" s="14">
        <f>37.4358 * CHOOSE(CONTROL!$C$9, $D$9, 100%, $F$9) + CHOOSE(CONTROL!$C$27, 0.0021, 0)</f>
        <v>37.437899999999999</v>
      </c>
      <c r="L303" s="14"/>
    </row>
    <row r="304" spans="1:12" ht="15" x14ac:dyDescent="0.2">
      <c r="A304" s="34">
        <v>50161</v>
      </c>
      <c r="B304" s="14">
        <f>38.6151 * CHOOSE(CONTROL!$C$9, $D$9, 100%, $F$9) + CHOOSE(CONTROL!$C$27, 0.0021, 0)</f>
        <v>38.617199999999997</v>
      </c>
      <c r="C304" s="14">
        <f>38.1829 * CHOOSE(CONTROL!$C$9, $D$9, 100%, $F$9) + CHOOSE(CONTROL!$C$27, 0.0021, 0)</f>
        <v>38.184999999999995</v>
      </c>
      <c r="D304" s="14">
        <f>38.1829 * CHOOSE(CONTROL!$C$9, $D$9, 100%, $F$9) + CHOOSE(CONTROL!$C$27, 0.0021, 0)</f>
        <v>38.184999999999995</v>
      </c>
      <c r="E304" s="14">
        <f>38.0462 * CHOOSE(CONTROL!$C$9, $D$9, 100%, $F$9) + CHOOSE(CONTROL!$C$27, 0.0021, 0)</f>
        <v>38.048299999999998</v>
      </c>
      <c r="F304" s="14">
        <f>38.0462 * CHOOSE(CONTROL!$C$9, $D$9, 100%, $F$9) + CHOOSE(CONTROL!$C$27, 0.0021, 0)</f>
        <v>38.048299999999998</v>
      </c>
      <c r="G304" s="14">
        <f>38.3176 * CHOOSE(CONTROL!$C$9, $D$9, 100%, $F$9) + CHOOSE(CONTROL!$C$27, 0.0021, 0)</f>
        <v>38.319699999999997</v>
      </c>
      <c r="H304" s="14">
        <f>38.1829 * CHOOSE(CONTROL!$C$9, $D$9, 100%, $F$9) + CHOOSE(CONTROL!$C$27, 0.0021, 0)</f>
        <v>38.184999999999995</v>
      </c>
      <c r="I304" s="14">
        <f>38.1829 * CHOOSE(CONTROL!$C$9, $D$9, 100%, $F$9) + CHOOSE(CONTROL!$C$27, 0.0021, 0)</f>
        <v>38.184999999999995</v>
      </c>
      <c r="J304" s="14">
        <f>38.1829 * CHOOSE(CONTROL!$C$9, $D$9, 100%, $F$9) + CHOOSE(CONTROL!$C$27, 0.0021, 0)</f>
        <v>38.184999999999995</v>
      </c>
      <c r="K304" s="14">
        <f>38.1829 * CHOOSE(CONTROL!$C$9, $D$9, 100%, $F$9) + CHOOSE(CONTROL!$C$27, 0.0021, 0)</f>
        <v>38.184999999999995</v>
      </c>
      <c r="L304" s="14"/>
    </row>
    <row r="305" spans="1:12" ht="15" x14ac:dyDescent="0.2">
      <c r="A305" s="34">
        <v>50192</v>
      </c>
      <c r="B305" s="14">
        <f>39.0626 * CHOOSE(CONTROL!$C$9, $D$9, 100%, $F$9) + CHOOSE(CONTROL!$C$27, 0.0021, 0)</f>
        <v>39.064700000000002</v>
      </c>
      <c r="C305" s="14">
        <f>38.6303 * CHOOSE(CONTROL!$C$9, $D$9, 100%, $F$9) + CHOOSE(CONTROL!$C$27, 0.0021, 0)</f>
        <v>38.632399999999997</v>
      </c>
      <c r="D305" s="14">
        <f>38.6303 * CHOOSE(CONTROL!$C$9, $D$9, 100%, $F$9) + CHOOSE(CONTROL!$C$27, 0.0021, 0)</f>
        <v>38.632399999999997</v>
      </c>
      <c r="E305" s="14">
        <f>38.4937 * CHOOSE(CONTROL!$C$9, $D$9, 100%, $F$9) + CHOOSE(CONTROL!$C$27, 0.0021, 0)</f>
        <v>38.495799999999996</v>
      </c>
      <c r="F305" s="14">
        <f>38.4937 * CHOOSE(CONTROL!$C$9, $D$9, 100%, $F$9) + CHOOSE(CONTROL!$C$27, 0.0021, 0)</f>
        <v>38.495799999999996</v>
      </c>
      <c r="G305" s="14">
        <f>38.7651 * CHOOSE(CONTROL!$C$9, $D$9, 100%, $F$9) + CHOOSE(CONTROL!$C$27, 0.0021, 0)</f>
        <v>38.767199999999995</v>
      </c>
      <c r="H305" s="14">
        <f>38.6303 * CHOOSE(CONTROL!$C$9, $D$9, 100%, $F$9) + CHOOSE(CONTROL!$C$27, 0.0021, 0)</f>
        <v>38.632399999999997</v>
      </c>
      <c r="I305" s="14">
        <f>38.6303 * CHOOSE(CONTROL!$C$9, $D$9, 100%, $F$9) + CHOOSE(CONTROL!$C$27, 0.0021, 0)</f>
        <v>38.632399999999997</v>
      </c>
      <c r="J305" s="14">
        <f>38.6303 * CHOOSE(CONTROL!$C$9, $D$9, 100%, $F$9) + CHOOSE(CONTROL!$C$27, 0.0021, 0)</f>
        <v>38.632399999999997</v>
      </c>
      <c r="K305" s="14">
        <f>38.6303 * CHOOSE(CONTROL!$C$9, $D$9, 100%, $F$9) + CHOOSE(CONTROL!$C$27, 0.0021, 0)</f>
        <v>38.632399999999997</v>
      </c>
      <c r="L305" s="14"/>
    </row>
    <row r="306" spans="1:12" ht="15" x14ac:dyDescent="0.2">
      <c r="A306" s="34">
        <v>50222</v>
      </c>
      <c r="B306" s="14">
        <f>39.8008 * CHOOSE(CONTROL!$C$9, $D$9, 100%, $F$9) + CHOOSE(CONTROL!$C$27, 0.0021, 0)</f>
        <v>39.802900000000001</v>
      </c>
      <c r="C306" s="14">
        <f>39.3685 * CHOOSE(CONTROL!$C$9, $D$9, 100%, $F$9) + CHOOSE(CONTROL!$C$27, 0.0021, 0)</f>
        <v>39.370599999999996</v>
      </c>
      <c r="D306" s="14">
        <f>39.3685 * CHOOSE(CONTROL!$C$9, $D$9, 100%, $F$9) + CHOOSE(CONTROL!$C$27, 0.0021, 0)</f>
        <v>39.370599999999996</v>
      </c>
      <c r="E306" s="14">
        <f>39.2319 * CHOOSE(CONTROL!$C$9, $D$9, 100%, $F$9) + CHOOSE(CONTROL!$C$27, 0.0021, 0)</f>
        <v>39.234000000000002</v>
      </c>
      <c r="F306" s="14">
        <f>39.2319 * CHOOSE(CONTROL!$C$9, $D$9, 100%, $F$9) + CHOOSE(CONTROL!$C$27, 0.0021, 0)</f>
        <v>39.234000000000002</v>
      </c>
      <c r="G306" s="14">
        <f>39.5032 * CHOOSE(CONTROL!$C$9, $D$9, 100%, $F$9) + CHOOSE(CONTROL!$C$27, 0.0021, 0)</f>
        <v>39.505299999999998</v>
      </c>
      <c r="H306" s="14">
        <f>39.3685 * CHOOSE(CONTROL!$C$9, $D$9, 100%, $F$9) + CHOOSE(CONTROL!$C$27, 0.0021, 0)</f>
        <v>39.370599999999996</v>
      </c>
      <c r="I306" s="14">
        <f>39.3685 * CHOOSE(CONTROL!$C$9, $D$9, 100%, $F$9) + CHOOSE(CONTROL!$C$27, 0.0021, 0)</f>
        <v>39.370599999999996</v>
      </c>
      <c r="J306" s="14">
        <f>39.3685 * CHOOSE(CONTROL!$C$9, $D$9, 100%, $F$9) + CHOOSE(CONTROL!$C$27, 0.0021, 0)</f>
        <v>39.370599999999996</v>
      </c>
      <c r="K306" s="14">
        <f>39.3685 * CHOOSE(CONTROL!$C$9, $D$9, 100%, $F$9) + CHOOSE(CONTROL!$C$27, 0.0021, 0)</f>
        <v>39.370599999999996</v>
      </c>
      <c r="L306" s="14"/>
    </row>
    <row r="307" spans="1:12" ht="15" x14ac:dyDescent="0.2">
      <c r="A307" s="34">
        <v>50253</v>
      </c>
      <c r="B307" s="14">
        <f>40.0261 * CHOOSE(CONTROL!$C$9, $D$9, 100%, $F$9) + CHOOSE(CONTROL!$C$27, 0.0021, 0)</f>
        <v>40.028199999999998</v>
      </c>
      <c r="C307" s="14">
        <f>39.5938 * CHOOSE(CONTROL!$C$9, $D$9, 100%, $F$9) + CHOOSE(CONTROL!$C$27, 0.0021, 0)</f>
        <v>39.5959</v>
      </c>
      <c r="D307" s="14">
        <f>39.5938 * CHOOSE(CONTROL!$C$9, $D$9, 100%, $F$9) + CHOOSE(CONTROL!$C$27, 0.0021, 0)</f>
        <v>39.5959</v>
      </c>
      <c r="E307" s="14">
        <f>39.4572 * CHOOSE(CONTROL!$C$9, $D$9, 100%, $F$9) + CHOOSE(CONTROL!$C$27, 0.0021, 0)</f>
        <v>39.459299999999999</v>
      </c>
      <c r="F307" s="14">
        <f>39.4572 * CHOOSE(CONTROL!$C$9, $D$9, 100%, $F$9) + CHOOSE(CONTROL!$C$27, 0.0021, 0)</f>
        <v>39.459299999999999</v>
      </c>
      <c r="G307" s="14">
        <f>39.7286 * CHOOSE(CONTROL!$C$9, $D$9, 100%, $F$9) + CHOOSE(CONTROL!$C$27, 0.0021, 0)</f>
        <v>39.730699999999999</v>
      </c>
      <c r="H307" s="14">
        <f>39.5938 * CHOOSE(CONTROL!$C$9, $D$9, 100%, $F$9) + CHOOSE(CONTROL!$C$27, 0.0021, 0)</f>
        <v>39.5959</v>
      </c>
      <c r="I307" s="14">
        <f>39.5938 * CHOOSE(CONTROL!$C$9, $D$9, 100%, $F$9) + CHOOSE(CONTROL!$C$27, 0.0021, 0)</f>
        <v>39.5959</v>
      </c>
      <c r="J307" s="14">
        <f>39.5938 * CHOOSE(CONTROL!$C$9, $D$9, 100%, $F$9) + CHOOSE(CONTROL!$C$27, 0.0021, 0)</f>
        <v>39.5959</v>
      </c>
      <c r="K307" s="14">
        <f>39.5938 * CHOOSE(CONTROL!$C$9, $D$9, 100%, $F$9) + CHOOSE(CONTROL!$C$27, 0.0021, 0)</f>
        <v>39.5959</v>
      </c>
      <c r="L307" s="14"/>
    </row>
    <row r="308" spans="1:12" ht="15" x14ac:dyDescent="0.2">
      <c r="A308" s="34">
        <v>50284</v>
      </c>
      <c r="B308" s="14">
        <f>40.7934 * CHOOSE(CONTROL!$C$9, $D$9, 100%, $F$9) + CHOOSE(CONTROL!$C$27, 0.0021, 0)</f>
        <v>40.795499999999997</v>
      </c>
      <c r="C308" s="14">
        <f>40.3612 * CHOOSE(CONTROL!$C$9, $D$9, 100%, $F$9) + CHOOSE(CONTROL!$C$27, 0.0021, 0)</f>
        <v>40.363299999999995</v>
      </c>
      <c r="D308" s="14">
        <f>40.3612 * CHOOSE(CONTROL!$C$9, $D$9, 100%, $F$9) + CHOOSE(CONTROL!$C$27, 0.0021, 0)</f>
        <v>40.363299999999995</v>
      </c>
      <c r="E308" s="14">
        <f>40.2245 * CHOOSE(CONTROL!$C$9, $D$9, 100%, $F$9) + CHOOSE(CONTROL!$C$27, 0.0021, 0)</f>
        <v>40.226599999999998</v>
      </c>
      <c r="F308" s="14">
        <f>40.2245 * CHOOSE(CONTROL!$C$9, $D$9, 100%, $F$9) + CHOOSE(CONTROL!$C$27, 0.0021, 0)</f>
        <v>40.226599999999998</v>
      </c>
      <c r="G308" s="14">
        <f>40.4959 * CHOOSE(CONTROL!$C$9, $D$9, 100%, $F$9) + CHOOSE(CONTROL!$C$27, 0.0021, 0)</f>
        <v>40.497999999999998</v>
      </c>
      <c r="H308" s="14">
        <f>40.3612 * CHOOSE(CONTROL!$C$9, $D$9, 100%, $F$9) + CHOOSE(CONTROL!$C$27, 0.0021, 0)</f>
        <v>40.363299999999995</v>
      </c>
      <c r="I308" s="14">
        <f>40.3612 * CHOOSE(CONTROL!$C$9, $D$9, 100%, $F$9) + CHOOSE(CONTROL!$C$27, 0.0021, 0)</f>
        <v>40.363299999999995</v>
      </c>
      <c r="J308" s="14">
        <f>40.3612 * CHOOSE(CONTROL!$C$9, $D$9, 100%, $F$9) + CHOOSE(CONTROL!$C$27, 0.0021, 0)</f>
        <v>40.363299999999995</v>
      </c>
      <c r="K308" s="14">
        <f>40.3612 * CHOOSE(CONTROL!$C$9, $D$9, 100%, $F$9) + CHOOSE(CONTROL!$C$27, 0.0021, 0)</f>
        <v>40.363299999999995</v>
      </c>
      <c r="L308" s="14"/>
    </row>
    <row r="309" spans="1:12" ht="15" x14ac:dyDescent="0.2">
      <c r="A309" s="34">
        <v>50314</v>
      </c>
      <c r="B309" s="14">
        <f>41.7647 * CHOOSE(CONTROL!$C$9, $D$9, 100%, $F$9) + CHOOSE(CONTROL!$C$27, 0.0021, 0)</f>
        <v>41.766799999999996</v>
      </c>
      <c r="C309" s="14">
        <f>41.3324 * CHOOSE(CONTROL!$C$9, $D$9, 100%, $F$9) + CHOOSE(CONTROL!$C$27, 0.0021, 0)</f>
        <v>41.334499999999998</v>
      </c>
      <c r="D309" s="14">
        <f>41.3324 * CHOOSE(CONTROL!$C$9, $D$9, 100%, $F$9) + CHOOSE(CONTROL!$C$27, 0.0021, 0)</f>
        <v>41.334499999999998</v>
      </c>
      <c r="E309" s="14">
        <f>41.1958 * CHOOSE(CONTROL!$C$9, $D$9, 100%, $F$9) + CHOOSE(CONTROL!$C$27, 0.0021, 0)</f>
        <v>41.197899999999997</v>
      </c>
      <c r="F309" s="14">
        <f>41.1958 * CHOOSE(CONTROL!$C$9, $D$9, 100%, $F$9) + CHOOSE(CONTROL!$C$27, 0.0021, 0)</f>
        <v>41.197899999999997</v>
      </c>
      <c r="G309" s="14">
        <f>41.4672 * CHOOSE(CONTROL!$C$9, $D$9, 100%, $F$9) + CHOOSE(CONTROL!$C$27, 0.0021, 0)</f>
        <v>41.469299999999997</v>
      </c>
      <c r="H309" s="14">
        <f>41.3324 * CHOOSE(CONTROL!$C$9, $D$9, 100%, $F$9) + CHOOSE(CONTROL!$C$27, 0.0021, 0)</f>
        <v>41.334499999999998</v>
      </c>
      <c r="I309" s="14">
        <f>41.3324 * CHOOSE(CONTROL!$C$9, $D$9, 100%, $F$9) + CHOOSE(CONTROL!$C$27, 0.0021, 0)</f>
        <v>41.334499999999998</v>
      </c>
      <c r="J309" s="14">
        <f>41.3324 * CHOOSE(CONTROL!$C$9, $D$9, 100%, $F$9) + CHOOSE(CONTROL!$C$27, 0.0021, 0)</f>
        <v>41.334499999999998</v>
      </c>
      <c r="K309" s="14">
        <f>41.3324 * CHOOSE(CONTROL!$C$9, $D$9, 100%, $F$9) + CHOOSE(CONTROL!$C$27, 0.0021, 0)</f>
        <v>41.334499999999998</v>
      </c>
      <c r="L309" s="14"/>
    </row>
    <row r="310" spans="1:12" ht="15" x14ac:dyDescent="0.2">
      <c r="A310" s="34">
        <v>50345</v>
      </c>
      <c r="B310" s="14">
        <f>41.8559 * CHOOSE(CONTROL!$C$9, $D$9, 100%, $F$9) + CHOOSE(CONTROL!$C$27, 0.0021, 0)</f>
        <v>41.857999999999997</v>
      </c>
      <c r="C310" s="14">
        <f>41.4236 * CHOOSE(CONTROL!$C$9, $D$9, 100%, $F$9) + CHOOSE(CONTROL!$C$27, 0.0021, 0)</f>
        <v>41.425699999999999</v>
      </c>
      <c r="D310" s="14">
        <f>41.4236 * CHOOSE(CONTROL!$C$9, $D$9, 100%, $F$9) + CHOOSE(CONTROL!$C$27, 0.0021, 0)</f>
        <v>41.425699999999999</v>
      </c>
      <c r="E310" s="14">
        <f>41.287 * CHOOSE(CONTROL!$C$9, $D$9, 100%, $F$9) + CHOOSE(CONTROL!$C$27, 0.0021, 0)</f>
        <v>41.289099999999998</v>
      </c>
      <c r="F310" s="14">
        <f>41.287 * CHOOSE(CONTROL!$C$9, $D$9, 100%, $F$9) + CHOOSE(CONTROL!$C$27, 0.0021, 0)</f>
        <v>41.289099999999998</v>
      </c>
      <c r="G310" s="14">
        <f>41.5583 * CHOOSE(CONTROL!$C$9, $D$9, 100%, $F$9) + CHOOSE(CONTROL!$C$27, 0.0021, 0)</f>
        <v>41.560400000000001</v>
      </c>
      <c r="H310" s="14">
        <f>41.4236 * CHOOSE(CONTROL!$C$9, $D$9, 100%, $F$9) + CHOOSE(CONTROL!$C$27, 0.0021, 0)</f>
        <v>41.425699999999999</v>
      </c>
      <c r="I310" s="14">
        <f>41.4236 * CHOOSE(CONTROL!$C$9, $D$9, 100%, $F$9) + CHOOSE(CONTROL!$C$27, 0.0021, 0)</f>
        <v>41.425699999999999</v>
      </c>
      <c r="J310" s="14">
        <f>41.4236 * CHOOSE(CONTROL!$C$9, $D$9, 100%, $F$9) + CHOOSE(CONTROL!$C$27, 0.0021, 0)</f>
        <v>41.425699999999999</v>
      </c>
      <c r="K310" s="14">
        <f>41.4236 * CHOOSE(CONTROL!$C$9, $D$9, 100%, $F$9) + CHOOSE(CONTROL!$C$27, 0.0021, 0)</f>
        <v>41.425699999999999</v>
      </c>
      <c r="L310" s="14"/>
    </row>
    <row r="311" spans="1:12" ht="15" x14ac:dyDescent="0.2">
      <c r="A311" s="34">
        <v>50375</v>
      </c>
      <c r="B311" s="14">
        <f>41.0801 * CHOOSE(CONTROL!$C$9, $D$9, 100%, $F$9) + CHOOSE(CONTROL!$C$27, 0.0021, 0)</f>
        <v>41.0822</v>
      </c>
      <c r="C311" s="14">
        <f>40.6479 * CHOOSE(CONTROL!$C$9, $D$9, 100%, $F$9) + CHOOSE(CONTROL!$C$27, 0.0021, 0)</f>
        <v>40.65</v>
      </c>
      <c r="D311" s="14">
        <f>40.6479 * CHOOSE(CONTROL!$C$9, $D$9, 100%, $F$9) + CHOOSE(CONTROL!$C$27, 0.0021, 0)</f>
        <v>40.65</v>
      </c>
      <c r="E311" s="14">
        <f>40.5112 * CHOOSE(CONTROL!$C$9, $D$9, 100%, $F$9) + CHOOSE(CONTROL!$C$27, 0.0021, 0)</f>
        <v>40.513300000000001</v>
      </c>
      <c r="F311" s="14">
        <f>40.5112 * CHOOSE(CONTROL!$C$9, $D$9, 100%, $F$9) + CHOOSE(CONTROL!$C$27, 0.0021, 0)</f>
        <v>40.513300000000001</v>
      </c>
      <c r="G311" s="14">
        <f>40.7826 * CHOOSE(CONTROL!$C$9, $D$9, 100%, $F$9) + CHOOSE(CONTROL!$C$27, 0.0021, 0)</f>
        <v>40.784700000000001</v>
      </c>
      <c r="H311" s="14">
        <f>40.6479 * CHOOSE(CONTROL!$C$9, $D$9, 100%, $F$9) + CHOOSE(CONTROL!$C$27, 0.0021, 0)</f>
        <v>40.65</v>
      </c>
      <c r="I311" s="14">
        <f>40.6479 * CHOOSE(CONTROL!$C$9, $D$9, 100%, $F$9) + CHOOSE(CONTROL!$C$27, 0.0021, 0)</f>
        <v>40.65</v>
      </c>
      <c r="J311" s="14">
        <f>40.6479 * CHOOSE(CONTROL!$C$9, $D$9, 100%, $F$9) + CHOOSE(CONTROL!$C$27, 0.0021, 0)</f>
        <v>40.65</v>
      </c>
      <c r="K311" s="14">
        <f>40.6479 * CHOOSE(CONTROL!$C$9, $D$9, 100%, $F$9) + CHOOSE(CONTROL!$C$27, 0.0021, 0)</f>
        <v>40.65</v>
      </c>
      <c r="L311" s="14"/>
    </row>
    <row r="312" spans="1:12" ht="15.75" x14ac:dyDescent="0.25">
      <c r="A312" s="33">
        <v>50436</v>
      </c>
      <c r="B312" s="14">
        <f>40.5719 * CHOOSE(CONTROL!$C$9, $D$9, 100%, $F$9) + CHOOSE(CONTROL!$C$27, 0.0021, 0)</f>
        <v>40.573999999999998</v>
      </c>
      <c r="C312" s="14">
        <f>40.1397 * CHOOSE(CONTROL!$C$9, $D$9, 100%, $F$9) + CHOOSE(CONTROL!$C$27, 0.0021, 0)</f>
        <v>40.141799999999996</v>
      </c>
      <c r="D312" s="14">
        <f>40.1397 * CHOOSE(CONTROL!$C$9, $D$9, 100%, $F$9) + CHOOSE(CONTROL!$C$27, 0.0021, 0)</f>
        <v>40.141799999999996</v>
      </c>
      <c r="E312" s="14">
        <f>40.003 * CHOOSE(CONTROL!$C$9, $D$9, 100%, $F$9) + CHOOSE(CONTROL!$C$27, 0.0021, 0)</f>
        <v>40.005099999999999</v>
      </c>
      <c r="F312" s="14">
        <f>40.003 * CHOOSE(CONTROL!$C$9, $D$9, 100%, $F$9) + CHOOSE(CONTROL!$C$27, 0.0021, 0)</f>
        <v>40.005099999999999</v>
      </c>
      <c r="G312" s="14">
        <f>40.2744 * CHOOSE(CONTROL!$C$9, $D$9, 100%, $F$9) + CHOOSE(CONTROL!$C$27, 0.0021, 0)</f>
        <v>40.276499999999999</v>
      </c>
      <c r="H312" s="14">
        <f>40.1397 * CHOOSE(CONTROL!$C$9, $D$9, 100%, $F$9) + CHOOSE(CONTROL!$C$27, 0.0021, 0)</f>
        <v>40.141799999999996</v>
      </c>
      <c r="I312" s="14">
        <f>40.1397 * CHOOSE(CONTROL!$C$9, $D$9, 100%, $F$9) + CHOOSE(CONTROL!$C$27, 0.0021, 0)</f>
        <v>40.141799999999996</v>
      </c>
      <c r="J312" s="14">
        <f>40.1397 * CHOOSE(CONTROL!$C$9, $D$9, 100%, $F$9) + CHOOSE(CONTROL!$C$27, 0.0021, 0)</f>
        <v>40.141799999999996</v>
      </c>
      <c r="K312" s="14">
        <f>40.1397 * CHOOSE(CONTROL!$C$9, $D$9, 100%, $F$9) + CHOOSE(CONTROL!$C$27, 0.0021, 0)</f>
        <v>40.141799999999996</v>
      </c>
      <c r="L312" s="14"/>
    </row>
    <row r="313" spans="1:12" ht="15.75" x14ac:dyDescent="0.25">
      <c r="A313" s="33">
        <v>50464</v>
      </c>
      <c r="B313" s="14">
        <f>39.4892 * CHOOSE(CONTROL!$C$9, $D$9, 100%, $F$9) + CHOOSE(CONTROL!$C$27, 0.0021, 0)</f>
        <v>39.491299999999995</v>
      </c>
      <c r="C313" s="14">
        <f>39.0569 * CHOOSE(CONTROL!$C$9, $D$9, 100%, $F$9) + CHOOSE(CONTROL!$C$27, 0.0021, 0)</f>
        <v>39.058999999999997</v>
      </c>
      <c r="D313" s="14">
        <f>39.0569 * CHOOSE(CONTROL!$C$9, $D$9, 100%, $F$9) + CHOOSE(CONTROL!$C$27, 0.0021, 0)</f>
        <v>39.058999999999997</v>
      </c>
      <c r="E313" s="14">
        <f>38.9203 * CHOOSE(CONTROL!$C$9, $D$9, 100%, $F$9) + CHOOSE(CONTROL!$C$27, 0.0021, 0)</f>
        <v>38.922399999999996</v>
      </c>
      <c r="F313" s="14">
        <f>38.9203 * CHOOSE(CONTROL!$C$9, $D$9, 100%, $F$9) + CHOOSE(CONTROL!$C$27, 0.0021, 0)</f>
        <v>38.922399999999996</v>
      </c>
      <c r="G313" s="14">
        <f>39.1916 * CHOOSE(CONTROL!$C$9, $D$9, 100%, $F$9) + CHOOSE(CONTROL!$C$27, 0.0021, 0)</f>
        <v>39.1937</v>
      </c>
      <c r="H313" s="14">
        <f>39.0569 * CHOOSE(CONTROL!$C$9, $D$9, 100%, $F$9) + CHOOSE(CONTROL!$C$27, 0.0021, 0)</f>
        <v>39.058999999999997</v>
      </c>
      <c r="I313" s="14">
        <f>39.0569 * CHOOSE(CONTROL!$C$9, $D$9, 100%, $F$9) + CHOOSE(CONTROL!$C$27, 0.0021, 0)</f>
        <v>39.058999999999997</v>
      </c>
      <c r="J313" s="14">
        <f>39.0569 * CHOOSE(CONTROL!$C$9, $D$9, 100%, $F$9) + CHOOSE(CONTROL!$C$27, 0.0021, 0)</f>
        <v>39.058999999999997</v>
      </c>
      <c r="K313" s="14">
        <f>39.0569 * CHOOSE(CONTROL!$C$9, $D$9, 100%, $F$9) + CHOOSE(CONTROL!$C$27, 0.0021, 0)</f>
        <v>39.058999999999997</v>
      </c>
      <c r="L313" s="14"/>
    </row>
    <row r="314" spans="1:12" ht="15.75" x14ac:dyDescent="0.25">
      <c r="A314" s="33">
        <v>50495</v>
      </c>
      <c r="B314" s="14">
        <f>39.0422 * CHOOSE(CONTROL!$C$9, $D$9, 100%, $F$9) + CHOOSE(CONTROL!$C$27, 0.0021, 0)</f>
        <v>39.0443</v>
      </c>
      <c r="C314" s="14">
        <f>38.61 * CHOOSE(CONTROL!$C$9, $D$9, 100%, $F$9) + CHOOSE(CONTROL!$C$27, 0.0021, 0)</f>
        <v>38.612099999999998</v>
      </c>
      <c r="D314" s="14">
        <f>38.61 * CHOOSE(CONTROL!$C$9, $D$9, 100%, $F$9) + CHOOSE(CONTROL!$C$27, 0.0021, 0)</f>
        <v>38.612099999999998</v>
      </c>
      <c r="E314" s="14">
        <f>38.4733 * CHOOSE(CONTROL!$C$9, $D$9, 100%, $F$9) + CHOOSE(CONTROL!$C$27, 0.0021, 0)</f>
        <v>38.4754</v>
      </c>
      <c r="F314" s="14">
        <f>38.4733 * CHOOSE(CONTROL!$C$9, $D$9, 100%, $F$9) + CHOOSE(CONTROL!$C$27, 0.0021, 0)</f>
        <v>38.4754</v>
      </c>
      <c r="G314" s="14">
        <f>38.7447 * CHOOSE(CONTROL!$C$9, $D$9, 100%, $F$9) + CHOOSE(CONTROL!$C$27, 0.0021, 0)</f>
        <v>38.7468</v>
      </c>
      <c r="H314" s="14">
        <f>38.61 * CHOOSE(CONTROL!$C$9, $D$9, 100%, $F$9) + CHOOSE(CONTROL!$C$27, 0.0021, 0)</f>
        <v>38.612099999999998</v>
      </c>
      <c r="I314" s="14">
        <f>38.61 * CHOOSE(CONTROL!$C$9, $D$9, 100%, $F$9) + CHOOSE(CONTROL!$C$27, 0.0021, 0)</f>
        <v>38.612099999999998</v>
      </c>
      <c r="J314" s="14">
        <f>38.61 * CHOOSE(CONTROL!$C$9, $D$9, 100%, $F$9) + CHOOSE(CONTROL!$C$27, 0.0021, 0)</f>
        <v>38.612099999999998</v>
      </c>
      <c r="K314" s="14">
        <f>38.61 * CHOOSE(CONTROL!$C$9, $D$9, 100%, $F$9) + CHOOSE(CONTROL!$C$27, 0.0021, 0)</f>
        <v>38.612099999999998</v>
      </c>
      <c r="L314" s="14"/>
    </row>
    <row r="315" spans="1:12" ht="15.75" x14ac:dyDescent="0.25">
      <c r="A315" s="33">
        <v>50525</v>
      </c>
      <c r="B315" s="14">
        <f>38.5085 * CHOOSE(CONTROL!$C$9, $D$9, 100%, $F$9) + CHOOSE(CONTROL!$C$27, 0.0021, 0)</f>
        <v>38.510599999999997</v>
      </c>
      <c r="C315" s="14">
        <f>38.0763 * CHOOSE(CONTROL!$C$9, $D$9, 100%, $F$9) + CHOOSE(CONTROL!$C$27, 0.0021, 0)</f>
        <v>38.078400000000002</v>
      </c>
      <c r="D315" s="14">
        <f>38.0763 * CHOOSE(CONTROL!$C$9, $D$9, 100%, $F$9) + CHOOSE(CONTROL!$C$27, 0.0021, 0)</f>
        <v>38.078400000000002</v>
      </c>
      <c r="E315" s="14">
        <f>37.9396 * CHOOSE(CONTROL!$C$9, $D$9, 100%, $F$9) + CHOOSE(CONTROL!$C$27, 0.0021, 0)</f>
        <v>37.941699999999997</v>
      </c>
      <c r="F315" s="14">
        <f>37.9396 * CHOOSE(CONTROL!$C$9, $D$9, 100%, $F$9) + CHOOSE(CONTROL!$C$27, 0.0021, 0)</f>
        <v>37.941699999999997</v>
      </c>
      <c r="G315" s="14">
        <f>38.211 * CHOOSE(CONTROL!$C$9, $D$9, 100%, $F$9) + CHOOSE(CONTROL!$C$27, 0.0021, 0)</f>
        <v>38.213099999999997</v>
      </c>
      <c r="H315" s="14">
        <f>38.0763 * CHOOSE(CONTROL!$C$9, $D$9, 100%, $F$9) + CHOOSE(CONTROL!$C$27, 0.0021, 0)</f>
        <v>38.078400000000002</v>
      </c>
      <c r="I315" s="14">
        <f>38.0763 * CHOOSE(CONTROL!$C$9, $D$9, 100%, $F$9) + CHOOSE(CONTROL!$C$27, 0.0021, 0)</f>
        <v>38.078400000000002</v>
      </c>
      <c r="J315" s="14">
        <f>38.0763 * CHOOSE(CONTROL!$C$9, $D$9, 100%, $F$9) + CHOOSE(CONTROL!$C$27, 0.0021, 0)</f>
        <v>38.078400000000002</v>
      </c>
      <c r="K315" s="14">
        <f>38.0763 * CHOOSE(CONTROL!$C$9, $D$9, 100%, $F$9) + CHOOSE(CONTROL!$C$27, 0.0021, 0)</f>
        <v>38.078400000000002</v>
      </c>
      <c r="L315" s="14"/>
    </row>
    <row r="316" spans="1:12" ht="15.75" x14ac:dyDescent="0.25">
      <c r="A316" s="33">
        <v>50556</v>
      </c>
      <c r="B316" s="14">
        <f>39.2691 * CHOOSE(CONTROL!$C$9, $D$9, 100%, $F$9) + CHOOSE(CONTROL!$C$27, 0.0021, 0)</f>
        <v>39.2712</v>
      </c>
      <c r="C316" s="14">
        <f>38.8368 * CHOOSE(CONTROL!$C$9, $D$9, 100%, $F$9) + CHOOSE(CONTROL!$C$27, 0.0021, 0)</f>
        <v>38.838899999999995</v>
      </c>
      <c r="D316" s="14">
        <f>38.8368 * CHOOSE(CONTROL!$C$9, $D$9, 100%, $F$9) + CHOOSE(CONTROL!$C$27, 0.0021, 0)</f>
        <v>38.838899999999995</v>
      </c>
      <c r="E316" s="14">
        <f>38.7002 * CHOOSE(CONTROL!$C$9, $D$9, 100%, $F$9) + CHOOSE(CONTROL!$C$27, 0.0021, 0)</f>
        <v>38.702300000000001</v>
      </c>
      <c r="F316" s="14">
        <f>38.7002 * CHOOSE(CONTROL!$C$9, $D$9, 100%, $F$9) + CHOOSE(CONTROL!$C$27, 0.0021, 0)</f>
        <v>38.702300000000001</v>
      </c>
      <c r="G316" s="14">
        <f>38.9716 * CHOOSE(CONTROL!$C$9, $D$9, 100%, $F$9) + CHOOSE(CONTROL!$C$27, 0.0021, 0)</f>
        <v>38.973700000000001</v>
      </c>
      <c r="H316" s="14">
        <f>38.8368 * CHOOSE(CONTROL!$C$9, $D$9, 100%, $F$9) + CHOOSE(CONTROL!$C$27, 0.0021, 0)</f>
        <v>38.838899999999995</v>
      </c>
      <c r="I316" s="14">
        <f>38.8368 * CHOOSE(CONTROL!$C$9, $D$9, 100%, $F$9) + CHOOSE(CONTROL!$C$27, 0.0021, 0)</f>
        <v>38.838899999999995</v>
      </c>
      <c r="J316" s="14">
        <f>38.8368 * CHOOSE(CONTROL!$C$9, $D$9, 100%, $F$9) + CHOOSE(CONTROL!$C$27, 0.0021, 0)</f>
        <v>38.838899999999995</v>
      </c>
      <c r="K316" s="14">
        <f>38.8368 * CHOOSE(CONTROL!$C$9, $D$9, 100%, $F$9) + CHOOSE(CONTROL!$C$27, 0.0021, 0)</f>
        <v>38.838899999999995</v>
      </c>
      <c r="L316" s="14"/>
    </row>
    <row r="317" spans="1:12" ht="15.75" x14ac:dyDescent="0.25">
      <c r="A317" s="33">
        <v>50586</v>
      </c>
      <c r="B317" s="14">
        <f>39.7246 * CHOOSE(CONTROL!$C$9, $D$9, 100%, $F$9) + CHOOSE(CONTROL!$C$27, 0.0021, 0)</f>
        <v>39.726700000000001</v>
      </c>
      <c r="C317" s="14">
        <f>39.2924 * CHOOSE(CONTROL!$C$9, $D$9, 100%, $F$9) + CHOOSE(CONTROL!$C$27, 0.0021, 0)</f>
        <v>39.294499999999999</v>
      </c>
      <c r="D317" s="14">
        <f>39.2924 * CHOOSE(CONTROL!$C$9, $D$9, 100%, $F$9) + CHOOSE(CONTROL!$C$27, 0.0021, 0)</f>
        <v>39.294499999999999</v>
      </c>
      <c r="E317" s="14">
        <f>39.1557 * CHOOSE(CONTROL!$C$9, $D$9, 100%, $F$9) + CHOOSE(CONTROL!$C$27, 0.0021, 0)</f>
        <v>39.157800000000002</v>
      </c>
      <c r="F317" s="14">
        <f>39.1557 * CHOOSE(CONTROL!$C$9, $D$9, 100%, $F$9) + CHOOSE(CONTROL!$C$27, 0.0021, 0)</f>
        <v>39.157800000000002</v>
      </c>
      <c r="G317" s="14">
        <f>39.4271 * CHOOSE(CONTROL!$C$9, $D$9, 100%, $F$9) + CHOOSE(CONTROL!$C$27, 0.0021, 0)</f>
        <v>39.429200000000002</v>
      </c>
      <c r="H317" s="14">
        <f>39.2924 * CHOOSE(CONTROL!$C$9, $D$9, 100%, $F$9) + CHOOSE(CONTROL!$C$27, 0.0021, 0)</f>
        <v>39.294499999999999</v>
      </c>
      <c r="I317" s="14">
        <f>39.2924 * CHOOSE(CONTROL!$C$9, $D$9, 100%, $F$9) + CHOOSE(CONTROL!$C$27, 0.0021, 0)</f>
        <v>39.294499999999999</v>
      </c>
      <c r="J317" s="14">
        <f>39.2924 * CHOOSE(CONTROL!$C$9, $D$9, 100%, $F$9) + CHOOSE(CONTROL!$C$27, 0.0021, 0)</f>
        <v>39.294499999999999</v>
      </c>
      <c r="K317" s="14">
        <f>39.2924 * CHOOSE(CONTROL!$C$9, $D$9, 100%, $F$9) + CHOOSE(CONTROL!$C$27, 0.0021, 0)</f>
        <v>39.294499999999999</v>
      </c>
      <c r="L317" s="14"/>
    </row>
    <row r="318" spans="1:12" ht="15.75" x14ac:dyDescent="0.25">
      <c r="A318" s="33">
        <v>50617</v>
      </c>
      <c r="B318" s="14">
        <f>40.4761 * CHOOSE(CONTROL!$C$9, $D$9, 100%, $F$9) + CHOOSE(CONTROL!$C$27, 0.0021, 0)</f>
        <v>40.478200000000001</v>
      </c>
      <c r="C318" s="14">
        <f>40.0439 * CHOOSE(CONTROL!$C$9, $D$9, 100%, $F$9) + CHOOSE(CONTROL!$C$27, 0.0021, 0)</f>
        <v>40.045999999999999</v>
      </c>
      <c r="D318" s="14">
        <f>40.0439 * CHOOSE(CONTROL!$C$9, $D$9, 100%, $F$9) + CHOOSE(CONTROL!$C$27, 0.0021, 0)</f>
        <v>40.045999999999999</v>
      </c>
      <c r="E318" s="14">
        <f>39.9072 * CHOOSE(CONTROL!$C$9, $D$9, 100%, $F$9) + CHOOSE(CONTROL!$C$27, 0.0021, 0)</f>
        <v>39.909300000000002</v>
      </c>
      <c r="F318" s="14">
        <f>39.9072 * CHOOSE(CONTROL!$C$9, $D$9, 100%, $F$9) + CHOOSE(CONTROL!$C$27, 0.0021, 0)</f>
        <v>39.909300000000002</v>
      </c>
      <c r="G318" s="14">
        <f>40.1786 * CHOOSE(CONTROL!$C$9, $D$9, 100%, $F$9) + CHOOSE(CONTROL!$C$27, 0.0021, 0)</f>
        <v>40.180700000000002</v>
      </c>
      <c r="H318" s="14">
        <f>40.0439 * CHOOSE(CONTROL!$C$9, $D$9, 100%, $F$9) + CHOOSE(CONTROL!$C$27, 0.0021, 0)</f>
        <v>40.045999999999999</v>
      </c>
      <c r="I318" s="14">
        <f>40.0439 * CHOOSE(CONTROL!$C$9, $D$9, 100%, $F$9) + CHOOSE(CONTROL!$C$27, 0.0021, 0)</f>
        <v>40.045999999999999</v>
      </c>
      <c r="J318" s="14">
        <f>40.0439 * CHOOSE(CONTROL!$C$9, $D$9, 100%, $F$9) + CHOOSE(CONTROL!$C$27, 0.0021, 0)</f>
        <v>40.045999999999999</v>
      </c>
      <c r="K318" s="14">
        <f>40.0439 * CHOOSE(CONTROL!$C$9, $D$9, 100%, $F$9) + CHOOSE(CONTROL!$C$27, 0.0021, 0)</f>
        <v>40.045999999999999</v>
      </c>
      <c r="L318" s="14"/>
    </row>
    <row r="319" spans="1:12" ht="15.75" x14ac:dyDescent="0.25">
      <c r="A319" s="33">
        <v>50648</v>
      </c>
      <c r="B319" s="14">
        <f>40.7055 * CHOOSE(CONTROL!$C$9, $D$9, 100%, $F$9) + CHOOSE(CONTROL!$C$27, 0.0021, 0)</f>
        <v>40.707599999999999</v>
      </c>
      <c r="C319" s="14">
        <f>40.2732 * CHOOSE(CONTROL!$C$9, $D$9, 100%, $F$9) + CHOOSE(CONTROL!$C$27, 0.0021, 0)</f>
        <v>40.275300000000001</v>
      </c>
      <c r="D319" s="14">
        <f>40.2732 * CHOOSE(CONTROL!$C$9, $D$9, 100%, $F$9) + CHOOSE(CONTROL!$C$27, 0.0021, 0)</f>
        <v>40.275300000000001</v>
      </c>
      <c r="E319" s="14">
        <f>40.1366 * CHOOSE(CONTROL!$C$9, $D$9, 100%, $F$9) + CHOOSE(CONTROL!$C$27, 0.0021, 0)</f>
        <v>40.1387</v>
      </c>
      <c r="F319" s="14">
        <f>40.1366 * CHOOSE(CONTROL!$C$9, $D$9, 100%, $F$9) + CHOOSE(CONTROL!$C$27, 0.0021, 0)</f>
        <v>40.1387</v>
      </c>
      <c r="G319" s="14">
        <f>40.408 * CHOOSE(CONTROL!$C$9, $D$9, 100%, $F$9) + CHOOSE(CONTROL!$C$27, 0.0021, 0)</f>
        <v>40.4101</v>
      </c>
      <c r="H319" s="14">
        <f>40.2732 * CHOOSE(CONTROL!$C$9, $D$9, 100%, $F$9) + CHOOSE(CONTROL!$C$27, 0.0021, 0)</f>
        <v>40.275300000000001</v>
      </c>
      <c r="I319" s="14">
        <f>40.2732 * CHOOSE(CONTROL!$C$9, $D$9, 100%, $F$9) + CHOOSE(CONTROL!$C$27, 0.0021, 0)</f>
        <v>40.275300000000001</v>
      </c>
      <c r="J319" s="14">
        <f>40.2732 * CHOOSE(CONTROL!$C$9, $D$9, 100%, $F$9) + CHOOSE(CONTROL!$C$27, 0.0021, 0)</f>
        <v>40.275300000000001</v>
      </c>
      <c r="K319" s="14">
        <f>40.2732 * CHOOSE(CONTROL!$C$9, $D$9, 100%, $F$9) + CHOOSE(CONTROL!$C$27, 0.0021, 0)</f>
        <v>40.275300000000001</v>
      </c>
      <c r="L319" s="14"/>
    </row>
    <row r="320" spans="1:12" ht="15.75" x14ac:dyDescent="0.25">
      <c r="A320" s="33">
        <v>50678</v>
      </c>
      <c r="B320" s="14">
        <f>41.4866 * CHOOSE(CONTROL!$C$9, $D$9, 100%, $F$9) + CHOOSE(CONTROL!$C$27, 0.0021, 0)</f>
        <v>41.488700000000001</v>
      </c>
      <c r="C320" s="14">
        <f>41.0544 * CHOOSE(CONTROL!$C$9, $D$9, 100%, $F$9) + CHOOSE(CONTROL!$C$27, 0.0021, 0)</f>
        <v>41.0565</v>
      </c>
      <c r="D320" s="14">
        <f>41.0544 * CHOOSE(CONTROL!$C$9, $D$9, 100%, $F$9) + CHOOSE(CONTROL!$C$27, 0.0021, 0)</f>
        <v>41.0565</v>
      </c>
      <c r="E320" s="14">
        <f>40.9177 * CHOOSE(CONTROL!$C$9, $D$9, 100%, $F$9) + CHOOSE(CONTROL!$C$27, 0.0021, 0)</f>
        <v>40.919800000000002</v>
      </c>
      <c r="F320" s="14">
        <f>40.9177 * CHOOSE(CONTROL!$C$9, $D$9, 100%, $F$9) + CHOOSE(CONTROL!$C$27, 0.0021, 0)</f>
        <v>40.919800000000002</v>
      </c>
      <c r="G320" s="14">
        <f>41.1891 * CHOOSE(CONTROL!$C$9, $D$9, 100%, $F$9) + CHOOSE(CONTROL!$C$27, 0.0021, 0)</f>
        <v>41.191200000000002</v>
      </c>
      <c r="H320" s="14">
        <f>41.0544 * CHOOSE(CONTROL!$C$9, $D$9, 100%, $F$9) + CHOOSE(CONTROL!$C$27, 0.0021, 0)</f>
        <v>41.0565</v>
      </c>
      <c r="I320" s="14">
        <f>41.0544 * CHOOSE(CONTROL!$C$9, $D$9, 100%, $F$9) + CHOOSE(CONTROL!$C$27, 0.0021, 0)</f>
        <v>41.0565</v>
      </c>
      <c r="J320" s="14">
        <f>41.0544 * CHOOSE(CONTROL!$C$9, $D$9, 100%, $F$9) + CHOOSE(CONTROL!$C$27, 0.0021, 0)</f>
        <v>41.0565</v>
      </c>
      <c r="K320" s="14">
        <f>41.0544 * CHOOSE(CONTROL!$C$9, $D$9, 100%, $F$9) + CHOOSE(CONTROL!$C$27, 0.0021, 0)</f>
        <v>41.0565</v>
      </c>
      <c r="L320" s="14"/>
    </row>
    <row r="321" spans="1:12" ht="15.75" x14ac:dyDescent="0.25">
      <c r="A321" s="33">
        <v>50709</v>
      </c>
      <c r="B321" s="14">
        <f>42.4754 * CHOOSE(CONTROL!$C$9, $D$9, 100%, $F$9) + CHOOSE(CONTROL!$C$27, 0.0021, 0)</f>
        <v>42.477499999999999</v>
      </c>
      <c r="C321" s="14">
        <f>42.0431 * CHOOSE(CONTROL!$C$9, $D$9, 100%, $F$9) + CHOOSE(CONTROL!$C$27, 0.0021, 0)</f>
        <v>42.045200000000001</v>
      </c>
      <c r="D321" s="14">
        <f>42.0431 * CHOOSE(CONTROL!$C$9, $D$9, 100%, $F$9) + CHOOSE(CONTROL!$C$27, 0.0021, 0)</f>
        <v>42.045200000000001</v>
      </c>
      <c r="E321" s="14">
        <f>41.9065 * CHOOSE(CONTROL!$C$9, $D$9, 100%, $F$9) + CHOOSE(CONTROL!$C$27, 0.0021, 0)</f>
        <v>41.9086</v>
      </c>
      <c r="F321" s="14">
        <f>41.9065 * CHOOSE(CONTROL!$C$9, $D$9, 100%, $F$9) + CHOOSE(CONTROL!$C$27, 0.0021, 0)</f>
        <v>41.9086</v>
      </c>
      <c r="G321" s="14">
        <f>42.1779 * CHOOSE(CONTROL!$C$9, $D$9, 100%, $F$9) + CHOOSE(CONTROL!$C$27, 0.0021, 0)</f>
        <v>42.18</v>
      </c>
      <c r="H321" s="14">
        <f>42.0431 * CHOOSE(CONTROL!$C$9, $D$9, 100%, $F$9) + CHOOSE(CONTROL!$C$27, 0.0021, 0)</f>
        <v>42.045200000000001</v>
      </c>
      <c r="I321" s="14">
        <f>42.0431 * CHOOSE(CONTROL!$C$9, $D$9, 100%, $F$9) + CHOOSE(CONTROL!$C$27, 0.0021, 0)</f>
        <v>42.045200000000001</v>
      </c>
      <c r="J321" s="14">
        <f>42.0431 * CHOOSE(CONTROL!$C$9, $D$9, 100%, $F$9) + CHOOSE(CONTROL!$C$27, 0.0021, 0)</f>
        <v>42.045200000000001</v>
      </c>
      <c r="K321" s="14">
        <f>42.0431 * CHOOSE(CONTROL!$C$9, $D$9, 100%, $F$9) + CHOOSE(CONTROL!$C$27, 0.0021, 0)</f>
        <v>42.045200000000001</v>
      </c>
      <c r="L321" s="14"/>
    </row>
    <row r="322" spans="1:12" ht="15.75" x14ac:dyDescent="0.25">
      <c r="A322" s="33">
        <v>50739</v>
      </c>
      <c r="B322" s="14">
        <f>42.5682 * CHOOSE(CONTROL!$C$9, $D$9, 100%, $F$9) + CHOOSE(CONTROL!$C$27, 0.0021, 0)</f>
        <v>42.570299999999996</v>
      </c>
      <c r="C322" s="14">
        <f>42.136 * CHOOSE(CONTROL!$C$9, $D$9, 100%, $F$9) + CHOOSE(CONTROL!$C$27, 0.0021, 0)</f>
        <v>42.138100000000001</v>
      </c>
      <c r="D322" s="14">
        <f>42.136 * CHOOSE(CONTROL!$C$9, $D$9, 100%, $F$9) + CHOOSE(CONTROL!$C$27, 0.0021, 0)</f>
        <v>42.138100000000001</v>
      </c>
      <c r="E322" s="14">
        <f>41.9993 * CHOOSE(CONTROL!$C$9, $D$9, 100%, $F$9) + CHOOSE(CONTROL!$C$27, 0.0021, 0)</f>
        <v>42.001399999999997</v>
      </c>
      <c r="F322" s="14">
        <f>41.9993 * CHOOSE(CONTROL!$C$9, $D$9, 100%, $F$9) + CHOOSE(CONTROL!$C$27, 0.0021, 0)</f>
        <v>42.001399999999997</v>
      </c>
      <c r="G322" s="14">
        <f>42.2707 * CHOOSE(CONTROL!$C$9, $D$9, 100%, $F$9) + CHOOSE(CONTROL!$C$27, 0.0021, 0)</f>
        <v>42.272799999999997</v>
      </c>
      <c r="H322" s="14">
        <f>42.136 * CHOOSE(CONTROL!$C$9, $D$9, 100%, $F$9) + CHOOSE(CONTROL!$C$27, 0.0021, 0)</f>
        <v>42.138100000000001</v>
      </c>
      <c r="I322" s="14">
        <f>42.136 * CHOOSE(CONTROL!$C$9, $D$9, 100%, $F$9) + CHOOSE(CONTROL!$C$27, 0.0021, 0)</f>
        <v>42.138100000000001</v>
      </c>
      <c r="J322" s="14">
        <f>42.136 * CHOOSE(CONTROL!$C$9, $D$9, 100%, $F$9) + CHOOSE(CONTROL!$C$27, 0.0021, 0)</f>
        <v>42.138100000000001</v>
      </c>
      <c r="K322" s="14">
        <f>42.136 * CHOOSE(CONTROL!$C$9, $D$9, 100%, $F$9) + CHOOSE(CONTROL!$C$27, 0.0021, 0)</f>
        <v>42.138100000000001</v>
      </c>
      <c r="L322" s="14"/>
    </row>
    <row r="323" spans="1:12" ht="15.75" x14ac:dyDescent="0.25">
      <c r="A323" s="33">
        <v>50770</v>
      </c>
      <c r="B323" s="14">
        <f>41.7785 * CHOOSE(CONTROL!$C$9, $D$9, 100%, $F$9) + CHOOSE(CONTROL!$C$27, 0.0021, 0)</f>
        <v>41.7806</v>
      </c>
      <c r="C323" s="14">
        <f>41.3462 * CHOOSE(CONTROL!$C$9, $D$9, 100%, $F$9) + CHOOSE(CONTROL!$C$27, 0.0021, 0)</f>
        <v>41.348300000000002</v>
      </c>
      <c r="D323" s="14">
        <f>41.3462 * CHOOSE(CONTROL!$C$9, $D$9, 100%, $F$9) + CHOOSE(CONTROL!$C$27, 0.0021, 0)</f>
        <v>41.348300000000002</v>
      </c>
      <c r="E323" s="14">
        <f>41.2096 * CHOOSE(CONTROL!$C$9, $D$9, 100%, $F$9) + CHOOSE(CONTROL!$C$27, 0.0021, 0)</f>
        <v>41.2117</v>
      </c>
      <c r="F323" s="14">
        <f>41.2096 * CHOOSE(CONTROL!$C$9, $D$9, 100%, $F$9) + CHOOSE(CONTROL!$C$27, 0.0021, 0)</f>
        <v>41.2117</v>
      </c>
      <c r="G323" s="14">
        <f>41.481 * CHOOSE(CONTROL!$C$9, $D$9, 100%, $F$9) + CHOOSE(CONTROL!$C$27, 0.0021, 0)</f>
        <v>41.4831</v>
      </c>
      <c r="H323" s="14">
        <f>41.3462 * CHOOSE(CONTROL!$C$9, $D$9, 100%, $F$9) + CHOOSE(CONTROL!$C$27, 0.0021, 0)</f>
        <v>41.348300000000002</v>
      </c>
      <c r="I323" s="14">
        <f>41.3462 * CHOOSE(CONTROL!$C$9, $D$9, 100%, $F$9) + CHOOSE(CONTROL!$C$27, 0.0021, 0)</f>
        <v>41.348300000000002</v>
      </c>
      <c r="J323" s="14">
        <f>41.3462 * CHOOSE(CONTROL!$C$9, $D$9, 100%, $F$9) + CHOOSE(CONTROL!$C$27, 0.0021, 0)</f>
        <v>41.348300000000002</v>
      </c>
      <c r="K323" s="14">
        <f>41.3462 * CHOOSE(CONTROL!$C$9, $D$9, 100%, $F$9) + CHOOSE(CONTROL!$C$27, 0.0021, 0)</f>
        <v>41.348300000000002</v>
      </c>
      <c r="L323" s="14"/>
    </row>
    <row r="324" spans="1:12" ht="15.75" x14ac:dyDescent="0.25">
      <c r="A324" s="33">
        <v>50801</v>
      </c>
      <c r="B324" s="14">
        <f>41.2611 * CHOOSE(CONTROL!$C$9, $D$9, 100%, $F$9) + CHOOSE(CONTROL!$C$27, 0.0021, 0)</f>
        <v>41.263199999999998</v>
      </c>
      <c r="C324" s="14">
        <f>40.8289 * CHOOSE(CONTROL!$C$9, $D$9, 100%, $F$9) + CHOOSE(CONTROL!$C$27, 0.0021, 0)</f>
        <v>40.830999999999996</v>
      </c>
      <c r="D324" s="14">
        <f>40.8289 * CHOOSE(CONTROL!$C$9, $D$9, 100%, $F$9) + CHOOSE(CONTROL!$C$27, 0.0021, 0)</f>
        <v>40.830999999999996</v>
      </c>
      <c r="E324" s="14">
        <f>40.6922 * CHOOSE(CONTROL!$C$9, $D$9, 100%, $F$9) + CHOOSE(CONTROL!$C$27, 0.0021, 0)</f>
        <v>40.694299999999998</v>
      </c>
      <c r="F324" s="14">
        <f>40.6922 * CHOOSE(CONTROL!$C$9, $D$9, 100%, $F$9) + CHOOSE(CONTROL!$C$27, 0.0021, 0)</f>
        <v>40.694299999999998</v>
      </c>
      <c r="G324" s="14">
        <f>40.9636 * CHOOSE(CONTROL!$C$9, $D$9, 100%, $F$9) + CHOOSE(CONTROL!$C$27, 0.0021, 0)</f>
        <v>40.965699999999998</v>
      </c>
      <c r="H324" s="14">
        <f>40.8289 * CHOOSE(CONTROL!$C$9, $D$9, 100%, $F$9) + CHOOSE(CONTROL!$C$27, 0.0021, 0)</f>
        <v>40.830999999999996</v>
      </c>
      <c r="I324" s="14">
        <f>40.8289 * CHOOSE(CONTROL!$C$9, $D$9, 100%, $F$9) + CHOOSE(CONTROL!$C$27, 0.0021, 0)</f>
        <v>40.830999999999996</v>
      </c>
      <c r="J324" s="14">
        <f>40.8289 * CHOOSE(CONTROL!$C$9, $D$9, 100%, $F$9) + CHOOSE(CONTROL!$C$27, 0.0021, 0)</f>
        <v>40.830999999999996</v>
      </c>
      <c r="K324" s="14">
        <f>40.8289 * CHOOSE(CONTROL!$C$9, $D$9, 100%, $F$9) + CHOOSE(CONTROL!$C$27, 0.0021, 0)</f>
        <v>40.830999999999996</v>
      </c>
      <c r="L324" s="14"/>
    </row>
    <row r="325" spans="1:12" ht="15.75" x14ac:dyDescent="0.25">
      <c r="A325" s="33">
        <v>50829</v>
      </c>
      <c r="B325" s="14">
        <f>40.1589 * CHOOSE(CONTROL!$C$9, $D$9, 100%, $F$9) + CHOOSE(CONTROL!$C$27, 0.0021, 0)</f>
        <v>40.161000000000001</v>
      </c>
      <c r="C325" s="14">
        <f>39.7266 * CHOOSE(CONTROL!$C$9, $D$9, 100%, $F$9) + CHOOSE(CONTROL!$C$27, 0.0021, 0)</f>
        <v>39.728699999999996</v>
      </c>
      <c r="D325" s="14">
        <f>39.7266 * CHOOSE(CONTROL!$C$9, $D$9, 100%, $F$9) + CHOOSE(CONTROL!$C$27, 0.0021, 0)</f>
        <v>39.728699999999996</v>
      </c>
      <c r="E325" s="14">
        <f>39.59 * CHOOSE(CONTROL!$C$9, $D$9, 100%, $F$9) + CHOOSE(CONTROL!$C$27, 0.0021, 0)</f>
        <v>39.592100000000002</v>
      </c>
      <c r="F325" s="14">
        <f>39.59 * CHOOSE(CONTROL!$C$9, $D$9, 100%, $F$9) + CHOOSE(CONTROL!$C$27, 0.0021, 0)</f>
        <v>39.592100000000002</v>
      </c>
      <c r="G325" s="14">
        <f>39.8614 * CHOOSE(CONTROL!$C$9, $D$9, 100%, $F$9) + CHOOSE(CONTROL!$C$27, 0.0021, 0)</f>
        <v>39.863500000000002</v>
      </c>
      <c r="H325" s="14">
        <f>39.7266 * CHOOSE(CONTROL!$C$9, $D$9, 100%, $F$9) + CHOOSE(CONTROL!$C$27, 0.0021, 0)</f>
        <v>39.728699999999996</v>
      </c>
      <c r="I325" s="14">
        <f>39.7266 * CHOOSE(CONTROL!$C$9, $D$9, 100%, $F$9) + CHOOSE(CONTROL!$C$27, 0.0021, 0)</f>
        <v>39.728699999999996</v>
      </c>
      <c r="J325" s="14">
        <f>39.7266 * CHOOSE(CONTROL!$C$9, $D$9, 100%, $F$9) + CHOOSE(CONTROL!$C$27, 0.0021, 0)</f>
        <v>39.728699999999996</v>
      </c>
      <c r="K325" s="14">
        <f>39.7266 * CHOOSE(CONTROL!$C$9, $D$9, 100%, $F$9) + CHOOSE(CONTROL!$C$27, 0.0021, 0)</f>
        <v>39.728699999999996</v>
      </c>
      <c r="L325" s="14"/>
    </row>
    <row r="326" spans="1:12" ht="15.75" x14ac:dyDescent="0.25">
      <c r="A326" s="33">
        <v>50860</v>
      </c>
      <c r="B326" s="14">
        <f>39.7039 * CHOOSE(CONTROL!$C$9, $D$9, 100%, $F$9) + CHOOSE(CONTROL!$C$27, 0.0021, 0)</f>
        <v>39.705999999999996</v>
      </c>
      <c r="C326" s="14">
        <f>39.2716 * CHOOSE(CONTROL!$C$9, $D$9, 100%, $F$9) + CHOOSE(CONTROL!$C$27, 0.0021, 0)</f>
        <v>39.273699999999998</v>
      </c>
      <c r="D326" s="14">
        <f>39.2716 * CHOOSE(CONTROL!$C$9, $D$9, 100%, $F$9) + CHOOSE(CONTROL!$C$27, 0.0021, 0)</f>
        <v>39.273699999999998</v>
      </c>
      <c r="E326" s="14">
        <f>39.135 * CHOOSE(CONTROL!$C$9, $D$9, 100%, $F$9) + CHOOSE(CONTROL!$C$27, 0.0021, 0)</f>
        <v>39.137099999999997</v>
      </c>
      <c r="F326" s="14">
        <f>39.135 * CHOOSE(CONTROL!$C$9, $D$9, 100%, $F$9) + CHOOSE(CONTROL!$C$27, 0.0021, 0)</f>
        <v>39.137099999999997</v>
      </c>
      <c r="G326" s="14">
        <f>39.4064 * CHOOSE(CONTROL!$C$9, $D$9, 100%, $F$9) + CHOOSE(CONTROL!$C$27, 0.0021, 0)</f>
        <v>39.408499999999997</v>
      </c>
      <c r="H326" s="14">
        <f>39.2716 * CHOOSE(CONTROL!$C$9, $D$9, 100%, $F$9) + CHOOSE(CONTROL!$C$27, 0.0021, 0)</f>
        <v>39.273699999999998</v>
      </c>
      <c r="I326" s="14">
        <f>39.2716 * CHOOSE(CONTROL!$C$9, $D$9, 100%, $F$9) + CHOOSE(CONTROL!$C$27, 0.0021, 0)</f>
        <v>39.273699999999998</v>
      </c>
      <c r="J326" s="14">
        <f>39.2716 * CHOOSE(CONTROL!$C$9, $D$9, 100%, $F$9) + CHOOSE(CONTROL!$C$27, 0.0021, 0)</f>
        <v>39.273699999999998</v>
      </c>
      <c r="K326" s="14">
        <f>39.2716 * CHOOSE(CONTROL!$C$9, $D$9, 100%, $F$9) + CHOOSE(CONTROL!$C$27, 0.0021, 0)</f>
        <v>39.273699999999998</v>
      </c>
      <c r="L326" s="14"/>
    </row>
    <row r="327" spans="1:12" ht="15.75" x14ac:dyDescent="0.25">
      <c r="A327" s="33">
        <v>50890</v>
      </c>
      <c r="B327" s="14">
        <f>39.1606 * CHOOSE(CONTROL!$C$9, $D$9, 100%, $F$9) + CHOOSE(CONTROL!$C$27, 0.0021, 0)</f>
        <v>39.162700000000001</v>
      </c>
      <c r="C327" s="14">
        <f>38.7284 * CHOOSE(CONTROL!$C$9, $D$9, 100%, $F$9) + CHOOSE(CONTROL!$C$27, 0.0021, 0)</f>
        <v>38.730499999999999</v>
      </c>
      <c r="D327" s="14">
        <f>38.7284 * CHOOSE(CONTROL!$C$9, $D$9, 100%, $F$9) + CHOOSE(CONTROL!$C$27, 0.0021, 0)</f>
        <v>38.730499999999999</v>
      </c>
      <c r="E327" s="14">
        <f>38.5917 * CHOOSE(CONTROL!$C$9, $D$9, 100%, $F$9) + CHOOSE(CONTROL!$C$27, 0.0021, 0)</f>
        <v>38.593800000000002</v>
      </c>
      <c r="F327" s="14">
        <f>38.5917 * CHOOSE(CONTROL!$C$9, $D$9, 100%, $F$9) + CHOOSE(CONTROL!$C$27, 0.0021, 0)</f>
        <v>38.593800000000002</v>
      </c>
      <c r="G327" s="14">
        <f>38.8631 * CHOOSE(CONTROL!$C$9, $D$9, 100%, $F$9) + CHOOSE(CONTROL!$C$27, 0.0021, 0)</f>
        <v>38.865200000000002</v>
      </c>
      <c r="H327" s="14">
        <f>38.7284 * CHOOSE(CONTROL!$C$9, $D$9, 100%, $F$9) + CHOOSE(CONTROL!$C$27, 0.0021, 0)</f>
        <v>38.730499999999999</v>
      </c>
      <c r="I327" s="14">
        <f>38.7284 * CHOOSE(CONTROL!$C$9, $D$9, 100%, $F$9) + CHOOSE(CONTROL!$C$27, 0.0021, 0)</f>
        <v>38.730499999999999</v>
      </c>
      <c r="J327" s="14">
        <f>38.7284 * CHOOSE(CONTROL!$C$9, $D$9, 100%, $F$9) + CHOOSE(CONTROL!$C$27, 0.0021, 0)</f>
        <v>38.730499999999999</v>
      </c>
      <c r="K327" s="14">
        <f>38.7284 * CHOOSE(CONTROL!$C$9, $D$9, 100%, $F$9) + CHOOSE(CONTROL!$C$27, 0.0021, 0)</f>
        <v>38.730499999999999</v>
      </c>
      <c r="L327" s="14"/>
    </row>
    <row r="328" spans="1:12" ht="15.75" x14ac:dyDescent="0.25">
      <c r="A328" s="33">
        <v>50921</v>
      </c>
      <c r="B328" s="14">
        <f>39.9348 * CHOOSE(CONTROL!$C$9, $D$9, 100%, $F$9) + CHOOSE(CONTROL!$C$27, 0.0021, 0)</f>
        <v>39.936900000000001</v>
      </c>
      <c r="C328" s="14">
        <f>39.5026 * CHOOSE(CONTROL!$C$9, $D$9, 100%, $F$9) + CHOOSE(CONTROL!$C$27, 0.0021, 0)</f>
        <v>39.5047</v>
      </c>
      <c r="D328" s="14">
        <f>39.5026 * CHOOSE(CONTROL!$C$9, $D$9, 100%, $F$9) + CHOOSE(CONTROL!$C$27, 0.0021, 0)</f>
        <v>39.5047</v>
      </c>
      <c r="E328" s="14">
        <f>39.3659 * CHOOSE(CONTROL!$C$9, $D$9, 100%, $F$9) + CHOOSE(CONTROL!$C$27, 0.0021, 0)</f>
        <v>39.368000000000002</v>
      </c>
      <c r="F328" s="14">
        <f>39.3659 * CHOOSE(CONTROL!$C$9, $D$9, 100%, $F$9) + CHOOSE(CONTROL!$C$27, 0.0021, 0)</f>
        <v>39.368000000000002</v>
      </c>
      <c r="G328" s="14">
        <f>39.6373 * CHOOSE(CONTROL!$C$9, $D$9, 100%, $F$9) + CHOOSE(CONTROL!$C$27, 0.0021, 0)</f>
        <v>39.639400000000002</v>
      </c>
      <c r="H328" s="14">
        <f>39.5026 * CHOOSE(CONTROL!$C$9, $D$9, 100%, $F$9) + CHOOSE(CONTROL!$C$27, 0.0021, 0)</f>
        <v>39.5047</v>
      </c>
      <c r="I328" s="14">
        <f>39.5026 * CHOOSE(CONTROL!$C$9, $D$9, 100%, $F$9) + CHOOSE(CONTROL!$C$27, 0.0021, 0)</f>
        <v>39.5047</v>
      </c>
      <c r="J328" s="14">
        <f>39.5026 * CHOOSE(CONTROL!$C$9, $D$9, 100%, $F$9) + CHOOSE(CONTROL!$C$27, 0.0021, 0)</f>
        <v>39.5047</v>
      </c>
      <c r="K328" s="14">
        <f>39.5026 * CHOOSE(CONTROL!$C$9, $D$9, 100%, $F$9) + CHOOSE(CONTROL!$C$27, 0.0021, 0)</f>
        <v>39.5047</v>
      </c>
      <c r="L328" s="14"/>
    </row>
    <row r="329" spans="1:12" ht="15.75" x14ac:dyDescent="0.25">
      <c r="A329" s="33">
        <v>50951</v>
      </c>
      <c r="B329" s="14">
        <f>40.3986 * CHOOSE(CONTROL!$C$9, $D$9, 100%, $F$9) + CHOOSE(CONTROL!$C$27, 0.0021, 0)</f>
        <v>40.400700000000001</v>
      </c>
      <c r="C329" s="14">
        <f>39.9663 * CHOOSE(CONTROL!$C$9, $D$9, 100%, $F$9) + CHOOSE(CONTROL!$C$27, 0.0021, 0)</f>
        <v>39.968399999999995</v>
      </c>
      <c r="D329" s="14">
        <f>39.9663 * CHOOSE(CONTROL!$C$9, $D$9, 100%, $F$9) + CHOOSE(CONTROL!$C$27, 0.0021, 0)</f>
        <v>39.968399999999995</v>
      </c>
      <c r="E329" s="14">
        <f>39.8297 * CHOOSE(CONTROL!$C$9, $D$9, 100%, $F$9) + CHOOSE(CONTROL!$C$27, 0.0021, 0)</f>
        <v>39.831800000000001</v>
      </c>
      <c r="F329" s="14">
        <f>39.8297 * CHOOSE(CONTROL!$C$9, $D$9, 100%, $F$9) + CHOOSE(CONTROL!$C$27, 0.0021, 0)</f>
        <v>39.831800000000001</v>
      </c>
      <c r="G329" s="14">
        <f>40.1011 * CHOOSE(CONTROL!$C$9, $D$9, 100%, $F$9) + CHOOSE(CONTROL!$C$27, 0.0021, 0)</f>
        <v>40.103200000000001</v>
      </c>
      <c r="H329" s="14">
        <f>39.9663 * CHOOSE(CONTROL!$C$9, $D$9, 100%, $F$9) + CHOOSE(CONTROL!$C$27, 0.0021, 0)</f>
        <v>39.968399999999995</v>
      </c>
      <c r="I329" s="14">
        <f>39.9663 * CHOOSE(CONTROL!$C$9, $D$9, 100%, $F$9) + CHOOSE(CONTROL!$C$27, 0.0021, 0)</f>
        <v>39.968399999999995</v>
      </c>
      <c r="J329" s="14">
        <f>39.9663 * CHOOSE(CONTROL!$C$9, $D$9, 100%, $F$9) + CHOOSE(CONTROL!$C$27, 0.0021, 0)</f>
        <v>39.968399999999995</v>
      </c>
      <c r="K329" s="14">
        <f>39.9663 * CHOOSE(CONTROL!$C$9, $D$9, 100%, $F$9) + CHOOSE(CONTROL!$C$27, 0.0021, 0)</f>
        <v>39.968399999999995</v>
      </c>
      <c r="L329" s="14"/>
    </row>
    <row r="330" spans="1:12" ht="15.75" x14ac:dyDescent="0.25">
      <c r="A330" s="33">
        <v>50982</v>
      </c>
      <c r="B330" s="14">
        <f>41.1636 * CHOOSE(CONTROL!$C$9, $D$9, 100%, $F$9) + CHOOSE(CONTROL!$C$27, 0.0021, 0)</f>
        <v>41.165700000000001</v>
      </c>
      <c r="C330" s="14">
        <f>40.7314 * CHOOSE(CONTROL!$C$9, $D$9, 100%, $F$9) + CHOOSE(CONTROL!$C$27, 0.0021, 0)</f>
        <v>40.733499999999999</v>
      </c>
      <c r="D330" s="14">
        <f>40.7314 * CHOOSE(CONTROL!$C$9, $D$9, 100%, $F$9) + CHOOSE(CONTROL!$C$27, 0.0021, 0)</f>
        <v>40.733499999999999</v>
      </c>
      <c r="E330" s="14">
        <f>40.5947 * CHOOSE(CONTROL!$C$9, $D$9, 100%, $F$9) + CHOOSE(CONTROL!$C$27, 0.0021, 0)</f>
        <v>40.596800000000002</v>
      </c>
      <c r="F330" s="14">
        <f>40.5947 * CHOOSE(CONTROL!$C$9, $D$9, 100%, $F$9) + CHOOSE(CONTROL!$C$27, 0.0021, 0)</f>
        <v>40.596800000000002</v>
      </c>
      <c r="G330" s="14">
        <f>40.8661 * CHOOSE(CONTROL!$C$9, $D$9, 100%, $F$9) + CHOOSE(CONTROL!$C$27, 0.0021, 0)</f>
        <v>40.868200000000002</v>
      </c>
      <c r="H330" s="14">
        <f>40.7314 * CHOOSE(CONTROL!$C$9, $D$9, 100%, $F$9) + CHOOSE(CONTROL!$C$27, 0.0021, 0)</f>
        <v>40.733499999999999</v>
      </c>
      <c r="I330" s="14">
        <f>40.7314 * CHOOSE(CONTROL!$C$9, $D$9, 100%, $F$9) + CHOOSE(CONTROL!$C$27, 0.0021, 0)</f>
        <v>40.733499999999999</v>
      </c>
      <c r="J330" s="14">
        <f>40.7314 * CHOOSE(CONTROL!$C$9, $D$9, 100%, $F$9) + CHOOSE(CONTROL!$C$27, 0.0021, 0)</f>
        <v>40.733499999999999</v>
      </c>
      <c r="K330" s="14">
        <f>40.7314 * CHOOSE(CONTROL!$C$9, $D$9, 100%, $F$9) + CHOOSE(CONTROL!$C$27, 0.0021, 0)</f>
        <v>40.733499999999999</v>
      </c>
      <c r="L330" s="14"/>
    </row>
    <row r="331" spans="1:12" ht="15.75" x14ac:dyDescent="0.25">
      <c r="A331" s="33">
        <v>51013</v>
      </c>
      <c r="B331" s="14">
        <f>41.3971 * CHOOSE(CONTROL!$C$9, $D$9, 100%, $F$9) + CHOOSE(CONTROL!$C$27, 0.0021, 0)</f>
        <v>41.3992</v>
      </c>
      <c r="C331" s="14">
        <f>40.9649 * CHOOSE(CONTROL!$C$9, $D$9, 100%, $F$9) + CHOOSE(CONTROL!$C$27, 0.0021, 0)</f>
        <v>40.966999999999999</v>
      </c>
      <c r="D331" s="14">
        <f>40.9649 * CHOOSE(CONTROL!$C$9, $D$9, 100%, $F$9) + CHOOSE(CONTROL!$C$27, 0.0021, 0)</f>
        <v>40.966999999999999</v>
      </c>
      <c r="E331" s="14">
        <f>40.8282 * CHOOSE(CONTROL!$C$9, $D$9, 100%, $F$9) + CHOOSE(CONTROL!$C$27, 0.0021, 0)</f>
        <v>40.830300000000001</v>
      </c>
      <c r="F331" s="14">
        <f>40.8282 * CHOOSE(CONTROL!$C$9, $D$9, 100%, $F$9) + CHOOSE(CONTROL!$C$27, 0.0021, 0)</f>
        <v>40.830300000000001</v>
      </c>
      <c r="G331" s="14">
        <f>41.0996 * CHOOSE(CONTROL!$C$9, $D$9, 100%, $F$9) + CHOOSE(CONTROL!$C$27, 0.0021, 0)</f>
        <v>41.101700000000001</v>
      </c>
      <c r="H331" s="14">
        <f>40.9649 * CHOOSE(CONTROL!$C$9, $D$9, 100%, $F$9) + CHOOSE(CONTROL!$C$27, 0.0021, 0)</f>
        <v>40.966999999999999</v>
      </c>
      <c r="I331" s="14">
        <f>40.9649 * CHOOSE(CONTROL!$C$9, $D$9, 100%, $F$9) + CHOOSE(CONTROL!$C$27, 0.0021, 0)</f>
        <v>40.966999999999999</v>
      </c>
      <c r="J331" s="14">
        <f>40.9649 * CHOOSE(CONTROL!$C$9, $D$9, 100%, $F$9) + CHOOSE(CONTROL!$C$27, 0.0021, 0)</f>
        <v>40.966999999999999</v>
      </c>
      <c r="K331" s="14">
        <f>40.9649 * CHOOSE(CONTROL!$C$9, $D$9, 100%, $F$9) + CHOOSE(CONTROL!$C$27, 0.0021, 0)</f>
        <v>40.966999999999999</v>
      </c>
      <c r="L331" s="14"/>
    </row>
    <row r="332" spans="1:12" ht="15.75" x14ac:dyDescent="0.25">
      <c r="A332" s="33">
        <v>51043</v>
      </c>
      <c r="B332" s="14">
        <f>42.1923 * CHOOSE(CONTROL!$C$9, $D$9, 100%, $F$9) + CHOOSE(CONTROL!$C$27, 0.0021, 0)</f>
        <v>42.194400000000002</v>
      </c>
      <c r="C332" s="14">
        <f>41.7601 * CHOOSE(CONTROL!$C$9, $D$9, 100%, $F$9) + CHOOSE(CONTROL!$C$27, 0.0021, 0)</f>
        <v>41.7622</v>
      </c>
      <c r="D332" s="14">
        <f>41.7601 * CHOOSE(CONTROL!$C$9, $D$9, 100%, $F$9) + CHOOSE(CONTROL!$C$27, 0.0021, 0)</f>
        <v>41.7622</v>
      </c>
      <c r="E332" s="14">
        <f>41.6234 * CHOOSE(CONTROL!$C$9, $D$9, 100%, $F$9) + CHOOSE(CONTROL!$C$27, 0.0021, 0)</f>
        <v>41.625499999999995</v>
      </c>
      <c r="F332" s="14">
        <f>41.6234 * CHOOSE(CONTROL!$C$9, $D$9, 100%, $F$9) + CHOOSE(CONTROL!$C$27, 0.0021, 0)</f>
        <v>41.625499999999995</v>
      </c>
      <c r="G332" s="14">
        <f>41.8948 * CHOOSE(CONTROL!$C$9, $D$9, 100%, $F$9) + CHOOSE(CONTROL!$C$27, 0.0021, 0)</f>
        <v>41.896899999999995</v>
      </c>
      <c r="H332" s="14">
        <f>41.7601 * CHOOSE(CONTROL!$C$9, $D$9, 100%, $F$9) + CHOOSE(CONTROL!$C$27, 0.0021, 0)</f>
        <v>41.7622</v>
      </c>
      <c r="I332" s="14">
        <f>41.7601 * CHOOSE(CONTROL!$C$9, $D$9, 100%, $F$9) + CHOOSE(CONTROL!$C$27, 0.0021, 0)</f>
        <v>41.7622</v>
      </c>
      <c r="J332" s="14">
        <f>41.7601 * CHOOSE(CONTROL!$C$9, $D$9, 100%, $F$9) + CHOOSE(CONTROL!$C$27, 0.0021, 0)</f>
        <v>41.7622</v>
      </c>
      <c r="K332" s="14">
        <f>41.7601 * CHOOSE(CONTROL!$C$9, $D$9, 100%, $F$9) + CHOOSE(CONTROL!$C$27, 0.0021, 0)</f>
        <v>41.7622</v>
      </c>
      <c r="L332" s="14"/>
    </row>
    <row r="333" spans="1:12" ht="15.75" x14ac:dyDescent="0.25">
      <c r="A333" s="33">
        <v>51074</v>
      </c>
      <c r="B333" s="14">
        <f>43.1989 * CHOOSE(CONTROL!$C$9, $D$9, 100%, $F$9) + CHOOSE(CONTROL!$C$27, 0.0021, 0)</f>
        <v>43.201000000000001</v>
      </c>
      <c r="C333" s="14">
        <f>42.7666 * CHOOSE(CONTROL!$C$9, $D$9, 100%, $F$9) + CHOOSE(CONTROL!$C$27, 0.0021, 0)</f>
        <v>42.768699999999995</v>
      </c>
      <c r="D333" s="14">
        <f>42.7666 * CHOOSE(CONTROL!$C$9, $D$9, 100%, $F$9) + CHOOSE(CONTROL!$C$27, 0.0021, 0)</f>
        <v>42.768699999999995</v>
      </c>
      <c r="E333" s="14">
        <f>42.63 * CHOOSE(CONTROL!$C$9, $D$9, 100%, $F$9) + CHOOSE(CONTROL!$C$27, 0.0021, 0)</f>
        <v>42.632100000000001</v>
      </c>
      <c r="F333" s="14">
        <f>42.63 * CHOOSE(CONTROL!$C$9, $D$9, 100%, $F$9) + CHOOSE(CONTROL!$C$27, 0.0021, 0)</f>
        <v>42.632100000000001</v>
      </c>
      <c r="G333" s="14">
        <f>42.9013 * CHOOSE(CONTROL!$C$9, $D$9, 100%, $F$9) + CHOOSE(CONTROL!$C$27, 0.0021, 0)</f>
        <v>42.903399999999998</v>
      </c>
      <c r="H333" s="14">
        <f>42.7666 * CHOOSE(CONTROL!$C$9, $D$9, 100%, $F$9) + CHOOSE(CONTROL!$C$27, 0.0021, 0)</f>
        <v>42.768699999999995</v>
      </c>
      <c r="I333" s="14">
        <f>42.7666 * CHOOSE(CONTROL!$C$9, $D$9, 100%, $F$9) + CHOOSE(CONTROL!$C$27, 0.0021, 0)</f>
        <v>42.768699999999995</v>
      </c>
      <c r="J333" s="14">
        <f>42.7666 * CHOOSE(CONTROL!$C$9, $D$9, 100%, $F$9) + CHOOSE(CONTROL!$C$27, 0.0021, 0)</f>
        <v>42.768699999999995</v>
      </c>
      <c r="K333" s="14">
        <f>42.7666 * CHOOSE(CONTROL!$C$9, $D$9, 100%, $F$9) + CHOOSE(CONTROL!$C$27, 0.0021, 0)</f>
        <v>42.768699999999995</v>
      </c>
      <c r="L333" s="14"/>
    </row>
    <row r="334" spans="1:12" ht="15.75" x14ac:dyDescent="0.25">
      <c r="A334" s="33">
        <v>51104</v>
      </c>
      <c r="B334" s="14">
        <f>43.2934 * CHOOSE(CONTROL!$C$9, $D$9, 100%, $F$9) + CHOOSE(CONTROL!$C$27, 0.0021, 0)</f>
        <v>43.295499999999997</v>
      </c>
      <c r="C334" s="14">
        <f>42.8611 * CHOOSE(CONTROL!$C$9, $D$9, 100%, $F$9) + CHOOSE(CONTROL!$C$27, 0.0021, 0)</f>
        <v>42.863199999999999</v>
      </c>
      <c r="D334" s="14">
        <f>42.8611 * CHOOSE(CONTROL!$C$9, $D$9, 100%, $F$9) + CHOOSE(CONTROL!$C$27, 0.0021, 0)</f>
        <v>42.863199999999999</v>
      </c>
      <c r="E334" s="14">
        <f>42.7245 * CHOOSE(CONTROL!$C$9, $D$9, 100%, $F$9) + CHOOSE(CONTROL!$C$27, 0.0021, 0)</f>
        <v>42.726599999999998</v>
      </c>
      <c r="F334" s="14">
        <f>42.7245 * CHOOSE(CONTROL!$C$9, $D$9, 100%, $F$9) + CHOOSE(CONTROL!$C$27, 0.0021, 0)</f>
        <v>42.726599999999998</v>
      </c>
      <c r="G334" s="14">
        <f>42.9958 * CHOOSE(CONTROL!$C$9, $D$9, 100%, $F$9) + CHOOSE(CONTROL!$C$27, 0.0021, 0)</f>
        <v>42.997900000000001</v>
      </c>
      <c r="H334" s="14">
        <f>42.8611 * CHOOSE(CONTROL!$C$9, $D$9, 100%, $F$9) + CHOOSE(CONTROL!$C$27, 0.0021, 0)</f>
        <v>42.863199999999999</v>
      </c>
      <c r="I334" s="14">
        <f>42.8611 * CHOOSE(CONTROL!$C$9, $D$9, 100%, $F$9) + CHOOSE(CONTROL!$C$27, 0.0021, 0)</f>
        <v>42.863199999999999</v>
      </c>
      <c r="J334" s="14">
        <f>42.8611 * CHOOSE(CONTROL!$C$9, $D$9, 100%, $F$9) + CHOOSE(CONTROL!$C$27, 0.0021, 0)</f>
        <v>42.863199999999999</v>
      </c>
      <c r="K334" s="14">
        <f>42.8611 * CHOOSE(CONTROL!$C$9, $D$9, 100%, $F$9) + CHOOSE(CONTROL!$C$27, 0.0021, 0)</f>
        <v>42.863199999999999</v>
      </c>
      <c r="L334" s="14"/>
    </row>
    <row r="335" spans="1:12" ht="15.75" x14ac:dyDescent="0.25">
      <c r="A335" s="33">
        <v>51135</v>
      </c>
      <c r="B335" s="14">
        <f>42.4894 * CHOOSE(CONTROL!$C$9, $D$9, 100%, $F$9) + CHOOSE(CONTROL!$C$27, 0.0021, 0)</f>
        <v>42.491500000000002</v>
      </c>
      <c r="C335" s="14">
        <f>42.0572 * CHOOSE(CONTROL!$C$9, $D$9, 100%, $F$9) + CHOOSE(CONTROL!$C$27, 0.0021, 0)</f>
        <v>42.0593</v>
      </c>
      <c r="D335" s="14">
        <f>42.0572 * CHOOSE(CONTROL!$C$9, $D$9, 100%, $F$9) + CHOOSE(CONTROL!$C$27, 0.0021, 0)</f>
        <v>42.0593</v>
      </c>
      <c r="E335" s="14">
        <f>41.9205 * CHOOSE(CONTROL!$C$9, $D$9, 100%, $F$9) + CHOOSE(CONTROL!$C$27, 0.0021, 0)</f>
        <v>41.922599999999996</v>
      </c>
      <c r="F335" s="14">
        <f>41.9205 * CHOOSE(CONTROL!$C$9, $D$9, 100%, $F$9) + CHOOSE(CONTROL!$C$27, 0.0021, 0)</f>
        <v>41.922599999999996</v>
      </c>
      <c r="G335" s="14">
        <f>42.1919 * CHOOSE(CONTROL!$C$9, $D$9, 100%, $F$9) + CHOOSE(CONTROL!$C$27, 0.0021, 0)</f>
        <v>42.193999999999996</v>
      </c>
      <c r="H335" s="14">
        <f>42.0572 * CHOOSE(CONTROL!$C$9, $D$9, 100%, $F$9) + CHOOSE(CONTROL!$C$27, 0.0021, 0)</f>
        <v>42.0593</v>
      </c>
      <c r="I335" s="14">
        <f>42.0572 * CHOOSE(CONTROL!$C$9, $D$9, 100%, $F$9) + CHOOSE(CONTROL!$C$27, 0.0021, 0)</f>
        <v>42.0593</v>
      </c>
      <c r="J335" s="14">
        <f>42.0572 * CHOOSE(CONTROL!$C$9, $D$9, 100%, $F$9) + CHOOSE(CONTROL!$C$27, 0.0021, 0)</f>
        <v>42.0593</v>
      </c>
      <c r="K335" s="14">
        <f>42.0572 * CHOOSE(CONTROL!$C$9, $D$9, 100%, $F$9) + CHOOSE(CONTROL!$C$27, 0.0021, 0)</f>
        <v>42.0593</v>
      </c>
      <c r="L335" s="14"/>
    </row>
    <row r="336" spans="1:12" ht="15.75" x14ac:dyDescent="0.25">
      <c r="A336" s="33">
        <v>51166</v>
      </c>
      <c r="B336" s="14">
        <f>41.9628 * CHOOSE(CONTROL!$C$9, $D$9, 100%, $F$9) + CHOOSE(CONTROL!$C$27, 0.0021, 0)</f>
        <v>41.9649</v>
      </c>
      <c r="C336" s="14">
        <f>41.5305 * CHOOSE(CONTROL!$C$9, $D$9, 100%, $F$9) + CHOOSE(CONTROL!$C$27, 0.0021, 0)</f>
        <v>41.532600000000002</v>
      </c>
      <c r="D336" s="14">
        <f>41.5305 * CHOOSE(CONTROL!$C$9, $D$9, 100%, $F$9) + CHOOSE(CONTROL!$C$27, 0.0021, 0)</f>
        <v>41.532600000000002</v>
      </c>
      <c r="E336" s="14">
        <f>41.3939 * CHOOSE(CONTROL!$C$9, $D$9, 100%, $F$9) + CHOOSE(CONTROL!$C$27, 0.0021, 0)</f>
        <v>41.396000000000001</v>
      </c>
      <c r="F336" s="14">
        <f>41.3939 * CHOOSE(CONTROL!$C$9, $D$9, 100%, $F$9) + CHOOSE(CONTROL!$C$27, 0.0021, 0)</f>
        <v>41.396000000000001</v>
      </c>
      <c r="G336" s="14">
        <f>41.6652 * CHOOSE(CONTROL!$C$9, $D$9, 100%, $F$9) + CHOOSE(CONTROL!$C$27, 0.0021, 0)</f>
        <v>41.667299999999997</v>
      </c>
      <c r="H336" s="14">
        <f>41.5305 * CHOOSE(CONTROL!$C$9, $D$9, 100%, $F$9) + CHOOSE(CONTROL!$C$27, 0.0021, 0)</f>
        <v>41.532600000000002</v>
      </c>
      <c r="I336" s="14">
        <f>41.5305 * CHOOSE(CONTROL!$C$9, $D$9, 100%, $F$9) + CHOOSE(CONTROL!$C$27, 0.0021, 0)</f>
        <v>41.532600000000002</v>
      </c>
      <c r="J336" s="14">
        <f>41.5305 * CHOOSE(CONTROL!$C$9, $D$9, 100%, $F$9) + CHOOSE(CONTROL!$C$27, 0.0021, 0)</f>
        <v>41.532600000000002</v>
      </c>
      <c r="K336" s="14">
        <f>41.5305 * CHOOSE(CONTROL!$C$9, $D$9, 100%, $F$9) + CHOOSE(CONTROL!$C$27, 0.0021, 0)</f>
        <v>41.532600000000002</v>
      </c>
      <c r="L336" s="14"/>
    </row>
    <row r="337" spans="1:12" ht="15.75" x14ac:dyDescent="0.25">
      <c r="A337" s="33">
        <v>51194</v>
      </c>
      <c r="B337" s="14">
        <f>40.8407 * CHOOSE(CONTROL!$C$9, $D$9, 100%, $F$9) + CHOOSE(CONTROL!$C$27, 0.0021, 0)</f>
        <v>40.842799999999997</v>
      </c>
      <c r="C337" s="14">
        <f>40.4084 * CHOOSE(CONTROL!$C$9, $D$9, 100%, $F$9) + CHOOSE(CONTROL!$C$27, 0.0021, 0)</f>
        <v>40.410499999999999</v>
      </c>
      <c r="D337" s="14">
        <f>40.4084 * CHOOSE(CONTROL!$C$9, $D$9, 100%, $F$9) + CHOOSE(CONTROL!$C$27, 0.0021, 0)</f>
        <v>40.410499999999999</v>
      </c>
      <c r="E337" s="14">
        <f>40.2718 * CHOOSE(CONTROL!$C$9, $D$9, 100%, $F$9) + CHOOSE(CONTROL!$C$27, 0.0021, 0)</f>
        <v>40.273899999999998</v>
      </c>
      <c r="F337" s="14">
        <f>40.2718 * CHOOSE(CONTROL!$C$9, $D$9, 100%, $F$9) + CHOOSE(CONTROL!$C$27, 0.0021, 0)</f>
        <v>40.273899999999998</v>
      </c>
      <c r="G337" s="14">
        <f>40.5431 * CHOOSE(CONTROL!$C$9, $D$9, 100%, $F$9) + CHOOSE(CONTROL!$C$27, 0.0021, 0)</f>
        <v>40.545200000000001</v>
      </c>
      <c r="H337" s="14">
        <f>40.4084 * CHOOSE(CONTROL!$C$9, $D$9, 100%, $F$9) + CHOOSE(CONTROL!$C$27, 0.0021, 0)</f>
        <v>40.410499999999999</v>
      </c>
      <c r="I337" s="14">
        <f>40.4084 * CHOOSE(CONTROL!$C$9, $D$9, 100%, $F$9) + CHOOSE(CONTROL!$C$27, 0.0021, 0)</f>
        <v>40.410499999999999</v>
      </c>
      <c r="J337" s="14">
        <f>40.4084 * CHOOSE(CONTROL!$C$9, $D$9, 100%, $F$9) + CHOOSE(CONTROL!$C$27, 0.0021, 0)</f>
        <v>40.410499999999999</v>
      </c>
      <c r="K337" s="14">
        <f>40.4084 * CHOOSE(CONTROL!$C$9, $D$9, 100%, $F$9) + CHOOSE(CONTROL!$C$27, 0.0021, 0)</f>
        <v>40.410499999999999</v>
      </c>
      <c r="L337" s="14"/>
    </row>
    <row r="338" spans="1:12" ht="15.75" x14ac:dyDescent="0.25">
      <c r="A338" s="33">
        <v>51226</v>
      </c>
      <c r="B338" s="14">
        <f>40.3775 * CHOOSE(CONTROL!$C$9, $D$9, 100%, $F$9) + CHOOSE(CONTROL!$C$27, 0.0021, 0)</f>
        <v>40.379599999999996</v>
      </c>
      <c r="C338" s="14">
        <f>39.9452 * CHOOSE(CONTROL!$C$9, $D$9, 100%, $F$9) + CHOOSE(CONTROL!$C$27, 0.0021, 0)</f>
        <v>39.947299999999998</v>
      </c>
      <c r="D338" s="14">
        <f>39.9452 * CHOOSE(CONTROL!$C$9, $D$9, 100%, $F$9) + CHOOSE(CONTROL!$C$27, 0.0021, 0)</f>
        <v>39.947299999999998</v>
      </c>
      <c r="E338" s="14">
        <f>39.8086 * CHOOSE(CONTROL!$C$9, $D$9, 100%, $F$9) + CHOOSE(CONTROL!$C$27, 0.0021, 0)</f>
        <v>39.810699999999997</v>
      </c>
      <c r="F338" s="14">
        <f>39.8086 * CHOOSE(CONTROL!$C$9, $D$9, 100%, $F$9) + CHOOSE(CONTROL!$C$27, 0.0021, 0)</f>
        <v>39.810699999999997</v>
      </c>
      <c r="G338" s="14">
        <f>40.0799 * CHOOSE(CONTROL!$C$9, $D$9, 100%, $F$9) + CHOOSE(CONTROL!$C$27, 0.0021, 0)</f>
        <v>40.082000000000001</v>
      </c>
      <c r="H338" s="14">
        <f>39.9452 * CHOOSE(CONTROL!$C$9, $D$9, 100%, $F$9) + CHOOSE(CONTROL!$C$27, 0.0021, 0)</f>
        <v>39.947299999999998</v>
      </c>
      <c r="I338" s="14">
        <f>39.9452 * CHOOSE(CONTROL!$C$9, $D$9, 100%, $F$9) + CHOOSE(CONTROL!$C$27, 0.0021, 0)</f>
        <v>39.947299999999998</v>
      </c>
      <c r="J338" s="14">
        <f>39.9452 * CHOOSE(CONTROL!$C$9, $D$9, 100%, $F$9) + CHOOSE(CONTROL!$C$27, 0.0021, 0)</f>
        <v>39.947299999999998</v>
      </c>
      <c r="K338" s="14">
        <f>39.9452 * CHOOSE(CONTROL!$C$9, $D$9, 100%, $F$9) + CHOOSE(CONTROL!$C$27, 0.0021, 0)</f>
        <v>39.947299999999998</v>
      </c>
      <c r="L338" s="14"/>
    </row>
    <row r="339" spans="1:12" ht="15.75" x14ac:dyDescent="0.25">
      <c r="A339" s="33">
        <v>51256</v>
      </c>
      <c r="B339" s="14">
        <f>39.8244 * CHOOSE(CONTROL!$C$9, $D$9, 100%, $F$9) + CHOOSE(CONTROL!$C$27, 0.0021, 0)</f>
        <v>39.826499999999996</v>
      </c>
      <c r="C339" s="14">
        <f>39.3922 * CHOOSE(CONTROL!$C$9, $D$9, 100%, $F$9) + CHOOSE(CONTROL!$C$27, 0.0021, 0)</f>
        <v>39.394300000000001</v>
      </c>
      <c r="D339" s="14">
        <f>39.3922 * CHOOSE(CONTROL!$C$9, $D$9, 100%, $F$9) + CHOOSE(CONTROL!$C$27, 0.0021, 0)</f>
        <v>39.394300000000001</v>
      </c>
      <c r="E339" s="14">
        <f>39.2555 * CHOOSE(CONTROL!$C$9, $D$9, 100%, $F$9) + CHOOSE(CONTROL!$C$27, 0.0021, 0)</f>
        <v>39.257599999999996</v>
      </c>
      <c r="F339" s="14">
        <f>39.2555 * CHOOSE(CONTROL!$C$9, $D$9, 100%, $F$9) + CHOOSE(CONTROL!$C$27, 0.0021, 0)</f>
        <v>39.257599999999996</v>
      </c>
      <c r="G339" s="14">
        <f>39.5269 * CHOOSE(CONTROL!$C$9, $D$9, 100%, $F$9) + CHOOSE(CONTROL!$C$27, 0.0021, 0)</f>
        <v>39.528999999999996</v>
      </c>
      <c r="H339" s="14">
        <f>39.3922 * CHOOSE(CONTROL!$C$9, $D$9, 100%, $F$9) + CHOOSE(CONTROL!$C$27, 0.0021, 0)</f>
        <v>39.394300000000001</v>
      </c>
      <c r="I339" s="14">
        <f>39.3922 * CHOOSE(CONTROL!$C$9, $D$9, 100%, $F$9) + CHOOSE(CONTROL!$C$27, 0.0021, 0)</f>
        <v>39.394300000000001</v>
      </c>
      <c r="J339" s="14">
        <f>39.3922 * CHOOSE(CONTROL!$C$9, $D$9, 100%, $F$9) + CHOOSE(CONTROL!$C$27, 0.0021, 0)</f>
        <v>39.394300000000001</v>
      </c>
      <c r="K339" s="14">
        <f>39.3922 * CHOOSE(CONTROL!$C$9, $D$9, 100%, $F$9) + CHOOSE(CONTROL!$C$27, 0.0021, 0)</f>
        <v>39.394300000000001</v>
      </c>
      <c r="L339" s="14"/>
    </row>
    <row r="340" spans="1:12" ht="15.75" x14ac:dyDescent="0.25">
      <c r="A340" s="33">
        <v>51287</v>
      </c>
      <c r="B340" s="14">
        <f>40.6126 * CHOOSE(CONTROL!$C$9, $D$9, 100%, $F$9) + CHOOSE(CONTROL!$C$27, 0.0021, 0)</f>
        <v>40.614699999999999</v>
      </c>
      <c r="C340" s="14">
        <f>40.1803 * CHOOSE(CONTROL!$C$9, $D$9, 100%, $F$9) + CHOOSE(CONTROL!$C$27, 0.0021, 0)</f>
        <v>40.182400000000001</v>
      </c>
      <c r="D340" s="14">
        <f>40.1803 * CHOOSE(CONTROL!$C$9, $D$9, 100%, $F$9) + CHOOSE(CONTROL!$C$27, 0.0021, 0)</f>
        <v>40.182400000000001</v>
      </c>
      <c r="E340" s="14">
        <f>40.0437 * CHOOSE(CONTROL!$C$9, $D$9, 100%, $F$9) + CHOOSE(CONTROL!$C$27, 0.0021, 0)</f>
        <v>40.0458</v>
      </c>
      <c r="F340" s="14">
        <f>40.0437 * CHOOSE(CONTROL!$C$9, $D$9, 100%, $F$9) + CHOOSE(CONTROL!$C$27, 0.0021, 0)</f>
        <v>40.0458</v>
      </c>
      <c r="G340" s="14">
        <f>40.3151 * CHOOSE(CONTROL!$C$9, $D$9, 100%, $F$9) + CHOOSE(CONTROL!$C$27, 0.0021, 0)</f>
        <v>40.3172</v>
      </c>
      <c r="H340" s="14">
        <f>40.1803 * CHOOSE(CONTROL!$C$9, $D$9, 100%, $F$9) + CHOOSE(CONTROL!$C$27, 0.0021, 0)</f>
        <v>40.182400000000001</v>
      </c>
      <c r="I340" s="14">
        <f>40.1803 * CHOOSE(CONTROL!$C$9, $D$9, 100%, $F$9) + CHOOSE(CONTROL!$C$27, 0.0021, 0)</f>
        <v>40.182400000000001</v>
      </c>
      <c r="J340" s="14">
        <f>40.1803 * CHOOSE(CONTROL!$C$9, $D$9, 100%, $F$9) + CHOOSE(CONTROL!$C$27, 0.0021, 0)</f>
        <v>40.182400000000001</v>
      </c>
      <c r="K340" s="14">
        <f>40.1803 * CHOOSE(CONTROL!$C$9, $D$9, 100%, $F$9) + CHOOSE(CONTROL!$C$27, 0.0021, 0)</f>
        <v>40.182400000000001</v>
      </c>
      <c r="L340" s="14"/>
    </row>
    <row r="341" spans="1:12" ht="15.75" x14ac:dyDescent="0.25">
      <c r="A341" s="33">
        <v>51317</v>
      </c>
      <c r="B341" s="14">
        <f>41.0847 * CHOOSE(CONTROL!$C$9, $D$9, 100%, $F$9) + CHOOSE(CONTROL!$C$27, 0.0021, 0)</f>
        <v>41.086799999999997</v>
      </c>
      <c r="C341" s="14">
        <f>40.6524 * CHOOSE(CONTROL!$C$9, $D$9, 100%, $F$9) + CHOOSE(CONTROL!$C$27, 0.0021, 0)</f>
        <v>40.654499999999999</v>
      </c>
      <c r="D341" s="14">
        <f>40.6524 * CHOOSE(CONTROL!$C$9, $D$9, 100%, $F$9) + CHOOSE(CONTROL!$C$27, 0.0021, 0)</f>
        <v>40.654499999999999</v>
      </c>
      <c r="E341" s="14">
        <f>40.5158 * CHOOSE(CONTROL!$C$9, $D$9, 100%, $F$9) + CHOOSE(CONTROL!$C$27, 0.0021, 0)</f>
        <v>40.517899999999997</v>
      </c>
      <c r="F341" s="14">
        <f>40.5158 * CHOOSE(CONTROL!$C$9, $D$9, 100%, $F$9) + CHOOSE(CONTROL!$C$27, 0.0021, 0)</f>
        <v>40.517899999999997</v>
      </c>
      <c r="G341" s="14">
        <f>40.7872 * CHOOSE(CONTROL!$C$9, $D$9, 100%, $F$9) + CHOOSE(CONTROL!$C$27, 0.0021, 0)</f>
        <v>40.789299999999997</v>
      </c>
      <c r="H341" s="14">
        <f>40.6524 * CHOOSE(CONTROL!$C$9, $D$9, 100%, $F$9) + CHOOSE(CONTROL!$C$27, 0.0021, 0)</f>
        <v>40.654499999999999</v>
      </c>
      <c r="I341" s="14">
        <f>40.6524 * CHOOSE(CONTROL!$C$9, $D$9, 100%, $F$9) + CHOOSE(CONTROL!$C$27, 0.0021, 0)</f>
        <v>40.654499999999999</v>
      </c>
      <c r="J341" s="14">
        <f>40.6524 * CHOOSE(CONTROL!$C$9, $D$9, 100%, $F$9) + CHOOSE(CONTROL!$C$27, 0.0021, 0)</f>
        <v>40.654499999999999</v>
      </c>
      <c r="K341" s="14">
        <f>40.6524 * CHOOSE(CONTROL!$C$9, $D$9, 100%, $F$9) + CHOOSE(CONTROL!$C$27, 0.0021, 0)</f>
        <v>40.654499999999999</v>
      </c>
      <c r="L341" s="14"/>
    </row>
    <row r="342" spans="1:12" ht="15.75" x14ac:dyDescent="0.25">
      <c r="A342" s="33">
        <v>51348</v>
      </c>
      <c r="B342" s="14">
        <f>41.8635 * CHOOSE(CONTROL!$C$9, $D$9, 100%, $F$9) + CHOOSE(CONTROL!$C$27, 0.0021, 0)</f>
        <v>41.865600000000001</v>
      </c>
      <c r="C342" s="14">
        <f>41.4312 * CHOOSE(CONTROL!$C$9, $D$9, 100%, $F$9) + CHOOSE(CONTROL!$C$27, 0.0021, 0)</f>
        <v>41.433299999999996</v>
      </c>
      <c r="D342" s="14">
        <f>41.4312 * CHOOSE(CONTROL!$C$9, $D$9, 100%, $F$9) + CHOOSE(CONTROL!$C$27, 0.0021, 0)</f>
        <v>41.433299999999996</v>
      </c>
      <c r="E342" s="14">
        <f>41.2946 * CHOOSE(CONTROL!$C$9, $D$9, 100%, $F$9) + CHOOSE(CONTROL!$C$27, 0.0021, 0)</f>
        <v>41.296700000000001</v>
      </c>
      <c r="F342" s="14">
        <f>41.2946 * CHOOSE(CONTROL!$C$9, $D$9, 100%, $F$9) + CHOOSE(CONTROL!$C$27, 0.0021, 0)</f>
        <v>41.296700000000001</v>
      </c>
      <c r="G342" s="14">
        <f>41.5659 * CHOOSE(CONTROL!$C$9, $D$9, 100%, $F$9) + CHOOSE(CONTROL!$C$27, 0.0021, 0)</f>
        <v>41.567999999999998</v>
      </c>
      <c r="H342" s="14">
        <f>41.4312 * CHOOSE(CONTROL!$C$9, $D$9, 100%, $F$9) + CHOOSE(CONTROL!$C$27, 0.0021, 0)</f>
        <v>41.433299999999996</v>
      </c>
      <c r="I342" s="14">
        <f>41.4312 * CHOOSE(CONTROL!$C$9, $D$9, 100%, $F$9) + CHOOSE(CONTROL!$C$27, 0.0021, 0)</f>
        <v>41.433299999999996</v>
      </c>
      <c r="J342" s="14">
        <f>41.4312 * CHOOSE(CONTROL!$C$9, $D$9, 100%, $F$9) + CHOOSE(CONTROL!$C$27, 0.0021, 0)</f>
        <v>41.433299999999996</v>
      </c>
      <c r="K342" s="14">
        <f>41.4312 * CHOOSE(CONTROL!$C$9, $D$9, 100%, $F$9) + CHOOSE(CONTROL!$C$27, 0.0021, 0)</f>
        <v>41.433299999999996</v>
      </c>
      <c r="L342" s="14"/>
    </row>
    <row r="343" spans="1:12" ht="15.75" x14ac:dyDescent="0.25">
      <c r="A343" s="33">
        <v>51379</v>
      </c>
      <c r="B343" s="14">
        <f>42.1012 * CHOOSE(CONTROL!$C$9, $D$9, 100%, $F$9) + CHOOSE(CONTROL!$C$27, 0.0021, 0)</f>
        <v>42.103299999999997</v>
      </c>
      <c r="C343" s="14">
        <f>41.6689 * CHOOSE(CONTROL!$C$9, $D$9, 100%, $F$9) + CHOOSE(CONTROL!$C$27, 0.0021, 0)</f>
        <v>41.670999999999999</v>
      </c>
      <c r="D343" s="14">
        <f>41.6689 * CHOOSE(CONTROL!$C$9, $D$9, 100%, $F$9) + CHOOSE(CONTROL!$C$27, 0.0021, 0)</f>
        <v>41.670999999999999</v>
      </c>
      <c r="E343" s="14">
        <f>41.5323 * CHOOSE(CONTROL!$C$9, $D$9, 100%, $F$9) + CHOOSE(CONTROL!$C$27, 0.0021, 0)</f>
        <v>41.534399999999998</v>
      </c>
      <c r="F343" s="14">
        <f>41.5323 * CHOOSE(CONTROL!$C$9, $D$9, 100%, $F$9) + CHOOSE(CONTROL!$C$27, 0.0021, 0)</f>
        <v>41.534399999999998</v>
      </c>
      <c r="G343" s="14">
        <f>41.8036 * CHOOSE(CONTROL!$C$9, $D$9, 100%, $F$9) + CHOOSE(CONTROL!$C$27, 0.0021, 0)</f>
        <v>41.805700000000002</v>
      </c>
      <c r="H343" s="14">
        <f>41.6689 * CHOOSE(CONTROL!$C$9, $D$9, 100%, $F$9) + CHOOSE(CONTROL!$C$27, 0.0021, 0)</f>
        <v>41.670999999999999</v>
      </c>
      <c r="I343" s="14">
        <f>41.6689 * CHOOSE(CONTROL!$C$9, $D$9, 100%, $F$9) + CHOOSE(CONTROL!$C$27, 0.0021, 0)</f>
        <v>41.670999999999999</v>
      </c>
      <c r="J343" s="14">
        <f>41.6689 * CHOOSE(CONTROL!$C$9, $D$9, 100%, $F$9) + CHOOSE(CONTROL!$C$27, 0.0021, 0)</f>
        <v>41.670999999999999</v>
      </c>
      <c r="K343" s="14">
        <f>41.6689 * CHOOSE(CONTROL!$C$9, $D$9, 100%, $F$9) + CHOOSE(CONTROL!$C$27, 0.0021, 0)</f>
        <v>41.670999999999999</v>
      </c>
      <c r="L343" s="14"/>
    </row>
    <row r="344" spans="1:12" ht="15.75" x14ac:dyDescent="0.25">
      <c r="A344" s="33">
        <v>51409</v>
      </c>
      <c r="B344" s="14">
        <f>42.9107 * CHOOSE(CONTROL!$C$9, $D$9, 100%, $F$9) + CHOOSE(CONTROL!$C$27, 0.0021, 0)</f>
        <v>42.912799999999997</v>
      </c>
      <c r="C344" s="14">
        <f>42.4784 * CHOOSE(CONTROL!$C$9, $D$9, 100%, $F$9) + CHOOSE(CONTROL!$C$27, 0.0021, 0)</f>
        <v>42.480499999999999</v>
      </c>
      <c r="D344" s="14">
        <f>42.4784 * CHOOSE(CONTROL!$C$9, $D$9, 100%, $F$9) + CHOOSE(CONTROL!$C$27, 0.0021, 0)</f>
        <v>42.480499999999999</v>
      </c>
      <c r="E344" s="14">
        <f>42.3418 * CHOOSE(CONTROL!$C$9, $D$9, 100%, $F$9) + CHOOSE(CONTROL!$C$27, 0.0021, 0)</f>
        <v>42.343899999999998</v>
      </c>
      <c r="F344" s="14">
        <f>42.3418 * CHOOSE(CONTROL!$C$9, $D$9, 100%, $F$9) + CHOOSE(CONTROL!$C$27, 0.0021, 0)</f>
        <v>42.343899999999998</v>
      </c>
      <c r="G344" s="14">
        <f>42.6132 * CHOOSE(CONTROL!$C$9, $D$9, 100%, $F$9) + CHOOSE(CONTROL!$C$27, 0.0021, 0)</f>
        <v>42.615299999999998</v>
      </c>
      <c r="H344" s="14">
        <f>42.4784 * CHOOSE(CONTROL!$C$9, $D$9, 100%, $F$9) + CHOOSE(CONTROL!$C$27, 0.0021, 0)</f>
        <v>42.480499999999999</v>
      </c>
      <c r="I344" s="14">
        <f>42.4784 * CHOOSE(CONTROL!$C$9, $D$9, 100%, $F$9) + CHOOSE(CONTROL!$C$27, 0.0021, 0)</f>
        <v>42.480499999999999</v>
      </c>
      <c r="J344" s="14">
        <f>42.4784 * CHOOSE(CONTROL!$C$9, $D$9, 100%, $F$9) + CHOOSE(CONTROL!$C$27, 0.0021, 0)</f>
        <v>42.480499999999999</v>
      </c>
      <c r="K344" s="14">
        <f>42.4784 * CHOOSE(CONTROL!$C$9, $D$9, 100%, $F$9) + CHOOSE(CONTROL!$C$27, 0.0021, 0)</f>
        <v>42.480499999999999</v>
      </c>
      <c r="L344" s="14"/>
    </row>
    <row r="345" spans="1:12" ht="15.75" x14ac:dyDescent="0.25">
      <c r="A345" s="33">
        <v>51440</v>
      </c>
      <c r="B345" s="14">
        <f>43.9354 * CHOOSE(CONTROL!$C$9, $D$9, 100%, $F$9) + CHOOSE(CONTROL!$C$27, 0.0021, 0)</f>
        <v>43.9375</v>
      </c>
      <c r="C345" s="14">
        <f>43.5031 * CHOOSE(CONTROL!$C$9, $D$9, 100%, $F$9) + CHOOSE(CONTROL!$C$27, 0.0021, 0)</f>
        <v>43.505200000000002</v>
      </c>
      <c r="D345" s="14">
        <f>43.5031 * CHOOSE(CONTROL!$C$9, $D$9, 100%, $F$9) + CHOOSE(CONTROL!$C$27, 0.0021, 0)</f>
        <v>43.505200000000002</v>
      </c>
      <c r="E345" s="14">
        <f>43.3665 * CHOOSE(CONTROL!$C$9, $D$9, 100%, $F$9) + CHOOSE(CONTROL!$C$27, 0.0021, 0)</f>
        <v>43.368600000000001</v>
      </c>
      <c r="F345" s="14">
        <f>43.3665 * CHOOSE(CONTROL!$C$9, $D$9, 100%, $F$9) + CHOOSE(CONTROL!$C$27, 0.0021, 0)</f>
        <v>43.368600000000001</v>
      </c>
      <c r="G345" s="14">
        <f>43.6379 * CHOOSE(CONTROL!$C$9, $D$9, 100%, $F$9) + CHOOSE(CONTROL!$C$27, 0.0021, 0)</f>
        <v>43.64</v>
      </c>
      <c r="H345" s="14">
        <f>43.5031 * CHOOSE(CONTROL!$C$9, $D$9, 100%, $F$9) + CHOOSE(CONTROL!$C$27, 0.0021, 0)</f>
        <v>43.505200000000002</v>
      </c>
      <c r="I345" s="14">
        <f>43.5031 * CHOOSE(CONTROL!$C$9, $D$9, 100%, $F$9) + CHOOSE(CONTROL!$C$27, 0.0021, 0)</f>
        <v>43.505200000000002</v>
      </c>
      <c r="J345" s="14">
        <f>43.5031 * CHOOSE(CONTROL!$C$9, $D$9, 100%, $F$9) + CHOOSE(CONTROL!$C$27, 0.0021, 0)</f>
        <v>43.505200000000002</v>
      </c>
      <c r="K345" s="14">
        <f>43.5031 * CHOOSE(CONTROL!$C$9, $D$9, 100%, $F$9) + CHOOSE(CONTROL!$C$27, 0.0021, 0)</f>
        <v>43.505200000000002</v>
      </c>
      <c r="L345" s="14"/>
    </row>
    <row r="346" spans="1:12" ht="15.75" x14ac:dyDescent="0.25">
      <c r="A346" s="33">
        <v>51470</v>
      </c>
      <c r="B346" s="14">
        <f>44.0316 * CHOOSE(CONTROL!$C$9, $D$9, 100%, $F$9) + CHOOSE(CONTROL!$C$27, 0.0021, 0)</f>
        <v>44.033699999999996</v>
      </c>
      <c r="C346" s="14">
        <f>43.5993 * CHOOSE(CONTROL!$C$9, $D$9, 100%, $F$9) + CHOOSE(CONTROL!$C$27, 0.0021, 0)</f>
        <v>43.601399999999998</v>
      </c>
      <c r="D346" s="14">
        <f>43.5993 * CHOOSE(CONTROL!$C$9, $D$9, 100%, $F$9) + CHOOSE(CONTROL!$C$27, 0.0021, 0)</f>
        <v>43.601399999999998</v>
      </c>
      <c r="E346" s="14">
        <f>43.4627 * CHOOSE(CONTROL!$C$9, $D$9, 100%, $F$9) + CHOOSE(CONTROL!$C$27, 0.0021, 0)</f>
        <v>43.464799999999997</v>
      </c>
      <c r="F346" s="14">
        <f>43.4627 * CHOOSE(CONTROL!$C$9, $D$9, 100%, $F$9) + CHOOSE(CONTROL!$C$27, 0.0021, 0)</f>
        <v>43.464799999999997</v>
      </c>
      <c r="G346" s="14">
        <f>43.7341 * CHOOSE(CONTROL!$C$9, $D$9, 100%, $F$9) + CHOOSE(CONTROL!$C$27, 0.0021, 0)</f>
        <v>43.736199999999997</v>
      </c>
      <c r="H346" s="14">
        <f>43.5993 * CHOOSE(CONTROL!$C$9, $D$9, 100%, $F$9) + CHOOSE(CONTROL!$C$27, 0.0021, 0)</f>
        <v>43.601399999999998</v>
      </c>
      <c r="I346" s="14">
        <f>43.5993 * CHOOSE(CONTROL!$C$9, $D$9, 100%, $F$9) + CHOOSE(CONTROL!$C$27, 0.0021, 0)</f>
        <v>43.601399999999998</v>
      </c>
      <c r="J346" s="14">
        <f>43.5993 * CHOOSE(CONTROL!$C$9, $D$9, 100%, $F$9) + CHOOSE(CONTROL!$C$27, 0.0021, 0)</f>
        <v>43.601399999999998</v>
      </c>
      <c r="K346" s="14">
        <f>43.5993 * CHOOSE(CONTROL!$C$9, $D$9, 100%, $F$9) + CHOOSE(CONTROL!$C$27, 0.0021, 0)</f>
        <v>43.601399999999998</v>
      </c>
      <c r="L346" s="14"/>
    </row>
    <row r="347" spans="1:12" ht="15.75" x14ac:dyDescent="0.25">
      <c r="A347" s="33">
        <v>51501</v>
      </c>
      <c r="B347" s="14">
        <f>43.2132 * CHOOSE(CONTROL!$C$9, $D$9, 100%, $F$9) + CHOOSE(CONTROL!$C$27, 0.0021, 0)</f>
        <v>43.215299999999999</v>
      </c>
      <c r="C347" s="14">
        <f>42.7809 * CHOOSE(CONTROL!$C$9, $D$9, 100%, $F$9) + CHOOSE(CONTROL!$C$27, 0.0021, 0)</f>
        <v>42.783000000000001</v>
      </c>
      <c r="D347" s="14">
        <f>42.7809 * CHOOSE(CONTROL!$C$9, $D$9, 100%, $F$9) + CHOOSE(CONTROL!$C$27, 0.0021, 0)</f>
        <v>42.783000000000001</v>
      </c>
      <c r="E347" s="14">
        <f>42.6443 * CHOOSE(CONTROL!$C$9, $D$9, 100%, $F$9) + CHOOSE(CONTROL!$C$27, 0.0021, 0)</f>
        <v>42.6464</v>
      </c>
      <c r="F347" s="14">
        <f>42.6443 * CHOOSE(CONTROL!$C$9, $D$9, 100%, $F$9) + CHOOSE(CONTROL!$C$27, 0.0021, 0)</f>
        <v>42.6464</v>
      </c>
      <c r="G347" s="14">
        <f>42.9157 * CHOOSE(CONTROL!$C$9, $D$9, 100%, $F$9) + CHOOSE(CONTROL!$C$27, 0.0021, 0)</f>
        <v>42.9178</v>
      </c>
      <c r="H347" s="14">
        <f>42.7809 * CHOOSE(CONTROL!$C$9, $D$9, 100%, $F$9) + CHOOSE(CONTROL!$C$27, 0.0021, 0)</f>
        <v>42.783000000000001</v>
      </c>
      <c r="I347" s="14">
        <f>42.7809 * CHOOSE(CONTROL!$C$9, $D$9, 100%, $F$9) + CHOOSE(CONTROL!$C$27, 0.0021, 0)</f>
        <v>42.783000000000001</v>
      </c>
      <c r="J347" s="14">
        <f>42.7809 * CHOOSE(CONTROL!$C$9, $D$9, 100%, $F$9) + CHOOSE(CONTROL!$C$27, 0.0021, 0)</f>
        <v>42.783000000000001</v>
      </c>
      <c r="K347" s="14">
        <f>42.7809 * CHOOSE(CONTROL!$C$9, $D$9, 100%, $F$9) + CHOOSE(CONTROL!$C$27, 0.0021, 0)</f>
        <v>42.783000000000001</v>
      </c>
      <c r="L347" s="14"/>
    </row>
    <row r="348" spans="1:12" ht="15.75" x14ac:dyDescent="0.25">
      <c r="A348" s="33">
        <v>51532</v>
      </c>
      <c r="B348" s="14">
        <f>42.677 * CHOOSE(CONTROL!$C$9, $D$9, 100%, $F$9) + CHOOSE(CONTROL!$C$27, 0.0021, 0)</f>
        <v>42.679099999999998</v>
      </c>
      <c r="C348" s="14">
        <f>42.2448 * CHOOSE(CONTROL!$C$9, $D$9, 100%, $F$9) + CHOOSE(CONTROL!$C$27, 0.0021, 0)</f>
        <v>42.246899999999997</v>
      </c>
      <c r="D348" s="14">
        <f>42.2448 * CHOOSE(CONTROL!$C$9, $D$9, 100%, $F$9) + CHOOSE(CONTROL!$C$27, 0.0021, 0)</f>
        <v>42.246899999999997</v>
      </c>
      <c r="E348" s="14">
        <f>42.1081 * CHOOSE(CONTROL!$C$9, $D$9, 100%, $F$9) + CHOOSE(CONTROL!$C$27, 0.0021, 0)</f>
        <v>42.110199999999999</v>
      </c>
      <c r="F348" s="14">
        <f>42.1081 * CHOOSE(CONTROL!$C$9, $D$9, 100%, $F$9) + CHOOSE(CONTROL!$C$27, 0.0021, 0)</f>
        <v>42.110199999999999</v>
      </c>
      <c r="G348" s="14">
        <f>42.3795 * CHOOSE(CONTROL!$C$9, $D$9, 100%, $F$9) + CHOOSE(CONTROL!$C$27, 0.0021, 0)</f>
        <v>42.381599999999999</v>
      </c>
      <c r="H348" s="14">
        <f>42.2448 * CHOOSE(CONTROL!$C$9, $D$9, 100%, $F$9) + CHOOSE(CONTROL!$C$27, 0.0021, 0)</f>
        <v>42.246899999999997</v>
      </c>
      <c r="I348" s="14">
        <f>42.2448 * CHOOSE(CONTROL!$C$9, $D$9, 100%, $F$9) + CHOOSE(CONTROL!$C$27, 0.0021, 0)</f>
        <v>42.246899999999997</v>
      </c>
      <c r="J348" s="14">
        <f>42.2448 * CHOOSE(CONTROL!$C$9, $D$9, 100%, $F$9) + CHOOSE(CONTROL!$C$27, 0.0021, 0)</f>
        <v>42.246899999999997</v>
      </c>
      <c r="K348" s="14">
        <f>42.2448 * CHOOSE(CONTROL!$C$9, $D$9, 100%, $F$9) + CHOOSE(CONTROL!$C$27, 0.0021, 0)</f>
        <v>42.246899999999997</v>
      </c>
      <c r="L348" s="14"/>
    </row>
    <row r="349" spans="1:12" ht="15.75" x14ac:dyDescent="0.25">
      <c r="A349" s="33">
        <v>51560</v>
      </c>
      <c r="B349" s="14">
        <f>41.5347 * CHOOSE(CONTROL!$C$9, $D$9, 100%, $F$9) + CHOOSE(CONTROL!$C$27, 0.0021, 0)</f>
        <v>41.536799999999999</v>
      </c>
      <c r="C349" s="14">
        <f>41.1025 * CHOOSE(CONTROL!$C$9, $D$9, 100%, $F$9) + CHOOSE(CONTROL!$C$27, 0.0021, 0)</f>
        <v>41.104599999999998</v>
      </c>
      <c r="D349" s="14">
        <f>41.1025 * CHOOSE(CONTROL!$C$9, $D$9, 100%, $F$9) + CHOOSE(CONTROL!$C$27, 0.0021, 0)</f>
        <v>41.104599999999998</v>
      </c>
      <c r="E349" s="14">
        <f>40.9658 * CHOOSE(CONTROL!$C$9, $D$9, 100%, $F$9) + CHOOSE(CONTROL!$C$27, 0.0021, 0)</f>
        <v>40.9679</v>
      </c>
      <c r="F349" s="14">
        <f>40.9658 * CHOOSE(CONTROL!$C$9, $D$9, 100%, $F$9) + CHOOSE(CONTROL!$C$27, 0.0021, 0)</f>
        <v>40.9679</v>
      </c>
      <c r="G349" s="14">
        <f>41.2372 * CHOOSE(CONTROL!$C$9, $D$9, 100%, $F$9) + CHOOSE(CONTROL!$C$27, 0.0021, 0)</f>
        <v>41.2393</v>
      </c>
      <c r="H349" s="14">
        <f>41.1025 * CHOOSE(CONTROL!$C$9, $D$9, 100%, $F$9) + CHOOSE(CONTROL!$C$27, 0.0021, 0)</f>
        <v>41.104599999999998</v>
      </c>
      <c r="I349" s="14">
        <f>41.1025 * CHOOSE(CONTROL!$C$9, $D$9, 100%, $F$9) + CHOOSE(CONTROL!$C$27, 0.0021, 0)</f>
        <v>41.104599999999998</v>
      </c>
      <c r="J349" s="14">
        <f>41.1025 * CHOOSE(CONTROL!$C$9, $D$9, 100%, $F$9) + CHOOSE(CONTROL!$C$27, 0.0021, 0)</f>
        <v>41.104599999999998</v>
      </c>
      <c r="K349" s="14">
        <f>41.1025 * CHOOSE(CONTROL!$C$9, $D$9, 100%, $F$9) + CHOOSE(CONTROL!$C$27, 0.0021, 0)</f>
        <v>41.104599999999998</v>
      </c>
      <c r="L349" s="14"/>
    </row>
    <row r="350" spans="1:12" ht="15.75" x14ac:dyDescent="0.25">
      <c r="A350" s="33">
        <v>51591</v>
      </c>
      <c r="B350" s="14">
        <f>41.0632 * CHOOSE(CONTROL!$C$9, $D$9, 100%, $F$9) + CHOOSE(CONTROL!$C$27, 0.0021, 0)</f>
        <v>41.065300000000001</v>
      </c>
      <c r="C350" s="14">
        <f>40.6309 * CHOOSE(CONTROL!$C$9, $D$9, 100%, $F$9) + CHOOSE(CONTROL!$C$27, 0.0021, 0)</f>
        <v>40.632999999999996</v>
      </c>
      <c r="D350" s="14">
        <f>40.6309 * CHOOSE(CONTROL!$C$9, $D$9, 100%, $F$9) + CHOOSE(CONTROL!$C$27, 0.0021, 0)</f>
        <v>40.632999999999996</v>
      </c>
      <c r="E350" s="14">
        <f>40.4943 * CHOOSE(CONTROL!$C$9, $D$9, 100%, $F$9) + CHOOSE(CONTROL!$C$27, 0.0021, 0)</f>
        <v>40.496400000000001</v>
      </c>
      <c r="F350" s="14">
        <f>40.4943 * CHOOSE(CONTROL!$C$9, $D$9, 100%, $F$9) + CHOOSE(CONTROL!$C$27, 0.0021, 0)</f>
        <v>40.496400000000001</v>
      </c>
      <c r="G350" s="14">
        <f>40.7657 * CHOOSE(CONTROL!$C$9, $D$9, 100%, $F$9) + CHOOSE(CONTROL!$C$27, 0.0021, 0)</f>
        <v>40.767800000000001</v>
      </c>
      <c r="H350" s="14">
        <f>40.6309 * CHOOSE(CONTROL!$C$9, $D$9, 100%, $F$9) + CHOOSE(CONTROL!$C$27, 0.0021, 0)</f>
        <v>40.632999999999996</v>
      </c>
      <c r="I350" s="14">
        <f>40.6309 * CHOOSE(CONTROL!$C$9, $D$9, 100%, $F$9) + CHOOSE(CONTROL!$C$27, 0.0021, 0)</f>
        <v>40.632999999999996</v>
      </c>
      <c r="J350" s="14">
        <f>40.6309 * CHOOSE(CONTROL!$C$9, $D$9, 100%, $F$9) + CHOOSE(CONTROL!$C$27, 0.0021, 0)</f>
        <v>40.632999999999996</v>
      </c>
      <c r="K350" s="14">
        <f>40.6309 * CHOOSE(CONTROL!$C$9, $D$9, 100%, $F$9) + CHOOSE(CONTROL!$C$27, 0.0021, 0)</f>
        <v>40.632999999999996</v>
      </c>
      <c r="L350" s="14"/>
    </row>
    <row r="351" spans="1:12" ht="15.75" x14ac:dyDescent="0.25">
      <c r="A351" s="33">
        <v>51621</v>
      </c>
      <c r="B351" s="14">
        <f>40.5002 * CHOOSE(CONTROL!$C$9, $D$9, 100%, $F$9) + CHOOSE(CONTROL!$C$27, 0.0021, 0)</f>
        <v>40.502299999999998</v>
      </c>
      <c r="C351" s="14">
        <f>40.0679 * CHOOSE(CONTROL!$C$9, $D$9, 100%, $F$9) + CHOOSE(CONTROL!$C$27, 0.0021, 0)</f>
        <v>40.07</v>
      </c>
      <c r="D351" s="14">
        <f>40.0679 * CHOOSE(CONTROL!$C$9, $D$9, 100%, $F$9) + CHOOSE(CONTROL!$C$27, 0.0021, 0)</f>
        <v>40.07</v>
      </c>
      <c r="E351" s="14">
        <f>39.9313 * CHOOSE(CONTROL!$C$9, $D$9, 100%, $F$9) + CHOOSE(CONTROL!$C$27, 0.0021, 0)</f>
        <v>39.933399999999999</v>
      </c>
      <c r="F351" s="14">
        <f>39.9313 * CHOOSE(CONTROL!$C$9, $D$9, 100%, $F$9) + CHOOSE(CONTROL!$C$27, 0.0021, 0)</f>
        <v>39.933399999999999</v>
      </c>
      <c r="G351" s="14">
        <f>40.2026 * CHOOSE(CONTROL!$C$9, $D$9, 100%, $F$9) + CHOOSE(CONTROL!$C$27, 0.0021, 0)</f>
        <v>40.204699999999995</v>
      </c>
      <c r="H351" s="14">
        <f>40.0679 * CHOOSE(CONTROL!$C$9, $D$9, 100%, $F$9) + CHOOSE(CONTROL!$C$27, 0.0021, 0)</f>
        <v>40.07</v>
      </c>
      <c r="I351" s="14">
        <f>40.0679 * CHOOSE(CONTROL!$C$9, $D$9, 100%, $F$9) + CHOOSE(CONTROL!$C$27, 0.0021, 0)</f>
        <v>40.07</v>
      </c>
      <c r="J351" s="14">
        <f>40.0679 * CHOOSE(CONTROL!$C$9, $D$9, 100%, $F$9) + CHOOSE(CONTROL!$C$27, 0.0021, 0)</f>
        <v>40.07</v>
      </c>
      <c r="K351" s="14">
        <f>40.0679 * CHOOSE(CONTROL!$C$9, $D$9, 100%, $F$9) + CHOOSE(CONTROL!$C$27, 0.0021, 0)</f>
        <v>40.07</v>
      </c>
      <c r="L351" s="14"/>
    </row>
    <row r="352" spans="1:12" ht="15.75" x14ac:dyDescent="0.25">
      <c r="A352" s="33">
        <v>51652</v>
      </c>
      <c r="B352" s="14">
        <f>41.3025 * CHOOSE(CONTROL!$C$9, $D$9, 100%, $F$9) + CHOOSE(CONTROL!$C$27, 0.0021, 0)</f>
        <v>41.304600000000001</v>
      </c>
      <c r="C352" s="14">
        <f>40.8703 * CHOOSE(CONTROL!$C$9, $D$9, 100%, $F$9) + CHOOSE(CONTROL!$C$27, 0.0021, 0)</f>
        <v>40.872399999999999</v>
      </c>
      <c r="D352" s="14">
        <f>40.8703 * CHOOSE(CONTROL!$C$9, $D$9, 100%, $F$9) + CHOOSE(CONTROL!$C$27, 0.0021, 0)</f>
        <v>40.872399999999999</v>
      </c>
      <c r="E352" s="14">
        <f>40.7336 * CHOOSE(CONTROL!$C$9, $D$9, 100%, $F$9) + CHOOSE(CONTROL!$C$27, 0.0021, 0)</f>
        <v>40.735700000000001</v>
      </c>
      <c r="F352" s="14">
        <f>40.7336 * CHOOSE(CONTROL!$C$9, $D$9, 100%, $F$9) + CHOOSE(CONTROL!$C$27, 0.0021, 0)</f>
        <v>40.735700000000001</v>
      </c>
      <c r="G352" s="14">
        <f>41.005 * CHOOSE(CONTROL!$C$9, $D$9, 100%, $F$9) + CHOOSE(CONTROL!$C$27, 0.0021, 0)</f>
        <v>41.007100000000001</v>
      </c>
      <c r="H352" s="14">
        <f>40.8703 * CHOOSE(CONTROL!$C$9, $D$9, 100%, $F$9) + CHOOSE(CONTROL!$C$27, 0.0021, 0)</f>
        <v>40.872399999999999</v>
      </c>
      <c r="I352" s="14">
        <f>40.8703 * CHOOSE(CONTROL!$C$9, $D$9, 100%, $F$9) + CHOOSE(CONTROL!$C$27, 0.0021, 0)</f>
        <v>40.872399999999999</v>
      </c>
      <c r="J352" s="14">
        <f>40.8703 * CHOOSE(CONTROL!$C$9, $D$9, 100%, $F$9) + CHOOSE(CONTROL!$C$27, 0.0021, 0)</f>
        <v>40.872399999999999</v>
      </c>
      <c r="K352" s="14">
        <f>40.8703 * CHOOSE(CONTROL!$C$9, $D$9, 100%, $F$9) + CHOOSE(CONTROL!$C$27, 0.0021, 0)</f>
        <v>40.872399999999999</v>
      </c>
      <c r="L352" s="14"/>
    </row>
    <row r="353" spans="1:12" ht="15.75" x14ac:dyDescent="0.25">
      <c r="A353" s="33">
        <v>51682</v>
      </c>
      <c r="B353" s="14">
        <f>41.7831 * CHOOSE(CONTROL!$C$9, $D$9, 100%, $F$9) + CHOOSE(CONTROL!$C$27, 0.0021, 0)</f>
        <v>41.785199999999996</v>
      </c>
      <c r="C353" s="14">
        <f>41.3509 * CHOOSE(CONTROL!$C$9, $D$9, 100%, $F$9) + CHOOSE(CONTROL!$C$27, 0.0021, 0)</f>
        <v>41.353000000000002</v>
      </c>
      <c r="D353" s="14">
        <f>41.3509 * CHOOSE(CONTROL!$C$9, $D$9, 100%, $F$9) + CHOOSE(CONTROL!$C$27, 0.0021, 0)</f>
        <v>41.353000000000002</v>
      </c>
      <c r="E353" s="14">
        <f>41.2142 * CHOOSE(CONTROL!$C$9, $D$9, 100%, $F$9) + CHOOSE(CONTROL!$C$27, 0.0021, 0)</f>
        <v>41.216299999999997</v>
      </c>
      <c r="F353" s="14">
        <f>41.2142 * CHOOSE(CONTROL!$C$9, $D$9, 100%, $F$9) + CHOOSE(CONTROL!$C$27, 0.0021, 0)</f>
        <v>41.216299999999997</v>
      </c>
      <c r="G353" s="14">
        <f>41.4856 * CHOOSE(CONTROL!$C$9, $D$9, 100%, $F$9) + CHOOSE(CONTROL!$C$27, 0.0021, 0)</f>
        <v>41.487699999999997</v>
      </c>
      <c r="H353" s="14">
        <f>41.3509 * CHOOSE(CONTROL!$C$9, $D$9, 100%, $F$9) + CHOOSE(CONTROL!$C$27, 0.0021, 0)</f>
        <v>41.353000000000002</v>
      </c>
      <c r="I353" s="14">
        <f>41.3509 * CHOOSE(CONTROL!$C$9, $D$9, 100%, $F$9) + CHOOSE(CONTROL!$C$27, 0.0021, 0)</f>
        <v>41.353000000000002</v>
      </c>
      <c r="J353" s="14">
        <f>41.3509 * CHOOSE(CONTROL!$C$9, $D$9, 100%, $F$9) + CHOOSE(CONTROL!$C$27, 0.0021, 0)</f>
        <v>41.353000000000002</v>
      </c>
      <c r="K353" s="14">
        <f>41.3509 * CHOOSE(CONTROL!$C$9, $D$9, 100%, $F$9) + CHOOSE(CONTROL!$C$27, 0.0021, 0)</f>
        <v>41.353000000000002</v>
      </c>
      <c r="L353" s="14"/>
    </row>
    <row r="354" spans="1:12" ht="15.75" x14ac:dyDescent="0.25">
      <c r="A354" s="33">
        <v>51713</v>
      </c>
      <c r="B354" s="14">
        <f>42.5759 * CHOOSE(CONTROL!$C$9, $D$9, 100%, $F$9) + CHOOSE(CONTROL!$C$27, 0.0021, 0)</f>
        <v>42.577999999999996</v>
      </c>
      <c r="C354" s="14">
        <f>42.1437 * CHOOSE(CONTROL!$C$9, $D$9, 100%, $F$9) + CHOOSE(CONTROL!$C$27, 0.0021, 0)</f>
        <v>42.145800000000001</v>
      </c>
      <c r="D354" s="14">
        <f>42.1437 * CHOOSE(CONTROL!$C$9, $D$9, 100%, $F$9) + CHOOSE(CONTROL!$C$27, 0.0021, 0)</f>
        <v>42.145800000000001</v>
      </c>
      <c r="E354" s="14">
        <f>42.007 * CHOOSE(CONTROL!$C$9, $D$9, 100%, $F$9) + CHOOSE(CONTROL!$C$27, 0.0021, 0)</f>
        <v>42.009099999999997</v>
      </c>
      <c r="F354" s="14">
        <f>42.007 * CHOOSE(CONTROL!$C$9, $D$9, 100%, $F$9) + CHOOSE(CONTROL!$C$27, 0.0021, 0)</f>
        <v>42.009099999999997</v>
      </c>
      <c r="G354" s="14">
        <f>42.2784 * CHOOSE(CONTROL!$C$9, $D$9, 100%, $F$9) + CHOOSE(CONTROL!$C$27, 0.0021, 0)</f>
        <v>42.280499999999996</v>
      </c>
      <c r="H354" s="14">
        <f>42.1437 * CHOOSE(CONTROL!$C$9, $D$9, 100%, $F$9) + CHOOSE(CONTROL!$C$27, 0.0021, 0)</f>
        <v>42.145800000000001</v>
      </c>
      <c r="I354" s="14">
        <f>42.1437 * CHOOSE(CONTROL!$C$9, $D$9, 100%, $F$9) + CHOOSE(CONTROL!$C$27, 0.0021, 0)</f>
        <v>42.145800000000001</v>
      </c>
      <c r="J354" s="14">
        <f>42.1437 * CHOOSE(CONTROL!$C$9, $D$9, 100%, $F$9) + CHOOSE(CONTROL!$C$27, 0.0021, 0)</f>
        <v>42.145800000000001</v>
      </c>
      <c r="K354" s="14">
        <f>42.1437 * CHOOSE(CONTROL!$C$9, $D$9, 100%, $F$9) + CHOOSE(CONTROL!$C$27, 0.0021, 0)</f>
        <v>42.145800000000001</v>
      </c>
      <c r="L354" s="14"/>
    </row>
    <row r="355" spans="1:12" ht="15.75" x14ac:dyDescent="0.25">
      <c r="A355" s="33">
        <v>51744</v>
      </c>
      <c r="B355" s="14">
        <f>42.8179 * CHOOSE(CONTROL!$C$9, $D$9, 100%, $F$9) + CHOOSE(CONTROL!$C$27, 0.0021, 0)</f>
        <v>42.82</v>
      </c>
      <c r="C355" s="14">
        <f>42.3857 * CHOOSE(CONTROL!$C$9, $D$9, 100%, $F$9) + CHOOSE(CONTROL!$C$27, 0.0021, 0)</f>
        <v>42.387799999999999</v>
      </c>
      <c r="D355" s="14">
        <f>42.3857 * CHOOSE(CONTROL!$C$9, $D$9, 100%, $F$9) + CHOOSE(CONTROL!$C$27, 0.0021, 0)</f>
        <v>42.387799999999999</v>
      </c>
      <c r="E355" s="14">
        <f>42.249 * CHOOSE(CONTROL!$C$9, $D$9, 100%, $F$9) + CHOOSE(CONTROL!$C$27, 0.0021, 0)</f>
        <v>42.251100000000001</v>
      </c>
      <c r="F355" s="14">
        <f>42.249 * CHOOSE(CONTROL!$C$9, $D$9, 100%, $F$9) + CHOOSE(CONTROL!$C$27, 0.0021, 0)</f>
        <v>42.251100000000001</v>
      </c>
      <c r="G355" s="14">
        <f>42.5204 * CHOOSE(CONTROL!$C$9, $D$9, 100%, $F$9) + CHOOSE(CONTROL!$C$27, 0.0021, 0)</f>
        <v>42.522500000000001</v>
      </c>
      <c r="H355" s="14">
        <f>42.3857 * CHOOSE(CONTROL!$C$9, $D$9, 100%, $F$9) + CHOOSE(CONTROL!$C$27, 0.0021, 0)</f>
        <v>42.387799999999999</v>
      </c>
      <c r="I355" s="14">
        <f>42.3857 * CHOOSE(CONTROL!$C$9, $D$9, 100%, $F$9) + CHOOSE(CONTROL!$C$27, 0.0021, 0)</f>
        <v>42.387799999999999</v>
      </c>
      <c r="J355" s="14">
        <f>42.3857 * CHOOSE(CONTROL!$C$9, $D$9, 100%, $F$9) + CHOOSE(CONTROL!$C$27, 0.0021, 0)</f>
        <v>42.387799999999999</v>
      </c>
      <c r="K355" s="14">
        <f>42.3857 * CHOOSE(CONTROL!$C$9, $D$9, 100%, $F$9) + CHOOSE(CONTROL!$C$27, 0.0021, 0)</f>
        <v>42.387799999999999</v>
      </c>
      <c r="L355" s="14"/>
    </row>
    <row r="356" spans="1:12" ht="15.75" x14ac:dyDescent="0.25">
      <c r="A356" s="33">
        <v>51774</v>
      </c>
      <c r="B356" s="14">
        <f>43.642 * CHOOSE(CONTROL!$C$9, $D$9, 100%, $F$9) + CHOOSE(CONTROL!$C$27, 0.0021, 0)</f>
        <v>43.644100000000002</v>
      </c>
      <c r="C356" s="14">
        <f>43.2098 * CHOOSE(CONTROL!$C$9, $D$9, 100%, $F$9) + CHOOSE(CONTROL!$C$27, 0.0021, 0)</f>
        <v>43.2119</v>
      </c>
      <c r="D356" s="14">
        <f>43.2098 * CHOOSE(CONTROL!$C$9, $D$9, 100%, $F$9) + CHOOSE(CONTROL!$C$27, 0.0021, 0)</f>
        <v>43.2119</v>
      </c>
      <c r="E356" s="14">
        <f>43.0731 * CHOOSE(CONTROL!$C$9, $D$9, 100%, $F$9) + CHOOSE(CONTROL!$C$27, 0.0021, 0)</f>
        <v>43.075199999999995</v>
      </c>
      <c r="F356" s="14">
        <f>43.0731 * CHOOSE(CONTROL!$C$9, $D$9, 100%, $F$9) + CHOOSE(CONTROL!$C$27, 0.0021, 0)</f>
        <v>43.075199999999995</v>
      </c>
      <c r="G356" s="14">
        <f>43.3445 * CHOOSE(CONTROL!$C$9, $D$9, 100%, $F$9) + CHOOSE(CONTROL!$C$27, 0.0021, 0)</f>
        <v>43.346599999999995</v>
      </c>
      <c r="H356" s="14">
        <f>43.2098 * CHOOSE(CONTROL!$C$9, $D$9, 100%, $F$9) + CHOOSE(CONTROL!$C$27, 0.0021, 0)</f>
        <v>43.2119</v>
      </c>
      <c r="I356" s="14">
        <f>43.2098 * CHOOSE(CONTROL!$C$9, $D$9, 100%, $F$9) + CHOOSE(CONTROL!$C$27, 0.0021, 0)</f>
        <v>43.2119</v>
      </c>
      <c r="J356" s="14">
        <f>43.2098 * CHOOSE(CONTROL!$C$9, $D$9, 100%, $F$9) + CHOOSE(CONTROL!$C$27, 0.0021, 0)</f>
        <v>43.2119</v>
      </c>
      <c r="K356" s="14">
        <f>43.2098 * CHOOSE(CONTROL!$C$9, $D$9, 100%, $F$9) + CHOOSE(CONTROL!$C$27, 0.0021, 0)</f>
        <v>43.2119</v>
      </c>
      <c r="L356" s="14"/>
    </row>
    <row r="357" spans="1:12" ht="15.75" x14ac:dyDescent="0.25">
      <c r="A357" s="33">
        <v>51805</v>
      </c>
      <c r="B357" s="14">
        <f>44.6852 * CHOOSE(CONTROL!$C$9, $D$9, 100%, $F$9) + CHOOSE(CONTROL!$C$27, 0.0021, 0)</f>
        <v>44.6873</v>
      </c>
      <c r="C357" s="14">
        <f>44.2529 * CHOOSE(CONTROL!$C$9, $D$9, 100%, $F$9) + CHOOSE(CONTROL!$C$27, 0.0021, 0)</f>
        <v>44.254999999999995</v>
      </c>
      <c r="D357" s="14">
        <f>44.2529 * CHOOSE(CONTROL!$C$9, $D$9, 100%, $F$9) + CHOOSE(CONTROL!$C$27, 0.0021, 0)</f>
        <v>44.254999999999995</v>
      </c>
      <c r="E357" s="14">
        <f>44.1163 * CHOOSE(CONTROL!$C$9, $D$9, 100%, $F$9) + CHOOSE(CONTROL!$C$27, 0.0021, 0)</f>
        <v>44.118400000000001</v>
      </c>
      <c r="F357" s="14">
        <f>44.1163 * CHOOSE(CONTROL!$C$9, $D$9, 100%, $F$9) + CHOOSE(CONTROL!$C$27, 0.0021, 0)</f>
        <v>44.118400000000001</v>
      </c>
      <c r="G357" s="14">
        <f>44.3876 * CHOOSE(CONTROL!$C$9, $D$9, 100%, $F$9) + CHOOSE(CONTROL!$C$27, 0.0021, 0)</f>
        <v>44.389699999999998</v>
      </c>
      <c r="H357" s="14">
        <f>44.2529 * CHOOSE(CONTROL!$C$9, $D$9, 100%, $F$9) + CHOOSE(CONTROL!$C$27, 0.0021, 0)</f>
        <v>44.254999999999995</v>
      </c>
      <c r="I357" s="14">
        <f>44.2529 * CHOOSE(CONTROL!$C$9, $D$9, 100%, $F$9) + CHOOSE(CONTROL!$C$27, 0.0021, 0)</f>
        <v>44.254999999999995</v>
      </c>
      <c r="J357" s="14">
        <f>44.2529 * CHOOSE(CONTROL!$C$9, $D$9, 100%, $F$9) + CHOOSE(CONTROL!$C$27, 0.0021, 0)</f>
        <v>44.254999999999995</v>
      </c>
      <c r="K357" s="14">
        <f>44.2529 * CHOOSE(CONTROL!$C$9, $D$9, 100%, $F$9) + CHOOSE(CONTROL!$C$27, 0.0021, 0)</f>
        <v>44.254999999999995</v>
      </c>
      <c r="L357" s="14"/>
    </row>
    <row r="358" spans="1:12" ht="15.75" x14ac:dyDescent="0.25">
      <c r="A358" s="33">
        <v>51835</v>
      </c>
      <c r="B358" s="14">
        <f>44.7831 * CHOOSE(CONTROL!$C$9, $D$9, 100%, $F$9) + CHOOSE(CONTROL!$C$27, 0.0021, 0)</f>
        <v>44.785199999999996</v>
      </c>
      <c r="C358" s="14">
        <f>44.3509 * CHOOSE(CONTROL!$C$9, $D$9, 100%, $F$9) + CHOOSE(CONTROL!$C$27, 0.0021, 0)</f>
        <v>44.353000000000002</v>
      </c>
      <c r="D358" s="14">
        <f>44.3509 * CHOOSE(CONTROL!$C$9, $D$9, 100%, $F$9) + CHOOSE(CONTROL!$C$27, 0.0021, 0)</f>
        <v>44.353000000000002</v>
      </c>
      <c r="E358" s="14">
        <f>44.2142 * CHOOSE(CONTROL!$C$9, $D$9, 100%, $F$9) + CHOOSE(CONTROL!$C$27, 0.0021, 0)</f>
        <v>44.216299999999997</v>
      </c>
      <c r="F358" s="14">
        <f>44.2142 * CHOOSE(CONTROL!$C$9, $D$9, 100%, $F$9) + CHOOSE(CONTROL!$C$27, 0.0021, 0)</f>
        <v>44.216299999999997</v>
      </c>
      <c r="G358" s="14">
        <f>44.4856 * CHOOSE(CONTROL!$C$9, $D$9, 100%, $F$9) + CHOOSE(CONTROL!$C$27, 0.0021, 0)</f>
        <v>44.487699999999997</v>
      </c>
      <c r="H358" s="14">
        <f>44.3509 * CHOOSE(CONTROL!$C$9, $D$9, 100%, $F$9) + CHOOSE(CONTROL!$C$27, 0.0021, 0)</f>
        <v>44.353000000000002</v>
      </c>
      <c r="I358" s="14">
        <f>44.3509 * CHOOSE(CONTROL!$C$9, $D$9, 100%, $F$9) + CHOOSE(CONTROL!$C$27, 0.0021, 0)</f>
        <v>44.353000000000002</v>
      </c>
      <c r="J358" s="14">
        <f>44.3509 * CHOOSE(CONTROL!$C$9, $D$9, 100%, $F$9) + CHOOSE(CONTROL!$C$27, 0.0021, 0)</f>
        <v>44.353000000000002</v>
      </c>
      <c r="K358" s="14">
        <f>44.3509 * CHOOSE(CONTROL!$C$9, $D$9, 100%, $F$9) + CHOOSE(CONTROL!$C$27, 0.0021, 0)</f>
        <v>44.353000000000002</v>
      </c>
      <c r="L358" s="14"/>
    </row>
    <row r="359" spans="1:12" ht="15.75" x14ac:dyDescent="0.25">
      <c r="A359" s="33">
        <v>51866</v>
      </c>
      <c r="B359" s="14">
        <f>43.95 * CHOOSE(CONTROL!$C$9, $D$9, 100%, $F$9) + CHOOSE(CONTROL!$C$27, 0.0021, 0)</f>
        <v>43.952100000000002</v>
      </c>
      <c r="C359" s="14">
        <f>43.5177 * CHOOSE(CONTROL!$C$9, $D$9, 100%, $F$9) + CHOOSE(CONTROL!$C$27, 0.0021, 0)</f>
        <v>43.519799999999996</v>
      </c>
      <c r="D359" s="14">
        <f>43.5177 * CHOOSE(CONTROL!$C$9, $D$9, 100%, $F$9) + CHOOSE(CONTROL!$C$27, 0.0021, 0)</f>
        <v>43.519799999999996</v>
      </c>
      <c r="E359" s="14">
        <f>43.381 * CHOOSE(CONTROL!$C$9, $D$9, 100%, $F$9) + CHOOSE(CONTROL!$C$27, 0.0021, 0)</f>
        <v>43.383099999999999</v>
      </c>
      <c r="F359" s="14">
        <f>43.381 * CHOOSE(CONTROL!$C$9, $D$9, 100%, $F$9) + CHOOSE(CONTROL!$C$27, 0.0021, 0)</f>
        <v>43.383099999999999</v>
      </c>
      <c r="G359" s="14">
        <f>43.6524 * CHOOSE(CONTROL!$C$9, $D$9, 100%, $F$9) + CHOOSE(CONTROL!$C$27, 0.0021, 0)</f>
        <v>43.654499999999999</v>
      </c>
      <c r="H359" s="14">
        <f>43.5177 * CHOOSE(CONTROL!$C$9, $D$9, 100%, $F$9) + CHOOSE(CONTROL!$C$27, 0.0021, 0)</f>
        <v>43.519799999999996</v>
      </c>
      <c r="I359" s="14">
        <f>43.5177 * CHOOSE(CONTROL!$C$9, $D$9, 100%, $F$9) + CHOOSE(CONTROL!$C$27, 0.0021, 0)</f>
        <v>43.519799999999996</v>
      </c>
      <c r="J359" s="14">
        <f>43.5177 * CHOOSE(CONTROL!$C$9, $D$9, 100%, $F$9) + CHOOSE(CONTROL!$C$27, 0.0021, 0)</f>
        <v>43.519799999999996</v>
      </c>
      <c r="K359" s="14">
        <f>43.5177 * CHOOSE(CONTROL!$C$9, $D$9, 100%, $F$9) + CHOOSE(CONTROL!$C$27, 0.0021, 0)</f>
        <v>43.519799999999996</v>
      </c>
      <c r="L359" s="14"/>
    </row>
    <row r="360" spans="1:12" ht="15.75" x14ac:dyDescent="0.25">
      <c r="A360" s="33">
        <v>51897</v>
      </c>
      <c r="B360" s="14">
        <f>43.4041 * CHOOSE(CONTROL!$C$9, $D$9, 100%, $F$9) + CHOOSE(CONTROL!$C$27, 0.0021, 0)</f>
        <v>43.406199999999998</v>
      </c>
      <c r="C360" s="14">
        <f>42.9719 * CHOOSE(CONTROL!$C$9, $D$9, 100%, $F$9) + CHOOSE(CONTROL!$C$27, 0.0021, 0)</f>
        <v>42.973999999999997</v>
      </c>
      <c r="D360" s="14">
        <f>42.9719 * CHOOSE(CONTROL!$C$9, $D$9, 100%, $F$9) + CHOOSE(CONTROL!$C$27, 0.0021, 0)</f>
        <v>42.973999999999997</v>
      </c>
      <c r="E360" s="14">
        <f>42.8352 * CHOOSE(CONTROL!$C$9, $D$9, 100%, $F$9) + CHOOSE(CONTROL!$C$27, 0.0021, 0)</f>
        <v>42.837299999999999</v>
      </c>
      <c r="F360" s="14">
        <f>42.8352 * CHOOSE(CONTROL!$C$9, $D$9, 100%, $F$9) + CHOOSE(CONTROL!$C$27, 0.0021, 0)</f>
        <v>42.837299999999999</v>
      </c>
      <c r="G360" s="14">
        <f>43.1066 * CHOOSE(CONTROL!$C$9, $D$9, 100%, $F$9) + CHOOSE(CONTROL!$C$27, 0.0021, 0)</f>
        <v>43.108699999999999</v>
      </c>
      <c r="H360" s="14">
        <f>42.9719 * CHOOSE(CONTROL!$C$9, $D$9, 100%, $F$9) + CHOOSE(CONTROL!$C$27, 0.0021, 0)</f>
        <v>42.973999999999997</v>
      </c>
      <c r="I360" s="14">
        <f>42.9719 * CHOOSE(CONTROL!$C$9, $D$9, 100%, $F$9) + CHOOSE(CONTROL!$C$27, 0.0021, 0)</f>
        <v>42.973999999999997</v>
      </c>
      <c r="J360" s="14">
        <f>42.9719 * CHOOSE(CONTROL!$C$9, $D$9, 100%, $F$9) + CHOOSE(CONTROL!$C$27, 0.0021, 0)</f>
        <v>42.973999999999997</v>
      </c>
      <c r="K360" s="14">
        <f>42.9719 * CHOOSE(CONTROL!$C$9, $D$9, 100%, $F$9) + CHOOSE(CONTROL!$C$27, 0.0021, 0)</f>
        <v>42.973999999999997</v>
      </c>
      <c r="L360" s="14"/>
    </row>
    <row r="361" spans="1:12" ht="15.75" x14ac:dyDescent="0.25">
      <c r="A361" s="33">
        <v>51925</v>
      </c>
      <c r="B361" s="14">
        <f>42.2413 * CHOOSE(CONTROL!$C$9, $D$9, 100%, $F$9) + CHOOSE(CONTROL!$C$27, 0.0021, 0)</f>
        <v>42.243400000000001</v>
      </c>
      <c r="C361" s="14">
        <f>41.809 * CHOOSE(CONTROL!$C$9, $D$9, 100%, $F$9) + CHOOSE(CONTROL!$C$27, 0.0021, 0)</f>
        <v>41.811099999999996</v>
      </c>
      <c r="D361" s="14">
        <f>41.809 * CHOOSE(CONTROL!$C$9, $D$9, 100%, $F$9) + CHOOSE(CONTROL!$C$27, 0.0021, 0)</f>
        <v>41.811099999999996</v>
      </c>
      <c r="E361" s="14">
        <f>41.6724 * CHOOSE(CONTROL!$C$9, $D$9, 100%, $F$9) + CHOOSE(CONTROL!$C$27, 0.0021, 0)</f>
        <v>41.674500000000002</v>
      </c>
      <c r="F361" s="14">
        <f>41.6724 * CHOOSE(CONTROL!$C$9, $D$9, 100%, $F$9) + CHOOSE(CONTROL!$C$27, 0.0021, 0)</f>
        <v>41.674500000000002</v>
      </c>
      <c r="G361" s="14">
        <f>41.9438 * CHOOSE(CONTROL!$C$9, $D$9, 100%, $F$9) + CHOOSE(CONTROL!$C$27, 0.0021, 0)</f>
        <v>41.945900000000002</v>
      </c>
      <c r="H361" s="14">
        <f>41.809 * CHOOSE(CONTROL!$C$9, $D$9, 100%, $F$9) + CHOOSE(CONTROL!$C$27, 0.0021, 0)</f>
        <v>41.811099999999996</v>
      </c>
      <c r="I361" s="14">
        <f>41.809 * CHOOSE(CONTROL!$C$9, $D$9, 100%, $F$9) + CHOOSE(CONTROL!$C$27, 0.0021, 0)</f>
        <v>41.811099999999996</v>
      </c>
      <c r="J361" s="14">
        <f>41.809 * CHOOSE(CONTROL!$C$9, $D$9, 100%, $F$9) + CHOOSE(CONTROL!$C$27, 0.0021, 0)</f>
        <v>41.811099999999996</v>
      </c>
      <c r="K361" s="14">
        <f>41.809 * CHOOSE(CONTROL!$C$9, $D$9, 100%, $F$9) + CHOOSE(CONTROL!$C$27, 0.0021, 0)</f>
        <v>41.811099999999996</v>
      </c>
      <c r="L361" s="14"/>
    </row>
    <row r="362" spans="1:12" ht="15.75" x14ac:dyDescent="0.25">
      <c r="A362" s="33">
        <v>51956</v>
      </c>
      <c r="B362" s="14">
        <f>41.7613 * CHOOSE(CONTROL!$C$9, $D$9, 100%, $F$9) + CHOOSE(CONTROL!$C$27, 0.0021, 0)</f>
        <v>41.763399999999997</v>
      </c>
      <c r="C362" s="14">
        <f>41.329 * CHOOSE(CONTROL!$C$9, $D$9, 100%, $F$9) + CHOOSE(CONTROL!$C$27, 0.0021, 0)</f>
        <v>41.331099999999999</v>
      </c>
      <c r="D362" s="14">
        <f>41.329 * CHOOSE(CONTROL!$C$9, $D$9, 100%, $F$9) + CHOOSE(CONTROL!$C$27, 0.0021, 0)</f>
        <v>41.331099999999999</v>
      </c>
      <c r="E362" s="14">
        <f>41.1923 * CHOOSE(CONTROL!$C$9, $D$9, 100%, $F$9) + CHOOSE(CONTROL!$C$27, 0.0021, 0)</f>
        <v>41.194400000000002</v>
      </c>
      <c r="F362" s="14">
        <f>41.1923 * CHOOSE(CONTROL!$C$9, $D$9, 100%, $F$9) + CHOOSE(CONTROL!$C$27, 0.0021, 0)</f>
        <v>41.194400000000002</v>
      </c>
      <c r="G362" s="14">
        <f>41.4637 * CHOOSE(CONTROL!$C$9, $D$9, 100%, $F$9) + CHOOSE(CONTROL!$C$27, 0.0021, 0)</f>
        <v>41.465800000000002</v>
      </c>
      <c r="H362" s="14">
        <f>41.329 * CHOOSE(CONTROL!$C$9, $D$9, 100%, $F$9) + CHOOSE(CONTROL!$C$27, 0.0021, 0)</f>
        <v>41.331099999999999</v>
      </c>
      <c r="I362" s="14">
        <f>41.329 * CHOOSE(CONTROL!$C$9, $D$9, 100%, $F$9) + CHOOSE(CONTROL!$C$27, 0.0021, 0)</f>
        <v>41.331099999999999</v>
      </c>
      <c r="J362" s="14">
        <f>41.329 * CHOOSE(CONTROL!$C$9, $D$9, 100%, $F$9) + CHOOSE(CONTROL!$C$27, 0.0021, 0)</f>
        <v>41.331099999999999</v>
      </c>
      <c r="K362" s="14">
        <f>41.329 * CHOOSE(CONTROL!$C$9, $D$9, 100%, $F$9) + CHOOSE(CONTROL!$C$27, 0.0021, 0)</f>
        <v>41.331099999999999</v>
      </c>
      <c r="L362" s="14"/>
    </row>
    <row r="363" spans="1:12" ht="15.75" x14ac:dyDescent="0.25">
      <c r="A363" s="33">
        <v>51986</v>
      </c>
      <c r="B363" s="14">
        <f>41.1881 * CHOOSE(CONTROL!$C$9, $D$9, 100%, $F$9) + CHOOSE(CONTROL!$C$27, 0.0021, 0)</f>
        <v>41.190199999999997</v>
      </c>
      <c r="C363" s="14">
        <f>40.7558 * CHOOSE(CONTROL!$C$9, $D$9, 100%, $F$9) + CHOOSE(CONTROL!$C$27, 0.0021, 0)</f>
        <v>40.757899999999999</v>
      </c>
      <c r="D363" s="14">
        <f>40.7558 * CHOOSE(CONTROL!$C$9, $D$9, 100%, $F$9) + CHOOSE(CONTROL!$C$27, 0.0021, 0)</f>
        <v>40.757899999999999</v>
      </c>
      <c r="E363" s="14">
        <f>40.6192 * CHOOSE(CONTROL!$C$9, $D$9, 100%, $F$9) + CHOOSE(CONTROL!$C$27, 0.0021, 0)</f>
        <v>40.621299999999998</v>
      </c>
      <c r="F363" s="14">
        <f>40.6192 * CHOOSE(CONTROL!$C$9, $D$9, 100%, $F$9) + CHOOSE(CONTROL!$C$27, 0.0021, 0)</f>
        <v>40.621299999999998</v>
      </c>
      <c r="G363" s="14">
        <f>40.8906 * CHOOSE(CONTROL!$C$9, $D$9, 100%, $F$9) + CHOOSE(CONTROL!$C$27, 0.0021, 0)</f>
        <v>40.892699999999998</v>
      </c>
      <c r="H363" s="14">
        <f>40.7558 * CHOOSE(CONTROL!$C$9, $D$9, 100%, $F$9) + CHOOSE(CONTROL!$C$27, 0.0021, 0)</f>
        <v>40.757899999999999</v>
      </c>
      <c r="I363" s="14">
        <f>40.7558 * CHOOSE(CONTROL!$C$9, $D$9, 100%, $F$9) + CHOOSE(CONTROL!$C$27, 0.0021, 0)</f>
        <v>40.757899999999999</v>
      </c>
      <c r="J363" s="14">
        <f>40.7558 * CHOOSE(CONTROL!$C$9, $D$9, 100%, $F$9) + CHOOSE(CONTROL!$C$27, 0.0021, 0)</f>
        <v>40.757899999999999</v>
      </c>
      <c r="K363" s="14">
        <f>40.7558 * CHOOSE(CONTROL!$C$9, $D$9, 100%, $F$9) + CHOOSE(CONTROL!$C$27, 0.0021, 0)</f>
        <v>40.757899999999999</v>
      </c>
      <c r="L363" s="14"/>
    </row>
    <row r="364" spans="1:12" ht="15.75" x14ac:dyDescent="0.25">
      <c r="A364" s="33">
        <v>52017</v>
      </c>
      <c r="B364" s="14">
        <f>42.0049 * CHOOSE(CONTROL!$C$9, $D$9, 100%, $F$9) + CHOOSE(CONTROL!$C$27, 0.0021, 0)</f>
        <v>42.006999999999998</v>
      </c>
      <c r="C364" s="14">
        <f>41.5727 * CHOOSE(CONTROL!$C$9, $D$9, 100%, $F$9) + CHOOSE(CONTROL!$C$27, 0.0021, 0)</f>
        <v>41.574799999999996</v>
      </c>
      <c r="D364" s="14">
        <f>41.5727 * CHOOSE(CONTROL!$C$9, $D$9, 100%, $F$9) + CHOOSE(CONTROL!$C$27, 0.0021, 0)</f>
        <v>41.574799999999996</v>
      </c>
      <c r="E364" s="14">
        <f>41.436 * CHOOSE(CONTROL!$C$9, $D$9, 100%, $F$9) + CHOOSE(CONTROL!$C$27, 0.0021, 0)</f>
        <v>41.438099999999999</v>
      </c>
      <c r="F364" s="14">
        <f>41.436 * CHOOSE(CONTROL!$C$9, $D$9, 100%, $F$9) + CHOOSE(CONTROL!$C$27, 0.0021, 0)</f>
        <v>41.438099999999999</v>
      </c>
      <c r="G364" s="14">
        <f>41.7074 * CHOOSE(CONTROL!$C$9, $D$9, 100%, $F$9) + CHOOSE(CONTROL!$C$27, 0.0021, 0)</f>
        <v>41.709499999999998</v>
      </c>
      <c r="H364" s="14">
        <f>41.5727 * CHOOSE(CONTROL!$C$9, $D$9, 100%, $F$9) + CHOOSE(CONTROL!$C$27, 0.0021, 0)</f>
        <v>41.574799999999996</v>
      </c>
      <c r="I364" s="14">
        <f>41.5727 * CHOOSE(CONTROL!$C$9, $D$9, 100%, $F$9) + CHOOSE(CONTROL!$C$27, 0.0021, 0)</f>
        <v>41.574799999999996</v>
      </c>
      <c r="J364" s="14">
        <f>41.5727 * CHOOSE(CONTROL!$C$9, $D$9, 100%, $F$9) + CHOOSE(CONTROL!$C$27, 0.0021, 0)</f>
        <v>41.574799999999996</v>
      </c>
      <c r="K364" s="14">
        <f>41.5727 * CHOOSE(CONTROL!$C$9, $D$9, 100%, $F$9) + CHOOSE(CONTROL!$C$27, 0.0021, 0)</f>
        <v>41.574799999999996</v>
      </c>
      <c r="L364" s="14"/>
    </row>
    <row r="365" spans="1:12" ht="15.75" x14ac:dyDescent="0.25">
      <c r="A365" s="33">
        <v>52047</v>
      </c>
      <c r="B365" s="14">
        <f>42.4942 * CHOOSE(CONTROL!$C$9, $D$9, 100%, $F$9) + CHOOSE(CONTROL!$C$27, 0.0021, 0)</f>
        <v>42.496299999999998</v>
      </c>
      <c r="C365" s="14">
        <f>42.0619 * CHOOSE(CONTROL!$C$9, $D$9, 100%, $F$9) + CHOOSE(CONTROL!$C$27, 0.0021, 0)</f>
        <v>42.064</v>
      </c>
      <c r="D365" s="14">
        <f>42.0619 * CHOOSE(CONTROL!$C$9, $D$9, 100%, $F$9) + CHOOSE(CONTROL!$C$27, 0.0021, 0)</f>
        <v>42.064</v>
      </c>
      <c r="E365" s="14">
        <f>41.9253 * CHOOSE(CONTROL!$C$9, $D$9, 100%, $F$9) + CHOOSE(CONTROL!$C$27, 0.0021, 0)</f>
        <v>41.927399999999999</v>
      </c>
      <c r="F365" s="14">
        <f>41.9253 * CHOOSE(CONTROL!$C$9, $D$9, 100%, $F$9) + CHOOSE(CONTROL!$C$27, 0.0021, 0)</f>
        <v>41.927399999999999</v>
      </c>
      <c r="G365" s="14">
        <f>42.1966 * CHOOSE(CONTROL!$C$9, $D$9, 100%, $F$9) + CHOOSE(CONTROL!$C$27, 0.0021, 0)</f>
        <v>42.198699999999995</v>
      </c>
      <c r="H365" s="14">
        <f>42.0619 * CHOOSE(CONTROL!$C$9, $D$9, 100%, $F$9) + CHOOSE(CONTROL!$C$27, 0.0021, 0)</f>
        <v>42.064</v>
      </c>
      <c r="I365" s="14">
        <f>42.0619 * CHOOSE(CONTROL!$C$9, $D$9, 100%, $F$9) + CHOOSE(CONTROL!$C$27, 0.0021, 0)</f>
        <v>42.064</v>
      </c>
      <c r="J365" s="14">
        <f>42.0619 * CHOOSE(CONTROL!$C$9, $D$9, 100%, $F$9) + CHOOSE(CONTROL!$C$27, 0.0021, 0)</f>
        <v>42.064</v>
      </c>
      <c r="K365" s="14">
        <f>42.0619 * CHOOSE(CONTROL!$C$9, $D$9, 100%, $F$9) + CHOOSE(CONTROL!$C$27, 0.0021, 0)</f>
        <v>42.064</v>
      </c>
      <c r="L365" s="14"/>
    </row>
    <row r="366" spans="1:12" ht="15.75" x14ac:dyDescent="0.25">
      <c r="A366" s="33">
        <v>52078</v>
      </c>
      <c r="B366" s="14">
        <f>43.3012 * CHOOSE(CONTROL!$C$9, $D$9, 100%, $F$9) + CHOOSE(CONTROL!$C$27, 0.0021, 0)</f>
        <v>43.3033</v>
      </c>
      <c r="C366" s="14">
        <f>42.869 * CHOOSE(CONTROL!$C$9, $D$9, 100%, $F$9) + CHOOSE(CONTROL!$C$27, 0.0021, 0)</f>
        <v>42.871099999999998</v>
      </c>
      <c r="D366" s="14">
        <f>42.869 * CHOOSE(CONTROL!$C$9, $D$9, 100%, $F$9) + CHOOSE(CONTROL!$C$27, 0.0021, 0)</f>
        <v>42.871099999999998</v>
      </c>
      <c r="E366" s="14">
        <f>42.7323 * CHOOSE(CONTROL!$C$9, $D$9, 100%, $F$9) + CHOOSE(CONTROL!$C$27, 0.0021, 0)</f>
        <v>42.734400000000001</v>
      </c>
      <c r="F366" s="14">
        <f>42.7323 * CHOOSE(CONTROL!$C$9, $D$9, 100%, $F$9) + CHOOSE(CONTROL!$C$27, 0.0021, 0)</f>
        <v>42.734400000000001</v>
      </c>
      <c r="G366" s="14">
        <f>43.0037 * CHOOSE(CONTROL!$C$9, $D$9, 100%, $F$9) + CHOOSE(CONTROL!$C$27, 0.0021, 0)</f>
        <v>43.005800000000001</v>
      </c>
      <c r="H366" s="14">
        <f>42.869 * CHOOSE(CONTROL!$C$9, $D$9, 100%, $F$9) + CHOOSE(CONTROL!$C$27, 0.0021, 0)</f>
        <v>42.871099999999998</v>
      </c>
      <c r="I366" s="14">
        <f>42.869 * CHOOSE(CONTROL!$C$9, $D$9, 100%, $F$9) + CHOOSE(CONTROL!$C$27, 0.0021, 0)</f>
        <v>42.871099999999998</v>
      </c>
      <c r="J366" s="14">
        <f>42.869 * CHOOSE(CONTROL!$C$9, $D$9, 100%, $F$9) + CHOOSE(CONTROL!$C$27, 0.0021, 0)</f>
        <v>42.871099999999998</v>
      </c>
      <c r="K366" s="14">
        <f>42.869 * CHOOSE(CONTROL!$C$9, $D$9, 100%, $F$9) + CHOOSE(CONTROL!$C$27, 0.0021, 0)</f>
        <v>42.871099999999998</v>
      </c>
      <c r="L366" s="14"/>
    </row>
    <row r="367" spans="1:12" ht="15.75" x14ac:dyDescent="0.25">
      <c r="A367" s="33">
        <v>52109</v>
      </c>
      <c r="B367" s="14">
        <f>43.5476 * CHOOSE(CONTROL!$C$9, $D$9, 100%, $F$9) + CHOOSE(CONTROL!$C$27, 0.0021, 0)</f>
        <v>43.549700000000001</v>
      </c>
      <c r="C367" s="14">
        <f>43.1153 * CHOOSE(CONTROL!$C$9, $D$9, 100%, $F$9) + CHOOSE(CONTROL!$C$27, 0.0021, 0)</f>
        <v>43.117399999999996</v>
      </c>
      <c r="D367" s="14">
        <f>43.1153 * CHOOSE(CONTROL!$C$9, $D$9, 100%, $F$9) + CHOOSE(CONTROL!$C$27, 0.0021, 0)</f>
        <v>43.117399999999996</v>
      </c>
      <c r="E367" s="14">
        <f>42.9787 * CHOOSE(CONTROL!$C$9, $D$9, 100%, $F$9) + CHOOSE(CONTROL!$C$27, 0.0021, 0)</f>
        <v>42.980800000000002</v>
      </c>
      <c r="F367" s="14">
        <f>42.9787 * CHOOSE(CONTROL!$C$9, $D$9, 100%, $F$9) + CHOOSE(CONTROL!$C$27, 0.0021, 0)</f>
        <v>42.980800000000002</v>
      </c>
      <c r="G367" s="14">
        <f>43.2501 * CHOOSE(CONTROL!$C$9, $D$9, 100%, $F$9) + CHOOSE(CONTROL!$C$27, 0.0021, 0)</f>
        <v>43.252200000000002</v>
      </c>
      <c r="H367" s="14">
        <f>43.1153 * CHOOSE(CONTROL!$C$9, $D$9, 100%, $F$9) + CHOOSE(CONTROL!$C$27, 0.0021, 0)</f>
        <v>43.117399999999996</v>
      </c>
      <c r="I367" s="14">
        <f>43.1153 * CHOOSE(CONTROL!$C$9, $D$9, 100%, $F$9) + CHOOSE(CONTROL!$C$27, 0.0021, 0)</f>
        <v>43.117399999999996</v>
      </c>
      <c r="J367" s="14">
        <f>43.1153 * CHOOSE(CONTROL!$C$9, $D$9, 100%, $F$9) + CHOOSE(CONTROL!$C$27, 0.0021, 0)</f>
        <v>43.117399999999996</v>
      </c>
      <c r="K367" s="14">
        <f>43.1153 * CHOOSE(CONTROL!$C$9, $D$9, 100%, $F$9) + CHOOSE(CONTROL!$C$27, 0.0021, 0)</f>
        <v>43.117399999999996</v>
      </c>
      <c r="L367" s="14"/>
    </row>
    <row r="368" spans="1:12" ht="15.75" x14ac:dyDescent="0.25">
      <c r="A368" s="33">
        <v>52139</v>
      </c>
      <c r="B368" s="14">
        <f>44.3865 * CHOOSE(CONTROL!$C$9, $D$9, 100%, $F$9) + CHOOSE(CONTROL!$C$27, 0.0021, 0)</f>
        <v>44.388599999999997</v>
      </c>
      <c r="C368" s="14">
        <f>43.9543 * CHOOSE(CONTROL!$C$9, $D$9, 100%, $F$9) + CHOOSE(CONTROL!$C$27, 0.0021, 0)</f>
        <v>43.956400000000002</v>
      </c>
      <c r="D368" s="14">
        <f>43.9543 * CHOOSE(CONTROL!$C$9, $D$9, 100%, $F$9) + CHOOSE(CONTROL!$C$27, 0.0021, 0)</f>
        <v>43.956400000000002</v>
      </c>
      <c r="E368" s="14">
        <f>43.8176 * CHOOSE(CONTROL!$C$9, $D$9, 100%, $F$9) + CHOOSE(CONTROL!$C$27, 0.0021, 0)</f>
        <v>43.819699999999997</v>
      </c>
      <c r="F368" s="14">
        <f>43.8176 * CHOOSE(CONTROL!$C$9, $D$9, 100%, $F$9) + CHOOSE(CONTROL!$C$27, 0.0021, 0)</f>
        <v>43.819699999999997</v>
      </c>
      <c r="G368" s="14">
        <f>44.089 * CHOOSE(CONTROL!$C$9, $D$9, 100%, $F$9) + CHOOSE(CONTROL!$C$27, 0.0021, 0)</f>
        <v>44.091099999999997</v>
      </c>
      <c r="H368" s="14">
        <f>43.9543 * CHOOSE(CONTROL!$C$9, $D$9, 100%, $F$9) + CHOOSE(CONTROL!$C$27, 0.0021, 0)</f>
        <v>43.956400000000002</v>
      </c>
      <c r="I368" s="14">
        <f>43.9543 * CHOOSE(CONTROL!$C$9, $D$9, 100%, $F$9) + CHOOSE(CONTROL!$C$27, 0.0021, 0)</f>
        <v>43.956400000000002</v>
      </c>
      <c r="J368" s="14">
        <f>43.9543 * CHOOSE(CONTROL!$C$9, $D$9, 100%, $F$9) + CHOOSE(CONTROL!$C$27, 0.0021, 0)</f>
        <v>43.956400000000002</v>
      </c>
      <c r="K368" s="14">
        <f>43.9543 * CHOOSE(CONTROL!$C$9, $D$9, 100%, $F$9) + CHOOSE(CONTROL!$C$27, 0.0021, 0)</f>
        <v>43.956400000000002</v>
      </c>
      <c r="L368" s="14"/>
    </row>
    <row r="369" spans="1:12" ht="15.75" x14ac:dyDescent="0.25">
      <c r="A369" s="33">
        <v>52170</v>
      </c>
      <c r="B369" s="14">
        <f>45.4484 * CHOOSE(CONTROL!$C$9, $D$9, 100%, $F$9) + CHOOSE(CONTROL!$C$27, 0.0021, 0)</f>
        <v>45.450499999999998</v>
      </c>
      <c r="C369" s="14">
        <f>45.0162 * CHOOSE(CONTROL!$C$9, $D$9, 100%, $F$9) + CHOOSE(CONTROL!$C$27, 0.0021, 0)</f>
        <v>45.018299999999996</v>
      </c>
      <c r="D369" s="14">
        <f>45.0162 * CHOOSE(CONTROL!$C$9, $D$9, 100%, $F$9) + CHOOSE(CONTROL!$C$27, 0.0021, 0)</f>
        <v>45.018299999999996</v>
      </c>
      <c r="E369" s="14">
        <f>44.8795 * CHOOSE(CONTROL!$C$9, $D$9, 100%, $F$9) + CHOOSE(CONTROL!$C$27, 0.0021, 0)</f>
        <v>44.881599999999999</v>
      </c>
      <c r="F369" s="14">
        <f>44.8795 * CHOOSE(CONTROL!$C$9, $D$9, 100%, $F$9) + CHOOSE(CONTROL!$C$27, 0.0021, 0)</f>
        <v>44.881599999999999</v>
      </c>
      <c r="G369" s="14">
        <f>45.1509 * CHOOSE(CONTROL!$C$9, $D$9, 100%, $F$9) + CHOOSE(CONTROL!$C$27, 0.0021, 0)</f>
        <v>45.152999999999999</v>
      </c>
      <c r="H369" s="14">
        <f>45.0162 * CHOOSE(CONTROL!$C$9, $D$9, 100%, $F$9) + CHOOSE(CONTROL!$C$27, 0.0021, 0)</f>
        <v>45.018299999999996</v>
      </c>
      <c r="I369" s="14">
        <f>45.0162 * CHOOSE(CONTROL!$C$9, $D$9, 100%, $F$9) + CHOOSE(CONTROL!$C$27, 0.0021, 0)</f>
        <v>45.018299999999996</v>
      </c>
      <c r="J369" s="14">
        <f>45.0162 * CHOOSE(CONTROL!$C$9, $D$9, 100%, $F$9) + CHOOSE(CONTROL!$C$27, 0.0021, 0)</f>
        <v>45.018299999999996</v>
      </c>
      <c r="K369" s="14">
        <f>45.0162 * CHOOSE(CONTROL!$C$9, $D$9, 100%, $F$9) + CHOOSE(CONTROL!$C$27, 0.0021, 0)</f>
        <v>45.018299999999996</v>
      </c>
      <c r="L369" s="14"/>
    </row>
    <row r="370" spans="1:12" ht="15.75" x14ac:dyDescent="0.25">
      <c r="A370" s="33">
        <v>52200</v>
      </c>
      <c r="B370" s="14">
        <f>45.5481 * CHOOSE(CONTROL!$C$9, $D$9, 100%, $F$9) + CHOOSE(CONTROL!$C$27, 0.0021, 0)</f>
        <v>45.550199999999997</v>
      </c>
      <c r="C370" s="14">
        <f>45.1159 * CHOOSE(CONTROL!$C$9, $D$9, 100%, $F$9) + CHOOSE(CONTROL!$C$27, 0.0021, 0)</f>
        <v>45.118000000000002</v>
      </c>
      <c r="D370" s="14">
        <f>45.1159 * CHOOSE(CONTROL!$C$9, $D$9, 100%, $F$9) + CHOOSE(CONTROL!$C$27, 0.0021, 0)</f>
        <v>45.118000000000002</v>
      </c>
      <c r="E370" s="14">
        <f>44.9792 * CHOOSE(CONTROL!$C$9, $D$9, 100%, $F$9) + CHOOSE(CONTROL!$C$27, 0.0021, 0)</f>
        <v>44.981299999999997</v>
      </c>
      <c r="F370" s="14">
        <f>44.9792 * CHOOSE(CONTROL!$C$9, $D$9, 100%, $F$9) + CHOOSE(CONTROL!$C$27, 0.0021, 0)</f>
        <v>44.981299999999997</v>
      </c>
      <c r="G370" s="14">
        <f>45.2506 * CHOOSE(CONTROL!$C$9, $D$9, 100%, $F$9) + CHOOSE(CONTROL!$C$27, 0.0021, 0)</f>
        <v>45.252699999999997</v>
      </c>
      <c r="H370" s="14">
        <f>45.1159 * CHOOSE(CONTROL!$C$9, $D$9, 100%, $F$9) + CHOOSE(CONTROL!$C$27, 0.0021, 0)</f>
        <v>45.118000000000002</v>
      </c>
      <c r="I370" s="14">
        <f>45.1159 * CHOOSE(CONTROL!$C$9, $D$9, 100%, $F$9) + CHOOSE(CONTROL!$C$27, 0.0021, 0)</f>
        <v>45.118000000000002</v>
      </c>
      <c r="J370" s="14">
        <f>45.1159 * CHOOSE(CONTROL!$C$9, $D$9, 100%, $F$9) + CHOOSE(CONTROL!$C$27, 0.0021, 0)</f>
        <v>45.118000000000002</v>
      </c>
      <c r="K370" s="14">
        <f>45.1159 * CHOOSE(CONTROL!$C$9, $D$9, 100%, $F$9) + CHOOSE(CONTROL!$C$27, 0.0021, 0)</f>
        <v>45.118000000000002</v>
      </c>
      <c r="L370" s="14"/>
    </row>
    <row r="371" spans="1:12" ht="15.75" x14ac:dyDescent="0.25">
      <c r="A371" s="33">
        <v>52231</v>
      </c>
      <c r="B371" s="14">
        <f>44.7 * CHOOSE(CONTROL!$C$9, $D$9, 100%, $F$9) + CHOOSE(CONTROL!$C$27, 0.0021, 0)</f>
        <v>44.702100000000002</v>
      </c>
      <c r="C371" s="14">
        <f>44.2677 * CHOOSE(CONTROL!$C$9, $D$9, 100%, $F$9) + CHOOSE(CONTROL!$C$27, 0.0021, 0)</f>
        <v>44.269799999999996</v>
      </c>
      <c r="D371" s="14">
        <f>44.2677 * CHOOSE(CONTROL!$C$9, $D$9, 100%, $F$9) + CHOOSE(CONTROL!$C$27, 0.0021, 0)</f>
        <v>44.269799999999996</v>
      </c>
      <c r="E371" s="14">
        <f>44.1311 * CHOOSE(CONTROL!$C$9, $D$9, 100%, $F$9) + CHOOSE(CONTROL!$C$27, 0.0021, 0)</f>
        <v>44.133200000000002</v>
      </c>
      <c r="F371" s="14">
        <f>44.1311 * CHOOSE(CONTROL!$C$9, $D$9, 100%, $F$9) + CHOOSE(CONTROL!$C$27, 0.0021, 0)</f>
        <v>44.133200000000002</v>
      </c>
      <c r="G371" s="14">
        <f>44.4025 * CHOOSE(CONTROL!$C$9, $D$9, 100%, $F$9) + CHOOSE(CONTROL!$C$27, 0.0021, 0)</f>
        <v>44.404600000000002</v>
      </c>
      <c r="H371" s="14">
        <f>44.2677 * CHOOSE(CONTROL!$C$9, $D$9, 100%, $F$9) + CHOOSE(CONTROL!$C$27, 0.0021, 0)</f>
        <v>44.269799999999996</v>
      </c>
      <c r="I371" s="14">
        <f>44.2677 * CHOOSE(CONTROL!$C$9, $D$9, 100%, $F$9) + CHOOSE(CONTROL!$C$27, 0.0021, 0)</f>
        <v>44.269799999999996</v>
      </c>
      <c r="J371" s="14">
        <f>44.2677 * CHOOSE(CONTROL!$C$9, $D$9, 100%, $F$9) + CHOOSE(CONTROL!$C$27, 0.0021, 0)</f>
        <v>44.269799999999996</v>
      </c>
      <c r="K371" s="14">
        <f>44.2677 * CHOOSE(CONTROL!$C$9, $D$9, 100%, $F$9) + CHOOSE(CONTROL!$C$27, 0.0021, 0)</f>
        <v>44.269799999999996</v>
      </c>
      <c r="L371" s="14"/>
    </row>
    <row r="372" spans="1:12" ht="15.75" x14ac:dyDescent="0.25">
      <c r="A372" s="33">
        <v>52262</v>
      </c>
      <c r="B372" s="14">
        <f>44.1444 * CHOOSE(CONTROL!$C$9, $D$9, 100%, $F$9) + CHOOSE(CONTROL!$C$27, 0.0021, 0)</f>
        <v>44.146499999999996</v>
      </c>
      <c r="C372" s="14">
        <f>43.7121 * CHOOSE(CONTROL!$C$9, $D$9, 100%, $F$9) + CHOOSE(CONTROL!$C$27, 0.0021, 0)</f>
        <v>43.714199999999998</v>
      </c>
      <c r="D372" s="14">
        <f>43.7121 * CHOOSE(CONTROL!$C$9, $D$9, 100%, $F$9) + CHOOSE(CONTROL!$C$27, 0.0021, 0)</f>
        <v>43.714199999999998</v>
      </c>
      <c r="E372" s="14">
        <f>43.5755 * CHOOSE(CONTROL!$C$9, $D$9, 100%, $F$9) + CHOOSE(CONTROL!$C$27, 0.0021, 0)</f>
        <v>43.577599999999997</v>
      </c>
      <c r="F372" s="14">
        <f>43.5755 * CHOOSE(CONTROL!$C$9, $D$9, 100%, $F$9) + CHOOSE(CONTROL!$C$27, 0.0021, 0)</f>
        <v>43.577599999999997</v>
      </c>
      <c r="G372" s="14">
        <f>43.8468 * CHOOSE(CONTROL!$C$9, $D$9, 100%, $F$9) + CHOOSE(CONTROL!$C$27, 0.0021, 0)</f>
        <v>43.8489</v>
      </c>
      <c r="H372" s="14">
        <f>43.7121 * CHOOSE(CONTROL!$C$9, $D$9, 100%, $F$9) + CHOOSE(CONTROL!$C$27, 0.0021, 0)</f>
        <v>43.714199999999998</v>
      </c>
      <c r="I372" s="14">
        <f>43.7121 * CHOOSE(CONTROL!$C$9, $D$9, 100%, $F$9) + CHOOSE(CONTROL!$C$27, 0.0021, 0)</f>
        <v>43.714199999999998</v>
      </c>
      <c r="J372" s="14">
        <f>43.7121 * CHOOSE(CONTROL!$C$9, $D$9, 100%, $F$9) + CHOOSE(CONTROL!$C$27, 0.0021, 0)</f>
        <v>43.714199999999998</v>
      </c>
      <c r="K372" s="14">
        <f>43.7121 * CHOOSE(CONTROL!$C$9, $D$9, 100%, $F$9) + CHOOSE(CONTROL!$C$27, 0.0021, 0)</f>
        <v>43.714199999999998</v>
      </c>
      <c r="L372" s="14"/>
    </row>
    <row r="373" spans="1:12" ht="15.75" x14ac:dyDescent="0.25">
      <c r="A373" s="33">
        <v>52290</v>
      </c>
      <c r="B373" s="14">
        <f>42.9606 * CHOOSE(CONTROL!$C$9, $D$9, 100%, $F$9) + CHOOSE(CONTROL!$C$27, 0.0021, 0)</f>
        <v>42.962699999999998</v>
      </c>
      <c r="C373" s="14">
        <f>42.5283 * CHOOSE(CONTROL!$C$9, $D$9, 100%, $F$9) + CHOOSE(CONTROL!$C$27, 0.0021, 0)</f>
        <v>42.5304</v>
      </c>
      <c r="D373" s="14">
        <f>42.5283 * CHOOSE(CONTROL!$C$9, $D$9, 100%, $F$9) + CHOOSE(CONTROL!$C$27, 0.0021, 0)</f>
        <v>42.5304</v>
      </c>
      <c r="E373" s="14">
        <f>42.3916 * CHOOSE(CONTROL!$C$9, $D$9, 100%, $F$9) + CHOOSE(CONTROL!$C$27, 0.0021, 0)</f>
        <v>42.393699999999995</v>
      </c>
      <c r="F373" s="14">
        <f>42.3916 * CHOOSE(CONTROL!$C$9, $D$9, 100%, $F$9) + CHOOSE(CONTROL!$C$27, 0.0021, 0)</f>
        <v>42.393699999999995</v>
      </c>
      <c r="G373" s="14">
        <f>42.663 * CHOOSE(CONTROL!$C$9, $D$9, 100%, $F$9) + CHOOSE(CONTROL!$C$27, 0.0021, 0)</f>
        <v>42.665099999999995</v>
      </c>
      <c r="H373" s="14">
        <f>42.5283 * CHOOSE(CONTROL!$C$9, $D$9, 100%, $F$9) + CHOOSE(CONTROL!$C$27, 0.0021, 0)</f>
        <v>42.5304</v>
      </c>
      <c r="I373" s="14">
        <f>42.5283 * CHOOSE(CONTROL!$C$9, $D$9, 100%, $F$9) + CHOOSE(CONTROL!$C$27, 0.0021, 0)</f>
        <v>42.5304</v>
      </c>
      <c r="J373" s="14">
        <f>42.5283 * CHOOSE(CONTROL!$C$9, $D$9, 100%, $F$9) + CHOOSE(CONTROL!$C$27, 0.0021, 0)</f>
        <v>42.5304</v>
      </c>
      <c r="K373" s="14">
        <f>42.5283 * CHOOSE(CONTROL!$C$9, $D$9, 100%, $F$9) + CHOOSE(CONTROL!$C$27, 0.0021, 0)</f>
        <v>42.5304</v>
      </c>
      <c r="L373" s="14"/>
    </row>
    <row r="374" spans="1:12" ht="15.75" x14ac:dyDescent="0.25">
      <c r="A374" s="33">
        <v>52321</v>
      </c>
      <c r="B374" s="14">
        <f>42.4719 * CHOOSE(CONTROL!$C$9, $D$9, 100%, $F$9) + CHOOSE(CONTROL!$C$27, 0.0021, 0)</f>
        <v>42.473999999999997</v>
      </c>
      <c r="C374" s="14">
        <f>42.0396 * CHOOSE(CONTROL!$C$9, $D$9, 100%, $F$9) + CHOOSE(CONTROL!$C$27, 0.0021, 0)</f>
        <v>42.041699999999999</v>
      </c>
      <c r="D374" s="14">
        <f>42.0396 * CHOOSE(CONTROL!$C$9, $D$9, 100%, $F$9) + CHOOSE(CONTROL!$C$27, 0.0021, 0)</f>
        <v>42.041699999999999</v>
      </c>
      <c r="E374" s="14">
        <f>41.903 * CHOOSE(CONTROL!$C$9, $D$9, 100%, $F$9) + CHOOSE(CONTROL!$C$27, 0.0021, 0)</f>
        <v>41.905099999999997</v>
      </c>
      <c r="F374" s="14">
        <f>41.903 * CHOOSE(CONTROL!$C$9, $D$9, 100%, $F$9) + CHOOSE(CONTROL!$C$27, 0.0021, 0)</f>
        <v>41.905099999999997</v>
      </c>
      <c r="G374" s="14">
        <f>42.1744 * CHOOSE(CONTROL!$C$9, $D$9, 100%, $F$9) + CHOOSE(CONTROL!$C$27, 0.0021, 0)</f>
        <v>42.176499999999997</v>
      </c>
      <c r="H374" s="14">
        <f>42.0396 * CHOOSE(CONTROL!$C$9, $D$9, 100%, $F$9) + CHOOSE(CONTROL!$C$27, 0.0021, 0)</f>
        <v>42.041699999999999</v>
      </c>
      <c r="I374" s="14">
        <f>42.0396 * CHOOSE(CONTROL!$C$9, $D$9, 100%, $F$9) + CHOOSE(CONTROL!$C$27, 0.0021, 0)</f>
        <v>42.041699999999999</v>
      </c>
      <c r="J374" s="14">
        <f>42.0396 * CHOOSE(CONTROL!$C$9, $D$9, 100%, $F$9) + CHOOSE(CONTROL!$C$27, 0.0021, 0)</f>
        <v>42.041699999999999</v>
      </c>
      <c r="K374" s="14">
        <f>42.0396 * CHOOSE(CONTROL!$C$9, $D$9, 100%, $F$9) + CHOOSE(CONTROL!$C$27, 0.0021, 0)</f>
        <v>42.041699999999999</v>
      </c>
      <c r="L374" s="14"/>
    </row>
    <row r="375" spans="1:12" ht="15.75" x14ac:dyDescent="0.25">
      <c r="A375" s="33">
        <v>52351</v>
      </c>
      <c r="B375" s="14">
        <f>41.8884 * CHOOSE(CONTROL!$C$9, $D$9, 100%, $F$9) + CHOOSE(CONTROL!$C$27, 0.0021, 0)</f>
        <v>41.890499999999996</v>
      </c>
      <c r="C375" s="14">
        <f>41.4562 * CHOOSE(CONTROL!$C$9, $D$9, 100%, $F$9) + CHOOSE(CONTROL!$C$27, 0.0021, 0)</f>
        <v>41.458300000000001</v>
      </c>
      <c r="D375" s="14">
        <f>41.4562 * CHOOSE(CONTROL!$C$9, $D$9, 100%, $F$9) + CHOOSE(CONTROL!$C$27, 0.0021, 0)</f>
        <v>41.458300000000001</v>
      </c>
      <c r="E375" s="14">
        <f>41.3195 * CHOOSE(CONTROL!$C$9, $D$9, 100%, $F$9) + CHOOSE(CONTROL!$C$27, 0.0021, 0)</f>
        <v>41.321599999999997</v>
      </c>
      <c r="F375" s="14">
        <f>41.3195 * CHOOSE(CONTROL!$C$9, $D$9, 100%, $F$9) + CHOOSE(CONTROL!$C$27, 0.0021, 0)</f>
        <v>41.321599999999997</v>
      </c>
      <c r="G375" s="14">
        <f>41.5909 * CHOOSE(CONTROL!$C$9, $D$9, 100%, $F$9) + CHOOSE(CONTROL!$C$27, 0.0021, 0)</f>
        <v>41.592999999999996</v>
      </c>
      <c r="H375" s="14">
        <f>41.4562 * CHOOSE(CONTROL!$C$9, $D$9, 100%, $F$9) + CHOOSE(CONTROL!$C$27, 0.0021, 0)</f>
        <v>41.458300000000001</v>
      </c>
      <c r="I375" s="14">
        <f>41.4562 * CHOOSE(CONTROL!$C$9, $D$9, 100%, $F$9) + CHOOSE(CONTROL!$C$27, 0.0021, 0)</f>
        <v>41.458300000000001</v>
      </c>
      <c r="J375" s="14">
        <f>41.4562 * CHOOSE(CONTROL!$C$9, $D$9, 100%, $F$9) + CHOOSE(CONTROL!$C$27, 0.0021, 0)</f>
        <v>41.458300000000001</v>
      </c>
      <c r="K375" s="14">
        <f>41.4562 * CHOOSE(CONTROL!$C$9, $D$9, 100%, $F$9) + CHOOSE(CONTROL!$C$27, 0.0021, 0)</f>
        <v>41.458300000000001</v>
      </c>
      <c r="L375" s="14"/>
    </row>
    <row r="376" spans="1:12" ht="15.75" x14ac:dyDescent="0.25">
      <c r="A376" s="33">
        <v>52382</v>
      </c>
      <c r="B376" s="14">
        <f>42.7199 * CHOOSE(CONTROL!$C$9, $D$9, 100%, $F$9) + CHOOSE(CONTROL!$C$27, 0.0021, 0)</f>
        <v>42.722000000000001</v>
      </c>
      <c r="C376" s="14">
        <f>42.2877 * CHOOSE(CONTROL!$C$9, $D$9, 100%, $F$9) + CHOOSE(CONTROL!$C$27, 0.0021, 0)</f>
        <v>42.2898</v>
      </c>
      <c r="D376" s="14">
        <f>42.2877 * CHOOSE(CONTROL!$C$9, $D$9, 100%, $F$9) + CHOOSE(CONTROL!$C$27, 0.0021, 0)</f>
        <v>42.2898</v>
      </c>
      <c r="E376" s="14">
        <f>42.151 * CHOOSE(CONTROL!$C$9, $D$9, 100%, $F$9) + CHOOSE(CONTROL!$C$27, 0.0021, 0)</f>
        <v>42.153100000000002</v>
      </c>
      <c r="F376" s="14">
        <f>42.151 * CHOOSE(CONTROL!$C$9, $D$9, 100%, $F$9) + CHOOSE(CONTROL!$C$27, 0.0021, 0)</f>
        <v>42.153100000000002</v>
      </c>
      <c r="G376" s="14">
        <f>42.4224 * CHOOSE(CONTROL!$C$9, $D$9, 100%, $F$9) + CHOOSE(CONTROL!$C$27, 0.0021, 0)</f>
        <v>42.424500000000002</v>
      </c>
      <c r="H376" s="14">
        <f>42.2877 * CHOOSE(CONTROL!$C$9, $D$9, 100%, $F$9) + CHOOSE(CONTROL!$C$27, 0.0021, 0)</f>
        <v>42.2898</v>
      </c>
      <c r="I376" s="14">
        <f>42.2877 * CHOOSE(CONTROL!$C$9, $D$9, 100%, $F$9) + CHOOSE(CONTROL!$C$27, 0.0021, 0)</f>
        <v>42.2898</v>
      </c>
      <c r="J376" s="14">
        <f>42.2877 * CHOOSE(CONTROL!$C$9, $D$9, 100%, $F$9) + CHOOSE(CONTROL!$C$27, 0.0021, 0)</f>
        <v>42.2898</v>
      </c>
      <c r="K376" s="14">
        <f>42.2877 * CHOOSE(CONTROL!$C$9, $D$9, 100%, $F$9) + CHOOSE(CONTROL!$C$27, 0.0021, 0)</f>
        <v>42.2898</v>
      </c>
      <c r="L376" s="14"/>
    </row>
    <row r="377" spans="1:12" ht="15.75" x14ac:dyDescent="0.25">
      <c r="A377" s="33">
        <v>52412</v>
      </c>
      <c r="B377" s="14">
        <f>43.218 * CHOOSE(CONTROL!$C$9, $D$9, 100%, $F$9) + CHOOSE(CONTROL!$C$27, 0.0021, 0)</f>
        <v>43.220100000000002</v>
      </c>
      <c r="C377" s="14">
        <f>42.7857 * CHOOSE(CONTROL!$C$9, $D$9, 100%, $F$9) + CHOOSE(CONTROL!$C$27, 0.0021, 0)</f>
        <v>42.787799999999997</v>
      </c>
      <c r="D377" s="14">
        <f>42.7857 * CHOOSE(CONTROL!$C$9, $D$9, 100%, $F$9) + CHOOSE(CONTROL!$C$27, 0.0021, 0)</f>
        <v>42.787799999999997</v>
      </c>
      <c r="E377" s="14">
        <f>42.6491 * CHOOSE(CONTROL!$C$9, $D$9, 100%, $F$9) + CHOOSE(CONTROL!$C$27, 0.0021, 0)</f>
        <v>42.651199999999996</v>
      </c>
      <c r="F377" s="14">
        <f>42.6491 * CHOOSE(CONTROL!$C$9, $D$9, 100%, $F$9) + CHOOSE(CONTROL!$C$27, 0.0021, 0)</f>
        <v>42.651199999999996</v>
      </c>
      <c r="G377" s="14">
        <f>42.9205 * CHOOSE(CONTROL!$C$9, $D$9, 100%, $F$9) + CHOOSE(CONTROL!$C$27, 0.0021, 0)</f>
        <v>42.922599999999996</v>
      </c>
      <c r="H377" s="14">
        <f>42.7857 * CHOOSE(CONTROL!$C$9, $D$9, 100%, $F$9) + CHOOSE(CONTROL!$C$27, 0.0021, 0)</f>
        <v>42.787799999999997</v>
      </c>
      <c r="I377" s="14">
        <f>42.7857 * CHOOSE(CONTROL!$C$9, $D$9, 100%, $F$9) + CHOOSE(CONTROL!$C$27, 0.0021, 0)</f>
        <v>42.787799999999997</v>
      </c>
      <c r="J377" s="14">
        <f>42.7857 * CHOOSE(CONTROL!$C$9, $D$9, 100%, $F$9) + CHOOSE(CONTROL!$C$27, 0.0021, 0)</f>
        <v>42.787799999999997</v>
      </c>
      <c r="K377" s="14">
        <f>42.7857 * CHOOSE(CONTROL!$C$9, $D$9, 100%, $F$9) + CHOOSE(CONTROL!$C$27, 0.0021, 0)</f>
        <v>42.787799999999997</v>
      </c>
      <c r="L377" s="14"/>
    </row>
    <row r="378" spans="1:12" ht="15.75" x14ac:dyDescent="0.25">
      <c r="A378" s="33">
        <v>52443</v>
      </c>
      <c r="B378" s="14">
        <f>44.0396 * CHOOSE(CONTROL!$C$9, $D$9, 100%, $F$9) + CHOOSE(CONTROL!$C$27, 0.0021, 0)</f>
        <v>44.041699999999999</v>
      </c>
      <c r="C378" s="14">
        <f>43.6074 * CHOOSE(CONTROL!$C$9, $D$9, 100%, $F$9) + CHOOSE(CONTROL!$C$27, 0.0021, 0)</f>
        <v>43.609499999999997</v>
      </c>
      <c r="D378" s="14">
        <f>43.6074 * CHOOSE(CONTROL!$C$9, $D$9, 100%, $F$9) + CHOOSE(CONTROL!$C$27, 0.0021, 0)</f>
        <v>43.609499999999997</v>
      </c>
      <c r="E378" s="14">
        <f>43.4707 * CHOOSE(CONTROL!$C$9, $D$9, 100%, $F$9) + CHOOSE(CONTROL!$C$27, 0.0021, 0)</f>
        <v>43.472799999999999</v>
      </c>
      <c r="F378" s="14">
        <f>43.4707 * CHOOSE(CONTROL!$C$9, $D$9, 100%, $F$9) + CHOOSE(CONTROL!$C$27, 0.0021, 0)</f>
        <v>43.472799999999999</v>
      </c>
      <c r="G378" s="14">
        <f>43.7421 * CHOOSE(CONTROL!$C$9, $D$9, 100%, $F$9) + CHOOSE(CONTROL!$C$27, 0.0021, 0)</f>
        <v>43.744199999999999</v>
      </c>
      <c r="H378" s="14">
        <f>43.6074 * CHOOSE(CONTROL!$C$9, $D$9, 100%, $F$9) + CHOOSE(CONTROL!$C$27, 0.0021, 0)</f>
        <v>43.609499999999997</v>
      </c>
      <c r="I378" s="14">
        <f>43.6074 * CHOOSE(CONTROL!$C$9, $D$9, 100%, $F$9) + CHOOSE(CONTROL!$C$27, 0.0021, 0)</f>
        <v>43.609499999999997</v>
      </c>
      <c r="J378" s="14">
        <f>43.6074 * CHOOSE(CONTROL!$C$9, $D$9, 100%, $F$9) + CHOOSE(CONTROL!$C$27, 0.0021, 0)</f>
        <v>43.609499999999997</v>
      </c>
      <c r="K378" s="14">
        <f>43.6074 * CHOOSE(CONTROL!$C$9, $D$9, 100%, $F$9) + CHOOSE(CONTROL!$C$27, 0.0021, 0)</f>
        <v>43.609499999999997</v>
      </c>
      <c r="L378" s="14"/>
    </row>
    <row r="379" spans="1:12" ht="15.75" x14ac:dyDescent="0.25">
      <c r="A379" s="33">
        <v>52474</v>
      </c>
      <c r="B379" s="14">
        <f>44.2904 * CHOOSE(CONTROL!$C$9, $D$9, 100%, $F$9) + CHOOSE(CONTROL!$C$27, 0.0021, 0)</f>
        <v>44.292499999999997</v>
      </c>
      <c r="C379" s="14">
        <f>43.8581 * CHOOSE(CONTROL!$C$9, $D$9, 100%, $F$9) + CHOOSE(CONTROL!$C$27, 0.0021, 0)</f>
        <v>43.860199999999999</v>
      </c>
      <c r="D379" s="14">
        <f>43.8581 * CHOOSE(CONTROL!$C$9, $D$9, 100%, $F$9) + CHOOSE(CONTROL!$C$27, 0.0021, 0)</f>
        <v>43.860199999999999</v>
      </c>
      <c r="E379" s="14">
        <f>43.7215 * CHOOSE(CONTROL!$C$9, $D$9, 100%, $F$9) + CHOOSE(CONTROL!$C$27, 0.0021, 0)</f>
        <v>43.723599999999998</v>
      </c>
      <c r="F379" s="14">
        <f>43.7215 * CHOOSE(CONTROL!$C$9, $D$9, 100%, $F$9) + CHOOSE(CONTROL!$C$27, 0.0021, 0)</f>
        <v>43.723599999999998</v>
      </c>
      <c r="G379" s="14">
        <f>43.9929 * CHOOSE(CONTROL!$C$9, $D$9, 100%, $F$9) + CHOOSE(CONTROL!$C$27, 0.0021, 0)</f>
        <v>43.994999999999997</v>
      </c>
      <c r="H379" s="14">
        <f>43.8581 * CHOOSE(CONTROL!$C$9, $D$9, 100%, $F$9) + CHOOSE(CONTROL!$C$27, 0.0021, 0)</f>
        <v>43.860199999999999</v>
      </c>
      <c r="I379" s="14">
        <f>43.8581 * CHOOSE(CONTROL!$C$9, $D$9, 100%, $F$9) + CHOOSE(CONTROL!$C$27, 0.0021, 0)</f>
        <v>43.860199999999999</v>
      </c>
      <c r="J379" s="14">
        <f>43.8581 * CHOOSE(CONTROL!$C$9, $D$9, 100%, $F$9) + CHOOSE(CONTROL!$C$27, 0.0021, 0)</f>
        <v>43.860199999999999</v>
      </c>
      <c r="K379" s="14">
        <f>43.8581 * CHOOSE(CONTROL!$C$9, $D$9, 100%, $F$9) + CHOOSE(CONTROL!$C$27, 0.0021, 0)</f>
        <v>43.860199999999999</v>
      </c>
      <c r="L379" s="14"/>
    </row>
    <row r="380" spans="1:12" ht="15.75" x14ac:dyDescent="0.25">
      <c r="A380" s="33">
        <v>52504</v>
      </c>
      <c r="B380" s="14">
        <f>45.1444 * CHOOSE(CONTROL!$C$9, $D$9, 100%, $F$9) + CHOOSE(CONTROL!$C$27, 0.0021, 0)</f>
        <v>45.146499999999996</v>
      </c>
      <c r="C380" s="14">
        <f>44.7122 * CHOOSE(CONTROL!$C$9, $D$9, 100%, $F$9) + CHOOSE(CONTROL!$C$27, 0.0021, 0)</f>
        <v>44.714300000000001</v>
      </c>
      <c r="D380" s="14">
        <f>44.7122 * CHOOSE(CONTROL!$C$9, $D$9, 100%, $F$9) + CHOOSE(CONTROL!$C$27, 0.0021, 0)</f>
        <v>44.714300000000001</v>
      </c>
      <c r="E380" s="14">
        <f>44.5755 * CHOOSE(CONTROL!$C$9, $D$9, 100%, $F$9) + CHOOSE(CONTROL!$C$27, 0.0021, 0)</f>
        <v>44.577599999999997</v>
      </c>
      <c r="F380" s="14">
        <f>44.5755 * CHOOSE(CONTROL!$C$9, $D$9, 100%, $F$9) + CHOOSE(CONTROL!$C$27, 0.0021, 0)</f>
        <v>44.577599999999997</v>
      </c>
      <c r="G380" s="14">
        <f>44.8469 * CHOOSE(CONTROL!$C$9, $D$9, 100%, $F$9) + CHOOSE(CONTROL!$C$27, 0.0021, 0)</f>
        <v>44.848999999999997</v>
      </c>
      <c r="H380" s="14">
        <f>44.7122 * CHOOSE(CONTROL!$C$9, $D$9, 100%, $F$9) + CHOOSE(CONTROL!$C$27, 0.0021, 0)</f>
        <v>44.714300000000001</v>
      </c>
      <c r="I380" s="14">
        <f>44.7122 * CHOOSE(CONTROL!$C$9, $D$9, 100%, $F$9) + CHOOSE(CONTROL!$C$27, 0.0021, 0)</f>
        <v>44.714300000000001</v>
      </c>
      <c r="J380" s="14">
        <f>44.7122 * CHOOSE(CONTROL!$C$9, $D$9, 100%, $F$9) + CHOOSE(CONTROL!$C$27, 0.0021, 0)</f>
        <v>44.714300000000001</v>
      </c>
      <c r="K380" s="14">
        <f>44.7122 * CHOOSE(CONTROL!$C$9, $D$9, 100%, $F$9) + CHOOSE(CONTROL!$C$27, 0.0021, 0)</f>
        <v>44.714300000000001</v>
      </c>
      <c r="L380" s="14"/>
    </row>
    <row r="381" spans="1:12" ht="15.75" x14ac:dyDescent="0.25">
      <c r="A381" s="33">
        <v>52535</v>
      </c>
      <c r="B381" s="14">
        <f>46.2255 * CHOOSE(CONTROL!$C$9, $D$9, 100%, $F$9) + CHOOSE(CONTROL!$C$27, 0.0021, 0)</f>
        <v>46.227599999999995</v>
      </c>
      <c r="C381" s="14">
        <f>45.7932 * CHOOSE(CONTROL!$C$9, $D$9, 100%, $F$9) + CHOOSE(CONTROL!$C$27, 0.0021, 0)</f>
        <v>45.795299999999997</v>
      </c>
      <c r="D381" s="14">
        <f>45.7932 * CHOOSE(CONTROL!$C$9, $D$9, 100%, $F$9) + CHOOSE(CONTROL!$C$27, 0.0021, 0)</f>
        <v>45.795299999999997</v>
      </c>
      <c r="E381" s="14">
        <f>45.6566 * CHOOSE(CONTROL!$C$9, $D$9, 100%, $F$9) + CHOOSE(CONTROL!$C$27, 0.0021, 0)</f>
        <v>45.658699999999996</v>
      </c>
      <c r="F381" s="14">
        <f>45.6566 * CHOOSE(CONTROL!$C$9, $D$9, 100%, $F$9) + CHOOSE(CONTROL!$C$27, 0.0021, 0)</f>
        <v>45.658699999999996</v>
      </c>
      <c r="G381" s="14">
        <f>45.9279 * CHOOSE(CONTROL!$C$9, $D$9, 100%, $F$9) + CHOOSE(CONTROL!$C$27, 0.0021, 0)</f>
        <v>45.93</v>
      </c>
      <c r="H381" s="14">
        <f>45.7932 * CHOOSE(CONTROL!$C$9, $D$9, 100%, $F$9) + CHOOSE(CONTROL!$C$27, 0.0021, 0)</f>
        <v>45.795299999999997</v>
      </c>
      <c r="I381" s="14">
        <f>45.7932 * CHOOSE(CONTROL!$C$9, $D$9, 100%, $F$9) + CHOOSE(CONTROL!$C$27, 0.0021, 0)</f>
        <v>45.795299999999997</v>
      </c>
      <c r="J381" s="14">
        <f>45.7932 * CHOOSE(CONTROL!$C$9, $D$9, 100%, $F$9) + CHOOSE(CONTROL!$C$27, 0.0021, 0)</f>
        <v>45.795299999999997</v>
      </c>
      <c r="K381" s="14">
        <f>45.7932 * CHOOSE(CONTROL!$C$9, $D$9, 100%, $F$9) + CHOOSE(CONTROL!$C$27, 0.0021, 0)</f>
        <v>45.795299999999997</v>
      </c>
      <c r="L381" s="14"/>
    </row>
    <row r="382" spans="1:12" ht="15.75" x14ac:dyDescent="0.25">
      <c r="A382" s="33">
        <v>52565</v>
      </c>
      <c r="B382" s="14">
        <f>46.3269 * CHOOSE(CONTROL!$C$9, $D$9, 100%, $F$9) + CHOOSE(CONTROL!$C$27, 0.0021, 0)</f>
        <v>46.329000000000001</v>
      </c>
      <c r="C382" s="14">
        <f>45.8947 * CHOOSE(CONTROL!$C$9, $D$9, 100%, $F$9) + CHOOSE(CONTROL!$C$27, 0.0021, 0)</f>
        <v>45.896799999999999</v>
      </c>
      <c r="D382" s="14">
        <f>45.8947 * CHOOSE(CONTROL!$C$9, $D$9, 100%, $F$9) + CHOOSE(CONTROL!$C$27, 0.0021, 0)</f>
        <v>45.896799999999999</v>
      </c>
      <c r="E382" s="14">
        <f>45.758 * CHOOSE(CONTROL!$C$9, $D$9, 100%, $F$9) + CHOOSE(CONTROL!$C$27, 0.0021, 0)</f>
        <v>45.760100000000001</v>
      </c>
      <c r="F382" s="14">
        <f>45.758 * CHOOSE(CONTROL!$C$9, $D$9, 100%, $F$9) + CHOOSE(CONTROL!$C$27, 0.0021, 0)</f>
        <v>45.760100000000001</v>
      </c>
      <c r="G382" s="14">
        <f>46.0294 * CHOOSE(CONTROL!$C$9, $D$9, 100%, $F$9) + CHOOSE(CONTROL!$C$27, 0.0021, 0)</f>
        <v>46.031500000000001</v>
      </c>
      <c r="H382" s="14">
        <f>45.8947 * CHOOSE(CONTROL!$C$9, $D$9, 100%, $F$9) + CHOOSE(CONTROL!$C$27, 0.0021, 0)</f>
        <v>45.896799999999999</v>
      </c>
      <c r="I382" s="14">
        <f>45.8947 * CHOOSE(CONTROL!$C$9, $D$9, 100%, $F$9) + CHOOSE(CONTROL!$C$27, 0.0021, 0)</f>
        <v>45.896799999999999</v>
      </c>
      <c r="J382" s="14">
        <f>45.8947 * CHOOSE(CONTROL!$C$9, $D$9, 100%, $F$9) + CHOOSE(CONTROL!$C$27, 0.0021, 0)</f>
        <v>45.896799999999999</v>
      </c>
      <c r="K382" s="14">
        <f>45.8947 * CHOOSE(CONTROL!$C$9, $D$9, 100%, $F$9) + CHOOSE(CONTROL!$C$27, 0.0021, 0)</f>
        <v>45.896799999999999</v>
      </c>
      <c r="L382" s="14"/>
    </row>
    <row r="383" spans="1:12" ht="15.75" x14ac:dyDescent="0.25">
      <c r="A383" s="33">
        <v>52596</v>
      </c>
      <c r="B383" s="14">
        <f>45.4635 * CHOOSE(CONTROL!$C$9, $D$9, 100%, $F$9) + CHOOSE(CONTROL!$C$27, 0.0021, 0)</f>
        <v>45.465600000000002</v>
      </c>
      <c r="C383" s="14">
        <f>45.0313 * CHOOSE(CONTROL!$C$9, $D$9, 100%, $F$9) + CHOOSE(CONTROL!$C$27, 0.0021, 0)</f>
        <v>45.0334</v>
      </c>
      <c r="D383" s="14">
        <f>45.0313 * CHOOSE(CONTROL!$C$9, $D$9, 100%, $F$9) + CHOOSE(CONTROL!$C$27, 0.0021, 0)</f>
        <v>45.0334</v>
      </c>
      <c r="E383" s="14">
        <f>44.8946 * CHOOSE(CONTROL!$C$9, $D$9, 100%, $F$9) + CHOOSE(CONTROL!$C$27, 0.0021, 0)</f>
        <v>44.896699999999996</v>
      </c>
      <c r="F383" s="14">
        <f>44.8946 * CHOOSE(CONTROL!$C$9, $D$9, 100%, $F$9) + CHOOSE(CONTROL!$C$27, 0.0021, 0)</f>
        <v>44.896699999999996</v>
      </c>
      <c r="G383" s="14">
        <f>45.166 * CHOOSE(CONTROL!$C$9, $D$9, 100%, $F$9) + CHOOSE(CONTROL!$C$27, 0.0021, 0)</f>
        <v>45.168099999999995</v>
      </c>
      <c r="H383" s="14">
        <f>45.0313 * CHOOSE(CONTROL!$C$9, $D$9, 100%, $F$9) + CHOOSE(CONTROL!$C$27, 0.0021, 0)</f>
        <v>45.0334</v>
      </c>
      <c r="I383" s="14">
        <f>45.0313 * CHOOSE(CONTROL!$C$9, $D$9, 100%, $F$9) + CHOOSE(CONTROL!$C$27, 0.0021, 0)</f>
        <v>45.0334</v>
      </c>
      <c r="J383" s="14">
        <f>45.0313 * CHOOSE(CONTROL!$C$9, $D$9, 100%, $F$9) + CHOOSE(CONTROL!$C$27, 0.0021, 0)</f>
        <v>45.0334</v>
      </c>
      <c r="K383" s="14">
        <f>45.0313 * CHOOSE(CONTROL!$C$9, $D$9, 100%, $F$9) + CHOOSE(CONTROL!$C$27, 0.0021, 0)</f>
        <v>45.0334</v>
      </c>
      <c r="L383" s="14"/>
    </row>
    <row r="384" spans="1:12" ht="15.75" x14ac:dyDescent="0.25">
      <c r="A384" s="33">
        <v>52627</v>
      </c>
      <c r="B384" s="14">
        <f>44.8979 * CHOOSE(CONTROL!$C$9, $D$9, 100%, $F$9) + CHOOSE(CONTROL!$C$27, 0.0021, 0)</f>
        <v>44.9</v>
      </c>
      <c r="C384" s="14">
        <f>44.4656 * CHOOSE(CONTROL!$C$9, $D$9, 100%, $F$9) + CHOOSE(CONTROL!$C$27, 0.0021, 0)</f>
        <v>44.467700000000001</v>
      </c>
      <c r="D384" s="14">
        <f>44.4656 * CHOOSE(CONTROL!$C$9, $D$9, 100%, $F$9) + CHOOSE(CONTROL!$C$27, 0.0021, 0)</f>
        <v>44.467700000000001</v>
      </c>
      <c r="E384" s="14">
        <f>44.329 * CHOOSE(CONTROL!$C$9, $D$9, 100%, $F$9) + CHOOSE(CONTROL!$C$27, 0.0021, 0)</f>
        <v>44.331099999999999</v>
      </c>
      <c r="F384" s="14">
        <f>44.329 * CHOOSE(CONTROL!$C$9, $D$9, 100%, $F$9) + CHOOSE(CONTROL!$C$27, 0.0021, 0)</f>
        <v>44.331099999999999</v>
      </c>
      <c r="G384" s="14">
        <f>44.6004 * CHOOSE(CONTROL!$C$9, $D$9, 100%, $F$9) + CHOOSE(CONTROL!$C$27, 0.0021, 0)</f>
        <v>44.602499999999999</v>
      </c>
      <c r="H384" s="14">
        <f>44.4656 * CHOOSE(CONTROL!$C$9, $D$9, 100%, $F$9) + CHOOSE(CONTROL!$C$27, 0.0021, 0)</f>
        <v>44.467700000000001</v>
      </c>
      <c r="I384" s="14">
        <f>44.4656 * CHOOSE(CONTROL!$C$9, $D$9, 100%, $F$9) + CHOOSE(CONTROL!$C$27, 0.0021, 0)</f>
        <v>44.467700000000001</v>
      </c>
      <c r="J384" s="14">
        <f>44.4656 * CHOOSE(CONTROL!$C$9, $D$9, 100%, $F$9) + CHOOSE(CONTROL!$C$27, 0.0021, 0)</f>
        <v>44.467700000000001</v>
      </c>
      <c r="K384" s="14">
        <f>44.4656 * CHOOSE(CONTROL!$C$9, $D$9, 100%, $F$9) + CHOOSE(CONTROL!$C$27, 0.0021, 0)</f>
        <v>44.467700000000001</v>
      </c>
      <c r="L384" s="14"/>
    </row>
    <row r="385" spans="1:12" ht="15.75" x14ac:dyDescent="0.25">
      <c r="A385" s="33">
        <v>52655</v>
      </c>
      <c r="B385" s="14">
        <f>43.6928 * CHOOSE(CONTROL!$C$9, $D$9, 100%, $F$9) + CHOOSE(CONTROL!$C$27, 0.0021, 0)</f>
        <v>43.694899999999997</v>
      </c>
      <c r="C385" s="14">
        <f>43.2605 * CHOOSE(CONTROL!$C$9, $D$9, 100%, $F$9) + CHOOSE(CONTROL!$C$27, 0.0021, 0)</f>
        <v>43.262599999999999</v>
      </c>
      <c r="D385" s="14">
        <f>43.2605 * CHOOSE(CONTROL!$C$9, $D$9, 100%, $F$9) + CHOOSE(CONTROL!$C$27, 0.0021, 0)</f>
        <v>43.262599999999999</v>
      </c>
      <c r="E385" s="14">
        <f>43.1239 * CHOOSE(CONTROL!$C$9, $D$9, 100%, $F$9) + CHOOSE(CONTROL!$C$27, 0.0021, 0)</f>
        <v>43.125999999999998</v>
      </c>
      <c r="F385" s="14">
        <f>43.1239 * CHOOSE(CONTROL!$C$9, $D$9, 100%, $F$9) + CHOOSE(CONTROL!$C$27, 0.0021, 0)</f>
        <v>43.125999999999998</v>
      </c>
      <c r="G385" s="14">
        <f>43.3952 * CHOOSE(CONTROL!$C$9, $D$9, 100%, $F$9) + CHOOSE(CONTROL!$C$27, 0.0021, 0)</f>
        <v>43.397300000000001</v>
      </c>
      <c r="H385" s="14">
        <f>43.2605 * CHOOSE(CONTROL!$C$9, $D$9, 100%, $F$9) + CHOOSE(CONTROL!$C$27, 0.0021, 0)</f>
        <v>43.262599999999999</v>
      </c>
      <c r="I385" s="14">
        <f>43.2605 * CHOOSE(CONTROL!$C$9, $D$9, 100%, $F$9) + CHOOSE(CONTROL!$C$27, 0.0021, 0)</f>
        <v>43.262599999999999</v>
      </c>
      <c r="J385" s="14">
        <f>43.2605 * CHOOSE(CONTROL!$C$9, $D$9, 100%, $F$9) + CHOOSE(CONTROL!$C$27, 0.0021, 0)</f>
        <v>43.262599999999999</v>
      </c>
      <c r="K385" s="14">
        <f>43.2605 * CHOOSE(CONTROL!$C$9, $D$9, 100%, $F$9) + CHOOSE(CONTROL!$C$27, 0.0021, 0)</f>
        <v>43.262599999999999</v>
      </c>
      <c r="L385" s="14"/>
    </row>
    <row r="386" spans="1:12" ht="15.75" x14ac:dyDescent="0.25">
      <c r="A386" s="33">
        <v>52687</v>
      </c>
      <c r="B386" s="14">
        <f>43.1953 * CHOOSE(CONTROL!$C$9, $D$9, 100%, $F$9) + CHOOSE(CONTROL!$C$27, 0.0021, 0)</f>
        <v>43.197400000000002</v>
      </c>
      <c r="C386" s="14">
        <f>42.7631 * CHOOSE(CONTROL!$C$9, $D$9, 100%, $F$9) + CHOOSE(CONTROL!$C$27, 0.0021, 0)</f>
        <v>42.7652</v>
      </c>
      <c r="D386" s="14">
        <f>42.7631 * CHOOSE(CONTROL!$C$9, $D$9, 100%, $F$9) + CHOOSE(CONTROL!$C$27, 0.0021, 0)</f>
        <v>42.7652</v>
      </c>
      <c r="E386" s="14">
        <f>42.6264 * CHOOSE(CONTROL!$C$9, $D$9, 100%, $F$9) + CHOOSE(CONTROL!$C$27, 0.0021, 0)</f>
        <v>42.628499999999995</v>
      </c>
      <c r="F386" s="14">
        <f>42.6264 * CHOOSE(CONTROL!$C$9, $D$9, 100%, $F$9) + CHOOSE(CONTROL!$C$27, 0.0021, 0)</f>
        <v>42.628499999999995</v>
      </c>
      <c r="G386" s="14">
        <f>42.8978 * CHOOSE(CONTROL!$C$9, $D$9, 100%, $F$9) + CHOOSE(CONTROL!$C$27, 0.0021, 0)</f>
        <v>42.899899999999995</v>
      </c>
      <c r="H386" s="14">
        <f>42.7631 * CHOOSE(CONTROL!$C$9, $D$9, 100%, $F$9) + CHOOSE(CONTROL!$C$27, 0.0021, 0)</f>
        <v>42.7652</v>
      </c>
      <c r="I386" s="14">
        <f>42.7631 * CHOOSE(CONTROL!$C$9, $D$9, 100%, $F$9) + CHOOSE(CONTROL!$C$27, 0.0021, 0)</f>
        <v>42.7652</v>
      </c>
      <c r="J386" s="14">
        <f>42.7631 * CHOOSE(CONTROL!$C$9, $D$9, 100%, $F$9) + CHOOSE(CONTROL!$C$27, 0.0021, 0)</f>
        <v>42.7652</v>
      </c>
      <c r="K386" s="14">
        <f>42.7631 * CHOOSE(CONTROL!$C$9, $D$9, 100%, $F$9) + CHOOSE(CONTROL!$C$27, 0.0021, 0)</f>
        <v>42.7652</v>
      </c>
      <c r="L386" s="14"/>
    </row>
    <row r="387" spans="1:12" ht="15.75" x14ac:dyDescent="0.25">
      <c r="A387" s="33">
        <v>52717</v>
      </c>
      <c r="B387" s="14">
        <f>42.6013 * CHOOSE(CONTROL!$C$9, $D$9, 100%, $F$9) + CHOOSE(CONTROL!$C$27, 0.0021, 0)</f>
        <v>42.603400000000001</v>
      </c>
      <c r="C387" s="14">
        <f>42.1691 * CHOOSE(CONTROL!$C$9, $D$9, 100%, $F$9) + CHOOSE(CONTROL!$C$27, 0.0021, 0)</f>
        <v>42.171199999999999</v>
      </c>
      <c r="D387" s="14">
        <f>42.1691 * CHOOSE(CONTROL!$C$9, $D$9, 100%, $F$9) + CHOOSE(CONTROL!$C$27, 0.0021, 0)</f>
        <v>42.171199999999999</v>
      </c>
      <c r="E387" s="14">
        <f>42.0324 * CHOOSE(CONTROL!$C$9, $D$9, 100%, $F$9) + CHOOSE(CONTROL!$C$27, 0.0021, 0)</f>
        <v>42.034500000000001</v>
      </c>
      <c r="F387" s="14">
        <f>42.0324 * CHOOSE(CONTROL!$C$9, $D$9, 100%, $F$9) + CHOOSE(CONTROL!$C$27, 0.0021, 0)</f>
        <v>42.034500000000001</v>
      </c>
      <c r="G387" s="14">
        <f>42.3038 * CHOOSE(CONTROL!$C$9, $D$9, 100%, $F$9) + CHOOSE(CONTROL!$C$27, 0.0021, 0)</f>
        <v>42.305900000000001</v>
      </c>
      <c r="H387" s="14">
        <f>42.1691 * CHOOSE(CONTROL!$C$9, $D$9, 100%, $F$9) + CHOOSE(CONTROL!$C$27, 0.0021, 0)</f>
        <v>42.171199999999999</v>
      </c>
      <c r="I387" s="14">
        <f>42.1691 * CHOOSE(CONTROL!$C$9, $D$9, 100%, $F$9) + CHOOSE(CONTROL!$C$27, 0.0021, 0)</f>
        <v>42.171199999999999</v>
      </c>
      <c r="J387" s="14">
        <f>42.1691 * CHOOSE(CONTROL!$C$9, $D$9, 100%, $F$9) + CHOOSE(CONTROL!$C$27, 0.0021, 0)</f>
        <v>42.171199999999999</v>
      </c>
      <c r="K387" s="14">
        <f>42.1691 * CHOOSE(CONTROL!$C$9, $D$9, 100%, $F$9) + CHOOSE(CONTROL!$C$27, 0.0021, 0)</f>
        <v>42.171199999999999</v>
      </c>
      <c r="L387" s="14"/>
    </row>
    <row r="388" spans="1:12" ht="15.75" x14ac:dyDescent="0.25">
      <c r="A388" s="33">
        <v>52748</v>
      </c>
      <c r="B388" s="14">
        <f>43.4478 * CHOOSE(CONTROL!$C$9, $D$9, 100%, $F$9) + CHOOSE(CONTROL!$C$27, 0.0021, 0)</f>
        <v>43.4499</v>
      </c>
      <c r="C388" s="14">
        <f>43.0156 * CHOOSE(CONTROL!$C$9, $D$9, 100%, $F$9) + CHOOSE(CONTROL!$C$27, 0.0021, 0)</f>
        <v>43.017699999999998</v>
      </c>
      <c r="D388" s="14">
        <f>43.0156 * CHOOSE(CONTROL!$C$9, $D$9, 100%, $F$9) + CHOOSE(CONTROL!$C$27, 0.0021, 0)</f>
        <v>43.017699999999998</v>
      </c>
      <c r="E388" s="14">
        <f>42.8789 * CHOOSE(CONTROL!$C$9, $D$9, 100%, $F$9) + CHOOSE(CONTROL!$C$27, 0.0021, 0)</f>
        <v>42.881</v>
      </c>
      <c r="F388" s="14">
        <f>42.8789 * CHOOSE(CONTROL!$C$9, $D$9, 100%, $F$9) + CHOOSE(CONTROL!$C$27, 0.0021, 0)</f>
        <v>42.881</v>
      </c>
      <c r="G388" s="14">
        <f>43.1503 * CHOOSE(CONTROL!$C$9, $D$9, 100%, $F$9) + CHOOSE(CONTROL!$C$27, 0.0021, 0)</f>
        <v>43.1524</v>
      </c>
      <c r="H388" s="14">
        <f>43.0156 * CHOOSE(CONTROL!$C$9, $D$9, 100%, $F$9) + CHOOSE(CONTROL!$C$27, 0.0021, 0)</f>
        <v>43.017699999999998</v>
      </c>
      <c r="I388" s="14">
        <f>43.0156 * CHOOSE(CONTROL!$C$9, $D$9, 100%, $F$9) + CHOOSE(CONTROL!$C$27, 0.0021, 0)</f>
        <v>43.017699999999998</v>
      </c>
      <c r="J388" s="14">
        <f>43.0156 * CHOOSE(CONTROL!$C$9, $D$9, 100%, $F$9) + CHOOSE(CONTROL!$C$27, 0.0021, 0)</f>
        <v>43.017699999999998</v>
      </c>
      <c r="K388" s="14">
        <f>43.0156 * CHOOSE(CONTROL!$C$9, $D$9, 100%, $F$9) + CHOOSE(CONTROL!$C$27, 0.0021, 0)</f>
        <v>43.017699999999998</v>
      </c>
      <c r="L388" s="14"/>
    </row>
    <row r="389" spans="1:12" ht="15.75" x14ac:dyDescent="0.25">
      <c r="A389" s="33">
        <v>52778</v>
      </c>
      <c r="B389" s="14">
        <f>43.9549 * CHOOSE(CONTROL!$C$9, $D$9, 100%, $F$9) + CHOOSE(CONTROL!$C$27, 0.0021, 0)</f>
        <v>43.957000000000001</v>
      </c>
      <c r="C389" s="14">
        <f>43.5226 * CHOOSE(CONTROL!$C$9, $D$9, 100%, $F$9) + CHOOSE(CONTROL!$C$27, 0.0021, 0)</f>
        <v>43.524699999999996</v>
      </c>
      <c r="D389" s="14">
        <f>43.5226 * CHOOSE(CONTROL!$C$9, $D$9, 100%, $F$9) + CHOOSE(CONTROL!$C$27, 0.0021, 0)</f>
        <v>43.524699999999996</v>
      </c>
      <c r="E389" s="14">
        <f>43.3859 * CHOOSE(CONTROL!$C$9, $D$9, 100%, $F$9) + CHOOSE(CONTROL!$C$27, 0.0021, 0)</f>
        <v>43.387999999999998</v>
      </c>
      <c r="F389" s="14">
        <f>43.3859 * CHOOSE(CONTROL!$C$9, $D$9, 100%, $F$9) + CHOOSE(CONTROL!$C$27, 0.0021, 0)</f>
        <v>43.387999999999998</v>
      </c>
      <c r="G389" s="14">
        <f>43.6573 * CHOOSE(CONTROL!$C$9, $D$9, 100%, $F$9) + CHOOSE(CONTROL!$C$27, 0.0021, 0)</f>
        <v>43.659399999999998</v>
      </c>
      <c r="H389" s="14">
        <f>43.5226 * CHOOSE(CONTROL!$C$9, $D$9, 100%, $F$9) + CHOOSE(CONTROL!$C$27, 0.0021, 0)</f>
        <v>43.524699999999996</v>
      </c>
      <c r="I389" s="14">
        <f>43.5226 * CHOOSE(CONTROL!$C$9, $D$9, 100%, $F$9) + CHOOSE(CONTROL!$C$27, 0.0021, 0)</f>
        <v>43.524699999999996</v>
      </c>
      <c r="J389" s="14">
        <f>43.5226 * CHOOSE(CONTROL!$C$9, $D$9, 100%, $F$9) + CHOOSE(CONTROL!$C$27, 0.0021, 0)</f>
        <v>43.524699999999996</v>
      </c>
      <c r="K389" s="14">
        <f>43.5226 * CHOOSE(CONTROL!$C$9, $D$9, 100%, $F$9) + CHOOSE(CONTROL!$C$27, 0.0021, 0)</f>
        <v>43.524699999999996</v>
      </c>
      <c r="L389" s="14"/>
    </row>
    <row r="390" spans="1:12" ht="15.75" x14ac:dyDescent="0.25">
      <c r="A390" s="33">
        <v>52809</v>
      </c>
      <c r="B390" s="14">
        <f>44.7913 * CHOOSE(CONTROL!$C$9, $D$9, 100%, $F$9) + CHOOSE(CONTROL!$C$27, 0.0021, 0)</f>
        <v>44.793399999999998</v>
      </c>
      <c r="C390" s="14">
        <f>44.359 * CHOOSE(CONTROL!$C$9, $D$9, 100%, $F$9) + CHOOSE(CONTROL!$C$27, 0.0021, 0)</f>
        <v>44.3611</v>
      </c>
      <c r="D390" s="14">
        <f>44.359 * CHOOSE(CONTROL!$C$9, $D$9, 100%, $F$9) + CHOOSE(CONTROL!$C$27, 0.0021, 0)</f>
        <v>44.3611</v>
      </c>
      <c r="E390" s="14">
        <f>44.2223 * CHOOSE(CONTROL!$C$9, $D$9, 100%, $F$9) + CHOOSE(CONTROL!$C$27, 0.0021, 0)</f>
        <v>44.224399999999996</v>
      </c>
      <c r="F390" s="14">
        <f>44.2223 * CHOOSE(CONTROL!$C$9, $D$9, 100%, $F$9) + CHOOSE(CONTROL!$C$27, 0.0021, 0)</f>
        <v>44.224399999999996</v>
      </c>
      <c r="G390" s="14">
        <f>44.4937 * CHOOSE(CONTROL!$C$9, $D$9, 100%, $F$9) + CHOOSE(CONTROL!$C$27, 0.0021, 0)</f>
        <v>44.495799999999996</v>
      </c>
      <c r="H390" s="14">
        <f>44.359 * CHOOSE(CONTROL!$C$9, $D$9, 100%, $F$9) + CHOOSE(CONTROL!$C$27, 0.0021, 0)</f>
        <v>44.3611</v>
      </c>
      <c r="I390" s="14">
        <f>44.359 * CHOOSE(CONTROL!$C$9, $D$9, 100%, $F$9) + CHOOSE(CONTROL!$C$27, 0.0021, 0)</f>
        <v>44.3611</v>
      </c>
      <c r="J390" s="14">
        <f>44.359 * CHOOSE(CONTROL!$C$9, $D$9, 100%, $F$9) + CHOOSE(CONTROL!$C$27, 0.0021, 0)</f>
        <v>44.3611</v>
      </c>
      <c r="K390" s="14">
        <f>44.359 * CHOOSE(CONTROL!$C$9, $D$9, 100%, $F$9) + CHOOSE(CONTROL!$C$27, 0.0021, 0)</f>
        <v>44.3611</v>
      </c>
      <c r="L390" s="14"/>
    </row>
    <row r="391" spans="1:12" ht="15.75" x14ac:dyDescent="0.25">
      <c r="A391" s="33">
        <v>52840</v>
      </c>
      <c r="B391" s="14">
        <f>45.0465 * CHOOSE(CONTROL!$C$9, $D$9, 100%, $F$9) + CHOOSE(CONTROL!$C$27, 0.0021, 0)</f>
        <v>45.0486</v>
      </c>
      <c r="C391" s="14">
        <f>44.6143 * CHOOSE(CONTROL!$C$9, $D$9, 100%, $F$9) + CHOOSE(CONTROL!$C$27, 0.0021, 0)</f>
        <v>44.616399999999999</v>
      </c>
      <c r="D391" s="14">
        <f>44.6143 * CHOOSE(CONTROL!$C$9, $D$9, 100%, $F$9) + CHOOSE(CONTROL!$C$27, 0.0021, 0)</f>
        <v>44.616399999999999</v>
      </c>
      <c r="E391" s="14">
        <f>44.4776 * CHOOSE(CONTROL!$C$9, $D$9, 100%, $F$9) + CHOOSE(CONTROL!$C$27, 0.0021, 0)</f>
        <v>44.479700000000001</v>
      </c>
      <c r="F391" s="14">
        <f>44.4776 * CHOOSE(CONTROL!$C$9, $D$9, 100%, $F$9) + CHOOSE(CONTROL!$C$27, 0.0021, 0)</f>
        <v>44.479700000000001</v>
      </c>
      <c r="G391" s="14">
        <f>44.749 * CHOOSE(CONTROL!$C$9, $D$9, 100%, $F$9) + CHOOSE(CONTROL!$C$27, 0.0021, 0)</f>
        <v>44.751100000000001</v>
      </c>
      <c r="H391" s="14">
        <f>44.6143 * CHOOSE(CONTROL!$C$9, $D$9, 100%, $F$9) + CHOOSE(CONTROL!$C$27, 0.0021, 0)</f>
        <v>44.616399999999999</v>
      </c>
      <c r="I391" s="14">
        <f>44.6143 * CHOOSE(CONTROL!$C$9, $D$9, 100%, $F$9) + CHOOSE(CONTROL!$C$27, 0.0021, 0)</f>
        <v>44.616399999999999</v>
      </c>
      <c r="J391" s="14">
        <f>44.6143 * CHOOSE(CONTROL!$C$9, $D$9, 100%, $F$9) + CHOOSE(CONTROL!$C$27, 0.0021, 0)</f>
        <v>44.616399999999999</v>
      </c>
      <c r="K391" s="14">
        <f>44.6143 * CHOOSE(CONTROL!$C$9, $D$9, 100%, $F$9) + CHOOSE(CONTROL!$C$27, 0.0021, 0)</f>
        <v>44.616399999999999</v>
      </c>
      <c r="L391" s="14"/>
    </row>
    <row r="392" spans="1:12" ht="15.75" x14ac:dyDescent="0.25">
      <c r="A392" s="33">
        <v>52870</v>
      </c>
      <c r="B392" s="14">
        <f>45.916 * CHOOSE(CONTROL!$C$9, $D$9, 100%, $F$9) + CHOOSE(CONTROL!$C$27, 0.0021, 0)</f>
        <v>45.918099999999995</v>
      </c>
      <c r="C392" s="14">
        <f>45.4837 * CHOOSE(CONTROL!$C$9, $D$9, 100%, $F$9) + CHOOSE(CONTROL!$C$27, 0.0021, 0)</f>
        <v>45.485799999999998</v>
      </c>
      <c r="D392" s="14">
        <f>45.4837 * CHOOSE(CONTROL!$C$9, $D$9, 100%, $F$9) + CHOOSE(CONTROL!$C$27, 0.0021, 0)</f>
        <v>45.485799999999998</v>
      </c>
      <c r="E392" s="14">
        <f>45.347 * CHOOSE(CONTROL!$C$9, $D$9, 100%, $F$9) + CHOOSE(CONTROL!$C$27, 0.0021, 0)</f>
        <v>45.3491</v>
      </c>
      <c r="F392" s="14">
        <f>45.347 * CHOOSE(CONTROL!$C$9, $D$9, 100%, $F$9) + CHOOSE(CONTROL!$C$27, 0.0021, 0)</f>
        <v>45.3491</v>
      </c>
      <c r="G392" s="14">
        <f>45.6184 * CHOOSE(CONTROL!$C$9, $D$9, 100%, $F$9) + CHOOSE(CONTROL!$C$27, 0.0021, 0)</f>
        <v>45.6205</v>
      </c>
      <c r="H392" s="14">
        <f>45.4837 * CHOOSE(CONTROL!$C$9, $D$9, 100%, $F$9) + CHOOSE(CONTROL!$C$27, 0.0021, 0)</f>
        <v>45.485799999999998</v>
      </c>
      <c r="I392" s="14">
        <f>45.4837 * CHOOSE(CONTROL!$C$9, $D$9, 100%, $F$9) + CHOOSE(CONTROL!$C$27, 0.0021, 0)</f>
        <v>45.485799999999998</v>
      </c>
      <c r="J392" s="14">
        <f>45.4837 * CHOOSE(CONTROL!$C$9, $D$9, 100%, $F$9) + CHOOSE(CONTROL!$C$27, 0.0021, 0)</f>
        <v>45.485799999999998</v>
      </c>
      <c r="K392" s="14">
        <f>45.4837 * CHOOSE(CONTROL!$C$9, $D$9, 100%, $F$9) + CHOOSE(CONTROL!$C$27, 0.0021, 0)</f>
        <v>45.485799999999998</v>
      </c>
      <c r="L392" s="14"/>
    </row>
    <row r="393" spans="1:12" ht="15.75" x14ac:dyDescent="0.25">
      <c r="A393" s="33">
        <v>52901</v>
      </c>
      <c r="B393" s="14">
        <f>47.0165 * CHOOSE(CONTROL!$C$9, $D$9, 100%, $F$9) + CHOOSE(CONTROL!$C$27, 0.0021, 0)</f>
        <v>47.018599999999999</v>
      </c>
      <c r="C393" s="14">
        <f>46.5842 * CHOOSE(CONTROL!$C$9, $D$9, 100%, $F$9) + CHOOSE(CONTROL!$C$27, 0.0021, 0)</f>
        <v>46.586300000000001</v>
      </c>
      <c r="D393" s="14">
        <f>46.5842 * CHOOSE(CONTROL!$C$9, $D$9, 100%, $F$9) + CHOOSE(CONTROL!$C$27, 0.0021, 0)</f>
        <v>46.586300000000001</v>
      </c>
      <c r="E393" s="14">
        <f>46.4476 * CHOOSE(CONTROL!$C$9, $D$9, 100%, $F$9) + CHOOSE(CONTROL!$C$27, 0.0021, 0)</f>
        <v>46.4497</v>
      </c>
      <c r="F393" s="14">
        <f>46.4476 * CHOOSE(CONTROL!$C$9, $D$9, 100%, $F$9) + CHOOSE(CONTROL!$C$27, 0.0021, 0)</f>
        <v>46.4497</v>
      </c>
      <c r="G393" s="14">
        <f>46.7189 * CHOOSE(CONTROL!$C$9, $D$9, 100%, $F$9) + CHOOSE(CONTROL!$C$27, 0.0021, 0)</f>
        <v>46.720999999999997</v>
      </c>
      <c r="H393" s="14">
        <f>46.5842 * CHOOSE(CONTROL!$C$9, $D$9, 100%, $F$9) + CHOOSE(CONTROL!$C$27, 0.0021, 0)</f>
        <v>46.586300000000001</v>
      </c>
      <c r="I393" s="14">
        <f>46.5842 * CHOOSE(CONTROL!$C$9, $D$9, 100%, $F$9) + CHOOSE(CONTROL!$C$27, 0.0021, 0)</f>
        <v>46.586300000000001</v>
      </c>
      <c r="J393" s="14">
        <f>46.5842 * CHOOSE(CONTROL!$C$9, $D$9, 100%, $F$9) + CHOOSE(CONTROL!$C$27, 0.0021, 0)</f>
        <v>46.586300000000001</v>
      </c>
      <c r="K393" s="14">
        <f>46.5842 * CHOOSE(CONTROL!$C$9, $D$9, 100%, $F$9) + CHOOSE(CONTROL!$C$27, 0.0021, 0)</f>
        <v>46.586300000000001</v>
      </c>
      <c r="L393" s="14"/>
    </row>
    <row r="394" spans="1:12" ht="15.75" x14ac:dyDescent="0.25">
      <c r="A394" s="33">
        <v>52931</v>
      </c>
      <c r="B394" s="14">
        <f>47.1198 * CHOOSE(CONTROL!$C$9, $D$9, 100%, $F$9) + CHOOSE(CONTROL!$C$27, 0.0021, 0)</f>
        <v>47.121899999999997</v>
      </c>
      <c r="C394" s="14">
        <f>46.6875 * CHOOSE(CONTROL!$C$9, $D$9, 100%, $F$9) + CHOOSE(CONTROL!$C$27, 0.0021, 0)</f>
        <v>46.689599999999999</v>
      </c>
      <c r="D394" s="14">
        <f>46.6875 * CHOOSE(CONTROL!$C$9, $D$9, 100%, $F$9) + CHOOSE(CONTROL!$C$27, 0.0021, 0)</f>
        <v>46.689599999999999</v>
      </c>
      <c r="E394" s="14">
        <f>46.5509 * CHOOSE(CONTROL!$C$9, $D$9, 100%, $F$9) + CHOOSE(CONTROL!$C$27, 0.0021, 0)</f>
        <v>46.552999999999997</v>
      </c>
      <c r="F394" s="14">
        <f>46.5509 * CHOOSE(CONTROL!$C$9, $D$9, 100%, $F$9) + CHOOSE(CONTROL!$C$27, 0.0021, 0)</f>
        <v>46.552999999999997</v>
      </c>
      <c r="G394" s="14">
        <f>46.8223 * CHOOSE(CONTROL!$C$9, $D$9, 100%, $F$9) + CHOOSE(CONTROL!$C$27, 0.0021, 0)</f>
        <v>46.824399999999997</v>
      </c>
      <c r="H394" s="14">
        <f>46.6875 * CHOOSE(CONTROL!$C$9, $D$9, 100%, $F$9) + CHOOSE(CONTROL!$C$27, 0.0021, 0)</f>
        <v>46.689599999999999</v>
      </c>
      <c r="I394" s="14">
        <f>46.6875 * CHOOSE(CONTROL!$C$9, $D$9, 100%, $F$9) + CHOOSE(CONTROL!$C$27, 0.0021, 0)</f>
        <v>46.689599999999999</v>
      </c>
      <c r="J394" s="14">
        <f>46.6875 * CHOOSE(CONTROL!$C$9, $D$9, 100%, $F$9) + CHOOSE(CONTROL!$C$27, 0.0021, 0)</f>
        <v>46.689599999999999</v>
      </c>
      <c r="K394" s="14">
        <f>46.6875 * CHOOSE(CONTROL!$C$9, $D$9, 100%, $F$9) + CHOOSE(CONTROL!$C$27, 0.0021, 0)</f>
        <v>46.689599999999999</v>
      </c>
      <c r="L394" s="14"/>
    </row>
    <row r="395" spans="1:12" ht="15.75" x14ac:dyDescent="0.25">
      <c r="A395" s="33">
        <v>52962</v>
      </c>
      <c r="B395" s="14">
        <f>46.2408 * CHOOSE(CONTROL!$C$9, $D$9, 100%, $F$9) + CHOOSE(CONTROL!$C$27, 0.0021, 0)</f>
        <v>46.242899999999999</v>
      </c>
      <c r="C395" s="14">
        <f>45.8086 * CHOOSE(CONTROL!$C$9, $D$9, 100%, $F$9) + CHOOSE(CONTROL!$C$27, 0.0021, 0)</f>
        <v>45.810699999999997</v>
      </c>
      <c r="D395" s="14">
        <f>45.8086 * CHOOSE(CONTROL!$C$9, $D$9, 100%, $F$9) + CHOOSE(CONTROL!$C$27, 0.0021, 0)</f>
        <v>45.810699999999997</v>
      </c>
      <c r="E395" s="14">
        <f>45.6719 * CHOOSE(CONTROL!$C$9, $D$9, 100%, $F$9) + CHOOSE(CONTROL!$C$27, 0.0021, 0)</f>
        <v>45.673999999999999</v>
      </c>
      <c r="F395" s="14">
        <f>45.6719 * CHOOSE(CONTROL!$C$9, $D$9, 100%, $F$9) + CHOOSE(CONTROL!$C$27, 0.0021, 0)</f>
        <v>45.673999999999999</v>
      </c>
      <c r="G395" s="14">
        <f>45.9433 * CHOOSE(CONTROL!$C$9, $D$9, 100%, $F$9) + CHOOSE(CONTROL!$C$27, 0.0021, 0)</f>
        <v>45.945399999999999</v>
      </c>
      <c r="H395" s="14">
        <f>45.8086 * CHOOSE(CONTROL!$C$9, $D$9, 100%, $F$9) + CHOOSE(CONTROL!$C$27, 0.0021, 0)</f>
        <v>45.810699999999997</v>
      </c>
      <c r="I395" s="14">
        <f>45.8086 * CHOOSE(CONTROL!$C$9, $D$9, 100%, $F$9) + CHOOSE(CONTROL!$C$27, 0.0021, 0)</f>
        <v>45.810699999999997</v>
      </c>
      <c r="J395" s="14">
        <f>45.8086 * CHOOSE(CONTROL!$C$9, $D$9, 100%, $F$9) + CHOOSE(CONTROL!$C$27, 0.0021, 0)</f>
        <v>45.810699999999997</v>
      </c>
      <c r="K395" s="14">
        <f>45.8086 * CHOOSE(CONTROL!$C$9, $D$9, 100%, $F$9) + CHOOSE(CONTROL!$C$27, 0.0021, 0)</f>
        <v>45.810699999999997</v>
      </c>
      <c r="L395" s="14"/>
    </row>
    <row r="396" spans="1:12" ht="15.75" x14ac:dyDescent="0.25">
      <c r="A396" s="33">
        <v>52993</v>
      </c>
      <c r="B396" s="14">
        <f>45.665 * CHOOSE(CONTROL!$C$9, $D$9, 100%, $F$9) + CHOOSE(CONTROL!$C$27, 0.0021, 0)</f>
        <v>45.667099999999998</v>
      </c>
      <c r="C396" s="14">
        <f>45.2328 * CHOOSE(CONTROL!$C$9, $D$9, 100%, $F$9) + CHOOSE(CONTROL!$C$27, 0.0021, 0)</f>
        <v>45.234899999999996</v>
      </c>
      <c r="D396" s="14">
        <f>45.2328 * CHOOSE(CONTROL!$C$9, $D$9, 100%, $F$9) + CHOOSE(CONTROL!$C$27, 0.0021, 0)</f>
        <v>45.234899999999996</v>
      </c>
      <c r="E396" s="14">
        <f>45.0961 * CHOOSE(CONTROL!$C$9, $D$9, 100%, $F$9) + CHOOSE(CONTROL!$C$27, 0.0021, 0)</f>
        <v>45.098199999999999</v>
      </c>
      <c r="F396" s="14">
        <f>45.0961 * CHOOSE(CONTROL!$C$9, $D$9, 100%, $F$9) + CHOOSE(CONTROL!$C$27, 0.0021, 0)</f>
        <v>45.098199999999999</v>
      </c>
      <c r="G396" s="14">
        <f>45.3675 * CHOOSE(CONTROL!$C$9, $D$9, 100%, $F$9) + CHOOSE(CONTROL!$C$27, 0.0021, 0)</f>
        <v>45.369599999999998</v>
      </c>
      <c r="H396" s="14">
        <f>45.2328 * CHOOSE(CONTROL!$C$9, $D$9, 100%, $F$9) + CHOOSE(CONTROL!$C$27, 0.0021, 0)</f>
        <v>45.234899999999996</v>
      </c>
      <c r="I396" s="14">
        <f>45.2328 * CHOOSE(CONTROL!$C$9, $D$9, 100%, $F$9) + CHOOSE(CONTROL!$C$27, 0.0021, 0)</f>
        <v>45.234899999999996</v>
      </c>
      <c r="J396" s="14">
        <f>45.2328 * CHOOSE(CONTROL!$C$9, $D$9, 100%, $F$9) + CHOOSE(CONTROL!$C$27, 0.0021, 0)</f>
        <v>45.234899999999996</v>
      </c>
      <c r="K396" s="14">
        <f>45.2328 * CHOOSE(CONTROL!$C$9, $D$9, 100%, $F$9) + CHOOSE(CONTROL!$C$27, 0.0021, 0)</f>
        <v>45.234899999999996</v>
      </c>
      <c r="L396" s="14"/>
    </row>
    <row r="397" spans="1:12" ht="15.75" x14ac:dyDescent="0.25">
      <c r="A397" s="33">
        <v>53021</v>
      </c>
      <c r="B397" s="14">
        <f>44.4382 * CHOOSE(CONTROL!$C$9, $D$9, 100%, $F$9) + CHOOSE(CONTROL!$C$27, 0.0021, 0)</f>
        <v>44.440300000000001</v>
      </c>
      <c r="C397" s="14">
        <f>44.0059 * CHOOSE(CONTROL!$C$9, $D$9, 100%, $F$9) + CHOOSE(CONTROL!$C$27, 0.0021, 0)</f>
        <v>44.007999999999996</v>
      </c>
      <c r="D397" s="14">
        <f>44.0059 * CHOOSE(CONTROL!$C$9, $D$9, 100%, $F$9) + CHOOSE(CONTROL!$C$27, 0.0021, 0)</f>
        <v>44.007999999999996</v>
      </c>
      <c r="E397" s="14">
        <f>43.8693 * CHOOSE(CONTROL!$C$9, $D$9, 100%, $F$9) + CHOOSE(CONTROL!$C$27, 0.0021, 0)</f>
        <v>43.871400000000001</v>
      </c>
      <c r="F397" s="14">
        <f>43.8693 * CHOOSE(CONTROL!$C$9, $D$9, 100%, $F$9) + CHOOSE(CONTROL!$C$27, 0.0021, 0)</f>
        <v>43.871400000000001</v>
      </c>
      <c r="G397" s="14">
        <f>44.1407 * CHOOSE(CONTROL!$C$9, $D$9, 100%, $F$9) + CHOOSE(CONTROL!$C$27, 0.0021, 0)</f>
        <v>44.142800000000001</v>
      </c>
      <c r="H397" s="14">
        <f>44.0059 * CHOOSE(CONTROL!$C$9, $D$9, 100%, $F$9) + CHOOSE(CONTROL!$C$27, 0.0021, 0)</f>
        <v>44.007999999999996</v>
      </c>
      <c r="I397" s="14">
        <f>44.0059 * CHOOSE(CONTROL!$C$9, $D$9, 100%, $F$9) + CHOOSE(CONTROL!$C$27, 0.0021, 0)</f>
        <v>44.007999999999996</v>
      </c>
      <c r="J397" s="14">
        <f>44.0059 * CHOOSE(CONTROL!$C$9, $D$9, 100%, $F$9) + CHOOSE(CONTROL!$C$27, 0.0021, 0)</f>
        <v>44.007999999999996</v>
      </c>
      <c r="K397" s="14">
        <f>44.0059 * CHOOSE(CONTROL!$C$9, $D$9, 100%, $F$9) + CHOOSE(CONTROL!$C$27, 0.0021, 0)</f>
        <v>44.007999999999996</v>
      </c>
      <c r="L397" s="14"/>
    </row>
    <row r="398" spans="1:12" ht="15.75" x14ac:dyDescent="0.25">
      <c r="A398" s="33">
        <v>53052</v>
      </c>
      <c r="B398" s="14">
        <f>43.9318 * CHOOSE(CONTROL!$C$9, $D$9, 100%, $F$9) + CHOOSE(CONTROL!$C$27, 0.0021, 0)</f>
        <v>43.933900000000001</v>
      </c>
      <c r="C398" s="14">
        <f>43.4995 * CHOOSE(CONTROL!$C$9, $D$9, 100%, $F$9) + CHOOSE(CONTROL!$C$27, 0.0021, 0)</f>
        <v>43.501599999999996</v>
      </c>
      <c r="D398" s="14">
        <f>43.4995 * CHOOSE(CONTROL!$C$9, $D$9, 100%, $F$9) + CHOOSE(CONTROL!$C$27, 0.0021, 0)</f>
        <v>43.501599999999996</v>
      </c>
      <c r="E398" s="14">
        <f>43.3629 * CHOOSE(CONTROL!$C$9, $D$9, 100%, $F$9) + CHOOSE(CONTROL!$C$27, 0.0021, 0)</f>
        <v>43.365000000000002</v>
      </c>
      <c r="F398" s="14">
        <f>43.3629 * CHOOSE(CONTROL!$C$9, $D$9, 100%, $F$9) + CHOOSE(CONTROL!$C$27, 0.0021, 0)</f>
        <v>43.365000000000002</v>
      </c>
      <c r="G398" s="14">
        <f>43.6342 * CHOOSE(CONTROL!$C$9, $D$9, 100%, $F$9) + CHOOSE(CONTROL!$C$27, 0.0021, 0)</f>
        <v>43.636299999999999</v>
      </c>
      <c r="H398" s="14">
        <f>43.4995 * CHOOSE(CONTROL!$C$9, $D$9, 100%, $F$9) + CHOOSE(CONTROL!$C$27, 0.0021, 0)</f>
        <v>43.501599999999996</v>
      </c>
      <c r="I398" s="14">
        <f>43.4995 * CHOOSE(CONTROL!$C$9, $D$9, 100%, $F$9) + CHOOSE(CONTROL!$C$27, 0.0021, 0)</f>
        <v>43.501599999999996</v>
      </c>
      <c r="J398" s="14">
        <f>43.4995 * CHOOSE(CONTROL!$C$9, $D$9, 100%, $F$9) + CHOOSE(CONTROL!$C$27, 0.0021, 0)</f>
        <v>43.501599999999996</v>
      </c>
      <c r="K398" s="14">
        <f>43.4995 * CHOOSE(CONTROL!$C$9, $D$9, 100%, $F$9) + CHOOSE(CONTROL!$C$27, 0.0021, 0)</f>
        <v>43.501599999999996</v>
      </c>
      <c r="L398" s="14"/>
    </row>
    <row r="399" spans="1:12" ht="15.75" x14ac:dyDescent="0.25">
      <c r="A399" s="33">
        <v>53082</v>
      </c>
      <c r="B399" s="14">
        <f>43.3271 * CHOOSE(CONTROL!$C$9, $D$9, 100%, $F$9) + CHOOSE(CONTROL!$C$27, 0.0021, 0)</f>
        <v>43.3292</v>
      </c>
      <c r="C399" s="14">
        <f>42.8948 * CHOOSE(CONTROL!$C$9, $D$9, 100%, $F$9) + CHOOSE(CONTROL!$C$27, 0.0021, 0)</f>
        <v>42.896899999999995</v>
      </c>
      <c r="D399" s="14">
        <f>42.8948 * CHOOSE(CONTROL!$C$9, $D$9, 100%, $F$9) + CHOOSE(CONTROL!$C$27, 0.0021, 0)</f>
        <v>42.896899999999995</v>
      </c>
      <c r="E399" s="14">
        <f>42.7582 * CHOOSE(CONTROL!$C$9, $D$9, 100%, $F$9) + CHOOSE(CONTROL!$C$27, 0.0021, 0)</f>
        <v>42.760300000000001</v>
      </c>
      <c r="F399" s="14">
        <f>42.7582 * CHOOSE(CONTROL!$C$9, $D$9, 100%, $F$9) + CHOOSE(CONTROL!$C$27, 0.0021, 0)</f>
        <v>42.760300000000001</v>
      </c>
      <c r="G399" s="14">
        <f>43.0295 * CHOOSE(CONTROL!$C$9, $D$9, 100%, $F$9) + CHOOSE(CONTROL!$C$27, 0.0021, 0)</f>
        <v>43.031599999999997</v>
      </c>
      <c r="H399" s="14">
        <f>42.8948 * CHOOSE(CONTROL!$C$9, $D$9, 100%, $F$9) + CHOOSE(CONTROL!$C$27, 0.0021, 0)</f>
        <v>42.896899999999995</v>
      </c>
      <c r="I399" s="14">
        <f>42.8948 * CHOOSE(CONTROL!$C$9, $D$9, 100%, $F$9) + CHOOSE(CONTROL!$C$27, 0.0021, 0)</f>
        <v>42.896899999999995</v>
      </c>
      <c r="J399" s="14">
        <f>42.8948 * CHOOSE(CONTROL!$C$9, $D$9, 100%, $F$9) + CHOOSE(CONTROL!$C$27, 0.0021, 0)</f>
        <v>42.896899999999995</v>
      </c>
      <c r="K399" s="14">
        <f>42.8948 * CHOOSE(CONTROL!$C$9, $D$9, 100%, $F$9) + CHOOSE(CONTROL!$C$27, 0.0021, 0)</f>
        <v>42.896899999999995</v>
      </c>
      <c r="L399" s="14"/>
    </row>
    <row r="400" spans="1:12" ht="15.75" x14ac:dyDescent="0.25">
      <c r="A400" s="33">
        <v>53113</v>
      </c>
      <c r="B400" s="14">
        <f>44.1888 * CHOOSE(CONTROL!$C$9, $D$9, 100%, $F$9) + CHOOSE(CONTROL!$C$27, 0.0021, 0)</f>
        <v>44.190899999999999</v>
      </c>
      <c r="C400" s="14">
        <f>43.7566 * CHOOSE(CONTROL!$C$9, $D$9, 100%, $F$9) + CHOOSE(CONTROL!$C$27, 0.0021, 0)</f>
        <v>43.758699999999997</v>
      </c>
      <c r="D400" s="14">
        <f>43.7566 * CHOOSE(CONTROL!$C$9, $D$9, 100%, $F$9) + CHOOSE(CONTROL!$C$27, 0.0021, 0)</f>
        <v>43.758699999999997</v>
      </c>
      <c r="E400" s="14">
        <f>43.6199 * CHOOSE(CONTROL!$C$9, $D$9, 100%, $F$9) + CHOOSE(CONTROL!$C$27, 0.0021, 0)</f>
        <v>43.622</v>
      </c>
      <c r="F400" s="14">
        <f>43.6199 * CHOOSE(CONTROL!$C$9, $D$9, 100%, $F$9) + CHOOSE(CONTROL!$C$27, 0.0021, 0)</f>
        <v>43.622</v>
      </c>
      <c r="G400" s="14">
        <f>43.8913 * CHOOSE(CONTROL!$C$9, $D$9, 100%, $F$9) + CHOOSE(CONTROL!$C$27, 0.0021, 0)</f>
        <v>43.8934</v>
      </c>
      <c r="H400" s="14">
        <f>43.7566 * CHOOSE(CONTROL!$C$9, $D$9, 100%, $F$9) + CHOOSE(CONTROL!$C$27, 0.0021, 0)</f>
        <v>43.758699999999997</v>
      </c>
      <c r="I400" s="14">
        <f>43.7566 * CHOOSE(CONTROL!$C$9, $D$9, 100%, $F$9) + CHOOSE(CONTROL!$C$27, 0.0021, 0)</f>
        <v>43.758699999999997</v>
      </c>
      <c r="J400" s="14">
        <f>43.7566 * CHOOSE(CONTROL!$C$9, $D$9, 100%, $F$9) + CHOOSE(CONTROL!$C$27, 0.0021, 0)</f>
        <v>43.758699999999997</v>
      </c>
      <c r="K400" s="14">
        <f>43.7566 * CHOOSE(CONTROL!$C$9, $D$9, 100%, $F$9) + CHOOSE(CONTROL!$C$27, 0.0021, 0)</f>
        <v>43.758699999999997</v>
      </c>
      <c r="L400" s="14"/>
    </row>
    <row r="401" spans="1:12" ht="15.75" x14ac:dyDescent="0.25">
      <c r="A401" s="33">
        <v>53143</v>
      </c>
      <c r="B401" s="14">
        <f>44.705 * CHOOSE(CONTROL!$C$9, $D$9, 100%, $F$9) + CHOOSE(CONTROL!$C$27, 0.0021, 0)</f>
        <v>44.707099999999997</v>
      </c>
      <c r="C401" s="14">
        <f>44.2727 * CHOOSE(CONTROL!$C$9, $D$9, 100%, $F$9) + CHOOSE(CONTROL!$C$27, 0.0021, 0)</f>
        <v>44.274799999999999</v>
      </c>
      <c r="D401" s="14">
        <f>44.2727 * CHOOSE(CONTROL!$C$9, $D$9, 100%, $F$9) + CHOOSE(CONTROL!$C$27, 0.0021, 0)</f>
        <v>44.274799999999999</v>
      </c>
      <c r="E401" s="14">
        <f>44.1361 * CHOOSE(CONTROL!$C$9, $D$9, 100%, $F$9) + CHOOSE(CONTROL!$C$27, 0.0021, 0)</f>
        <v>44.138199999999998</v>
      </c>
      <c r="F401" s="14">
        <f>44.1361 * CHOOSE(CONTROL!$C$9, $D$9, 100%, $F$9) + CHOOSE(CONTROL!$C$27, 0.0021, 0)</f>
        <v>44.138199999999998</v>
      </c>
      <c r="G401" s="14">
        <f>44.4074 * CHOOSE(CONTROL!$C$9, $D$9, 100%, $F$9) + CHOOSE(CONTROL!$C$27, 0.0021, 0)</f>
        <v>44.409500000000001</v>
      </c>
      <c r="H401" s="14">
        <f>44.2727 * CHOOSE(CONTROL!$C$9, $D$9, 100%, $F$9) + CHOOSE(CONTROL!$C$27, 0.0021, 0)</f>
        <v>44.274799999999999</v>
      </c>
      <c r="I401" s="14">
        <f>44.2727 * CHOOSE(CONTROL!$C$9, $D$9, 100%, $F$9) + CHOOSE(CONTROL!$C$27, 0.0021, 0)</f>
        <v>44.274799999999999</v>
      </c>
      <c r="J401" s="14">
        <f>44.2727 * CHOOSE(CONTROL!$C$9, $D$9, 100%, $F$9) + CHOOSE(CONTROL!$C$27, 0.0021, 0)</f>
        <v>44.274799999999999</v>
      </c>
      <c r="K401" s="14">
        <f>44.2727 * CHOOSE(CONTROL!$C$9, $D$9, 100%, $F$9) + CHOOSE(CONTROL!$C$27, 0.0021, 0)</f>
        <v>44.274799999999999</v>
      </c>
      <c r="L401" s="14"/>
    </row>
    <row r="402" spans="1:12" ht="15.75" x14ac:dyDescent="0.25">
      <c r="A402" s="33">
        <v>53174</v>
      </c>
      <c r="B402" s="14">
        <f>45.5564 * CHOOSE(CONTROL!$C$9, $D$9, 100%, $F$9) + CHOOSE(CONTROL!$C$27, 0.0021, 0)</f>
        <v>45.558499999999995</v>
      </c>
      <c r="C402" s="14">
        <f>45.1242 * CHOOSE(CONTROL!$C$9, $D$9, 100%, $F$9) + CHOOSE(CONTROL!$C$27, 0.0021, 0)</f>
        <v>45.126300000000001</v>
      </c>
      <c r="D402" s="14">
        <f>45.1242 * CHOOSE(CONTROL!$C$9, $D$9, 100%, $F$9) + CHOOSE(CONTROL!$C$27, 0.0021, 0)</f>
        <v>45.126300000000001</v>
      </c>
      <c r="E402" s="14">
        <f>44.9875 * CHOOSE(CONTROL!$C$9, $D$9, 100%, $F$9) + CHOOSE(CONTROL!$C$27, 0.0021, 0)</f>
        <v>44.989599999999996</v>
      </c>
      <c r="F402" s="14">
        <f>44.9875 * CHOOSE(CONTROL!$C$9, $D$9, 100%, $F$9) + CHOOSE(CONTROL!$C$27, 0.0021, 0)</f>
        <v>44.989599999999996</v>
      </c>
      <c r="G402" s="14">
        <f>45.2589 * CHOOSE(CONTROL!$C$9, $D$9, 100%, $F$9) + CHOOSE(CONTROL!$C$27, 0.0021, 0)</f>
        <v>45.260999999999996</v>
      </c>
      <c r="H402" s="14">
        <f>45.1242 * CHOOSE(CONTROL!$C$9, $D$9, 100%, $F$9) + CHOOSE(CONTROL!$C$27, 0.0021, 0)</f>
        <v>45.126300000000001</v>
      </c>
      <c r="I402" s="14">
        <f>45.1242 * CHOOSE(CONTROL!$C$9, $D$9, 100%, $F$9) + CHOOSE(CONTROL!$C$27, 0.0021, 0)</f>
        <v>45.126300000000001</v>
      </c>
      <c r="J402" s="14">
        <f>45.1242 * CHOOSE(CONTROL!$C$9, $D$9, 100%, $F$9) + CHOOSE(CONTROL!$C$27, 0.0021, 0)</f>
        <v>45.126300000000001</v>
      </c>
      <c r="K402" s="14">
        <f>45.1242 * CHOOSE(CONTROL!$C$9, $D$9, 100%, $F$9) + CHOOSE(CONTROL!$C$27, 0.0021, 0)</f>
        <v>45.126300000000001</v>
      </c>
      <c r="L402" s="14"/>
    </row>
    <row r="403" spans="1:12" ht="15.75" x14ac:dyDescent="0.25">
      <c r="A403" s="33">
        <v>53205</v>
      </c>
      <c r="B403" s="14">
        <f>45.8163 * CHOOSE(CONTROL!$C$9, $D$9, 100%, $F$9) + CHOOSE(CONTROL!$C$27, 0.0021, 0)</f>
        <v>45.818399999999997</v>
      </c>
      <c r="C403" s="14">
        <f>45.3841 * CHOOSE(CONTROL!$C$9, $D$9, 100%, $F$9) + CHOOSE(CONTROL!$C$27, 0.0021, 0)</f>
        <v>45.386199999999995</v>
      </c>
      <c r="D403" s="14">
        <f>45.3841 * CHOOSE(CONTROL!$C$9, $D$9, 100%, $F$9) + CHOOSE(CONTROL!$C$27, 0.0021, 0)</f>
        <v>45.386199999999995</v>
      </c>
      <c r="E403" s="14">
        <f>45.2474 * CHOOSE(CONTROL!$C$9, $D$9, 100%, $F$9) + CHOOSE(CONTROL!$C$27, 0.0021, 0)</f>
        <v>45.249499999999998</v>
      </c>
      <c r="F403" s="14">
        <f>45.2474 * CHOOSE(CONTROL!$C$9, $D$9, 100%, $F$9) + CHOOSE(CONTROL!$C$27, 0.0021, 0)</f>
        <v>45.249499999999998</v>
      </c>
      <c r="G403" s="14">
        <f>45.5188 * CHOOSE(CONTROL!$C$9, $D$9, 100%, $F$9) + CHOOSE(CONTROL!$C$27, 0.0021, 0)</f>
        <v>45.520899999999997</v>
      </c>
      <c r="H403" s="14">
        <f>45.3841 * CHOOSE(CONTROL!$C$9, $D$9, 100%, $F$9) + CHOOSE(CONTROL!$C$27, 0.0021, 0)</f>
        <v>45.386199999999995</v>
      </c>
      <c r="I403" s="14">
        <f>45.3841 * CHOOSE(CONTROL!$C$9, $D$9, 100%, $F$9) + CHOOSE(CONTROL!$C$27, 0.0021, 0)</f>
        <v>45.386199999999995</v>
      </c>
      <c r="J403" s="14">
        <f>45.3841 * CHOOSE(CONTROL!$C$9, $D$9, 100%, $F$9) + CHOOSE(CONTROL!$C$27, 0.0021, 0)</f>
        <v>45.386199999999995</v>
      </c>
      <c r="K403" s="14">
        <f>45.3841 * CHOOSE(CONTROL!$C$9, $D$9, 100%, $F$9) + CHOOSE(CONTROL!$C$27, 0.0021, 0)</f>
        <v>45.386199999999995</v>
      </c>
      <c r="L403" s="14"/>
    </row>
    <row r="404" spans="1:12" ht="15.75" x14ac:dyDescent="0.25">
      <c r="A404" s="33">
        <v>53235</v>
      </c>
      <c r="B404" s="14">
        <f>46.7014 * CHOOSE(CONTROL!$C$9, $D$9, 100%, $F$9) + CHOOSE(CONTROL!$C$27, 0.0021, 0)</f>
        <v>46.703499999999998</v>
      </c>
      <c r="C404" s="14">
        <f>46.2691 * CHOOSE(CONTROL!$C$9, $D$9, 100%, $F$9) + CHOOSE(CONTROL!$C$27, 0.0021, 0)</f>
        <v>46.2712</v>
      </c>
      <c r="D404" s="14">
        <f>46.2691 * CHOOSE(CONTROL!$C$9, $D$9, 100%, $F$9) + CHOOSE(CONTROL!$C$27, 0.0021, 0)</f>
        <v>46.2712</v>
      </c>
      <c r="E404" s="14">
        <f>46.1325 * CHOOSE(CONTROL!$C$9, $D$9, 100%, $F$9) + CHOOSE(CONTROL!$C$27, 0.0021, 0)</f>
        <v>46.134599999999999</v>
      </c>
      <c r="F404" s="14">
        <f>46.1325 * CHOOSE(CONTROL!$C$9, $D$9, 100%, $F$9) + CHOOSE(CONTROL!$C$27, 0.0021, 0)</f>
        <v>46.134599999999999</v>
      </c>
      <c r="G404" s="14">
        <f>46.4039 * CHOOSE(CONTROL!$C$9, $D$9, 100%, $F$9) + CHOOSE(CONTROL!$C$27, 0.0021, 0)</f>
        <v>46.405999999999999</v>
      </c>
      <c r="H404" s="14">
        <f>46.2691 * CHOOSE(CONTROL!$C$9, $D$9, 100%, $F$9) + CHOOSE(CONTROL!$C$27, 0.0021, 0)</f>
        <v>46.2712</v>
      </c>
      <c r="I404" s="14">
        <f>46.2691 * CHOOSE(CONTROL!$C$9, $D$9, 100%, $F$9) + CHOOSE(CONTROL!$C$27, 0.0021, 0)</f>
        <v>46.2712</v>
      </c>
      <c r="J404" s="14">
        <f>46.2691 * CHOOSE(CONTROL!$C$9, $D$9, 100%, $F$9) + CHOOSE(CONTROL!$C$27, 0.0021, 0)</f>
        <v>46.2712</v>
      </c>
      <c r="K404" s="14">
        <f>46.2691 * CHOOSE(CONTROL!$C$9, $D$9, 100%, $F$9) + CHOOSE(CONTROL!$C$27, 0.0021, 0)</f>
        <v>46.2712</v>
      </c>
      <c r="L404" s="14"/>
    </row>
    <row r="405" spans="1:12" ht="15.75" x14ac:dyDescent="0.25">
      <c r="A405" s="33">
        <v>53266</v>
      </c>
      <c r="B405" s="14">
        <f>47.8217 * CHOOSE(CONTROL!$C$9, $D$9, 100%, $F$9) + CHOOSE(CONTROL!$C$27, 0.0021, 0)</f>
        <v>47.823799999999999</v>
      </c>
      <c r="C405" s="14">
        <f>47.3895 * CHOOSE(CONTROL!$C$9, $D$9, 100%, $F$9) + CHOOSE(CONTROL!$C$27, 0.0021, 0)</f>
        <v>47.391599999999997</v>
      </c>
      <c r="D405" s="14">
        <f>47.3895 * CHOOSE(CONTROL!$C$9, $D$9, 100%, $F$9) + CHOOSE(CONTROL!$C$27, 0.0021, 0)</f>
        <v>47.391599999999997</v>
      </c>
      <c r="E405" s="14">
        <f>47.2528 * CHOOSE(CONTROL!$C$9, $D$9, 100%, $F$9) + CHOOSE(CONTROL!$C$27, 0.0021, 0)</f>
        <v>47.254899999999999</v>
      </c>
      <c r="F405" s="14">
        <f>47.2528 * CHOOSE(CONTROL!$C$9, $D$9, 100%, $F$9) + CHOOSE(CONTROL!$C$27, 0.0021, 0)</f>
        <v>47.254899999999999</v>
      </c>
      <c r="G405" s="14">
        <f>47.5242 * CHOOSE(CONTROL!$C$9, $D$9, 100%, $F$9) + CHOOSE(CONTROL!$C$27, 0.0021, 0)</f>
        <v>47.526299999999999</v>
      </c>
      <c r="H405" s="14">
        <f>47.3895 * CHOOSE(CONTROL!$C$9, $D$9, 100%, $F$9) + CHOOSE(CONTROL!$C$27, 0.0021, 0)</f>
        <v>47.391599999999997</v>
      </c>
      <c r="I405" s="14">
        <f>47.3895 * CHOOSE(CONTROL!$C$9, $D$9, 100%, $F$9) + CHOOSE(CONTROL!$C$27, 0.0021, 0)</f>
        <v>47.391599999999997</v>
      </c>
      <c r="J405" s="14">
        <f>47.3895 * CHOOSE(CONTROL!$C$9, $D$9, 100%, $F$9) + CHOOSE(CONTROL!$C$27, 0.0021, 0)</f>
        <v>47.391599999999997</v>
      </c>
      <c r="K405" s="14">
        <f>47.3895 * CHOOSE(CONTROL!$C$9, $D$9, 100%, $F$9) + CHOOSE(CONTROL!$C$27, 0.0021, 0)</f>
        <v>47.391599999999997</v>
      </c>
      <c r="L405" s="14"/>
    </row>
    <row r="406" spans="1:12" ht="15.75" x14ac:dyDescent="0.25">
      <c r="A406" s="33">
        <v>53296</v>
      </c>
      <c r="B406" s="14">
        <f>47.9269 * CHOOSE(CONTROL!$C$9, $D$9, 100%, $F$9) + CHOOSE(CONTROL!$C$27, 0.0021, 0)</f>
        <v>47.929000000000002</v>
      </c>
      <c r="C406" s="14">
        <f>47.4946 * CHOOSE(CONTROL!$C$9, $D$9, 100%, $F$9) + CHOOSE(CONTROL!$C$27, 0.0021, 0)</f>
        <v>47.496699999999997</v>
      </c>
      <c r="D406" s="14">
        <f>47.4946 * CHOOSE(CONTROL!$C$9, $D$9, 100%, $F$9) + CHOOSE(CONTROL!$C$27, 0.0021, 0)</f>
        <v>47.496699999999997</v>
      </c>
      <c r="E406" s="14">
        <f>47.358 * CHOOSE(CONTROL!$C$9, $D$9, 100%, $F$9) + CHOOSE(CONTROL!$C$27, 0.0021, 0)</f>
        <v>47.360099999999996</v>
      </c>
      <c r="F406" s="14">
        <f>47.358 * CHOOSE(CONTROL!$C$9, $D$9, 100%, $F$9) + CHOOSE(CONTROL!$C$27, 0.0021, 0)</f>
        <v>47.360099999999996</v>
      </c>
      <c r="G406" s="14">
        <f>47.6294 * CHOOSE(CONTROL!$C$9, $D$9, 100%, $F$9) + CHOOSE(CONTROL!$C$27, 0.0021, 0)</f>
        <v>47.631499999999996</v>
      </c>
      <c r="H406" s="14">
        <f>47.4946 * CHOOSE(CONTROL!$C$9, $D$9, 100%, $F$9) + CHOOSE(CONTROL!$C$27, 0.0021, 0)</f>
        <v>47.496699999999997</v>
      </c>
      <c r="I406" s="14">
        <f>47.4946 * CHOOSE(CONTROL!$C$9, $D$9, 100%, $F$9) + CHOOSE(CONTROL!$C$27, 0.0021, 0)</f>
        <v>47.496699999999997</v>
      </c>
      <c r="J406" s="14">
        <f>47.4946 * CHOOSE(CONTROL!$C$9, $D$9, 100%, $F$9) + CHOOSE(CONTROL!$C$27, 0.0021, 0)</f>
        <v>47.496699999999997</v>
      </c>
      <c r="K406" s="14">
        <f>47.4946 * CHOOSE(CONTROL!$C$9, $D$9, 100%, $F$9) + CHOOSE(CONTROL!$C$27, 0.0021, 0)</f>
        <v>47.496699999999997</v>
      </c>
      <c r="L406" s="14"/>
    </row>
    <row r="407" spans="1:12" ht="15.75" x14ac:dyDescent="0.25">
      <c r="A407" s="33">
        <v>53327</v>
      </c>
      <c r="B407" s="14">
        <f>47.0321 * CHOOSE(CONTROL!$C$9, $D$9, 100%, $F$9) + CHOOSE(CONTROL!$C$27, 0.0021, 0)</f>
        <v>47.034199999999998</v>
      </c>
      <c r="C407" s="14">
        <f>46.5999 * CHOOSE(CONTROL!$C$9, $D$9, 100%, $F$9) + CHOOSE(CONTROL!$C$27, 0.0021, 0)</f>
        <v>46.601999999999997</v>
      </c>
      <c r="D407" s="14">
        <f>46.5999 * CHOOSE(CONTROL!$C$9, $D$9, 100%, $F$9) + CHOOSE(CONTROL!$C$27, 0.0021, 0)</f>
        <v>46.601999999999997</v>
      </c>
      <c r="E407" s="14">
        <f>46.4632 * CHOOSE(CONTROL!$C$9, $D$9, 100%, $F$9) + CHOOSE(CONTROL!$C$27, 0.0021, 0)</f>
        <v>46.465299999999999</v>
      </c>
      <c r="F407" s="14">
        <f>46.4632 * CHOOSE(CONTROL!$C$9, $D$9, 100%, $F$9) + CHOOSE(CONTROL!$C$27, 0.0021, 0)</f>
        <v>46.465299999999999</v>
      </c>
      <c r="G407" s="14">
        <f>46.7346 * CHOOSE(CONTROL!$C$9, $D$9, 100%, $F$9) + CHOOSE(CONTROL!$C$27, 0.0021, 0)</f>
        <v>46.736699999999999</v>
      </c>
      <c r="H407" s="14">
        <f>46.5999 * CHOOSE(CONTROL!$C$9, $D$9, 100%, $F$9) + CHOOSE(CONTROL!$C$27, 0.0021, 0)</f>
        <v>46.601999999999997</v>
      </c>
      <c r="I407" s="14">
        <f>46.5999 * CHOOSE(CONTROL!$C$9, $D$9, 100%, $F$9) + CHOOSE(CONTROL!$C$27, 0.0021, 0)</f>
        <v>46.601999999999997</v>
      </c>
      <c r="J407" s="14">
        <f>46.5999 * CHOOSE(CONTROL!$C$9, $D$9, 100%, $F$9) + CHOOSE(CONTROL!$C$27, 0.0021, 0)</f>
        <v>46.601999999999997</v>
      </c>
      <c r="K407" s="14">
        <f>46.5999 * CHOOSE(CONTROL!$C$9, $D$9, 100%, $F$9) + CHOOSE(CONTROL!$C$27, 0.0021, 0)</f>
        <v>46.601999999999997</v>
      </c>
      <c r="L407" s="14"/>
    </row>
    <row r="408" spans="1:12" ht="15.75" x14ac:dyDescent="0.25">
      <c r="A408" s="33">
        <v>53358</v>
      </c>
      <c r="B408" s="14">
        <f>46.4459 * CHOOSE(CONTROL!$C$9, $D$9, 100%, $F$9) + CHOOSE(CONTROL!$C$27, 0.0021, 0)</f>
        <v>46.448</v>
      </c>
      <c r="C408" s="14">
        <f>46.0137 * CHOOSE(CONTROL!$C$9, $D$9, 100%, $F$9) + CHOOSE(CONTROL!$C$27, 0.0021, 0)</f>
        <v>46.015799999999999</v>
      </c>
      <c r="D408" s="14">
        <f>46.0137 * CHOOSE(CONTROL!$C$9, $D$9, 100%, $F$9) + CHOOSE(CONTROL!$C$27, 0.0021, 0)</f>
        <v>46.015799999999999</v>
      </c>
      <c r="E408" s="14">
        <f>45.877 * CHOOSE(CONTROL!$C$9, $D$9, 100%, $F$9) + CHOOSE(CONTROL!$C$27, 0.0021, 0)</f>
        <v>45.879100000000001</v>
      </c>
      <c r="F408" s="14">
        <f>45.877 * CHOOSE(CONTROL!$C$9, $D$9, 100%, $F$9) + CHOOSE(CONTROL!$C$27, 0.0021, 0)</f>
        <v>45.879100000000001</v>
      </c>
      <c r="G408" s="14">
        <f>46.1484 * CHOOSE(CONTROL!$C$9, $D$9, 100%, $F$9) + CHOOSE(CONTROL!$C$27, 0.0021, 0)</f>
        <v>46.150500000000001</v>
      </c>
      <c r="H408" s="14">
        <f>46.0137 * CHOOSE(CONTROL!$C$9, $D$9, 100%, $F$9) + CHOOSE(CONTROL!$C$27, 0.0021, 0)</f>
        <v>46.015799999999999</v>
      </c>
      <c r="I408" s="14">
        <f>46.0137 * CHOOSE(CONTROL!$C$9, $D$9, 100%, $F$9) + CHOOSE(CONTROL!$C$27, 0.0021, 0)</f>
        <v>46.015799999999999</v>
      </c>
      <c r="J408" s="14">
        <f>46.0137 * CHOOSE(CONTROL!$C$9, $D$9, 100%, $F$9) + CHOOSE(CONTROL!$C$27, 0.0021, 0)</f>
        <v>46.015799999999999</v>
      </c>
      <c r="K408" s="14">
        <f>46.0137 * CHOOSE(CONTROL!$C$9, $D$9, 100%, $F$9) + CHOOSE(CONTROL!$C$27, 0.0021, 0)</f>
        <v>46.015799999999999</v>
      </c>
      <c r="L408" s="14"/>
    </row>
    <row r="409" spans="1:12" ht="15.75" x14ac:dyDescent="0.25">
      <c r="A409" s="33">
        <v>53386</v>
      </c>
      <c r="B409" s="14">
        <f>45.197 * CHOOSE(CONTROL!$C$9, $D$9, 100%, $F$9) + CHOOSE(CONTROL!$C$27, 0.0021, 0)</f>
        <v>45.199100000000001</v>
      </c>
      <c r="C409" s="14">
        <f>44.7648 * CHOOSE(CONTROL!$C$9, $D$9, 100%, $F$9) + CHOOSE(CONTROL!$C$27, 0.0021, 0)</f>
        <v>44.7669</v>
      </c>
      <c r="D409" s="14">
        <f>44.7648 * CHOOSE(CONTROL!$C$9, $D$9, 100%, $F$9) + CHOOSE(CONTROL!$C$27, 0.0021, 0)</f>
        <v>44.7669</v>
      </c>
      <c r="E409" s="14">
        <f>44.6281 * CHOOSE(CONTROL!$C$9, $D$9, 100%, $F$9) + CHOOSE(CONTROL!$C$27, 0.0021, 0)</f>
        <v>44.630200000000002</v>
      </c>
      <c r="F409" s="14">
        <f>44.6281 * CHOOSE(CONTROL!$C$9, $D$9, 100%, $F$9) + CHOOSE(CONTROL!$C$27, 0.0021, 0)</f>
        <v>44.630200000000002</v>
      </c>
      <c r="G409" s="14">
        <f>44.8995 * CHOOSE(CONTROL!$C$9, $D$9, 100%, $F$9) + CHOOSE(CONTROL!$C$27, 0.0021, 0)</f>
        <v>44.901600000000002</v>
      </c>
      <c r="H409" s="14">
        <f>44.7648 * CHOOSE(CONTROL!$C$9, $D$9, 100%, $F$9) + CHOOSE(CONTROL!$C$27, 0.0021, 0)</f>
        <v>44.7669</v>
      </c>
      <c r="I409" s="14">
        <f>44.7648 * CHOOSE(CONTROL!$C$9, $D$9, 100%, $F$9) + CHOOSE(CONTROL!$C$27, 0.0021, 0)</f>
        <v>44.7669</v>
      </c>
      <c r="J409" s="14">
        <f>44.7648 * CHOOSE(CONTROL!$C$9, $D$9, 100%, $F$9) + CHOOSE(CONTROL!$C$27, 0.0021, 0)</f>
        <v>44.7669</v>
      </c>
      <c r="K409" s="14">
        <f>44.7648 * CHOOSE(CONTROL!$C$9, $D$9, 100%, $F$9) + CHOOSE(CONTROL!$C$27, 0.0021, 0)</f>
        <v>44.7669</v>
      </c>
      <c r="L409" s="14"/>
    </row>
    <row r="410" spans="1:12" ht="15.75" x14ac:dyDescent="0.25">
      <c r="A410" s="33">
        <v>53417</v>
      </c>
      <c r="B410" s="14">
        <f>44.6815 * CHOOSE(CONTROL!$C$9, $D$9, 100%, $F$9) + CHOOSE(CONTROL!$C$27, 0.0021, 0)</f>
        <v>44.683599999999998</v>
      </c>
      <c r="C410" s="14">
        <f>44.2492 * CHOOSE(CONTROL!$C$9, $D$9, 100%, $F$9) + CHOOSE(CONTROL!$C$27, 0.0021, 0)</f>
        <v>44.251300000000001</v>
      </c>
      <c r="D410" s="14">
        <f>44.2492 * CHOOSE(CONTROL!$C$9, $D$9, 100%, $F$9) + CHOOSE(CONTROL!$C$27, 0.0021, 0)</f>
        <v>44.251300000000001</v>
      </c>
      <c r="E410" s="14">
        <f>44.1126 * CHOOSE(CONTROL!$C$9, $D$9, 100%, $F$9) + CHOOSE(CONTROL!$C$27, 0.0021, 0)</f>
        <v>44.114699999999999</v>
      </c>
      <c r="F410" s="14">
        <f>44.1126 * CHOOSE(CONTROL!$C$9, $D$9, 100%, $F$9) + CHOOSE(CONTROL!$C$27, 0.0021, 0)</f>
        <v>44.114699999999999</v>
      </c>
      <c r="G410" s="14">
        <f>44.3839 * CHOOSE(CONTROL!$C$9, $D$9, 100%, $F$9) + CHOOSE(CONTROL!$C$27, 0.0021, 0)</f>
        <v>44.385999999999996</v>
      </c>
      <c r="H410" s="14">
        <f>44.2492 * CHOOSE(CONTROL!$C$9, $D$9, 100%, $F$9) + CHOOSE(CONTROL!$C$27, 0.0021, 0)</f>
        <v>44.251300000000001</v>
      </c>
      <c r="I410" s="14">
        <f>44.2492 * CHOOSE(CONTROL!$C$9, $D$9, 100%, $F$9) + CHOOSE(CONTROL!$C$27, 0.0021, 0)</f>
        <v>44.251300000000001</v>
      </c>
      <c r="J410" s="14">
        <f>44.2492 * CHOOSE(CONTROL!$C$9, $D$9, 100%, $F$9) + CHOOSE(CONTROL!$C$27, 0.0021, 0)</f>
        <v>44.251300000000001</v>
      </c>
      <c r="K410" s="14">
        <f>44.2492 * CHOOSE(CONTROL!$C$9, $D$9, 100%, $F$9) + CHOOSE(CONTROL!$C$27, 0.0021, 0)</f>
        <v>44.251300000000001</v>
      </c>
      <c r="L410" s="14"/>
    </row>
    <row r="411" spans="1:12" ht="15.75" x14ac:dyDescent="0.25">
      <c r="A411" s="33">
        <v>53447</v>
      </c>
      <c r="B411" s="14">
        <f>44.0659 * CHOOSE(CONTROL!$C$9, $D$9, 100%, $F$9) + CHOOSE(CONTROL!$C$27, 0.0021, 0)</f>
        <v>44.067999999999998</v>
      </c>
      <c r="C411" s="14">
        <f>43.6337 * CHOOSE(CONTROL!$C$9, $D$9, 100%, $F$9) + CHOOSE(CONTROL!$C$27, 0.0021, 0)</f>
        <v>43.635799999999996</v>
      </c>
      <c r="D411" s="14">
        <f>43.6337 * CHOOSE(CONTROL!$C$9, $D$9, 100%, $F$9) + CHOOSE(CONTROL!$C$27, 0.0021, 0)</f>
        <v>43.635799999999996</v>
      </c>
      <c r="E411" s="14">
        <f>43.497 * CHOOSE(CONTROL!$C$9, $D$9, 100%, $F$9) + CHOOSE(CONTROL!$C$27, 0.0021, 0)</f>
        <v>43.499099999999999</v>
      </c>
      <c r="F411" s="14">
        <f>43.497 * CHOOSE(CONTROL!$C$9, $D$9, 100%, $F$9) + CHOOSE(CONTROL!$C$27, 0.0021, 0)</f>
        <v>43.499099999999999</v>
      </c>
      <c r="G411" s="14">
        <f>43.7684 * CHOOSE(CONTROL!$C$9, $D$9, 100%, $F$9) + CHOOSE(CONTROL!$C$27, 0.0021, 0)</f>
        <v>43.770499999999998</v>
      </c>
      <c r="H411" s="14">
        <f>43.6337 * CHOOSE(CONTROL!$C$9, $D$9, 100%, $F$9) + CHOOSE(CONTROL!$C$27, 0.0021, 0)</f>
        <v>43.635799999999996</v>
      </c>
      <c r="I411" s="14">
        <f>43.6337 * CHOOSE(CONTROL!$C$9, $D$9, 100%, $F$9) + CHOOSE(CONTROL!$C$27, 0.0021, 0)</f>
        <v>43.635799999999996</v>
      </c>
      <c r="J411" s="14">
        <f>43.6337 * CHOOSE(CONTROL!$C$9, $D$9, 100%, $F$9) + CHOOSE(CONTROL!$C$27, 0.0021, 0)</f>
        <v>43.635799999999996</v>
      </c>
      <c r="K411" s="14">
        <f>43.6337 * CHOOSE(CONTROL!$C$9, $D$9, 100%, $F$9) + CHOOSE(CONTROL!$C$27, 0.0021, 0)</f>
        <v>43.635799999999996</v>
      </c>
      <c r="L411" s="14"/>
    </row>
    <row r="412" spans="1:12" ht="15.75" x14ac:dyDescent="0.25">
      <c r="A412" s="33">
        <v>53478</v>
      </c>
      <c r="B412" s="14">
        <f>44.9432 * CHOOSE(CONTROL!$C$9, $D$9, 100%, $F$9) + CHOOSE(CONTROL!$C$27, 0.0021, 0)</f>
        <v>44.945299999999996</v>
      </c>
      <c r="C412" s="14">
        <f>44.5109 * CHOOSE(CONTROL!$C$9, $D$9, 100%, $F$9) + CHOOSE(CONTROL!$C$27, 0.0021, 0)</f>
        <v>44.512999999999998</v>
      </c>
      <c r="D412" s="14">
        <f>44.5109 * CHOOSE(CONTROL!$C$9, $D$9, 100%, $F$9) + CHOOSE(CONTROL!$C$27, 0.0021, 0)</f>
        <v>44.512999999999998</v>
      </c>
      <c r="E412" s="14">
        <f>44.3743 * CHOOSE(CONTROL!$C$9, $D$9, 100%, $F$9) + CHOOSE(CONTROL!$C$27, 0.0021, 0)</f>
        <v>44.376399999999997</v>
      </c>
      <c r="F412" s="14">
        <f>44.3743 * CHOOSE(CONTROL!$C$9, $D$9, 100%, $F$9) + CHOOSE(CONTROL!$C$27, 0.0021, 0)</f>
        <v>44.376399999999997</v>
      </c>
      <c r="G412" s="14">
        <f>44.6456 * CHOOSE(CONTROL!$C$9, $D$9, 100%, $F$9) + CHOOSE(CONTROL!$C$27, 0.0021, 0)</f>
        <v>44.6477</v>
      </c>
      <c r="H412" s="14">
        <f>44.5109 * CHOOSE(CONTROL!$C$9, $D$9, 100%, $F$9) + CHOOSE(CONTROL!$C$27, 0.0021, 0)</f>
        <v>44.512999999999998</v>
      </c>
      <c r="I412" s="14">
        <f>44.5109 * CHOOSE(CONTROL!$C$9, $D$9, 100%, $F$9) + CHOOSE(CONTROL!$C$27, 0.0021, 0)</f>
        <v>44.512999999999998</v>
      </c>
      <c r="J412" s="14">
        <f>44.5109 * CHOOSE(CONTROL!$C$9, $D$9, 100%, $F$9) + CHOOSE(CONTROL!$C$27, 0.0021, 0)</f>
        <v>44.512999999999998</v>
      </c>
      <c r="K412" s="14">
        <f>44.5109 * CHOOSE(CONTROL!$C$9, $D$9, 100%, $F$9) + CHOOSE(CONTROL!$C$27, 0.0021, 0)</f>
        <v>44.512999999999998</v>
      </c>
      <c r="L412" s="14"/>
    </row>
    <row r="413" spans="1:12" ht="15.75" x14ac:dyDescent="0.25">
      <c r="A413" s="33">
        <v>53508</v>
      </c>
      <c r="B413" s="14">
        <f>45.4686 * CHOOSE(CONTROL!$C$9, $D$9, 100%, $F$9) + CHOOSE(CONTROL!$C$27, 0.0021, 0)</f>
        <v>45.470700000000001</v>
      </c>
      <c r="C413" s="14">
        <f>45.0364 * CHOOSE(CONTROL!$C$9, $D$9, 100%, $F$9) + CHOOSE(CONTROL!$C$27, 0.0021, 0)</f>
        <v>45.038499999999999</v>
      </c>
      <c r="D413" s="14">
        <f>45.0364 * CHOOSE(CONTROL!$C$9, $D$9, 100%, $F$9) + CHOOSE(CONTROL!$C$27, 0.0021, 0)</f>
        <v>45.038499999999999</v>
      </c>
      <c r="E413" s="14">
        <f>44.8997 * CHOOSE(CONTROL!$C$9, $D$9, 100%, $F$9) + CHOOSE(CONTROL!$C$27, 0.0021, 0)</f>
        <v>44.901800000000001</v>
      </c>
      <c r="F413" s="14">
        <f>44.8997 * CHOOSE(CONTROL!$C$9, $D$9, 100%, $F$9) + CHOOSE(CONTROL!$C$27, 0.0021, 0)</f>
        <v>44.901800000000001</v>
      </c>
      <c r="G413" s="14">
        <f>45.1711 * CHOOSE(CONTROL!$C$9, $D$9, 100%, $F$9) + CHOOSE(CONTROL!$C$27, 0.0021, 0)</f>
        <v>45.173200000000001</v>
      </c>
      <c r="H413" s="14">
        <f>45.0364 * CHOOSE(CONTROL!$C$9, $D$9, 100%, $F$9) + CHOOSE(CONTROL!$C$27, 0.0021, 0)</f>
        <v>45.038499999999999</v>
      </c>
      <c r="I413" s="14">
        <f>45.0364 * CHOOSE(CONTROL!$C$9, $D$9, 100%, $F$9) + CHOOSE(CONTROL!$C$27, 0.0021, 0)</f>
        <v>45.038499999999999</v>
      </c>
      <c r="J413" s="14">
        <f>45.0364 * CHOOSE(CONTROL!$C$9, $D$9, 100%, $F$9) + CHOOSE(CONTROL!$C$27, 0.0021, 0)</f>
        <v>45.038499999999999</v>
      </c>
      <c r="K413" s="14">
        <f>45.0364 * CHOOSE(CONTROL!$C$9, $D$9, 100%, $F$9) + CHOOSE(CONTROL!$C$27, 0.0021, 0)</f>
        <v>45.038499999999999</v>
      </c>
      <c r="L413" s="14"/>
    </row>
    <row r="414" spans="1:12" ht="15.75" x14ac:dyDescent="0.25">
      <c r="A414" s="33">
        <v>53539</v>
      </c>
      <c r="B414" s="14">
        <f>46.3354 * CHOOSE(CONTROL!$C$9, $D$9, 100%, $F$9) + CHOOSE(CONTROL!$C$27, 0.0021, 0)</f>
        <v>46.337499999999999</v>
      </c>
      <c r="C414" s="14">
        <f>45.9032 * CHOOSE(CONTROL!$C$9, $D$9, 100%, $F$9) + CHOOSE(CONTROL!$C$27, 0.0021, 0)</f>
        <v>45.905299999999997</v>
      </c>
      <c r="D414" s="14">
        <f>45.9032 * CHOOSE(CONTROL!$C$9, $D$9, 100%, $F$9) + CHOOSE(CONTROL!$C$27, 0.0021, 0)</f>
        <v>45.905299999999997</v>
      </c>
      <c r="E414" s="14">
        <f>45.7665 * CHOOSE(CONTROL!$C$9, $D$9, 100%, $F$9) + CHOOSE(CONTROL!$C$27, 0.0021, 0)</f>
        <v>45.768599999999999</v>
      </c>
      <c r="F414" s="14">
        <f>45.7665 * CHOOSE(CONTROL!$C$9, $D$9, 100%, $F$9) + CHOOSE(CONTROL!$C$27, 0.0021, 0)</f>
        <v>45.768599999999999</v>
      </c>
      <c r="G414" s="14">
        <f>46.0379 * CHOOSE(CONTROL!$C$9, $D$9, 100%, $F$9) + CHOOSE(CONTROL!$C$27, 0.0021, 0)</f>
        <v>46.04</v>
      </c>
      <c r="H414" s="14">
        <f>45.9032 * CHOOSE(CONTROL!$C$9, $D$9, 100%, $F$9) + CHOOSE(CONTROL!$C$27, 0.0021, 0)</f>
        <v>45.905299999999997</v>
      </c>
      <c r="I414" s="14">
        <f>45.9032 * CHOOSE(CONTROL!$C$9, $D$9, 100%, $F$9) + CHOOSE(CONTROL!$C$27, 0.0021, 0)</f>
        <v>45.905299999999997</v>
      </c>
      <c r="J414" s="14">
        <f>45.9032 * CHOOSE(CONTROL!$C$9, $D$9, 100%, $F$9) + CHOOSE(CONTROL!$C$27, 0.0021, 0)</f>
        <v>45.905299999999997</v>
      </c>
      <c r="K414" s="14">
        <f>45.9032 * CHOOSE(CONTROL!$C$9, $D$9, 100%, $F$9) + CHOOSE(CONTROL!$C$27, 0.0021, 0)</f>
        <v>45.905299999999997</v>
      </c>
      <c r="L414" s="14"/>
    </row>
    <row r="415" spans="1:12" ht="15.75" x14ac:dyDescent="0.25">
      <c r="A415" s="33">
        <v>53570</v>
      </c>
      <c r="B415" s="14">
        <f>46.6 * CHOOSE(CONTROL!$C$9, $D$9, 100%, $F$9) + CHOOSE(CONTROL!$C$27, 0.0021, 0)</f>
        <v>46.6021</v>
      </c>
      <c r="C415" s="14">
        <f>46.1677 * CHOOSE(CONTROL!$C$9, $D$9, 100%, $F$9) + CHOOSE(CONTROL!$C$27, 0.0021, 0)</f>
        <v>46.169800000000002</v>
      </c>
      <c r="D415" s="14">
        <f>46.1677 * CHOOSE(CONTROL!$C$9, $D$9, 100%, $F$9) + CHOOSE(CONTROL!$C$27, 0.0021, 0)</f>
        <v>46.169800000000002</v>
      </c>
      <c r="E415" s="14">
        <f>46.0311 * CHOOSE(CONTROL!$C$9, $D$9, 100%, $F$9) + CHOOSE(CONTROL!$C$27, 0.0021, 0)</f>
        <v>46.033200000000001</v>
      </c>
      <c r="F415" s="14">
        <f>46.0311 * CHOOSE(CONTROL!$C$9, $D$9, 100%, $F$9) + CHOOSE(CONTROL!$C$27, 0.0021, 0)</f>
        <v>46.033200000000001</v>
      </c>
      <c r="G415" s="14">
        <f>46.3024 * CHOOSE(CONTROL!$C$9, $D$9, 100%, $F$9) + CHOOSE(CONTROL!$C$27, 0.0021, 0)</f>
        <v>46.304499999999997</v>
      </c>
      <c r="H415" s="14">
        <f>46.1677 * CHOOSE(CONTROL!$C$9, $D$9, 100%, $F$9) + CHOOSE(CONTROL!$C$27, 0.0021, 0)</f>
        <v>46.169800000000002</v>
      </c>
      <c r="I415" s="14">
        <f>46.1677 * CHOOSE(CONTROL!$C$9, $D$9, 100%, $F$9) + CHOOSE(CONTROL!$C$27, 0.0021, 0)</f>
        <v>46.169800000000002</v>
      </c>
      <c r="J415" s="14">
        <f>46.1677 * CHOOSE(CONTROL!$C$9, $D$9, 100%, $F$9) + CHOOSE(CONTROL!$C$27, 0.0021, 0)</f>
        <v>46.169800000000002</v>
      </c>
      <c r="K415" s="14">
        <f>46.1677 * CHOOSE(CONTROL!$C$9, $D$9, 100%, $F$9) + CHOOSE(CONTROL!$C$27, 0.0021, 0)</f>
        <v>46.169800000000002</v>
      </c>
      <c r="L415" s="14"/>
    </row>
    <row r="416" spans="1:12" ht="15.75" x14ac:dyDescent="0.25">
      <c r="A416" s="33">
        <v>53600</v>
      </c>
      <c r="B416" s="14">
        <f>47.501 * CHOOSE(CONTROL!$C$9, $D$9, 100%, $F$9) + CHOOSE(CONTROL!$C$27, 0.0021, 0)</f>
        <v>47.503099999999996</v>
      </c>
      <c r="C416" s="14">
        <f>47.0687 * CHOOSE(CONTROL!$C$9, $D$9, 100%, $F$9) + CHOOSE(CONTROL!$C$27, 0.0021, 0)</f>
        <v>47.070799999999998</v>
      </c>
      <c r="D416" s="14">
        <f>47.0687 * CHOOSE(CONTROL!$C$9, $D$9, 100%, $F$9) + CHOOSE(CONTROL!$C$27, 0.0021, 0)</f>
        <v>47.070799999999998</v>
      </c>
      <c r="E416" s="14">
        <f>46.9321 * CHOOSE(CONTROL!$C$9, $D$9, 100%, $F$9) + CHOOSE(CONTROL!$C$27, 0.0021, 0)</f>
        <v>46.934199999999997</v>
      </c>
      <c r="F416" s="14">
        <f>46.9321 * CHOOSE(CONTROL!$C$9, $D$9, 100%, $F$9) + CHOOSE(CONTROL!$C$27, 0.0021, 0)</f>
        <v>46.934199999999997</v>
      </c>
      <c r="G416" s="14">
        <f>47.2034 * CHOOSE(CONTROL!$C$9, $D$9, 100%, $F$9) + CHOOSE(CONTROL!$C$27, 0.0021, 0)</f>
        <v>47.205500000000001</v>
      </c>
      <c r="H416" s="14">
        <f>47.0687 * CHOOSE(CONTROL!$C$9, $D$9, 100%, $F$9) + CHOOSE(CONTROL!$C$27, 0.0021, 0)</f>
        <v>47.070799999999998</v>
      </c>
      <c r="I416" s="14">
        <f>47.0687 * CHOOSE(CONTROL!$C$9, $D$9, 100%, $F$9) + CHOOSE(CONTROL!$C$27, 0.0021, 0)</f>
        <v>47.070799999999998</v>
      </c>
      <c r="J416" s="14">
        <f>47.0687 * CHOOSE(CONTROL!$C$9, $D$9, 100%, $F$9) + CHOOSE(CONTROL!$C$27, 0.0021, 0)</f>
        <v>47.070799999999998</v>
      </c>
      <c r="K416" s="14">
        <f>47.0687 * CHOOSE(CONTROL!$C$9, $D$9, 100%, $F$9) + CHOOSE(CONTROL!$C$27, 0.0021, 0)</f>
        <v>47.070799999999998</v>
      </c>
      <c r="L416" s="14"/>
    </row>
    <row r="417" spans="1:12" ht="15.75" x14ac:dyDescent="0.25">
      <c r="A417" s="33">
        <v>53631</v>
      </c>
      <c r="B417" s="14">
        <f>48.6415 * CHOOSE(CONTROL!$C$9, $D$9, 100%, $F$9) + CHOOSE(CONTROL!$C$27, 0.0021, 0)</f>
        <v>48.643599999999999</v>
      </c>
      <c r="C417" s="14">
        <f>48.2092 * CHOOSE(CONTROL!$C$9, $D$9, 100%, $F$9) + CHOOSE(CONTROL!$C$27, 0.0021, 0)</f>
        <v>48.211300000000001</v>
      </c>
      <c r="D417" s="14">
        <f>48.2092 * CHOOSE(CONTROL!$C$9, $D$9, 100%, $F$9) + CHOOSE(CONTROL!$C$27, 0.0021, 0)</f>
        <v>48.211300000000001</v>
      </c>
      <c r="E417" s="14">
        <f>48.0726 * CHOOSE(CONTROL!$C$9, $D$9, 100%, $F$9) + CHOOSE(CONTROL!$C$27, 0.0021, 0)</f>
        <v>48.0747</v>
      </c>
      <c r="F417" s="14">
        <f>48.0726 * CHOOSE(CONTROL!$C$9, $D$9, 100%, $F$9) + CHOOSE(CONTROL!$C$27, 0.0021, 0)</f>
        <v>48.0747</v>
      </c>
      <c r="G417" s="14">
        <f>48.3439 * CHOOSE(CONTROL!$C$9, $D$9, 100%, $F$9) + CHOOSE(CONTROL!$C$27, 0.0021, 0)</f>
        <v>48.345999999999997</v>
      </c>
      <c r="H417" s="14">
        <f>48.2092 * CHOOSE(CONTROL!$C$9, $D$9, 100%, $F$9) + CHOOSE(CONTROL!$C$27, 0.0021, 0)</f>
        <v>48.211300000000001</v>
      </c>
      <c r="I417" s="14">
        <f>48.2092 * CHOOSE(CONTROL!$C$9, $D$9, 100%, $F$9) + CHOOSE(CONTROL!$C$27, 0.0021, 0)</f>
        <v>48.211300000000001</v>
      </c>
      <c r="J417" s="14">
        <f>48.2092 * CHOOSE(CONTROL!$C$9, $D$9, 100%, $F$9) + CHOOSE(CONTROL!$C$27, 0.0021, 0)</f>
        <v>48.211300000000001</v>
      </c>
      <c r="K417" s="14">
        <f>48.2092 * CHOOSE(CONTROL!$C$9, $D$9, 100%, $F$9) + CHOOSE(CONTROL!$C$27, 0.0021, 0)</f>
        <v>48.211300000000001</v>
      </c>
      <c r="L417" s="14"/>
    </row>
    <row r="418" spans="1:12" ht="15.75" x14ac:dyDescent="0.25">
      <c r="A418" s="33">
        <v>53661</v>
      </c>
      <c r="B418" s="14">
        <f>48.7485 * CHOOSE(CONTROL!$C$9, $D$9, 100%, $F$9) + CHOOSE(CONTROL!$C$27, 0.0021, 0)</f>
        <v>48.750599999999999</v>
      </c>
      <c r="C418" s="14">
        <f>48.3163 * CHOOSE(CONTROL!$C$9, $D$9, 100%, $F$9) + CHOOSE(CONTROL!$C$27, 0.0021, 0)</f>
        <v>48.318399999999997</v>
      </c>
      <c r="D418" s="14">
        <f>48.3163 * CHOOSE(CONTROL!$C$9, $D$9, 100%, $F$9) + CHOOSE(CONTROL!$C$27, 0.0021, 0)</f>
        <v>48.318399999999997</v>
      </c>
      <c r="E418" s="14">
        <f>48.1796 * CHOOSE(CONTROL!$C$9, $D$9, 100%, $F$9) + CHOOSE(CONTROL!$C$27, 0.0021, 0)</f>
        <v>48.181699999999999</v>
      </c>
      <c r="F418" s="14">
        <f>48.1796 * CHOOSE(CONTROL!$C$9, $D$9, 100%, $F$9) + CHOOSE(CONTROL!$C$27, 0.0021, 0)</f>
        <v>48.181699999999999</v>
      </c>
      <c r="G418" s="14">
        <f>48.451 * CHOOSE(CONTROL!$C$9, $D$9, 100%, $F$9) + CHOOSE(CONTROL!$C$27, 0.0021, 0)</f>
        <v>48.453099999999999</v>
      </c>
      <c r="H418" s="14">
        <f>48.3163 * CHOOSE(CONTROL!$C$9, $D$9, 100%, $F$9) + CHOOSE(CONTROL!$C$27, 0.0021, 0)</f>
        <v>48.318399999999997</v>
      </c>
      <c r="I418" s="14">
        <f>48.3163 * CHOOSE(CONTROL!$C$9, $D$9, 100%, $F$9) + CHOOSE(CONTROL!$C$27, 0.0021, 0)</f>
        <v>48.318399999999997</v>
      </c>
      <c r="J418" s="14">
        <f>48.3163 * CHOOSE(CONTROL!$C$9, $D$9, 100%, $F$9) + CHOOSE(CONTROL!$C$27, 0.0021, 0)</f>
        <v>48.318399999999997</v>
      </c>
      <c r="K418" s="14">
        <f>48.3163 * CHOOSE(CONTROL!$C$9, $D$9, 100%, $F$9) + CHOOSE(CONTROL!$C$27, 0.0021, 0)</f>
        <v>48.318399999999997</v>
      </c>
      <c r="L418" s="14"/>
    </row>
    <row r="419" spans="1:12" ht="15.75" x14ac:dyDescent="0.25">
      <c r="A419" s="33">
        <v>53692</v>
      </c>
      <c r="B419" s="14">
        <f>47.8376 * CHOOSE(CONTROL!$C$9, $D$9, 100%, $F$9) + CHOOSE(CONTROL!$C$27, 0.0021, 0)</f>
        <v>47.839700000000001</v>
      </c>
      <c r="C419" s="14">
        <f>47.4054 * CHOOSE(CONTROL!$C$9, $D$9, 100%, $F$9) + CHOOSE(CONTROL!$C$27, 0.0021, 0)</f>
        <v>47.407499999999999</v>
      </c>
      <c r="D419" s="14">
        <f>47.4054 * CHOOSE(CONTROL!$C$9, $D$9, 100%, $F$9) + CHOOSE(CONTROL!$C$27, 0.0021, 0)</f>
        <v>47.407499999999999</v>
      </c>
      <c r="E419" s="14">
        <f>47.2687 * CHOOSE(CONTROL!$C$9, $D$9, 100%, $F$9) + CHOOSE(CONTROL!$C$27, 0.0021, 0)</f>
        <v>47.270800000000001</v>
      </c>
      <c r="F419" s="14">
        <f>47.2687 * CHOOSE(CONTROL!$C$9, $D$9, 100%, $F$9) + CHOOSE(CONTROL!$C$27, 0.0021, 0)</f>
        <v>47.270800000000001</v>
      </c>
      <c r="G419" s="14">
        <f>47.5401 * CHOOSE(CONTROL!$C$9, $D$9, 100%, $F$9) + CHOOSE(CONTROL!$C$27, 0.0021, 0)</f>
        <v>47.542200000000001</v>
      </c>
      <c r="H419" s="14">
        <f>47.4054 * CHOOSE(CONTROL!$C$9, $D$9, 100%, $F$9) + CHOOSE(CONTROL!$C$27, 0.0021, 0)</f>
        <v>47.407499999999999</v>
      </c>
      <c r="I419" s="14">
        <f>47.4054 * CHOOSE(CONTROL!$C$9, $D$9, 100%, $F$9) + CHOOSE(CONTROL!$C$27, 0.0021, 0)</f>
        <v>47.407499999999999</v>
      </c>
      <c r="J419" s="14">
        <f>47.4054 * CHOOSE(CONTROL!$C$9, $D$9, 100%, $F$9) + CHOOSE(CONTROL!$C$27, 0.0021, 0)</f>
        <v>47.407499999999999</v>
      </c>
      <c r="K419" s="14">
        <f>47.4054 * CHOOSE(CONTROL!$C$9, $D$9, 100%, $F$9) + CHOOSE(CONTROL!$C$27, 0.0021, 0)</f>
        <v>47.407499999999999</v>
      </c>
      <c r="L419" s="14"/>
    </row>
    <row r="420" spans="1:12" ht="15.75" x14ac:dyDescent="0.25">
      <c r="A420" s="33">
        <v>53723</v>
      </c>
      <c r="B420" s="14">
        <f>47.2409 * CHOOSE(CONTROL!$C$9, $D$9, 100%, $F$9) + CHOOSE(CONTROL!$C$27, 0.0021, 0)</f>
        <v>47.243000000000002</v>
      </c>
      <c r="C420" s="14">
        <f>46.8086 * CHOOSE(CONTROL!$C$9, $D$9, 100%, $F$9) + CHOOSE(CONTROL!$C$27, 0.0021, 0)</f>
        <v>46.810699999999997</v>
      </c>
      <c r="D420" s="14">
        <f>46.8086 * CHOOSE(CONTROL!$C$9, $D$9, 100%, $F$9) + CHOOSE(CONTROL!$C$27, 0.0021, 0)</f>
        <v>46.810699999999997</v>
      </c>
      <c r="E420" s="14">
        <f>46.672 * CHOOSE(CONTROL!$C$9, $D$9, 100%, $F$9) + CHOOSE(CONTROL!$C$27, 0.0021, 0)</f>
        <v>46.674099999999996</v>
      </c>
      <c r="F420" s="14">
        <f>46.672 * CHOOSE(CONTROL!$C$9, $D$9, 100%, $F$9) + CHOOSE(CONTROL!$C$27, 0.0021, 0)</f>
        <v>46.674099999999996</v>
      </c>
      <c r="G420" s="14">
        <f>46.9434 * CHOOSE(CONTROL!$C$9, $D$9, 100%, $F$9) + CHOOSE(CONTROL!$C$27, 0.0021, 0)</f>
        <v>46.945499999999996</v>
      </c>
      <c r="H420" s="14">
        <f>46.8086 * CHOOSE(CONTROL!$C$9, $D$9, 100%, $F$9) + CHOOSE(CONTROL!$C$27, 0.0021, 0)</f>
        <v>46.810699999999997</v>
      </c>
      <c r="I420" s="14">
        <f>46.8086 * CHOOSE(CONTROL!$C$9, $D$9, 100%, $F$9) + CHOOSE(CONTROL!$C$27, 0.0021, 0)</f>
        <v>46.810699999999997</v>
      </c>
      <c r="J420" s="14">
        <f>46.8086 * CHOOSE(CONTROL!$C$9, $D$9, 100%, $F$9) + CHOOSE(CONTROL!$C$27, 0.0021, 0)</f>
        <v>46.810699999999997</v>
      </c>
      <c r="K420" s="14">
        <f>46.8086 * CHOOSE(CONTROL!$C$9, $D$9, 100%, $F$9) + CHOOSE(CONTROL!$C$27, 0.0021, 0)</f>
        <v>46.810699999999997</v>
      </c>
      <c r="L420" s="14"/>
    </row>
    <row r="421" spans="1:12" ht="15.75" x14ac:dyDescent="0.25">
      <c r="A421" s="33">
        <v>53751</v>
      </c>
      <c r="B421" s="14">
        <f>45.9695 * CHOOSE(CONTROL!$C$9, $D$9, 100%, $F$9) + CHOOSE(CONTROL!$C$27, 0.0021, 0)</f>
        <v>45.971599999999995</v>
      </c>
      <c r="C421" s="14">
        <f>45.5373 * CHOOSE(CONTROL!$C$9, $D$9, 100%, $F$9) + CHOOSE(CONTROL!$C$27, 0.0021, 0)</f>
        <v>45.539400000000001</v>
      </c>
      <c r="D421" s="14">
        <f>45.5373 * CHOOSE(CONTROL!$C$9, $D$9, 100%, $F$9) + CHOOSE(CONTROL!$C$27, 0.0021, 0)</f>
        <v>45.539400000000001</v>
      </c>
      <c r="E421" s="14">
        <f>45.4006 * CHOOSE(CONTROL!$C$9, $D$9, 100%, $F$9) + CHOOSE(CONTROL!$C$27, 0.0021, 0)</f>
        <v>45.402699999999996</v>
      </c>
      <c r="F421" s="14">
        <f>45.4006 * CHOOSE(CONTROL!$C$9, $D$9, 100%, $F$9) + CHOOSE(CONTROL!$C$27, 0.0021, 0)</f>
        <v>45.402699999999996</v>
      </c>
      <c r="G421" s="14">
        <f>45.672 * CHOOSE(CONTROL!$C$9, $D$9, 100%, $F$9) + CHOOSE(CONTROL!$C$27, 0.0021, 0)</f>
        <v>45.674099999999996</v>
      </c>
      <c r="H421" s="14">
        <f>45.5373 * CHOOSE(CONTROL!$C$9, $D$9, 100%, $F$9) + CHOOSE(CONTROL!$C$27, 0.0021, 0)</f>
        <v>45.539400000000001</v>
      </c>
      <c r="I421" s="14">
        <f>45.5373 * CHOOSE(CONTROL!$C$9, $D$9, 100%, $F$9) + CHOOSE(CONTROL!$C$27, 0.0021, 0)</f>
        <v>45.539400000000001</v>
      </c>
      <c r="J421" s="14">
        <f>45.5373 * CHOOSE(CONTROL!$C$9, $D$9, 100%, $F$9) + CHOOSE(CONTROL!$C$27, 0.0021, 0)</f>
        <v>45.539400000000001</v>
      </c>
      <c r="K421" s="14">
        <f>45.5373 * CHOOSE(CONTROL!$C$9, $D$9, 100%, $F$9) + CHOOSE(CONTROL!$C$27, 0.0021, 0)</f>
        <v>45.539400000000001</v>
      </c>
      <c r="L421" s="14"/>
    </row>
    <row r="422" spans="1:12" ht="15.75" x14ac:dyDescent="0.25">
      <c r="A422" s="33">
        <v>53782</v>
      </c>
      <c r="B422" s="14">
        <f>45.4447 * CHOOSE(CONTROL!$C$9, $D$9, 100%, $F$9) + CHOOSE(CONTROL!$C$27, 0.0021, 0)</f>
        <v>45.446799999999996</v>
      </c>
      <c r="C422" s="14">
        <f>45.0124 * CHOOSE(CONTROL!$C$9, $D$9, 100%, $F$9) + CHOOSE(CONTROL!$C$27, 0.0021, 0)</f>
        <v>45.014499999999998</v>
      </c>
      <c r="D422" s="14">
        <f>45.0124 * CHOOSE(CONTROL!$C$9, $D$9, 100%, $F$9) + CHOOSE(CONTROL!$C$27, 0.0021, 0)</f>
        <v>45.014499999999998</v>
      </c>
      <c r="E422" s="14">
        <f>44.8758 * CHOOSE(CONTROL!$C$9, $D$9, 100%, $F$9) + CHOOSE(CONTROL!$C$27, 0.0021, 0)</f>
        <v>44.877899999999997</v>
      </c>
      <c r="F422" s="14">
        <f>44.8758 * CHOOSE(CONTROL!$C$9, $D$9, 100%, $F$9) + CHOOSE(CONTROL!$C$27, 0.0021, 0)</f>
        <v>44.877899999999997</v>
      </c>
      <c r="G422" s="14">
        <f>45.1472 * CHOOSE(CONTROL!$C$9, $D$9, 100%, $F$9) + CHOOSE(CONTROL!$C$27, 0.0021, 0)</f>
        <v>45.149299999999997</v>
      </c>
      <c r="H422" s="14">
        <f>45.0124 * CHOOSE(CONTROL!$C$9, $D$9, 100%, $F$9) + CHOOSE(CONTROL!$C$27, 0.0021, 0)</f>
        <v>45.014499999999998</v>
      </c>
      <c r="I422" s="14">
        <f>45.0124 * CHOOSE(CONTROL!$C$9, $D$9, 100%, $F$9) + CHOOSE(CONTROL!$C$27, 0.0021, 0)</f>
        <v>45.014499999999998</v>
      </c>
      <c r="J422" s="14">
        <f>45.0124 * CHOOSE(CONTROL!$C$9, $D$9, 100%, $F$9) + CHOOSE(CONTROL!$C$27, 0.0021, 0)</f>
        <v>45.014499999999998</v>
      </c>
      <c r="K422" s="14">
        <f>45.0124 * CHOOSE(CONTROL!$C$9, $D$9, 100%, $F$9) + CHOOSE(CONTROL!$C$27, 0.0021, 0)</f>
        <v>45.014499999999998</v>
      </c>
      <c r="L422" s="14"/>
    </row>
    <row r="423" spans="1:12" ht="15.75" x14ac:dyDescent="0.25">
      <c r="A423" s="33">
        <v>53812</v>
      </c>
      <c r="B423" s="14">
        <f>44.818 * CHOOSE(CONTROL!$C$9, $D$9, 100%, $F$9) + CHOOSE(CONTROL!$C$27, 0.0021, 0)</f>
        <v>44.820099999999996</v>
      </c>
      <c r="C423" s="14">
        <f>44.3858 * CHOOSE(CONTROL!$C$9, $D$9, 100%, $F$9) + CHOOSE(CONTROL!$C$27, 0.0021, 0)</f>
        <v>44.387900000000002</v>
      </c>
      <c r="D423" s="14">
        <f>44.3858 * CHOOSE(CONTROL!$C$9, $D$9, 100%, $F$9) + CHOOSE(CONTROL!$C$27, 0.0021, 0)</f>
        <v>44.387900000000002</v>
      </c>
      <c r="E423" s="14">
        <f>44.2491 * CHOOSE(CONTROL!$C$9, $D$9, 100%, $F$9) + CHOOSE(CONTROL!$C$27, 0.0021, 0)</f>
        <v>44.251199999999997</v>
      </c>
      <c r="F423" s="14">
        <f>44.2491 * CHOOSE(CONTROL!$C$9, $D$9, 100%, $F$9) + CHOOSE(CONTROL!$C$27, 0.0021, 0)</f>
        <v>44.251199999999997</v>
      </c>
      <c r="G423" s="14">
        <f>44.5205 * CHOOSE(CONTROL!$C$9, $D$9, 100%, $F$9) + CHOOSE(CONTROL!$C$27, 0.0021, 0)</f>
        <v>44.522599999999997</v>
      </c>
      <c r="H423" s="14">
        <f>44.3858 * CHOOSE(CONTROL!$C$9, $D$9, 100%, $F$9) + CHOOSE(CONTROL!$C$27, 0.0021, 0)</f>
        <v>44.387900000000002</v>
      </c>
      <c r="I423" s="14">
        <f>44.3858 * CHOOSE(CONTROL!$C$9, $D$9, 100%, $F$9) + CHOOSE(CONTROL!$C$27, 0.0021, 0)</f>
        <v>44.387900000000002</v>
      </c>
      <c r="J423" s="14">
        <f>44.3858 * CHOOSE(CONTROL!$C$9, $D$9, 100%, $F$9) + CHOOSE(CONTROL!$C$27, 0.0021, 0)</f>
        <v>44.387900000000002</v>
      </c>
      <c r="K423" s="14">
        <f>44.3858 * CHOOSE(CONTROL!$C$9, $D$9, 100%, $F$9) + CHOOSE(CONTROL!$C$27, 0.0021, 0)</f>
        <v>44.387900000000002</v>
      </c>
      <c r="L423" s="14"/>
    </row>
    <row r="424" spans="1:12" ht="15.75" x14ac:dyDescent="0.25">
      <c r="A424" s="33">
        <v>53843</v>
      </c>
      <c r="B424" s="14">
        <f>45.7111 * CHOOSE(CONTROL!$C$9, $D$9, 100%, $F$9) + CHOOSE(CONTROL!$C$27, 0.0021, 0)</f>
        <v>45.713200000000001</v>
      </c>
      <c r="C424" s="14">
        <f>45.2788 * CHOOSE(CONTROL!$C$9, $D$9, 100%, $F$9) + CHOOSE(CONTROL!$C$27, 0.0021, 0)</f>
        <v>45.280899999999995</v>
      </c>
      <c r="D424" s="14">
        <f>45.2788 * CHOOSE(CONTROL!$C$9, $D$9, 100%, $F$9) + CHOOSE(CONTROL!$C$27, 0.0021, 0)</f>
        <v>45.280899999999995</v>
      </c>
      <c r="E424" s="14">
        <f>45.1422 * CHOOSE(CONTROL!$C$9, $D$9, 100%, $F$9) + CHOOSE(CONTROL!$C$27, 0.0021, 0)</f>
        <v>45.144300000000001</v>
      </c>
      <c r="F424" s="14">
        <f>45.1422 * CHOOSE(CONTROL!$C$9, $D$9, 100%, $F$9) + CHOOSE(CONTROL!$C$27, 0.0021, 0)</f>
        <v>45.144300000000001</v>
      </c>
      <c r="G424" s="14">
        <f>45.4136 * CHOOSE(CONTROL!$C$9, $D$9, 100%, $F$9) + CHOOSE(CONTROL!$C$27, 0.0021, 0)</f>
        <v>45.415700000000001</v>
      </c>
      <c r="H424" s="14">
        <f>45.2788 * CHOOSE(CONTROL!$C$9, $D$9, 100%, $F$9) + CHOOSE(CONTROL!$C$27, 0.0021, 0)</f>
        <v>45.280899999999995</v>
      </c>
      <c r="I424" s="14">
        <f>45.2788 * CHOOSE(CONTROL!$C$9, $D$9, 100%, $F$9) + CHOOSE(CONTROL!$C$27, 0.0021, 0)</f>
        <v>45.280899999999995</v>
      </c>
      <c r="J424" s="14">
        <f>45.2788 * CHOOSE(CONTROL!$C$9, $D$9, 100%, $F$9) + CHOOSE(CONTROL!$C$27, 0.0021, 0)</f>
        <v>45.280899999999995</v>
      </c>
      <c r="K424" s="14">
        <f>45.2788 * CHOOSE(CONTROL!$C$9, $D$9, 100%, $F$9) + CHOOSE(CONTROL!$C$27, 0.0021, 0)</f>
        <v>45.280899999999995</v>
      </c>
      <c r="L424" s="14"/>
    </row>
    <row r="425" spans="1:12" ht="15.75" x14ac:dyDescent="0.25">
      <c r="A425" s="33">
        <v>53873</v>
      </c>
      <c r="B425" s="14">
        <f>46.246 * CHOOSE(CONTROL!$C$9, $D$9, 100%, $F$9) + CHOOSE(CONTROL!$C$27, 0.0021, 0)</f>
        <v>46.248100000000001</v>
      </c>
      <c r="C425" s="14">
        <f>45.8137 * CHOOSE(CONTROL!$C$9, $D$9, 100%, $F$9) + CHOOSE(CONTROL!$C$27, 0.0021, 0)</f>
        <v>45.815799999999996</v>
      </c>
      <c r="D425" s="14">
        <f>45.8137 * CHOOSE(CONTROL!$C$9, $D$9, 100%, $F$9) + CHOOSE(CONTROL!$C$27, 0.0021, 0)</f>
        <v>45.815799999999996</v>
      </c>
      <c r="E425" s="14">
        <f>45.6771 * CHOOSE(CONTROL!$C$9, $D$9, 100%, $F$9) + CHOOSE(CONTROL!$C$27, 0.0021, 0)</f>
        <v>45.679200000000002</v>
      </c>
      <c r="F425" s="14">
        <f>45.6771 * CHOOSE(CONTROL!$C$9, $D$9, 100%, $F$9) + CHOOSE(CONTROL!$C$27, 0.0021, 0)</f>
        <v>45.679200000000002</v>
      </c>
      <c r="G425" s="14">
        <f>45.9485 * CHOOSE(CONTROL!$C$9, $D$9, 100%, $F$9) + CHOOSE(CONTROL!$C$27, 0.0021, 0)</f>
        <v>45.950600000000001</v>
      </c>
      <c r="H425" s="14">
        <f>45.8137 * CHOOSE(CONTROL!$C$9, $D$9, 100%, $F$9) + CHOOSE(CONTROL!$C$27, 0.0021, 0)</f>
        <v>45.815799999999996</v>
      </c>
      <c r="I425" s="14">
        <f>45.8137 * CHOOSE(CONTROL!$C$9, $D$9, 100%, $F$9) + CHOOSE(CONTROL!$C$27, 0.0021, 0)</f>
        <v>45.815799999999996</v>
      </c>
      <c r="J425" s="14">
        <f>45.8137 * CHOOSE(CONTROL!$C$9, $D$9, 100%, $F$9) + CHOOSE(CONTROL!$C$27, 0.0021, 0)</f>
        <v>45.815799999999996</v>
      </c>
      <c r="K425" s="14">
        <f>45.8137 * CHOOSE(CONTROL!$C$9, $D$9, 100%, $F$9) + CHOOSE(CONTROL!$C$27, 0.0021, 0)</f>
        <v>45.815799999999996</v>
      </c>
      <c r="L425" s="14"/>
    </row>
    <row r="426" spans="1:12" ht="15.75" x14ac:dyDescent="0.25">
      <c r="A426" s="33">
        <v>53904</v>
      </c>
      <c r="B426" s="14">
        <f>47.1284 * CHOOSE(CONTROL!$C$9, $D$9, 100%, $F$9) + CHOOSE(CONTROL!$C$27, 0.0021, 0)</f>
        <v>47.130499999999998</v>
      </c>
      <c r="C426" s="14">
        <f>46.6961 * CHOOSE(CONTROL!$C$9, $D$9, 100%, $F$9) + CHOOSE(CONTROL!$C$27, 0.0021, 0)</f>
        <v>46.6982</v>
      </c>
      <c r="D426" s="14">
        <f>46.6961 * CHOOSE(CONTROL!$C$9, $D$9, 100%, $F$9) + CHOOSE(CONTROL!$C$27, 0.0021, 0)</f>
        <v>46.6982</v>
      </c>
      <c r="E426" s="14">
        <f>46.5595 * CHOOSE(CONTROL!$C$9, $D$9, 100%, $F$9) + CHOOSE(CONTROL!$C$27, 0.0021, 0)</f>
        <v>46.561599999999999</v>
      </c>
      <c r="F426" s="14">
        <f>46.5595 * CHOOSE(CONTROL!$C$9, $D$9, 100%, $F$9) + CHOOSE(CONTROL!$C$27, 0.0021, 0)</f>
        <v>46.561599999999999</v>
      </c>
      <c r="G426" s="14">
        <f>46.8309 * CHOOSE(CONTROL!$C$9, $D$9, 100%, $F$9) + CHOOSE(CONTROL!$C$27, 0.0021, 0)</f>
        <v>46.832999999999998</v>
      </c>
      <c r="H426" s="14">
        <f>46.6961 * CHOOSE(CONTROL!$C$9, $D$9, 100%, $F$9) + CHOOSE(CONTROL!$C$27, 0.0021, 0)</f>
        <v>46.6982</v>
      </c>
      <c r="I426" s="14">
        <f>46.6961 * CHOOSE(CONTROL!$C$9, $D$9, 100%, $F$9) + CHOOSE(CONTROL!$C$27, 0.0021, 0)</f>
        <v>46.6982</v>
      </c>
      <c r="J426" s="14">
        <f>46.6961 * CHOOSE(CONTROL!$C$9, $D$9, 100%, $F$9) + CHOOSE(CONTROL!$C$27, 0.0021, 0)</f>
        <v>46.6982</v>
      </c>
      <c r="K426" s="14">
        <f>46.6961 * CHOOSE(CONTROL!$C$9, $D$9, 100%, $F$9) + CHOOSE(CONTROL!$C$27, 0.0021, 0)</f>
        <v>46.6982</v>
      </c>
      <c r="L426" s="14"/>
    </row>
    <row r="427" spans="1:12" ht="15.75" x14ac:dyDescent="0.25">
      <c r="A427" s="33">
        <v>53935</v>
      </c>
      <c r="B427" s="14">
        <f>47.3977 * CHOOSE(CONTROL!$C$9, $D$9, 100%, $F$9) + CHOOSE(CONTROL!$C$27, 0.0021, 0)</f>
        <v>47.399799999999999</v>
      </c>
      <c r="C427" s="14">
        <f>46.9655 * CHOOSE(CONTROL!$C$9, $D$9, 100%, $F$9) + CHOOSE(CONTROL!$C$27, 0.0021, 0)</f>
        <v>46.967599999999997</v>
      </c>
      <c r="D427" s="14">
        <f>46.9655 * CHOOSE(CONTROL!$C$9, $D$9, 100%, $F$9) + CHOOSE(CONTROL!$C$27, 0.0021, 0)</f>
        <v>46.967599999999997</v>
      </c>
      <c r="E427" s="14">
        <f>46.8288 * CHOOSE(CONTROL!$C$9, $D$9, 100%, $F$9) + CHOOSE(CONTROL!$C$27, 0.0021, 0)</f>
        <v>46.8309</v>
      </c>
      <c r="F427" s="14">
        <f>46.8288 * CHOOSE(CONTROL!$C$9, $D$9, 100%, $F$9) + CHOOSE(CONTROL!$C$27, 0.0021, 0)</f>
        <v>46.8309</v>
      </c>
      <c r="G427" s="14">
        <f>47.1002 * CHOOSE(CONTROL!$C$9, $D$9, 100%, $F$9) + CHOOSE(CONTROL!$C$27, 0.0021, 0)</f>
        <v>47.1023</v>
      </c>
      <c r="H427" s="14">
        <f>46.9655 * CHOOSE(CONTROL!$C$9, $D$9, 100%, $F$9) + CHOOSE(CONTROL!$C$27, 0.0021, 0)</f>
        <v>46.967599999999997</v>
      </c>
      <c r="I427" s="14">
        <f>46.9655 * CHOOSE(CONTROL!$C$9, $D$9, 100%, $F$9) + CHOOSE(CONTROL!$C$27, 0.0021, 0)</f>
        <v>46.967599999999997</v>
      </c>
      <c r="J427" s="14">
        <f>46.9655 * CHOOSE(CONTROL!$C$9, $D$9, 100%, $F$9) + CHOOSE(CONTROL!$C$27, 0.0021, 0)</f>
        <v>46.967599999999997</v>
      </c>
      <c r="K427" s="14">
        <f>46.9655 * CHOOSE(CONTROL!$C$9, $D$9, 100%, $F$9) + CHOOSE(CONTROL!$C$27, 0.0021, 0)</f>
        <v>46.967599999999997</v>
      </c>
      <c r="L427" s="14"/>
    </row>
    <row r="428" spans="1:12" ht="15.75" x14ac:dyDescent="0.25">
      <c r="A428" s="33">
        <v>53965</v>
      </c>
      <c r="B428" s="14">
        <f>48.3149 * CHOOSE(CONTROL!$C$9, $D$9, 100%, $F$9) + CHOOSE(CONTROL!$C$27, 0.0021, 0)</f>
        <v>48.317</v>
      </c>
      <c r="C428" s="14">
        <f>47.8827 * CHOOSE(CONTROL!$C$9, $D$9, 100%, $F$9) + CHOOSE(CONTROL!$C$27, 0.0021, 0)</f>
        <v>47.884799999999998</v>
      </c>
      <c r="D428" s="14">
        <f>47.8827 * CHOOSE(CONTROL!$C$9, $D$9, 100%, $F$9) + CHOOSE(CONTROL!$C$27, 0.0021, 0)</f>
        <v>47.884799999999998</v>
      </c>
      <c r="E428" s="14">
        <f>47.746 * CHOOSE(CONTROL!$C$9, $D$9, 100%, $F$9) + CHOOSE(CONTROL!$C$27, 0.0021, 0)</f>
        <v>47.748100000000001</v>
      </c>
      <c r="F428" s="14">
        <f>47.746 * CHOOSE(CONTROL!$C$9, $D$9, 100%, $F$9) + CHOOSE(CONTROL!$C$27, 0.0021, 0)</f>
        <v>47.748100000000001</v>
      </c>
      <c r="G428" s="14">
        <f>48.0174 * CHOOSE(CONTROL!$C$9, $D$9, 100%, $F$9) + CHOOSE(CONTROL!$C$27, 0.0021, 0)</f>
        <v>48.019500000000001</v>
      </c>
      <c r="H428" s="14">
        <f>47.8827 * CHOOSE(CONTROL!$C$9, $D$9, 100%, $F$9) + CHOOSE(CONTROL!$C$27, 0.0021, 0)</f>
        <v>47.884799999999998</v>
      </c>
      <c r="I428" s="14">
        <f>47.8827 * CHOOSE(CONTROL!$C$9, $D$9, 100%, $F$9) + CHOOSE(CONTROL!$C$27, 0.0021, 0)</f>
        <v>47.884799999999998</v>
      </c>
      <c r="J428" s="14">
        <f>47.8827 * CHOOSE(CONTROL!$C$9, $D$9, 100%, $F$9) + CHOOSE(CONTROL!$C$27, 0.0021, 0)</f>
        <v>47.884799999999998</v>
      </c>
      <c r="K428" s="14">
        <f>47.8827 * CHOOSE(CONTROL!$C$9, $D$9, 100%, $F$9) + CHOOSE(CONTROL!$C$27, 0.0021, 0)</f>
        <v>47.884799999999998</v>
      </c>
      <c r="L428" s="14"/>
    </row>
    <row r="429" spans="1:12" ht="15.75" x14ac:dyDescent="0.25">
      <c r="A429" s="33">
        <v>53996</v>
      </c>
      <c r="B429" s="14">
        <f>49.476 * CHOOSE(CONTROL!$C$9, $D$9, 100%, $F$9) + CHOOSE(CONTROL!$C$27, 0.0021, 0)</f>
        <v>49.478099999999998</v>
      </c>
      <c r="C429" s="14">
        <f>49.0437 * CHOOSE(CONTROL!$C$9, $D$9, 100%, $F$9) + CHOOSE(CONTROL!$C$27, 0.0021, 0)</f>
        <v>49.0458</v>
      </c>
      <c r="D429" s="14">
        <f>49.0437 * CHOOSE(CONTROL!$C$9, $D$9, 100%, $F$9) + CHOOSE(CONTROL!$C$27, 0.0021, 0)</f>
        <v>49.0458</v>
      </c>
      <c r="E429" s="14">
        <f>48.9071 * CHOOSE(CONTROL!$C$9, $D$9, 100%, $F$9) + CHOOSE(CONTROL!$C$27, 0.0021, 0)</f>
        <v>48.909199999999998</v>
      </c>
      <c r="F429" s="14">
        <f>48.9071 * CHOOSE(CONTROL!$C$9, $D$9, 100%, $F$9) + CHOOSE(CONTROL!$C$27, 0.0021, 0)</f>
        <v>48.909199999999998</v>
      </c>
      <c r="G429" s="14">
        <f>49.1784 * CHOOSE(CONTROL!$C$9, $D$9, 100%, $F$9) + CHOOSE(CONTROL!$C$27, 0.0021, 0)</f>
        <v>49.180500000000002</v>
      </c>
      <c r="H429" s="14">
        <f>49.0437 * CHOOSE(CONTROL!$C$9, $D$9, 100%, $F$9) + CHOOSE(CONTROL!$C$27, 0.0021, 0)</f>
        <v>49.0458</v>
      </c>
      <c r="I429" s="14">
        <f>49.0437 * CHOOSE(CONTROL!$C$9, $D$9, 100%, $F$9) + CHOOSE(CONTROL!$C$27, 0.0021, 0)</f>
        <v>49.0458</v>
      </c>
      <c r="J429" s="14">
        <f>49.0437 * CHOOSE(CONTROL!$C$9, $D$9, 100%, $F$9) + CHOOSE(CONTROL!$C$27, 0.0021, 0)</f>
        <v>49.0458</v>
      </c>
      <c r="K429" s="14">
        <f>49.0437 * CHOOSE(CONTROL!$C$9, $D$9, 100%, $F$9) + CHOOSE(CONTROL!$C$27, 0.0021, 0)</f>
        <v>49.0458</v>
      </c>
      <c r="L429" s="14"/>
    </row>
    <row r="430" spans="1:12" ht="15.75" x14ac:dyDescent="0.25">
      <c r="A430" s="33">
        <v>54026</v>
      </c>
      <c r="B430" s="14">
        <f>49.585 * CHOOSE(CONTROL!$C$9, $D$9, 100%, $F$9) + CHOOSE(CONTROL!$C$27, 0.0021, 0)</f>
        <v>49.5871</v>
      </c>
      <c r="C430" s="14">
        <f>49.1527 * CHOOSE(CONTROL!$C$9, $D$9, 100%, $F$9) + CHOOSE(CONTROL!$C$27, 0.0021, 0)</f>
        <v>49.154800000000002</v>
      </c>
      <c r="D430" s="14">
        <f>49.1527 * CHOOSE(CONTROL!$C$9, $D$9, 100%, $F$9) + CHOOSE(CONTROL!$C$27, 0.0021, 0)</f>
        <v>49.154800000000002</v>
      </c>
      <c r="E430" s="14">
        <f>49.0161 * CHOOSE(CONTROL!$C$9, $D$9, 100%, $F$9) + CHOOSE(CONTROL!$C$27, 0.0021, 0)</f>
        <v>49.0182</v>
      </c>
      <c r="F430" s="14">
        <f>49.0161 * CHOOSE(CONTROL!$C$9, $D$9, 100%, $F$9) + CHOOSE(CONTROL!$C$27, 0.0021, 0)</f>
        <v>49.0182</v>
      </c>
      <c r="G430" s="14">
        <f>49.2874 * CHOOSE(CONTROL!$C$9, $D$9, 100%, $F$9) + CHOOSE(CONTROL!$C$27, 0.0021, 0)</f>
        <v>49.289499999999997</v>
      </c>
      <c r="H430" s="14">
        <f>49.1527 * CHOOSE(CONTROL!$C$9, $D$9, 100%, $F$9) + CHOOSE(CONTROL!$C$27, 0.0021, 0)</f>
        <v>49.154800000000002</v>
      </c>
      <c r="I430" s="14">
        <f>49.1527 * CHOOSE(CONTROL!$C$9, $D$9, 100%, $F$9) + CHOOSE(CONTROL!$C$27, 0.0021, 0)</f>
        <v>49.154800000000002</v>
      </c>
      <c r="J430" s="14">
        <f>49.1527 * CHOOSE(CONTROL!$C$9, $D$9, 100%, $F$9) + CHOOSE(CONTROL!$C$27, 0.0021, 0)</f>
        <v>49.154800000000002</v>
      </c>
      <c r="K430" s="14">
        <f>49.1527 * CHOOSE(CONTROL!$C$9, $D$9, 100%, $F$9) + CHOOSE(CONTROL!$C$27, 0.0021, 0)</f>
        <v>49.154800000000002</v>
      </c>
      <c r="L430" s="14"/>
    </row>
    <row r="431" spans="1:12" ht="15.75" x14ac:dyDescent="0.25">
      <c r="A431" s="33">
        <v>54057</v>
      </c>
      <c r="B431" s="14">
        <f>48.6577 * CHOOSE(CONTROL!$C$9, $D$9, 100%, $F$9) + CHOOSE(CONTROL!$C$27, 0.0021, 0)</f>
        <v>48.659799999999997</v>
      </c>
      <c r="C431" s="14">
        <f>48.2254 * CHOOSE(CONTROL!$C$9, $D$9, 100%, $F$9) + CHOOSE(CONTROL!$C$27, 0.0021, 0)</f>
        <v>48.227499999999999</v>
      </c>
      <c r="D431" s="14">
        <f>48.2254 * CHOOSE(CONTROL!$C$9, $D$9, 100%, $F$9) + CHOOSE(CONTROL!$C$27, 0.0021, 0)</f>
        <v>48.227499999999999</v>
      </c>
      <c r="E431" s="14">
        <f>48.0888 * CHOOSE(CONTROL!$C$9, $D$9, 100%, $F$9) + CHOOSE(CONTROL!$C$27, 0.0021, 0)</f>
        <v>48.090899999999998</v>
      </c>
      <c r="F431" s="14">
        <f>48.0888 * CHOOSE(CONTROL!$C$9, $D$9, 100%, $F$9) + CHOOSE(CONTROL!$C$27, 0.0021, 0)</f>
        <v>48.090899999999998</v>
      </c>
      <c r="G431" s="14">
        <f>48.3601 * CHOOSE(CONTROL!$C$9, $D$9, 100%, $F$9) + CHOOSE(CONTROL!$C$27, 0.0021, 0)</f>
        <v>48.362200000000001</v>
      </c>
      <c r="H431" s="14">
        <f>48.2254 * CHOOSE(CONTROL!$C$9, $D$9, 100%, $F$9) + CHOOSE(CONTROL!$C$27, 0.0021, 0)</f>
        <v>48.227499999999999</v>
      </c>
      <c r="I431" s="14">
        <f>48.2254 * CHOOSE(CONTROL!$C$9, $D$9, 100%, $F$9) + CHOOSE(CONTROL!$C$27, 0.0021, 0)</f>
        <v>48.227499999999999</v>
      </c>
      <c r="J431" s="14">
        <f>48.2254 * CHOOSE(CONTROL!$C$9, $D$9, 100%, $F$9) + CHOOSE(CONTROL!$C$27, 0.0021, 0)</f>
        <v>48.227499999999999</v>
      </c>
      <c r="K431" s="14">
        <f>48.2254 * CHOOSE(CONTROL!$C$9, $D$9, 100%, $F$9) + CHOOSE(CONTROL!$C$27, 0.0021, 0)</f>
        <v>48.227499999999999</v>
      </c>
      <c r="L431" s="14"/>
    </row>
    <row r="432" spans="1:12" ht="15.75" x14ac:dyDescent="0.25">
      <c r="A432" s="33">
        <v>54088</v>
      </c>
      <c r="B432" s="14">
        <f>48.0502 * CHOOSE(CONTROL!$C$9, $D$9, 100%, $F$9) + CHOOSE(CONTROL!$C$27, 0.0021, 0)</f>
        <v>48.052299999999995</v>
      </c>
      <c r="C432" s="14">
        <f>47.6179 * CHOOSE(CONTROL!$C$9, $D$9, 100%, $F$9) + CHOOSE(CONTROL!$C$27, 0.0021, 0)</f>
        <v>47.62</v>
      </c>
      <c r="D432" s="14">
        <f>47.6179 * CHOOSE(CONTROL!$C$9, $D$9, 100%, $F$9) + CHOOSE(CONTROL!$C$27, 0.0021, 0)</f>
        <v>47.62</v>
      </c>
      <c r="E432" s="14">
        <f>47.4813 * CHOOSE(CONTROL!$C$9, $D$9, 100%, $F$9) + CHOOSE(CONTROL!$C$27, 0.0021, 0)</f>
        <v>47.483399999999996</v>
      </c>
      <c r="F432" s="14">
        <f>47.4813 * CHOOSE(CONTROL!$C$9, $D$9, 100%, $F$9) + CHOOSE(CONTROL!$C$27, 0.0021, 0)</f>
        <v>47.483399999999996</v>
      </c>
      <c r="G432" s="14">
        <f>47.7527 * CHOOSE(CONTROL!$C$9, $D$9, 100%, $F$9) + CHOOSE(CONTROL!$C$27, 0.0021, 0)</f>
        <v>47.754799999999996</v>
      </c>
      <c r="H432" s="14">
        <f>47.6179 * CHOOSE(CONTROL!$C$9, $D$9, 100%, $F$9) + CHOOSE(CONTROL!$C$27, 0.0021, 0)</f>
        <v>47.62</v>
      </c>
      <c r="I432" s="14">
        <f>47.6179 * CHOOSE(CONTROL!$C$9, $D$9, 100%, $F$9) + CHOOSE(CONTROL!$C$27, 0.0021, 0)</f>
        <v>47.62</v>
      </c>
      <c r="J432" s="14">
        <f>47.6179 * CHOOSE(CONTROL!$C$9, $D$9, 100%, $F$9) + CHOOSE(CONTROL!$C$27, 0.0021, 0)</f>
        <v>47.62</v>
      </c>
      <c r="K432" s="14">
        <f>47.6179 * CHOOSE(CONTROL!$C$9, $D$9, 100%, $F$9) + CHOOSE(CONTROL!$C$27, 0.0021, 0)</f>
        <v>47.62</v>
      </c>
      <c r="L432" s="14"/>
    </row>
    <row r="433" spans="1:12" ht="15.75" x14ac:dyDescent="0.25">
      <c r="A433" s="33">
        <v>54116</v>
      </c>
      <c r="B433" s="14">
        <f>46.7559 * CHOOSE(CONTROL!$C$9, $D$9, 100%, $F$9) + CHOOSE(CONTROL!$C$27, 0.0021, 0)</f>
        <v>46.757999999999996</v>
      </c>
      <c r="C433" s="14">
        <f>46.3237 * CHOOSE(CONTROL!$C$9, $D$9, 100%, $F$9) + CHOOSE(CONTROL!$C$27, 0.0021, 0)</f>
        <v>46.325800000000001</v>
      </c>
      <c r="D433" s="14">
        <f>46.3237 * CHOOSE(CONTROL!$C$9, $D$9, 100%, $F$9) + CHOOSE(CONTROL!$C$27, 0.0021, 0)</f>
        <v>46.325800000000001</v>
      </c>
      <c r="E433" s="14">
        <f>46.187 * CHOOSE(CONTROL!$C$9, $D$9, 100%, $F$9) + CHOOSE(CONTROL!$C$27, 0.0021, 0)</f>
        <v>46.189099999999996</v>
      </c>
      <c r="F433" s="14">
        <f>46.187 * CHOOSE(CONTROL!$C$9, $D$9, 100%, $F$9) + CHOOSE(CONTROL!$C$27, 0.0021, 0)</f>
        <v>46.189099999999996</v>
      </c>
      <c r="G433" s="14">
        <f>46.4584 * CHOOSE(CONTROL!$C$9, $D$9, 100%, $F$9) + CHOOSE(CONTROL!$C$27, 0.0021, 0)</f>
        <v>46.460499999999996</v>
      </c>
      <c r="H433" s="14">
        <f>46.3237 * CHOOSE(CONTROL!$C$9, $D$9, 100%, $F$9) + CHOOSE(CONTROL!$C$27, 0.0021, 0)</f>
        <v>46.325800000000001</v>
      </c>
      <c r="I433" s="14">
        <f>46.3237 * CHOOSE(CONTROL!$C$9, $D$9, 100%, $F$9) + CHOOSE(CONTROL!$C$27, 0.0021, 0)</f>
        <v>46.325800000000001</v>
      </c>
      <c r="J433" s="14">
        <f>46.3237 * CHOOSE(CONTROL!$C$9, $D$9, 100%, $F$9) + CHOOSE(CONTROL!$C$27, 0.0021, 0)</f>
        <v>46.325800000000001</v>
      </c>
      <c r="K433" s="14">
        <f>46.3237 * CHOOSE(CONTROL!$C$9, $D$9, 100%, $F$9) + CHOOSE(CONTROL!$C$27, 0.0021, 0)</f>
        <v>46.325800000000001</v>
      </c>
      <c r="L433" s="14"/>
    </row>
    <row r="434" spans="1:12" ht="15.75" x14ac:dyDescent="0.25">
      <c r="A434" s="33">
        <v>54148</v>
      </c>
      <c r="B434" s="14">
        <f>46.2216 * CHOOSE(CONTROL!$C$9, $D$9, 100%, $F$9) + CHOOSE(CONTROL!$C$27, 0.0021, 0)</f>
        <v>46.223700000000001</v>
      </c>
      <c r="C434" s="14">
        <f>45.7894 * CHOOSE(CONTROL!$C$9, $D$9, 100%, $F$9) + CHOOSE(CONTROL!$C$27, 0.0021, 0)</f>
        <v>45.791499999999999</v>
      </c>
      <c r="D434" s="14">
        <f>45.7894 * CHOOSE(CONTROL!$C$9, $D$9, 100%, $F$9) + CHOOSE(CONTROL!$C$27, 0.0021, 0)</f>
        <v>45.791499999999999</v>
      </c>
      <c r="E434" s="14">
        <f>45.6527 * CHOOSE(CONTROL!$C$9, $D$9, 100%, $F$9) + CHOOSE(CONTROL!$C$27, 0.0021, 0)</f>
        <v>45.654800000000002</v>
      </c>
      <c r="F434" s="14">
        <f>45.6527 * CHOOSE(CONTROL!$C$9, $D$9, 100%, $F$9) + CHOOSE(CONTROL!$C$27, 0.0021, 0)</f>
        <v>45.654800000000002</v>
      </c>
      <c r="G434" s="14">
        <f>45.9241 * CHOOSE(CONTROL!$C$9, $D$9, 100%, $F$9) + CHOOSE(CONTROL!$C$27, 0.0021, 0)</f>
        <v>45.926200000000001</v>
      </c>
      <c r="H434" s="14">
        <f>45.7894 * CHOOSE(CONTROL!$C$9, $D$9, 100%, $F$9) + CHOOSE(CONTROL!$C$27, 0.0021, 0)</f>
        <v>45.791499999999999</v>
      </c>
      <c r="I434" s="14">
        <f>45.7894 * CHOOSE(CONTROL!$C$9, $D$9, 100%, $F$9) + CHOOSE(CONTROL!$C$27, 0.0021, 0)</f>
        <v>45.791499999999999</v>
      </c>
      <c r="J434" s="14">
        <f>45.7894 * CHOOSE(CONTROL!$C$9, $D$9, 100%, $F$9) + CHOOSE(CONTROL!$C$27, 0.0021, 0)</f>
        <v>45.791499999999999</v>
      </c>
      <c r="K434" s="14">
        <f>45.7894 * CHOOSE(CONTROL!$C$9, $D$9, 100%, $F$9) + CHOOSE(CONTROL!$C$27, 0.0021, 0)</f>
        <v>45.791499999999999</v>
      </c>
      <c r="L434" s="14"/>
    </row>
    <row r="435" spans="1:12" ht="15.75" x14ac:dyDescent="0.25">
      <c r="A435" s="33">
        <v>54178</v>
      </c>
      <c r="B435" s="14">
        <f>45.5837 * CHOOSE(CONTROL!$C$9, $D$9, 100%, $F$9) + CHOOSE(CONTROL!$C$27, 0.0021, 0)</f>
        <v>45.585799999999999</v>
      </c>
      <c r="C435" s="14">
        <f>45.1514 * CHOOSE(CONTROL!$C$9, $D$9, 100%, $F$9) + CHOOSE(CONTROL!$C$27, 0.0021, 0)</f>
        <v>45.153500000000001</v>
      </c>
      <c r="D435" s="14">
        <f>45.1514 * CHOOSE(CONTROL!$C$9, $D$9, 100%, $F$9) + CHOOSE(CONTROL!$C$27, 0.0021, 0)</f>
        <v>45.153500000000001</v>
      </c>
      <c r="E435" s="14">
        <f>45.0148 * CHOOSE(CONTROL!$C$9, $D$9, 100%, $F$9) + CHOOSE(CONTROL!$C$27, 0.0021, 0)</f>
        <v>45.0169</v>
      </c>
      <c r="F435" s="14">
        <f>45.0148 * CHOOSE(CONTROL!$C$9, $D$9, 100%, $F$9) + CHOOSE(CONTROL!$C$27, 0.0021, 0)</f>
        <v>45.0169</v>
      </c>
      <c r="G435" s="14">
        <f>45.2862 * CHOOSE(CONTROL!$C$9, $D$9, 100%, $F$9) + CHOOSE(CONTROL!$C$27, 0.0021, 0)</f>
        <v>45.2883</v>
      </c>
      <c r="H435" s="14">
        <f>45.1514 * CHOOSE(CONTROL!$C$9, $D$9, 100%, $F$9) + CHOOSE(CONTROL!$C$27, 0.0021, 0)</f>
        <v>45.153500000000001</v>
      </c>
      <c r="I435" s="14">
        <f>45.1514 * CHOOSE(CONTROL!$C$9, $D$9, 100%, $F$9) + CHOOSE(CONTROL!$C$27, 0.0021, 0)</f>
        <v>45.153500000000001</v>
      </c>
      <c r="J435" s="14">
        <f>45.1514 * CHOOSE(CONTROL!$C$9, $D$9, 100%, $F$9) + CHOOSE(CONTROL!$C$27, 0.0021, 0)</f>
        <v>45.153500000000001</v>
      </c>
      <c r="K435" s="14">
        <f>45.1514 * CHOOSE(CONTROL!$C$9, $D$9, 100%, $F$9) + CHOOSE(CONTROL!$C$27, 0.0021, 0)</f>
        <v>45.153500000000001</v>
      </c>
      <c r="L435" s="14"/>
    </row>
    <row r="436" spans="1:12" ht="15.75" x14ac:dyDescent="0.25">
      <c r="A436" s="33">
        <v>54209</v>
      </c>
      <c r="B436" s="14">
        <f>46.4928 * CHOOSE(CONTROL!$C$9, $D$9, 100%, $F$9) + CHOOSE(CONTROL!$C$27, 0.0021, 0)</f>
        <v>46.494900000000001</v>
      </c>
      <c r="C436" s="14">
        <f>46.0606 * CHOOSE(CONTROL!$C$9, $D$9, 100%, $F$9) + CHOOSE(CONTROL!$C$27, 0.0021, 0)</f>
        <v>46.0627</v>
      </c>
      <c r="D436" s="14">
        <f>46.0606 * CHOOSE(CONTROL!$C$9, $D$9, 100%, $F$9) + CHOOSE(CONTROL!$C$27, 0.0021, 0)</f>
        <v>46.0627</v>
      </c>
      <c r="E436" s="14">
        <f>45.9239 * CHOOSE(CONTROL!$C$9, $D$9, 100%, $F$9) + CHOOSE(CONTROL!$C$27, 0.0021, 0)</f>
        <v>45.926000000000002</v>
      </c>
      <c r="F436" s="14">
        <f>45.9239 * CHOOSE(CONTROL!$C$9, $D$9, 100%, $F$9) + CHOOSE(CONTROL!$C$27, 0.0021, 0)</f>
        <v>45.926000000000002</v>
      </c>
      <c r="G436" s="14">
        <f>46.1953 * CHOOSE(CONTROL!$C$9, $D$9, 100%, $F$9) + CHOOSE(CONTROL!$C$27, 0.0021, 0)</f>
        <v>46.197400000000002</v>
      </c>
      <c r="H436" s="14">
        <f>46.0606 * CHOOSE(CONTROL!$C$9, $D$9, 100%, $F$9) + CHOOSE(CONTROL!$C$27, 0.0021, 0)</f>
        <v>46.0627</v>
      </c>
      <c r="I436" s="14">
        <f>46.0606 * CHOOSE(CONTROL!$C$9, $D$9, 100%, $F$9) + CHOOSE(CONTROL!$C$27, 0.0021, 0)</f>
        <v>46.0627</v>
      </c>
      <c r="J436" s="14">
        <f>46.0606 * CHOOSE(CONTROL!$C$9, $D$9, 100%, $F$9) + CHOOSE(CONTROL!$C$27, 0.0021, 0)</f>
        <v>46.0627</v>
      </c>
      <c r="K436" s="14">
        <f>46.0606 * CHOOSE(CONTROL!$C$9, $D$9, 100%, $F$9) + CHOOSE(CONTROL!$C$27, 0.0021, 0)</f>
        <v>46.0627</v>
      </c>
      <c r="L436" s="14"/>
    </row>
    <row r="437" spans="1:12" ht="15.75" x14ac:dyDescent="0.25">
      <c r="A437" s="33">
        <v>54239</v>
      </c>
      <c r="B437" s="14">
        <f>47.0374 * CHOOSE(CONTROL!$C$9, $D$9, 100%, $F$9) + CHOOSE(CONTROL!$C$27, 0.0021, 0)</f>
        <v>47.039499999999997</v>
      </c>
      <c r="C437" s="14">
        <f>46.6051 * CHOOSE(CONTROL!$C$9, $D$9, 100%, $F$9) + CHOOSE(CONTROL!$C$27, 0.0021, 0)</f>
        <v>46.607199999999999</v>
      </c>
      <c r="D437" s="14">
        <f>46.6051 * CHOOSE(CONTROL!$C$9, $D$9, 100%, $F$9) + CHOOSE(CONTROL!$C$27, 0.0021, 0)</f>
        <v>46.607199999999999</v>
      </c>
      <c r="E437" s="14">
        <f>46.4685 * CHOOSE(CONTROL!$C$9, $D$9, 100%, $F$9) + CHOOSE(CONTROL!$C$27, 0.0021, 0)</f>
        <v>46.470599999999997</v>
      </c>
      <c r="F437" s="14">
        <f>46.4685 * CHOOSE(CONTROL!$C$9, $D$9, 100%, $F$9) + CHOOSE(CONTROL!$C$27, 0.0021, 0)</f>
        <v>46.470599999999997</v>
      </c>
      <c r="G437" s="14">
        <f>46.7398 * CHOOSE(CONTROL!$C$9, $D$9, 100%, $F$9) + CHOOSE(CONTROL!$C$27, 0.0021, 0)</f>
        <v>46.741900000000001</v>
      </c>
      <c r="H437" s="14">
        <f>46.6051 * CHOOSE(CONTROL!$C$9, $D$9, 100%, $F$9) + CHOOSE(CONTROL!$C$27, 0.0021, 0)</f>
        <v>46.607199999999999</v>
      </c>
      <c r="I437" s="14">
        <f>46.6051 * CHOOSE(CONTROL!$C$9, $D$9, 100%, $F$9) + CHOOSE(CONTROL!$C$27, 0.0021, 0)</f>
        <v>46.607199999999999</v>
      </c>
      <c r="J437" s="14">
        <f>46.6051 * CHOOSE(CONTROL!$C$9, $D$9, 100%, $F$9) + CHOOSE(CONTROL!$C$27, 0.0021, 0)</f>
        <v>46.607199999999999</v>
      </c>
      <c r="K437" s="14">
        <f>46.6051 * CHOOSE(CONTROL!$C$9, $D$9, 100%, $F$9) + CHOOSE(CONTROL!$C$27, 0.0021, 0)</f>
        <v>46.607199999999999</v>
      </c>
      <c r="L437" s="14"/>
    </row>
    <row r="438" spans="1:12" ht="15.75" x14ac:dyDescent="0.25">
      <c r="A438" s="33">
        <v>54270</v>
      </c>
      <c r="B438" s="14">
        <f>47.9357 * CHOOSE(CONTROL!$C$9, $D$9, 100%, $F$9) + CHOOSE(CONTROL!$C$27, 0.0021, 0)</f>
        <v>47.937799999999996</v>
      </c>
      <c r="C438" s="14">
        <f>47.5034 * CHOOSE(CONTROL!$C$9, $D$9, 100%, $F$9) + CHOOSE(CONTROL!$C$27, 0.0021, 0)</f>
        <v>47.505499999999998</v>
      </c>
      <c r="D438" s="14">
        <f>47.5034 * CHOOSE(CONTROL!$C$9, $D$9, 100%, $F$9) + CHOOSE(CONTROL!$C$27, 0.0021, 0)</f>
        <v>47.505499999999998</v>
      </c>
      <c r="E438" s="14">
        <f>47.3667 * CHOOSE(CONTROL!$C$9, $D$9, 100%, $F$9) + CHOOSE(CONTROL!$C$27, 0.0021, 0)</f>
        <v>47.3688</v>
      </c>
      <c r="F438" s="14">
        <f>47.3667 * CHOOSE(CONTROL!$C$9, $D$9, 100%, $F$9) + CHOOSE(CONTROL!$C$27, 0.0021, 0)</f>
        <v>47.3688</v>
      </c>
      <c r="G438" s="14">
        <f>47.6381 * CHOOSE(CONTROL!$C$9, $D$9, 100%, $F$9) + CHOOSE(CONTROL!$C$27, 0.0021, 0)</f>
        <v>47.6402</v>
      </c>
      <c r="H438" s="14">
        <f>47.5034 * CHOOSE(CONTROL!$C$9, $D$9, 100%, $F$9) + CHOOSE(CONTROL!$C$27, 0.0021, 0)</f>
        <v>47.505499999999998</v>
      </c>
      <c r="I438" s="14">
        <f>47.5034 * CHOOSE(CONTROL!$C$9, $D$9, 100%, $F$9) + CHOOSE(CONTROL!$C$27, 0.0021, 0)</f>
        <v>47.505499999999998</v>
      </c>
      <c r="J438" s="14">
        <f>47.5034 * CHOOSE(CONTROL!$C$9, $D$9, 100%, $F$9) + CHOOSE(CONTROL!$C$27, 0.0021, 0)</f>
        <v>47.505499999999998</v>
      </c>
      <c r="K438" s="14">
        <f>47.5034 * CHOOSE(CONTROL!$C$9, $D$9, 100%, $F$9) + CHOOSE(CONTROL!$C$27, 0.0021, 0)</f>
        <v>47.505499999999998</v>
      </c>
      <c r="L438" s="14"/>
    </row>
    <row r="439" spans="1:12" ht="15.75" x14ac:dyDescent="0.25">
      <c r="A439" s="33">
        <v>54301</v>
      </c>
      <c r="B439" s="14">
        <f>48.2098 * CHOOSE(CONTROL!$C$9, $D$9, 100%, $F$9) + CHOOSE(CONTROL!$C$27, 0.0021, 0)</f>
        <v>48.2119</v>
      </c>
      <c r="C439" s="14">
        <f>47.7776 * CHOOSE(CONTROL!$C$9, $D$9, 100%, $F$9) + CHOOSE(CONTROL!$C$27, 0.0021, 0)</f>
        <v>47.779699999999998</v>
      </c>
      <c r="D439" s="14">
        <f>47.7776 * CHOOSE(CONTROL!$C$9, $D$9, 100%, $F$9) + CHOOSE(CONTROL!$C$27, 0.0021, 0)</f>
        <v>47.779699999999998</v>
      </c>
      <c r="E439" s="14">
        <f>47.6409 * CHOOSE(CONTROL!$C$9, $D$9, 100%, $F$9) + CHOOSE(CONTROL!$C$27, 0.0021, 0)</f>
        <v>47.643000000000001</v>
      </c>
      <c r="F439" s="14">
        <f>47.6409 * CHOOSE(CONTROL!$C$9, $D$9, 100%, $F$9) + CHOOSE(CONTROL!$C$27, 0.0021, 0)</f>
        <v>47.643000000000001</v>
      </c>
      <c r="G439" s="14">
        <f>47.9123 * CHOOSE(CONTROL!$C$9, $D$9, 100%, $F$9) + CHOOSE(CONTROL!$C$27, 0.0021, 0)</f>
        <v>47.914400000000001</v>
      </c>
      <c r="H439" s="14">
        <f>47.7776 * CHOOSE(CONTROL!$C$9, $D$9, 100%, $F$9) + CHOOSE(CONTROL!$C$27, 0.0021, 0)</f>
        <v>47.779699999999998</v>
      </c>
      <c r="I439" s="14">
        <f>47.7776 * CHOOSE(CONTROL!$C$9, $D$9, 100%, $F$9) + CHOOSE(CONTROL!$C$27, 0.0021, 0)</f>
        <v>47.779699999999998</v>
      </c>
      <c r="J439" s="14">
        <f>47.7776 * CHOOSE(CONTROL!$C$9, $D$9, 100%, $F$9) + CHOOSE(CONTROL!$C$27, 0.0021, 0)</f>
        <v>47.779699999999998</v>
      </c>
      <c r="K439" s="14">
        <f>47.7776 * CHOOSE(CONTROL!$C$9, $D$9, 100%, $F$9) + CHOOSE(CONTROL!$C$27, 0.0021, 0)</f>
        <v>47.779699999999998</v>
      </c>
      <c r="L439" s="14"/>
    </row>
    <row r="440" spans="1:12" ht="15.75" x14ac:dyDescent="0.25">
      <c r="A440" s="33">
        <v>54331</v>
      </c>
      <c r="B440" s="14">
        <f>49.1436 * CHOOSE(CONTROL!$C$9, $D$9, 100%, $F$9) + CHOOSE(CONTROL!$C$27, 0.0021, 0)</f>
        <v>49.145699999999998</v>
      </c>
      <c r="C440" s="14">
        <f>48.7113 * CHOOSE(CONTROL!$C$9, $D$9, 100%, $F$9) + CHOOSE(CONTROL!$C$27, 0.0021, 0)</f>
        <v>48.7134</v>
      </c>
      <c r="D440" s="14">
        <f>48.7113 * CHOOSE(CONTROL!$C$9, $D$9, 100%, $F$9) + CHOOSE(CONTROL!$C$27, 0.0021, 0)</f>
        <v>48.7134</v>
      </c>
      <c r="E440" s="14">
        <f>48.5747 * CHOOSE(CONTROL!$C$9, $D$9, 100%, $F$9) + CHOOSE(CONTROL!$C$27, 0.0021, 0)</f>
        <v>48.576799999999999</v>
      </c>
      <c r="F440" s="14">
        <f>48.5747 * CHOOSE(CONTROL!$C$9, $D$9, 100%, $F$9) + CHOOSE(CONTROL!$C$27, 0.0021, 0)</f>
        <v>48.576799999999999</v>
      </c>
      <c r="G440" s="14">
        <f>48.846 * CHOOSE(CONTROL!$C$9, $D$9, 100%, $F$9) + CHOOSE(CONTROL!$C$27, 0.0021, 0)</f>
        <v>48.848099999999995</v>
      </c>
      <c r="H440" s="14">
        <f>48.7113 * CHOOSE(CONTROL!$C$9, $D$9, 100%, $F$9) + CHOOSE(CONTROL!$C$27, 0.0021, 0)</f>
        <v>48.7134</v>
      </c>
      <c r="I440" s="14">
        <f>48.7113 * CHOOSE(CONTROL!$C$9, $D$9, 100%, $F$9) + CHOOSE(CONTROL!$C$27, 0.0021, 0)</f>
        <v>48.7134</v>
      </c>
      <c r="J440" s="14">
        <f>48.7113 * CHOOSE(CONTROL!$C$9, $D$9, 100%, $F$9) + CHOOSE(CONTROL!$C$27, 0.0021, 0)</f>
        <v>48.7134</v>
      </c>
      <c r="K440" s="14">
        <f>48.7113 * CHOOSE(CONTROL!$C$9, $D$9, 100%, $F$9) + CHOOSE(CONTROL!$C$27, 0.0021, 0)</f>
        <v>48.7134</v>
      </c>
      <c r="L440" s="14"/>
    </row>
    <row r="441" spans="1:12" ht="15.75" x14ac:dyDescent="0.25">
      <c r="A441" s="33">
        <v>54362</v>
      </c>
      <c r="B441" s="14">
        <f>50.3255 * CHOOSE(CONTROL!$C$9, $D$9, 100%, $F$9) + CHOOSE(CONTROL!$C$27, 0.0021, 0)</f>
        <v>50.327599999999997</v>
      </c>
      <c r="C441" s="14">
        <f>49.8933 * CHOOSE(CONTROL!$C$9, $D$9, 100%, $F$9) + CHOOSE(CONTROL!$C$27, 0.0021, 0)</f>
        <v>49.895400000000002</v>
      </c>
      <c r="D441" s="14">
        <f>49.8933 * CHOOSE(CONTROL!$C$9, $D$9, 100%, $F$9) + CHOOSE(CONTROL!$C$27, 0.0021, 0)</f>
        <v>49.895400000000002</v>
      </c>
      <c r="E441" s="14">
        <f>49.7566 * CHOOSE(CONTROL!$C$9, $D$9, 100%, $F$9) + CHOOSE(CONTROL!$C$27, 0.0021, 0)</f>
        <v>49.758699999999997</v>
      </c>
      <c r="F441" s="14">
        <f>49.7566 * CHOOSE(CONTROL!$C$9, $D$9, 100%, $F$9) + CHOOSE(CONTROL!$C$27, 0.0021, 0)</f>
        <v>49.758699999999997</v>
      </c>
      <c r="G441" s="14">
        <f>50.028 * CHOOSE(CONTROL!$C$9, $D$9, 100%, $F$9) + CHOOSE(CONTROL!$C$27, 0.0021, 0)</f>
        <v>50.030099999999997</v>
      </c>
      <c r="H441" s="14">
        <f>49.8933 * CHOOSE(CONTROL!$C$9, $D$9, 100%, $F$9) + CHOOSE(CONTROL!$C$27, 0.0021, 0)</f>
        <v>49.895400000000002</v>
      </c>
      <c r="I441" s="14">
        <f>49.8933 * CHOOSE(CONTROL!$C$9, $D$9, 100%, $F$9) + CHOOSE(CONTROL!$C$27, 0.0021, 0)</f>
        <v>49.895400000000002</v>
      </c>
      <c r="J441" s="14">
        <f>49.8933 * CHOOSE(CONTROL!$C$9, $D$9, 100%, $F$9) + CHOOSE(CONTROL!$C$27, 0.0021, 0)</f>
        <v>49.895400000000002</v>
      </c>
      <c r="K441" s="14">
        <f>49.8933 * CHOOSE(CONTROL!$C$9, $D$9, 100%, $F$9) + CHOOSE(CONTROL!$C$27, 0.0021, 0)</f>
        <v>49.895400000000002</v>
      </c>
      <c r="L441" s="14"/>
    </row>
    <row r="442" spans="1:12" ht="15.75" x14ac:dyDescent="0.25">
      <c r="A442" s="33">
        <v>54392</v>
      </c>
      <c r="B442" s="14">
        <f>50.4365 * CHOOSE(CONTROL!$C$9, $D$9, 100%, $F$9) + CHOOSE(CONTROL!$C$27, 0.0021, 0)</f>
        <v>50.438600000000001</v>
      </c>
      <c r="C442" s="14">
        <f>50.0042 * CHOOSE(CONTROL!$C$9, $D$9, 100%, $F$9) + CHOOSE(CONTROL!$C$27, 0.0021, 0)</f>
        <v>50.006299999999996</v>
      </c>
      <c r="D442" s="14">
        <f>50.0042 * CHOOSE(CONTROL!$C$9, $D$9, 100%, $F$9) + CHOOSE(CONTROL!$C$27, 0.0021, 0)</f>
        <v>50.006299999999996</v>
      </c>
      <c r="E442" s="14">
        <f>49.8676 * CHOOSE(CONTROL!$C$9, $D$9, 100%, $F$9) + CHOOSE(CONTROL!$C$27, 0.0021, 0)</f>
        <v>49.869700000000002</v>
      </c>
      <c r="F442" s="14">
        <f>49.8676 * CHOOSE(CONTROL!$C$9, $D$9, 100%, $F$9) + CHOOSE(CONTROL!$C$27, 0.0021, 0)</f>
        <v>49.869700000000002</v>
      </c>
      <c r="G442" s="14">
        <f>50.1389 * CHOOSE(CONTROL!$C$9, $D$9, 100%, $F$9) + CHOOSE(CONTROL!$C$27, 0.0021, 0)</f>
        <v>50.140999999999998</v>
      </c>
      <c r="H442" s="14">
        <f>50.0042 * CHOOSE(CONTROL!$C$9, $D$9, 100%, $F$9) + CHOOSE(CONTROL!$C$27, 0.0021, 0)</f>
        <v>50.006299999999996</v>
      </c>
      <c r="I442" s="14">
        <f>50.0042 * CHOOSE(CONTROL!$C$9, $D$9, 100%, $F$9) + CHOOSE(CONTROL!$C$27, 0.0021, 0)</f>
        <v>50.006299999999996</v>
      </c>
      <c r="J442" s="14">
        <f>50.0042 * CHOOSE(CONTROL!$C$9, $D$9, 100%, $F$9) + CHOOSE(CONTROL!$C$27, 0.0021, 0)</f>
        <v>50.006299999999996</v>
      </c>
      <c r="K442" s="14">
        <f>50.0042 * CHOOSE(CONTROL!$C$9, $D$9, 100%, $F$9) + CHOOSE(CONTROL!$C$27, 0.0021, 0)</f>
        <v>50.006299999999996</v>
      </c>
      <c r="L442" s="14"/>
    </row>
    <row r="443" spans="1:12" ht="15.75" x14ac:dyDescent="0.25">
      <c r="A443" s="33">
        <v>54423</v>
      </c>
      <c r="B443" s="14">
        <f>49.4925 * CHOOSE(CONTROL!$C$9, $D$9, 100%, $F$9) + CHOOSE(CONTROL!$C$27, 0.0021, 0)</f>
        <v>49.494599999999998</v>
      </c>
      <c r="C443" s="14">
        <f>49.0602 * CHOOSE(CONTROL!$C$9, $D$9, 100%, $F$9) + CHOOSE(CONTROL!$C$27, 0.0021, 0)</f>
        <v>49.0623</v>
      </c>
      <c r="D443" s="14">
        <f>49.0602 * CHOOSE(CONTROL!$C$9, $D$9, 100%, $F$9) + CHOOSE(CONTROL!$C$27, 0.0021, 0)</f>
        <v>49.0623</v>
      </c>
      <c r="E443" s="14">
        <f>48.9236 * CHOOSE(CONTROL!$C$9, $D$9, 100%, $F$9) + CHOOSE(CONTROL!$C$27, 0.0021, 0)</f>
        <v>48.925699999999999</v>
      </c>
      <c r="F443" s="14">
        <f>48.9236 * CHOOSE(CONTROL!$C$9, $D$9, 100%, $F$9) + CHOOSE(CONTROL!$C$27, 0.0021, 0)</f>
        <v>48.925699999999999</v>
      </c>
      <c r="G443" s="14">
        <f>49.1949 * CHOOSE(CONTROL!$C$9, $D$9, 100%, $F$9) + CHOOSE(CONTROL!$C$27, 0.0021, 0)</f>
        <v>49.196999999999996</v>
      </c>
      <c r="H443" s="14">
        <f>49.0602 * CHOOSE(CONTROL!$C$9, $D$9, 100%, $F$9) + CHOOSE(CONTROL!$C$27, 0.0021, 0)</f>
        <v>49.0623</v>
      </c>
      <c r="I443" s="14">
        <f>49.0602 * CHOOSE(CONTROL!$C$9, $D$9, 100%, $F$9) + CHOOSE(CONTROL!$C$27, 0.0021, 0)</f>
        <v>49.0623</v>
      </c>
      <c r="J443" s="14">
        <f>49.0602 * CHOOSE(CONTROL!$C$9, $D$9, 100%, $F$9) + CHOOSE(CONTROL!$C$27, 0.0021, 0)</f>
        <v>49.0623</v>
      </c>
      <c r="K443" s="14">
        <f>49.0602 * CHOOSE(CONTROL!$C$9, $D$9, 100%, $F$9) + CHOOSE(CONTROL!$C$27, 0.0021, 0)</f>
        <v>49.0623</v>
      </c>
      <c r="L443" s="14"/>
    </row>
    <row r="444" spans="1:12" ht="15.75" x14ac:dyDescent="0.25">
      <c r="A444" s="33">
        <v>54454</v>
      </c>
      <c r="B444" s="14">
        <f>48.8741 * CHOOSE(CONTROL!$C$9, $D$9, 100%, $F$9) + CHOOSE(CONTROL!$C$27, 0.0021, 0)</f>
        <v>48.876199999999997</v>
      </c>
      <c r="C444" s="14">
        <f>48.4418 * CHOOSE(CONTROL!$C$9, $D$9, 100%, $F$9) + CHOOSE(CONTROL!$C$27, 0.0021, 0)</f>
        <v>48.443899999999999</v>
      </c>
      <c r="D444" s="14">
        <f>48.4418 * CHOOSE(CONTROL!$C$9, $D$9, 100%, $F$9) + CHOOSE(CONTROL!$C$27, 0.0021, 0)</f>
        <v>48.443899999999999</v>
      </c>
      <c r="E444" s="14">
        <f>48.3051 * CHOOSE(CONTROL!$C$9, $D$9, 100%, $F$9) + CHOOSE(CONTROL!$C$27, 0.0021, 0)</f>
        <v>48.307200000000002</v>
      </c>
      <c r="F444" s="14">
        <f>48.3051 * CHOOSE(CONTROL!$C$9, $D$9, 100%, $F$9) + CHOOSE(CONTROL!$C$27, 0.0021, 0)</f>
        <v>48.307200000000002</v>
      </c>
      <c r="G444" s="14">
        <f>48.5765 * CHOOSE(CONTROL!$C$9, $D$9, 100%, $F$9) + CHOOSE(CONTROL!$C$27, 0.0021, 0)</f>
        <v>48.578600000000002</v>
      </c>
      <c r="H444" s="14">
        <f>48.4418 * CHOOSE(CONTROL!$C$9, $D$9, 100%, $F$9) + CHOOSE(CONTROL!$C$27, 0.0021, 0)</f>
        <v>48.443899999999999</v>
      </c>
      <c r="I444" s="14">
        <f>48.4418 * CHOOSE(CONTROL!$C$9, $D$9, 100%, $F$9) + CHOOSE(CONTROL!$C$27, 0.0021, 0)</f>
        <v>48.443899999999999</v>
      </c>
      <c r="J444" s="14">
        <f>48.4418 * CHOOSE(CONTROL!$C$9, $D$9, 100%, $F$9) + CHOOSE(CONTROL!$C$27, 0.0021, 0)</f>
        <v>48.443899999999999</v>
      </c>
      <c r="K444" s="14">
        <f>48.4418 * CHOOSE(CONTROL!$C$9, $D$9, 100%, $F$9) + CHOOSE(CONTROL!$C$27, 0.0021, 0)</f>
        <v>48.443899999999999</v>
      </c>
      <c r="L444" s="14"/>
    </row>
    <row r="445" spans="1:12" ht="15.75" x14ac:dyDescent="0.25">
      <c r="A445" s="33">
        <v>54482</v>
      </c>
      <c r="B445" s="14">
        <f>47.5565 * CHOOSE(CONTROL!$C$9, $D$9, 100%, $F$9) + CHOOSE(CONTROL!$C$27, 0.0021, 0)</f>
        <v>47.558599999999998</v>
      </c>
      <c r="C445" s="14">
        <f>47.1242 * CHOOSE(CONTROL!$C$9, $D$9, 100%, $F$9) + CHOOSE(CONTROL!$C$27, 0.0021, 0)</f>
        <v>47.126300000000001</v>
      </c>
      <c r="D445" s="14">
        <f>47.1242 * CHOOSE(CONTROL!$C$9, $D$9, 100%, $F$9) + CHOOSE(CONTROL!$C$27, 0.0021, 0)</f>
        <v>47.126300000000001</v>
      </c>
      <c r="E445" s="14">
        <f>46.9876 * CHOOSE(CONTROL!$C$9, $D$9, 100%, $F$9) + CHOOSE(CONTROL!$C$27, 0.0021, 0)</f>
        <v>46.989699999999999</v>
      </c>
      <c r="F445" s="14">
        <f>46.9876 * CHOOSE(CONTROL!$C$9, $D$9, 100%, $F$9) + CHOOSE(CONTROL!$C$27, 0.0021, 0)</f>
        <v>46.989699999999999</v>
      </c>
      <c r="G445" s="14">
        <f>47.2589 * CHOOSE(CONTROL!$C$9, $D$9, 100%, $F$9) + CHOOSE(CONTROL!$C$27, 0.0021, 0)</f>
        <v>47.260999999999996</v>
      </c>
      <c r="H445" s="14">
        <f>47.1242 * CHOOSE(CONTROL!$C$9, $D$9, 100%, $F$9) + CHOOSE(CONTROL!$C$27, 0.0021, 0)</f>
        <v>47.126300000000001</v>
      </c>
      <c r="I445" s="14">
        <f>47.1242 * CHOOSE(CONTROL!$C$9, $D$9, 100%, $F$9) + CHOOSE(CONTROL!$C$27, 0.0021, 0)</f>
        <v>47.126300000000001</v>
      </c>
      <c r="J445" s="14">
        <f>47.1242 * CHOOSE(CONTROL!$C$9, $D$9, 100%, $F$9) + CHOOSE(CONTROL!$C$27, 0.0021, 0)</f>
        <v>47.126300000000001</v>
      </c>
      <c r="K445" s="14">
        <f>47.1242 * CHOOSE(CONTROL!$C$9, $D$9, 100%, $F$9) + CHOOSE(CONTROL!$C$27, 0.0021, 0)</f>
        <v>47.126300000000001</v>
      </c>
      <c r="L445" s="14"/>
    </row>
    <row r="446" spans="1:12" ht="15.75" x14ac:dyDescent="0.25">
      <c r="A446" s="33">
        <v>54513</v>
      </c>
      <c r="B446" s="14">
        <f>47.0126 * CHOOSE(CONTROL!$C$9, $D$9, 100%, $F$9) + CHOOSE(CONTROL!$C$27, 0.0021, 0)</f>
        <v>47.014699999999998</v>
      </c>
      <c r="C446" s="14">
        <f>46.5803 * CHOOSE(CONTROL!$C$9, $D$9, 100%, $F$9) + CHOOSE(CONTROL!$C$27, 0.0021, 0)</f>
        <v>46.5824</v>
      </c>
      <c r="D446" s="14">
        <f>46.5803 * CHOOSE(CONTROL!$C$9, $D$9, 100%, $F$9) + CHOOSE(CONTROL!$C$27, 0.0021, 0)</f>
        <v>46.5824</v>
      </c>
      <c r="E446" s="14">
        <f>46.4437 * CHOOSE(CONTROL!$C$9, $D$9, 100%, $F$9) + CHOOSE(CONTROL!$C$27, 0.0021, 0)</f>
        <v>46.445799999999998</v>
      </c>
      <c r="F446" s="14">
        <f>46.4437 * CHOOSE(CONTROL!$C$9, $D$9, 100%, $F$9) + CHOOSE(CONTROL!$C$27, 0.0021, 0)</f>
        <v>46.445799999999998</v>
      </c>
      <c r="G446" s="14">
        <f>46.715 * CHOOSE(CONTROL!$C$9, $D$9, 100%, $F$9) + CHOOSE(CONTROL!$C$27, 0.0021, 0)</f>
        <v>46.717100000000002</v>
      </c>
      <c r="H446" s="14">
        <f>46.5803 * CHOOSE(CONTROL!$C$9, $D$9, 100%, $F$9) + CHOOSE(CONTROL!$C$27, 0.0021, 0)</f>
        <v>46.5824</v>
      </c>
      <c r="I446" s="14">
        <f>46.5803 * CHOOSE(CONTROL!$C$9, $D$9, 100%, $F$9) + CHOOSE(CONTROL!$C$27, 0.0021, 0)</f>
        <v>46.5824</v>
      </c>
      <c r="J446" s="14">
        <f>46.5803 * CHOOSE(CONTROL!$C$9, $D$9, 100%, $F$9) + CHOOSE(CONTROL!$C$27, 0.0021, 0)</f>
        <v>46.5824</v>
      </c>
      <c r="K446" s="14">
        <f>46.5803 * CHOOSE(CONTROL!$C$9, $D$9, 100%, $F$9) + CHOOSE(CONTROL!$C$27, 0.0021, 0)</f>
        <v>46.5824</v>
      </c>
      <c r="L446" s="14"/>
    </row>
    <row r="447" spans="1:12" ht="15.75" x14ac:dyDescent="0.25">
      <c r="A447" s="33">
        <v>54543</v>
      </c>
      <c r="B447" s="14">
        <f>46.3631 * CHOOSE(CONTROL!$C$9, $D$9, 100%, $F$9) + CHOOSE(CONTROL!$C$27, 0.0021, 0)</f>
        <v>46.365200000000002</v>
      </c>
      <c r="C447" s="14">
        <f>45.9309 * CHOOSE(CONTROL!$C$9, $D$9, 100%, $F$9) + CHOOSE(CONTROL!$C$27, 0.0021, 0)</f>
        <v>45.933</v>
      </c>
      <c r="D447" s="14">
        <f>45.9309 * CHOOSE(CONTROL!$C$9, $D$9, 100%, $F$9) + CHOOSE(CONTROL!$C$27, 0.0021, 0)</f>
        <v>45.933</v>
      </c>
      <c r="E447" s="14">
        <f>45.7942 * CHOOSE(CONTROL!$C$9, $D$9, 100%, $F$9) + CHOOSE(CONTROL!$C$27, 0.0021, 0)</f>
        <v>45.796299999999995</v>
      </c>
      <c r="F447" s="14">
        <f>45.7942 * CHOOSE(CONTROL!$C$9, $D$9, 100%, $F$9) + CHOOSE(CONTROL!$C$27, 0.0021, 0)</f>
        <v>45.796299999999995</v>
      </c>
      <c r="G447" s="14">
        <f>46.0656 * CHOOSE(CONTROL!$C$9, $D$9, 100%, $F$9) + CHOOSE(CONTROL!$C$27, 0.0021, 0)</f>
        <v>46.067700000000002</v>
      </c>
      <c r="H447" s="14">
        <f>45.9309 * CHOOSE(CONTROL!$C$9, $D$9, 100%, $F$9) + CHOOSE(CONTROL!$C$27, 0.0021, 0)</f>
        <v>45.933</v>
      </c>
      <c r="I447" s="14">
        <f>45.9309 * CHOOSE(CONTROL!$C$9, $D$9, 100%, $F$9) + CHOOSE(CONTROL!$C$27, 0.0021, 0)</f>
        <v>45.933</v>
      </c>
      <c r="J447" s="14">
        <f>45.9309 * CHOOSE(CONTROL!$C$9, $D$9, 100%, $F$9) + CHOOSE(CONTROL!$C$27, 0.0021, 0)</f>
        <v>45.933</v>
      </c>
      <c r="K447" s="14">
        <f>45.9309 * CHOOSE(CONTROL!$C$9, $D$9, 100%, $F$9) + CHOOSE(CONTROL!$C$27, 0.0021, 0)</f>
        <v>45.933</v>
      </c>
      <c r="L447" s="14"/>
    </row>
    <row r="448" spans="1:12" ht="15.75" x14ac:dyDescent="0.25">
      <c r="A448" s="33">
        <v>54574</v>
      </c>
      <c r="B448" s="14">
        <f>47.2887 * CHOOSE(CONTROL!$C$9, $D$9, 100%, $F$9) + CHOOSE(CONTROL!$C$27, 0.0021, 0)</f>
        <v>47.290799999999997</v>
      </c>
      <c r="C448" s="14">
        <f>46.8564 * CHOOSE(CONTROL!$C$9, $D$9, 100%, $F$9) + CHOOSE(CONTROL!$C$27, 0.0021, 0)</f>
        <v>46.858499999999999</v>
      </c>
      <c r="D448" s="14">
        <f>46.8564 * CHOOSE(CONTROL!$C$9, $D$9, 100%, $F$9) + CHOOSE(CONTROL!$C$27, 0.0021, 0)</f>
        <v>46.858499999999999</v>
      </c>
      <c r="E448" s="14">
        <f>46.7197 * CHOOSE(CONTROL!$C$9, $D$9, 100%, $F$9) + CHOOSE(CONTROL!$C$27, 0.0021, 0)</f>
        <v>46.721800000000002</v>
      </c>
      <c r="F448" s="14">
        <f>46.7197 * CHOOSE(CONTROL!$C$9, $D$9, 100%, $F$9) + CHOOSE(CONTROL!$C$27, 0.0021, 0)</f>
        <v>46.721800000000002</v>
      </c>
      <c r="G448" s="14">
        <f>46.9911 * CHOOSE(CONTROL!$C$9, $D$9, 100%, $F$9) + CHOOSE(CONTROL!$C$27, 0.0021, 0)</f>
        <v>46.993200000000002</v>
      </c>
      <c r="H448" s="14">
        <f>46.8564 * CHOOSE(CONTROL!$C$9, $D$9, 100%, $F$9) + CHOOSE(CONTROL!$C$27, 0.0021, 0)</f>
        <v>46.858499999999999</v>
      </c>
      <c r="I448" s="14">
        <f>46.8564 * CHOOSE(CONTROL!$C$9, $D$9, 100%, $F$9) + CHOOSE(CONTROL!$C$27, 0.0021, 0)</f>
        <v>46.858499999999999</v>
      </c>
      <c r="J448" s="14">
        <f>46.8564 * CHOOSE(CONTROL!$C$9, $D$9, 100%, $F$9) + CHOOSE(CONTROL!$C$27, 0.0021, 0)</f>
        <v>46.858499999999999</v>
      </c>
      <c r="K448" s="14">
        <f>46.8564 * CHOOSE(CONTROL!$C$9, $D$9, 100%, $F$9) + CHOOSE(CONTROL!$C$27, 0.0021, 0)</f>
        <v>46.858499999999999</v>
      </c>
      <c r="L448" s="14"/>
    </row>
    <row r="449" spans="1:12" ht="15.75" x14ac:dyDescent="0.25">
      <c r="A449" s="33">
        <v>54604</v>
      </c>
      <c r="B449" s="14">
        <f>47.843 * CHOOSE(CONTROL!$C$9, $D$9, 100%, $F$9) + CHOOSE(CONTROL!$C$27, 0.0021, 0)</f>
        <v>47.845100000000002</v>
      </c>
      <c r="C449" s="14">
        <f>47.4107 * CHOOSE(CONTROL!$C$9, $D$9, 100%, $F$9) + CHOOSE(CONTROL!$C$27, 0.0021, 0)</f>
        <v>47.412799999999997</v>
      </c>
      <c r="D449" s="14">
        <f>47.4107 * CHOOSE(CONTROL!$C$9, $D$9, 100%, $F$9) + CHOOSE(CONTROL!$C$27, 0.0021, 0)</f>
        <v>47.412799999999997</v>
      </c>
      <c r="E449" s="14">
        <f>47.2741 * CHOOSE(CONTROL!$C$9, $D$9, 100%, $F$9) + CHOOSE(CONTROL!$C$27, 0.0021, 0)</f>
        <v>47.276199999999996</v>
      </c>
      <c r="F449" s="14">
        <f>47.2741 * CHOOSE(CONTROL!$C$9, $D$9, 100%, $F$9) + CHOOSE(CONTROL!$C$27, 0.0021, 0)</f>
        <v>47.276199999999996</v>
      </c>
      <c r="G449" s="14">
        <f>47.5455 * CHOOSE(CONTROL!$C$9, $D$9, 100%, $F$9) + CHOOSE(CONTROL!$C$27, 0.0021, 0)</f>
        <v>47.547599999999996</v>
      </c>
      <c r="H449" s="14">
        <f>47.4107 * CHOOSE(CONTROL!$C$9, $D$9, 100%, $F$9) + CHOOSE(CONTROL!$C$27, 0.0021, 0)</f>
        <v>47.412799999999997</v>
      </c>
      <c r="I449" s="14">
        <f>47.4107 * CHOOSE(CONTROL!$C$9, $D$9, 100%, $F$9) + CHOOSE(CONTROL!$C$27, 0.0021, 0)</f>
        <v>47.412799999999997</v>
      </c>
      <c r="J449" s="14">
        <f>47.4107 * CHOOSE(CONTROL!$C$9, $D$9, 100%, $F$9) + CHOOSE(CONTROL!$C$27, 0.0021, 0)</f>
        <v>47.412799999999997</v>
      </c>
      <c r="K449" s="14">
        <f>47.4107 * CHOOSE(CONTROL!$C$9, $D$9, 100%, $F$9) + CHOOSE(CONTROL!$C$27, 0.0021, 0)</f>
        <v>47.412799999999997</v>
      </c>
      <c r="L449" s="14"/>
    </row>
    <row r="450" spans="1:12" ht="15.75" x14ac:dyDescent="0.25">
      <c r="A450" s="33">
        <v>54635</v>
      </c>
      <c r="B450" s="14">
        <f>48.7575 * CHOOSE(CONTROL!$C$9, $D$9, 100%, $F$9) + CHOOSE(CONTROL!$C$27, 0.0021, 0)</f>
        <v>48.759599999999999</v>
      </c>
      <c r="C450" s="14">
        <f>48.3252 * CHOOSE(CONTROL!$C$9, $D$9, 100%, $F$9) + CHOOSE(CONTROL!$C$27, 0.0021, 0)</f>
        <v>48.327300000000001</v>
      </c>
      <c r="D450" s="14">
        <f>48.3252 * CHOOSE(CONTROL!$C$9, $D$9, 100%, $F$9) + CHOOSE(CONTROL!$C$27, 0.0021, 0)</f>
        <v>48.327300000000001</v>
      </c>
      <c r="E450" s="14">
        <f>48.1885 * CHOOSE(CONTROL!$C$9, $D$9, 100%, $F$9) + CHOOSE(CONTROL!$C$27, 0.0021, 0)</f>
        <v>48.190599999999996</v>
      </c>
      <c r="F450" s="14">
        <f>48.1885 * CHOOSE(CONTROL!$C$9, $D$9, 100%, $F$9) + CHOOSE(CONTROL!$C$27, 0.0021, 0)</f>
        <v>48.190599999999996</v>
      </c>
      <c r="G450" s="14">
        <f>48.4599 * CHOOSE(CONTROL!$C$9, $D$9, 100%, $F$9) + CHOOSE(CONTROL!$C$27, 0.0021, 0)</f>
        <v>48.461999999999996</v>
      </c>
      <c r="H450" s="14">
        <f>48.3252 * CHOOSE(CONTROL!$C$9, $D$9, 100%, $F$9) + CHOOSE(CONTROL!$C$27, 0.0021, 0)</f>
        <v>48.327300000000001</v>
      </c>
      <c r="I450" s="14">
        <f>48.3252 * CHOOSE(CONTROL!$C$9, $D$9, 100%, $F$9) + CHOOSE(CONTROL!$C$27, 0.0021, 0)</f>
        <v>48.327300000000001</v>
      </c>
      <c r="J450" s="14">
        <f>48.3252 * CHOOSE(CONTROL!$C$9, $D$9, 100%, $F$9) + CHOOSE(CONTROL!$C$27, 0.0021, 0)</f>
        <v>48.327300000000001</v>
      </c>
      <c r="K450" s="14">
        <f>48.3252 * CHOOSE(CONTROL!$C$9, $D$9, 100%, $F$9) + CHOOSE(CONTROL!$C$27, 0.0021, 0)</f>
        <v>48.327300000000001</v>
      </c>
      <c r="L450" s="14"/>
    </row>
    <row r="451" spans="1:12" ht="15.75" x14ac:dyDescent="0.25">
      <c r="A451" s="33">
        <v>54666</v>
      </c>
      <c r="B451" s="14">
        <f>49.0366 * CHOOSE(CONTROL!$C$9, $D$9, 100%, $F$9) + CHOOSE(CONTROL!$C$27, 0.0021, 0)</f>
        <v>49.038699999999999</v>
      </c>
      <c r="C451" s="14">
        <f>48.6043 * CHOOSE(CONTROL!$C$9, $D$9, 100%, $F$9) + CHOOSE(CONTROL!$C$27, 0.0021, 0)</f>
        <v>48.606400000000001</v>
      </c>
      <c r="D451" s="14">
        <f>48.6043 * CHOOSE(CONTROL!$C$9, $D$9, 100%, $F$9) + CHOOSE(CONTROL!$C$27, 0.0021, 0)</f>
        <v>48.606400000000001</v>
      </c>
      <c r="E451" s="14">
        <f>48.4677 * CHOOSE(CONTROL!$C$9, $D$9, 100%, $F$9) + CHOOSE(CONTROL!$C$27, 0.0021, 0)</f>
        <v>48.469799999999999</v>
      </c>
      <c r="F451" s="14">
        <f>48.4677 * CHOOSE(CONTROL!$C$9, $D$9, 100%, $F$9) + CHOOSE(CONTROL!$C$27, 0.0021, 0)</f>
        <v>48.469799999999999</v>
      </c>
      <c r="G451" s="14">
        <f>48.739 * CHOOSE(CONTROL!$C$9, $D$9, 100%, $F$9) + CHOOSE(CONTROL!$C$27, 0.0021, 0)</f>
        <v>48.741099999999996</v>
      </c>
      <c r="H451" s="14">
        <f>48.6043 * CHOOSE(CONTROL!$C$9, $D$9, 100%, $F$9) + CHOOSE(CONTROL!$C$27, 0.0021, 0)</f>
        <v>48.606400000000001</v>
      </c>
      <c r="I451" s="14">
        <f>48.6043 * CHOOSE(CONTROL!$C$9, $D$9, 100%, $F$9) + CHOOSE(CONTROL!$C$27, 0.0021, 0)</f>
        <v>48.606400000000001</v>
      </c>
      <c r="J451" s="14">
        <f>48.6043 * CHOOSE(CONTROL!$C$9, $D$9, 100%, $F$9) + CHOOSE(CONTROL!$C$27, 0.0021, 0)</f>
        <v>48.606400000000001</v>
      </c>
      <c r="K451" s="14">
        <f>48.6043 * CHOOSE(CONTROL!$C$9, $D$9, 100%, $F$9) + CHOOSE(CONTROL!$C$27, 0.0021, 0)</f>
        <v>48.606400000000001</v>
      </c>
      <c r="L451" s="14"/>
    </row>
    <row r="452" spans="1:12" ht="15.75" x14ac:dyDescent="0.25">
      <c r="A452" s="33">
        <v>54696</v>
      </c>
      <c r="B452" s="14">
        <f>49.9871 * CHOOSE(CONTROL!$C$9, $D$9, 100%, $F$9) + CHOOSE(CONTROL!$C$27, 0.0021, 0)</f>
        <v>49.989199999999997</v>
      </c>
      <c r="C452" s="14">
        <f>49.5549 * CHOOSE(CONTROL!$C$9, $D$9, 100%, $F$9) + CHOOSE(CONTROL!$C$27, 0.0021, 0)</f>
        <v>49.557000000000002</v>
      </c>
      <c r="D452" s="14">
        <f>49.5549 * CHOOSE(CONTROL!$C$9, $D$9, 100%, $F$9) + CHOOSE(CONTROL!$C$27, 0.0021, 0)</f>
        <v>49.557000000000002</v>
      </c>
      <c r="E452" s="14">
        <f>49.4182 * CHOOSE(CONTROL!$C$9, $D$9, 100%, $F$9) + CHOOSE(CONTROL!$C$27, 0.0021, 0)</f>
        <v>49.420299999999997</v>
      </c>
      <c r="F452" s="14">
        <f>49.4182 * CHOOSE(CONTROL!$C$9, $D$9, 100%, $F$9) + CHOOSE(CONTROL!$C$27, 0.0021, 0)</f>
        <v>49.420299999999997</v>
      </c>
      <c r="G452" s="14">
        <f>49.6896 * CHOOSE(CONTROL!$C$9, $D$9, 100%, $F$9) + CHOOSE(CONTROL!$C$27, 0.0021, 0)</f>
        <v>49.691699999999997</v>
      </c>
      <c r="H452" s="14">
        <f>49.5549 * CHOOSE(CONTROL!$C$9, $D$9, 100%, $F$9) + CHOOSE(CONTROL!$C$27, 0.0021, 0)</f>
        <v>49.557000000000002</v>
      </c>
      <c r="I452" s="14">
        <f>49.5549 * CHOOSE(CONTROL!$C$9, $D$9, 100%, $F$9) + CHOOSE(CONTROL!$C$27, 0.0021, 0)</f>
        <v>49.557000000000002</v>
      </c>
      <c r="J452" s="14">
        <f>49.5549 * CHOOSE(CONTROL!$C$9, $D$9, 100%, $F$9) + CHOOSE(CONTROL!$C$27, 0.0021, 0)</f>
        <v>49.557000000000002</v>
      </c>
      <c r="K452" s="14">
        <f>49.5549 * CHOOSE(CONTROL!$C$9, $D$9, 100%, $F$9) + CHOOSE(CONTROL!$C$27, 0.0021, 0)</f>
        <v>49.557000000000002</v>
      </c>
      <c r="L452" s="14"/>
    </row>
    <row r="453" spans="1:12" ht="15.75" x14ac:dyDescent="0.25">
      <c r="A453" s="33">
        <v>54727</v>
      </c>
      <c r="B453" s="14">
        <f>51.1903 * CHOOSE(CONTROL!$C$9, $D$9, 100%, $F$9) + CHOOSE(CONTROL!$C$27, 0.0021, 0)</f>
        <v>51.192399999999999</v>
      </c>
      <c r="C453" s="14">
        <f>50.7581 * CHOOSE(CONTROL!$C$9, $D$9, 100%, $F$9) + CHOOSE(CONTROL!$C$27, 0.0021, 0)</f>
        <v>50.760199999999998</v>
      </c>
      <c r="D453" s="14">
        <f>50.7581 * CHOOSE(CONTROL!$C$9, $D$9, 100%, $F$9) + CHOOSE(CONTROL!$C$27, 0.0021, 0)</f>
        <v>50.760199999999998</v>
      </c>
      <c r="E453" s="14">
        <f>50.6214 * CHOOSE(CONTROL!$C$9, $D$9, 100%, $F$9) + CHOOSE(CONTROL!$C$27, 0.0021, 0)</f>
        <v>50.6235</v>
      </c>
      <c r="F453" s="14">
        <f>50.6214 * CHOOSE(CONTROL!$C$9, $D$9, 100%, $F$9) + CHOOSE(CONTROL!$C$27, 0.0021, 0)</f>
        <v>50.6235</v>
      </c>
      <c r="G453" s="14">
        <f>50.8928 * CHOOSE(CONTROL!$C$9, $D$9, 100%, $F$9) + CHOOSE(CONTROL!$C$27, 0.0021, 0)</f>
        <v>50.8949</v>
      </c>
      <c r="H453" s="14">
        <f>50.7581 * CHOOSE(CONTROL!$C$9, $D$9, 100%, $F$9) + CHOOSE(CONTROL!$C$27, 0.0021, 0)</f>
        <v>50.760199999999998</v>
      </c>
      <c r="I453" s="14">
        <f>50.7581 * CHOOSE(CONTROL!$C$9, $D$9, 100%, $F$9) + CHOOSE(CONTROL!$C$27, 0.0021, 0)</f>
        <v>50.760199999999998</v>
      </c>
      <c r="J453" s="14">
        <f>50.7581 * CHOOSE(CONTROL!$C$9, $D$9, 100%, $F$9) + CHOOSE(CONTROL!$C$27, 0.0021, 0)</f>
        <v>50.760199999999998</v>
      </c>
      <c r="K453" s="14">
        <f>50.7581 * CHOOSE(CONTROL!$C$9, $D$9, 100%, $F$9) + CHOOSE(CONTROL!$C$27, 0.0021, 0)</f>
        <v>50.760199999999998</v>
      </c>
      <c r="L453" s="14"/>
    </row>
    <row r="454" spans="1:12" ht="15.75" x14ac:dyDescent="0.25">
      <c r="A454" s="33">
        <v>54757</v>
      </c>
      <c r="B454" s="14">
        <f>51.3033 * CHOOSE(CONTROL!$C$9, $D$9, 100%, $F$9) + CHOOSE(CONTROL!$C$27, 0.0021, 0)</f>
        <v>51.305399999999999</v>
      </c>
      <c r="C454" s="14">
        <f>50.8711 * CHOOSE(CONTROL!$C$9, $D$9, 100%, $F$9) + CHOOSE(CONTROL!$C$27, 0.0021, 0)</f>
        <v>50.873199999999997</v>
      </c>
      <c r="D454" s="14">
        <f>50.8711 * CHOOSE(CONTROL!$C$9, $D$9, 100%, $F$9) + CHOOSE(CONTROL!$C$27, 0.0021, 0)</f>
        <v>50.873199999999997</v>
      </c>
      <c r="E454" s="14">
        <f>50.7344 * CHOOSE(CONTROL!$C$9, $D$9, 100%, $F$9) + CHOOSE(CONTROL!$C$27, 0.0021, 0)</f>
        <v>50.736499999999999</v>
      </c>
      <c r="F454" s="14">
        <f>50.7344 * CHOOSE(CONTROL!$C$9, $D$9, 100%, $F$9) + CHOOSE(CONTROL!$C$27, 0.0021, 0)</f>
        <v>50.736499999999999</v>
      </c>
      <c r="G454" s="14">
        <f>51.0058 * CHOOSE(CONTROL!$C$9, $D$9, 100%, $F$9) + CHOOSE(CONTROL!$C$27, 0.0021, 0)</f>
        <v>51.007899999999999</v>
      </c>
      <c r="H454" s="14">
        <f>50.8711 * CHOOSE(CONTROL!$C$9, $D$9, 100%, $F$9) + CHOOSE(CONTROL!$C$27, 0.0021, 0)</f>
        <v>50.873199999999997</v>
      </c>
      <c r="I454" s="14">
        <f>50.8711 * CHOOSE(CONTROL!$C$9, $D$9, 100%, $F$9) + CHOOSE(CONTROL!$C$27, 0.0021, 0)</f>
        <v>50.873199999999997</v>
      </c>
      <c r="J454" s="14">
        <f>50.8711 * CHOOSE(CONTROL!$C$9, $D$9, 100%, $F$9) + CHOOSE(CONTROL!$C$27, 0.0021, 0)</f>
        <v>50.873199999999997</v>
      </c>
      <c r="K454" s="14">
        <f>50.8711 * CHOOSE(CONTROL!$C$9, $D$9, 100%, $F$9) + CHOOSE(CONTROL!$C$27, 0.0021, 0)</f>
        <v>50.873199999999997</v>
      </c>
      <c r="L454" s="14"/>
    </row>
    <row r="455" spans="1:12" ht="15.75" x14ac:dyDescent="0.25">
      <c r="A455" s="33">
        <v>54788</v>
      </c>
      <c r="B455" s="14">
        <f>50.3423 * CHOOSE(CONTROL!$C$9, $D$9, 100%, $F$9) + CHOOSE(CONTROL!$C$27, 0.0021, 0)</f>
        <v>50.3444</v>
      </c>
      <c r="C455" s="14">
        <f>49.9101 * CHOOSE(CONTROL!$C$9, $D$9, 100%, $F$9) + CHOOSE(CONTROL!$C$27, 0.0021, 0)</f>
        <v>49.912199999999999</v>
      </c>
      <c r="D455" s="14">
        <f>49.9101 * CHOOSE(CONTROL!$C$9, $D$9, 100%, $F$9) + CHOOSE(CONTROL!$C$27, 0.0021, 0)</f>
        <v>49.912199999999999</v>
      </c>
      <c r="E455" s="14">
        <f>49.7734 * CHOOSE(CONTROL!$C$9, $D$9, 100%, $F$9) + CHOOSE(CONTROL!$C$27, 0.0021, 0)</f>
        <v>49.775500000000001</v>
      </c>
      <c r="F455" s="14">
        <f>49.7734 * CHOOSE(CONTROL!$C$9, $D$9, 100%, $F$9) + CHOOSE(CONTROL!$C$27, 0.0021, 0)</f>
        <v>49.775500000000001</v>
      </c>
      <c r="G455" s="14">
        <f>50.0448 * CHOOSE(CONTROL!$C$9, $D$9, 100%, $F$9) + CHOOSE(CONTROL!$C$27, 0.0021, 0)</f>
        <v>50.046900000000001</v>
      </c>
      <c r="H455" s="14">
        <f>49.9101 * CHOOSE(CONTROL!$C$9, $D$9, 100%, $F$9) + CHOOSE(CONTROL!$C$27, 0.0021, 0)</f>
        <v>49.912199999999999</v>
      </c>
      <c r="I455" s="14">
        <f>49.9101 * CHOOSE(CONTROL!$C$9, $D$9, 100%, $F$9) + CHOOSE(CONTROL!$C$27, 0.0021, 0)</f>
        <v>49.912199999999999</v>
      </c>
      <c r="J455" s="14">
        <f>49.9101 * CHOOSE(CONTROL!$C$9, $D$9, 100%, $F$9) + CHOOSE(CONTROL!$C$27, 0.0021, 0)</f>
        <v>49.912199999999999</v>
      </c>
      <c r="K455" s="14">
        <f>49.9101 * CHOOSE(CONTROL!$C$9, $D$9, 100%, $F$9) + CHOOSE(CONTROL!$C$27, 0.0021, 0)</f>
        <v>49.912199999999999</v>
      </c>
      <c r="L455" s="14"/>
    </row>
    <row r="456" spans="1:12" ht="15.75" x14ac:dyDescent="0.25">
      <c r="A456" s="33">
        <v>54819</v>
      </c>
      <c r="B456" s="14">
        <f>49.7127 * CHOOSE(CONTROL!$C$9, $D$9, 100%, $F$9) + CHOOSE(CONTROL!$C$27, 0.0021, 0)</f>
        <v>49.714799999999997</v>
      </c>
      <c r="C456" s="14">
        <f>49.2805 * CHOOSE(CONTROL!$C$9, $D$9, 100%, $F$9) + CHOOSE(CONTROL!$C$27, 0.0021, 0)</f>
        <v>49.282600000000002</v>
      </c>
      <c r="D456" s="14">
        <f>49.2805 * CHOOSE(CONTROL!$C$9, $D$9, 100%, $F$9) + CHOOSE(CONTROL!$C$27, 0.0021, 0)</f>
        <v>49.282600000000002</v>
      </c>
      <c r="E456" s="14">
        <f>49.1438 * CHOOSE(CONTROL!$C$9, $D$9, 100%, $F$9) + CHOOSE(CONTROL!$C$27, 0.0021, 0)</f>
        <v>49.145899999999997</v>
      </c>
      <c r="F456" s="14">
        <f>49.1438 * CHOOSE(CONTROL!$C$9, $D$9, 100%, $F$9) + CHOOSE(CONTROL!$C$27, 0.0021, 0)</f>
        <v>49.145899999999997</v>
      </c>
      <c r="G456" s="14">
        <f>49.4152 * CHOOSE(CONTROL!$C$9, $D$9, 100%, $F$9) + CHOOSE(CONTROL!$C$27, 0.0021, 0)</f>
        <v>49.417299999999997</v>
      </c>
      <c r="H456" s="14">
        <f>49.2805 * CHOOSE(CONTROL!$C$9, $D$9, 100%, $F$9) + CHOOSE(CONTROL!$C$27, 0.0021, 0)</f>
        <v>49.282600000000002</v>
      </c>
      <c r="I456" s="14">
        <f>49.2805 * CHOOSE(CONTROL!$C$9, $D$9, 100%, $F$9) + CHOOSE(CONTROL!$C$27, 0.0021, 0)</f>
        <v>49.282600000000002</v>
      </c>
      <c r="J456" s="14">
        <f>49.2805 * CHOOSE(CONTROL!$C$9, $D$9, 100%, $F$9) + CHOOSE(CONTROL!$C$27, 0.0021, 0)</f>
        <v>49.282600000000002</v>
      </c>
      <c r="K456" s="14">
        <f>49.2805 * CHOOSE(CONTROL!$C$9, $D$9, 100%, $F$9) + CHOOSE(CONTROL!$C$27, 0.0021, 0)</f>
        <v>49.282600000000002</v>
      </c>
      <c r="L456" s="14"/>
    </row>
    <row r="457" spans="1:12" ht="15.75" x14ac:dyDescent="0.25">
      <c r="A457" s="33">
        <v>54847</v>
      </c>
      <c r="B457" s="14">
        <f>48.3714 * CHOOSE(CONTROL!$C$9, $D$9, 100%, $F$9) + CHOOSE(CONTROL!$C$27, 0.0021, 0)</f>
        <v>48.3735</v>
      </c>
      <c r="C457" s="14">
        <f>47.9392 * CHOOSE(CONTROL!$C$9, $D$9, 100%, $F$9) + CHOOSE(CONTROL!$C$27, 0.0021, 0)</f>
        <v>47.941299999999998</v>
      </c>
      <c r="D457" s="14">
        <f>47.9392 * CHOOSE(CONTROL!$C$9, $D$9, 100%, $F$9) + CHOOSE(CONTROL!$C$27, 0.0021, 0)</f>
        <v>47.941299999999998</v>
      </c>
      <c r="E457" s="14">
        <f>47.8025 * CHOOSE(CONTROL!$C$9, $D$9, 100%, $F$9) + CHOOSE(CONTROL!$C$27, 0.0021, 0)</f>
        <v>47.804600000000001</v>
      </c>
      <c r="F457" s="14">
        <f>47.8025 * CHOOSE(CONTROL!$C$9, $D$9, 100%, $F$9) + CHOOSE(CONTROL!$C$27, 0.0021, 0)</f>
        <v>47.804600000000001</v>
      </c>
      <c r="G457" s="14">
        <f>48.0739 * CHOOSE(CONTROL!$C$9, $D$9, 100%, $F$9) + CHOOSE(CONTROL!$C$27, 0.0021, 0)</f>
        <v>48.076000000000001</v>
      </c>
      <c r="H457" s="14">
        <f>47.9392 * CHOOSE(CONTROL!$C$9, $D$9, 100%, $F$9) + CHOOSE(CONTROL!$C$27, 0.0021, 0)</f>
        <v>47.941299999999998</v>
      </c>
      <c r="I457" s="14">
        <f>47.9392 * CHOOSE(CONTROL!$C$9, $D$9, 100%, $F$9) + CHOOSE(CONTROL!$C$27, 0.0021, 0)</f>
        <v>47.941299999999998</v>
      </c>
      <c r="J457" s="14">
        <f>47.9392 * CHOOSE(CONTROL!$C$9, $D$9, 100%, $F$9) + CHOOSE(CONTROL!$C$27, 0.0021, 0)</f>
        <v>47.941299999999998</v>
      </c>
      <c r="K457" s="14">
        <f>47.9392 * CHOOSE(CONTROL!$C$9, $D$9, 100%, $F$9) + CHOOSE(CONTROL!$C$27, 0.0021, 0)</f>
        <v>47.941299999999998</v>
      </c>
      <c r="L457" s="14"/>
    </row>
    <row r="458" spans="1:12" ht="15.75" x14ac:dyDescent="0.25">
      <c r="A458" s="33">
        <v>54878</v>
      </c>
      <c r="B458" s="14">
        <f>47.8178 * CHOOSE(CONTROL!$C$9, $D$9, 100%, $F$9) + CHOOSE(CONTROL!$C$27, 0.0021, 0)</f>
        <v>47.819899999999997</v>
      </c>
      <c r="C458" s="14">
        <f>47.3855 * CHOOSE(CONTROL!$C$9, $D$9, 100%, $F$9) + CHOOSE(CONTROL!$C$27, 0.0021, 0)</f>
        <v>47.387599999999999</v>
      </c>
      <c r="D458" s="14">
        <f>47.3855 * CHOOSE(CONTROL!$C$9, $D$9, 100%, $F$9) + CHOOSE(CONTROL!$C$27, 0.0021, 0)</f>
        <v>47.387599999999999</v>
      </c>
      <c r="E458" s="14">
        <f>47.2488 * CHOOSE(CONTROL!$C$9, $D$9, 100%, $F$9) + CHOOSE(CONTROL!$C$27, 0.0021, 0)</f>
        <v>47.250900000000001</v>
      </c>
      <c r="F458" s="14">
        <f>47.2488 * CHOOSE(CONTROL!$C$9, $D$9, 100%, $F$9) + CHOOSE(CONTROL!$C$27, 0.0021, 0)</f>
        <v>47.250900000000001</v>
      </c>
      <c r="G458" s="14">
        <f>47.5202 * CHOOSE(CONTROL!$C$9, $D$9, 100%, $F$9) + CHOOSE(CONTROL!$C$27, 0.0021, 0)</f>
        <v>47.522300000000001</v>
      </c>
      <c r="H458" s="14">
        <f>47.3855 * CHOOSE(CONTROL!$C$9, $D$9, 100%, $F$9) + CHOOSE(CONTROL!$C$27, 0.0021, 0)</f>
        <v>47.387599999999999</v>
      </c>
      <c r="I458" s="14">
        <f>47.3855 * CHOOSE(CONTROL!$C$9, $D$9, 100%, $F$9) + CHOOSE(CONTROL!$C$27, 0.0021, 0)</f>
        <v>47.387599999999999</v>
      </c>
      <c r="J458" s="14">
        <f>47.3855 * CHOOSE(CONTROL!$C$9, $D$9, 100%, $F$9) + CHOOSE(CONTROL!$C$27, 0.0021, 0)</f>
        <v>47.387599999999999</v>
      </c>
      <c r="K458" s="14">
        <f>47.3855 * CHOOSE(CONTROL!$C$9, $D$9, 100%, $F$9) + CHOOSE(CONTROL!$C$27, 0.0021, 0)</f>
        <v>47.387599999999999</v>
      </c>
      <c r="L458" s="14"/>
    </row>
    <row r="459" spans="1:12" ht="15.75" x14ac:dyDescent="0.25">
      <c r="A459" s="33">
        <v>54908</v>
      </c>
      <c r="B459" s="14">
        <f>47.1566 * CHOOSE(CONTROL!$C$9, $D$9, 100%, $F$9) + CHOOSE(CONTROL!$C$27, 0.0021, 0)</f>
        <v>47.158699999999996</v>
      </c>
      <c r="C459" s="14">
        <f>46.7244 * CHOOSE(CONTROL!$C$9, $D$9, 100%, $F$9) + CHOOSE(CONTROL!$C$27, 0.0021, 0)</f>
        <v>46.726500000000001</v>
      </c>
      <c r="D459" s="14">
        <f>46.7244 * CHOOSE(CONTROL!$C$9, $D$9, 100%, $F$9) + CHOOSE(CONTROL!$C$27, 0.0021, 0)</f>
        <v>46.726500000000001</v>
      </c>
      <c r="E459" s="14">
        <f>46.5877 * CHOOSE(CONTROL!$C$9, $D$9, 100%, $F$9) + CHOOSE(CONTROL!$C$27, 0.0021, 0)</f>
        <v>46.589799999999997</v>
      </c>
      <c r="F459" s="14">
        <f>46.5877 * CHOOSE(CONTROL!$C$9, $D$9, 100%, $F$9) + CHOOSE(CONTROL!$C$27, 0.0021, 0)</f>
        <v>46.589799999999997</v>
      </c>
      <c r="G459" s="14">
        <f>46.8591 * CHOOSE(CONTROL!$C$9, $D$9, 100%, $F$9) + CHOOSE(CONTROL!$C$27, 0.0021, 0)</f>
        <v>46.861199999999997</v>
      </c>
      <c r="H459" s="14">
        <f>46.7244 * CHOOSE(CONTROL!$C$9, $D$9, 100%, $F$9) + CHOOSE(CONTROL!$C$27, 0.0021, 0)</f>
        <v>46.726500000000001</v>
      </c>
      <c r="I459" s="14">
        <f>46.7244 * CHOOSE(CONTROL!$C$9, $D$9, 100%, $F$9) + CHOOSE(CONTROL!$C$27, 0.0021, 0)</f>
        <v>46.726500000000001</v>
      </c>
      <c r="J459" s="14">
        <f>46.7244 * CHOOSE(CONTROL!$C$9, $D$9, 100%, $F$9) + CHOOSE(CONTROL!$C$27, 0.0021, 0)</f>
        <v>46.726500000000001</v>
      </c>
      <c r="K459" s="14">
        <f>46.7244 * CHOOSE(CONTROL!$C$9, $D$9, 100%, $F$9) + CHOOSE(CONTROL!$C$27, 0.0021, 0)</f>
        <v>46.726500000000001</v>
      </c>
      <c r="L459" s="14"/>
    </row>
    <row r="460" spans="1:12" ht="15.75" x14ac:dyDescent="0.25">
      <c r="A460" s="33">
        <v>54939</v>
      </c>
      <c r="B460" s="14">
        <f>48.0988 * CHOOSE(CONTROL!$C$9, $D$9, 100%, $F$9) + CHOOSE(CONTROL!$C$27, 0.0021, 0)</f>
        <v>48.100899999999996</v>
      </c>
      <c r="C460" s="14">
        <f>47.6666 * CHOOSE(CONTROL!$C$9, $D$9, 100%, $F$9) + CHOOSE(CONTROL!$C$27, 0.0021, 0)</f>
        <v>47.668700000000001</v>
      </c>
      <c r="D460" s="14">
        <f>47.6666 * CHOOSE(CONTROL!$C$9, $D$9, 100%, $F$9) + CHOOSE(CONTROL!$C$27, 0.0021, 0)</f>
        <v>47.668700000000001</v>
      </c>
      <c r="E460" s="14">
        <f>47.5299 * CHOOSE(CONTROL!$C$9, $D$9, 100%, $F$9) + CHOOSE(CONTROL!$C$27, 0.0021, 0)</f>
        <v>47.531999999999996</v>
      </c>
      <c r="F460" s="14">
        <f>47.5299 * CHOOSE(CONTROL!$C$9, $D$9, 100%, $F$9) + CHOOSE(CONTROL!$C$27, 0.0021, 0)</f>
        <v>47.531999999999996</v>
      </c>
      <c r="G460" s="14">
        <f>47.8013 * CHOOSE(CONTROL!$C$9, $D$9, 100%, $F$9) + CHOOSE(CONTROL!$C$27, 0.0021, 0)</f>
        <v>47.803399999999996</v>
      </c>
      <c r="H460" s="14">
        <f>47.6666 * CHOOSE(CONTROL!$C$9, $D$9, 100%, $F$9) + CHOOSE(CONTROL!$C$27, 0.0021, 0)</f>
        <v>47.668700000000001</v>
      </c>
      <c r="I460" s="14">
        <f>47.6666 * CHOOSE(CONTROL!$C$9, $D$9, 100%, $F$9) + CHOOSE(CONTROL!$C$27, 0.0021, 0)</f>
        <v>47.668700000000001</v>
      </c>
      <c r="J460" s="14">
        <f>47.6666 * CHOOSE(CONTROL!$C$9, $D$9, 100%, $F$9) + CHOOSE(CONTROL!$C$27, 0.0021, 0)</f>
        <v>47.668700000000001</v>
      </c>
      <c r="K460" s="14">
        <f>47.6666 * CHOOSE(CONTROL!$C$9, $D$9, 100%, $F$9) + CHOOSE(CONTROL!$C$27, 0.0021, 0)</f>
        <v>47.668700000000001</v>
      </c>
      <c r="L460" s="14"/>
    </row>
    <row r="461" spans="1:12" ht="15.75" x14ac:dyDescent="0.25">
      <c r="A461" s="33">
        <v>54969</v>
      </c>
      <c r="B461" s="14">
        <f>48.6631 * CHOOSE(CONTROL!$C$9, $D$9, 100%, $F$9) + CHOOSE(CONTROL!$C$27, 0.0021, 0)</f>
        <v>48.665199999999999</v>
      </c>
      <c r="C461" s="14">
        <f>48.2309 * CHOOSE(CONTROL!$C$9, $D$9, 100%, $F$9) + CHOOSE(CONTROL!$C$27, 0.0021, 0)</f>
        <v>48.232999999999997</v>
      </c>
      <c r="D461" s="14">
        <f>48.2309 * CHOOSE(CONTROL!$C$9, $D$9, 100%, $F$9) + CHOOSE(CONTROL!$C$27, 0.0021, 0)</f>
        <v>48.232999999999997</v>
      </c>
      <c r="E461" s="14">
        <f>48.0942 * CHOOSE(CONTROL!$C$9, $D$9, 100%, $F$9) + CHOOSE(CONTROL!$C$27, 0.0021, 0)</f>
        <v>48.096299999999999</v>
      </c>
      <c r="F461" s="14">
        <f>48.0942 * CHOOSE(CONTROL!$C$9, $D$9, 100%, $F$9) + CHOOSE(CONTROL!$C$27, 0.0021, 0)</f>
        <v>48.096299999999999</v>
      </c>
      <c r="G461" s="14">
        <f>48.3656 * CHOOSE(CONTROL!$C$9, $D$9, 100%, $F$9) + CHOOSE(CONTROL!$C$27, 0.0021, 0)</f>
        <v>48.367699999999999</v>
      </c>
      <c r="H461" s="14">
        <f>48.2309 * CHOOSE(CONTROL!$C$9, $D$9, 100%, $F$9) + CHOOSE(CONTROL!$C$27, 0.0021, 0)</f>
        <v>48.232999999999997</v>
      </c>
      <c r="I461" s="14">
        <f>48.2309 * CHOOSE(CONTROL!$C$9, $D$9, 100%, $F$9) + CHOOSE(CONTROL!$C$27, 0.0021, 0)</f>
        <v>48.232999999999997</v>
      </c>
      <c r="J461" s="14">
        <f>48.2309 * CHOOSE(CONTROL!$C$9, $D$9, 100%, $F$9) + CHOOSE(CONTROL!$C$27, 0.0021, 0)</f>
        <v>48.232999999999997</v>
      </c>
      <c r="K461" s="14">
        <f>48.2309 * CHOOSE(CONTROL!$C$9, $D$9, 100%, $F$9) + CHOOSE(CONTROL!$C$27, 0.0021, 0)</f>
        <v>48.232999999999997</v>
      </c>
      <c r="L461" s="14"/>
    </row>
    <row r="462" spans="1:12" ht="15.75" x14ac:dyDescent="0.25">
      <c r="A462" s="33">
        <v>55000</v>
      </c>
      <c r="B462" s="14">
        <f>49.5941 * CHOOSE(CONTROL!$C$9, $D$9, 100%, $F$9) + CHOOSE(CONTROL!$C$27, 0.0021, 0)</f>
        <v>49.596199999999996</v>
      </c>
      <c r="C462" s="14">
        <f>49.1618 * CHOOSE(CONTROL!$C$9, $D$9, 100%, $F$9) + CHOOSE(CONTROL!$C$27, 0.0021, 0)</f>
        <v>49.163899999999998</v>
      </c>
      <c r="D462" s="14">
        <f>49.1618 * CHOOSE(CONTROL!$C$9, $D$9, 100%, $F$9) + CHOOSE(CONTROL!$C$27, 0.0021, 0)</f>
        <v>49.163899999999998</v>
      </c>
      <c r="E462" s="14">
        <f>49.0251 * CHOOSE(CONTROL!$C$9, $D$9, 100%, $F$9) + CHOOSE(CONTROL!$C$27, 0.0021, 0)</f>
        <v>49.027200000000001</v>
      </c>
      <c r="F462" s="14">
        <f>49.0251 * CHOOSE(CONTROL!$C$9, $D$9, 100%, $F$9) + CHOOSE(CONTROL!$C$27, 0.0021, 0)</f>
        <v>49.027200000000001</v>
      </c>
      <c r="G462" s="14">
        <f>49.2965 * CHOOSE(CONTROL!$C$9, $D$9, 100%, $F$9) + CHOOSE(CONTROL!$C$27, 0.0021, 0)</f>
        <v>49.2986</v>
      </c>
      <c r="H462" s="14">
        <f>49.1618 * CHOOSE(CONTROL!$C$9, $D$9, 100%, $F$9) + CHOOSE(CONTROL!$C$27, 0.0021, 0)</f>
        <v>49.163899999999998</v>
      </c>
      <c r="I462" s="14">
        <f>49.1618 * CHOOSE(CONTROL!$C$9, $D$9, 100%, $F$9) + CHOOSE(CONTROL!$C$27, 0.0021, 0)</f>
        <v>49.163899999999998</v>
      </c>
      <c r="J462" s="14">
        <f>49.1618 * CHOOSE(CONTROL!$C$9, $D$9, 100%, $F$9) + CHOOSE(CONTROL!$C$27, 0.0021, 0)</f>
        <v>49.163899999999998</v>
      </c>
      <c r="K462" s="14">
        <f>49.1618 * CHOOSE(CONTROL!$C$9, $D$9, 100%, $F$9) + CHOOSE(CONTROL!$C$27, 0.0021, 0)</f>
        <v>49.163899999999998</v>
      </c>
      <c r="L462" s="14"/>
    </row>
    <row r="463" spans="1:12" ht="15.75" x14ac:dyDescent="0.25">
      <c r="A463" s="33">
        <v>55031</v>
      </c>
      <c r="B463" s="14">
        <f>49.8782 * CHOOSE(CONTROL!$C$9, $D$9, 100%, $F$9) + CHOOSE(CONTROL!$C$27, 0.0021, 0)</f>
        <v>49.880299999999998</v>
      </c>
      <c r="C463" s="14">
        <f>49.446 * CHOOSE(CONTROL!$C$9, $D$9, 100%, $F$9) + CHOOSE(CONTROL!$C$27, 0.0021, 0)</f>
        <v>49.448099999999997</v>
      </c>
      <c r="D463" s="14">
        <f>49.446 * CHOOSE(CONTROL!$C$9, $D$9, 100%, $F$9) + CHOOSE(CONTROL!$C$27, 0.0021, 0)</f>
        <v>49.448099999999997</v>
      </c>
      <c r="E463" s="14">
        <f>49.3093 * CHOOSE(CONTROL!$C$9, $D$9, 100%, $F$9) + CHOOSE(CONTROL!$C$27, 0.0021, 0)</f>
        <v>49.311399999999999</v>
      </c>
      <c r="F463" s="14">
        <f>49.3093 * CHOOSE(CONTROL!$C$9, $D$9, 100%, $F$9) + CHOOSE(CONTROL!$C$27, 0.0021, 0)</f>
        <v>49.311399999999999</v>
      </c>
      <c r="G463" s="14">
        <f>49.5807 * CHOOSE(CONTROL!$C$9, $D$9, 100%, $F$9) + CHOOSE(CONTROL!$C$27, 0.0021, 0)</f>
        <v>49.582799999999999</v>
      </c>
      <c r="H463" s="14">
        <f>49.446 * CHOOSE(CONTROL!$C$9, $D$9, 100%, $F$9) + CHOOSE(CONTROL!$C$27, 0.0021, 0)</f>
        <v>49.448099999999997</v>
      </c>
      <c r="I463" s="14">
        <f>49.446 * CHOOSE(CONTROL!$C$9, $D$9, 100%, $F$9) + CHOOSE(CONTROL!$C$27, 0.0021, 0)</f>
        <v>49.448099999999997</v>
      </c>
      <c r="J463" s="14">
        <f>49.446 * CHOOSE(CONTROL!$C$9, $D$9, 100%, $F$9) + CHOOSE(CONTROL!$C$27, 0.0021, 0)</f>
        <v>49.448099999999997</v>
      </c>
      <c r="K463" s="14">
        <f>49.446 * CHOOSE(CONTROL!$C$9, $D$9, 100%, $F$9) + CHOOSE(CONTROL!$C$27, 0.0021, 0)</f>
        <v>49.448099999999997</v>
      </c>
      <c r="L463" s="14"/>
    </row>
    <row r="464" spans="1:12" ht="15.75" x14ac:dyDescent="0.25">
      <c r="A464" s="33">
        <v>55061</v>
      </c>
      <c r="B464" s="14">
        <f>50.8459 * CHOOSE(CONTROL!$C$9, $D$9, 100%, $F$9) + CHOOSE(CONTROL!$C$27, 0.0021, 0)</f>
        <v>50.847999999999999</v>
      </c>
      <c r="C464" s="14">
        <f>50.4136 * CHOOSE(CONTROL!$C$9, $D$9, 100%, $F$9) + CHOOSE(CONTROL!$C$27, 0.0021, 0)</f>
        <v>50.415700000000001</v>
      </c>
      <c r="D464" s="14">
        <f>50.4136 * CHOOSE(CONTROL!$C$9, $D$9, 100%, $F$9) + CHOOSE(CONTROL!$C$27, 0.0021, 0)</f>
        <v>50.415700000000001</v>
      </c>
      <c r="E464" s="14">
        <f>50.277 * CHOOSE(CONTROL!$C$9, $D$9, 100%, $F$9) + CHOOSE(CONTROL!$C$27, 0.0021, 0)</f>
        <v>50.2791</v>
      </c>
      <c r="F464" s="14">
        <f>50.277 * CHOOSE(CONTROL!$C$9, $D$9, 100%, $F$9) + CHOOSE(CONTROL!$C$27, 0.0021, 0)</f>
        <v>50.2791</v>
      </c>
      <c r="G464" s="14">
        <f>50.5483 * CHOOSE(CONTROL!$C$9, $D$9, 100%, $F$9) + CHOOSE(CONTROL!$C$27, 0.0021, 0)</f>
        <v>50.550399999999996</v>
      </c>
      <c r="H464" s="14">
        <f>50.4136 * CHOOSE(CONTROL!$C$9, $D$9, 100%, $F$9) + CHOOSE(CONTROL!$C$27, 0.0021, 0)</f>
        <v>50.415700000000001</v>
      </c>
      <c r="I464" s="14">
        <f>50.4136 * CHOOSE(CONTROL!$C$9, $D$9, 100%, $F$9) + CHOOSE(CONTROL!$C$27, 0.0021, 0)</f>
        <v>50.415700000000001</v>
      </c>
      <c r="J464" s="14">
        <f>50.4136 * CHOOSE(CONTROL!$C$9, $D$9, 100%, $F$9) + CHOOSE(CONTROL!$C$27, 0.0021, 0)</f>
        <v>50.415700000000001</v>
      </c>
      <c r="K464" s="14">
        <f>50.4136 * CHOOSE(CONTROL!$C$9, $D$9, 100%, $F$9) + CHOOSE(CONTROL!$C$27, 0.0021, 0)</f>
        <v>50.415700000000001</v>
      </c>
      <c r="L464" s="14"/>
    </row>
    <row r="465" spans="1:12" ht="15.75" x14ac:dyDescent="0.25">
      <c r="A465" s="33">
        <v>55092</v>
      </c>
      <c r="B465" s="14">
        <f>52.0707 * CHOOSE(CONTROL!$C$9, $D$9, 100%, $F$9) + CHOOSE(CONTROL!$C$27, 0.0021, 0)</f>
        <v>52.072800000000001</v>
      </c>
      <c r="C465" s="14">
        <f>51.6385 * CHOOSE(CONTROL!$C$9, $D$9, 100%, $F$9) + CHOOSE(CONTROL!$C$27, 0.0021, 0)</f>
        <v>51.640599999999999</v>
      </c>
      <c r="D465" s="14">
        <f>51.6385 * CHOOSE(CONTROL!$C$9, $D$9, 100%, $F$9) + CHOOSE(CONTROL!$C$27, 0.0021, 0)</f>
        <v>51.640599999999999</v>
      </c>
      <c r="E465" s="14">
        <f>51.5018 * CHOOSE(CONTROL!$C$9, $D$9, 100%, $F$9) + CHOOSE(CONTROL!$C$27, 0.0021, 0)</f>
        <v>51.503900000000002</v>
      </c>
      <c r="F465" s="14">
        <f>51.5018 * CHOOSE(CONTROL!$C$9, $D$9, 100%, $F$9) + CHOOSE(CONTROL!$C$27, 0.0021, 0)</f>
        <v>51.503900000000002</v>
      </c>
      <c r="G465" s="14">
        <f>51.7732 * CHOOSE(CONTROL!$C$9, $D$9, 100%, $F$9) + CHOOSE(CONTROL!$C$27, 0.0021, 0)</f>
        <v>51.775300000000001</v>
      </c>
      <c r="H465" s="14">
        <f>51.6385 * CHOOSE(CONTROL!$C$9, $D$9, 100%, $F$9) + CHOOSE(CONTROL!$C$27, 0.0021, 0)</f>
        <v>51.640599999999999</v>
      </c>
      <c r="I465" s="14">
        <f>51.6385 * CHOOSE(CONTROL!$C$9, $D$9, 100%, $F$9) + CHOOSE(CONTROL!$C$27, 0.0021, 0)</f>
        <v>51.640599999999999</v>
      </c>
      <c r="J465" s="14">
        <f>51.6385 * CHOOSE(CONTROL!$C$9, $D$9, 100%, $F$9) + CHOOSE(CONTROL!$C$27, 0.0021, 0)</f>
        <v>51.640599999999999</v>
      </c>
      <c r="K465" s="14">
        <f>51.6385 * CHOOSE(CONTROL!$C$9, $D$9, 100%, $F$9) + CHOOSE(CONTROL!$C$27, 0.0021, 0)</f>
        <v>51.640599999999999</v>
      </c>
      <c r="L465" s="14"/>
    </row>
    <row r="466" spans="1:12" ht="15.75" x14ac:dyDescent="0.25">
      <c r="A466" s="33">
        <v>55122</v>
      </c>
      <c r="B466" s="14">
        <f>52.1857 * CHOOSE(CONTROL!$C$9, $D$9, 100%, $F$9) + CHOOSE(CONTROL!$C$27, 0.0021, 0)</f>
        <v>52.187799999999996</v>
      </c>
      <c r="C466" s="14">
        <f>51.7535 * CHOOSE(CONTROL!$C$9, $D$9, 100%, $F$9) + CHOOSE(CONTROL!$C$27, 0.0021, 0)</f>
        <v>51.755600000000001</v>
      </c>
      <c r="D466" s="14">
        <f>51.7535 * CHOOSE(CONTROL!$C$9, $D$9, 100%, $F$9) + CHOOSE(CONTROL!$C$27, 0.0021, 0)</f>
        <v>51.755600000000001</v>
      </c>
      <c r="E466" s="14">
        <f>51.6168 * CHOOSE(CONTROL!$C$9, $D$9, 100%, $F$9) + CHOOSE(CONTROL!$C$27, 0.0021, 0)</f>
        <v>51.618899999999996</v>
      </c>
      <c r="F466" s="14">
        <f>51.6168 * CHOOSE(CONTROL!$C$9, $D$9, 100%, $F$9) + CHOOSE(CONTROL!$C$27, 0.0021, 0)</f>
        <v>51.618899999999996</v>
      </c>
      <c r="G466" s="14">
        <f>51.8882 * CHOOSE(CONTROL!$C$9, $D$9, 100%, $F$9) + CHOOSE(CONTROL!$C$27, 0.0021, 0)</f>
        <v>51.890299999999996</v>
      </c>
      <c r="H466" s="14">
        <f>51.7535 * CHOOSE(CONTROL!$C$9, $D$9, 100%, $F$9) + CHOOSE(CONTROL!$C$27, 0.0021, 0)</f>
        <v>51.755600000000001</v>
      </c>
      <c r="I466" s="14">
        <f>51.7535 * CHOOSE(CONTROL!$C$9, $D$9, 100%, $F$9) + CHOOSE(CONTROL!$C$27, 0.0021, 0)</f>
        <v>51.755600000000001</v>
      </c>
      <c r="J466" s="14">
        <f>51.7535 * CHOOSE(CONTROL!$C$9, $D$9, 100%, $F$9) + CHOOSE(CONTROL!$C$27, 0.0021, 0)</f>
        <v>51.755600000000001</v>
      </c>
      <c r="K466" s="14">
        <f>51.7535 * CHOOSE(CONTROL!$C$9, $D$9, 100%, $F$9) + CHOOSE(CONTROL!$C$27, 0.0021, 0)</f>
        <v>51.755600000000001</v>
      </c>
      <c r="L466" s="14"/>
    </row>
    <row r="467" spans="1:12" ht="15.75" x14ac:dyDescent="0.25">
      <c r="A467" s="33">
        <v>55153</v>
      </c>
      <c r="B467" s="14">
        <f>51.2074 * CHOOSE(CONTROL!$C$9, $D$9, 100%, $F$9) + CHOOSE(CONTROL!$C$27, 0.0021, 0)</f>
        <v>51.209499999999998</v>
      </c>
      <c r="C467" s="14">
        <f>50.7752 * CHOOSE(CONTROL!$C$9, $D$9, 100%, $F$9) + CHOOSE(CONTROL!$C$27, 0.0021, 0)</f>
        <v>50.777299999999997</v>
      </c>
      <c r="D467" s="14">
        <f>50.7752 * CHOOSE(CONTROL!$C$9, $D$9, 100%, $F$9) + CHOOSE(CONTROL!$C$27, 0.0021, 0)</f>
        <v>50.777299999999997</v>
      </c>
      <c r="E467" s="14">
        <f>50.6385 * CHOOSE(CONTROL!$C$9, $D$9, 100%, $F$9) + CHOOSE(CONTROL!$C$27, 0.0021, 0)</f>
        <v>50.640599999999999</v>
      </c>
      <c r="F467" s="14">
        <f>50.6385 * CHOOSE(CONTROL!$C$9, $D$9, 100%, $F$9) + CHOOSE(CONTROL!$C$27, 0.0021, 0)</f>
        <v>50.640599999999999</v>
      </c>
      <c r="G467" s="14">
        <f>50.9099 * CHOOSE(CONTROL!$C$9, $D$9, 100%, $F$9) + CHOOSE(CONTROL!$C$27, 0.0021, 0)</f>
        <v>50.911999999999999</v>
      </c>
      <c r="H467" s="14">
        <f>50.7752 * CHOOSE(CONTROL!$C$9, $D$9, 100%, $F$9) + CHOOSE(CONTROL!$C$27, 0.0021, 0)</f>
        <v>50.777299999999997</v>
      </c>
      <c r="I467" s="14">
        <f>50.7752 * CHOOSE(CONTROL!$C$9, $D$9, 100%, $F$9) + CHOOSE(CONTROL!$C$27, 0.0021, 0)</f>
        <v>50.777299999999997</v>
      </c>
      <c r="J467" s="14">
        <f>50.7752 * CHOOSE(CONTROL!$C$9, $D$9, 100%, $F$9) + CHOOSE(CONTROL!$C$27, 0.0021, 0)</f>
        <v>50.777299999999997</v>
      </c>
      <c r="K467" s="14">
        <f>50.7752 * CHOOSE(CONTROL!$C$9, $D$9, 100%, $F$9) + CHOOSE(CONTROL!$C$27, 0.0021, 0)</f>
        <v>50.777299999999997</v>
      </c>
      <c r="L467" s="14"/>
    </row>
    <row r="468" spans="1:12" ht="15.75" x14ac:dyDescent="0.25">
      <c r="A468" s="33">
        <v>55184</v>
      </c>
      <c r="B468" s="14">
        <f>50.5665 * CHOOSE(CONTROL!$C$9, $D$9, 100%, $F$9) + CHOOSE(CONTROL!$C$27, 0.0021, 0)</f>
        <v>50.568599999999996</v>
      </c>
      <c r="C468" s="14">
        <f>50.1343 * CHOOSE(CONTROL!$C$9, $D$9, 100%, $F$9) + CHOOSE(CONTROL!$C$27, 0.0021, 0)</f>
        <v>50.136400000000002</v>
      </c>
      <c r="D468" s="14">
        <f>50.1343 * CHOOSE(CONTROL!$C$9, $D$9, 100%, $F$9) + CHOOSE(CONTROL!$C$27, 0.0021, 0)</f>
        <v>50.136400000000002</v>
      </c>
      <c r="E468" s="14">
        <f>49.9976 * CHOOSE(CONTROL!$C$9, $D$9, 100%, $F$9) + CHOOSE(CONTROL!$C$27, 0.0021, 0)</f>
        <v>49.999699999999997</v>
      </c>
      <c r="F468" s="14">
        <f>49.9976 * CHOOSE(CONTROL!$C$9, $D$9, 100%, $F$9) + CHOOSE(CONTROL!$C$27, 0.0021, 0)</f>
        <v>49.999699999999997</v>
      </c>
      <c r="G468" s="14">
        <f>50.269 * CHOOSE(CONTROL!$C$9, $D$9, 100%, $F$9) + CHOOSE(CONTROL!$C$27, 0.0021, 0)</f>
        <v>50.271099999999997</v>
      </c>
      <c r="H468" s="14">
        <f>50.1343 * CHOOSE(CONTROL!$C$9, $D$9, 100%, $F$9) + CHOOSE(CONTROL!$C$27, 0.0021, 0)</f>
        <v>50.136400000000002</v>
      </c>
      <c r="I468" s="14">
        <f>50.1343 * CHOOSE(CONTROL!$C$9, $D$9, 100%, $F$9) + CHOOSE(CONTROL!$C$27, 0.0021, 0)</f>
        <v>50.136400000000002</v>
      </c>
      <c r="J468" s="14">
        <f>50.1343 * CHOOSE(CONTROL!$C$9, $D$9, 100%, $F$9) + CHOOSE(CONTROL!$C$27, 0.0021, 0)</f>
        <v>50.136400000000002</v>
      </c>
      <c r="K468" s="14">
        <f>50.1343 * CHOOSE(CONTROL!$C$9, $D$9, 100%, $F$9) + CHOOSE(CONTROL!$C$27, 0.0021, 0)</f>
        <v>50.136400000000002</v>
      </c>
      <c r="L468" s="14"/>
    </row>
    <row r="469" spans="1:12" ht="15.75" x14ac:dyDescent="0.25">
      <c r="A469" s="33">
        <v>55212</v>
      </c>
      <c r="B469" s="14">
        <f>49.2011 * CHOOSE(CONTROL!$C$9, $D$9, 100%, $F$9) + CHOOSE(CONTROL!$C$27, 0.0021, 0)</f>
        <v>49.203199999999995</v>
      </c>
      <c r="C469" s="14">
        <f>48.7688 * CHOOSE(CONTROL!$C$9, $D$9, 100%, $F$9) + CHOOSE(CONTROL!$C$27, 0.0021, 0)</f>
        <v>48.770899999999997</v>
      </c>
      <c r="D469" s="14">
        <f>48.7688 * CHOOSE(CONTROL!$C$9, $D$9, 100%, $F$9) + CHOOSE(CONTROL!$C$27, 0.0021, 0)</f>
        <v>48.770899999999997</v>
      </c>
      <c r="E469" s="14">
        <f>48.6322 * CHOOSE(CONTROL!$C$9, $D$9, 100%, $F$9) + CHOOSE(CONTROL!$C$27, 0.0021, 0)</f>
        <v>48.634299999999996</v>
      </c>
      <c r="F469" s="14">
        <f>48.6322 * CHOOSE(CONTROL!$C$9, $D$9, 100%, $F$9) + CHOOSE(CONTROL!$C$27, 0.0021, 0)</f>
        <v>48.634299999999996</v>
      </c>
      <c r="G469" s="14">
        <f>48.9036 * CHOOSE(CONTROL!$C$9, $D$9, 100%, $F$9) + CHOOSE(CONTROL!$C$27, 0.0021, 0)</f>
        <v>48.905699999999996</v>
      </c>
      <c r="H469" s="14">
        <f>48.7688 * CHOOSE(CONTROL!$C$9, $D$9, 100%, $F$9) + CHOOSE(CONTROL!$C$27, 0.0021, 0)</f>
        <v>48.770899999999997</v>
      </c>
      <c r="I469" s="14">
        <f>48.7688 * CHOOSE(CONTROL!$C$9, $D$9, 100%, $F$9) + CHOOSE(CONTROL!$C$27, 0.0021, 0)</f>
        <v>48.770899999999997</v>
      </c>
      <c r="J469" s="14">
        <f>48.7688 * CHOOSE(CONTROL!$C$9, $D$9, 100%, $F$9) + CHOOSE(CONTROL!$C$27, 0.0021, 0)</f>
        <v>48.770899999999997</v>
      </c>
      <c r="K469" s="14">
        <f>48.7688 * CHOOSE(CONTROL!$C$9, $D$9, 100%, $F$9) + CHOOSE(CONTROL!$C$27, 0.0021, 0)</f>
        <v>48.770899999999997</v>
      </c>
      <c r="L469" s="14"/>
    </row>
    <row r="470" spans="1:12" ht="15.75" x14ac:dyDescent="0.25">
      <c r="A470" s="33">
        <v>55243</v>
      </c>
      <c r="B470" s="14">
        <f>48.6374 * CHOOSE(CONTROL!$C$9, $D$9, 100%, $F$9) + CHOOSE(CONTROL!$C$27, 0.0021, 0)</f>
        <v>48.639499999999998</v>
      </c>
      <c r="C470" s="14">
        <f>48.2052 * CHOOSE(CONTROL!$C$9, $D$9, 100%, $F$9) + CHOOSE(CONTROL!$C$27, 0.0021, 0)</f>
        <v>48.207299999999996</v>
      </c>
      <c r="D470" s="14">
        <f>48.2052 * CHOOSE(CONTROL!$C$9, $D$9, 100%, $F$9) + CHOOSE(CONTROL!$C$27, 0.0021, 0)</f>
        <v>48.207299999999996</v>
      </c>
      <c r="E470" s="14">
        <f>48.0685 * CHOOSE(CONTROL!$C$9, $D$9, 100%, $F$9) + CHOOSE(CONTROL!$C$27, 0.0021, 0)</f>
        <v>48.070599999999999</v>
      </c>
      <c r="F470" s="14">
        <f>48.0685 * CHOOSE(CONTROL!$C$9, $D$9, 100%, $F$9) + CHOOSE(CONTROL!$C$27, 0.0021, 0)</f>
        <v>48.070599999999999</v>
      </c>
      <c r="G470" s="14">
        <f>48.3399 * CHOOSE(CONTROL!$C$9, $D$9, 100%, $F$9) + CHOOSE(CONTROL!$C$27, 0.0021, 0)</f>
        <v>48.341999999999999</v>
      </c>
      <c r="H470" s="14">
        <f>48.2052 * CHOOSE(CONTROL!$C$9, $D$9, 100%, $F$9) + CHOOSE(CONTROL!$C$27, 0.0021, 0)</f>
        <v>48.207299999999996</v>
      </c>
      <c r="I470" s="14">
        <f>48.2052 * CHOOSE(CONTROL!$C$9, $D$9, 100%, $F$9) + CHOOSE(CONTROL!$C$27, 0.0021, 0)</f>
        <v>48.207299999999996</v>
      </c>
      <c r="J470" s="14">
        <f>48.2052 * CHOOSE(CONTROL!$C$9, $D$9, 100%, $F$9) + CHOOSE(CONTROL!$C$27, 0.0021, 0)</f>
        <v>48.207299999999996</v>
      </c>
      <c r="K470" s="14">
        <f>48.2052 * CHOOSE(CONTROL!$C$9, $D$9, 100%, $F$9) + CHOOSE(CONTROL!$C$27, 0.0021, 0)</f>
        <v>48.207299999999996</v>
      </c>
      <c r="L470" s="14"/>
    </row>
    <row r="471" spans="1:12" ht="15.75" x14ac:dyDescent="0.25">
      <c r="A471" s="33">
        <v>55273</v>
      </c>
      <c r="B471" s="14">
        <f>47.9644 * CHOOSE(CONTROL!$C$9, $D$9, 100%, $F$9) + CHOOSE(CONTROL!$C$27, 0.0021, 0)</f>
        <v>47.966499999999996</v>
      </c>
      <c r="C471" s="14">
        <f>47.5322 * CHOOSE(CONTROL!$C$9, $D$9, 100%, $F$9) + CHOOSE(CONTROL!$C$27, 0.0021, 0)</f>
        <v>47.534300000000002</v>
      </c>
      <c r="D471" s="14">
        <f>47.5322 * CHOOSE(CONTROL!$C$9, $D$9, 100%, $F$9) + CHOOSE(CONTROL!$C$27, 0.0021, 0)</f>
        <v>47.534300000000002</v>
      </c>
      <c r="E471" s="14">
        <f>47.3955 * CHOOSE(CONTROL!$C$9, $D$9, 100%, $F$9) + CHOOSE(CONTROL!$C$27, 0.0021, 0)</f>
        <v>47.397599999999997</v>
      </c>
      <c r="F471" s="14">
        <f>47.3955 * CHOOSE(CONTROL!$C$9, $D$9, 100%, $F$9) + CHOOSE(CONTROL!$C$27, 0.0021, 0)</f>
        <v>47.397599999999997</v>
      </c>
      <c r="G471" s="14">
        <f>47.6669 * CHOOSE(CONTROL!$C$9, $D$9, 100%, $F$9) + CHOOSE(CONTROL!$C$27, 0.0021, 0)</f>
        <v>47.668999999999997</v>
      </c>
      <c r="H471" s="14">
        <f>47.5322 * CHOOSE(CONTROL!$C$9, $D$9, 100%, $F$9) + CHOOSE(CONTROL!$C$27, 0.0021, 0)</f>
        <v>47.534300000000002</v>
      </c>
      <c r="I471" s="14">
        <f>47.5322 * CHOOSE(CONTROL!$C$9, $D$9, 100%, $F$9) + CHOOSE(CONTROL!$C$27, 0.0021, 0)</f>
        <v>47.534300000000002</v>
      </c>
      <c r="J471" s="14">
        <f>47.5322 * CHOOSE(CONTROL!$C$9, $D$9, 100%, $F$9) + CHOOSE(CONTROL!$C$27, 0.0021, 0)</f>
        <v>47.534300000000002</v>
      </c>
      <c r="K471" s="14">
        <f>47.5322 * CHOOSE(CONTROL!$C$9, $D$9, 100%, $F$9) + CHOOSE(CONTROL!$C$27, 0.0021, 0)</f>
        <v>47.534300000000002</v>
      </c>
      <c r="L471" s="14"/>
    </row>
    <row r="472" spans="1:12" ht="15.75" x14ac:dyDescent="0.25">
      <c r="A472" s="33">
        <v>55304</v>
      </c>
      <c r="B472" s="14">
        <f>48.9235 * CHOOSE(CONTROL!$C$9, $D$9, 100%, $F$9) + CHOOSE(CONTROL!$C$27, 0.0021, 0)</f>
        <v>48.925599999999996</v>
      </c>
      <c r="C472" s="14">
        <f>48.4913 * CHOOSE(CONTROL!$C$9, $D$9, 100%, $F$9) + CHOOSE(CONTROL!$C$27, 0.0021, 0)</f>
        <v>48.493400000000001</v>
      </c>
      <c r="D472" s="14">
        <f>48.4913 * CHOOSE(CONTROL!$C$9, $D$9, 100%, $F$9) + CHOOSE(CONTROL!$C$27, 0.0021, 0)</f>
        <v>48.493400000000001</v>
      </c>
      <c r="E472" s="14">
        <f>48.3546 * CHOOSE(CONTROL!$C$9, $D$9, 100%, $F$9) + CHOOSE(CONTROL!$C$27, 0.0021, 0)</f>
        <v>48.356699999999996</v>
      </c>
      <c r="F472" s="14">
        <f>48.3546 * CHOOSE(CONTROL!$C$9, $D$9, 100%, $F$9) + CHOOSE(CONTROL!$C$27, 0.0021, 0)</f>
        <v>48.356699999999996</v>
      </c>
      <c r="G472" s="14">
        <f>48.626 * CHOOSE(CONTROL!$C$9, $D$9, 100%, $F$9) + CHOOSE(CONTROL!$C$27, 0.0021, 0)</f>
        <v>48.628099999999996</v>
      </c>
      <c r="H472" s="14">
        <f>48.4913 * CHOOSE(CONTROL!$C$9, $D$9, 100%, $F$9) + CHOOSE(CONTROL!$C$27, 0.0021, 0)</f>
        <v>48.493400000000001</v>
      </c>
      <c r="I472" s="14">
        <f>48.4913 * CHOOSE(CONTROL!$C$9, $D$9, 100%, $F$9) + CHOOSE(CONTROL!$C$27, 0.0021, 0)</f>
        <v>48.493400000000001</v>
      </c>
      <c r="J472" s="14">
        <f>48.4913 * CHOOSE(CONTROL!$C$9, $D$9, 100%, $F$9) + CHOOSE(CONTROL!$C$27, 0.0021, 0)</f>
        <v>48.493400000000001</v>
      </c>
      <c r="K472" s="14">
        <f>48.4913 * CHOOSE(CONTROL!$C$9, $D$9, 100%, $F$9) + CHOOSE(CONTROL!$C$27, 0.0021, 0)</f>
        <v>48.493400000000001</v>
      </c>
      <c r="L472" s="14"/>
    </row>
    <row r="473" spans="1:12" ht="15.75" x14ac:dyDescent="0.25">
      <c r="A473" s="33">
        <v>55334</v>
      </c>
      <c r="B473" s="14">
        <f>49.498 * CHOOSE(CONTROL!$C$9, $D$9, 100%, $F$9) + CHOOSE(CONTROL!$C$27, 0.0021, 0)</f>
        <v>49.500099999999996</v>
      </c>
      <c r="C473" s="14">
        <f>49.0658 * CHOOSE(CONTROL!$C$9, $D$9, 100%, $F$9) + CHOOSE(CONTROL!$C$27, 0.0021, 0)</f>
        <v>49.067900000000002</v>
      </c>
      <c r="D473" s="14">
        <f>49.0658 * CHOOSE(CONTROL!$C$9, $D$9, 100%, $F$9) + CHOOSE(CONTROL!$C$27, 0.0021, 0)</f>
        <v>49.067900000000002</v>
      </c>
      <c r="E473" s="14">
        <f>48.9291 * CHOOSE(CONTROL!$C$9, $D$9, 100%, $F$9) + CHOOSE(CONTROL!$C$27, 0.0021, 0)</f>
        <v>48.931199999999997</v>
      </c>
      <c r="F473" s="14">
        <f>48.9291 * CHOOSE(CONTROL!$C$9, $D$9, 100%, $F$9) + CHOOSE(CONTROL!$C$27, 0.0021, 0)</f>
        <v>48.931199999999997</v>
      </c>
      <c r="G473" s="14">
        <f>49.2005 * CHOOSE(CONTROL!$C$9, $D$9, 100%, $F$9) + CHOOSE(CONTROL!$C$27, 0.0021, 0)</f>
        <v>49.202599999999997</v>
      </c>
      <c r="H473" s="14">
        <f>49.0658 * CHOOSE(CONTROL!$C$9, $D$9, 100%, $F$9) + CHOOSE(CONTROL!$C$27, 0.0021, 0)</f>
        <v>49.067900000000002</v>
      </c>
      <c r="I473" s="14">
        <f>49.0658 * CHOOSE(CONTROL!$C$9, $D$9, 100%, $F$9) + CHOOSE(CONTROL!$C$27, 0.0021, 0)</f>
        <v>49.067900000000002</v>
      </c>
      <c r="J473" s="14">
        <f>49.0658 * CHOOSE(CONTROL!$C$9, $D$9, 100%, $F$9) + CHOOSE(CONTROL!$C$27, 0.0021, 0)</f>
        <v>49.067900000000002</v>
      </c>
      <c r="K473" s="14">
        <f>49.0658 * CHOOSE(CONTROL!$C$9, $D$9, 100%, $F$9) + CHOOSE(CONTROL!$C$27, 0.0021, 0)</f>
        <v>49.067900000000002</v>
      </c>
      <c r="L473" s="14"/>
    </row>
    <row r="474" spans="1:12" ht="15.75" x14ac:dyDescent="0.25">
      <c r="A474" s="33">
        <v>55365</v>
      </c>
      <c r="B474" s="14">
        <f>50.4457 * CHOOSE(CONTROL!$C$9, $D$9, 100%, $F$9) + CHOOSE(CONTROL!$C$27, 0.0021, 0)</f>
        <v>50.447800000000001</v>
      </c>
      <c r="C474" s="14">
        <f>50.0135 * CHOOSE(CONTROL!$C$9, $D$9, 100%, $F$9) + CHOOSE(CONTROL!$C$27, 0.0021, 0)</f>
        <v>50.015599999999999</v>
      </c>
      <c r="D474" s="14">
        <f>50.0135 * CHOOSE(CONTROL!$C$9, $D$9, 100%, $F$9) + CHOOSE(CONTROL!$C$27, 0.0021, 0)</f>
        <v>50.015599999999999</v>
      </c>
      <c r="E474" s="14">
        <f>49.8768 * CHOOSE(CONTROL!$C$9, $D$9, 100%, $F$9) + CHOOSE(CONTROL!$C$27, 0.0021, 0)</f>
        <v>49.878900000000002</v>
      </c>
      <c r="F474" s="14">
        <f>49.8768 * CHOOSE(CONTROL!$C$9, $D$9, 100%, $F$9) + CHOOSE(CONTROL!$C$27, 0.0021, 0)</f>
        <v>49.878900000000002</v>
      </c>
      <c r="G474" s="14">
        <f>50.1482 * CHOOSE(CONTROL!$C$9, $D$9, 100%, $F$9) + CHOOSE(CONTROL!$C$27, 0.0021, 0)</f>
        <v>50.150300000000001</v>
      </c>
      <c r="H474" s="14">
        <f>50.0135 * CHOOSE(CONTROL!$C$9, $D$9, 100%, $F$9) + CHOOSE(CONTROL!$C$27, 0.0021, 0)</f>
        <v>50.015599999999999</v>
      </c>
      <c r="I474" s="14">
        <f>50.0135 * CHOOSE(CONTROL!$C$9, $D$9, 100%, $F$9) + CHOOSE(CONTROL!$C$27, 0.0021, 0)</f>
        <v>50.015599999999999</v>
      </c>
      <c r="J474" s="14">
        <f>50.0135 * CHOOSE(CONTROL!$C$9, $D$9, 100%, $F$9) + CHOOSE(CONTROL!$C$27, 0.0021, 0)</f>
        <v>50.015599999999999</v>
      </c>
      <c r="K474" s="14">
        <f>50.0135 * CHOOSE(CONTROL!$C$9, $D$9, 100%, $F$9) + CHOOSE(CONTROL!$C$27, 0.0021, 0)</f>
        <v>50.015599999999999</v>
      </c>
      <c r="L474" s="14"/>
    </row>
    <row r="475" spans="1:12" ht="15.75" x14ac:dyDescent="0.25">
      <c r="A475" s="33">
        <v>55396</v>
      </c>
      <c r="B475" s="14">
        <f>50.735 * CHOOSE(CONTROL!$C$9, $D$9, 100%, $F$9) + CHOOSE(CONTROL!$C$27, 0.0021, 0)</f>
        <v>50.737099999999998</v>
      </c>
      <c r="C475" s="14">
        <f>50.3027 * CHOOSE(CONTROL!$C$9, $D$9, 100%, $F$9) + CHOOSE(CONTROL!$C$27, 0.0021, 0)</f>
        <v>50.3048</v>
      </c>
      <c r="D475" s="14">
        <f>50.3027 * CHOOSE(CONTROL!$C$9, $D$9, 100%, $F$9) + CHOOSE(CONTROL!$C$27, 0.0021, 0)</f>
        <v>50.3048</v>
      </c>
      <c r="E475" s="14">
        <f>50.1661 * CHOOSE(CONTROL!$C$9, $D$9, 100%, $F$9) + CHOOSE(CONTROL!$C$27, 0.0021, 0)</f>
        <v>50.168199999999999</v>
      </c>
      <c r="F475" s="14">
        <f>50.1661 * CHOOSE(CONTROL!$C$9, $D$9, 100%, $F$9) + CHOOSE(CONTROL!$C$27, 0.0021, 0)</f>
        <v>50.168199999999999</v>
      </c>
      <c r="G475" s="14">
        <f>50.4374 * CHOOSE(CONTROL!$C$9, $D$9, 100%, $F$9) + CHOOSE(CONTROL!$C$27, 0.0021, 0)</f>
        <v>50.439499999999995</v>
      </c>
      <c r="H475" s="14">
        <f>50.3027 * CHOOSE(CONTROL!$C$9, $D$9, 100%, $F$9) + CHOOSE(CONTROL!$C$27, 0.0021, 0)</f>
        <v>50.3048</v>
      </c>
      <c r="I475" s="14">
        <f>50.3027 * CHOOSE(CONTROL!$C$9, $D$9, 100%, $F$9) + CHOOSE(CONTROL!$C$27, 0.0021, 0)</f>
        <v>50.3048</v>
      </c>
      <c r="J475" s="14">
        <f>50.3027 * CHOOSE(CONTROL!$C$9, $D$9, 100%, $F$9) + CHOOSE(CONTROL!$C$27, 0.0021, 0)</f>
        <v>50.3048</v>
      </c>
      <c r="K475" s="14">
        <f>50.3027 * CHOOSE(CONTROL!$C$9, $D$9, 100%, $F$9) + CHOOSE(CONTROL!$C$27, 0.0021, 0)</f>
        <v>50.3048</v>
      </c>
      <c r="L475" s="14"/>
    </row>
    <row r="476" spans="1:12" ht="15.75" x14ac:dyDescent="0.25">
      <c r="A476" s="33">
        <v>55426</v>
      </c>
      <c r="B476" s="14">
        <f>51.7201 * CHOOSE(CONTROL!$C$9, $D$9, 100%, $F$9) + CHOOSE(CONTROL!$C$27, 0.0021, 0)</f>
        <v>51.722200000000001</v>
      </c>
      <c r="C476" s="14">
        <f>51.2878 * CHOOSE(CONTROL!$C$9, $D$9, 100%, $F$9) + CHOOSE(CONTROL!$C$27, 0.0021, 0)</f>
        <v>51.289899999999996</v>
      </c>
      <c r="D476" s="14">
        <f>51.2878 * CHOOSE(CONTROL!$C$9, $D$9, 100%, $F$9) + CHOOSE(CONTROL!$C$27, 0.0021, 0)</f>
        <v>51.289899999999996</v>
      </c>
      <c r="E476" s="14">
        <f>51.1511 * CHOOSE(CONTROL!$C$9, $D$9, 100%, $F$9) + CHOOSE(CONTROL!$C$27, 0.0021, 0)</f>
        <v>51.153199999999998</v>
      </c>
      <c r="F476" s="14">
        <f>51.1511 * CHOOSE(CONTROL!$C$9, $D$9, 100%, $F$9) + CHOOSE(CONTROL!$C$27, 0.0021, 0)</f>
        <v>51.153199999999998</v>
      </c>
      <c r="G476" s="14">
        <f>51.4225 * CHOOSE(CONTROL!$C$9, $D$9, 100%, $F$9) + CHOOSE(CONTROL!$C$27, 0.0021, 0)</f>
        <v>51.424599999999998</v>
      </c>
      <c r="H476" s="14">
        <f>51.2878 * CHOOSE(CONTROL!$C$9, $D$9, 100%, $F$9) + CHOOSE(CONTROL!$C$27, 0.0021, 0)</f>
        <v>51.289899999999996</v>
      </c>
      <c r="I476" s="14">
        <f>51.2878 * CHOOSE(CONTROL!$C$9, $D$9, 100%, $F$9) + CHOOSE(CONTROL!$C$27, 0.0021, 0)</f>
        <v>51.289899999999996</v>
      </c>
      <c r="J476" s="14">
        <f>51.2878 * CHOOSE(CONTROL!$C$9, $D$9, 100%, $F$9) + CHOOSE(CONTROL!$C$27, 0.0021, 0)</f>
        <v>51.289899999999996</v>
      </c>
      <c r="K476" s="14">
        <f>51.2878 * CHOOSE(CONTROL!$C$9, $D$9, 100%, $F$9) + CHOOSE(CONTROL!$C$27, 0.0021, 0)</f>
        <v>51.289899999999996</v>
      </c>
      <c r="L476" s="14"/>
    </row>
    <row r="477" spans="1:12" ht="15.75" x14ac:dyDescent="0.25">
      <c r="A477" s="33">
        <v>55457</v>
      </c>
      <c r="B477" s="14">
        <f>52.967 * CHOOSE(CONTROL!$C$9, $D$9, 100%, $F$9) + CHOOSE(CONTROL!$C$27, 0.0021, 0)</f>
        <v>52.969099999999997</v>
      </c>
      <c r="C477" s="14">
        <f>52.5347 * CHOOSE(CONTROL!$C$9, $D$9, 100%, $F$9) + CHOOSE(CONTROL!$C$27, 0.0021, 0)</f>
        <v>52.536799999999999</v>
      </c>
      <c r="D477" s="14">
        <f>52.5347 * CHOOSE(CONTROL!$C$9, $D$9, 100%, $F$9) + CHOOSE(CONTROL!$C$27, 0.0021, 0)</f>
        <v>52.536799999999999</v>
      </c>
      <c r="E477" s="14">
        <f>52.3981 * CHOOSE(CONTROL!$C$9, $D$9, 100%, $F$9) + CHOOSE(CONTROL!$C$27, 0.0021, 0)</f>
        <v>52.400199999999998</v>
      </c>
      <c r="F477" s="14">
        <f>52.3981 * CHOOSE(CONTROL!$C$9, $D$9, 100%, $F$9) + CHOOSE(CONTROL!$C$27, 0.0021, 0)</f>
        <v>52.400199999999998</v>
      </c>
      <c r="G477" s="14">
        <f>52.6695 * CHOOSE(CONTROL!$C$9, $D$9, 100%, $F$9) + CHOOSE(CONTROL!$C$27, 0.0021, 0)</f>
        <v>52.671599999999998</v>
      </c>
      <c r="H477" s="14">
        <f>52.5347 * CHOOSE(CONTROL!$C$9, $D$9, 100%, $F$9) + CHOOSE(CONTROL!$C$27, 0.0021, 0)</f>
        <v>52.536799999999999</v>
      </c>
      <c r="I477" s="14">
        <f>52.5347 * CHOOSE(CONTROL!$C$9, $D$9, 100%, $F$9) + CHOOSE(CONTROL!$C$27, 0.0021, 0)</f>
        <v>52.536799999999999</v>
      </c>
      <c r="J477" s="14">
        <f>52.5347 * CHOOSE(CONTROL!$C$9, $D$9, 100%, $F$9) + CHOOSE(CONTROL!$C$27, 0.0021, 0)</f>
        <v>52.536799999999999</v>
      </c>
      <c r="K477" s="14">
        <f>52.5347 * CHOOSE(CONTROL!$C$9, $D$9, 100%, $F$9) + CHOOSE(CONTROL!$C$27, 0.0021, 0)</f>
        <v>52.536799999999999</v>
      </c>
      <c r="L477" s="14"/>
    </row>
    <row r="478" spans="1:12" ht="15.75" x14ac:dyDescent="0.25">
      <c r="A478" s="33">
        <v>55487</v>
      </c>
      <c r="B478" s="14">
        <f>53.0841 * CHOOSE(CONTROL!$C$9, $D$9, 100%, $F$9) + CHOOSE(CONTROL!$C$27, 0.0021, 0)</f>
        <v>53.086199999999998</v>
      </c>
      <c r="C478" s="14">
        <f>52.6518 * CHOOSE(CONTROL!$C$9, $D$9, 100%, $F$9) + CHOOSE(CONTROL!$C$27, 0.0021, 0)</f>
        <v>52.6539</v>
      </c>
      <c r="D478" s="14">
        <f>52.6518 * CHOOSE(CONTROL!$C$9, $D$9, 100%, $F$9) + CHOOSE(CONTROL!$C$27, 0.0021, 0)</f>
        <v>52.6539</v>
      </c>
      <c r="E478" s="14">
        <f>52.5151 * CHOOSE(CONTROL!$C$9, $D$9, 100%, $F$9) + CHOOSE(CONTROL!$C$27, 0.0021, 0)</f>
        <v>52.517199999999995</v>
      </c>
      <c r="F478" s="14">
        <f>52.5151 * CHOOSE(CONTROL!$C$9, $D$9, 100%, $F$9) + CHOOSE(CONTROL!$C$27, 0.0021, 0)</f>
        <v>52.517199999999995</v>
      </c>
      <c r="G478" s="14">
        <f>52.7865 * CHOOSE(CONTROL!$C$9, $D$9, 100%, $F$9) + CHOOSE(CONTROL!$C$27, 0.0021, 0)</f>
        <v>52.788599999999995</v>
      </c>
      <c r="H478" s="14">
        <f>52.6518 * CHOOSE(CONTROL!$C$9, $D$9, 100%, $F$9) + CHOOSE(CONTROL!$C$27, 0.0021, 0)</f>
        <v>52.6539</v>
      </c>
      <c r="I478" s="14">
        <f>52.6518 * CHOOSE(CONTROL!$C$9, $D$9, 100%, $F$9) + CHOOSE(CONTROL!$C$27, 0.0021, 0)</f>
        <v>52.6539</v>
      </c>
      <c r="J478" s="14">
        <f>52.6518 * CHOOSE(CONTROL!$C$9, $D$9, 100%, $F$9) + CHOOSE(CONTROL!$C$27, 0.0021, 0)</f>
        <v>52.6539</v>
      </c>
      <c r="K478" s="14">
        <f>52.6518 * CHOOSE(CONTROL!$C$9, $D$9, 100%, $F$9) + CHOOSE(CONTROL!$C$27, 0.0021, 0)</f>
        <v>52.6539</v>
      </c>
      <c r="L478" s="14"/>
    </row>
    <row r="479" spans="1:12" ht="15.75" x14ac:dyDescent="0.25">
      <c r="A479" s="33">
        <v>55518</v>
      </c>
      <c r="B479" s="14">
        <f>52.0881 * CHOOSE(CONTROL!$C$9, $D$9, 100%, $F$9) + CHOOSE(CONTROL!$C$27, 0.0021, 0)</f>
        <v>52.090199999999996</v>
      </c>
      <c r="C479" s="14">
        <f>51.6559 * CHOOSE(CONTROL!$C$9, $D$9, 100%, $F$9) + CHOOSE(CONTROL!$C$27, 0.0021, 0)</f>
        <v>51.658000000000001</v>
      </c>
      <c r="D479" s="14">
        <f>51.6559 * CHOOSE(CONTROL!$C$9, $D$9, 100%, $F$9) + CHOOSE(CONTROL!$C$27, 0.0021, 0)</f>
        <v>51.658000000000001</v>
      </c>
      <c r="E479" s="14">
        <f>51.5192 * CHOOSE(CONTROL!$C$9, $D$9, 100%, $F$9) + CHOOSE(CONTROL!$C$27, 0.0021, 0)</f>
        <v>51.521299999999997</v>
      </c>
      <c r="F479" s="14">
        <f>51.5192 * CHOOSE(CONTROL!$C$9, $D$9, 100%, $F$9) + CHOOSE(CONTROL!$C$27, 0.0021, 0)</f>
        <v>51.521299999999997</v>
      </c>
      <c r="G479" s="14">
        <f>51.7906 * CHOOSE(CONTROL!$C$9, $D$9, 100%, $F$9) + CHOOSE(CONTROL!$C$27, 0.0021, 0)</f>
        <v>51.792699999999996</v>
      </c>
      <c r="H479" s="14">
        <f>51.6559 * CHOOSE(CONTROL!$C$9, $D$9, 100%, $F$9) + CHOOSE(CONTROL!$C$27, 0.0021, 0)</f>
        <v>51.658000000000001</v>
      </c>
      <c r="I479" s="14">
        <f>51.6559 * CHOOSE(CONTROL!$C$9, $D$9, 100%, $F$9) + CHOOSE(CONTROL!$C$27, 0.0021, 0)</f>
        <v>51.658000000000001</v>
      </c>
      <c r="J479" s="14">
        <f>51.6559 * CHOOSE(CONTROL!$C$9, $D$9, 100%, $F$9) + CHOOSE(CONTROL!$C$27, 0.0021, 0)</f>
        <v>51.658000000000001</v>
      </c>
      <c r="K479" s="14">
        <f>51.6559 * CHOOSE(CONTROL!$C$9, $D$9, 100%, $F$9) + CHOOSE(CONTROL!$C$27, 0.0021, 0)</f>
        <v>51.658000000000001</v>
      </c>
      <c r="L479" s="14"/>
    </row>
    <row r="480" spans="1:12" ht="15.75" x14ac:dyDescent="0.25">
      <c r="A480" s="33">
        <v>55549</v>
      </c>
      <c r="B480" s="14">
        <f>51.4357 * CHOOSE(CONTROL!$C$9, $D$9, 100%, $F$9) + CHOOSE(CONTROL!$C$27, 0.0021, 0)</f>
        <v>51.437799999999996</v>
      </c>
      <c r="C480" s="14">
        <f>51.0035 * CHOOSE(CONTROL!$C$9, $D$9, 100%, $F$9) + CHOOSE(CONTROL!$C$27, 0.0021, 0)</f>
        <v>51.005600000000001</v>
      </c>
      <c r="D480" s="14">
        <f>51.0035 * CHOOSE(CONTROL!$C$9, $D$9, 100%, $F$9) + CHOOSE(CONTROL!$C$27, 0.0021, 0)</f>
        <v>51.005600000000001</v>
      </c>
      <c r="E480" s="14">
        <f>50.8668 * CHOOSE(CONTROL!$C$9, $D$9, 100%, $F$9) + CHOOSE(CONTROL!$C$27, 0.0021, 0)</f>
        <v>50.868899999999996</v>
      </c>
      <c r="F480" s="14">
        <f>50.8668 * CHOOSE(CONTROL!$C$9, $D$9, 100%, $F$9) + CHOOSE(CONTROL!$C$27, 0.0021, 0)</f>
        <v>50.868899999999996</v>
      </c>
      <c r="G480" s="14">
        <f>51.1382 * CHOOSE(CONTROL!$C$9, $D$9, 100%, $F$9) + CHOOSE(CONTROL!$C$27, 0.0021, 0)</f>
        <v>51.140299999999996</v>
      </c>
      <c r="H480" s="14">
        <f>51.0035 * CHOOSE(CONTROL!$C$9, $D$9, 100%, $F$9) + CHOOSE(CONTROL!$C$27, 0.0021, 0)</f>
        <v>51.005600000000001</v>
      </c>
      <c r="I480" s="14">
        <f>51.0035 * CHOOSE(CONTROL!$C$9, $D$9, 100%, $F$9) + CHOOSE(CONTROL!$C$27, 0.0021, 0)</f>
        <v>51.005600000000001</v>
      </c>
      <c r="J480" s="14">
        <f>51.0035 * CHOOSE(CONTROL!$C$9, $D$9, 100%, $F$9) + CHOOSE(CONTROL!$C$27, 0.0021, 0)</f>
        <v>51.005600000000001</v>
      </c>
      <c r="K480" s="14">
        <f>51.0035 * CHOOSE(CONTROL!$C$9, $D$9, 100%, $F$9) + CHOOSE(CONTROL!$C$27, 0.0021, 0)</f>
        <v>51.005600000000001</v>
      </c>
      <c r="L480" s="14"/>
    </row>
    <row r="481" spans="1:12" ht="15.75" x14ac:dyDescent="0.25">
      <c r="A481" s="33">
        <v>55577</v>
      </c>
      <c r="B481" s="14">
        <f>50.0457 * CHOOSE(CONTROL!$C$9, $D$9, 100%, $F$9) + CHOOSE(CONTROL!$C$27, 0.0021, 0)</f>
        <v>50.047799999999995</v>
      </c>
      <c r="C481" s="14">
        <f>49.6134 * CHOOSE(CONTROL!$C$9, $D$9, 100%, $F$9) + CHOOSE(CONTROL!$C$27, 0.0021, 0)</f>
        <v>49.615499999999997</v>
      </c>
      <c r="D481" s="14">
        <f>49.6134 * CHOOSE(CONTROL!$C$9, $D$9, 100%, $F$9) + CHOOSE(CONTROL!$C$27, 0.0021, 0)</f>
        <v>49.615499999999997</v>
      </c>
      <c r="E481" s="14">
        <f>49.4768 * CHOOSE(CONTROL!$C$9, $D$9, 100%, $F$9) + CHOOSE(CONTROL!$C$27, 0.0021, 0)</f>
        <v>49.478899999999996</v>
      </c>
      <c r="F481" s="14">
        <f>49.4768 * CHOOSE(CONTROL!$C$9, $D$9, 100%, $F$9) + CHOOSE(CONTROL!$C$27, 0.0021, 0)</f>
        <v>49.478899999999996</v>
      </c>
      <c r="G481" s="14">
        <f>49.7481 * CHOOSE(CONTROL!$C$9, $D$9, 100%, $F$9) + CHOOSE(CONTROL!$C$27, 0.0021, 0)</f>
        <v>49.7502</v>
      </c>
      <c r="H481" s="14">
        <f>49.6134 * CHOOSE(CONTROL!$C$9, $D$9, 100%, $F$9) + CHOOSE(CONTROL!$C$27, 0.0021, 0)</f>
        <v>49.615499999999997</v>
      </c>
      <c r="I481" s="14">
        <f>49.6134 * CHOOSE(CONTROL!$C$9, $D$9, 100%, $F$9) + CHOOSE(CONTROL!$C$27, 0.0021, 0)</f>
        <v>49.615499999999997</v>
      </c>
      <c r="J481" s="14">
        <f>49.6134 * CHOOSE(CONTROL!$C$9, $D$9, 100%, $F$9) + CHOOSE(CONTROL!$C$27, 0.0021, 0)</f>
        <v>49.615499999999997</v>
      </c>
      <c r="K481" s="14">
        <f>49.6134 * CHOOSE(CONTROL!$C$9, $D$9, 100%, $F$9) + CHOOSE(CONTROL!$C$27, 0.0021, 0)</f>
        <v>49.615499999999997</v>
      </c>
      <c r="L481" s="14"/>
    </row>
    <row r="482" spans="1:12" ht="15.75" x14ac:dyDescent="0.25">
      <c r="A482" s="33">
        <v>55609</v>
      </c>
      <c r="B482" s="14">
        <f>49.4719 * CHOOSE(CONTROL!$C$9, $D$9, 100%, $F$9) + CHOOSE(CONTROL!$C$27, 0.0021, 0)</f>
        <v>49.473999999999997</v>
      </c>
      <c r="C482" s="14">
        <f>49.0396 * CHOOSE(CONTROL!$C$9, $D$9, 100%, $F$9) + CHOOSE(CONTROL!$C$27, 0.0021, 0)</f>
        <v>49.041699999999999</v>
      </c>
      <c r="D482" s="14">
        <f>49.0396 * CHOOSE(CONTROL!$C$9, $D$9, 100%, $F$9) + CHOOSE(CONTROL!$C$27, 0.0021, 0)</f>
        <v>49.041699999999999</v>
      </c>
      <c r="E482" s="14">
        <f>48.903 * CHOOSE(CONTROL!$C$9, $D$9, 100%, $F$9) + CHOOSE(CONTROL!$C$27, 0.0021, 0)</f>
        <v>48.905099999999997</v>
      </c>
      <c r="F482" s="14">
        <f>48.903 * CHOOSE(CONTROL!$C$9, $D$9, 100%, $F$9) + CHOOSE(CONTROL!$C$27, 0.0021, 0)</f>
        <v>48.905099999999997</v>
      </c>
      <c r="G482" s="14">
        <f>49.1743 * CHOOSE(CONTROL!$C$9, $D$9, 100%, $F$9) + CHOOSE(CONTROL!$C$27, 0.0021, 0)</f>
        <v>49.176400000000001</v>
      </c>
      <c r="H482" s="14">
        <f>49.0396 * CHOOSE(CONTROL!$C$9, $D$9, 100%, $F$9) + CHOOSE(CONTROL!$C$27, 0.0021, 0)</f>
        <v>49.041699999999999</v>
      </c>
      <c r="I482" s="14">
        <f>49.0396 * CHOOSE(CONTROL!$C$9, $D$9, 100%, $F$9) + CHOOSE(CONTROL!$C$27, 0.0021, 0)</f>
        <v>49.041699999999999</v>
      </c>
      <c r="J482" s="14">
        <f>49.0396 * CHOOSE(CONTROL!$C$9, $D$9, 100%, $F$9) + CHOOSE(CONTROL!$C$27, 0.0021, 0)</f>
        <v>49.041699999999999</v>
      </c>
      <c r="K482" s="14">
        <f>49.0396 * CHOOSE(CONTROL!$C$9, $D$9, 100%, $F$9) + CHOOSE(CONTROL!$C$27, 0.0021, 0)</f>
        <v>49.041699999999999</v>
      </c>
      <c r="L482" s="14"/>
    </row>
    <row r="483" spans="1:12" ht="15.75" x14ac:dyDescent="0.25">
      <c r="A483" s="33">
        <v>55639</v>
      </c>
      <c r="B483" s="14">
        <f>48.7867 * CHOOSE(CONTROL!$C$9, $D$9, 100%, $F$9) + CHOOSE(CONTROL!$C$27, 0.0021, 0)</f>
        <v>48.788800000000002</v>
      </c>
      <c r="C483" s="14">
        <f>48.3545 * CHOOSE(CONTROL!$C$9, $D$9, 100%, $F$9) + CHOOSE(CONTROL!$C$27, 0.0021, 0)</f>
        <v>48.3566</v>
      </c>
      <c r="D483" s="14">
        <f>48.3545 * CHOOSE(CONTROL!$C$9, $D$9, 100%, $F$9) + CHOOSE(CONTROL!$C$27, 0.0021, 0)</f>
        <v>48.3566</v>
      </c>
      <c r="E483" s="14">
        <f>48.2178 * CHOOSE(CONTROL!$C$9, $D$9, 100%, $F$9) + CHOOSE(CONTROL!$C$27, 0.0021, 0)</f>
        <v>48.219899999999996</v>
      </c>
      <c r="F483" s="14">
        <f>48.2178 * CHOOSE(CONTROL!$C$9, $D$9, 100%, $F$9) + CHOOSE(CONTROL!$C$27, 0.0021, 0)</f>
        <v>48.219899999999996</v>
      </c>
      <c r="G483" s="14">
        <f>48.4892 * CHOOSE(CONTROL!$C$9, $D$9, 100%, $F$9) + CHOOSE(CONTROL!$C$27, 0.0021, 0)</f>
        <v>48.491299999999995</v>
      </c>
      <c r="H483" s="14">
        <f>48.3545 * CHOOSE(CONTROL!$C$9, $D$9, 100%, $F$9) + CHOOSE(CONTROL!$C$27, 0.0021, 0)</f>
        <v>48.3566</v>
      </c>
      <c r="I483" s="14">
        <f>48.3545 * CHOOSE(CONTROL!$C$9, $D$9, 100%, $F$9) + CHOOSE(CONTROL!$C$27, 0.0021, 0)</f>
        <v>48.3566</v>
      </c>
      <c r="J483" s="14">
        <f>48.3545 * CHOOSE(CONTROL!$C$9, $D$9, 100%, $F$9) + CHOOSE(CONTROL!$C$27, 0.0021, 0)</f>
        <v>48.3566</v>
      </c>
      <c r="K483" s="14">
        <f>48.3545 * CHOOSE(CONTROL!$C$9, $D$9, 100%, $F$9) + CHOOSE(CONTROL!$C$27, 0.0021, 0)</f>
        <v>48.3566</v>
      </c>
      <c r="L483" s="14"/>
    </row>
    <row r="484" spans="1:12" ht="15.75" x14ac:dyDescent="0.25">
      <c r="A484" s="33">
        <v>55670</v>
      </c>
      <c r="B484" s="14">
        <f>49.7631 * CHOOSE(CONTROL!$C$9, $D$9, 100%, $F$9) + CHOOSE(CONTROL!$C$27, 0.0021, 0)</f>
        <v>49.7652</v>
      </c>
      <c r="C484" s="14">
        <f>49.3309 * CHOOSE(CONTROL!$C$9, $D$9, 100%, $F$9) + CHOOSE(CONTROL!$C$27, 0.0021, 0)</f>
        <v>49.332999999999998</v>
      </c>
      <c r="D484" s="14">
        <f>49.3309 * CHOOSE(CONTROL!$C$9, $D$9, 100%, $F$9) + CHOOSE(CONTROL!$C$27, 0.0021, 0)</f>
        <v>49.332999999999998</v>
      </c>
      <c r="E484" s="14">
        <f>49.1942 * CHOOSE(CONTROL!$C$9, $D$9, 100%, $F$9) + CHOOSE(CONTROL!$C$27, 0.0021, 0)</f>
        <v>49.196300000000001</v>
      </c>
      <c r="F484" s="14">
        <f>49.1942 * CHOOSE(CONTROL!$C$9, $D$9, 100%, $F$9) + CHOOSE(CONTROL!$C$27, 0.0021, 0)</f>
        <v>49.196300000000001</v>
      </c>
      <c r="G484" s="14">
        <f>49.4656 * CHOOSE(CONTROL!$C$9, $D$9, 100%, $F$9) + CHOOSE(CONTROL!$C$27, 0.0021, 0)</f>
        <v>49.467700000000001</v>
      </c>
      <c r="H484" s="14">
        <f>49.3309 * CHOOSE(CONTROL!$C$9, $D$9, 100%, $F$9) + CHOOSE(CONTROL!$C$27, 0.0021, 0)</f>
        <v>49.332999999999998</v>
      </c>
      <c r="I484" s="14">
        <f>49.3309 * CHOOSE(CONTROL!$C$9, $D$9, 100%, $F$9) + CHOOSE(CONTROL!$C$27, 0.0021, 0)</f>
        <v>49.332999999999998</v>
      </c>
      <c r="J484" s="14">
        <f>49.3309 * CHOOSE(CONTROL!$C$9, $D$9, 100%, $F$9) + CHOOSE(CONTROL!$C$27, 0.0021, 0)</f>
        <v>49.332999999999998</v>
      </c>
      <c r="K484" s="14">
        <f>49.3309 * CHOOSE(CONTROL!$C$9, $D$9, 100%, $F$9) + CHOOSE(CONTROL!$C$27, 0.0021, 0)</f>
        <v>49.332999999999998</v>
      </c>
      <c r="L484" s="14"/>
    </row>
    <row r="485" spans="1:12" ht="15.75" x14ac:dyDescent="0.25">
      <c r="A485" s="33">
        <v>55700</v>
      </c>
      <c r="B485" s="14">
        <f>50.348 * CHOOSE(CONTROL!$C$9, $D$9, 100%, $F$9) + CHOOSE(CONTROL!$C$27, 0.0021, 0)</f>
        <v>50.350099999999998</v>
      </c>
      <c r="C485" s="14">
        <f>49.9157 * CHOOSE(CONTROL!$C$9, $D$9, 100%, $F$9) + CHOOSE(CONTROL!$C$27, 0.0021, 0)</f>
        <v>49.9178</v>
      </c>
      <c r="D485" s="14">
        <f>49.9157 * CHOOSE(CONTROL!$C$9, $D$9, 100%, $F$9) + CHOOSE(CONTROL!$C$27, 0.0021, 0)</f>
        <v>49.9178</v>
      </c>
      <c r="E485" s="14">
        <f>49.7791 * CHOOSE(CONTROL!$C$9, $D$9, 100%, $F$9) + CHOOSE(CONTROL!$C$27, 0.0021, 0)</f>
        <v>49.781199999999998</v>
      </c>
      <c r="F485" s="14">
        <f>49.7791 * CHOOSE(CONTROL!$C$9, $D$9, 100%, $F$9) + CHOOSE(CONTROL!$C$27, 0.0021, 0)</f>
        <v>49.781199999999998</v>
      </c>
      <c r="G485" s="14">
        <f>50.0504 * CHOOSE(CONTROL!$C$9, $D$9, 100%, $F$9) + CHOOSE(CONTROL!$C$27, 0.0021, 0)</f>
        <v>50.052500000000002</v>
      </c>
      <c r="H485" s="14">
        <f>49.9157 * CHOOSE(CONTROL!$C$9, $D$9, 100%, $F$9) + CHOOSE(CONTROL!$C$27, 0.0021, 0)</f>
        <v>49.9178</v>
      </c>
      <c r="I485" s="14">
        <f>49.9157 * CHOOSE(CONTROL!$C$9, $D$9, 100%, $F$9) + CHOOSE(CONTROL!$C$27, 0.0021, 0)</f>
        <v>49.9178</v>
      </c>
      <c r="J485" s="14">
        <f>49.9157 * CHOOSE(CONTROL!$C$9, $D$9, 100%, $F$9) + CHOOSE(CONTROL!$C$27, 0.0021, 0)</f>
        <v>49.9178</v>
      </c>
      <c r="K485" s="14">
        <f>49.9157 * CHOOSE(CONTROL!$C$9, $D$9, 100%, $F$9) + CHOOSE(CONTROL!$C$27, 0.0021, 0)</f>
        <v>49.9178</v>
      </c>
      <c r="L485" s="14"/>
    </row>
    <row r="486" spans="1:12" ht="15.75" x14ac:dyDescent="0.25">
      <c r="A486" s="33">
        <v>55731</v>
      </c>
      <c r="B486" s="14">
        <f>51.3127 * CHOOSE(CONTROL!$C$9, $D$9, 100%, $F$9) + CHOOSE(CONTROL!$C$27, 0.0021, 0)</f>
        <v>51.314799999999998</v>
      </c>
      <c r="C486" s="14">
        <f>50.8805 * CHOOSE(CONTROL!$C$9, $D$9, 100%, $F$9) + CHOOSE(CONTROL!$C$27, 0.0021, 0)</f>
        <v>50.882599999999996</v>
      </c>
      <c r="D486" s="14">
        <f>50.8805 * CHOOSE(CONTROL!$C$9, $D$9, 100%, $F$9) + CHOOSE(CONTROL!$C$27, 0.0021, 0)</f>
        <v>50.882599999999996</v>
      </c>
      <c r="E486" s="14">
        <f>50.7438 * CHOOSE(CONTROL!$C$9, $D$9, 100%, $F$9) + CHOOSE(CONTROL!$C$27, 0.0021, 0)</f>
        <v>50.745899999999999</v>
      </c>
      <c r="F486" s="14">
        <f>50.7438 * CHOOSE(CONTROL!$C$9, $D$9, 100%, $F$9) + CHOOSE(CONTROL!$C$27, 0.0021, 0)</f>
        <v>50.745899999999999</v>
      </c>
      <c r="G486" s="14">
        <f>51.0152 * CHOOSE(CONTROL!$C$9, $D$9, 100%, $F$9) + CHOOSE(CONTROL!$C$27, 0.0021, 0)</f>
        <v>51.017299999999999</v>
      </c>
      <c r="H486" s="14">
        <f>50.8805 * CHOOSE(CONTROL!$C$9, $D$9, 100%, $F$9) + CHOOSE(CONTROL!$C$27, 0.0021, 0)</f>
        <v>50.882599999999996</v>
      </c>
      <c r="I486" s="14">
        <f>50.8805 * CHOOSE(CONTROL!$C$9, $D$9, 100%, $F$9) + CHOOSE(CONTROL!$C$27, 0.0021, 0)</f>
        <v>50.882599999999996</v>
      </c>
      <c r="J486" s="14">
        <f>50.8805 * CHOOSE(CONTROL!$C$9, $D$9, 100%, $F$9) + CHOOSE(CONTROL!$C$27, 0.0021, 0)</f>
        <v>50.882599999999996</v>
      </c>
      <c r="K486" s="14">
        <f>50.8805 * CHOOSE(CONTROL!$C$9, $D$9, 100%, $F$9) + CHOOSE(CONTROL!$C$27, 0.0021, 0)</f>
        <v>50.882599999999996</v>
      </c>
      <c r="L486" s="14"/>
    </row>
    <row r="487" spans="1:12" ht="15.75" x14ac:dyDescent="0.25">
      <c r="A487" s="33">
        <v>55762</v>
      </c>
      <c r="B487" s="14">
        <f>51.6072 * CHOOSE(CONTROL!$C$9, $D$9, 100%, $F$9) + CHOOSE(CONTROL!$C$27, 0.0021, 0)</f>
        <v>51.609299999999998</v>
      </c>
      <c r="C487" s="14">
        <f>51.1749 * CHOOSE(CONTROL!$C$9, $D$9, 100%, $F$9) + CHOOSE(CONTROL!$C$27, 0.0021, 0)</f>
        <v>51.177</v>
      </c>
      <c r="D487" s="14">
        <f>51.1749 * CHOOSE(CONTROL!$C$9, $D$9, 100%, $F$9) + CHOOSE(CONTROL!$C$27, 0.0021, 0)</f>
        <v>51.177</v>
      </c>
      <c r="E487" s="14">
        <f>51.0383 * CHOOSE(CONTROL!$C$9, $D$9, 100%, $F$9) + CHOOSE(CONTROL!$C$27, 0.0021, 0)</f>
        <v>51.040399999999998</v>
      </c>
      <c r="F487" s="14">
        <f>51.0383 * CHOOSE(CONTROL!$C$9, $D$9, 100%, $F$9) + CHOOSE(CONTROL!$C$27, 0.0021, 0)</f>
        <v>51.040399999999998</v>
      </c>
      <c r="G487" s="14">
        <f>51.3096 * CHOOSE(CONTROL!$C$9, $D$9, 100%, $F$9) + CHOOSE(CONTROL!$C$27, 0.0021, 0)</f>
        <v>51.311700000000002</v>
      </c>
      <c r="H487" s="14">
        <f>51.1749 * CHOOSE(CONTROL!$C$9, $D$9, 100%, $F$9) + CHOOSE(CONTROL!$C$27, 0.0021, 0)</f>
        <v>51.177</v>
      </c>
      <c r="I487" s="14">
        <f>51.1749 * CHOOSE(CONTROL!$C$9, $D$9, 100%, $F$9) + CHOOSE(CONTROL!$C$27, 0.0021, 0)</f>
        <v>51.177</v>
      </c>
      <c r="J487" s="14">
        <f>51.1749 * CHOOSE(CONTROL!$C$9, $D$9, 100%, $F$9) + CHOOSE(CONTROL!$C$27, 0.0021, 0)</f>
        <v>51.177</v>
      </c>
      <c r="K487" s="14">
        <f>51.1749 * CHOOSE(CONTROL!$C$9, $D$9, 100%, $F$9) + CHOOSE(CONTROL!$C$27, 0.0021, 0)</f>
        <v>51.177</v>
      </c>
      <c r="L487" s="14"/>
    </row>
    <row r="488" spans="1:12" ht="15.75" x14ac:dyDescent="0.25">
      <c r="A488" s="33">
        <v>55792</v>
      </c>
      <c r="B488" s="14">
        <f>52.61 * CHOOSE(CONTROL!$C$9, $D$9, 100%, $F$9) + CHOOSE(CONTROL!$C$27, 0.0021, 0)</f>
        <v>52.612099999999998</v>
      </c>
      <c r="C488" s="14">
        <f>52.1777 * CHOOSE(CONTROL!$C$9, $D$9, 100%, $F$9) + CHOOSE(CONTROL!$C$27, 0.0021, 0)</f>
        <v>52.1798</v>
      </c>
      <c r="D488" s="14">
        <f>52.1777 * CHOOSE(CONTROL!$C$9, $D$9, 100%, $F$9) + CHOOSE(CONTROL!$C$27, 0.0021, 0)</f>
        <v>52.1798</v>
      </c>
      <c r="E488" s="14">
        <f>52.0411 * CHOOSE(CONTROL!$C$9, $D$9, 100%, $F$9) + CHOOSE(CONTROL!$C$27, 0.0021, 0)</f>
        <v>52.043199999999999</v>
      </c>
      <c r="F488" s="14">
        <f>52.0411 * CHOOSE(CONTROL!$C$9, $D$9, 100%, $F$9) + CHOOSE(CONTROL!$C$27, 0.0021, 0)</f>
        <v>52.043199999999999</v>
      </c>
      <c r="G488" s="14">
        <f>52.3125 * CHOOSE(CONTROL!$C$9, $D$9, 100%, $F$9) + CHOOSE(CONTROL!$C$27, 0.0021, 0)</f>
        <v>52.314599999999999</v>
      </c>
      <c r="H488" s="14">
        <f>52.1777 * CHOOSE(CONTROL!$C$9, $D$9, 100%, $F$9) + CHOOSE(CONTROL!$C$27, 0.0021, 0)</f>
        <v>52.1798</v>
      </c>
      <c r="I488" s="14">
        <f>52.1777 * CHOOSE(CONTROL!$C$9, $D$9, 100%, $F$9) + CHOOSE(CONTROL!$C$27, 0.0021, 0)</f>
        <v>52.1798</v>
      </c>
      <c r="J488" s="14">
        <f>52.1777 * CHOOSE(CONTROL!$C$9, $D$9, 100%, $F$9) + CHOOSE(CONTROL!$C$27, 0.0021, 0)</f>
        <v>52.1798</v>
      </c>
      <c r="K488" s="14">
        <f>52.1777 * CHOOSE(CONTROL!$C$9, $D$9, 100%, $F$9) + CHOOSE(CONTROL!$C$27, 0.0021, 0)</f>
        <v>52.1798</v>
      </c>
      <c r="L488" s="14"/>
    </row>
    <row r="489" spans="1:12" ht="15.75" x14ac:dyDescent="0.25">
      <c r="A489" s="33">
        <v>55823</v>
      </c>
      <c r="B489" s="14">
        <f>53.8794 * CHOOSE(CONTROL!$C$9, $D$9, 100%, $F$9) + CHOOSE(CONTROL!$C$27, 0.0021, 0)</f>
        <v>53.881499999999996</v>
      </c>
      <c r="C489" s="14">
        <f>53.4471 * CHOOSE(CONTROL!$C$9, $D$9, 100%, $F$9) + CHOOSE(CONTROL!$C$27, 0.0021, 0)</f>
        <v>53.449199999999998</v>
      </c>
      <c r="D489" s="14">
        <f>53.4471 * CHOOSE(CONTROL!$C$9, $D$9, 100%, $F$9) + CHOOSE(CONTROL!$C$27, 0.0021, 0)</f>
        <v>53.449199999999998</v>
      </c>
      <c r="E489" s="14">
        <f>53.3105 * CHOOSE(CONTROL!$C$9, $D$9, 100%, $F$9) + CHOOSE(CONTROL!$C$27, 0.0021, 0)</f>
        <v>53.312599999999996</v>
      </c>
      <c r="F489" s="14">
        <f>53.3105 * CHOOSE(CONTROL!$C$9, $D$9, 100%, $F$9) + CHOOSE(CONTROL!$C$27, 0.0021, 0)</f>
        <v>53.312599999999996</v>
      </c>
      <c r="G489" s="14">
        <f>53.5819 * CHOOSE(CONTROL!$C$9, $D$9, 100%, $F$9) + CHOOSE(CONTROL!$C$27, 0.0021, 0)</f>
        <v>53.583999999999996</v>
      </c>
      <c r="H489" s="14">
        <f>53.4471 * CHOOSE(CONTROL!$C$9, $D$9, 100%, $F$9) + CHOOSE(CONTROL!$C$27, 0.0021, 0)</f>
        <v>53.449199999999998</v>
      </c>
      <c r="I489" s="14">
        <f>53.4471 * CHOOSE(CONTROL!$C$9, $D$9, 100%, $F$9) + CHOOSE(CONTROL!$C$27, 0.0021, 0)</f>
        <v>53.449199999999998</v>
      </c>
      <c r="J489" s="14">
        <f>53.4471 * CHOOSE(CONTROL!$C$9, $D$9, 100%, $F$9) + CHOOSE(CONTROL!$C$27, 0.0021, 0)</f>
        <v>53.449199999999998</v>
      </c>
      <c r="K489" s="14">
        <f>53.4471 * CHOOSE(CONTROL!$C$9, $D$9, 100%, $F$9) + CHOOSE(CONTROL!$C$27, 0.0021, 0)</f>
        <v>53.449199999999998</v>
      </c>
      <c r="L489" s="14"/>
    </row>
    <row r="490" spans="1:12" ht="15.75" x14ac:dyDescent="0.25">
      <c r="A490" s="33">
        <v>55853</v>
      </c>
      <c r="B490" s="14">
        <f>53.9986 * CHOOSE(CONTROL!$C$9, $D$9, 100%, $F$9) + CHOOSE(CONTROL!$C$27, 0.0021, 0)</f>
        <v>54.000700000000002</v>
      </c>
      <c r="C490" s="14">
        <f>53.5663 * CHOOSE(CONTROL!$C$9, $D$9, 100%, $F$9) + CHOOSE(CONTROL!$C$27, 0.0021, 0)</f>
        <v>53.568399999999997</v>
      </c>
      <c r="D490" s="14">
        <f>53.5663 * CHOOSE(CONTROL!$C$9, $D$9, 100%, $F$9) + CHOOSE(CONTROL!$C$27, 0.0021, 0)</f>
        <v>53.568399999999997</v>
      </c>
      <c r="E490" s="14">
        <f>53.4296 * CHOOSE(CONTROL!$C$9, $D$9, 100%, $F$9) + CHOOSE(CONTROL!$C$27, 0.0021, 0)</f>
        <v>53.431699999999999</v>
      </c>
      <c r="F490" s="14">
        <f>53.4296 * CHOOSE(CONTROL!$C$9, $D$9, 100%, $F$9) + CHOOSE(CONTROL!$C$27, 0.0021, 0)</f>
        <v>53.431699999999999</v>
      </c>
      <c r="G490" s="14">
        <f>53.701 * CHOOSE(CONTROL!$C$9, $D$9, 100%, $F$9) + CHOOSE(CONTROL!$C$27, 0.0021, 0)</f>
        <v>53.703099999999999</v>
      </c>
      <c r="H490" s="14">
        <f>53.5663 * CHOOSE(CONTROL!$C$9, $D$9, 100%, $F$9) + CHOOSE(CONTROL!$C$27, 0.0021, 0)</f>
        <v>53.568399999999997</v>
      </c>
      <c r="I490" s="14">
        <f>53.5663 * CHOOSE(CONTROL!$C$9, $D$9, 100%, $F$9) + CHOOSE(CONTROL!$C$27, 0.0021, 0)</f>
        <v>53.568399999999997</v>
      </c>
      <c r="J490" s="14">
        <f>53.5663 * CHOOSE(CONTROL!$C$9, $D$9, 100%, $F$9) + CHOOSE(CONTROL!$C$27, 0.0021, 0)</f>
        <v>53.568399999999997</v>
      </c>
      <c r="K490" s="14">
        <f>53.5663 * CHOOSE(CONTROL!$C$9, $D$9, 100%, $F$9) + CHOOSE(CONTROL!$C$27, 0.0021, 0)</f>
        <v>53.568399999999997</v>
      </c>
      <c r="L490" s="14"/>
    </row>
    <row r="491" spans="1:12" ht="15.75" x14ac:dyDescent="0.25">
      <c r="A491" s="33">
        <v>55884</v>
      </c>
      <c r="B491" s="14">
        <f>52.9847 * CHOOSE(CONTROL!$C$9, $D$9, 100%, $F$9) + CHOOSE(CONTROL!$C$27, 0.0021, 0)</f>
        <v>52.986799999999995</v>
      </c>
      <c r="C491" s="14">
        <f>52.5525 * CHOOSE(CONTROL!$C$9, $D$9, 100%, $F$9) + CHOOSE(CONTROL!$C$27, 0.0021, 0)</f>
        <v>52.554600000000001</v>
      </c>
      <c r="D491" s="14">
        <f>52.5525 * CHOOSE(CONTROL!$C$9, $D$9, 100%, $F$9) + CHOOSE(CONTROL!$C$27, 0.0021, 0)</f>
        <v>52.554600000000001</v>
      </c>
      <c r="E491" s="14">
        <f>52.4158 * CHOOSE(CONTROL!$C$9, $D$9, 100%, $F$9) + CHOOSE(CONTROL!$C$27, 0.0021, 0)</f>
        <v>52.417899999999996</v>
      </c>
      <c r="F491" s="14">
        <f>52.4158 * CHOOSE(CONTROL!$C$9, $D$9, 100%, $F$9) + CHOOSE(CONTROL!$C$27, 0.0021, 0)</f>
        <v>52.417899999999996</v>
      </c>
      <c r="G491" s="14">
        <f>52.6872 * CHOOSE(CONTROL!$C$9, $D$9, 100%, $F$9) + CHOOSE(CONTROL!$C$27, 0.0021, 0)</f>
        <v>52.689299999999996</v>
      </c>
      <c r="H491" s="14">
        <f>52.5525 * CHOOSE(CONTROL!$C$9, $D$9, 100%, $F$9) + CHOOSE(CONTROL!$C$27, 0.0021, 0)</f>
        <v>52.554600000000001</v>
      </c>
      <c r="I491" s="14">
        <f>52.5525 * CHOOSE(CONTROL!$C$9, $D$9, 100%, $F$9) + CHOOSE(CONTROL!$C$27, 0.0021, 0)</f>
        <v>52.554600000000001</v>
      </c>
      <c r="J491" s="14">
        <f>52.5525 * CHOOSE(CONTROL!$C$9, $D$9, 100%, $F$9) + CHOOSE(CONTROL!$C$27, 0.0021, 0)</f>
        <v>52.554600000000001</v>
      </c>
      <c r="K491" s="14">
        <f>52.5525 * CHOOSE(CONTROL!$C$9, $D$9, 100%, $F$9) + CHOOSE(CONTROL!$C$27, 0.0021, 0)</f>
        <v>52.554600000000001</v>
      </c>
      <c r="L491" s="14"/>
    </row>
    <row r="492" spans="1:12" ht="15.75" x14ac:dyDescent="0.25">
      <c r="A492" s="33">
        <v>55915</v>
      </c>
      <c r="B492" s="14">
        <f>52.3205 * CHOOSE(CONTROL!$C$9, $D$9, 100%, $F$9) + CHOOSE(CONTROL!$C$27, 0.0021, 0)</f>
        <v>52.322600000000001</v>
      </c>
      <c r="C492" s="14">
        <f>51.8883 * CHOOSE(CONTROL!$C$9, $D$9, 100%, $F$9) + CHOOSE(CONTROL!$C$27, 0.0021, 0)</f>
        <v>51.8904</v>
      </c>
      <c r="D492" s="14">
        <f>51.8883 * CHOOSE(CONTROL!$C$9, $D$9, 100%, $F$9) + CHOOSE(CONTROL!$C$27, 0.0021, 0)</f>
        <v>51.8904</v>
      </c>
      <c r="E492" s="14">
        <f>51.7516 * CHOOSE(CONTROL!$C$9, $D$9, 100%, $F$9) + CHOOSE(CONTROL!$C$27, 0.0021, 0)</f>
        <v>51.753700000000002</v>
      </c>
      <c r="F492" s="14">
        <f>51.7516 * CHOOSE(CONTROL!$C$9, $D$9, 100%, $F$9) + CHOOSE(CONTROL!$C$27, 0.0021, 0)</f>
        <v>51.753700000000002</v>
      </c>
      <c r="G492" s="14">
        <f>52.023 * CHOOSE(CONTROL!$C$9, $D$9, 100%, $F$9) + CHOOSE(CONTROL!$C$27, 0.0021, 0)</f>
        <v>52.025100000000002</v>
      </c>
      <c r="H492" s="14">
        <f>51.8883 * CHOOSE(CONTROL!$C$9, $D$9, 100%, $F$9) + CHOOSE(CONTROL!$C$27, 0.0021, 0)</f>
        <v>51.8904</v>
      </c>
      <c r="I492" s="14">
        <f>51.8883 * CHOOSE(CONTROL!$C$9, $D$9, 100%, $F$9) + CHOOSE(CONTROL!$C$27, 0.0021, 0)</f>
        <v>51.8904</v>
      </c>
      <c r="J492" s="14">
        <f>51.8883 * CHOOSE(CONTROL!$C$9, $D$9, 100%, $F$9) + CHOOSE(CONTROL!$C$27, 0.0021, 0)</f>
        <v>51.8904</v>
      </c>
      <c r="K492" s="14">
        <f>51.8883 * CHOOSE(CONTROL!$C$9, $D$9, 100%, $F$9) + CHOOSE(CONTROL!$C$27, 0.0021, 0)</f>
        <v>51.8904</v>
      </c>
      <c r="L492" s="14"/>
    </row>
    <row r="493" spans="1:12" ht="15.75" x14ac:dyDescent="0.25">
      <c r="A493" s="33">
        <v>55943</v>
      </c>
      <c r="B493" s="14">
        <f>50.9055 * CHOOSE(CONTROL!$C$9, $D$9, 100%, $F$9) + CHOOSE(CONTROL!$C$27, 0.0021, 0)</f>
        <v>50.907600000000002</v>
      </c>
      <c r="C493" s="14">
        <f>50.4732 * CHOOSE(CONTROL!$C$9, $D$9, 100%, $F$9) + CHOOSE(CONTROL!$C$27, 0.0021, 0)</f>
        <v>50.475299999999997</v>
      </c>
      <c r="D493" s="14">
        <f>50.4732 * CHOOSE(CONTROL!$C$9, $D$9, 100%, $F$9) + CHOOSE(CONTROL!$C$27, 0.0021, 0)</f>
        <v>50.475299999999997</v>
      </c>
      <c r="E493" s="14">
        <f>50.3366 * CHOOSE(CONTROL!$C$9, $D$9, 100%, $F$9) + CHOOSE(CONTROL!$C$27, 0.0021, 0)</f>
        <v>50.338699999999996</v>
      </c>
      <c r="F493" s="14">
        <f>50.3366 * CHOOSE(CONTROL!$C$9, $D$9, 100%, $F$9) + CHOOSE(CONTROL!$C$27, 0.0021, 0)</f>
        <v>50.338699999999996</v>
      </c>
      <c r="G493" s="14">
        <f>50.6079 * CHOOSE(CONTROL!$C$9, $D$9, 100%, $F$9) + CHOOSE(CONTROL!$C$27, 0.0021, 0)</f>
        <v>50.61</v>
      </c>
      <c r="H493" s="14">
        <f>50.4732 * CHOOSE(CONTROL!$C$9, $D$9, 100%, $F$9) + CHOOSE(CONTROL!$C$27, 0.0021, 0)</f>
        <v>50.475299999999997</v>
      </c>
      <c r="I493" s="14">
        <f>50.4732 * CHOOSE(CONTROL!$C$9, $D$9, 100%, $F$9) + CHOOSE(CONTROL!$C$27, 0.0021, 0)</f>
        <v>50.475299999999997</v>
      </c>
      <c r="J493" s="14">
        <f>50.4732 * CHOOSE(CONTROL!$C$9, $D$9, 100%, $F$9) + CHOOSE(CONTROL!$C$27, 0.0021, 0)</f>
        <v>50.475299999999997</v>
      </c>
      <c r="K493" s="14">
        <f>50.4732 * CHOOSE(CONTROL!$C$9, $D$9, 100%, $F$9) + CHOOSE(CONTROL!$C$27, 0.0021, 0)</f>
        <v>50.475299999999997</v>
      </c>
      <c r="L493" s="14"/>
    </row>
    <row r="494" spans="1:12" ht="15.75" x14ac:dyDescent="0.25">
      <c r="A494" s="33">
        <v>55974</v>
      </c>
      <c r="B494" s="14">
        <f>50.3213 * CHOOSE(CONTROL!$C$9, $D$9, 100%, $F$9) + CHOOSE(CONTROL!$C$27, 0.0021, 0)</f>
        <v>50.323399999999999</v>
      </c>
      <c r="C494" s="14">
        <f>49.8891 * CHOOSE(CONTROL!$C$9, $D$9, 100%, $F$9) + CHOOSE(CONTROL!$C$27, 0.0021, 0)</f>
        <v>49.891199999999998</v>
      </c>
      <c r="D494" s="14">
        <f>49.8891 * CHOOSE(CONTROL!$C$9, $D$9, 100%, $F$9) + CHOOSE(CONTROL!$C$27, 0.0021, 0)</f>
        <v>49.891199999999998</v>
      </c>
      <c r="E494" s="14">
        <f>49.7524 * CHOOSE(CONTROL!$C$9, $D$9, 100%, $F$9) + CHOOSE(CONTROL!$C$27, 0.0021, 0)</f>
        <v>49.7545</v>
      </c>
      <c r="F494" s="14">
        <f>49.7524 * CHOOSE(CONTROL!$C$9, $D$9, 100%, $F$9) + CHOOSE(CONTROL!$C$27, 0.0021, 0)</f>
        <v>49.7545</v>
      </c>
      <c r="G494" s="14">
        <f>50.0238 * CHOOSE(CONTROL!$C$9, $D$9, 100%, $F$9) + CHOOSE(CONTROL!$C$27, 0.0021, 0)</f>
        <v>50.0259</v>
      </c>
      <c r="H494" s="14">
        <f>49.8891 * CHOOSE(CONTROL!$C$9, $D$9, 100%, $F$9) + CHOOSE(CONTROL!$C$27, 0.0021, 0)</f>
        <v>49.891199999999998</v>
      </c>
      <c r="I494" s="14">
        <f>49.8891 * CHOOSE(CONTROL!$C$9, $D$9, 100%, $F$9) + CHOOSE(CONTROL!$C$27, 0.0021, 0)</f>
        <v>49.891199999999998</v>
      </c>
      <c r="J494" s="14">
        <f>49.8891 * CHOOSE(CONTROL!$C$9, $D$9, 100%, $F$9) + CHOOSE(CONTROL!$C$27, 0.0021, 0)</f>
        <v>49.891199999999998</v>
      </c>
      <c r="K494" s="14">
        <f>49.8891 * CHOOSE(CONTROL!$C$9, $D$9, 100%, $F$9) + CHOOSE(CONTROL!$C$27, 0.0021, 0)</f>
        <v>49.891199999999998</v>
      </c>
      <c r="L494" s="14"/>
    </row>
    <row r="495" spans="1:12" ht="15.75" x14ac:dyDescent="0.25">
      <c r="A495" s="33">
        <v>56004</v>
      </c>
      <c r="B495" s="14">
        <f>49.6239 * CHOOSE(CONTROL!$C$9, $D$9, 100%, $F$9) + CHOOSE(CONTROL!$C$27, 0.0021, 0)</f>
        <v>49.625999999999998</v>
      </c>
      <c r="C495" s="14">
        <f>49.1916 * CHOOSE(CONTROL!$C$9, $D$9, 100%, $F$9) + CHOOSE(CONTROL!$C$27, 0.0021, 0)</f>
        <v>49.1937</v>
      </c>
      <c r="D495" s="14">
        <f>49.1916 * CHOOSE(CONTROL!$C$9, $D$9, 100%, $F$9) + CHOOSE(CONTROL!$C$27, 0.0021, 0)</f>
        <v>49.1937</v>
      </c>
      <c r="E495" s="14">
        <f>49.0549 * CHOOSE(CONTROL!$C$9, $D$9, 100%, $F$9) + CHOOSE(CONTROL!$C$27, 0.0021, 0)</f>
        <v>49.057000000000002</v>
      </c>
      <c r="F495" s="14">
        <f>49.0549 * CHOOSE(CONTROL!$C$9, $D$9, 100%, $F$9) + CHOOSE(CONTROL!$C$27, 0.0021, 0)</f>
        <v>49.057000000000002</v>
      </c>
      <c r="G495" s="14">
        <f>49.3263 * CHOOSE(CONTROL!$C$9, $D$9, 100%, $F$9) + CHOOSE(CONTROL!$C$27, 0.0021, 0)</f>
        <v>49.328400000000002</v>
      </c>
      <c r="H495" s="14">
        <f>49.1916 * CHOOSE(CONTROL!$C$9, $D$9, 100%, $F$9) + CHOOSE(CONTROL!$C$27, 0.0021, 0)</f>
        <v>49.1937</v>
      </c>
      <c r="I495" s="14">
        <f>49.1916 * CHOOSE(CONTROL!$C$9, $D$9, 100%, $F$9) + CHOOSE(CONTROL!$C$27, 0.0021, 0)</f>
        <v>49.1937</v>
      </c>
      <c r="J495" s="14">
        <f>49.1916 * CHOOSE(CONTROL!$C$9, $D$9, 100%, $F$9) + CHOOSE(CONTROL!$C$27, 0.0021, 0)</f>
        <v>49.1937</v>
      </c>
      <c r="K495" s="14">
        <f>49.1916 * CHOOSE(CONTROL!$C$9, $D$9, 100%, $F$9) + CHOOSE(CONTROL!$C$27, 0.0021, 0)</f>
        <v>49.1937</v>
      </c>
      <c r="L495" s="14"/>
    </row>
    <row r="496" spans="1:12" ht="15.75" x14ac:dyDescent="0.25">
      <c r="A496" s="33">
        <v>56035</v>
      </c>
      <c r="B496" s="14">
        <f>50.6178 * CHOOSE(CONTROL!$C$9, $D$9, 100%, $F$9) + CHOOSE(CONTROL!$C$27, 0.0021, 0)</f>
        <v>50.619900000000001</v>
      </c>
      <c r="C496" s="14">
        <f>50.1856 * CHOOSE(CONTROL!$C$9, $D$9, 100%, $F$9) + CHOOSE(CONTROL!$C$27, 0.0021, 0)</f>
        <v>50.1877</v>
      </c>
      <c r="D496" s="14">
        <f>50.1856 * CHOOSE(CONTROL!$C$9, $D$9, 100%, $F$9) + CHOOSE(CONTROL!$C$27, 0.0021, 0)</f>
        <v>50.1877</v>
      </c>
      <c r="E496" s="14">
        <f>50.0489 * CHOOSE(CONTROL!$C$9, $D$9, 100%, $F$9) + CHOOSE(CONTROL!$C$27, 0.0021, 0)</f>
        <v>50.051000000000002</v>
      </c>
      <c r="F496" s="14">
        <f>50.0489 * CHOOSE(CONTROL!$C$9, $D$9, 100%, $F$9) + CHOOSE(CONTROL!$C$27, 0.0021, 0)</f>
        <v>50.051000000000002</v>
      </c>
      <c r="G496" s="14">
        <f>50.3203 * CHOOSE(CONTROL!$C$9, $D$9, 100%, $F$9) + CHOOSE(CONTROL!$C$27, 0.0021, 0)</f>
        <v>50.322400000000002</v>
      </c>
      <c r="H496" s="14">
        <f>50.1856 * CHOOSE(CONTROL!$C$9, $D$9, 100%, $F$9) + CHOOSE(CONTROL!$C$27, 0.0021, 0)</f>
        <v>50.1877</v>
      </c>
      <c r="I496" s="14">
        <f>50.1856 * CHOOSE(CONTROL!$C$9, $D$9, 100%, $F$9) + CHOOSE(CONTROL!$C$27, 0.0021, 0)</f>
        <v>50.1877</v>
      </c>
      <c r="J496" s="14">
        <f>50.1856 * CHOOSE(CONTROL!$C$9, $D$9, 100%, $F$9) + CHOOSE(CONTROL!$C$27, 0.0021, 0)</f>
        <v>50.1877</v>
      </c>
      <c r="K496" s="14">
        <f>50.1856 * CHOOSE(CONTROL!$C$9, $D$9, 100%, $F$9) + CHOOSE(CONTROL!$C$27, 0.0021, 0)</f>
        <v>50.1877</v>
      </c>
      <c r="L496" s="14"/>
    </row>
    <row r="497" spans="1:12" ht="15.75" x14ac:dyDescent="0.25">
      <c r="A497" s="33">
        <v>56065</v>
      </c>
      <c r="B497" s="14">
        <f>51.2132 * CHOOSE(CONTROL!$C$9, $D$9, 100%, $F$9) + CHOOSE(CONTROL!$C$27, 0.0021, 0)</f>
        <v>51.215299999999999</v>
      </c>
      <c r="C497" s="14">
        <f>50.7809 * CHOOSE(CONTROL!$C$9, $D$9, 100%, $F$9) + CHOOSE(CONTROL!$C$27, 0.0021, 0)</f>
        <v>50.783000000000001</v>
      </c>
      <c r="D497" s="14">
        <f>50.7809 * CHOOSE(CONTROL!$C$9, $D$9, 100%, $F$9) + CHOOSE(CONTROL!$C$27, 0.0021, 0)</f>
        <v>50.783000000000001</v>
      </c>
      <c r="E497" s="14">
        <f>50.6443 * CHOOSE(CONTROL!$C$9, $D$9, 100%, $F$9) + CHOOSE(CONTROL!$C$27, 0.0021, 0)</f>
        <v>50.6464</v>
      </c>
      <c r="F497" s="14">
        <f>50.6443 * CHOOSE(CONTROL!$C$9, $D$9, 100%, $F$9) + CHOOSE(CONTROL!$C$27, 0.0021, 0)</f>
        <v>50.6464</v>
      </c>
      <c r="G497" s="14">
        <f>50.9157 * CHOOSE(CONTROL!$C$9, $D$9, 100%, $F$9) + CHOOSE(CONTROL!$C$27, 0.0021, 0)</f>
        <v>50.9178</v>
      </c>
      <c r="H497" s="14">
        <f>50.7809 * CHOOSE(CONTROL!$C$9, $D$9, 100%, $F$9) + CHOOSE(CONTROL!$C$27, 0.0021, 0)</f>
        <v>50.783000000000001</v>
      </c>
      <c r="I497" s="14">
        <f>50.7809 * CHOOSE(CONTROL!$C$9, $D$9, 100%, $F$9) + CHOOSE(CONTROL!$C$27, 0.0021, 0)</f>
        <v>50.783000000000001</v>
      </c>
      <c r="J497" s="14">
        <f>50.7809 * CHOOSE(CONTROL!$C$9, $D$9, 100%, $F$9) + CHOOSE(CONTROL!$C$27, 0.0021, 0)</f>
        <v>50.783000000000001</v>
      </c>
      <c r="K497" s="14">
        <f>50.7809 * CHOOSE(CONTROL!$C$9, $D$9, 100%, $F$9) + CHOOSE(CONTROL!$C$27, 0.0021, 0)</f>
        <v>50.783000000000001</v>
      </c>
      <c r="L497" s="14"/>
    </row>
    <row r="498" spans="1:12" ht="15.75" x14ac:dyDescent="0.25">
      <c r="A498" s="33">
        <v>56096</v>
      </c>
      <c r="B498" s="14">
        <f>52.1953 * CHOOSE(CONTROL!$C$9, $D$9, 100%, $F$9) + CHOOSE(CONTROL!$C$27, 0.0021, 0)</f>
        <v>52.197400000000002</v>
      </c>
      <c r="C498" s="14">
        <f>51.7631 * CHOOSE(CONTROL!$C$9, $D$9, 100%, $F$9) + CHOOSE(CONTROL!$C$27, 0.0021, 0)</f>
        <v>51.7652</v>
      </c>
      <c r="D498" s="14">
        <f>51.7631 * CHOOSE(CONTROL!$C$9, $D$9, 100%, $F$9) + CHOOSE(CONTROL!$C$27, 0.0021, 0)</f>
        <v>51.7652</v>
      </c>
      <c r="E498" s="14">
        <f>51.6264 * CHOOSE(CONTROL!$C$9, $D$9, 100%, $F$9) + CHOOSE(CONTROL!$C$27, 0.0021, 0)</f>
        <v>51.628499999999995</v>
      </c>
      <c r="F498" s="14">
        <f>51.6264 * CHOOSE(CONTROL!$C$9, $D$9, 100%, $F$9) + CHOOSE(CONTROL!$C$27, 0.0021, 0)</f>
        <v>51.628499999999995</v>
      </c>
      <c r="G498" s="14">
        <f>51.8978 * CHOOSE(CONTROL!$C$9, $D$9, 100%, $F$9) + CHOOSE(CONTROL!$C$27, 0.0021, 0)</f>
        <v>51.899899999999995</v>
      </c>
      <c r="H498" s="14">
        <f>51.7631 * CHOOSE(CONTROL!$C$9, $D$9, 100%, $F$9) + CHOOSE(CONTROL!$C$27, 0.0021, 0)</f>
        <v>51.7652</v>
      </c>
      <c r="I498" s="14">
        <f>51.7631 * CHOOSE(CONTROL!$C$9, $D$9, 100%, $F$9) + CHOOSE(CONTROL!$C$27, 0.0021, 0)</f>
        <v>51.7652</v>
      </c>
      <c r="J498" s="14">
        <f>51.7631 * CHOOSE(CONTROL!$C$9, $D$9, 100%, $F$9) + CHOOSE(CONTROL!$C$27, 0.0021, 0)</f>
        <v>51.7652</v>
      </c>
      <c r="K498" s="14">
        <f>51.7631 * CHOOSE(CONTROL!$C$9, $D$9, 100%, $F$9) + CHOOSE(CONTROL!$C$27, 0.0021, 0)</f>
        <v>51.7652</v>
      </c>
      <c r="L498" s="14"/>
    </row>
    <row r="499" spans="1:12" ht="15.75" x14ac:dyDescent="0.25">
      <c r="A499" s="33">
        <v>56127</v>
      </c>
      <c r="B499" s="14">
        <f>52.4951 * CHOOSE(CONTROL!$C$9, $D$9, 100%, $F$9) + CHOOSE(CONTROL!$C$27, 0.0021, 0)</f>
        <v>52.497199999999999</v>
      </c>
      <c r="C499" s="14">
        <f>52.0628 * CHOOSE(CONTROL!$C$9, $D$9, 100%, $F$9) + CHOOSE(CONTROL!$C$27, 0.0021, 0)</f>
        <v>52.064900000000002</v>
      </c>
      <c r="D499" s="14">
        <f>52.0628 * CHOOSE(CONTROL!$C$9, $D$9, 100%, $F$9) + CHOOSE(CONTROL!$C$27, 0.0021, 0)</f>
        <v>52.064900000000002</v>
      </c>
      <c r="E499" s="14">
        <f>51.9262 * CHOOSE(CONTROL!$C$9, $D$9, 100%, $F$9) + CHOOSE(CONTROL!$C$27, 0.0021, 0)</f>
        <v>51.9283</v>
      </c>
      <c r="F499" s="14">
        <f>51.9262 * CHOOSE(CONTROL!$C$9, $D$9, 100%, $F$9) + CHOOSE(CONTROL!$C$27, 0.0021, 0)</f>
        <v>51.9283</v>
      </c>
      <c r="G499" s="14">
        <f>52.1976 * CHOOSE(CONTROL!$C$9, $D$9, 100%, $F$9) + CHOOSE(CONTROL!$C$27, 0.0021, 0)</f>
        <v>52.1997</v>
      </c>
      <c r="H499" s="14">
        <f>52.0628 * CHOOSE(CONTROL!$C$9, $D$9, 100%, $F$9) + CHOOSE(CONTROL!$C$27, 0.0021, 0)</f>
        <v>52.064900000000002</v>
      </c>
      <c r="I499" s="14">
        <f>52.0628 * CHOOSE(CONTROL!$C$9, $D$9, 100%, $F$9) + CHOOSE(CONTROL!$C$27, 0.0021, 0)</f>
        <v>52.064900000000002</v>
      </c>
      <c r="J499" s="14">
        <f>52.0628 * CHOOSE(CONTROL!$C$9, $D$9, 100%, $F$9) + CHOOSE(CONTROL!$C$27, 0.0021, 0)</f>
        <v>52.064900000000002</v>
      </c>
      <c r="K499" s="14">
        <f>52.0628 * CHOOSE(CONTROL!$C$9, $D$9, 100%, $F$9) + CHOOSE(CONTROL!$C$27, 0.0021, 0)</f>
        <v>52.064900000000002</v>
      </c>
      <c r="L499" s="14"/>
    </row>
    <row r="500" spans="1:12" ht="15.75" x14ac:dyDescent="0.25">
      <c r="A500" s="33">
        <v>56157</v>
      </c>
      <c r="B500" s="14">
        <f>53.516 * CHOOSE(CONTROL!$C$9, $D$9, 100%, $F$9) + CHOOSE(CONTROL!$C$27, 0.0021, 0)</f>
        <v>53.518099999999997</v>
      </c>
      <c r="C500" s="14">
        <f>53.0837 * CHOOSE(CONTROL!$C$9, $D$9, 100%, $F$9) + CHOOSE(CONTROL!$C$27, 0.0021, 0)</f>
        <v>53.085799999999999</v>
      </c>
      <c r="D500" s="14">
        <f>53.0837 * CHOOSE(CONTROL!$C$9, $D$9, 100%, $F$9) + CHOOSE(CONTROL!$C$27, 0.0021, 0)</f>
        <v>53.085799999999999</v>
      </c>
      <c r="E500" s="14">
        <f>52.947 * CHOOSE(CONTROL!$C$9, $D$9, 100%, $F$9) + CHOOSE(CONTROL!$C$27, 0.0021, 0)</f>
        <v>52.949100000000001</v>
      </c>
      <c r="F500" s="14">
        <f>52.947 * CHOOSE(CONTROL!$C$9, $D$9, 100%, $F$9) + CHOOSE(CONTROL!$C$27, 0.0021, 0)</f>
        <v>52.949100000000001</v>
      </c>
      <c r="G500" s="14">
        <f>53.2184 * CHOOSE(CONTROL!$C$9, $D$9, 100%, $F$9) + CHOOSE(CONTROL!$C$27, 0.0021, 0)</f>
        <v>53.220500000000001</v>
      </c>
      <c r="H500" s="14">
        <f>53.0837 * CHOOSE(CONTROL!$C$9, $D$9, 100%, $F$9) + CHOOSE(CONTROL!$C$27, 0.0021, 0)</f>
        <v>53.085799999999999</v>
      </c>
      <c r="I500" s="14">
        <f>53.0837 * CHOOSE(CONTROL!$C$9, $D$9, 100%, $F$9) + CHOOSE(CONTROL!$C$27, 0.0021, 0)</f>
        <v>53.085799999999999</v>
      </c>
      <c r="J500" s="14">
        <f>53.0837 * CHOOSE(CONTROL!$C$9, $D$9, 100%, $F$9) + CHOOSE(CONTROL!$C$27, 0.0021, 0)</f>
        <v>53.085799999999999</v>
      </c>
      <c r="K500" s="14">
        <f>53.0837 * CHOOSE(CONTROL!$C$9, $D$9, 100%, $F$9) + CHOOSE(CONTROL!$C$27, 0.0021, 0)</f>
        <v>53.085799999999999</v>
      </c>
      <c r="L500" s="14"/>
    </row>
    <row r="501" spans="1:12" ht="15.75" x14ac:dyDescent="0.25">
      <c r="A501" s="33">
        <v>56188</v>
      </c>
      <c r="B501" s="14">
        <f>54.8082 * CHOOSE(CONTROL!$C$9, $D$9, 100%, $F$9) + CHOOSE(CONTROL!$C$27, 0.0021, 0)</f>
        <v>54.810299999999998</v>
      </c>
      <c r="C501" s="14">
        <f>54.376 * CHOOSE(CONTROL!$C$9, $D$9, 100%, $F$9) + CHOOSE(CONTROL!$C$27, 0.0021, 0)</f>
        <v>54.378099999999996</v>
      </c>
      <c r="D501" s="14">
        <f>54.376 * CHOOSE(CONTROL!$C$9, $D$9, 100%, $F$9) + CHOOSE(CONTROL!$C$27, 0.0021, 0)</f>
        <v>54.378099999999996</v>
      </c>
      <c r="E501" s="14">
        <f>54.2393 * CHOOSE(CONTROL!$C$9, $D$9, 100%, $F$9) + CHOOSE(CONTROL!$C$27, 0.0021, 0)</f>
        <v>54.241399999999999</v>
      </c>
      <c r="F501" s="14">
        <f>54.2393 * CHOOSE(CONTROL!$C$9, $D$9, 100%, $F$9) + CHOOSE(CONTROL!$C$27, 0.0021, 0)</f>
        <v>54.241399999999999</v>
      </c>
      <c r="G501" s="14">
        <f>54.5107 * CHOOSE(CONTROL!$C$9, $D$9, 100%, $F$9) + CHOOSE(CONTROL!$C$27, 0.0021, 0)</f>
        <v>54.512799999999999</v>
      </c>
      <c r="H501" s="14">
        <f>54.376 * CHOOSE(CONTROL!$C$9, $D$9, 100%, $F$9) + CHOOSE(CONTROL!$C$27, 0.0021, 0)</f>
        <v>54.378099999999996</v>
      </c>
      <c r="I501" s="14">
        <f>54.376 * CHOOSE(CONTROL!$C$9, $D$9, 100%, $F$9) + CHOOSE(CONTROL!$C$27, 0.0021, 0)</f>
        <v>54.378099999999996</v>
      </c>
      <c r="J501" s="14">
        <f>54.376 * CHOOSE(CONTROL!$C$9, $D$9, 100%, $F$9) + CHOOSE(CONTROL!$C$27, 0.0021, 0)</f>
        <v>54.378099999999996</v>
      </c>
      <c r="K501" s="14">
        <f>54.376 * CHOOSE(CONTROL!$C$9, $D$9, 100%, $F$9) + CHOOSE(CONTROL!$C$27, 0.0021, 0)</f>
        <v>54.378099999999996</v>
      </c>
      <c r="L501" s="14"/>
    </row>
    <row r="502" spans="1:12" ht="15.75" x14ac:dyDescent="0.25">
      <c r="A502" s="33">
        <v>56218</v>
      </c>
      <c r="B502" s="14">
        <f>54.9295 * CHOOSE(CONTROL!$C$9, $D$9, 100%, $F$9) + CHOOSE(CONTROL!$C$27, 0.0021, 0)</f>
        <v>54.931599999999996</v>
      </c>
      <c r="C502" s="14">
        <f>54.4973 * CHOOSE(CONTROL!$C$9, $D$9, 100%, $F$9) + CHOOSE(CONTROL!$C$27, 0.0021, 0)</f>
        <v>54.499400000000001</v>
      </c>
      <c r="D502" s="14">
        <f>54.4973 * CHOOSE(CONTROL!$C$9, $D$9, 100%, $F$9) + CHOOSE(CONTROL!$C$27, 0.0021, 0)</f>
        <v>54.499400000000001</v>
      </c>
      <c r="E502" s="14">
        <f>54.3606 * CHOOSE(CONTROL!$C$9, $D$9, 100%, $F$9) + CHOOSE(CONTROL!$C$27, 0.0021, 0)</f>
        <v>54.362699999999997</v>
      </c>
      <c r="F502" s="14">
        <f>54.3606 * CHOOSE(CONTROL!$C$9, $D$9, 100%, $F$9) + CHOOSE(CONTROL!$C$27, 0.0021, 0)</f>
        <v>54.362699999999997</v>
      </c>
      <c r="G502" s="14">
        <f>54.632 * CHOOSE(CONTROL!$C$9, $D$9, 100%, $F$9) + CHOOSE(CONTROL!$C$27, 0.0021, 0)</f>
        <v>54.634099999999997</v>
      </c>
      <c r="H502" s="14">
        <f>54.4973 * CHOOSE(CONTROL!$C$9, $D$9, 100%, $F$9) + CHOOSE(CONTROL!$C$27, 0.0021, 0)</f>
        <v>54.499400000000001</v>
      </c>
      <c r="I502" s="14">
        <f>54.4973 * CHOOSE(CONTROL!$C$9, $D$9, 100%, $F$9) + CHOOSE(CONTROL!$C$27, 0.0021, 0)</f>
        <v>54.499400000000001</v>
      </c>
      <c r="J502" s="14">
        <f>54.4973 * CHOOSE(CONTROL!$C$9, $D$9, 100%, $F$9) + CHOOSE(CONTROL!$C$27, 0.0021, 0)</f>
        <v>54.499400000000001</v>
      </c>
      <c r="K502" s="14">
        <f>54.4973 * CHOOSE(CONTROL!$C$9, $D$9, 100%, $F$9) + CHOOSE(CONTROL!$C$27, 0.0021, 0)</f>
        <v>54.499400000000001</v>
      </c>
      <c r="L502" s="14"/>
    </row>
    <row r="503" spans="1:12" ht="15.75" x14ac:dyDescent="0.25">
      <c r="A503" s="33">
        <v>56249</v>
      </c>
      <c r="B503" s="14">
        <f>53.8974 * CHOOSE(CONTROL!$C$9, $D$9, 100%, $F$9) + CHOOSE(CONTROL!$C$27, 0.0021, 0)</f>
        <v>53.899499999999996</v>
      </c>
      <c r="C503" s="14">
        <f>53.4652 * CHOOSE(CONTROL!$C$9, $D$9, 100%, $F$9) + CHOOSE(CONTROL!$C$27, 0.0021, 0)</f>
        <v>53.467300000000002</v>
      </c>
      <c r="D503" s="14">
        <f>53.4652 * CHOOSE(CONTROL!$C$9, $D$9, 100%, $F$9) + CHOOSE(CONTROL!$C$27, 0.0021, 0)</f>
        <v>53.467300000000002</v>
      </c>
      <c r="E503" s="14">
        <f>53.3285 * CHOOSE(CONTROL!$C$9, $D$9, 100%, $F$9) + CHOOSE(CONTROL!$C$27, 0.0021, 0)</f>
        <v>53.330599999999997</v>
      </c>
      <c r="F503" s="14">
        <f>53.3285 * CHOOSE(CONTROL!$C$9, $D$9, 100%, $F$9) + CHOOSE(CONTROL!$C$27, 0.0021, 0)</f>
        <v>53.330599999999997</v>
      </c>
      <c r="G503" s="14">
        <f>53.5999 * CHOOSE(CONTROL!$C$9, $D$9, 100%, $F$9) + CHOOSE(CONTROL!$C$27, 0.0021, 0)</f>
        <v>53.601999999999997</v>
      </c>
      <c r="H503" s="14">
        <f>53.4652 * CHOOSE(CONTROL!$C$9, $D$9, 100%, $F$9) + CHOOSE(CONTROL!$C$27, 0.0021, 0)</f>
        <v>53.467300000000002</v>
      </c>
      <c r="I503" s="14">
        <f>53.4652 * CHOOSE(CONTROL!$C$9, $D$9, 100%, $F$9) + CHOOSE(CONTROL!$C$27, 0.0021, 0)</f>
        <v>53.467300000000002</v>
      </c>
      <c r="J503" s="14">
        <f>53.4652 * CHOOSE(CONTROL!$C$9, $D$9, 100%, $F$9) + CHOOSE(CONTROL!$C$27, 0.0021, 0)</f>
        <v>53.467300000000002</v>
      </c>
      <c r="K503" s="14">
        <f>53.4652 * CHOOSE(CONTROL!$C$9, $D$9, 100%, $F$9) + CHOOSE(CONTROL!$C$27, 0.0021, 0)</f>
        <v>53.467300000000002</v>
      </c>
      <c r="L503" s="14"/>
    </row>
    <row r="504" spans="1:12" ht="15.75" x14ac:dyDescent="0.25">
      <c r="A504" s="33">
        <v>56280</v>
      </c>
      <c r="B504" s="14">
        <f>53.2213 * CHOOSE(CONTROL!$C$9, $D$9, 100%, $F$9) + CHOOSE(CONTROL!$C$27, 0.0021, 0)</f>
        <v>53.223399999999998</v>
      </c>
      <c r="C504" s="14">
        <f>52.789 * CHOOSE(CONTROL!$C$9, $D$9, 100%, $F$9) + CHOOSE(CONTROL!$C$27, 0.0021, 0)</f>
        <v>52.7911</v>
      </c>
      <c r="D504" s="14">
        <f>52.789 * CHOOSE(CONTROL!$C$9, $D$9, 100%, $F$9) + CHOOSE(CONTROL!$C$27, 0.0021, 0)</f>
        <v>52.7911</v>
      </c>
      <c r="E504" s="14">
        <f>52.6524 * CHOOSE(CONTROL!$C$9, $D$9, 100%, $F$9) + CHOOSE(CONTROL!$C$27, 0.0021, 0)</f>
        <v>52.654499999999999</v>
      </c>
      <c r="F504" s="14">
        <f>52.6524 * CHOOSE(CONTROL!$C$9, $D$9, 100%, $F$9) + CHOOSE(CONTROL!$C$27, 0.0021, 0)</f>
        <v>52.654499999999999</v>
      </c>
      <c r="G504" s="14">
        <f>52.9237 * CHOOSE(CONTROL!$C$9, $D$9, 100%, $F$9) + CHOOSE(CONTROL!$C$27, 0.0021, 0)</f>
        <v>52.925799999999995</v>
      </c>
      <c r="H504" s="14">
        <f>52.789 * CHOOSE(CONTROL!$C$9, $D$9, 100%, $F$9) + CHOOSE(CONTROL!$C$27, 0.0021, 0)</f>
        <v>52.7911</v>
      </c>
      <c r="I504" s="14">
        <f>52.789 * CHOOSE(CONTROL!$C$9, $D$9, 100%, $F$9) + CHOOSE(CONTROL!$C$27, 0.0021, 0)</f>
        <v>52.7911</v>
      </c>
      <c r="J504" s="14">
        <f>52.789 * CHOOSE(CONTROL!$C$9, $D$9, 100%, $F$9) + CHOOSE(CONTROL!$C$27, 0.0021, 0)</f>
        <v>52.7911</v>
      </c>
      <c r="K504" s="14">
        <f>52.789 * CHOOSE(CONTROL!$C$9, $D$9, 100%, $F$9) + CHOOSE(CONTROL!$C$27, 0.0021, 0)</f>
        <v>52.7911</v>
      </c>
      <c r="L504" s="14"/>
    </row>
    <row r="505" spans="1:12" ht="15.75" x14ac:dyDescent="0.25">
      <c r="A505" s="33">
        <v>56308</v>
      </c>
      <c r="B505" s="14">
        <f>51.7807 * CHOOSE(CONTROL!$C$9, $D$9, 100%, $F$9) + CHOOSE(CONTROL!$C$27, 0.0021, 0)</f>
        <v>51.782800000000002</v>
      </c>
      <c r="C505" s="14">
        <f>51.3485 * CHOOSE(CONTROL!$C$9, $D$9, 100%, $F$9) + CHOOSE(CONTROL!$C$27, 0.0021, 0)</f>
        <v>51.3506</v>
      </c>
      <c r="D505" s="14">
        <f>51.3485 * CHOOSE(CONTROL!$C$9, $D$9, 100%, $F$9) + CHOOSE(CONTROL!$C$27, 0.0021, 0)</f>
        <v>51.3506</v>
      </c>
      <c r="E505" s="14">
        <f>51.2118 * CHOOSE(CONTROL!$C$9, $D$9, 100%, $F$9) + CHOOSE(CONTROL!$C$27, 0.0021, 0)</f>
        <v>51.213899999999995</v>
      </c>
      <c r="F505" s="14">
        <f>51.2118 * CHOOSE(CONTROL!$C$9, $D$9, 100%, $F$9) + CHOOSE(CONTROL!$C$27, 0.0021, 0)</f>
        <v>51.213899999999995</v>
      </c>
      <c r="G505" s="14">
        <f>51.4832 * CHOOSE(CONTROL!$C$9, $D$9, 100%, $F$9) + CHOOSE(CONTROL!$C$27, 0.0021, 0)</f>
        <v>51.485299999999995</v>
      </c>
      <c r="H505" s="14">
        <f>51.3485 * CHOOSE(CONTROL!$C$9, $D$9, 100%, $F$9) + CHOOSE(CONTROL!$C$27, 0.0021, 0)</f>
        <v>51.3506</v>
      </c>
      <c r="I505" s="14">
        <f>51.3485 * CHOOSE(CONTROL!$C$9, $D$9, 100%, $F$9) + CHOOSE(CONTROL!$C$27, 0.0021, 0)</f>
        <v>51.3506</v>
      </c>
      <c r="J505" s="14">
        <f>51.3485 * CHOOSE(CONTROL!$C$9, $D$9, 100%, $F$9) + CHOOSE(CONTROL!$C$27, 0.0021, 0)</f>
        <v>51.3506</v>
      </c>
      <c r="K505" s="14">
        <f>51.3485 * CHOOSE(CONTROL!$C$9, $D$9, 100%, $F$9) + CHOOSE(CONTROL!$C$27, 0.0021, 0)</f>
        <v>51.3506</v>
      </c>
      <c r="L505" s="14"/>
    </row>
    <row r="506" spans="1:12" ht="15.75" x14ac:dyDescent="0.25">
      <c r="A506" s="33">
        <v>56339</v>
      </c>
      <c r="B506" s="14">
        <f>51.1861 * CHOOSE(CONTROL!$C$9, $D$9, 100%, $F$9) + CHOOSE(CONTROL!$C$27, 0.0021, 0)</f>
        <v>51.188200000000002</v>
      </c>
      <c r="C506" s="14">
        <f>50.7538 * CHOOSE(CONTROL!$C$9, $D$9, 100%, $F$9) + CHOOSE(CONTROL!$C$27, 0.0021, 0)</f>
        <v>50.755899999999997</v>
      </c>
      <c r="D506" s="14">
        <f>50.7538 * CHOOSE(CONTROL!$C$9, $D$9, 100%, $F$9) + CHOOSE(CONTROL!$C$27, 0.0021, 0)</f>
        <v>50.755899999999997</v>
      </c>
      <c r="E506" s="14">
        <f>50.6172 * CHOOSE(CONTROL!$C$9, $D$9, 100%, $F$9) + CHOOSE(CONTROL!$C$27, 0.0021, 0)</f>
        <v>50.619299999999996</v>
      </c>
      <c r="F506" s="14">
        <f>50.6172 * CHOOSE(CONTROL!$C$9, $D$9, 100%, $F$9) + CHOOSE(CONTROL!$C$27, 0.0021, 0)</f>
        <v>50.619299999999996</v>
      </c>
      <c r="G506" s="14">
        <f>50.8885 * CHOOSE(CONTROL!$C$9, $D$9, 100%, $F$9) + CHOOSE(CONTROL!$C$27, 0.0021, 0)</f>
        <v>50.890599999999999</v>
      </c>
      <c r="H506" s="14">
        <f>50.7538 * CHOOSE(CONTROL!$C$9, $D$9, 100%, $F$9) + CHOOSE(CONTROL!$C$27, 0.0021, 0)</f>
        <v>50.755899999999997</v>
      </c>
      <c r="I506" s="14">
        <f>50.7538 * CHOOSE(CONTROL!$C$9, $D$9, 100%, $F$9) + CHOOSE(CONTROL!$C$27, 0.0021, 0)</f>
        <v>50.755899999999997</v>
      </c>
      <c r="J506" s="14">
        <f>50.7538 * CHOOSE(CONTROL!$C$9, $D$9, 100%, $F$9) + CHOOSE(CONTROL!$C$27, 0.0021, 0)</f>
        <v>50.755899999999997</v>
      </c>
      <c r="K506" s="14">
        <f>50.7538 * CHOOSE(CONTROL!$C$9, $D$9, 100%, $F$9) + CHOOSE(CONTROL!$C$27, 0.0021, 0)</f>
        <v>50.755899999999997</v>
      </c>
      <c r="L506" s="14"/>
    </row>
    <row r="507" spans="1:12" ht="15.75" x14ac:dyDescent="0.25">
      <c r="A507" s="33">
        <v>56369</v>
      </c>
      <c r="B507" s="14">
        <f>50.476 * CHOOSE(CONTROL!$C$9, $D$9, 100%, $F$9) + CHOOSE(CONTROL!$C$27, 0.0021, 0)</f>
        <v>50.478099999999998</v>
      </c>
      <c r="C507" s="14">
        <f>50.0438 * CHOOSE(CONTROL!$C$9, $D$9, 100%, $F$9) + CHOOSE(CONTROL!$C$27, 0.0021, 0)</f>
        <v>50.045899999999996</v>
      </c>
      <c r="D507" s="14">
        <f>50.0438 * CHOOSE(CONTROL!$C$9, $D$9, 100%, $F$9) + CHOOSE(CONTROL!$C$27, 0.0021, 0)</f>
        <v>50.045899999999996</v>
      </c>
      <c r="E507" s="14">
        <f>49.9071 * CHOOSE(CONTROL!$C$9, $D$9, 100%, $F$9) + CHOOSE(CONTROL!$C$27, 0.0021, 0)</f>
        <v>49.909199999999998</v>
      </c>
      <c r="F507" s="14">
        <f>49.9071 * CHOOSE(CONTROL!$C$9, $D$9, 100%, $F$9) + CHOOSE(CONTROL!$C$27, 0.0021, 0)</f>
        <v>49.909199999999998</v>
      </c>
      <c r="G507" s="14">
        <f>50.1785 * CHOOSE(CONTROL!$C$9, $D$9, 100%, $F$9) + CHOOSE(CONTROL!$C$27, 0.0021, 0)</f>
        <v>50.180599999999998</v>
      </c>
      <c r="H507" s="14">
        <f>50.0438 * CHOOSE(CONTROL!$C$9, $D$9, 100%, $F$9) + CHOOSE(CONTROL!$C$27, 0.0021, 0)</f>
        <v>50.045899999999996</v>
      </c>
      <c r="I507" s="14">
        <f>50.0438 * CHOOSE(CONTROL!$C$9, $D$9, 100%, $F$9) + CHOOSE(CONTROL!$C$27, 0.0021, 0)</f>
        <v>50.045899999999996</v>
      </c>
      <c r="J507" s="14">
        <f>50.0438 * CHOOSE(CONTROL!$C$9, $D$9, 100%, $F$9) + CHOOSE(CONTROL!$C$27, 0.0021, 0)</f>
        <v>50.045899999999996</v>
      </c>
      <c r="K507" s="14">
        <f>50.0438 * CHOOSE(CONTROL!$C$9, $D$9, 100%, $F$9) + CHOOSE(CONTROL!$C$27, 0.0021, 0)</f>
        <v>50.045899999999996</v>
      </c>
      <c r="L507" s="14"/>
    </row>
    <row r="508" spans="1:12" ht="15.75" x14ac:dyDescent="0.25">
      <c r="A508" s="33">
        <v>56400</v>
      </c>
      <c r="B508" s="14">
        <f>51.4879 * CHOOSE(CONTROL!$C$9, $D$9, 100%, $F$9) + CHOOSE(CONTROL!$C$27, 0.0021, 0)</f>
        <v>51.49</v>
      </c>
      <c r="C508" s="14">
        <f>51.0557 * CHOOSE(CONTROL!$C$9, $D$9, 100%, $F$9) + CHOOSE(CONTROL!$C$27, 0.0021, 0)</f>
        <v>51.0578</v>
      </c>
      <c r="D508" s="14">
        <f>51.0557 * CHOOSE(CONTROL!$C$9, $D$9, 100%, $F$9) + CHOOSE(CONTROL!$C$27, 0.0021, 0)</f>
        <v>51.0578</v>
      </c>
      <c r="E508" s="14">
        <f>50.919 * CHOOSE(CONTROL!$C$9, $D$9, 100%, $F$9) + CHOOSE(CONTROL!$C$27, 0.0021, 0)</f>
        <v>50.921099999999996</v>
      </c>
      <c r="F508" s="14">
        <f>50.919 * CHOOSE(CONTROL!$C$9, $D$9, 100%, $F$9) + CHOOSE(CONTROL!$C$27, 0.0021, 0)</f>
        <v>50.921099999999996</v>
      </c>
      <c r="G508" s="14">
        <f>51.1904 * CHOOSE(CONTROL!$C$9, $D$9, 100%, $F$9) + CHOOSE(CONTROL!$C$27, 0.0021, 0)</f>
        <v>51.192499999999995</v>
      </c>
      <c r="H508" s="14">
        <f>51.0557 * CHOOSE(CONTROL!$C$9, $D$9, 100%, $F$9) + CHOOSE(CONTROL!$C$27, 0.0021, 0)</f>
        <v>51.0578</v>
      </c>
      <c r="I508" s="14">
        <f>51.0557 * CHOOSE(CONTROL!$C$9, $D$9, 100%, $F$9) + CHOOSE(CONTROL!$C$27, 0.0021, 0)</f>
        <v>51.0578</v>
      </c>
      <c r="J508" s="14">
        <f>51.0557 * CHOOSE(CONTROL!$C$9, $D$9, 100%, $F$9) + CHOOSE(CONTROL!$C$27, 0.0021, 0)</f>
        <v>51.0578</v>
      </c>
      <c r="K508" s="14">
        <f>51.0557 * CHOOSE(CONTROL!$C$9, $D$9, 100%, $F$9) + CHOOSE(CONTROL!$C$27, 0.0021, 0)</f>
        <v>51.0578</v>
      </c>
      <c r="L508" s="14"/>
    </row>
    <row r="509" spans="1:12" ht="15.75" x14ac:dyDescent="0.25">
      <c r="A509" s="33">
        <v>56430</v>
      </c>
      <c r="B509" s="14">
        <f>52.094 * CHOOSE(CONTROL!$C$9, $D$9, 100%, $F$9) + CHOOSE(CONTROL!$C$27, 0.0021, 0)</f>
        <v>52.0961</v>
      </c>
      <c r="C509" s="14">
        <f>51.6618 * CHOOSE(CONTROL!$C$9, $D$9, 100%, $F$9) + CHOOSE(CONTROL!$C$27, 0.0021, 0)</f>
        <v>51.663899999999998</v>
      </c>
      <c r="D509" s="14">
        <f>51.6618 * CHOOSE(CONTROL!$C$9, $D$9, 100%, $F$9) + CHOOSE(CONTROL!$C$27, 0.0021, 0)</f>
        <v>51.663899999999998</v>
      </c>
      <c r="E509" s="14">
        <f>51.5251 * CHOOSE(CONTROL!$C$9, $D$9, 100%, $F$9) + CHOOSE(CONTROL!$C$27, 0.0021, 0)</f>
        <v>51.527200000000001</v>
      </c>
      <c r="F509" s="14">
        <f>51.5251 * CHOOSE(CONTROL!$C$9, $D$9, 100%, $F$9) + CHOOSE(CONTROL!$C$27, 0.0021, 0)</f>
        <v>51.527200000000001</v>
      </c>
      <c r="G509" s="14">
        <f>51.7965 * CHOOSE(CONTROL!$C$9, $D$9, 100%, $F$9) + CHOOSE(CONTROL!$C$27, 0.0021, 0)</f>
        <v>51.7986</v>
      </c>
      <c r="H509" s="14">
        <f>51.6618 * CHOOSE(CONTROL!$C$9, $D$9, 100%, $F$9) + CHOOSE(CONTROL!$C$27, 0.0021, 0)</f>
        <v>51.663899999999998</v>
      </c>
      <c r="I509" s="14">
        <f>51.6618 * CHOOSE(CONTROL!$C$9, $D$9, 100%, $F$9) + CHOOSE(CONTROL!$C$27, 0.0021, 0)</f>
        <v>51.663899999999998</v>
      </c>
      <c r="J509" s="14">
        <f>51.6618 * CHOOSE(CONTROL!$C$9, $D$9, 100%, $F$9) + CHOOSE(CONTROL!$C$27, 0.0021, 0)</f>
        <v>51.663899999999998</v>
      </c>
      <c r="K509" s="14">
        <f>51.6618 * CHOOSE(CONTROL!$C$9, $D$9, 100%, $F$9) + CHOOSE(CONTROL!$C$27, 0.0021, 0)</f>
        <v>51.663899999999998</v>
      </c>
      <c r="L509" s="14"/>
    </row>
    <row r="510" spans="1:12" ht="15.75" x14ac:dyDescent="0.25">
      <c r="A510" s="33">
        <v>56461</v>
      </c>
      <c r="B510" s="14">
        <f>53.0938 * CHOOSE(CONTROL!$C$9, $D$9, 100%, $F$9) + CHOOSE(CONTROL!$C$27, 0.0021, 0)</f>
        <v>53.0959</v>
      </c>
      <c r="C510" s="14">
        <f>52.6616 * CHOOSE(CONTROL!$C$9, $D$9, 100%, $F$9) + CHOOSE(CONTROL!$C$27, 0.0021, 0)</f>
        <v>52.663699999999999</v>
      </c>
      <c r="D510" s="14">
        <f>52.6616 * CHOOSE(CONTROL!$C$9, $D$9, 100%, $F$9) + CHOOSE(CONTROL!$C$27, 0.0021, 0)</f>
        <v>52.663699999999999</v>
      </c>
      <c r="E510" s="14">
        <f>52.5249 * CHOOSE(CONTROL!$C$9, $D$9, 100%, $F$9) + CHOOSE(CONTROL!$C$27, 0.0021, 0)</f>
        <v>52.527000000000001</v>
      </c>
      <c r="F510" s="14">
        <f>52.5249 * CHOOSE(CONTROL!$C$9, $D$9, 100%, $F$9) + CHOOSE(CONTROL!$C$27, 0.0021, 0)</f>
        <v>52.527000000000001</v>
      </c>
      <c r="G510" s="14">
        <f>52.7963 * CHOOSE(CONTROL!$C$9, $D$9, 100%, $F$9) + CHOOSE(CONTROL!$C$27, 0.0021, 0)</f>
        <v>52.798400000000001</v>
      </c>
      <c r="H510" s="14">
        <f>52.6616 * CHOOSE(CONTROL!$C$9, $D$9, 100%, $F$9) + CHOOSE(CONTROL!$C$27, 0.0021, 0)</f>
        <v>52.663699999999999</v>
      </c>
      <c r="I510" s="14">
        <f>52.6616 * CHOOSE(CONTROL!$C$9, $D$9, 100%, $F$9) + CHOOSE(CONTROL!$C$27, 0.0021, 0)</f>
        <v>52.663699999999999</v>
      </c>
      <c r="J510" s="14">
        <f>52.6616 * CHOOSE(CONTROL!$C$9, $D$9, 100%, $F$9) + CHOOSE(CONTROL!$C$27, 0.0021, 0)</f>
        <v>52.663699999999999</v>
      </c>
      <c r="K510" s="14">
        <f>52.6616 * CHOOSE(CONTROL!$C$9, $D$9, 100%, $F$9) + CHOOSE(CONTROL!$C$27, 0.0021, 0)</f>
        <v>52.663699999999999</v>
      </c>
      <c r="L510" s="14"/>
    </row>
    <row r="511" spans="1:12" ht="15.75" x14ac:dyDescent="0.25">
      <c r="A511" s="33">
        <v>56492</v>
      </c>
      <c r="B511" s="14">
        <f>53.399 * CHOOSE(CONTROL!$C$9, $D$9, 100%, $F$9) + CHOOSE(CONTROL!$C$27, 0.0021, 0)</f>
        <v>53.4011</v>
      </c>
      <c r="C511" s="14">
        <f>52.9667 * CHOOSE(CONTROL!$C$9, $D$9, 100%, $F$9) + CHOOSE(CONTROL!$C$27, 0.0021, 0)</f>
        <v>52.968800000000002</v>
      </c>
      <c r="D511" s="14">
        <f>52.9667 * CHOOSE(CONTROL!$C$9, $D$9, 100%, $F$9) + CHOOSE(CONTROL!$C$27, 0.0021, 0)</f>
        <v>52.968800000000002</v>
      </c>
      <c r="E511" s="14">
        <f>52.8301 * CHOOSE(CONTROL!$C$9, $D$9, 100%, $F$9) + CHOOSE(CONTROL!$C$27, 0.0021, 0)</f>
        <v>52.8322</v>
      </c>
      <c r="F511" s="14">
        <f>52.8301 * CHOOSE(CONTROL!$C$9, $D$9, 100%, $F$9) + CHOOSE(CONTROL!$C$27, 0.0021, 0)</f>
        <v>52.8322</v>
      </c>
      <c r="G511" s="14">
        <f>53.1014 * CHOOSE(CONTROL!$C$9, $D$9, 100%, $F$9) + CHOOSE(CONTROL!$C$27, 0.0021, 0)</f>
        <v>53.103499999999997</v>
      </c>
      <c r="H511" s="14">
        <f>52.9667 * CHOOSE(CONTROL!$C$9, $D$9, 100%, $F$9) + CHOOSE(CONTROL!$C$27, 0.0021, 0)</f>
        <v>52.968800000000002</v>
      </c>
      <c r="I511" s="14">
        <f>52.9667 * CHOOSE(CONTROL!$C$9, $D$9, 100%, $F$9) + CHOOSE(CONTROL!$C$27, 0.0021, 0)</f>
        <v>52.968800000000002</v>
      </c>
      <c r="J511" s="14">
        <f>52.9667 * CHOOSE(CONTROL!$C$9, $D$9, 100%, $F$9) + CHOOSE(CONTROL!$C$27, 0.0021, 0)</f>
        <v>52.968800000000002</v>
      </c>
      <c r="K511" s="14">
        <f>52.9667 * CHOOSE(CONTROL!$C$9, $D$9, 100%, $F$9) + CHOOSE(CONTROL!$C$27, 0.0021, 0)</f>
        <v>52.968800000000002</v>
      </c>
      <c r="L511" s="14"/>
    </row>
    <row r="512" spans="1:12" ht="15.75" x14ac:dyDescent="0.25">
      <c r="A512" s="33">
        <v>56522</v>
      </c>
      <c r="B512" s="14">
        <f>54.4382 * CHOOSE(CONTROL!$C$9, $D$9, 100%, $F$9) + CHOOSE(CONTROL!$C$27, 0.0021, 0)</f>
        <v>54.440300000000001</v>
      </c>
      <c r="C512" s="14">
        <f>54.006 * CHOOSE(CONTROL!$C$9, $D$9, 100%, $F$9) + CHOOSE(CONTROL!$C$27, 0.0021, 0)</f>
        <v>54.008099999999999</v>
      </c>
      <c r="D512" s="14">
        <f>54.006 * CHOOSE(CONTROL!$C$9, $D$9, 100%, $F$9) + CHOOSE(CONTROL!$C$27, 0.0021, 0)</f>
        <v>54.008099999999999</v>
      </c>
      <c r="E512" s="14">
        <f>53.8693 * CHOOSE(CONTROL!$C$9, $D$9, 100%, $F$9) + CHOOSE(CONTROL!$C$27, 0.0021, 0)</f>
        <v>53.871400000000001</v>
      </c>
      <c r="F512" s="14">
        <f>53.8693 * CHOOSE(CONTROL!$C$9, $D$9, 100%, $F$9) + CHOOSE(CONTROL!$C$27, 0.0021, 0)</f>
        <v>53.871400000000001</v>
      </c>
      <c r="G512" s="14">
        <f>54.1407 * CHOOSE(CONTROL!$C$9, $D$9, 100%, $F$9) + CHOOSE(CONTROL!$C$27, 0.0021, 0)</f>
        <v>54.142800000000001</v>
      </c>
      <c r="H512" s="14">
        <f>54.006 * CHOOSE(CONTROL!$C$9, $D$9, 100%, $F$9) + CHOOSE(CONTROL!$C$27, 0.0021, 0)</f>
        <v>54.008099999999999</v>
      </c>
      <c r="I512" s="14">
        <f>54.006 * CHOOSE(CONTROL!$C$9, $D$9, 100%, $F$9) + CHOOSE(CONTROL!$C$27, 0.0021, 0)</f>
        <v>54.008099999999999</v>
      </c>
      <c r="J512" s="14">
        <f>54.006 * CHOOSE(CONTROL!$C$9, $D$9, 100%, $F$9) + CHOOSE(CONTROL!$C$27, 0.0021, 0)</f>
        <v>54.008099999999999</v>
      </c>
      <c r="K512" s="14">
        <f>54.006 * CHOOSE(CONTROL!$C$9, $D$9, 100%, $F$9) + CHOOSE(CONTROL!$C$27, 0.0021, 0)</f>
        <v>54.008099999999999</v>
      </c>
      <c r="L512" s="14"/>
    </row>
    <row r="513" spans="1:12" ht="15.75" x14ac:dyDescent="0.25">
      <c r="A513" s="33">
        <v>56553</v>
      </c>
      <c r="B513" s="14">
        <f>55.7537 * CHOOSE(CONTROL!$C$9, $D$9, 100%, $F$9) + CHOOSE(CONTROL!$C$27, 0.0021, 0)</f>
        <v>55.755800000000001</v>
      </c>
      <c r="C513" s="14">
        <f>55.3215 * CHOOSE(CONTROL!$C$9, $D$9, 100%, $F$9) + CHOOSE(CONTROL!$C$27, 0.0021, 0)</f>
        <v>55.323599999999999</v>
      </c>
      <c r="D513" s="14">
        <f>55.3215 * CHOOSE(CONTROL!$C$9, $D$9, 100%, $F$9) + CHOOSE(CONTROL!$C$27, 0.0021, 0)</f>
        <v>55.323599999999999</v>
      </c>
      <c r="E513" s="14">
        <f>55.1848 * CHOOSE(CONTROL!$C$9, $D$9, 100%, $F$9) + CHOOSE(CONTROL!$C$27, 0.0021, 0)</f>
        <v>55.186900000000001</v>
      </c>
      <c r="F513" s="14">
        <f>55.1848 * CHOOSE(CONTROL!$C$9, $D$9, 100%, $F$9) + CHOOSE(CONTROL!$C$27, 0.0021, 0)</f>
        <v>55.186900000000001</v>
      </c>
      <c r="G513" s="14">
        <f>55.4562 * CHOOSE(CONTROL!$C$9, $D$9, 100%, $F$9) + CHOOSE(CONTROL!$C$27, 0.0021, 0)</f>
        <v>55.458300000000001</v>
      </c>
      <c r="H513" s="14">
        <f>55.3215 * CHOOSE(CONTROL!$C$9, $D$9, 100%, $F$9) + CHOOSE(CONTROL!$C$27, 0.0021, 0)</f>
        <v>55.323599999999999</v>
      </c>
      <c r="I513" s="14">
        <f>55.3215 * CHOOSE(CONTROL!$C$9, $D$9, 100%, $F$9) + CHOOSE(CONTROL!$C$27, 0.0021, 0)</f>
        <v>55.323599999999999</v>
      </c>
      <c r="J513" s="14">
        <f>55.3215 * CHOOSE(CONTROL!$C$9, $D$9, 100%, $F$9) + CHOOSE(CONTROL!$C$27, 0.0021, 0)</f>
        <v>55.323599999999999</v>
      </c>
      <c r="K513" s="14">
        <f>55.3215 * CHOOSE(CONTROL!$C$9, $D$9, 100%, $F$9) + CHOOSE(CONTROL!$C$27, 0.0021, 0)</f>
        <v>55.323599999999999</v>
      </c>
      <c r="L513" s="14"/>
    </row>
    <row r="514" spans="1:12" ht="15.75" x14ac:dyDescent="0.25">
      <c r="A514" s="33">
        <v>56583</v>
      </c>
      <c r="B514" s="14">
        <f>55.8772 * CHOOSE(CONTROL!$C$9, $D$9, 100%, $F$9) + CHOOSE(CONTROL!$C$27, 0.0021, 0)</f>
        <v>55.879300000000001</v>
      </c>
      <c r="C514" s="14">
        <f>55.445 * CHOOSE(CONTROL!$C$9, $D$9, 100%, $F$9) + CHOOSE(CONTROL!$C$27, 0.0021, 0)</f>
        <v>55.447099999999999</v>
      </c>
      <c r="D514" s="14">
        <f>55.445 * CHOOSE(CONTROL!$C$9, $D$9, 100%, $F$9) + CHOOSE(CONTROL!$C$27, 0.0021, 0)</f>
        <v>55.447099999999999</v>
      </c>
      <c r="E514" s="14">
        <f>55.3083 * CHOOSE(CONTROL!$C$9, $D$9, 100%, $F$9) + CHOOSE(CONTROL!$C$27, 0.0021, 0)</f>
        <v>55.310400000000001</v>
      </c>
      <c r="F514" s="14">
        <f>55.3083 * CHOOSE(CONTROL!$C$9, $D$9, 100%, $F$9) + CHOOSE(CONTROL!$C$27, 0.0021, 0)</f>
        <v>55.310400000000001</v>
      </c>
      <c r="G514" s="14">
        <f>55.5797 * CHOOSE(CONTROL!$C$9, $D$9, 100%, $F$9) + CHOOSE(CONTROL!$C$27, 0.0021, 0)</f>
        <v>55.581800000000001</v>
      </c>
      <c r="H514" s="14">
        <f>55.445 * CHOOSE(CONTROL!$C$9, $D$9, 100%, $F$9) + CHOOSE(CONTROL!$C$27, 0.0021, 0)</f>
        <v>55.447099999999999</v>
      </c>
      <c r="I514" s="14">
        <f>55.445 * CHOOSE(CONTROL!$C$9, $D$9, 100%, $F$9) + CHOOSE(CONTROL!$C$27, 0.0021, 0)</f>
        <v>55.447099999999999</v>
      </c>
      <c r="J514" s="14">
        <f>55.445 * CHOOSE(CONTROL!$C$9, $D$9, 100%, $F$9) + CHOOSE(CONTROL!$C$27, 0.0021, 0)</f>
        <v>55.447099999999999</v>
      </c>
      <c r="K514" s="14">
        <f>55.445 * CHOOSE(CONTROL!$C$9, $D$9, 100%, $F$9) + CHOOSE(CONTROL!$C$27, 0.0021, 0)</f>
        <v>55.447099999999999</v>
      </c>
      <c r="L514" s="14"/>
    </row>
    <row r="515" spans="1:12" ht="15.75" x14ac:dyDescent="0.25">
      <c r="A515" s="33">
        <v>56614</v>
      </c>
      <c r="B515" s="14">
        <f>54.8266 * CHOOSE(CONTROL!$C$9, $D$9, 100%, $F$9) + CHOOSE(CONTROL!$C$27, 0.0021, 0)</f>
        <v>54.828699999999998</v>
      </c>
      <c r="C515" s="14">
        <f>54.3943 * CHOOSE(CONTROL!$C$9, $D$9, 100%, $F$9) + CHOOSE(CONTROL!$C$27, 0.0021, 0)</f>
        <v>54.3964</v>
      </c>
      <c r="D515" s="14">
        <f>54.3943 * CHOOSE(CONTROL!$C$9, $D$9, 100%, $F$9) + CHOOSE(CONTROL!$C$27, 0.0021, 0)</f>
        <v>54.3964</v>
      </c>
      <c r="E515" s="14">
        <f>54.2577 * CHOOSE(CONTROL!$C$9, $D$9, 100%, $F$9) + CHOOSE(CONTROL!$C$27, 0.0021, 0)</f>
        <v>54.259799999999998</v>
      </c>
      <c r="F515" s="14">
        <f>54.2577 * CHOOSE(CONTROL!$C$9, $D$9, 100%, $F$9) + CHOOSE(CONTROL!$C$27, 0.0021, 0)</f>
        <v>54.259799999999998</v>
      </c>
      <c r="G515" s="14">
        <f>54.529 * CHOOSE(CONTROL!$C$9, $D$9, 100%, $F$9) + CHOOSE(CONTROL!$C$27, 0.0021, 0)</f>
        <v>54.531100000000002</v>
      </c>
      <c r="H515" s="14">
        <f>54.3943 * CHOOSE(CONTROL!$C$9, $D$9, 100%, $F$9) + CHOOSE(CONTROL!$C$27, 0.0021, 0)</f>
        <v>54.3964</v>
      </c>
      <c r="I515" s="14">
        <f>54.3943 * CHOOSE(CONTROL!$C$9, $D$9, 100%, $F$9) + CHOOSE(CONTROL!$C$27, 0.0021, 0)</f>
        <v>54.3964</v>
      </c>
      <c r="J515" s="14">
        <f>54.3943 * CHOOSE(CONTROL!$C$9, $D$9, 100%, $F$9) + CHOOSE(CONTROL!$C$27, 0.0021, 0)</f>
        <v>54.3964</v>
      </c>
      <c r="K515" s="14">
        <f>54.3943 * CHOOSE(CONTROL!$C$9, $D$9, 100%, $F$9) + CHOOSE(CONTROL!$C$27, 0.0021, 0)</f>
        <v>54.3964</v>
      </c>
      <c r="L515" s="14"/>
    </row>
    <row r="516" spans="1:12" ht="15.75" x14ac:dyDescent="0.25">
      <c r="A516" s="32">
        <v>56645</v>
      </c>
      <c r="B516" s="14">
        <f>54.1382 * CHOOSE(CONTROL!$C$9, $D$9, 100%, $F$9) + CHOOSE(CONTROL!$C$27, 0.0021, 0)</f>
        <v>54.140299999999996</v>
      </c>
      <c r="C516" s="14">
        <f>53.706 * CHOOSE(CONTROL!$C$9, $D$9, 100%, $F$9) + CHOOSE(CONTROL!$C$27, 0.0021, 0)</f>
        <v>53.708100000000002</v>
      </c>
      <c r="D516" s="14">
        <f>53.706 * CHOOSE(CONTROL!$C$9, $D$9, 100%, $F$9) + CHOOSE(CONTROL!$C$27, 0.0021, 0)</f>
        <v>53.708100000000002</v>
      </c>
      <c r="E516" s="14">
        <f>53.5693 * CHOOSE(CONTROL!$C$9, $D$9, 100%, $F$9) + CHOOSE(CONTROL!$C$27, 0.0021, 0)</f>
        <v>53.571399999999997</v>
      </c>
      <c r="F516" s="14">
        <f>53.5693 * CHOOSE(CONTROL!$C$9, $D$9, 100%, $F$9) + CHOOSE(CONTROL!$C$27, 0.0021, 0)</f>
        <v>53.571399999999997</v>
      </c>
      <c r="G516" s="14">
        <f>53.8407 * CHOOSE(CONTROL!$C$9, $D$9, 100%, $F$9) + CHOOSE(CONTROL!$C$27, 0.0021, 0)</f>
        <v>53.842799999999997</v>
      </c>
      <c r="H516" s="14">
        <f>53.706 * CHOOSE(CONTROL!$C$9, $D$9, 100%, $F$9) + CHOOSE(CONTROL!$C$27, 0.0021, 0)</f>
        <v>53.708100000000002</v>
      </c>
      <c r="I516" s="14">
        <f>53.706 * CHOOSE(CONTROL!$C$9, $D$9, 100%, $F$9) + CHOOSE(CONTROL!$C$27, 0.0021, 0)</f>
        <v>53.708100000000002</v>
      </c>
      <c r="J516" s="14">
        <f>53.706 * CHOOSE(CONTROL!$C$9, $D$9, 100%, $F$9) + CHOOSE(CONTROL!$C$27, 0.0021, 0)</f>
        <v>53.708100000000002</v>
      </c>
      <c r="K516" s="14">
        <f>53.706 * CHOOSE(CONTROL!$C$9, $D$9, 100%, $F$9) + CHOOSE(CONTROL!$C$27, 0.0021, 0)</f>
        <v>53.708100000000002</v>
      </c>
      <c r="L516" s="14"/>
    </row>
    <row r="517" spans="1:12" ht="15.75" x14ac:dyDescent="0.25">
      <c r="A517" s="32">
        <v>56673</v>
      </c>
      <c r="B517" s="14">
        <f>52.6718 * CHOOSE(CONTROL!$C$9, $D$9, 100%, $F$9) + CHOOSE(CONTROL!$C$27, 0.0021, 0)</f>
        <v>52.673899999999996</v>
      </c>
      <c r="C517" s="14">
        <f>52.2395 * CHOOSE(CONTROL!$C$9, $D$9, 100%, $F$9) + CHOOSE(CONTROL!$C$27, 0.0021, 0)</f>
        <v>52.241599999999998</v>
      </c>
      <c r="D517" s="14">
        <f>52.2395 * CHOOSE(CONTROL!$C$9, $D$9, 100%, $F$9) + CHOOSE(CONTROL!$C$27, 0.0021, 0)</f>
        <v>52.241599999999998</v>
      </c>
      <c r="E517" s="14">
        <f>52.1029 * CHOOSE(CONTROL!$C$9, $D$9, 100%, $F$9) + CHOOSE(CONTROL!$C$27, 0.0021, 0)</f>
        <v>52.104999999999997</v>
      </c>
      <c r="F517" s="14">
        <f>52.1029 * CHOOSE(CONTROL!$C$9, $D$9, 100%, $F$9) + CHOOSE(CONTROL!$C$27, 0.0021, 0)</f>
        <v>52.104999999999997</v>
      </c>
      <c r="G517" s="14">
        <f>52.3742 * CHOOSE(CONTROL!$C$9, $D$9, 100%, $F$9) + CHOOSE(CONTROL!$C$27, 0.0021, 0)</f>
        <v>52.376300000000001</v>
      </c>
      <c r="H517" s="14">
        <f>52.2395 * CHOOSE(CONTROL!$C$9, $D$9, 100%, $F$9) + CHOOSE(CONTROL!$C$27, 0.0021, 0)</f>
        <v>52.241599999999998</v>
      </c>
      <c r="I517" s="14">
        <f>52.2395 * CHOOSE(CONTROL!$C$9, $D$9, 100%, $F$9) + CHOOSE(CONTROL!$C$27, 0.0021, 0)</f>
        <v>52.241599999999998</v>
      </c>
      <c r="J517" s="14">
        <f>52.2395 * CHOOSE(CONTROL!$C$9, $D$9, 100%, $F$9) + CHOOSE(CONTROL!$C$27, 0.0021, 0)</f>
        <v>52.241599999999998</v>
      </c>
      <c r="K517" s="14">
        <f>52.2395 * CHOOSE(CONTROL!$C$9, $D$9, 100%, $F$9) + CHOOSE(CONTROL!$C$27, 0.0021, 0)</f>
        <v>52.241599999999998</v>
      </c>
      <c r="L517" s="14"/>
    </row>
    <row r="518" spans="1:12" ht="15.75" x14ac:dyDescent="0.25">
      <c r="A518" s="32">
        <v>56704</v>
      </c>
      <c r="B518" s="14">
        <f>52.0664 * CHOOSE(CONTROL!$C$9, $D$9, 100%, $F$9) + CHOOSE(CONTROL!$C$27, 0.0021, 0)</f>
        <v>52.0685</v>
      </c>
      <c r="C518" s="14">
        <f>51.6342 * CHOOSE(CONTROL!$C$9, $D$9, 100%, $F$9) + CHOOSE(CONTROL!$C$27, 0.0021, 0)</f>
        <v>51.636299999999999</v>
      </c>
      <c r="D518" s="14">
        <f>51.6342 * CHOOSE(CONTROL!$C$9, $D$9, 100%, $F$9) + CHOOSE(CONTROL!$C$27, 0.0021, 0)</f>
        <v>51.636299999999999</v>
      </c>
      <c r="E518" s="14">
        <f>51.4975 * CHOOSE(CONTROL!$C$9, $D$9, 100%, $F$9) + CHOOSE(CONTROL!$C$27, 0.0021, 0)</f>
        <v>51.499600000000001</v>
      </c>
      <c r="F518" s="14">
        <f>51.4975 * CHOOSE(CONTROL!$C$9, $D$9, 100%, $F$9) + CHOOSE(CONTROL!$C$27, 0.0021, 0)</f>
        <v>51.499600000000001</v>
      </c>
      <c r="G518" s="14">
        <f>51.7689 * CHOOSE(CONTROL!$C$9, $D$9, 100%, $F$9) + CHOOSE(CONTROL!$C$27, 0.0021, 0)</f>
        <v>51.771000000000001</v>
      </c>
      <c r="H518" s="14">
        <f>51.6342 * CHOOSE(CONTROL!$C$9, $D$9, 100%, $F$9) + CHOOSE(CONTROL!$C$27, 0.0021, 0)</f>
        <v>51.636299999999999</v>
      </c>
      <c r="I518" s="14">
        <f>51.6342 * CHOOSE(CONTROL!$C$9, $D$9, 100%, $F$9) + CHOOSE(CONTROL!$C$27, 0.0021, 0)</f>
        <v>51.636299999999999</v>
      </c>
      <c r="J518" s="14">
        <f>51.6342 * CHOOSE(CONTROL!$C$9, $D$9, 100%, $F$9) + CHOOSE(CONTROL!$C$27, 0.0021, 0)</f>
        <v>51.636299999999999</v>
      </c>
      <c r="K518" s="14">
        <f>51.6342 * CHOOSE(CONTROL!$C$9, $D$9, 100%, $F$9) + CHOOSE(CONTROL!$C$27, 0.0021, 0)</f>
        <v>51.636299999999999</v>
      </c>
      <c r="L518" s="14"/>
    </row>
    <row r="519" spans="1:12" ht="15.75" x14ac:dyDescent="0.25">
      <c r="A519" s="32">
        <v>56734</v>
      </c>
      <c r="B519" s="14">
        <f>51.3436 * CHOOSE(CONTROL!$C$9, $D$9, 100%, $F$9) + CHOOSE(CONTROL!$C$27, 0.0021, 0)</f>
        <v>51.345700000000001</v>
      </c>
      <c r="C519" s="14">
        <f>50.9113 * CHOOSE(CONTROL!$C$9, $D$9, 100%, $F$9) + CHOOSE(CONTROL!$C$27, 0.0021, 0)</f>
        <v>50.913399999999996</v>
      </c>
      <c r="D519" s="14">
        <f>50.9113 * CHOOSE(CONTROL!$C$9, $D$9, 100%, $F$9) + CHOOSE(CONTROL!$C$27, 0.0021, 0)</f>
        <v>50.913399999999996</v>
      </c>
      <c r="E519" s="14">
        <f>50.7747 * CHOOSE(CONTROL!$C$9, $D$9, 100%, $F$9) + CHOOSE(CONTROL!$C$27, 0.0021, 0)</f>
        <v>50.776800000000001</v>
      </c>
      <c r="F519" s="14">
        <f>50.7747 * CHOOSE(CONTROL!$C$9, $D$9, 100%, $F$9) + CHOOSE(CONTROL!$C$27, 0.0021, 0)</f>
        <v>50.776800000000001</v>
      </c>
      <c r="G519" s="14">
        <f>51.0461 * CHOOSE(CONTROL!$C$9, $D$9, 100%, $F$9) + CHOOSE(CONTROL!$C$27, 0.0021, 0)</f>
        <v>51.048200000000001</v>
      </c>
      <c r="H519" s="14">
        <f>50.9113 * CHOOSE(CONTROL!$C$9, $D$9, 100%, $F$9) + CHOOSE(CONTROL!$C$27, 0.0021, 0)</f>
        <v>50.913399999999996</v>
      </c>
      <c r="I519" s="14">
        <f>50.9113 * CHOOSE(CONTROL!$C$9, $D$9, 100%, $F$9) + CHOOSE(CONTROL!$C$27, 0.0021, 0)</f>
        <v>50.913399999999996</v>
      </c>
      <c r="J519" s="14">
        <f>50.9113 * CHOOSE(CONTROL!$C$9, $D$9, 100%, $F$9) + CHOOSE(CONTROL!$C$27, 0.0021, 0)</f>
        <v>50.913399999999996</v>
      </c>
      <c r="K519" s="14">
        <f>50.9113 * CHOOSE(CONTROL!$C$9, $D$9, 100%, $F$9) + CHOOSE(CONTROL!$C$27, 0.0021, 0)</f>
        <v>50.913399999999996</v>
      </c>
      <c r="L519" s="14"/>
    </row>
    <row r="520" spans="1:12" ht="15.75" x14ac:dyDescent="0.25">
      <c r="A520" s="32">
        <v>56765</v>
      </c>
      <c r="B520" s="14">
        <f>52.3737 * CHOOSE(CONTROL!$C$9, $D$9, 100%, $F$9) + CHOOSE(CONTROL!$C$27, 0.0021, 0)</f>
        <v>52.375799999999998</v>
      </c>
      <c r="C520" s="14">
        <f>51.9414 * CHOOSE(CONTROL!$C$9, $D$9, 100%, $F$9) + CHOOSE(CONTROL!$C$27, 0.0021, 0)</f>
        <v>51.9435</v>
      </c>
      <c r="D520" s="14">
        <f>51.9414 * CHOOSE(CONTROL!$C$9, $D$9, 100%, $F$9) + CHOOSE(CONTROL!$C$27, 0.0021, 0)</f>
        <v>51.9435</v>
      </c>
      <c r="E520" s="14">
        <f>51.8048 * CHOOSE(CONTROL!$C$9, $D$9, 100%, $F$9) + CHOOSE(CONTROL!$C$27, 0.0021, 0)</f>
        <v>51.806899999999999</v>
      </c>
      <c r="F520" s="14">
        <f>51.8048 * CHOOSE(CONTROL!$C$9, $D$9, 100%, $F$9) + CHOOSE(CONTROL!$C$27, 0.0021, 0)</f>
        <v>51.806899999999999</v>
      </c>
      <c r="G520" s="14">
        <f>52.0762 * CHOOSE(CONTROL!$C$9, $D$9, 100%, $F$9) + CHOOSE(CONTROL!$C$27, 0.0021, 0)</f>
        <v>52.078299999999999</v>
      </c>
      <c r="H520" s="14">
        <f>51.9414 * CHOOSE(CONTROL!$C$9, $D$9, 100%, $F$9) + CHOOSE(CONTROL!$C$27, 0.0021, 0)</f>
        <v>51.9435</v>
      </c>
      <c r="I520" s="14">
        <f>51.9414 * CHOOSE(CONTROL!$C$9, $D$9, 100%, $F$9) + CHOOSE(CONTROL!$C$27, 0.0021, 0)</f>
        <v>51.9435</v>
      </c>
      <c r="J520" s="14">
        <f>51.9414 * CHOOSE(CONTROL!$C$9, $D$9, 100%, $F$9) + CHOOSE(CONTROL!$C$27, 0.0021, 0)</f>
        <v>51.9435</v>
      </c>
      <c r="K520" s="14">
        <f>51.9414 * CHOOSE(CONTROL!$C$9, $D$9, 100%, $F$9) + CHOOSE(CONTROL!$C$27, 0.0021, 0)</f>
        <v>51.9435</v>
      </c>
      <c r="L520" s="14"/>
    </row>
    <row r="521" spans="1:12" ht="15.75" x14ac:dyDescent="0.25">
      <c r="A521" s="32">
        <v>56795</v>
      </c>
      <c r="B521" s="14">
        <f>52.9907 * CHOOSE(CONTROL!$C$9, $D$9, 100%, $F$9) + CHOOSE(CONTROL!$C$27, 0.0021, 0)</f>
        <v>52.992799999999995</v>
      </c>
      <c r="C521" s="14">
        <f>52.5584 * CHOOSE(CONTROL!$C$9, $D$9, 100%, $F$9) + CHOOSE(CONTROL!$C$27, 0.0021, 0)</f>
        <v>52.560499999999998</v>
      </c>
      <c r="D521" s="14">
        <f>52.5584 * CHOOSE(CONTROL!$C$9, $D$9, 100%, $F$9) + CHOOSE(CONTROL!$C$27, 0.0021, 0)</f>
        <v>52.560499999999998</v>
      </c>
      <c r="E521" s="14">
        <f>52.4218 * CHOOSE(CONTROL!$C$9, $D$9, 100%, $F$9) + CHOOSE(CONTROL!$C$27, 0.0021, 0)</f>
        <v>52.423899999999996</v>
      </c>
      <c r="F521" s="14">
        <f>52.4218 * CHOOSE(CONTROL!$C$9, $D$9, 100%, $F$9) + CHOOSE(CONTROL!$C$27, 0.0021, 0)</f>
        <v>52.423899999999996</v>
      </c>
      <c r="G521" s="14">
        <f>52.6931 * CHOOSE(CONTROL!$C$9, $D$9, 100%, $F$9) + CHOOSE(CONTROL!$C$27, 0.0021, 0)</f>
        <v>52.6952</v>
      </c>
      <c r="H521" s="14">
        <f>52.5584 * CHOOSE(CONTROL!$C$9, $D$9, 100%, $F$9) + CHOOSE(CONTROL!$C$27, 0.0021, 0)</f>
        <v>52.560499999999998</v>
      </c>
      <c r="I521" s="14">
        <f>52.5584 * CHOOSE(CONTROL!$C$9, $D$9, 100%, $F$9) + CHOOSE(CONTROL!$C$27, 0.0021, 0)</f>
        <v>52.560499999999998</v>
      </c>
      <c r="J521" s="14">
        <f>52.5584 * CHOOSE(CONTROL!$C$9, $D$9, 100%, $F$9) + CHOOSE(CONTROL!$C$27, 0.0021, 0)</f>
        <v>52.560499999999998</v>
      </c>
      <c r="K521" s="14">
        <f>52.5584 * CHOOSE(CONTROL!$C$9, $D$9, 100%, $F$9) + CHOOSE(CONTROL!$C$27, 0.0021, 0)</f>
        <v>52.560499999999998</v>
      </c>
      <c r="L521" s="14"/>
    </row>
    <row r="522" spans="1:12" ht="15.75" x14ac:dyDescent="0.25">
      <c r="A522" s="32">
        <v>56826</v>
      </c>
      <c r="B522" s="14">
        <f>54.0085 * CHOOSE(CONTROL!$C$9, $D$9, 100%, $F$9) + CHOOSE(CONTROL!$C$27, 0.0021, 0)</f>
        <v>54.010599999999997</v>
      </c>
      <c r="C522" s="14">
        <f>53.5762 * CHOOSE(CONTROL!$C$9, $D$9, 100%, $F$9) + CHOOSE(CONTROL!$C$27, 0.0021, 0)</f>
        <v>53.578299999999999</v>
      </c>
      <c r="D522" s="14">
        <f>53.5762 * CHOOSE(CONTROL!$C$9, $D$9, 100%, $F$9) + CHOOSE(CONTROL!$C$27, 0.0021, 0)</f>
        <v>53.578299999999999</v>
      </c>
      <c r="E522" s="14">
        <f>53.4396 * CHOOSE(CONTROL!$C$9, $D$9, 100%, $F$9) + CHOOSE(CONTROL!$C$27, 0.0021, 0)</f>
        <v>53.441699999999997</v>
      </c>
      <c r="F522" s="14">
        <f>53.4396 * CHOOSE(CONTROL!$C$9, $D$9, 100%, $F$9) + CHOOSE(CONTROL!$C$27, 0.0021, 0)</f>
        <v>53.441699999999997</v>
      </c>
      <c r="G522" s="14">
        <f>53.7109 * CHOOSE(CONTROL!$C$9, $D$9, 100%, $F$9) + CHOOSE(CONTROL!$C$27, 0.0021, 0)</f>
        <v>53.713000000000001</v>
      </c>
      <c r="H522" s="14">
        <f>53.5762 * CHOOSE(CONTROL!$C$9, $D$9, 100%, $F$9) + CHOOSE(CONTROL!$C$27, 0.0021, 0)</f>
        <v>53.578299999999999</v>
      </c>
      <c r="I522" s="14">
        <f>53.5762 * CHOOSE(CONTROL!$C$9, $D$9, 100%, $F$9) + CHOOSE(CONTROL!$C$27, 0.0021, 0)</f>
        <v>53.578299999999999</v>
      </c>
      <c r="J522" s="14">
        <f>53.5762 * CHOOSE(CONTROL!$C$9, $D$9, 100%, $F$9) + CHOOSE(CONTROL!$C$27, 0.0021, 0)</f>
        <v>53.578299999999999</v>
      </c>
      <c r="K522" s="14">
        <f>53.5762 * CHOOSE(CONTROL!$C$9, $D$9, 100%, $F$9) + CHOOSE(CONTROL!$C$27, 0.0021, 0)</f>
        <v>53.578299999999999</v>
      </c>
      <c r="L522" s="14"/>
    </row>
    <row r="523" spans="1:12" ht="15.75" x14ac:dyDescent="0.25">
      <c r="A523" s="32">
        <v>56857</v>
      </c>
      <c r="B523" s="14">
        <f>54.3191 * CHOOSE(CONTROL!$C$9, $D$9, 100%, $F$9) + CHOOSE(CONTROL!$C$27, 0.0021, 0)</f>
        <v>54.321199999999997</v>
      </c>
      <c r="C523" s="14">
        <f>53.8869 * CHOOSE(CONTROL!$C$9, $D$9, 100%, $F$9) + CHOOSE(CONTROL!$C$27, 0.0021, 0)</f>
        <v>53.888999999999996</v>
      </c>
      <c r="D523" s="14">
        <f>53.8869 * CHOOSE(CONTROL!$C$9, $D$9, 100%, $F$9) + CHOOSE(CONTROL!$C$27, 0.0021, 0)</f>
        <v>53.888999999999996</v>
      </c>
      <c r="E523" s="14">
        <f>53.7502 * CHOOSE(CONTROL!$C$9, $D$9, 100%, $F$9) + CHOOSE(CONTROL!$C$27, 0.0021, 0)</f>
        <v>53.752299999999998</v>
      </c>
      <c r="F523" s="14">
        <f>53.7502 * CHOOSE(CONTROL!$C$9, $D$9, 100%, $F$9) + CHOOSE(CONTROL!$C$27, 0.0021, 0)</f>
        <v>53.752299999999998</v>
      </c>
      <c r="G523" s="14">
        <f>54.0216 * CHOOSE(CONTROL!$C$9, $D$9, 100%, $F$9) + CHOOSE(CONTROL!$C$27, 0.0021, 0)</f>
        <v>54.023699999999998</v>
      </c>
      <c r="H523" s="14">
        <f>53.8869 * CHOOSE(CONTROL!$C$9, $D$9, 100%, $F$9) + CHOOSE(CONTROL!$C$27, 0.0021, 0)</f>
        <v>53.888999999999996</v>
      </c>
      <c r="I523" s="14">
        <f>53.8869 * CHOOSE(CONTROL!$C$9, $D$9, 100%, $F$9) + CHOOSE(CONTROL!$C$27, 0.0021, 0)</f>
        <v>53.888999999999996</v>
      </c>
      <c r="J523" s="14">
        <f>53.8869 * CHOOSE(CONTROL!$C$9, $D$9, 100%, $F$9) + CHOOSE(CONTROL!$C$27, 0.0021, 0)</f>
        <v>53.888999999999996</v>
      </c>
      <c r="K523" s="14">
        <f>53.8869 * CHOOSE(CONTROL!$C$9, $D$9, 100%, $F$9) + CHOOSE(CONTROL!$C$27, 0.0021, 0)</f>
        <v>53.888999999999996</v>
      </c>
      <c r="L523" s="14"/>
    </row>
    <row r="524" spans="1:12" ht="15.75" x14ac:dyDescent="0.25">
      <c r="A524" s="32">
        <v>56887</v>
      </c>
      <c r="B524" s="14">
        <f>55.3771 * CHOOSE(CONTROL!$C$9, $D$9, 100%, $F$9) + CHOOSE(CONTROL!$C$27, 0.0021, 0)</f>
        <v>55.379199999999997</v>
      </c>
      <c r="C524" s="14">
        <f>54.9449 * CHOOSE(CONTROL!$C$9, $D$9, 100%, $F$9) + CHOOSE(CONTROL!$C$27, 0.0021, 0)</f>
        <v>54.946999999999996</v>
      </c>
      <c r="D524" s="14">
        <f>54.9449 * CHOOSE(CONTROL!$C$9, $D$9, 100%, $F$9) + CHOOSE(CONTROL!$C$27, 0.0021, 0)</f>
        <v>54.946999999999996</v>
      </c>
      <c r="E524" s="14">
        <f>54.8082 * CHOOSE(CONTROL!$C$9, $D$9, 100%, $F$9) + CHOOSE(CONTROL!$C$27, 0.0021, 0)</f>
        <v>54.810299999999998</v>
      </c>
      <c r="F524" s="14">
        <f>54.8082 * CHOOSE(CONTROL!$C$9, $D$9, 100%, $F$9) + CHOOSE(CONTROL!$C$27, 0.0021, 0)</f>
        <v>54.810299999999998</v>
      </c>
      <c r="G524" s="14">
        <f>55.0796 * CHOOSE(CONTROL!$C$9, $D$9, 100%, $F$9) + CHOOSE(CONTROL!$C$27, 0.0021, 0)</f>
        <v>55.081699999999998</v>
      </c>
      <c r="H524" s="14">
        <f>54.9449 * CHOOSE(CONTROL!$C$9, $D$9, 100%, $F$9) + CHOOSE(CONTROL!$C$27, 0.0021, 0)</f>
        <v>54.946999999999996</v>
      </c>
      <c r="I524" s="14">
        <f>54.9449 * CHOOSE(CONTROL!$C$9, $D$9, 100%, $F$9) + CHOOSE(CONTROL!$C$27, 0.0021, 0)</f>
        <v>54.946999999999996</v>
      </c>
      <c r="J524" s="14">
        <f>54.9449 * CHOOSE(CONTROL!$C$9, $D$9, 100%, $F$9) + CHOOSE(CONTROL!$C$27, 0.0021, 0)</f>
        <v>54.946999999999996</v>
      </c>
      <c r="K524" s="14">
        <f>54.9449 * CHOOSE(CONTROL!$C$9, $D$9, 100%, $F$9) + CHOOSE(CONTROL!$C$27, 0.0021, 0)</f>
        <v>54.946999999999996</v>
      </c>
      <c r="L524" s="14"/>
    </row>
    <row r="525" spans="1:12" ht="15.75" x14ac:dyDescent="0.25">
      <c r="A525" s="32">
        <v>56918</v>
      </c>
      <c r="B525" s="14">
        <f>56.7163 * CHOOSE(CONTROL!$C$9, $D$9, 100%, $F$9) + CHOOSE(CONTROL!$C$27, 0.0021, 0)</f>
        <v>56.718399999999995</v>
      </c>
      <c r="C525" s="14">
        <f>56.2841 * CHOOSE(CONTROL!$C$9, $D$9, 100%, $F$9) + CHOOSE(CONTROL!$C$27, 0.0021, 0)</f>
        <v>56.286200000000001</v>
      </c>
      <c r="D525" s="14">
        <f>56.2841 * CHOOSE(CONTROL!$C$9, $D$9, 100%, $F$9) + CHOOSE(CONTROL!$C$27, 0.0021, 0)</f>
        <v>56.286200000000001</v>
      </c>
      <c r="E525" s="14">
        <f>56.1474 * CHOOSE(CONTROL!$C$9, $D$9, 100%, $F$9) + CHOOSE(CONTROL!$C$27, 0.0021, 0)</f>
        <v>56.149499999999996</v>
      </c>
      <c r="F525" s="14">
        <f>56.1474 * CHOOSE(CONTROL!$C$9, $D$9, 100%, $F$9) + CHOOSE(CONTROL!$C$27, 0.0021, 0)</f>
        <v>56.149499999999996</v>
      </c>
      <c r="G525" s="14">
        <f>56.4188 * CHOOSE(CONTROL!$C$9, $D$9, 100%, $F$9) + CHOOSE(CONTROL!$C$27, 0.0021, 0)</f>
        <v>56.420899999999996</v>
      </c>
      <c r="H525" s="14">
        <f>56.2841 * CHOOSE(CONTROL!$C$9, $D$9, 100%, $F$9) + CHOOSE(CONTROL!$C$27, 0.0021, 0)</f>
        <v>56.286200000000001</v>
      </c>
      <c r="I525" s="14">
        <f>56.2841 * CHOOSE(CONTROL!$C$9, $D$9, 100%, $F$9) + CHOOSE(CONTROL!$C$27, 0.0021, 0)</f>
        <v>56.286200000000001</v>
      </c>
      <c r="J525" s="14">
        <f>56.2841 * CHOOSE(CONTROL!$C$9, $D$9, 100%, $F$9) + CHOOSE(CONTROL!$C$27, 0.0021, 0)</f>
        <v>56.286200000000001</v>
      </c>
      <c r="K525" s="14">
        <f>56.2841 * CHOOSE(CONTROL!$C$9, $D$9, 100%, $F$9) + CHOOSE(CONTROL!$C$27, 0.0021, 0)</f>
        <v>56.286200000000001</v>
      </c>
      <c r="L525" s="14"/>
    </row>
    <row r="526" spans="1:12" ht="15.75" x14ac:dyDescent="0.25">
      <c r="A526" s="32">
        <v>56948</v>
      </c>
      <c r="B526" s="14">
        <f>56.842 * CHOOSE(CONTROL!$C$9, $D$9, 100%, $F$9) + CHOOSE(CONTROL!$C$27, 0.0021, 0)</f>
        <v>56.844099999999997</v>
      </c>
      <c r="C526" s="14">
        <f>56.4098 * CHOOSE(CONTROL!$C$9, $D$9, 100%, $F$9) + CHOOSE(CONTROL!$C$27, 0.0021, 0)</f>
        <v>56.411899999999996</v>
      </c>
      <c r="D526" s="14">
        <f>56.4098 * CHOOSE(CONTROL!$C$9, $D$9, 100%, $F$9) + CHOOSE(CONTROL!$C$27, 0.0021, 0)</f>
        <v>56.411899999999996</v>
      </c>
      <c r="E526" s="14">
        <f>56.2731 * CHOOSE(CONTROL!$C$9, $D$9, 100%, $F$9) + CHOOSE(CONTROL!$C$27, 0.0021, 0)</f>
        <v>56.275199999999998</v>
      </c>
      <c r="F526" s="14">
        <f>56.2731 * CHOOSE(CONTROL!$C$9, $D$9, 100%, $F$9) + CHOOSE(CONTROL!$C$27, 0.0021, 0)</f>
        <v>56.275199999999998</v>
      </c>
      <c r="G526" s="14">
        <f>56.5445 * CHOOSE(CONTROL!$C$9, $D$9, 100%, $F$9) + CHOOSE(CONTROL!$C$27, 0.0021, 0)</f>
        <v>56.546599999999998</v>
      </c>
      <c r="H526" s="14">
        <f>56.4098 * CHOOSE(CONTROL!$C$9, $D$9, 100%, $F$9) + CHOOSE(CONTROL!$C$27, 0.0021, 0)</f>
        <v>56.411899999999996</v>
      </c>
      <c r="I526" s="14">
        <f>56.4098 * CHOOSE(CONTROL!$C$9, $D$9, 100%, $F$9) + CHOOSE(CONTROL!$C$27, 0.0021, 0)</f>
        <v>56.411899999999996</v>
      </c>
      <c r="J526" s="14">
        <f>56.4098 * CHOOSE(CONTROL!$C$9, $D$9, 100%, $F$9) + CHOOSE(CONTROL!$C$27, 0.0021, 0)</f>
        <v>56.411899999999996</v>
      </c>
      <c r="K526" s="14">
        <f>56.4098 * CHOOSE(CONTROL!$C$9, $D$9, 100%, $F$9) + CHOOSE(CONTROL!$C$27, 0.0021, 0)</f>
        <v>56.411899999999996</v>
      </c>
      <c r="L526" s="14"/>
    </row>
    <row r="527" spans="1:12" ht="15.75" x14ac:dyDescent="0.25">
      <c r="A527" s="32">
        <v>56979</v>
      </c>
      <c r="B527" s="14">
        <f>55.7724 * CHOOSE(CONTROL!$C$9, $D$9, 100%, $F$9) + CHOOSE(CONTROL!$C$27, 0.0021, 0)</f>
        <v>55.774499999999996</v>
      </c>
      <c r="C527" s="14">
        <f>55.3402 * CHOOSE(CONTROL!$C$9, $D$9, 100%, $F$9) + CHOOSE(CONTROL!$C$27, 0.0021, 0)</f>
        <v>55.342300000000002</v>
      </c>
      <c r="D527" s="14">
        <f>55.3402 * CHOOSE(CONTROL!$C$9, $D$9, 100%, $F$9) + CHOOSE(CONTROL!$C$27, 0.0021, 0)</f>
        <v>55.342300000000002</v>
      </c>
      <c r="E527" s="14">
        <f>55.2035 * CHOOSE(CONTROL!$C$9, $D$9, 100%, $F$9) + CHOOSE(CONTROL!$C$27, 0.0021, 0)</f>
        <v>55.205599999999997</v>
      </c>
      <c r="F527" s="14">
        <f>55.2035 * CHOOSE(CONTROL!$C$9, $D$9, 100%, $F$9) + CHOOSE(CONTROL!$C$27, 0.0021, 0)</f>
        <v>55.205599999999997</v>
      </c>
      <c r="G527" s="14">
        <f>55.4749 * CHOOSE(CONTROL!$C$9, $D$9, 100%, $F$9) + CHOOSE(CONTROL!$C$27, 0.0021, 0)</f>
        <v>55.476999999999997</v>
      </c>
      <c r="H527" s="14">
        <f>55.3402 * CHOOSE(CONTROL!$C$9, $D$9, 100%, $F$9) + CHOOSE(CONTROL!$C$27, 0.0021, 0)</f>
        <v>55.342300000000002</v>
      </c>
      <c r="I527" s="14">
        <f>55.3402 * CHOOSE(CONTROL!$C$9, $D$9, 100%, $F$9) + CHOOSE(CONTROL!$C$27, 0.0021, 0)</f>
        <v>55.342300000000002</v>
      </c>
      <c r="J527" s="14">
        <f>55.3402 * CHOOSE(CONTROL!$C$9, $D$9, 100%, $F$9) + CHOOSE(CONTROL!$C$27, 0.0021, 0)</f>
        <v>55.342300000000002</v>
      </c>
      <c r="K527" s="14">
        <f>55.3402 * CHOOSE(CONTROL!$C$9, $D$9, 100%, $F$9) + CHOOSE(CONTROL!$C$27, 0.0021, 0)</f>
        <v>55.342300000000002</v>
      </c>
      <c r="L527" s="14"/>
    </row>
    <row r="528" spans="1:12" ht="15.75" x14ac:dyDescent="0.25">
      <c r="A528" s="32">
        <v>57010</v>
      </c>
      <c r="B528" s="14">
        <f>55.0717 * CHOOSE(CONTROL!$C$9, $D$9, 100%, $F$9) + CHOOSE(CONTROL!$C$27, 0.0021, 0)</f>
        <v>55.073799999999999</v>
      </c>
      <c r="C528" s="14">
        <f>54.6395 * CHOOSE(CONTROL!$C$9, $D$9, 100%, $F$9) + CHOOSE(CONTROL!$C$27, 0.0021, 0)</f>
        <v>54.641599999999997</v>
      </c>
      <c r="D528" s="14">
        <f>54.6395 * CHOOSE(CONTROL!$C$9, $D$9, 100%, $F$9) + CHOOSE(CONTROL!$C$27, 0.0021, 0)</f>
        <v>54.641599999999997</v>
      </c>
      <c r="E528" s="14">
        <f>54.5028 * CHOOSE(CONTROL!$C$9, $D$9, 100%, $F$9) + CHOOSE(CONTROL!$C$27, 0.0021, 0)</f>
        <v>54.504899999999999</v>
      </c>
      <c r="F528" s="14">
        <f>54.5028 * CHOOSE(CONTROL!$C$9, $D$9, 100%, $F$9) + CHOOSE(CONTROL!$C$27, 0.0021, 0)</f>
        <v>54.504899999999999</v>
      </c>
      <c r="G528" s="14">
        <f>54.7742 * CHOOSE(CONTROL!$C$9, $D$9, 100%, $F$9) + CHOOSE(CONTROL!$C$27, 0.0021, 0)</f>
        <v>54.776299999999999</v>
      </c>
      <c r="H528" s="14">
        <f>54.6395 * CHOOSE(CONTROL!$C$9, $D$9, 100%, $F$9) + CHOOSE(CONTROL!$C$27, 0.0021, 0)</f>
        <v>54.641599999999997</v>
      </c>
      <c r="I528" s="14">
        <f>54.6395 * CHOOSE(CONTROL!$C$9, $D$9, 100%, $F$9) + CHOOSE(CONTROL!$C$27, 0.0021, 0)</f>
        <v>54.641599999999997</v>
      </c>
      <c r="J528" s="14">
        <f>54.6395 * CHOOSE(CONTROL!$C$9, $D$9, 100%, $F$9) + CHOOSE(CONTROL!$C$27, 0.0021, 0)</f>
        <v>54.641599999999997</v>
      </c>
      <c r="K528" s="14">
        <f>54.6395 * CHOOSE(CONTROL!$C$9, $D$9, 100%, $F$9) + CHOOSE(CONTROL!$C$27, 0.0021, 0)</f>
        <v>54.641599999999997</v>
      </c>
      <c r="L528" s="14"/>
    </row>
    <row r="529" spans="1:12" ht="15.75" x14ac:dyDescent="0.25">
      <c r="A529" s="32">
        <v>57038</v>
      </c>
      <c r="B529" s="14">
        <f>53.5788 * CHOOSE(CONTROL!$C$9, $D$9, 100%, $F$9) + CHOOSE(CONTROL!$C$27, 0.0021, 0)</f>
        <v>53.5809</v>
      </c>
      <c r="C529" s="14">
        <f>53.1466 * CHOOSE(CONTROL!$C$9, $D$9, 100%, $F$9) + CHOOSE(CONTROL!$C$27, 0.0021, 0)</f>
        <v>53.148699999999998</v>
      </c>
      <c r="D529" s="14">
        <f>53.1466 * CHOOSE(CONTROL!$C$9, $D$9, 100%, $F$9) + CHOOSE(CONTROL!$C$27, 0.0021, 0)</f>
        <v>53.148699999999998</v>
      </c>
      <c r="E529" s="14">
        <f>53.0099 * CHOOSE(CONTROL!$C$9, $D$9, 100%, $F$9) + CHOOSE(CONTROL!$C$27, 0.0021, 0)</f>
        <v>53.012</v>
      </c>
      <c r="F529" s="14">
        <f>53.0099 * CHOOSE(CONTROL!$C$9, $D$9, 100%, $F$9) + CHOOSE(CONTROL!$C$27, 0.0021, 0)</f>
        <v>53.012</v>
      </c>
      <c r="G529" s="14">
        <f>53.2813 * CHOOSE(CONTROL!$C$9, $D$9, 100%, $F$9) + CHOOSE(CONTROL!$C$27, 0.0021, 0)</f>
        <v>53.2834</v>
      </c>
      <c r="H529" s="14">
        <f>53.1466 * CHOOSE(CONTROL!$C$9, $D$9, 100%, $F$9) + CHOOSE(CONTROL!$C$27, 0.0021, 0)</f>
        <v>53.148699999999998</v>
      </c>
      <c r="I529" s="14">
        <f>53.1466 * CHOOSE(CONTROL!$C$9, $D$9, 100%, $F$9) + CHOOSE(CONTROL!$C$27, 0.0021, 0)</f>
        <v>53.148699999999998</v>
      </c>
      <c r="J529" s="14">
        <f>53.1466 * CHOOSE(CONTROL!$C$9, $D$9, 100%, $F$9) + CHOOSE(CONTROL!$C$27, 0.0021, 0)</f>
        <v>53.148699999999998</v>
      </c>
      <c r="K529" s="14">
        <f>53.1466 * CHOOSE(CONTROL!$C$9, $D$9, 100%, $F$9) + CHOOSE(CONTROL!$C$27, 0.0021, 0)</f>
        <v>53.148699999999998</v>
      </c>
      <c r="L529" s="14"/>
    </row>
    <row r="530" spans="1:12" ht="15.75" x14ac:dyDescent="0.25">
      <c r="A530" s="32">
        <v>57070</v>
      </c>
      <c r="B530" s="14">
        <f>52.9626 * CHOOSE(CONTROL!$C$9, $D$9, 100%, $F$9) + CHOOSE(CONTROL!$C$27, 0.0021, 0)</f>
        <v>52.964700000000001</v>
      </c>
      <c r="C530" s="14">
        <f>52.5303 * CHOOSE(CONTROL!$C$9, $D$9, 100%, $F$9) + CHOOSE(CONTROL!$C$27, 0.0021, 0)</f>
        <v>52.532399999999996</v>
      </c>
      <c r="D530" s="14">
        <f>52.5303 * CHOOSE(CONTROL!$C$9, $D$9, 100%, $F$9) + CHOOSE(CONTROL!$C$27, 0.0021, 0)</f>
        <v>52.532399999999996</v>
      </c>
      <c r="E530" s="14">
        <f>52.3937 * CHOOSE(CONTROL!$C$9, $D$9, 100%, $F$9) + CHOOSE(CONTROL!$C$27, 0.0021, 0)</f>
        <v>52.395800000000001</v>
      </c>
      <c r="F530" s="14">
        <f>52.3937 * CHOOSE(CONTROL!$C$9, $D$9, 100%, $F$9) + CHOOSE(CONTROL!$C$27, 0.0021, 0)</f>
        <v>52.395800000000001</v>
      </c>
      <c r="G530" s="14">
        <f>52.665 * CHOOSE(CONTROL!$C$9, $D$9, 100%, $F$9) + CHOOSE(CONTROL!$C$27, 0.0021, 0)</f>
        <v>52.667099999999998</v>
      </c>
      <c r="H530" s="14">
        <f>52.5303 * CHOOSE(CONTROL!$C$9, $D$9, 100%, $F$9) + CHOOSE(CONTROL!$C$27, 0.0021, 0)</f>
        <v>52.532399999999996</v>
      </c>
      <c r="I530" s="14">
        <f>52.5303 * CHOOSE(CONTROL!$C$9, $D$9, 100%, $F$9) + CHOOSE(CONTROL!$C$27, 0.0021, 0)</f>
        <v>52.532399999999996</v>
      </c>
      <c r="J530" s="14">
        <f>52.5303 * CHOOSE(CONTROL!$C$9, $D$9, 100%, $F$9) + CHOOSE(CONTROL!$C$27, 0.0021, 0)</f>
        <v>52.532399999999996</v>
      </c>
      <c r="K530" s="14">
        <f>52.5303 * CHOOSE(CONTROL!$C$9, $D$9, 100%, $F$9) + CHOOSE(CONTROL!$C$27, 0.0021, 0)</f>
        <v>52.532399999999996</v>
      </c>
      <c r="L530" s="14"/>
    </row>
    <row r="531" spans="1:12" ht="15.75" x14ac:dyDescent="0.25">
      <c r="A531" s="32">
        <v>57100</v>
      </c>
      <c r="B531" s="14">
        <f>52.2267 * CHOOSE(CONTROL!$C$9, $D$9, 100%, $F$9) + CHOOSE(CONTROL!$C$27, 0.0021, 0)</f>
        <v>52.2288</v>
      </c>
      <c r="C531" s="14">
        <f>51.7945 * CHOOSE(CONTROL!$C$9, $D$9, 100%, $F$9) + CHOOSE(CONTROL!$C$27, 0.0021, 0)</f>
        <v>51.796599999999998</v>
      </c>
      <c r="D531" s="14">
        <f>51.7945 * CHOOSE(CONTROL!$C$9, $D$9, 100%, $F$9) + CHOOSE(CONTROL!$C$27, 0.0021, 0)</f>
        <v>51.796599999999998</v>
      </c>
      <c r="E531" s="14">
        <f>51.6578 * CHOOSE(CONTROL!$C$9, $D$9, 100%, $F$9) + CHOOSE(CONTROL!$C$27, 0.0021, 0)</f>
        <v>51.6599</v>
      </c>
      <c r="F531" s="14">
        <f>51.6578 * CHOOSE(CONTROL!$C$9, $D$9, 100%, $F$9) + CHOOSE(CONTROL!$C$27, 0.0021, 0)</f>
        <v>51.6599</v>
      </c>
      <c r="G531" s="14">
        <f>51.9292 * CHOOSE(CONTROL!$C$9, $D$9, 100%, $F$9) + CHOOSE(CONTROL!$C$27, 0.0021, 0)</f>
        <v>51.9313</v>
      </c>
      <c r="H531" s="14">
        <f>51.7945 * CHOOSE(CONTROL!$C$9, $D$9, 100%, $F$9) + CHOOSE(CONTROL!$C$27, 0.0021, 0)</f>
        <v>51.796599999999998</v>
      </c>
      <c r="I531" s="14">
        <f>51.7945 * CHOOSE(CONTROL!$C$9, $D$9, 100%, $F$9) + CHOOSE(CONTROL!$C$27, 0.0021, 0)</f>
        <v>51.796599999999998</v>
      </c>
      <c r="J531" s="14">
        <f>51.7945 * CHOOSE(CONTROL!$C$9, $D$9, 100%, $F$9) + CHOOSE(CONTROL!$C$27, 0.0021, 0)</f>
        <v>51.796599999999998</v>
      </c>
      <c r="K531" s="14">
        <f>51.7945 * CHOOSE(CONTROL!$C$9, $D$9, 100%, $F$9) + CHOOSE(CONTROL!$C$27, 0.0021, 0)</f>
        <v>51.796599999999998</v>
      </c>
      <c r="L531" s="14"/>
    </row>
    <row r="532" spans="1:12" ht="15.75" x14ac:dyDescent="0.25">
      <c r="A532" s="32">
        <v>57131</v>
      </c>
      <c r="B532" s="14">
        <f>53.2754 * CHOOSE(CONTROL!$C$9, $D$9, 100%, $F$9) + CHOOSE(CONTROL!$C$27, 0.0021, 0)</f>
        <v>53.277499999999996</v>
      </c>
      <c r="C532" s="14">
        <f>52.8431 * CHOOSE(CONTROL!$C$9, $D$9, 100%, $F$9) + CHOOSE(CONTROL!$C$27, 0.0021, 0)</f>
        <v>52.845199999999998</v>
      </c>
      <c r="D532" s="14">
        <f>52.8431 * CHOOSE(CONTROL!$C$9, $D$9, 100%, $F$9) + CHOOSE(CONTROL!$C$27, 0.0021, 0)</f>
        <v>52.845199999999998</v>
      </c>
      <c r="E532" s="14">
        <f>52.7065 * CHOOSE(CONTROL!$C$9, $D$9, 100%, $F$9) + CHOOSE(CONTROL!$C$27, 0.0021, 0)</f>
        <v>52.708599999999997</v>
      </c>
      <c r="F532" s="14">
        <f>52.7065 * CHOOSE(CONTROL!$C$9, $D$9, 100%, $F$9) + CHOOSE(CONTROL!$C$27, 0.0021, 0)</f>
        <v>52.708599999999997</v>
      </c>
      <c r="G532" s="14">
        <f>52.9779 * CHOOSE(CONTROL!$C$9, $D$9, 100%, $F$9) + CHOOSE(CONTROL!$C$27, 0.0021, 0)</f>
        <v>52.98</v>
      </c>
      <c r="H532" s="14">
        <f>52.8431 * CHOOSE(CONTROL!$C$9, $D$9, 100%, $F$9) + CHOOSE(CONTROL!$C$27, 0.0021, 0)</f>
        <v>52.845199999999998</v>
      </c>
      <c r="I532" s="14">
        <f>52.8431 * CHOOSE(CONTROL!$C$9, $D$9, 100%, $F$9) + CHOOSE(CONTROL!$C$27, 0.0021, 0)</f>
        <v>52.845199999999998</v>
      </c>
      <c r="J532" s="14">
        <f>52.8431 * CHOOSE(CONTROL!$C$9, $D$9, 100%, $F$9) + CHOOSE(CONTROL!$C$27, 0.0021, 0)</f>
        <v>52.845199999999998</v>
      </c>
      <c r="K532" s="14">
        <f>52.8431 * CHOOSE(CONTROL!$C$9, $D$9, 100%, $F$9) + CHOOSE(CONTROL!$C$27, 0.0021, 0)</f>
        <v>52.845199999999998</v>
      </c>
      <c r="L532" s="14"/>
    </row>
    <row r="533" spans="1:12" ht="15.75" x14ac:dyDescent="0.25">
      <c r="A533" s="32">
        <v>57161</v>
      </c>
      <c r="B533" s="14">
        <f>53.9035 * CHOOSE(CONTROL!$C$9, $D$9, 100%, $F$9) + CHOOSE(CONTROL!$C$27, 0.0021, 0)</f>
        <v>53.9056</v>
      </c>
      <c r="C533" s="14">
        <f>53.4712 * CHOOSE(CONTROL!$C$9, $D$9, 100%, $F$9) + CHOOSE(CONTROL!$C$27, 0.0021, 0)</f>
        <v>53.473300000000002</v>
      </c>
      <c r="D533" s="14">
        <f>53.4712 * CHOOSE(CONTROL!$C$9, $D$9, 100%, $F$9) + CHOOSE(CONTROL!$C$27, 0.0021, 0)</f>
        <v>53.473300000000002</v>
      </c>
      <c r="E533" s="14">
        <f>53.3346 * CHOOSE(CONTROL!$C$9, $D$9, 100%, $F$9) + CHOOSE(CONTROL!$C$27, 0.0021, 0)</f>
        <v>53.3367</v>
      </c>
      <c r="F533" s="14">
        <f>53.3346 * CHOOSE(CONTROL!$C$9, $D$9, 100%, $F$9) + CHOOSE(CONTROL!$C$27, 0.0021, 0)</f>
        <v>53.3367</v>
      </c>
      <c r="G533" s="14">
        <f>53.606 * CHOOSE(CONTROL!$C$9, $D$9, 100%, $F$9) + CHOOSE(CONTROL!$C$27, 0.0021, 0)</f>
        <v>53.6081</v>
      </c>
      <c r="H533" s="14">
        <f>53.4712 * CHOOSE(CONTROL!$C$9, $D$9, 100%, $F$9) + CHOOSE(CONTROL!$C$27, 0.0021, 0)</f>
        <v>53.473300000000002</v>
      </c>
      <c r="I533" s="14">
        <f>53.4712 * CHOOSE(CONTROL!$C$9, $D$9, 100%, $F$9) + CHOOSE(CONTROL!$C$27, 0.0021, 0)</f>
        <v>53.473300000000002</v>
      </c>
      <c r="J533" s="14">
        <f>53.4712 * CHOOSE(CONTROL!$C$9, $D$9, 100%, $F$9) + CHOOSE(CONTROL!$C$27, 0.0021, 0)</f>
        <v>53.473300000000002</v>
      </c>
      <c r="K533" s="14">
        <f>53.4712 * CHOOSE(CONTROL!$C$9, $D$9, 100%, $F$9) + CHOOSE(CONTROL!$C$27, 0.0021, 0)</f>
        <v>53.473300000000002</v>
      </c>
      <c r="L533" s="14"/>
    </row>
    <row r="534" spans="1:12" ht="15.75" x14ac:dyDescent="0.25">
      <c r="A534" s="32">
        <v>57192</v>
      </c>
      <c r="B534" s="14">
        <f>54.9396 * CHOOSE(CONTROL!$C$9, $D$9, 100%, $F$9) + CHOOSE(CONTROL!$C$27, 0.0021, 0)</f>
        <v>54.941699999999997</v>
      </c>
      <c r="C534" s="14">
        <f>54.5074 * CHOOSE(CONTROL!$C$9, $D$9, 100%, $F$9) + CHOOSE(CONTROL!$C$27, 0.0021, 0)</f>
        <v>54.509499999999996</v>
      </c>
      <c r="D534" s="14">
        <f>54.5074 * CHOOSE(CONTROL!$C$9, $D$9, 100%, $F$9) + CHOOSE(CONTROL!$C$27, 0.0021, 0)</f>
        <v>54.509499999999996</v>
      </c>
      <c r="E534" s="14">
        <f>54.3707 * CHOOSE(CONTROL!$C$9, $D$9, 100%, $F$9) + CHOOSE(CONTROL!$C$27, 0.0021, 0)</f>
        <v>54.372799999999998</v>
      </c>
      <c r="F534" s="14">
        <f>54.3707 * CHOOSE(CONTROL!$C$9, $D$9, 100%, $F$9) + CHOOSE(CONTROL!$C$27, 0.0021, 0)</f>
        <v>54.372799999999998</v>
      </c>
      <c r="G534" s="14">
        <f>54.6421 * CHOOSE(CONTROL!$C$9, $D$9, 100%, $F$9) + CHOOSE(CONTROL!$C$27, 0.0021, 0)</f>
        <v>54.644199999999998</v>
      </c>
      <c r="H534" s="14">
        <f>54.5074 * CHOOSE(CONTROL!$C$9, $D$9, 100%, $F$9) + CHOOSE(CONTROL!$C$27, 0.0021, 0)</f>
        <v>54.509499999999996</v>
      </c>
      <c r="I534" s="14">
        <f>54.5074 * CHOOSE(CONTROL!$C$9, $D$9, 100%, $F$9) + CHOOSE(CONTROL!$C$27, 0.0021, 0)</f>
        <v>54.509499999999996</v>
      </c>
      <c r="J534" s="14">
        <f>54.5074 * CHOOSE(CONTROL!$C$9, $D$9, 100%, $F$9) + CHOOSE(CONTROL!$C$27, 0.0021, 0)</f>
        <v>54.509499999999996</v>
      </c>
      <c r="K534" s="14">
        <f>54.5074 * CHOOSE(CONTROL!$C$9, $D$9, 100%, $F$9) + CHOOSE(CONTROL!$C$27, 0.0021, 0)</f>
        <v>54.509499999999996</v>
      </c>
      <c r="L534" s="14"/>
    </row>
    <row r="535" spans="1:12" ht="15.75" x14ac:dyDescent="0.25">
      <c r="A535" s="32">
        <v>57223</v>
      </c>
      <c r="B535" s="14">
        <f>55.2559 * CHOOSE(CONTROL!$C$9, $D$9, 100%, $F$9) + CHOOSE(CONTROL!$C$27, 0.0021, 0)</f>
        <v>55.257999999999996</v>
      </c>
      <c r="C535" s="14">
        <f>54.8236 * CHOOSE(CONTROL!$C$9, $D$9, 100%, $F$9) + CHOOSE(CONTROL!$C$27, 0.0021, 0)</f>
        <v>54.825699999999998</v>
      </c>
      <c r="D535" s="14">
        <f>54.8236 * CHOOSE(CONTROL!$C$9, $D$9, 100%, $F$9) + CHOOSE(CONTROL!$C$27, 0.0021, 0)</f>
        <v>54.825699999999998</v>
      </c>
      <c r="E535" s="14">
        <f>54.687 * CHOOSE(CONTROL!$C$9, $D$9, 100%, $F$9) + CHOOSE(CONTROL!$C$27, 0.0021, 0)</f>
        <v>54.689099999999996</v>
      </c>
      <c r="F535" s="14">
        <f>54.687 * CHOOSE(CONTROL!$C$9, $D$9, 100%, $F$9) + CHOOSE(CONTROL!$C$27, 0.0021, 0)</f>
        <v>54.689099999999996</v>
      </c>
      <c r="G535" s="14">
        <f>54.9583 * CHOOSE(CONTROL!$C$9, $D$9, 100%, $F$9) + CHOOSE(CONTROL!$C$27, 0.0021, 0)</f>
        <v>54.9604</v>
      </c>
      <c r="H535" s="14">
        <f>54.8236 * CHOOSE(CONTROL!$C$9, $D$9, 100%, $F$9) + CHOOSE(CONTROL!$C$27, 0.0021, 0)</f>
        <v>54.825699999999998</v>
      </c>
      <c r="I535" s="14">
        <f>54.8236 * CHOOSE(CONTROL!$C$9, $D$9, 100%, $F$9) + CHOOSE(CONTROL!$C$27, 0.0021, 0)</f>
        <v>54.825699999999998</v>
      </c>
      <c r="J535" s="14">
        <f>54.8236 * CHOOSE(CONTROL!$C$9, $D$9, 100%, $F$9) + CHOOSE(CONTROL!$C$27, 0.0021, 0)</f>
        <v>54.825699999999998</v>
      </c>
      <c r="K535" s="14">
        <f>54.8236 * CHOOSE(CONTROL!$C$9, $D$9, 100%, $F$9) + CHOOSE(CONTROL!$C$27, 0.0021, 0)</f>
        <v>54.825699999999998</v>
      </c>
      <c r="L535" s="14"/>
    </row>
    <row r="536" spans="1:12" ht="15.75" x14ac:dyDescent="0.25">
      <c r="A536" s="32">
        <v>57253</v>
      </c>
      <c r="B536" s="14">
        <f>56.3329 * CHOOSE(CONTROL!$C$9, $D$9, 100%, $F$9) + CHOOSE(CONTROL!$C$27, 0.0021, 0)</f>
        <v>56.335000000000001</v>
      </c>
      <c r="C536" s="14">
        <f>55.9006 * CHOOSE(CONTROL!$C$9, $D$9, 100%, $F$9) + CHOOSE(CONTROL!$C$27, 0.0021, 0)</f>
        <v>55.902699999999996</v>
      </c>
      <c r="D536" s="14">
        <f>55.9006 * CHOOSE(CONTROL!$C$9, $D$9, 100%, $F$9) + CHOOSE(CONTROL!$C$27, 0.0021, 0)</f>
        <v>55.902699999999996</v>
      </c>
      <c r="E536" s="14">
        <f>55.764 * CHOOSE(CONTROL!$C$9, $D$9, 100%, $F$9) + CHOOSE(CONTROL!$C$27, 0.0021, 0)</f>
        <v>55.766100000000002</v>
      </c>
      <c r="F536" s="14">
        <f>55.764 * CHOOSE(CONTROL!$C$9, $D$9, 100%, $F$9) + CHOOSE(CONTROL!$C$27, 0.0021, 0)</f>
        <v>55.766100000000002</v>
      </c>
      <c r="G536" s="14">
        <f>56.0354 * CHOOSE(CONTROL!$C$9, $D$9, 100%, $F$9) + CHOOSE(CONTROL!$C$27, 0.0021, 0)</f>
        <v>56.037500000000001</v>
      </c>
      <c r="H536" s="14">
        <f>55.9006 * CHOOSE(CONTROL!$C$9, $D$9, 100%, $F$9) + CHOOSE(CONTROL!$C$27, 0.0021, 0)</f>
        <v>55.902699999999996</v>
      </c>
      <c r="I536" s="14">
        <f>55.9006 * CHOOSE(CONTROL!$C$9, $D$9, 100%, $F$9) + CHOOSE(CONTROL!$C$27, 0.0021, 0)</f>
        <v>55.902699999999996</v>
      </c>
      <c r="J536" s="14">
        <f>55.9006 * CHOOSE(CONTROL!$C$9, $D$9, 100%, $F$9) + CHOOSE(CONTROL!$C$27, 0.0021, 0)</f>
        <v>55.902699999999996</v>
      </c>
      <c r="K536" s="14">
        <f>55.9006 * CHOOSE(CONTROL!$C$9, $D$9, 100%, $F$9) + CHOOSE(CONTROL!$C$27, 0.0021, 0)</f>
        <v>55.902699999999996</v>
      </c>
      <c r="L536" s="14"/>
    </row>
    <row r="537" spans="1:12" ht="15.75" x14ac:dyDescent="0.25">
      <c r="A537" s="32">
        <v>57284</v>
      </c>
      <c r="B537" s="14">
        <f>57.6962 * CHOOSE(CONTROL!$C$9, $D$9, 100%, $F$9) + CHOOSE(CONTROL!$C$27, 0.0021, 0)</f>
        <v>57.698299999999996</v>
      </c>
      <c r="C537" s="14">
        <f>57.2639 * CHOOSE(CONTROL!$C$9, $D$9, 100%, $F$9) + CHOOSE(CONTROL!$C$27, 0.0021, 0)</f>
        <v>57.265999999999998</v>
      </c>
      <c r="D537" s="14">
        <f>57.2639 * CHOOSE(CONTROL!$C$9, $D$9, 100%, $F$9) + CHOOSE(CONTROL!$C$27, 0.0021, 0)</f>
        <v>57.265999999999998</v>
      </c>
      <c r="E537" s="14">
        <f>57.1273 * CHOOSE(CONTROL!$C$9, $D$9, 100%, $F$9) + CHOOSE(CONTROL!$C$27, 0.0021, 0)</f>
        <v>57.129399999999997</v>
      </c>
      <c r="F537" s="14">
        <f>57.1273 * CHOOSE(CONTROL!$C$9, $D$9, 100%, $F$9) + CHOOSE(CONTROL!$C$27, 0.0021, 0)</f>
        <v>57.129399999999997</v>
      </c>
      <c r="G537" s="14">
        <f>57.3987 * CHOOSE(CONTROL!$C$9, $D$9, 100%, $F$9) + CHOOSE(CONTROL!$C$27, 0.0021, 0)</f>
        <v>57.400799999999997</v>
      </c>
      <c r="H537" s="14">
        <f>57.2639 * CHOOSE(CONTROL!$C$9, $D$9, 100%, $F$9) + CHOOSE(CONTROL!$C$27, 0.0021, 0)</f>
        <v>57.265999999999998</v>
      </c>
      <c r="I537" s="14">
        <f>57.2639 * CHOOSE(CONTROL!$C$9, $D$9, 100%, $F$9) + CHOOSE(CONTROL!$C$27, 0.0021, 0)</f>
        <v>57.265999999999998</v>
      </c>
      <c r="J537" s="14">
        <f>57.2639 * CHOOSE(CONTROL!$C$9, $D$9, 100%, $F$9) + CHOOSE(CONTROL!$C$27, 0.0021, 0)</f>
        <v>57.265999999999998</v>
      </c>
      <c r="K537" s="14">
        <f>57.2639 * CHOOSE(CONTROL!$C$9, $D$9, 100%, $F$9) + CHOOSE(CONTROL!$C$27, 0.0021, 0)</f>
        <v>57.265999999999998</v>
      </c>
      <c r="L537" s="14"/>
    </row>
    <row r="538" spans="1:12" ht="15.75" x14ac:dyDescent="0.25">
      <c r="A538" s="32">
        <v>57314</v>
      </c>
      <c r="B538" s="14">
        <f>57.8242 * CHOOSE(CONTROL!$C$9, $D$9, 100%, $F$9) + CHOOSE(CONTROL!$C$27, 0.0021, 0)</f>
        <v>57.826299999999996</v>
      </c>
      <c r="C538" s="14">
        <f>57.3919 * CHOOSE(CONTROL!$C$9, $D$9, 100%, $F$9) + CHOOSE(CONTROL!$C$27, 0.0021, 0)</f>
        <v>57.393999999999998</v>
      </c>
      <c r="D538" s="14">
        <f>57.3919 * CHOOSE(CONTROL!$C$9, $D$9, 100%, $F$9) + CHOOSE(CONTROL!$C$27, 0.0021, 0)</f>
        <v>57.393999999999998</v>
      </c>
      <c r="E538" s="14">
        <f>57.2553 * CHOOSE(CONTROL!$C$9, $D$9, 100%, $F$9) + CHOOSE(CONTROL!$C$27, 0.0021, 0)</f>
        <v>57.257399999999997</v>
      </c>
      <c r="F538" s="14">
        <f>57.2553 * CHOOSE(CONTROL!$C$9, $D$9, 100%, $F$9) + CHOOSE(CONTROL!$C$27, 0.0021, 0)</f>
        <v>57.257399999999997</v>
      </c>
      <c r="G538" s="14">
        <f>57.5267 * CHOOSE(CONTROL!$C$9, $D$9, 100%, $F$9) + CHOOSE(CONTROL!$C$27, 0.0021, 0)</f>
        <v>57.528799999999997</v>
      </c>
      <c r="H538" s="14">
        <f>57.3919 * CHOOSE(CONTROL!$C$9, $D$9, 100%, $F$9) + CHOOSE(CONTROL!$C$27, 0.0021, 0)</f>
        <v>57.393999999999998</v>
      </c>
      <c r="I538" s="14">
        <f>57.3919 * CHOOSE(CONTROL!$C$9, $D$9, 100%, $F$9) + CHOOSE(CONTROL!$C$27, 0.0021, 0)</f>
        <v>57.393999999999998</v>
      </c>
      <c r="J538" s="14">
        <f>57.3919 * CHOOSE(CONTROL!$C$9, $D$9, 100%, $F$9) + CHOOSE(CONTROL!$C$27, 0.0021, 0)</f>
        <v>57.393999999999998</v>
      </c>
      <c r="K538" s="14">
        <f>57.3919 * CHOOSE(CONTROL!$C$9, $D$9, 100%, $F$9) + CHOOSE(CONTROL!$C$27, 0.0021, 0)</f>
        <v>57.393999999999998</v>
      </c>
      <c r="L538" s="14"/>
    </row>
    <row r="539" spans="1:12" ht="15.75" x14ac:dyDescent="0.25">
      <c r="A539" s="32">
        <v>57345</v>
      </c>
      <c r="B539" s="14">
        <f>56.7353 * CHOOSE(CONTROL!$C$9, $D$9, 100%, $F$9) + CHOOSE(CONTROL!$C$27, 0.0021, 0)</f>
        <v>56.737400000000001</v>
      </c>
      <c r="C539" s="14">
        <f>56.3031 * CHOOSE(CONTROL!$C$9, $D$9, 100%, $F$9) + CHOOSE(CONTROL!$C$27, 0.0021, 0)</f>
        <v>56.305199999999999</v>
      </c>
      <c r="D539" s="14">
        <f>56.3031 * CHOOSE(CONTROL!$C$9, $D$9, 100%, $F$9) + CHOOSE(CONTROL!$C$27, 0.0021, 0)</f>
        <v>56.305199999999999</v>
      </c>
      <c r="E539" s="14">
        <f>56.1664 * CHOOSE(CONTROL!$C$9, $D$9, 100%, $F$9) + CHOOSE(CONTROL!$C$27, 0.0021, 0)</f>
        <v>56.168500000000002</v>
      </c>
      <c r="F539" s="14">
        <f>56.1664 * CHOOSE(CONTROL!$C$9, $D$9, 100%, $F$9) + CHOOSE(CONTROL!$C$27, 0.0021, 0)</f>
        <v>56.168500000000002</v>
      </c>
      <c r="G539" s="14">
        <f>56.4378 * CHOOSE(CONTROL!$C$9, $D$9, 100%, $F$9) + CHOOSE(CONTROL!$C$27, 0.0021, 0)</f>
        <v>56.439900000000002</v>
      </c>
      <c r="H539" s="14">
        <f>56.3031 * CHOOSE(CONTROL!$C$9, $D$9, 100%, $F$9) + CHOOSE(CONTROL!$C$27, 0.0021, 0)</f>
        <v>56.305199999999999</v>
      </c>
      <c r="I539" s="14">
        <f>56.3031 * CHOOSE(CONTROL!$C$9, $D$9, 100%, $F$9) + CHOOSE(CONTROL!$C$27, 0.0021, 0)</f>
        <v>56.305199999999999</v>
      </c>
      <c r="J539" s="14">
        <f>56.3031 * CHOOSE(CONTROL!$C$9, $D$9, 100%, $F$9) + CHOOSE(CONTROL!$C$27, 0.0021, 0)</f>
        <v>56.305199999999999</v>
      </c>
      <c r="K539" s="14">
        <f>56.3031 * CHOOSE(CONTROL!$C$9, $D$9, 100%, $F$9) + CHOOSE(CONTROL!$C$27, 0.0021, 0)</f>
        <v>56.305199999999999</v>
      </c>
      <c r="L539" s="14"/>
    </row>
    <row r="540" spans="1:12" ht="15.75" x14ac:dyDescent="0.25">
      <c r="A540" s="32">
        <v>57376</v>
      </c>
      <c r="B540" s="14">
        <f>56.022 * CHOOSE(CONTROL!$C$9, $D$9, 100%, $F$9) + CHOOSE(CONTROL!$C$27, 0.0021, 0)</f>
        <v>56.024099999999997</v>
      </c>
      <c r="C540" s="14">
        <f>55.5898 * CHOOSE(CONTROL!$C$9, $D$9, 100%, $F$9) + CHOOSE(CONTROL!$C$27, 0.0021, 0)</f>
        <v>55.591899999999995</v>
      </c>
      <c r="D540" s="14">
        <f>55.5898 * CHOOSE(CONTROL!$C$9, $D$9, 100%, $F$9) + CHOOSE(CONTROL!$C$27, 0.0021, 0)</f>
        <v>55.591899999999995</v>
      </c>
      <c r="E540" s="14">
        <f>55.4531 * CHOOSE(CONTROL!$C$9, $D$9, 100%, $F$9) + CHOOSE(CONTROL!$C$27, 0.0021, 0)</f>
        <v>55.455199999999998</v>
      </c>
      <c r="F540" s="14">
        <f>55.4531 * CHOOSE(CONTROL!$C$9, $D$9, 100%, $F$9) + CHOOSE(CONTROL!$C$27, 0.0021, 0)</f>
        <v>55.455199999999998</v>
      </c>
      <c r="G540" s="14">
        <f>55.7245 * CHOOSE(CONTROL!$C$9, $D$9, 100%, $F$9) + CHOOSE(CONTROL!$C$27, 0.0021, 0)</f>
        <v>55.726599999999998</v>
      </c>
      <c r="H540" s="14">
        <f>55.5898 * CHOOSE(CONTROL!$C$9, $D$9, 100%, $F$9) + CHOOSE(CONTROL!$C$27, 0.0021, 0)</f>
        <v>55.591899999999995</v>
      </c>
      <c r="I540" s="14">
        <f>55.5898 * CHOOSE(CONTROL!$C$9, $D$9, 100%, $F$9) + CHOOSE(CONTROL!$C$27, 0.0021, 0)</f>
        <v>55.591899999999995</v>
      </c>
      <c r="J540" s="14">
        <f>55.5898 * CHOOSE(CONTROL!$C$9, $D$9, 100%, $F$9) + CHOOSE(CONTROL!$C$27, 0.0021, 0)</f>
        <v>55.591899999999995</v>
      </c>
      <c r="K540" s="14">
        <f>55.5898 * CHOOSE(CONTROL!$C$9, $D$9, 100%, $F$9) + CHOOSE(CONTROL!$C$27, 0.0021, 0)</f>
        <v>55.591899999999995</v>
      </c>
      <c r="L540" s="14"/>
    </row>
    <row r="541" spans="1:12" ht="15.75" x14ac:dyDescent="0.25">
      <c r="A541" s="32">
        <v>57404</v>
      </c>
      <c r="B541" s="14">
        <f>54.5022 * CHOOSE(CONTROL!$C$9, $D$9, 100%, $F$9) + CHOOSE(CONTROL!$C$27, 0.0021, 0)</f>
        <v>54.504300000000001</v>
      </c>
      <c r="C541" s="14">
        <f>54.07 * CHOOSE(CONTROL!$C$9, $D$9, 100%, $F$9) + CHOOSE(CONTROL!$C$27, 0.0021, 0)</f>
        <v>54.072099999999999</v>
      </c>
      <c r="D541" s="14">
        <f>54.07 * CHOOSE(CONTROL!$C$9, $D$9, 100%, $F$9) + CHOOSE(CONTROL!$C$27, 0.0021, 0)</f>
        <v>54.072099999999999</v>
      </c>
      <c r="E541" s="14">
        <f>53.9333 * CHOOSE(CONTROL!$C$9, $D$9, 100%, $F$9) + CHOOSE(CONTROL!$C$27, 0.0021, 0)</f>
        <v>53.935400000000001</v>
      </c>
      <c r="F541" s="14">
        <f>53.9333 * CHOOSE(CONTROL!$C$9, $D$9, 100%, $F$9) + CHOOSE(CONTROL!$C$27, 0.0021, 0)</f>
        <v>53.935400000000001</v>
      </c>
      <c r="G541" s="14">
        <f>54.2047 * CHOOSE(CONTROL!$C$9, $D$9, 100%, $F$9) + CHOOSE(CONTROL!$C$27, 0.0021, 0)</f>
        <v>54.206800000000001</v>
      </c>
      <c r="H541" s="14">
        <f>54.07 * CHOOSE(CONTROL!$C$9, $D$9, 100%, $F$9) + CHOOSE(CONTROL!$C$27, 0.0021, 0)</f>
        <v>54.072099999999999</v>
      </c>
      <c r="I541" s="14">
        <f>54.07 * CHOOSE(CONTROL!$C$9, $D$9, 100%, $F$9) + CHOOSE(CONTROL!$C$27, 0.0021, 0)</f>
        <v>54.072099999999999</v>
      </c>
      <c r="J541" s="14">
        <f>54.07 * CHOOSE(CONTROL!$C$9, $D$9, 100%, $F$9) + CHOOSE(CONTROL!$C$27, 0.0021, 0)</f>
        <v>54.072099999999999</v>
      </c>
      <c r="K541" s="14">
        <f>54.07 * CHOOSE(CONTROL!$C$9, $D$9, 100%, $F$9) + CHOOSE(CONTROL!$C$27, 0.0021, 0)</f>
        <v>54.072099999999999</v>
      </c>
      <c r="L541" s="14"/>
    </row>
    <row r="542" spans="1:12" ht="15.75" x14ac:dyDescent="0.25">
      <c r="A542" s="32">
        <v>57435</v>
      </c>
      <c r="B542" s="14">
        <f>53.8749 * CHOOSE(CONTROL!$C$9, $D$9, 100%, $F$9) + CHOOSE(CONTROL!$C$27, 0.0021, 0)</f>
        <v>53.876999999999995</v>
      </c>
      <c r="C542" s="14">
        <f>53.4426 * CHOOSE(CONTROL!$C$9, $D$9, 100%, $F$9) + CHOOSE(CONTROL!$C$27, 0.0021, 0)</f>
        <v>53.444699999999997</v>
      </c>
      <c r="D542" s="14">
        <f>53.4426 * CHOOSE(CONTROL!$C$9, $D$9, 100%, $F$9) + CHOOSE(CONTROL!$C$27, 0.0021, 0)</f>
        <v>53.444699999999997</v>
      </c>
      <c r="E542" s="14">
        <f>53.306 * CHOOSE(CONTROL!$C$9, $D$9, 100%, $F$9) + CHOOSE(CONTROL!$C$27, 0.0021, 0)</f>
        <v>53.308099999999996</v>
      </c>
      <c r="F542" s="14">
        <f>53.306 * CHOOSE(CONTROL!$C$9, $D$9, 100%, $F$9) + CHOOSE(CONTROL!$C$27, 0.0021, 0)</f>
        <v>53.308099999999996</v>
      </c>
      <c r="G542" s="14">
        <f>53.5774 * CHOOSE(CONTROL!$C$9, $D$9, 100%, $F$9) + CHOOSE(CONTROL!$C$27, 0.0021, 0)</f>
        <v>53.579499999999996</v>
      </c>
      <c r="H542" s="14">
        <f>53.4426 * CHOOSE(CONTROL!$C$9, $D$9, 100%, $F$9) + CHOOSE(CONTROL!$C$27, 0.0021, 0)</f>
        <v>53.444699999999997</v>
      </c>
      <c r="I542" s="14">
        <f>53.4426 * CHOOSE(CONTROL!$C$9, $D$9, 100%, $F$9) + CHOOSE(CONTROL!$C$27, 0.0021, 0)</f>
        <v>53.444699999999997</v>
      </c>
      <c r="J542" s="14">
        <f>53.4426 * CHOOSE(CONTROL!$C$9, $D$9, 100%, $F$9) + CHOOSE(CONTROL!$C$27, 0.0021, 0)</f>
        <v>53.444699999999997</v>
      </c>
      <c r="K542" s="14">
        <f>53.4426 * CHOOSE(CONTROL!$C$9, $D$9, 100%, $F$9) + CHOOSE(CONTROL!$C$27, 0.0021, 0)</f>
        <v>53.444699999999997</v>
      </c>
      <c r="L542" s="14"/>
    </row>
    <row r="543" spans="1:12" ht="15.75" x14ac:dyDescent="0.25">
      <c r="A543" s="32">
        <v>57465</v>
      </c>
      <c r="B543" s="14">
        <f>53.1258 * CHOOSE(CONTROL!$C$9, $D$9, 100%, $F$9) + CHOOSE(CONTROL!$C$27, 0.0021, 0)</f>
        <v>53.127899999999997</v>
      </c>
      <c r="C543" s="14">
        <f>52.6936 * CHOOSE(CONTROL!$C$9, $D$9, 100%, $F$9) + CHOOSE(CONTROL!$C$27, 0.0021, 0)</f>
        <v>52.695700000000002</v>
      </c>
      <c r="D543" s="14">
        <f>52.6936 * CHOOSE(CONTROL!$C$9, $D$9, 100%, $F$9) + CHOOSE(CONTROL!$C$27, 0.0021, 0)</f>
        <v>52.695700000000002</v>
      </c>
      <c r="E543" s="14">
        <f>52.5569 * CHOOSE(CONTROL!$C$9, $D$9, 100%, $F$9) + CHOOSE(CONTROL!$C$27, 0.0021, 0)</f>
        <v>52.558999999999997</v>
      </c>
      <c r="F543" s="14">
        <f>52.5569 * CHOOSE(CONTROL!$C$9, $D$9, 100%, $F$9) + CHOOSE(CONTROL!$C$27, 0.0021, 0)</f>
        <v>52.558999999999997</v>
      </c>
      <c r="G543" s="14">
        <f>52.8283 * CHOOSE(CONTROL!$C$9, $D$9, 100%, $F$9) + CHOOSE(CONTROL!$C$27, 0.0021, 0)</f>
        <v>52.830399999999997</v>
      </c>
      <c r="H543" s="14">
        <f>52.6936 * CHOOSE(CONTROL!$C$9, $D$9, 100%, $F$9) + CHOOSE(CONTROL!$C$27, 0.0021, 0)</f>
        <v>52.695700000000002</v>
      </c>
      <c r="I543" s="14">
        <f>52.6936 * CHOOSE(CONTROL!$C$9, $D$9, 100%, $F$9) + CHOOSE(CONTROL!$C$27, 0.0021, 0)</f>
        <v>52.695700000000002</v>
      </c>
      <c r="J543" s="14">
        <f>52.6936 * CHOOSE(CONTROL!$C$9, $D$9, 100%, $F$9) + CHOOSE(CONTROL!$C$27, 0.0021, 0)</f>
        <v>52.695700000000002</v>
      </c>
      <c r="K543" s="14">
        <f>52.6936 * CHOOSE(CONTROL!$C$9, $D$9, 100%, $F$9) + CHOOSE(CONTROL!$C$27, 0.0021, 0)</f>
        <v>52.695700000000002</v>
      </c>
      <c r="L543" s="14"/>
    </row>
    <row r="544" spans="1:12" ht="15.75" x14ac:dyDescent="0.25">
      <c r="A544" s="32">
        <v>57496</v>
      </c>
      <c r="B544" s="14">
        <f>54.1933 * CHOOSE(CONTROL!$C$9, $D$9, 100%, $F$9) + CHOOSE(CONTROL!$C$27, 0.0021, 0)</f>
        <v>54.195399999999999</v>
      </c>
      <c r="C544" s="14">
        <f>53.7611 * CHOOSE(CONTROL!$C$9, $D$9, 100%, $F$9) + CHOOSE(CONTROL!$C$27, 0.0021, 0)</f>
        <v>53.763199999999998</v>
      </c>
      <c r="D544" s="14">
        <f>53.7611 * CHOOSE(CONTROL!$C$9, $D$9, 100%, $F$9) + CHOOSE(CONTROL!$C$27, 0.0021, 0)</f>
        <v>53.763199999999998</v>
      </c>
      <c r="E544" s="14">
        <f>53.6244 * CHOOSE(CONTROL!$C$9, $D$9, 100%, $F$9) + CHOOSE(CONTROL!$C$27, 0.0021, 0)</f>
        <v>53.6265</v>
      </c>
      <c r="F544" s="14">
        <f>53.6244 * CHOOSE(CONTROL!$C$9, $D$9, 100%, $F$9) + CHOOSE(CONTROL!$C$27, 0.0021, 0)</f>
        <v>53.6265</v>
      </c>
      <c r="G544" s="14">
        <f>53.8958 * CHOOSE(CONTROL!$C$9, $D$9, 100%, $F$9) + CHOOSE(CONTROL!$C$27, 0.0021, 0)</f>
        <v>53.8979</v>
      </c>
      <c r="H544" s="14">
        <f>53.7611 * CHOOSE(CONTROL!$C$9, $D$9, 100%, $F$9) + CHOOSE(CONTROL!$C$27, 0.0021, 0)</f>
        <v>53.763199999999998</v>
      </c>
      <c r="I544" s="14">
        <f>53.7611 * CHOOSE(CONTROL!$C$9, $D$9, 100%, $F$9) + CHOOSE(CONTROL!$C$27, 0.0021, 0)</f>
        <v>53.763199999999998</v>
      </c>
      <c r="J544" s="14">
        <f>53.7611 * CHOOSE(CONTROL!$C$9, $D$9, 100%, $F$9) + CHOOSE(CONTROL!$C$27, 0.0021, 0)</f>
        <v>53.763199999999998</v>
      </c>
      <c r="K544" s="14">
        <f>53.7611 * CHOOSE(CONTROL!$C$9, $D$9, 100%, $F$9) + CHOOSE(CONTROL!$C$27, 0.0021, 0)</f>
        <v>53.763199999999998</v>
      </c>
      <c r="L544" s="14"/>
    </row>
    <row r="545" spans="1:12" ht="15.75" x14ac:dyDescent="0.25">
      <c r="A545" s="32">
        <v>57526</v>
      </c>
      <c r="B545" s="14">
        <f>54.8327 * CHOOSE(CONTROL!$C$9, $D$9, 100%, $F$9) + CHOOSE(CONTROL!$C$27, 0.0021, 0)</f>
        <v>54.834800000000001</v>
      </c>
      <c r="C545" s="14">
        <f>54.4005 * CHOOSE(CONTROL!$C$9, $D$9, 100%, $F$9) + CHOOSE(CONTROL!$C$27, 0.0021, 0)</f>
        <v>54.4026</v>
      </c>
      <c r="D545" s="14">
        <f>54.4005 * CHOOSE(CONTROL!$C$9, $D$9, 100%, $F$9) + CHOOSE(CONTROL!$C$27, 0.0021, 0)</f>
        <v>54.4026</v>
      </c>
      <c r="E545" s="14">
        <f>54.2638 * CHOOSE(CONTROL!$C$9, $D$9, 100%, $F$9) + CHOOSE(CONTROL!$C$27, 0.0021, 0)</f>
        <v>54.265900000000002</v>
      </c>
      <c r="F545" s="14">
        <f>54.2638 * CHOOSE(CONTROL!$C$9, $D$9, 100%, $F$9) + CHOOSE(CONTROL!$C$27, 0.0021, 0)</f>
        <v>54.265900000000002</v>
      </c>
      <c r="G545" s="14">
        <f>54.5352 * CHOOSE(CONTROL!$C$9, $D$9, 100%, $F$9) + CHOOSE(CONTROL!$C$27, 0.0021, 0)</f>
        <v>54.537300000000002</v>
      </c>
      <c r="H545" s="14">
        <f>54.4005 * CHOOSE(CONTROL!$C$9, $D$9, 100%, $F$9) + CHOOSE(CONTROL!$C$27, 0.0021, 0)</f>
        <v>54.4026</v>
      </c>
      <c r="I545" s="14">
        <f>54.4005 * CHOOSE(CONTROL!$C$9, $D$9, 100%, $F$9) + CHOOSE(CONTROL!$C$27, 0.0021, 0)</f>
        <v>54.4026</v>
      </c>
      <c r="J545" s="14">
        <f>54.4005 * CHOOSE(CONTROL!$C$9, $D$9, 100%, $F$9) + CHOOSE(CONTROL!$C$27, 0.0021, 0)</f>
        <v>54.4026</v>
      </c>
      <c r="K545" s="14">
        <f>54.4005 * CHOOSE(CONTROL!$C$9, $D$9, 100%, $F$9) + CHOOSE(CONTROL!$C$27, 0.0021, 0)</f>
        <v>54.4026</v>
      </c>
      <c r="L545" s="14"/>
    </row>
    <row r="546" spans="1:12" ht="15.75" x14ac:dyDescent="0.25">
      <c r="A546" s="32">
        <v>57557</v>
      </c>
      <c r="B546" s="14">
        <f>55.8875 * CHOOSE(CONTROL!$C$9, $D$9, 100%, $F$9) + CHOOSE(CONTROL!$C$27, 0.0021, 0)</f>
        <v>55.889600000000002</v>
      </c>
      <c r="C546" s="14">
        <f>55.4553 * CHOOSE(CONTROL!$C$9, $D$9, 100%, $F$9) + CHOOSE(CONTROL!$C$27, 0.0021, 0)</f>
        <v>55.4574</v>
      </c>
      <c r="D546" s="14">
        <f>55.4553 * CHOOSE(CONTROL!$C$9, $D$9, 100%, $F$9) + CHOOSE(CONTROL!$C$27, 0.0021, 0)</f>
        <v>55.4574</v>
      </c>
      <c r="E546" s="14">
        <f>55.3186 * CHOOSE(CONTROL!$C$9, $D$9, 100%, $F$9) + CHOOSE(CONTROL!$C$27, 0.0021, 0)</f>
        <v>55.320700000000002</v>
      </c>
      <c r="F546" s="14">
        <f>55.3186 * CHOOSE(CONTROL!$C$9, $D$9, 100%, $F$9) + CHOOSE(CONTROL!$C$27, 0.0021, 0)</f>
        <v>55.320700000000002</v>
      </c>
      <c r="G546" s="14">
        <f>55.59 * CHOOSE(CONTROL!$C$9, $D$9, 100%, $F$9) + CHOOSE(CONTROL!$C$27, 0.0021, 0)</f>
        <v>55.592100000000002</v>
      </c>
      <c r="H546" s="14">
        <f>55.4553 * CHOOSE(CONTROL!$C$9, $D$9, 100%, $F$9) + CHOOSE(CONTROL!$C$27, 0.0021, 0)</f>
        <v>55.4574</v>
      </c>
      <c r="I546" s="14">
        <f>55.4553 * CHOOSE(CONTROL!$C$9, $D$9, 100%, $F$9) + CHOOSE(CONTROL!$C$27, 0.0021, 0)</f>
        <v>55.4574</v>
      </c>
      <c r="J546" s="14">
        <f>55.4553 * CHOOSE(CONTROL!$C$9, $D$9, 100%, $F$9) + CHOOSE(CONTROL!$C$27, 0.0021, 0)</f>
        <v>55.4574</v>
      </c>
      <c r="K546" s="14">
        <f>55.4553 * CHOOSE(CONTROL!$C$9, $D$9, 100%, $F$9) + CHOOSE(CONTROL!$C$27, 0.0021, 0)</f>
        <v>55.4574</v>
      </c>
      <c r="L546" s="14"/>
    </row>
    <row r="547" spans="1:12" ht="15.75" x14ac:dyDescent="0.25">
      <c r="A547" s="32">
        <v>57588</v>
      </c>
      <c r="B547" s="14">
        <f>56.2095 * CHOOSE(CONTROL!$C$9, $D$9, 100%, $F$9) + CHOOSE(CONTROL!$C$27, 0.0021, 0)</f>
        <v>56.211599999999997</v>
      </c>
      <c r="C547" s="14">
        <f>55.7772 * CHOOSE(CONTROL!$C$9, $D$9, 100%, $F$9) + CHOOSE(CONTROL!$C$27, 0.0021, 0)</f>
        <v>55.779299999999999</v>
      </c>
      <c r="D547" s="14">
        <f>55.7772 * CHOOSE(CONTROL!$C$9, $D$9, 100%, $F$9) + CHOOSE(CONTROL!$C$27, 0.0021, 0)</f>
        <v>55.779299999999999</v>
      </c>
      <c r="E547" s="14">
        <f>55.6406 * CHOOSE(CONTROL!$C$9, $D$9, 100%, $F$9) + CHOOSE(CONTROL!$C$27, 0.0021, 0)</f>
        <v>55.642699999999998</v>
      </c>
      <c r="F547" s="14">
        <f>55.6406 * CHOOSE(CONTROL!$C$9, $D$9, 100%, $F$9) + CHOOSE(CONTROL!$C$27, 0.0021, 0)</f>
        <v>55.642699999999998</v>
      </c>
      <c r="G547" s="14">
        <f>55.9119 * CHOOSE(CONTROL!$C$9, $D$9, 100%, $F$9) + CHOOSE(CONTROL!$C$27, 0.0021, 0)</f>
        <v>55.914000000000001</v>
      </c>
      <c r="H547" s="14">
        <f>55.7772 * CHOOSE(CONTROL!$C$9, $D$9, 100%, $F$9) + CHOOSE(CONTROL!$C$27, 0.0021, 0)</f>
        <v>55.779299999999999</v>
      </c>
      <c r="I547" s="14">
        <f>55.7772 * CHOOSE(CONTROL!$C$9, $D$9, 100%, $F$9) + CHOOSE(CONTROL!$C$27, 0.0021, 0)</f>
        <v>55.779299999999999</v>
      </c>
      <c r="J547" s="14">
        <f>55.7772 * CHOOSE(CONTROL!$C$9, $D$9, 100%, $F$9) + CHOOSE(CONTROL!$C$27, 0.0021, 0)</f>
        <v>55.779299999999999</v>
      </c>
      <c r="K547" s="14">
        <f>55.7772 * CHOOSE(CONTROL!$C$9, $D$9, 100%, $F$9) + CHOOSE(CONTROL!$C$27, 0.0021, 0)</f>
        <v>55.779299999999999</v>
      </c>
      <c r="L547" s="14"/>
    </row>
    <row r="548" spans="1:12" ht="15.75" x14ac:dyDescent="0.25">
      <c r="A548" s="32">
        <v>57618</v>
      </c>
      <c r="B548" s="14">
        <f>57.3059 * CHOOSE(CONTROL!$C$9, $D$9, 100%, $F$9) + CHOOSE(CONTROL!$C$27, 0.0021, 0)</f>
        <v>57.308</v>
      </c>
      <c r="C548" s="14">
        <f>56.8736 * CHOOSE(CONTROL!$C$9, $D$9, 100%, $F$9) + CHOOSE(CONTROL!$C$27, 0.0021, 0)</f>
        <v>56.875700000000002</v>
      </c>
      <c r="D548" s="14">
        <f>56.8736 * CHOOSE(CONTROL!$C$9, $D$9, 100%, $F$9) + CHOOSE(CONTROL!$C$27, 0.0021, 0)</f>
        <v>56.875700000000002</v>
      </c>
      <c r="E548" s="14">
        <f>56.737 * CHOOSE(CONTROL!$C$9, $D$9, 100%, $F$9) + CHOOSE(CONTROL!$C$27, 0.0021, 0)</f>
        <v>56.739100000000001</v>
      </c>
      <c r="F548" s="14">
        <f>56.737 * CHOOSE(CONTROL!$C$9, $D$9, 100%, $F$9) + CHOOSE(CONTROL!$C$27, 0.0021, 0)</f>
        <v>56.739100000000001</v>
      </c>
      <c r="G548" s="14">
        <f>57.0083 * CHOOSE(CONTROL!$C$9, $D$9, 100%, $F$9) + CHOOSE(CONTROL!$C$27, 0.0021, 0)</f>
        <v>57.010399999999997</v>
      </c>
      <c r="H548" s="14">
        <f>56.8736 * CHOOSE(CONTROL!$C$9, $D$9, 100%, $F$9) + CHOOSE(CONTROL!$C$27, 0.0021, 0)</f>
        <v>56.875700000000002</v>
      </c>
      <c r="I548" s="14">
        <f>56.8736 * CHOOSE(CONTROL!$C$9, $D$9, 100%, $F$9) + CHOOSE(CONTROL!$C$27, 0.0021, 0)</f>
        <v>56.875700000000002</v>
      </c>
      <c r="J548" s="14">
        <f>56.8736 * CHOOSE(CONTROL!$C$9, $D$9, 100%, $F$9) + CHOOSE(CONTROL!$C$27, 0.0021, 0)</f>
        <v>56.875700000000002</v>
      </c>
      <c r="K548" s="14">
        <f>56.8736 * CHOOSE(CONTROL!$C$9, $D$9, 100%, $F$9) + CHOOSE(CONTROL!$C$27, 0.0021, 0)</f>
        <v>56.875700000000002</v>
      </c>
      <c r="L548" s="14"/>
    </row>
    <row r="549" spans="1:12" ht="15.75" x14ac:dyDescent="0.25">
      <c r="A549" s="32">
        <v>57649</v>
      </c>
      <c r="B549" s="14">
        <f>58.6937 * CHOOSE(CONTROL!$C$9, $D$9, 100%, $F$9) + CHOOSE(CONTROL!$C$27, 0.0021, 0)</f>
        <v>58.695799999999998</v>
      </c>
      <c r="C549" s="14">
        <f>58.2615 * CHOOSE(CONTROL!$C$9, $D$9, 100%, $F$9) + CHOOSE(CONTROL!$C$27, 0.0021, 0)</f>
        <v>58.263599999999997</v>
      </c>
      <c r="D549" s="14">
        <f>58.2615 * CHOOSE(CONTROL!$C$9, $D$9, 100%, $F$9) + CHOOSE(CONTROL!$C$27, 0.0021, 0)</f>
        <v>58.263599999999997</v>
      </c>
      <c r="E549" s="14">
        <f>58.1248 * CHOOSE(CONTROL!$C$9, $D$9, 100%, $F$9) + CHOOSE(CONTROL!$C$27, 0.0021, 0)</f>
        <v>58.126899999999999</v>
      </c>
      <c r="F549" s="14">
        <f>58.1248 * CHOOSE(CONTROL!$C$9, $D$9, 100%, $F$9) + CHOOSE(CONTROL!$C$27, 0.0021, 0)</f>
        <v>58.126899999999999</v>
      </c>
      <c r="G549" s="14">
        <f>58.3962 * CHOOSE(CONTROL!$C$9, $D$9, 100%, $F$9) + CHOOSE(CONTROL!$C$27, 0.0021, 0)</f>
        <v>58.398299999999999</v>
      </c>
      <c r="H549" s="14">
        <f>58.2615 * CHOOSE(CONTROL!$C$9, $D$9, 100%, $F$9) + CHOOSE(CONTROL!$C$27, 0.0021, 0)</f>
        <v>58.263599999999997</v>
      </c>
      <c r="I549" s="14">
        <f>58.2615 * CHOOSE(CONTROL!$C$9, $D$9, 100%, $F$9) + CHOOSE(CONTROL!$C$27, 0.0021, 0)</f>
        <v>58.263599999999997</v>
      </c>
      <c r="J549" s="14">
        <f>58.2615 * CHOOSE(CONTROL!$C$9, $D$9, 100%, $F$9) + CHOOSE(CONTROL!$C$27, 0.0021, 0)</f>
        <v>58.263599999999997</v>
      </c>
      <c r="K549" s="14">
        <f>58.2615 * CHOOSE(CONTROL!$C$9, $D$9, 100%, $F$9) + CHOOSE(CONTROL!$C$27, 0.0021, 0)</f>
        <v>58.263599999999997</v>
      </c>
      <c r="L549" s="14"/>
    </row>
    <row r="550" spans="1:12" ht="15.75" x14ac:dyDescent="0.25">
      <c r="A550" s="32">
        <v>57679</v>
      </c>
      <c r="B550" s="14">
        <f>58.824 * CHOOSE(CONTROL!$C$9, $D$9, 100%, $F$9) + CHOOSE(CONTROL!$C$27, 0.0021, 0)</f>
        <v>58.826099999999997</v>
      </c>
      <c r="C550" s="14">
        <f>58.3918 * CHOOSE(CONTROL!$C$9, $D$9, 100%, $F$9) + CHOOSE(CONTROL!$C$27, 0.0021, 0)</f>
        <v>58.393900000000002</v>
      </c>
      <c r="D550" s="14">
        <f>58.3918 * CHOOSE(CONTROL!$C$9, $D$9, 100%, $F$9) + CHOOSE(CONTROL!$C$27, 0.0021, 0)</f>
        <v>58.393900000000002</v>
      </c>
      <c r="E550" s="14">
        <f>58.2551 * CHOOSE(CONTROL!$C$9, $D$9, 100%, $F$9) + CHOOSE(CONTROL!$C$27, 0.0021, 0)</f>
        <v>58.257199999999997</v>
      </c>
      <c r="F550" s="14">
        <f>58.2551 * CHOOSE(CONTROL!$C$9, $D$9, 100%, $F$9) + CHOOSE(CONTROL!$C$27, 0.0021, 0)</f>
        <v>58.257199999999997</v>
      </c>
      <c r="G550" s="14">
        <f>58.5265 * CHOOSE(CONTROL!$C$9, $D$9, 100%, $F$9) + CHOOSE(CONTROL!$C$27, 0.0021, 0)</f>
        <v>58.528599999999997</v>
      </c>
      <c r="H550" s="14">
        <f>58.3918 * CHOOSE(CONTROL!$C$9, $D$9, 100%, $F$9) + CHOOSE(CONTROL!$C$27, 0.0021, 0)</f>
        <v>58.393900000000002</v>
      </c>
      <c r="I550" s="14">
        <f>58.3918 * CHOOSE(CONTROL!$C$9, $D$9, 100%, $F$9) + CHOOSE(CONTROL!$C$27, 0.0021, 0)</f>
        <v>58.393900000000002</v>
      </c>
      <c r="J550" s="14">
        <f>58.3918 * CHOOSE(CONTROL!$C$9, $D$9, 100%, $F$9) + CHOOSE(CONTROL!$C$27, 0.0021, 0)</f>
        <v>58.393900000000002</v>
      </c>
      <c r="K550" s="14">
        <f>58.3918 * CHOOSE(CONTROL!$C$9, $D$9, 100%, $F$9) + CHOOSE(CONTROL!$C$27, 0.0021, 0)</f>
        <v>58.393900000000002</v>
      </c>
      <c r="L550" s="14"/>
    </row>
    <row r="551" spans="1:12" ht="15.75" x14ac:dyDescent="0.25">
      <c r="A551" s="32">
        <v>57710</v>
      </c>
      <c r="B551" s="14">
        <f>57.7156 * CHOOSE(CONTROL!$C$9, $D$9, 100%, $F$9) + CHOOSE(CONTROL!$C$27, 0.0021, 0)</f>
        <v>57.717700000000001</v>
      </c>
      <c r="C551" s="14">
        <f>57.2833 * CHOOSE(CONTROL!$C$9, $D$9, 100%, $F$9) + CHOOSE(CONTROL!$C$27, 0.0021, 0)</f>
        <v>57.285399999999996</v>
      </c>
      <c r="D551" s="14">
        <f>57.2833 * CHOOSE(CONTROL!$C$9, $D$9, 100%, $F$9) + CHOOSE(CONTROL!$C$27, 0.0021, 0)</f>
        <v>57.285399999999996</v>
      </c>
      <c r="E551" s="14">
        <f>57.1467 * CHOOSE(CONTROL!$C$9, $D$9, 100%, $F$9) + CHOOSE(CONTROL!$C$27, 0.0021, 0)</f>
        <v>57.148800000000001</v>
      </c>
      <c r="F551" s="14">
        <f>57.1467 * CHOOSE(CONTROL!$C$9, $D$9, 100%, $F$9) + CHOOSE(CONTROL!$C$27, 0.0021, 0)</f>
        <v>57.148800000000001</v>
      </c>
      <c r="G551" s="14">
        <f>57.418 * CHOOSE(CONTROL!$C$9, $D$9, 100%, $F$9) + CHOOSE(CONTROL!$C$27, 0.0021, 0)</f>
        <v>57.420099999999998</v>
      </c>
      <c r="H551" s="14">
        <f>57.2833 * CHOOSE(CONTROL!$C$9, $D$9, 100%, $F$9) + CHOOSE(CONTROL!$C$27, 0.0021, 0)</f>
        <v>57.285399999999996</v>
      </c>
      <c r="I551" s="14">
        <f>57.2833 * CHOOSE(CONTROL!$C$9, $D$9, 100%, $F$9) + CHOOSE(CONTROL!$C$27, 0.0021, 0)</f>
        <v>57.285399999999996</v>
      </c>
      <c r="J551" s="14">
        <f>57.2833 * CHOOSE(CONTROL!$C$9, $D$9, 100%, $F$9) + CHOOSE(CONTROL!$C$27, 0.0021, 0)</f>
        <v>57.285399999999996</v>
      </c>
      <c r="K551" s="14">
        <f>57.2833 * CHOOSE(CONTROL!$C$9, $D$9, 100%, $F$9) + CHOOSE(CONTROL!$C$27, 0.0021, 0)</f>
        <v>57.285399999999996</v>
      </c>
      <c r="L551" s="14"/>
    </row>
    <row r="552" spans="1:12" ht="15.75" x14ac:dyDescent="0.25">
      <c r="A552" s="32">
        <v>57741</v>
      </c>
      <c r="B552" s="14">
        <f>56.9894 * CHOOSE(CONTROL!$C$9, $D$9, 100%, $F$9) + CHOOSE(CONTROL!$C$27, 0.0021, 0)</f>
        <v>56.991500000000002</v>
      </c>
      <c r="C552" s="14">
        <f>56.5572 * CHOOSE(CONTROL!$C$9, $D$9, 100%, $F$9) + CHOOSE(CONTROL!$C$27, 0.0021, 0)</f>
        <v>56.5593</v>
      </c>
      <c r="D552" s="14">
        <f>56.5572 * CHOOSE(CONTROL!$C$9, $D$9, 100%, $F$9) + CHOOSE(CONTROL!$C$27, 0.0021, 0)</f>
        <v>56.5593</v>
      </c>
      <c r="E552" s="14">
        <f>56.4205 * CHOOSE(CONTROL!$C$9, $D$9, 100%, $F$9) + CHOOSE(CONTROL!$C$27, 0.0021, 0)</f>
        <v>56.422599999999996</v>
      </c>
      <c r="F552" s="14">
        <f>56.4205 * CHOOSE(CONTROL!$C$9, $D$9, 100%, $F$9) + CHOOSE(CONTROL!$C$27, 0.0021, 0)</f>
        <v>56.422599999999996</v>
      </c>
      <c r="G552" s="14">
        <f>56.6919 * CHOOSE(CONTROL!$C$9, $D$9, 100%, $F$9) + CHOOSE(CONTROL!$C$27, 0.0021, 0)</f>
        <v>56.693999999999996</v>
      </c>
      <c r="H552" s="14">
        <f>56.5572 * CHOOSE(CONTROL!$C$9, $D$9, 100%, $F$9) + CHOOSE(CONTROL!$C$27, 0.0021, 0)</f>
        <v>56.5593</v>
      </c>
      <c r="I552" s="14">
        <f>56.5572 * CHOOSE(CONTROL!$C$9, $D$9, 100%, $F$9) + CHOOSE(CONTROL!$C$27, 0.0021, 0)</f>
        <v>56.5593</v>
      </c>
      <c r="J552" s="14">
        <f>56.5572 * CHOOSE(CONTROL!$C$9, $D$9, 100%, $F$9) + CHOOSE(CONTROL!$C$27, 0.0021, 0)</f>
        <v>56.5593</v>
      </c>
      <c r="K552" s="14">
        <f>56.5572 * CHOOSE(CONTROL!$C$9, $D$9, 100%, $F$9) + CHOOSE(CONTROL!$C$27, 0.0021, 0)</f>
        <v>56.5593</v>
      </c>
      <c r="L552" s="14"/>
    </row>
    <row r="553" spans="1:12" ht="15.75" x14ac:dyDescent="0.25">
      <c r="A553" s="32">
        <v>57769</v>
      </c>
      <c r="B553" s="14">
        <f>55.4423 * CHOOSE(CONTROL!$C$9, $D$9, 100%, $F$9) + CHOOSE(CONTROL!$C$27, 0.0021, 0)</f>
        <v>55.444400000000002</v>
      </c>
      <c r="C553" s="14">
        <f>55.01 * CHOOSE(CONTROL!$C$9, $D$9, 100%, $F$9) + CHOOSE(CONTROL!$C$27, 0.0021, 0)</f>
        <v>55.012099999999997</v>
      </c>
      <c r="D553" s="14">
        <f>55.01 * CHOOSE(CONTROL!$C$9, $D$9, 100%, $F$9) + CHOOSE(CONTROL!$C$27, 0.0021, 0)</f>
        <v>55.012099999999997</v>
      </c>
      <c r="E553" s="14">
        <f>54.8734 * CHOOSE(CONTROL!$C$9, $D$9, 100%, $F$9) + CHOOSE(CONTROL!$C$27, 0.0021, 0)</f>
        <v>54.875499999999995</v>
      </c>
      <c r="F553" s="14">
        <f>54.8734 * CHOOSE(CONTROL!$C$9, $D$9, 100%, $F$9) + CHOOSE(CONTROL!$C$27, 0.0021, 0)</f>
        <v>54.875499999999995</v>
      </c>
      <c r="G553" s="14">
        <f>55.1447 * CHOOSE(CONTROL!$C$9, $D$9, 100%, $F$9) + CHOOSE(CONTROL!$C$27, 0.0021, 0)</f>
        <v>55.146799999999999</v>
      </c>
      <c r="H553" s="14">
        <f>55.01 * CHOOSE(CONTROL!$C$9, $D$9, 100%, $F$9) + CHOOSE(CONTROL!$C$27, 0.0021, 0)</f>
        <v>55.012099999999997</v>
      </c>
      <c r="I553" s="14">
        <f>55.01 * CHOOSE(CONTROL!$C$9, $D$9, 100%, $F$9) + CHOOSE(CONTROL!$C$27, 0.0021, 0)</f>
        <v>55.012099999999997</v>
      </c>
      <c r="J553" s="14">
        <f>55.01 * CHOOSE(CONTROL!$C$9, $D$9, 100%, $F$9) + CHOOSE(CONTROL!$C$27, 0.0021, 0)</f>
        <v>55.012099999999997</v>
      </c>
      <c r="K553" s="14">
        <f>55.01 * CHOOSE(CONTROL!$C$9, $D$9, 100%, $F$9) + CHOOSE(CONTROL!$C$27, 0.0021, 0)</f>
        <v>55.012099999999997</v>
      </c>
      <c r="L553" s="14"/>
    </row>
    <row r="554" spans="1:12" ht="15.75" x14ac:dyDescent="0.25">
      <c r="A554" s="32">
        <v>57800</v>
      </c>
      <c r="B554" s="14">
        <f>54.8036 * CHOOSE(CONTROL!$C$9, $D$9, 100%, $F$9) + CHOOSE(CONTROL!$C$27, 0.0021, 0)</f>
        <v>54.805700000000002</v>
      </c>
      <c r="C554" s="14">
        <f>54.3714 * CHOOSE(CONTROL!$C$9, $D$9, 100%, $F$9) + CHOOSE(CONTROL!$C$27, 0.0021, 0)</f>
        <v>54.3735</v>
      </c>
      <c r="D554" s="14">
        <f>54.3714 * CHOOSE(CONTROL!$C$9, $D$9, 100%, $F$9) + CHOOSE(CONTROL!$C$27, 0.0021, 0)</f>
        <v>54.3735</v>
      </c>
      <c r="E554" s="14">
        <f>54.2347 * CHOOSE(CONTROL!$C$9, $D$9, 100%, $F$9) + CHOOSE(CONTROL!$C$27, 0.0021, 0)</f>
        <v>54.236799999999995</v>
      </c>
      <c r="F554" s="14">
        <f>54.2347 * CHOOSE(CONTROL!$C$9, $D$9, 100%, $F$9) + CHOOSE(CONTROL!$C$27, 0.0021, 0)</f>
        <v>54.236799999999995</v>
      </c>
      <c r="G554" s="14">
        <f>54.5061 * CHOOSE(CONTROL!$C$9, $D$9, 100%, $F$9) + CHOOSE(CONTROL!$C$27, 0.0021, 0)</f>
        <v>54.508200000000002</v>
      </c>
      <c r="H554" s="14">
        <f>54.3714 * CHOOSE(CONTROL!$C$9, $D$9, 100%, $F$9) + CHOOSE(CONTROL!$C$27, 0.0021, 0)</f>
        <v>54.3735</v>
      </c>
      <c r="I554" s="14">
        <f>54.3714 * CHOOSE(CONTROL!$C$9, $D$9, 100%, $F$9) + CHOOSE(CONTROL!$C$27, 0.0021, 0)</f>
        <v>54.3735</v>
      </c>
      <c r="J554" s="14">
        <f>54.3714 * CHOOSE(CONTROL!$C$9, $D$9, 100%, $F$9) + CHOOSE(CONTROL!$C$27, 0.0021, 0)</f>
        <v>54.3735</v>
      </c>
      <c r="K554" s="14">
        <f>54.3714 * CHOOSE(CONTROL!$C$9, $D$9, 100%, $F$9) + CHOOSE(CONTROL!$C$27, 0.0021, 0)</f>
        <v>54.3735</v>
      </c>
      <c r="L554" s="14"/>
    </row>
    <row r="555" spans="1:12" ht="15.75" x14ac:dyDescent="0.25">
      <c r="A555" s="32">
        <v>57830</v>
      </c>
      <c r="B555" s="14">
        <f>54.0411 * CHOOSE(CONTROL!$C$9, $D$9, 100%, $F$9) + CHOOSE(CONTROL!$C$27, 0.0021, 0)</f>
        <v>54.043199999999999</v>
      </c>
      <c r="C555" s="14">
        <f>53.6088 * CHOOSE(CONTROL!$C$9, $D$9, 100%, $F$9) + CHOOSE(CONTROL!$C$27, 0.0021, 0)</f>
        <v>53.610900000000001</v>
      </c>
      <c r="D555" s="14">
        <f>53.6088 * CHOOSE(CONTROL!$C$9, $D$9, 100%, $F$9) + CHOOSE(CONTROL!$C$27, 0.0021, 0)</f>
        <v>53.610900000000001</v>
      </c>
      <c r="E555" s="14">
        <f>53.4721 * CHOOSE(CONTROL!$C$9, $D$9, 100%, $F$9) + CHOOSE(CONTROL!$C$27, 0.0021, 0)</f>
        <v>53.474199999999996</v>
      </c>
      <c r="F555" s="14">
        <f>53.4721 * CHOOSE(CONTROL!$C$9, $D$9, 100%, $F$9) + CHOOSE(CONTROL!$C$27, 0.0021, 0)</f>
        <v>53.474199999999996</v>
      </c>
      <c r="G555" s="14">
        <f>53.7435 * CHOOSE(CONTROL!$C$9, $D$9, 100%, $F$9) + CHOOSE(CONTROL!$C$27, 0.0021, 0)</f>
        <v>53.745599999999996</v>
      </c>
      <c r="H555" s="14">
        <f>53.6088 * CHOOSE(CONTROL!$C$9, $D$9, 100%, $F$9) + CHOOSE(CONTROL!$C$27, 0.0021, 0)</f>
        <v>53.610900000000001</v>
      </c>
      <c r="I555" s="14">
        <f>53.6088 * CHOOSE(CONTROL!$C$9, $D$9, 100%, $F$9) + CHOOSE(CONTROL!$C$27, 0.0021, 0)</f>
        <v>53.610900000000001</v>
      </c>
      <c r="J555" s="14">
        <f>53.6088 * CHOOSE(CONTROL!$C$9, $D$9, 100%, $F$9) + CHOOSE(CONTROL!$C$27, 0.0021, 0)</f>
        <v>53.610900000000001</v>
      </c>
      <c r="K555" s="14">
        <f>53.6088 * CHOOSE(CONTROL!$C$9, $D$9, 100%, $F$9) + CHOOSE(CONTROL!$C$27, 0.0021, 0)</f>
        <v>53.610900000000001</v>
      </c>
      <c r="L555" s="14"/>
    </row>
    <row r="556" spans="1:12" ht="15.75" x14ac:dyDescent="0.25">
      <c r="A556" s="32">
        <v>57861</v>
      </c>
      <c r="B556" s="14">
        <f>55.1278 * CHOOSE(CONTROL!$C$9, $D$9, 100%, $F$9) + CHOOSE(CONTROL!$C$27, 0.0021, 0)</f>
        <v>55.129899999999999</v>
      </c>
      <c r="C556" s="14">
        <f>54.6956 * CHOOSE(CONTROL!$C$9, $D$9, 100%, $F$9) + CHOOSE(CONTROL!$C$27, 0.0021, 0)</f>
        <v>54.697699999999998</v>
      </c>
      <c r="D556" s="14">
        <f>54.6956 * CHOOSE(CONTROL!$C$9, $D$9, 100%, $F$9) + CHOOSE(CONTROL!$C$27, 0.0021, 0)</f>
        <v>54.697699999999998</v>
      </c>
      <c r="E556" s="14">
        <f>54.5589 * CHOOSE(CONTROL!$C$9, $D$9, 100%, $F$9) + CHOOSE(CONTROL!$C$27, 0.0021, 0)</f>
        <v>54.561</v>
      </c>
      <c r="F556" s="14">
        <f>54.5589 * CHOOSE(CONTROL!$C$9, $D$9, 100%, $F$9) + CHOOSE(CONTROL!$C$27, 0.0021, 0)</f>
        <v>54.561</v>
      </c>
      <c r="G556" s="14">
        <f>54.8303 * CHOOSE(CONTROL!$C$9, $D$9, 100%, $F$9) + CHOOSE(CONTROL!$C$27, 0.0021, 0)</f>
        <v>54.8324</v>
      </c>
      <c r="H556" s="14">
        <f>54.6956 * CHOOSE(CONTROL!$C$9, $D$9, 100%, $F$9) + CHOOSE(CONTROL!$C$27, 0.0021, 0)</f>
        <v>54.697699999999998</v>
      </c>
      <c r="I556" s="14">
        <f>54.6956 * CHOOSE(CONTROL!$C$9, $D$9, 100%, $F$9) + CHOOSE(CONTROL!$C$27, 0.0021, 0)</f>
        <v>54.697699999999998</v>
      </c>
      <c r="J556" s="14">
        <f>54.6956 * CHOOSE(CONTROL!$C$9, $D$9, 100%, $F$9) + CHOOSE(CONTROL!$C$27, 0.0021, 0)</f>
        <v>54.697699999999998</v>
      </c>
      <c r="K556" s="14">
        <f>54.6956 * CHOOSE(CONTROL!$C$9, $D$9, 100%, $F$9) + CHOOSE(CONTROL!$C$27, 0.0021, 0)</f>
        <v>54.697699999999998</v>
      </c>
      <c r="L556" s="14"/>
    </row>
    <row r="557" spans="1:12" ht="15.75" x14ac:dyDescent="0.25">
      <c r="A557" s="32">
        <v>57891</v>
      </c>
      <c r="B557" s="14">
        <f>55.7787 * CHOOSE(CONTROL!$C$9, $D$9, 100%, $F$9) + CHOOSE(CONTROL!$C$27, 0.0021, 0)</f>
        <v>55.780799999999999</v>
      </c>
      <c r="C557" s="14">
        <f>55.3465 * CHOOSE(CONTROL!$C$9, $D$9, 100%, $F$9) + CHOOSE(CONTROL!$C$27, 0.0021, 0)</f>
        <v>55.348599999999998</v>
      </c>
      <c r="D557" s="14">
        <f>55.3465 * CHOOSE(CONTROL!$C$9, $D$9, 100%, $F$9) + CHOOSE(CONTROL!$C$27, 0.0021, 0)</f>
        <v>55.348599999999998</v>
      </c>
      <c r="E557" s="14">
        <f>55.2098 * CHOOSE(CONTROL!$C$9, $D$9, 100%, $F$9) + CHOOSE(CONTROL!$C$27, 0.0021, 0)</f>
        <v>55.2119</v>
      </c>
      <c r="F557" s="14">
        <f>55.2098 * CHOOSE(CONTROL!$C$9, $D$9, 100%, $F$9) + CHOOSE(CONTROL!$C$27, 0.0021, 0)</f>
        <v>55.2119</v>
      </c>
      <c r="G557" s="14">
        <f>55.4812 * CHOOSE(CONTROL!$C$9, $D$9, 100%, $F$9) + CHOOSE(CONTROL!$C$27, 0.0021, 0)</f>
        <v>55.4833</v>
      </c>
      <c r="H557" s="14">
        <f>55.3465 * CHOOSE(CONTROL!$C$9, $D$9, 100%, $F$9) + CHOOSE(CONTROL!$C$27, 0.0021, 0)</f>
        <v>55.348599999999998</v>
      </c>
      <c r="I557" s="14">
        <f>55.3465 * CHOOSE(CONTROL!$C$9, $D$9, 100%, $F$9) + CHOOSE(CONTROL!$C$27, 0.0021, 0)</f>
        <v>55.348599999999998</v>
      </c>
      <c r="J557" s="14">
        <f>55.3465 * CHOOSE(CONTROL!$C$9, $D$9, 100%, $F$9) + CHOOSE(CONTROL!$C$27, 0.0021, 0)</f>
        <v>55.348599999999998</v>
      </c>
      <c r="K557" s="14">
        <f>55.3465 * CHOOSE(CONTROL!$C$9, $D$9, 100%, $F$9) + CHOOSE(CONTROL!$C$27, 0.0021, 0)</f>
        <v>55.348599999999998</v>
      </c>
      <c r="L557" s="14"/>
    </row>
    <row r="558" spans="1:12" ht="15.75" x14ac:dyDescent="0.25">
      <c r="A558" s="32">
        <v>57922</v>
      </c>
      <c r="B558" s="14">
        <f>56.8525 * CHOOSE(CONTROL!$C$9, $D$9, 100%, $F$9) + CHOOSE(CONTROL!$C$27, 0.0021, 0)</f>
        <v>56.854599999999998</v>
      </c>
      <c r="C558" s="14">
        <f>56.4202 * CHOOSE(CONTROL!$C$9, $D$9, 100%, $F$9) + CHOOSE(CONTROL!$C$27, 0.0021, 0)</f>
        <v>56.4223</v>
      </c>
      <c r="D558" s="14">
        <f>56.4202 * CHOOSE(CONTROL!$C$9, $D$9, 100%, $F$9) + CHOOSE(CONTROL!$C$27, 0.0021, 0)</f>
        <v>56.4223</v>
      </c>
      <c r="E558" s="14">
        <f>56.2836 * CHOOSE(CONTROL!$C$9, $D$9, 100%, $F$9) + CHOOSE(CONTROL!$C$27, 0.0021, 0)</f>
        <v>56.285699999999999</v>
      </c>
      <c r="F558" s="14">
        <f>56.2836 * CHOOSE(CONTROL!$C$9, $D$9, 100%, $F$9) + CHOOSE(CONTROL!$C$27, 0.0021, 0)</f>
        <v>56.285699999999999</v>
      </c>
      <c r="G558" s="14">
        <f>56.555 * CHOOSE(CONTROL!$C$9, $D$9, 100%, $F$9) + CHOOSE(CONTROL!$C$27, 0.0021, 0)</f>
        <v>56.557099999999998</v>
      </c>
      <c r="H558" s="14">
        <f>56.4202 * CHOOSE(CONTROL!$C$9, $D$9, 100%, $F$9) + CHOOSE(CONTROL!$C$27, 0.0021, 0)</f>
        <v>56.4223</v>
      </c>
      <c r="I558" s="14">
        <f>56.4202 * CHOOSE(CONTROL!$C$9, $D$9, 100%, $F$9) + CHOOSE(CONTROL!$C$27, 0.0021, 0)</f>
        <v>56.4223</v>
      </c>
      <c r="J558" s="14">
        <f>56.4202 * CHOOSE(CONTROL!$C$9, $D$9, 100%, $F$9) + CHOOSE(CONTROL!$C$27, 0.0021, 0)</f>
        <v>56.4223</v>
      </c>
      <c r="K558" s="14">
        <f>56.4202 * CHOOSE(CONTROL!$C$9, $D$9, 100%, $F$9) + CHOOSE(CONTROL!$C$27, 0.0021, 0)</f>
        <v>56.4223</v>
      </c>
      <c r="L558" s="14"/>
    </row>
    <row r="559" spans="1:12" ht="15.75" x14ac:dyDescent="0.25">
      <c r="A559" s="32">
        <v>57953</v>
      </c>
      <c r="B559" s="14">
        <f>57.1802 * CHOOSE(CONTROL!$C$9, $D$9, 100%, $F$9) + CHOOSE(CONTROL!$C$27, 0.0021, 0)</f>
        <v>57.182299999999998</v>
      </c>
      <c r="C559" s="14">
        <f>56.748 * CHOOSE(CONTROL!$C$9, $D$9, 100%, $F$9) + CHOOSE(CONTROL!$C$27, 0.0021, 0)</f>
        <v>56.750099999999996</v>
      </c>
      <c r="D559" s="14">
        <f>56.748 * CHOOSE(CONTROL!$C$9, $D$9, 100%, $F$9) + CHOOSE(CONTROL!$C$27, 0.0021, 0)</f>
        <v>56.750099999999996</v>
      </c>
      <c r="E559" s="14">
        <f>56.6113 * CHOOSE(CONTROL!$C$9, $D$9, 100%, $F$9) + CHOOSE(CONTROL!$C$27, 0.0021, 0)</f>
        <v>56.613399999999999</v>
      </c>
      <c r="F559" s="14">
        <f>56.6113 * CHOOSE(CONTROL!$C$9, $D$9, 100%, $F$9) + CHOOSE(CONTROL!$C$27, 0.0021, 0)</f>
        <v>56.613399999999999</v>
      </c>
      <c r="G559" s="14">
        <f>56.8827 * CHOOSE(CONTROL!$C$9, $D$9, 100%, $F$9) + CHOOSE(CONTROL!$C$27, 0.0021, 0)</f>
        <v>56.884799999999998</v>
      </c>
      <c r="H559" s="14">
        <f>56.748 * CHOOSE(CONTROL!$C$9, $D$9, 100%, $F$9) + CHOOSE(CONTROL!$C$27, 0.0021, 0)</f>
        <v>56.750099999999996</v>
      </c>
      <c r="I559" s="14">
        <f>56.748 * CHOOSE(CONTROL!$C$9, $D$9, 100%, $F$9) + CHOOSE(CONTROL!$C$27, 0.0021, 0)</f>
        <v>56.750099999999996</v>
      </c>
      <c r="J559" s="14">
        <f>56.748 * CHOOSE(CONTROL!$C$9, $D$9, 100%, $F$9) + CHOOSE(CONTROL!$C$27, 0.0021, 0)</f>
        <v>56.750099999999996</v>
      </c>
      <c r="K559" s="14">
        <f>56.748 * CHOOSE(CONTROL!$C$9, $D$9, 100%, $F$9) + CHOOSE(CONTROL!$C$27, 0.0021, 0)</f>
        <v>56.750099999999996</v>
      </c>
      <c r="L559" s="14"/>
    </row>
    <row r="560" spans="1:12" ht="15.75" x14ac:dyDescent="0.25">
      <c r="A560" s="32">
        <v>57983</v>
      </c>
      <c r="B560" s="14">
        <f>58.2964 * CHOOSE(CONTROL!$C$9, $D$9, 100%, $F$9) + CHOOSE(CONTROL!$C$27, 0.0021, 0)</f>
        <v>58.298499999999997</v>
      </c>
      <c r="C560" s="14">
        <f>57.8641 * CHOOSE(CONTROL!$C$9, $D$9, 100%, $F$9) + CHOOSE(CONTROL!$C$27, 0.0021, 0)</f>
        <v>57.866199999999999</v>
      </c>
      <c r="D560" s="14">
        <f>57.8641 * CHOOSE(CONTROL!$C$9, $D$9, 100%, $F$9) + CHOOSE(CONTROL!$C$27, 0.0021, 0)</f>
        <v>57.866199999999999</v>
      </c>
      <c r="E560" s="14">
        <f>57.7275 * CHOOSE(CONTROL!$C$9, $D$9, 100%, $F$9) + CHOOSE(CONTROL!$C$27, 0.0021, 0)</f>
        <v>57.729599999999998</v>
      </c>
      <c r="F560" s="14">
        <f>57.7275 * CHOOSE(CONTROL!$C$9, $D$9, 100%, $F$9) + CHOOSE(CONTROL!$C$27, 0.0021, 0)</f>
        <v>57.729599999999998</v>
      </c>
      <c r="G560" s="14">
        <f>57.9989 * CHOOSE(CONTROL!$C$9, $D$9, 100%, $F$9) + CHOOSE(CONTROL!$C$27, 0.0021, 0)</f>
        <v>58.000999999999998</v>
      </c>
      <c r="H560" s="14">
        <f>57.8641 * CHOOSE(CONTROL!$C$9, $D$9, 100%, $F$9) + CHOOSE(CONTROL!$C$27, 0.0021, 0)</f>
        <v>57.866199999999999</v>
      </c>
      <c r="I560" s="14">
        <f>57.8641 * CHOOSE(CONTROL!$C$9, $D$9, 100%, $F$9) + CHOOSE(CONTROL!$C$27, 0.0021, 0)</f>
        <v>57.866199999999999</v>
      </c>
      <c r="J560" s="14">
        <f>57.8641 * CHOOSE(CONTROL!$C$9, $D$9, 100%, $F$9) + CHOOSE(CONTROL!$C$27, 0.0021, 0)</f>
        <v>57.866199999999999</v>
      </c>
      <c r="K560" s="14">
        <f>57.8641 * CHOOSE(CONTROL!$C$9, $D$9, 100%, $F$9) + CHOOSE(CONTROL!$C$27, 0.0021, 0)</f>
        <v>57.866199999999999</v>
      </c>
      <c r="L560" s="14"/>
    </row>
    <row r="561" spans="1:12" ht="15.75" x14ac:dyDescent="0.25">
      <c r="A561" s="32">
        <v>58014</v>
      </c>
      <c r="B561" s="14">
        <f>59.7092 * CHOOSE(CONTROL!$C$9, $D$9, 100%, $F$9) + CHOOSE(CONTROL!$C$27, 0.0021, 0)</f>
        <v>59.711300000000001</v>
      </c>
      <c r="C561" s="14">
        <f>59.277 * CHOOSE(CONTROL!$C$9, $D$9, 100%, $F$9) + CHOOSE(CONTROL!$C$27, 0.0021, 0)</f>
        <v>59.2791</v>
      </c>
      <c r="D561" s="14">
        <f>59.277 * CHOOSE(CONTROL!$C$9, $D$9, 100%, $F$9) + CHOOSE(CONTROL!$C$27, 0.0021, 0)</f>
        <v>59.2791</v>
      </c>
      <c r="E561" s="14">
        <f>59.1403 * CHOOSE(CONTROL!$C$9, $D$9, 100%, $F$9) + CHOOSE(CONTROL!$C$27, 0.0021, 0)</f>
        <v>59.142400000000002</v>
      </c>
      <c r="F561" s="14">
        <f>59.1403 * CHOOSE(CONTROL!$C$9, $D$9, 100%, $F$9) + CHOOSE(CONTROL!$C$27, 0.0021, 0)</f>
        <v>59.142400000000002</v>
      </c>
      <c r="G561" s="14">
        <f>59.4117 * CHOOSE(CONTROL!$C$9, $D$9, 100%, $F$9) + CHOOSE(CONTROL!$C$27, 0.0021, 0)</f>
        <v>59.413800000000002</v>
      </c>
      <c r="H561" s="14">
        <f>59.277 * CHOOSE(CONTROL!$C$9, $D$9, 100%, $F$9) + CHOOSE(CONTROL!$C$27, 0.0021, 0)</f>
        <v>59.2791</v>
      </c>
      <c r="I561" s="14">
        <f>59.277 * CHOOSE(CONTROL!$C$9, $D$9, 100%, $F$9) + CHOOSE(CONTROL!$C$27, 0.0021, 0)</f>
        <v>59.2791</v>
      </c>
      <c r="J561" s="14">
        <f>59.277 * CHOOSE(CONTROL!$C$9, $D$9, 100%, $F$9) + CHOOSE(CONTROL!$C$27, 0.0021, 0)</f>
        <v>59.2791</v>
      </c>
      <c r="K561" s="14">
        <f>59.277 * CHOOSE(CONTROL!$C$9, $D$9, 100%, $F$9) + CHOOSE(CONTROL!$C$27, 0.0021, 0)</f>
        <v>59.2791</v>
      </c>
      <c r="L561" s="14"/>
    </row>
    <row r="562" spans="1:12" ht="15.75" x14ac:dyDescent="0.25">
      <c r="A562" s="32">
        <v>58044</v>
      </c>
      <c r="B562" s="14">
        <f>59.8419 * CHOOSE(CONTROL!$C$9, $D$9, 100%, $F$9) + CHOOSE(CONTROL!$C$27, 0.0021, 0)</f>
        <v>59.844000000000001</v>
      </c>
      <c r="C562" s="14">
        <f>59.4096 * CHOOSE(CONTROL!$C$9, $D$9, 100%, $F$9) + CHOOSE(CONTROL!$C$27, 0.0021, 0)</f>
        <v>59.411699999999996</v>
      </c>
      <c r="D562" s="14">
        <f>59.4096 * CHOOSE(CONTROL!$C$9, $D$9, 100%, $F$9) + CHOOSE(CONTROL!$C$27, 0.0021, 0)</f>
        <v>59.411699999999996</v>
      </c>
      <c r="E562" s="14">
        <f>59.273 * CHOOSE(CONTROL!$C$9, $D$9, 100%, $F$9) + CHOOSE(CONTROL!$C$27, 0.0021, 0)</f>
        <v>59.275100000000002</v>
      </c>
      <c r="F562" s="14">
        <f>59.273 * CHOOSE(CONTROL!$C$9, $D$9, 100%, $F$9) + CHOOSE(CONTROL!$C$27, 0.0021, 0)</f>
        <v>59.275100000000002</v>
      </c>
      <c r="G562" s="14">
        <f>59.5443 * CHOOSE(CONTROL!$C$9, $D$9, 100%, $F$9) + CHOOSE(CONTROL!$C$27, 0.0021, 0)</f>
        <v>59.546399999999998</v>
      </c>
      <c r="H562" s="14">
        <f>59.4096 * CHOOSE(CONTROL!$C$9, $D$9, 100%, $F$9) + CHOOSE(CONTROL!$C$27, 0.0021, 0)</f>
        <v>59.411699999999996</v>
      </c>
      <c r="I562" s="14">
        <f>59.4096 * CHOOSE(CONTROL!$C$9, $D$9, 100%, $F$9) + CHOOSE(CONTROL!$C$27, 0.0021, 0)</f>
        <v>59.411699999999996</v>
      </c>
      <c r="J562" s="14">
        <f>59.4096 * CHOOSE(CONTROL!$C$9, $D$9, 100%, $F$9) + CHOOSE(CONTROL!$C$27, 0.0021, 0)</f>
        <v>59.411699999999996</v>
      </c>
      <c r="K562" s="14">
        <f>59.4096 * CHOOSE(CONTROL!$C$9, $D$9, 100%, $F$9) + CHOOSE(CONTROL!$C$27, 0.0021, 0)</f>
        <v>59.411699999999996</v>
      </c>
      <c r="L562" s="14"/>
    </row>
    <row r="563" spans="1:12" ht="15.75" x14ac:dyDescent="0.25">
      <c r="A563" s="32">
        <v>58075</v>
      </c>
      <c r="B563" s="14">
        <f>58.7135 * CHOOSE(CONTROL!$C$9, $D$9, 100%, $F$9) + CHOOSE(CONTROL!$C$27, 0.0021, 0)</f>
        <v>58.715600000000002</v>
      </c>
      <c r="C563" s="14">
        <f>58.2812 * CHOOSE(CONTROL!$C$9, $D$9, 100%, $F$9) + CHOOSE(CONTROL!$C$27, 0.0021, 0)</f>
        <v>58.283299999999997</v>
      </c>
      <c r="D563" s="14">
        <f>58.2812 * CHOOSE(CONTROL!$C$9, $D$9, 100%, $F$9) + CHOOSE(CONTROL!$C$27, 0.0021, 0)</f>
        <v>58.283299999999997</v>
      </c>
      <c r="E563" s="14">
        <f>58.1445 * CHOOSE(CONTROL!$C$9, $D$9, 100%, $F$9) + CHOOSE(CONTROL!$C$27, 0.0021, 0)</f>
        <v>58.146599999999999</v>
      </c>
      <c r="F563" s="14">
        <f>58.1445 * CHOOSE(CONTROL!$C$9, $D$9, 100%, $F$9) + CHOOSE(CONTROL!$C$27, 0.0021, 0)</f>
        <v>58.146599999999999</v>
      </c>
      <c r="G563" s="14">
        <f>58.4159 * CHOOSE(CONTROL!$C$9, $D$9, 100%, $F$9) + CHOOSE(CONTROL!$C$27, 0.0021, 0)</f>
        <v>58.417999999999999</v>
      </c>
      <c r="H563" s="14">
        <f>58.2812 * CHOOSE(CONTROL!$C$9, $D$9, 100%, $F$9) + CHOOSE(CONTROL!$C$27, 0.0021, 0)</f>
        <v>58.283299999999997</v>
      </c>
      <c r="I563" s="14">
        <f>58.2812 * CHOOSE(CONTROL!$C$9, $D$9, 100%, $F$9) + CHOOSE(CONTROL!$C$27, 0.0021, 0)</f>
        <v>58.283299999999997</v>
      </c>
      <c r="J563" s="14">
        <f>58.2812 * CHOOSE(CONTROL!$C$9, $D$9, 100%, $F$9) + CHOOSE(CONTROL!$C$27, 0.0021, 0)</f>
        <v>58.283299999999997</v>
      </c>
      <c r="K563" s="14">
        <f>58.2812 * CHOOSE(CONTROL!$C$9, $D$9, 100%, $F$9) + CHOOSE(CONTROL!$C$27, 0.0021, 0)</f>
        <v>58.283299999999997</v>
      </c>
      <c r="L563" s="14"/>
    </row>
    <row r="564" spans="1:12" ht="15.75" x14ac:dyDescent="0.25">
      <c r="A564" s="32">
        <v>58106</v>
      </c>
      <c r="B564" s="14">
        <f>57.9742 * CHOOSE(CONTROL!$C$9, $D$9, 100%, $F$9) + CHOOSE(CONTROL!$C$27, 0.0021, 0)</f>
        <v>57.976300000000002</v>
      </c>
      <c r="C564" s="14">
        <f>57.542 * CHOOSE(CONTROL!$C$9, $D$9, 100%, $F$9) + CHOOSE(CONTROL!$C$27, 0.0021, 0)</f>
        <v>57.5441</v>
      </c>
      <c r="D564" s="14">
        <f>57.542 * CHOOSE(CONTROL!$C$9, $D$9, 100%, $F$9) + CHOOSE(CONTROL!$C$27, 0.0021, 0)</f>
        <v>57.5441</v>
      </c>
      <c r="E564" s="14">
        <f>57.4053 * CHOOSE(CONTROL!$C$9, $D$9, 100%, $F$9) + CHOOSE(CONTROL!$C$27, 0.0021, 0)</f>
        <v>57.407399999999996</v>
      </c>
      <c r="F564" s="14">
        <f>57.4053 * CHOOSE(CONTROL!$C$9, $D$9, 100%, $F$9) + CHOOSE(CONTROL!$C$27, 0.0021, 0)</f>
        <v>57.407399999999996</v>
      </c>
      <c r="G564" s="14">
        <f>57.6767 * CHOOSE(CONTROL!$C$9, $D$9, 100%, $F$9) + CHOOSE(CONTROL!$C$27, 0.0021, 0)</f>
        <v>57.678799999999995</v>
      </c>
      <c r="H564" s="14">
        <f>57.542 * CHOOSE(CONTROL!$C$9, $D$9, 100%, $F$9) + CHOOSE(CONTROL!$C$27, 0.0021, 0)</f>
        <v>57.5441</v>
      </c>
      <c r="I564" s="14">
        <f>57.542 * CHOOSE(CONTROL!$C$9, $D$9, 100%, $F$9) + CHOOSE(CONTROL!$C$27, 0.0021, 0)</f>
        <v>57.5441</v>
      </c>
      <c r="J564" s="14">
        <f>57.542 * CHOOSE(CONTROL!$C$9, $D$9, 100%, $F$9) + CHOOSE(CONTROL!$C$27, 0.0021, 0)</f>
        <v>57.5441</v>
      </c>
      <c r="K564" s="14">
        <f>57.542 * CHOOSE(CONTROL!$C$9, $D$9, 100%, $F$9) + CHOOSE(CONTROL!$C$27, 0.0021, 0)</f>
        <v>57.5441</v>
      </c>
      <c r="L564" s="14"/>
    </row>
    <row r="565" spans="1:12" ht="15.75" x14ac:dyDescent="0.25">
      <c r="A565" s="32">
        <v>58134</v>
      </c>
      <c r="B565" s="14">
        <f>56.3992 * CHOOSE(CONTROL!$C$9, $D$9, 100%, $F$9) + CHOOSE(CONTROL!$C$27, 0.0021, 0)</f>
        <v>56.401299999999999</v>
      </c>
      <c r="C565" s="14">
        <f>55.967 * CHOOSE(CONTROL!$C$9, $D$9, 100%, $F$9) + CHOOSE(CONTROL!$C$27, 0.0021, 0)</f>
        <v>55.969099999999997</v>
      </c>
      <c r="D565" s="14">
        <f>55.967 * CHOOSE(CONTROL!$C$9, $D$9, 100%, $F$9) + CHOOSE(CONTROL!$C$27, 0.0021, 0)</f>
        <v>55.969099999999997</v>
      </c>
      <c r="E565" s="14">
        <f>55.8303 * CHOOSE(CONTROL!$C$9, $D$9, 100%, $F$9) + CHOOSE(CONTROL!$C$27, 0.0021, 0)</f>
        <v>55.8324</v>
      </c>
      <c r="F565" s="14">
        <f>55.8303 * CHOOSE(CONTROL!$C$9, $D$9, 100%, $F$9) + CHOOSE(CONTROL!$C$27, 0.0021, 0)</f>
        <v>55.8324</v>
      </c>
      <c r="G565" s="14">
        <f>56.1017 * CHOOSE(CONTROL!$C$9, $D$9, 100%, $F$9) + CHOOSE(CONTROL!$C$27, 0.0021, 0)</f>
        <v>56.1038</v>
      </c>
      <c r="H565" s="14">
        <f>55.967 * CHOOSE(CONTROL!$C$9, $D$9, 100%, $F$9) + CHOOSE(CONTROL!$C$27, 0.0021, 0)</f>
        <v>55.969099999999997</v>
      </c>
      <c r="I565" s="14">
        <f>55.967 * CHOOSE(CONTROL!$C$9, $D$9, 100%, $F$9) + CHOOSE(CONTROL!$C$27, 0.0021, 0)</f>
        <v>55.969099999999997</v>
      </c>
      <c r="J565" s="14">
        <f>55.967 * CHOOSE(CONTROL!$C$9, $D$9, 100%, $F$9) + CHOOSE(CONTROL!$C$27, 0.0021, 0)</f>
        <v>55.969099999999997</v>
      </c>
      <c r="K565" s="14">
        <f>55.967 * CHOOSE(CONTROL!$C$9, $D$9, 100%, $F$9) + CHOOSE(CONTROL!$C$27, 0.0021, 0)</f>
        <v>55.969099999999997</v>
      </c>
      <c r="L565" s="14"/>
    </row>
    <row r="566" spans="1:12" ht="15.75" x14ac:dyDescent="0.25">
      <c r="A566" s="32">
        <v>58165</v>
      </c>
      <c r="B566" s="14">
        <f>55.7491 * CHOOSE(CONTROL!$C$9, $D$9, 100%, $F$9) + CHOOSE(CONTROL!$C$27, 0.0021, 0)</f>
        <v>55.751199999999997</v>
      </c>
      <c r="C566" s="14">
        <f>55.3168 * CHOOSE(CONTROL!$C$9, $D$9, 100%, $F$9) + CHOOSE(CONTROL!$C$27, 0.0021, 0)</f>
        <v>55.318899999999999</v>
      </c>
      <c r="D566" s="14">
        <f>55.3168 * CHOOSE(CONTROL!$C$9, $D$9, 100%, $F$9) + CHOOSE(CONTROL!$C$27, 0.0021, 0)</f>
        <v>55.318899999999999</v>
      </c>
      <c r="E566" s="14">
        <f>55.1802 * CHOOSE(CONTROL!$C$9, $D$9, 100%, $F$9) + CHOOSE(CONTROL!$C$27, 0.0021, 0)</f>
        <v>55.182299999999998</v>
      </c>
      <c r="F566" s="14">
        <f>55.1802 * CHOOSE(CONTROL!$C$9, $D$9, 100%, $F$9) + CHOOSE(CONTROL!$C$27, 0.0021, 0)</f>
        <v>55.182299999999998</v>
      </c>
      <c r="G566" s="14">
        <f>55.4515 * CHOOSE(CONTROL!$C$9, $D$9, 100%, $F$9) + CHOOSE(CONTROL!$C$27, 0.0021, 0)</f>
        <v>55.453600000000002</v>
      </c>
      <c r="H566" s="14">
        <f>55.3168 * CHOOSE(CONTROL!$C$9, $D$9, 100%, $F$9) + CHOOSE(CONTROL!$C$27, 0.0021, 0)</f>
        <v>55.318899999999999</v>
      </c>
      <c r="I566" s="14">
        <f>55.3168 * CHOOSE(CONTROL!$C$9, $D$9, 100%, $F$9) + CHOOSE(CONTROL!$C$27, 0.0021, 0)</f>
        <v>55.318899999999999</v>
      </c>
      <c r="J566" s="14">
        <f>55.3168 * CHOOSE(CONTROL!$C$9, $D$9, 100%, $F$9) + CHOOSE(CONTROL!$C$27, 0.0021, 0)</f>
        <v>55.318899999999999</v>
      </c>
      <c r="K566" s="14">
        <f>55.3168 * CHOOSE(CONTROL!$C$9, $D$9, 100%, $F$9) + CHOOSE(CONTROL!$C$27, 0.0021, 0)</f>
        <v>55.318899999999999</v>
      </c>
      <c r="L566" s="14"/>
    </row>
    <row r="567" spans="1:12" ht="15.75" x14ac:dyDescent="0.25">
      <c r="A567" s="32">
        <v>58195</v>
      </c>
      <c r="B567" s="14">
        <f>54.9728 * CHOOSE(CONTROL!$C$9, $D$9, 100%, $F$9) + CHOOSE(CONTROL!$C$27, 0.0021, 0)</f>
        <v>54.974899999999998</v>
      </c>
      <c r="C567" s="14">
        <f>54.5405 * CHOOSE(CONTROL!$C$9, $D$9, 100%, $F$9) + CHOOSE(CONTROL!$C$27, 0.0021, 0)</f>
        <v>54.5426</v>
      </c>
      <c r="D567" s="14">
        <f>54.5405 * CHOOSE(CONTROL!$C$9, $D$9, 100%, $F$9) + CHOOSE(CONTROL!$C$27, 0.0021, 0)</f>
        <v>54.5426</v>
      </c>
      <c r="E567" s="14">
        <f>54.4039 * CHOOSE(CONTROL!$C$9, $D$9, 100%, $F$9) + CHOOSE(CONTROL!$C$27, 0.0021, 0)</f>
        <v>54.405999999999999</v>
      </c>
      <c r="F567" s="14">
        <f>54.4039 * CHOOSE(CONTROL!$C$9, $D$9, 100%, $F$9) + CHOOSE(CONTROL!$C$27, 0.0021, 0)</f>
        <v>54.405999999999999</v>
      </c>
      <c r="G567" s="14">
        <f>54.6753 * CHOOSE(CONTROL!$C$9, $D$9, 100%, $F$9) + CHOOSE(CONTROL!$C$27, 0.0021, 0)</f>
        <v>54.677399999999999</v>
      </c>
      <c r="H567" s="14">
        <f>54.5405 * CHOOSE(CONTROL!$C$9, $D$9, 100%, $F$9) + CHOOSE(CONTROL!$C$27, 0.0021, 0)</f>
        <v>54.5426</v>
      </c>
      <c r="I567" s="14">
        <f>54.5405 * CHOOSE(CONTROL!$C$9, $D$9, 100%, $F$9) + CHOOSE(CONTROL!$C$27, 0.0021, 0)</f>
        <v>54.5426</v>
      </c>
      <c r="J567" s="14">
        <f>54.5405 * CHOOSE(CONTROL!$C$9, $D$9, 100%, $F$9) + CHOOSE(CONTROL!$C$27, 0.0021, 0)</f>
        <v>54.5426</v>
      </c>
      <c r="K567" s="14">
        <f>54.5405 * CHOOSE(CONTROL!$C$9, $D$9, 100%, $F$9) + CHOOSE(CONTROL!$C$27, 0.0021, 0)</f>
        <v>54.5426</v>
      </c>
      <c r="L567" s="14"/>
    </row>
    <row r="568" spans="1:12" ht="15.75" x14ac:dyDescent="0.25">
      <c r="A568" s="32">
        <v>58226</v>
      </c>
      <c r="B568" s="14">
        <f>56.0791 * CHOOSE(CONTROL!$C$9, $D$9, 100%, $F$9) + CHOOSE(CONTROL!$C$27, 0.0021, 0)</f>
        <v>56.081199999999995</v>
      </c>
      <c r="C568" s="14">
        <f>55.6468 * CHOOSE(CONTROL!$C$9, $D$9, 100%, $F$9) + CHOOSE(CONTROL!$C$27, 0.0021, 0)</f>
        <v>55.648899999999998</v>
      </c>
      <c r="D568" s="14">
        <f>55.6468 * CHOOSE(CONTROL!$C$9, $D$9, 100%, $F$9) + CHOOSE(CONTROL!$C$27, 0.0021, 0)</f>
        <v>55.648899999999998</v>
      </c>
      <c r="E568" s="14">
        <f>55.5102 * CHOOSE(CONTROL!$C$9, $D$9, 100%, $F$9) + CHOOSE(CONTROL!$C$27, 0.0021, 0)</f>
        <v>55.512299999999996</v>
      </c>
      <c r="F568" s="14">
        <f>55.5102 * CHOOSE(CONTROL!$C$9, $D$9, 100%, $F$9) + CHOOSE(CONTROL!$C$27, 0.0021, 0)</f>
        <v>55.512299999999996</v>
      </c>
      <c r="G568" s="14">
        <f>55.7816 * CHOOSE(CONTROL!$C$9, $D$9, 100%, $F$9) + CHOOSE(CONTROL!$C$27, 0.0021, 0)</f>
        <v>55.783699999999996</v>
      </c>
      <c r="H568" s="14">
        <f>55.6468 * CHOOSE(CONTROL!$C$9, $D$9, 100%, $F$9) + CHOOSE(CONTROL!$C$27, 0.0021, 0)</f>
        <v>55.648899999999998</v>
      </c>
      <c r="I568" s="14">
        <f>55.6468 * CHOOSE(CONTROL!$C$9, $D$9, 100%, $F$9) + CHOOSE(CONTROL!$C$27, 0.0021, 0)</f>
        <v>55.648899999999998</v>
      </c>
      <c r="J568" s="14">
        <f>55.6468 * CHOOSE(CONTROL!$C$9, $D$9, 100%, $F$9) + CHOOSE(CONTROL!$C$27, 0.0021, 0)</f>
        <v>55.648899999999998</v>
      </c>
      <c r="K568" s="14">
        <f>55.6468 * CHOOSE(CONTROL!$C$9, $D$9, 100%, $F$9) + CHOOSE(CONTROL!$C$27, 0.0021, 0)</f>
        <v>55.648899999999998</v>
      </c>
      <c r="L568" s="14"/>
    </row>
    <row r="569" spans="1:12" ht="15.75" x14ac:dyDescent="0.25">
      <c r="A569" s="32">
        <v>58256</v>
      </c>
      <c r="B569" s="14">
        <f>56.7417 * CHOOSE(CONTROL!$C$9, $D$9, 100%, $F$9) + CHOOSE(CONTROL!$C$27, 0.0021, 0)</f>
        <v>56.7438</v>
      </c>
      <c r="C569" s="14">
        <f>56.3095 * CHOOSE(CONTROL!$C$9, $D$9, 100%, $F$9) + CHOOSE(CONTROL!$C$27, 0.0021, 0)</f>
        <v>56.311599999999999</v>
      </c>
      <c r="D569" s="14">
        <f>56.3095 * CHOOSE(CONTROL!$C$9, $D$9, 100%, $F$9) + CHOOSE(CONTROL!$C$27, 0.0021, 0)</f>
        <v>56.311599999999999</v>
      </c>
      <c r="E569" s="14">
        <f>56.1728 * CHOOSE(CONTROL!$C$9, $D$9, 100%, $F$9) + CHOOSE(CONTROL!$C$27, 0.0021, 0)</f>
        <v>56.174900000000001</v>
      </c>
      <c r="F569" s="14">
        <f>56.1728 * CHOOSE(CONTROL!$C$9, $D$9, 100%, $F$9) + CHOOSE(CONTROL!$C$27, 0.0021, 0)</f>
        <v>56.174900000000001</v>
      </c>
      <c r="G569" s="14">
        <f>56.4442 * CHOOSE(CONTROL!$C$9, $D$9, 100%, $F$9) + CHOOSE(CONTROL!$C$27, 0.0021, 0)</f>
        <v>56.446300000000001</v>
      </c>
      <c r="H569" s="14">
        <f>56.3095 * CHOOSE(CONTROL!$C$9, $D$9, 100%, $F$9) + CHOOSE(CONTROL!$C$27, 0.0021, 0)</f>
        <v>56.311599999999999</v>
      </c>
      <c r="I569" s="14">
        <f>56.3095 * CHOOSE(CONTROL!$C$9, $D$9, 100%, $F$9) + CHOOSE(CONTROL!$C$27, 0.0021, 0)</f>
        <v>56.311599999999999</v>
      </c>
      <c r="J569" s="14">
        <f>56.3095 * CHOOSE(CONTROL!$C$9, $D$9, 100%, $F$9) + CHOOSE(CONTROL!$C$27, 0.0021, 0)</f>
        <v>56.311599999999999</v>
      </c>
      <c r="K569" s="14">
        <f>56.3095 * CHOOSE(CONTROL!$C$9, $D$9, 100%, $F$9) + CHOOSE(CONTROL!$C$27, 0.0021, 0)</f>
        <v>56.311599999999999</v>
      </c>
      <c r="L569" s="14"/>
    </row>
    <row r="570" spans="1:12" ht="15.75" x14ac:dyDescent="0.25">
      <c r="A570" s="32">
        <v>58287</v>
      </c>
      <c r="B570" s="14">
        <f>57.8348 * CHOOSE(CONTROL!$C$9, $D$9, 100%, $F$9) + CHOOSE(CONTROL!$C$27, 0.0021, 0)</f>
        <v>57.8369</v>
      </c>
      <c r="C570" s="14">
        <f>57.4026 * CHOOSE(CONTROL!$C$9, $D$9, 100%, $F$9) + CHOOSE(CONTROL!$C$27, 0.0021, 0)</f>
        <v>57.404699999999998</v>
      </c>
      <c r="D570" s="14">
        <f>57.4026 * CHOOSE(CONTROL!$C$9, $D$9, 100%, $F$9) + CHOOSE(CONTROL!$C$27, 0.0021, 0)</f>
        <v>57.404699999999998</v>
      </c>
      <c r="E570" s="14">
        <f>57.2659 * CHOOSE(CONTROL!$C$9, $D$9, 100%, $F$9) + CHOOSE(CONTROL!$C$27, 0.0021, 0)</f>
        <v>57.268000000000001</v>
      </c>
      <c r="F570" s="14">
        <f>57.2659 * CHOOSE(CONTROL!$C$9, $D$9, 100%, $F$9) + CHOOSE(CONTROL!$C$27, 0.0021, 0)</f>
        <v>57.268000000000001</v>
      </c>
      <c r="G570" s="14">
        <f>57.5373 * CHOOSE(CONTROL!$C$9, $D$9, 100%, $F$9) + CHOOSE(CONTROL!$C$27, 0.0021, 0)</f>
        <v>57.539400000000001</v>
      </c>
      <c r="H570" s="14">
        <f>57.4026 * CHOOSE(CONTROL!$C$9, $D$9, 100%, $F$9) + CHOOSE(CONTROL!$C$27, 0.0021, 0)</f>
        <v>57.404699999999998</v>
      </c>
      <c r="I570" s="14">
        <f>57.4026 * CHOOSE(CONTROL!$C$9, $D$9, 100%, $F$9) + CHOOSE(CONTROL!$C$27, 0.0021, 0)</f>
        <v>57.404699999999998</v>
      </c>
      <c r="J570" s="14">
        <f>57.4026 * CHOOSE(CONTROL!$C$9, $D$9, 100%, $F$9) + CHOOSE(CONTROL!$C$27, 0.0021, 0)</f>
        <v>57.404699999999998</v>
      </c>
      <c r="K570" s="14">
        <f>57.4026 * CHOOSE(CONTROL!$C$9, $D$9, 100%, $F$9) + CHOOSE(CONTROL!$C$27, 0.0021, 0)</f>
        <v>57.404699999999998</v>
      </c>
      <c r="L570" s="14"/>
    </row>
    <row r="571" spans="1:12" ht="15.75" x14ac:dyDescent="0.25">
      <c r="A571" s="32">
        <v>58318</v>
      </c>
      <c r="B571" s="14">
        <f>58.1685 * CHOOSE(CONTROL!$C$9, $D$9, 100%, $F$9) + CHOOSE(CONTROL!$C$27, 0.0021, 0)</f>
        <v>58.1706</v>
      </c>
      <c r="C571" s="14">
        <f>57.7362 * CHOOSE(CONTROL!$C$9, $D$9, 100%, $F$9) + CHOOSE(CONTROL!$C$27, 0.0021, 0)</f>
        <v>57.738299999999995</v>
      </c>
      <c r="D571" s="14">
        <f>57.7362 * CHOOSE(CONTROL!$C$9, $D$9, 100%, $F$9) + CHOOSE(CONTROL!$C$27, 0.0021, 0)</f>
        <v>57.738299999999995</v>
      </c>
      <c r="E571" s="14">
        <f>57.5996 * CHOOSE(CONTROL!$C$9, $D$9, 100%, $F$9) + CHOOSE(CONTROL!$C$27, 0.0021, 0)</f>
        <v>57.601700000000001</v>
      </c>
      <c r="F571" s="14">
        <f>57.5996 * CHOOSE(CONTROL!$C$9, $D$9, 100%, $F$9) + CHOOSE(CONTROL!$C$27, 0.0021, 0)</f>
        <v>57.601700000000001</v>
      </c>
      <c r="G571" s="14">
        <f>57.871 * CHOOSE(CONTROL!$C$9, $D$9, 100%, $F$9) + CHOOSE(CONTROL!$C$27, 0.0021, 0)</f>
        <v>57.873100000000001</v>
      </c>
      <c r="H571" s="14">
        <f>57.7362 * CHOOSE(CONTROL!$C$9, $D$9, 100%, $F$9) + CHOOSE(CONTROL!$C$27, 0.0021, 0)</f>
        <v>57.738299999999995</v>
      </c>
      <c r="I571" s="14">
        <f>57.7362 * CHOOSE(CONTROL!$C$9, $D$9, 100%, $F$9) + CHOOSE(CONTROL!$C$27, 0.0021, 0)</f>
        <v>57.738299999999995</v>
      </c>
      <c r="J571" s="14">
        <f>57.7362 * CHOOSE(CONTROL!$C$9, $D$9, 100%, $F$9) + CHOOSE(CONTROL!$C$27, 0.0021, 0)</f>
        <v>57.738299999999995</v>
      </c>
      <c r="K571" s="14">
        <f>57.7362 * CHOOSE(CONTROL!$C$9, $D$9, 100%, $F$9) + CHOOSE(CONTROL!$C$27, 0.0021, 0)</f>
        <v>57.738299999999995</v>
      </c>
      <c r="L571" s="14"/>
    </row>
    <row r="572" spans="1:12" ht="15.75" x14ac:dyDescent="0.25">
      <c r="A572" s="32">
        <v>58348</v>
      </c>
      <c r="B572" s="14">
        <f>59.3047 * CHOOSE(CONTROL!$C$9, $D$9, 100%, $F$9) + CHOOSE(CONTROL!$C$27, 0.0021, 0)</f>
        <v>59.306799999999996</v>
      </c>
      <c r="C572" s="14">
        <f>58.8725 * CHOOSE(CONTROL!$C$9, $D$9, 100%, $F$9) + CHOOSE(CONTROL!$C$27, 0.0021, 0)</f>
        <v>58.874600000000001</v>
      </c>
      <c r="D572" s="14">
        <f>58.8725 * CHOOSE(CONTROL!$C$9, $D$9, 100%, $F$9) + CHOOSE(CONTROL!$C$27, 0.0021, 0)</f>
        <v>58.874600000000001</v>
      </c>
      <c r="E572" s="14">
        <f>58.7358 * CHOOSE(CONTROL!$C$9, $D$9, 100%, $F$9) + CHOOSE(CONTROL!$C$27, 0.0021, 0)</f>
        <v>58.737899999999996</v>
      </c>
      <c r="F572" s="14">
        <f>58.7358 * CHOOSE(CONTROL!$C$9, $D$9, 100%, $F$9) + CHOOSE(CONTROL!$C$27, 0.0021, 0)</f>
        <v>58.737899999999996</v>
      </c>
      <c r="G572" s="14">
        <f>59.0072 * CHOOSE(CONTROL!$C$9, $D$9, 100%, $F$9) + CHOOSE(CONTROL!$C$27, 0.0021, 0)</f>
        <v>59.009299999999996</v>
      </c>
      <c r="H572" s="14">
        <f>58.8725 * CHOOSE(CONTROL!$C$9, $D$9, 100%, $F$9) + CHOOSE(CONTROL!$C$27, 0.0021, 0)</f>
        <v>58.874600000000001</v>
      </c>
      <c r="I572" s="14">
        <f>58.8725 * CHOOSE(CONTROL!$C$9, $D$9, 100%, $F$9) + CHOOSE(CONTROL!$C$27, 0.0021, 0)</f>
        <v>58.874600000000001</v>
      </c>
      <c r="J572" s="14">
        <f>58.8725 * CHOOSE(CONTROL!$C$9, $D$9, 100%, $F$9) + CHOOSE(CONTROL!$C$27, 0.0021, 0)</f>
        <v>58.874600000000001</v>
      </c>
      <c r="K572" s="14">
        <f>58.8725 * CHOOSE(CONTROL!$C$9, $D$9, 100%, $F$9) + CHOOSE(CONTROL!$C$27, 0.0021, 0)</f>
        <v>58.874600000000001</v>
      </c>
      <c r="L572" s="14"/>
    </row>
    <row r="573" spans="1:12" ht="15.75" x14ac:dyDescent="0.25">
      <c r="A573" s="32">
        <v>58379</v>
      </c>
      <c r="B573" s="14">
        <f>60.743 * CHOOSE(CONTROL!$C$9, $D$9, 100%, $F$9) + CHOOSE(CONTROL!$C$27, 0.0021, 0)</f>
        <v>60.745100000000001</v>
      </c>
      <c r="C573" s="14">
        <f>60.3108 * CHOOSE(CONTROL!$C$9, $D$9, 100%, $F$9) + CHOOSE(CONTROL!$C$27, 0.0021, 0)</f>
        <v>60.312899999999999</v>
      </c>
      <c r="D573" s="14">
        <f>60.3108 * CHOOSE(CONTROL!$C$9, $D$9, 100%, $F$9) + CHOOSE(CONTROL!$C$27, 0.0021, 0)</f>
        <v>60.312899999999999</v>
      </c>
      <c r="E573" s="14">
        <f>60.1741 * CHOOSE(CONTROL!$C$9, $D$9, 100%, $F$9) + CHOOSE(CONTROL!$C$27, 0.0021, 0)</f>
        <v>60.176200000000001</v>
      </c>
      <c r="F573" s="14">
        <f>60.1741 * CHOOSE(CONTROL!$C$9, $D$9, 100%, $F$9) + CHOOSE(CONTROL!$C$27, 0.0021, 0)</f>
        <v>60.176200000000001</v>
      </c>
      <c r="G573" s="14">
        <f>60.4455 * CHOOSE(CONTROL!$C$9, $D$9, 100%, $F$9) + CHOOSE(CONTROL!$C$27, 0.0021, 0)</f>
        <v>60.447600000000001</v>
      </c>
      <c r="H573" s="14">
        <f>60.3108 * CHOOSE(CONTROL!$C$9, $D$9, 100%, $F$9) + CHOOSE(CONTROL!$C$27, 0.0021, 0)</f>
        <v>60.312899999999999</v>
      </c>
      <c r="I573" s="14">
        <f>60.3108 * CHOOSE(CONTROL!$C$9, $D$9, 100%, $F$9) + CHOOSE(CONTROL!$C$27, 0.0021, 0)</f>
        <v>60.312899999999999</v>
      </c>
      <c r="J573" s="14">
        <f>60.3108 * CHOOSE(CONTROL!$C$9, $D$9, 100%, $F$9) + CHOOSE(CONTROL!$C$27, 0.0021, 0)</f>
        <v>60.312899999999999</v>
      </c>
      <c r="K573" s="14">
        <f>60.3108 * CHOOSE(CONTROL!$C$9, $D$9, 100%, $F$9) + CHOOSE(CONTROL!$C$27, 0.0021, 0)</f>
        <v>60.312899999999999</v>
      </c>
      <c r="L573" s="14"/>
    </row>
    <row r="574" spans="1:12" ht="15.75" x14ac:dyDescent="0.25">
      <c r="A574" s="32">
        <v>58409</v>
      </c>
      <c r="B574" s="14">
        <f>60.878 * CHOOSE(CONTROL!$C$9, $D$9, 100%, $F$9) + CHOOSE(CONTROL!$C$27, 0.0021, 0)</f>
        <v>60.880099999999999</v>
      </c>
      <c r="C574" s="14">
        <f>60.4458 * CHOOSE(CONTROL!$C$9, $D$9, 100%, $F$9) + CHOOSE(CONTROL!$C$27, 0.0021, 0)</f>
        <v>60.447899999999997</v>
      </c>
      <c r="D574" s="14">
        <f>60.4458 * CHOOSE(CONTROL!$C$9, $D$9, 100%, $F$9) + CHOOSE(CONTROL!$C$27, 0.0021, 0)</f>
        <v>60.447899999999997</v>
      </c>
      <c r="E574" s="14">
        <f>60.3091 * CHOOSE(CONTROL!$C$9, $D$9, 100%, $F$9) + CHOOSE(CONTROL!$C$27, 0.0021, 0)</f>
        <v>60.311199999999999</v>
      </c>
      <c r="F574" s="14">
        <f>60.3091 * CHOOSE(CONTROL!$C$9, $D$9, 100%, $F$9) + CHOOSE(CONTROL!$C$27, 0.0021, 0)</f>
        <v>60.311199999999999</v>
      </c>
      <c r="G574" s="14">
        <f>60.5805 * CHOOSE(CONTROL!$C$9, $D$9, 100%, $F$9) + CHOOSE(CONTROL!$C$27, 0.0021, 0)</f>
        <v>60.582599999999999</v>
      </c>
      <c r="H574" s="14">
        <f>60.4458 * CHOOSE(CONTROL!$C$9, $D$9, 100%, $F$9) + CHOOSE(CONTROL!$C$27, 0.0021, 0)</f>
        <v>60.447899999999997</v>
      </c>
      <c r="I574" s="14">
        <f>60.4458 * CHOOSE(CONTROL!$C$9, $D$9, 100%, $F$9) + CHOOSE(CONTROL!$C$27, 0.0021, 0)</f>
        <v>60.447899999999997</v>
      </c>
      <c r="J574" s="14">
        <f>60.4458 * CHOOSE(CONTROL!$C$9, $D$9, 100%, $F$9) + CHOOSE(CONTROL!$C$27, 0.0021, 0)</f>
        <v>60.447899999999997</v>
      </c>
      <c r="K574" s="14">
        <f>60.4458 * CHOOSE(CONTROL!$C$9, $D$9, 100%, $F$9) + CHOOSE(CONTROL!$C$27, 0.0021, 0)</f>
        <v>60.447899999999997</v>
      </c>
      <c r="L574" s="14"/>
    </row>
    <row r="575" spans="1:12" ht="15.75" x14ac:dyDescent="0.25">
      <c r="A575" s="32">
        <v>58440</v>
      </c>
      <c r="B575" s="14">
        <f>59.7293 * CHOOSE(CONTROL!$C$9, $D$9, 100%, $F$9) + CHOOSE(CONTROL!$C$27, 0.0021, 0)</f>
        <v>59.731400000000001</v>
      </c>
      <c r="C575" s="14">
        <f>59.2971 * CHOOSE(CONTROL!$C$9, $D$9, 100%, $F$9) + CHOOSE(CONTROL!$C$27, 0.0021, 0)</f>
        <v>59.299199999999999</v>
      </c>
      <c r="D575" s="14">
        <f>59.2971 * CHOOSE(CONTROL!$C$9, $D$9, 100%, $F$9) + CHOOSE(CONTROL!$C$27, 0.0021, 0)</f>
        <v>59.299199999999999</v>
      </c>
      <c r="E575" s="14">
        <f>59.1604 * CHOOSE(CONTROL!$C$9, $D$9, 100%, $F$9) + CHOOSE(CONTROL!$C$27, 0.0021, 0)</f>
        <v>59.162500000000001</v>
      </c>
      <c r="F575" s="14">
        <f>59.1604 * CHOOSE(CONTROL!$C$9, $D$9, 100%, $F$9) + CHOOSE(CONTROL!$C$27, 0.0021, 0)</f>
        <v>59.162500000000001</v>
      </c>
      <c r="G575" s="14">
        <f>59.4318 * CHOOSE(CONTROL!$C$9, $D$9, 100%, $F$9) + CHOOSE(CONTROL!$C$27, 0.0021, 0)</f>
        <v>59.433900000000001</v>
      </c>
      <c r="H575" s="14">
        <f>59.2971 * CHOOSE(CONTROL!$C$9, $D$9, 100%, $F$9) + CHOOSE(CONTROL!$C$27, 0.0021, 0)</f>
        <v>59.299199999999999</v>
      </c>
      <c r="I575" s="14">
        <f>59.2971 * CHOOSE(CONTROL!$C$9, $D$9, 100%, $F$9) + CHOOSE(CONTROL!$C$27, 0.0021, 0)</f>
        <v>59.299199999999999</v>
      </c>
      <c r="J575" s="14">
        <f>59.2971 * CHOOSE(CONTROL!$C$9, $D$9, 100%, $F$9) + CHOOSE(CONTROL!$C$27, 0.0021, 0)</f>
        <v>59.299199999999999</v>
      </c>
      <c r="K575" s="14">
        <f>59.2971 * CHOOSE(CONTROL!$C$9, $D$9, 100%, $F$9) + CHOOSE(CONTROL!$C$27, 0.0021, 0)</f>
        <v>59.299199999999999</v>
      </c>
      <c r="L575" s="14"/>
    </row>
    <row r="576" spans="1:12" ht="15.75" x14ac:dyDescent="0.25">
      <c r="A576" s="32">
        <v>58471</v>
      </c>
      <c r="B576" s="14">
        <f>58.9768 * CHOOSE(CONTROL!$C$9, $D$9, 100%, $F$9) + CHOOSE(CONTROL!$C$27, 0.0021, 0)</f>
        <v>58.978899999999996</v>
      </c>
      <c r="C576" s="14">
        <f>58.5445 * CHOOSE(CONTROL!$C$9, $D$9, 100%, $F$9) + CHOOSE(CONTROL!$C$27, 0.0021, 0)</f>
        <v>58.546599999999998</v>
      </c>
      <c r="D576" s="14">
        <f>58.5445 * CHOOSE(CONTROL!$C$9, $D$9, 100%, $F$9) + CHOOSE(CONTROL!$C$27, 0.0021, 0)</f>
        <v>58.546599999999998</v>
      </c>
      <c r="E576" s="14">
        <f>58.4078 * CHOOSE(CONTROL!$C$9, $D$9, 100%, $F$9) + CHOOSE(CONTROL!$C$27, 0.0021, 0)</f>
        <v>58.4099</v>
      </c>
      <c r="F576" s="14">
        <f>58.4078 * CHOOSE(CONTROL!$C$9, $D$9, 100%, $F$9) + CHOOSE(CONTROL!$C$27, 0.0021, 0)</f>
        <v>58.4099</v>
      </c>
      <c r="G576" s="14">
        <f>58.6792 * CHOOSE(CONTROL!$C$9, $D$9, 100%, $F$9) + CHOOSE(CONTROL!$C$27, 0.0021, 0)</f>
        <v>58.6813</v>
      </c>
      <c r="H576" s="14">
        <f>58.5445 * CHOOSE(CONTROL!$C$9, $D$9, 100%, $F$9) + CHOOSE(CONTROL!$C$27, 0.0021, 0)</f>
        <v>58.546599999999998</v>
      </c>
      <c r="I576" s="14">
        <f>58.5445 * CHOOSE(CONTROL!$C$9, $D$9, 100%, $F$9) + CHOOSE(CONTROL!$C$27, 0.0021, 0)</f>
        <v>58.546599999999998</v>
      </c>
      <c r="J576" s="14">
        <f>58.5445 * CHOOSE(CONTROL!$C$9, $D$9, 100%, $F$9) + CHOOSE(CONTROL!$C$27, 0.0021, 0)</f>
        <v>58.546599999999998</v>
      </c>
      <c r="K576" s="14">
        <f>58.5445 * CHOOSE(CONTROL!$C$9, $D$9, 100%, $F$9) + CHOOSE(CONTROL!$C$27, 0.0021, 0)</f>
        <v>58.546599999999998</v>
      </c>
      <c r="L576" s="14"/>
    </row>
    <row r="577" spans="1:12" ht="15.75" x14ac:dyDescent="0.25">
      <c r="A577" s="32">
        <v>58499</v>
      </c>
      <c r="B577" s="14">
        <f>57.3734 * CHOOSE(CONTROL!$C$9, $D$9, 100%, $F$9) + CHOOSE(CONTROL!$C$27, 0.0021, 0)</f>
        <v>57.375499999999995</v>
      </c>
      <c r="C577" s="14">
        <f>56.9412 * CHOOSE(CONTROL!$C$9, $D$9, 100%, $F$9) + CHOOSE(CONTROL!$C$27, 0.0021, 0)</f>
        <v>56.943300000000001</v>
      </c>
      <c r="D577" s="14">
        <f>56.9412 * CHOOSE(CONTROL!$C$9, $D$9, 100%, $F$9) + CHOOSE(CONTROL!$C$27, 0.0021, 0)</f>
        <v>56.943300000000001</v>
      </c>
      <c r="E577" s="14">
        <f>56.8045 * CHOOSE(CONTROL!$C$9, $D$9, 100%, $F$9) + CHOOSE(CONTROL!$C$27, 0.0021, 0)</f>
        <v>56.806599999999996</v>
      </c>
      <c r="F577" s="14">
        <f>56.8045 * CHOOSE(CONTROL!$C$9, $D$9, 100%, $F$9) + CHOOSE(CONTROL!$C$27, 0.0021, 0)</f>
        <v>56.806599999999996</v>
      </c>
      <c r="G577" s="14">
        <f>57.0759 * CHOOSE(CONTROL!$C$9, $D$9, 100%, $F$9) + CHOOSE(CONTROL!$C$27, 0.0021, 0)</f>
        <v>57.077999999999996</v>
      </c>
      <c r="H577" s="14">
        <f>56.9412 * CHOOSE(CONTROL!$C$9, $D$9, 100%, $F$9) + CHOOSE(CONTROL!$C$27, 0.0021, 0)</f>
        <v>56.943300000000001</v>
      </c>
      <c r="I577" s="14">
        <f>56.9412 * CHOOSE(CONTROL!$C$9, $D$9, 100%, $F$9) + CHOOSE(CONTROL!$C$27, 0.0021, 0)</f>
        <v>56.943300000000001</v>
      </c>
      <c r="J577" s="14">
        <f>56.9412 * CHOOSE(CONTROL!$C$9, $D$9, 100%, $F$9) + CHOOSE(CONTROL!$C$27, 0.0021, 0)</f>
        <v>56.943300000000001</v>
      </c>
      <c r="K577" s="14">
        <f>56.9412 * CHOOSE(CONTROL!$C$9, $D$9, 100%, $F$9) + CHOOSE(CONTROL!$C$27, 0.0021, 0)</f>
        <v>56.943300000000001</v>
      </c>
      <c r="L577" s="14"/>
    </row>
    <row r="578" spans="1:12" ht="15.75" x14ac:dyDescent="0.25">
      <c r="A578" s="32">
        <v>58531</v>
      </c>
      <c r="B578" s="14">
        <f>56.7116 * CHOOSE(CONTROL!$C$9, $D$9, 100%, $F$9) + CHOOSE(CONTROL!$C$27, 0.0021, 0)</f>
        <v>56.713699999999996</v>
      </c>
      <c r="C578" s="14">
        <f>56.2793 * CHOOSE(CONTROL!$C$9, $D$9, 100%, $F$9) + CHOOSE(CONTROL!$C$27, 0.0021, 0)</f>
        <v>56.281399999999998</v>
      </c>
      <c r="D578" s="14">
        <f>56.2793 * CHOOSE(CONTROL!$C$9, $D$9, 100%, $F$9) + CHOOSE(CONTROL!$C$27, 0.0021, 0)</f>
        <v>56.281399999999998</v>
      </c>
      <c r="E578" s="14">
        <f>56.1427 * CHOOSE(CONTROL!$C$9, $D$9, 100%, $F$9) + CHOOSE(CONTROL!$C$27, 0.0021, 0)</f>
        <v>56.144799999999996</v>
      </c>
      <c r="F578" s="14">
        <f>56.1427 * CHOOSE(CONTROL!$C$9, $D$9, 100%, $F$9) + CHOOSE(CONTROL!$C$27, 0.0021, 0)</f>
        <v>56.144799999999996</v>
      </c>
      <c r="G578" s="14">
        <f>56.414 * CHOOSE(CONTROL!$C$9, $D$9, 100%, $F$9) + CHOOSE(CONTROL!$C$27, 0.0021, 0)</f>
        <v>56.4161</v>
      </c>
      <c r="H578" s="14">
        <f>56.2793 * CHOOSE(CONTROL!$C$9, $D$9, 100%, $F$9) + CHOOSE(CONTROL!$C$27, 0.0021, 0)</f>
        <v>56.281399999999998</v>
      </c>
      <c r="I578" s="14">
        <f>56.2793 * CHOOSE(CONTROL!$C$9, $D$9, 100%, $F$9) + CHOOSE(CONTROL!$C$27, 0.0021, 0)</f>
        <v>56.281399999999998</v>
      </c>
      <c r="J578" s="14">
        <f>56.2793 * CHOOSE(CONTROL!$C$9, $D$9, 100%, $F$9) + CHOOSE(CONTROL!$C$27, 0.0021, 0)</f>
        <v>56.281399999999998</v>
      </c>
      <c r="K578" s="14">
        <f>56.2793 * CHOOSE(CONTROL!$C$9, $D$9, 100%, $F$9) + CHOOSE(CONTROL!$C$27, 0.0021, 0)</f>
        <v>56.281399999999998</v>
      </c>
      <c r="L578" s="14"/>
    </row>
    <row r="579" spans="1:12" ht="15.75" x14ac:dyDescent="0.25">
      <c r="A579" s="32">
        <v>58561</v>
      </c>
      <c r="B579" s="14">
        <f>55.9213 * CHOOSE(CONTROL!$C$9, $D$9, 100%, $F$9) + CHOOSE(CONTROL!$C$27, 0.0021, 0)</f>
        <v>55.923400000000001</v>
      </c>
      <c r="C579" s="14">
        <f>55.489 * CHOOSE(CONTROL!$C$9, $D$9, 100%, $F$9) + CHOOSE(CONTROL!$C$27, 0.0021, 0)</f>
        <v>55.491099999999996</v>
      </c>
      <c r="D579" s="14">
        <f>55.489 * CHOOSE(CONTROL!$C$9, $D$9, 100%, $F$9) + CHOOSE(CONTROL!$C$27, 0.0021, 0)</f>
        <v>55.491099999999996</v>
      </c>
      <c r="E579" s="14">
        <f>55.3524 * CHOOSE(CONTROL!$C$9, $D$9, 100%, $F$9) + CHOOSE(CONTROL!$C$27, 0.0021, 0)</f>
        <v>55.354500000000002</v>
      </c>
      <c r="F579" s="14">
        <f>55.3524 * CHOOSE(CONTROL!$C$9, $D$9, 100%, $F$9) + CHOOSE(CONTROL!$C$27, 0.0021, 0)</f>
        <v>55.354500000000002</v>
      </c>
      <c r="G579" s="14">
        <f>55.6238 * CHOOSE(CONTROL!$C$9, $D$9, 100%, $F$9) + CHOOSE(CONTROL!$C$27, 0.0021, 0)</f>
        <v>55.625900000000001</v>
      </c>
      <c r="H579" s="14">
        <f>55.489 * CHOOSE(CONTROL!$C$9, $D$9, 100%, $F$9) + CHOOSE(CONTROL!$C$27, 0.0021, 0)</f>
        <v>55.491099999999996</v>
      </c>
      <c r="I579" s="14">
        <f>55.489 * CHOOSE(CONTROL!$C$9, $D$9, 100%, $F$9) + CHOOSE(CONTROL!$C$27, 0.0021, 0)</f>
        <v>55.491099999999996</v>
      </c>
      <c r="J579" s="14">
        <f>55.489 * CHOOSE(CONTROL!$C$9, $D$9, 100%, $F$9) + CHOOSE(CONTROL!$C$27, 0.0021, 0)</f>
        <v>55.491099999999996</v>
      </c>
      <c r="K579" s="14">
        <f>55.489 * CHOOSE(CONTROL!$C$9, $D$9, 100%, $F$9) + CHOOSE(CONTROL!$C$27, 0.0021, 0)</f>
        <v>55.491099999999996</v>
      </c>
      <c r="L579" s="14"/>
    </row>
    <row r="580" spans="1:12" ht="15.75" x14ac:dyDescent="0.25">
      <c r="A580" s="32">
        <v>58592</v>
      </c>
      <c r="B580" s="14">
        <f>57.0475 * CHOOSE(CONTROL!$C$9, $D$9, 100%, $F$9) + CHOOSE(CONTROL!$C$27, 0.0021, 0)</f>
        <v>57.049599999999998</v>
      </c>
      <c r="C580" s="14">
        <f>56.6153 * CHOOSE(CONTROL!$C$9, $D$9, 100%, $F$9) + CHOOSE(CONTROL!$C$27, 0.0021, 0)</f>
        <v>56.617399999999996</v>
      </c>
      <c r="D580" s="14">
        <f>56.6153 * CHOOSE(CONTROL!$C$9, $D$9, 100%, $F$9) + CHOOSE(CONTROL!$C$27, 0.0021, 0)</f>
        <v>56.617399999999996</v>
      </c>
      <c r="E580" s="14">
        <f>56.4786 * CHOOSE(CONTROL!$C$9, $D$9, 100%, $F$9) + CHOOSE(CONTROL!$C$27, 0.0021, 0)</f>
        <v>56.480699999999999</v>
      </c>
      <c r="F580" s="14">
        <f>56.4786 * CHOOSE(CONTROL!$C$9, $D$9, 100%, $F$9) + CHOOSE(CONTROL!$C$27, 0.0021, 0)</f>
        <v>56.480699999999999</v>
      </c>
      <c r="G580" s="14">
        <f>56.75 * CHOOSE(CONTROL!$C$9, $D$9, 100%, $F$9) + CHOOSE(CONTROL!$C$27, 0.0021, 0)</f>
        <v>56.752099999999999</v>
      </c>
      <c r="H580" s="14">
        <f>56.6153 * CHOOSE(CONTROL!$C$9, $D$9, 100%, $F$9) + CHOOSE(CONTROL!$C$27, 0.0021, 0)</f>
        <v>56.617399999999996</v>
      </c>
      <c r="I580" s="14">
        <f>56.6153 * CHOOSE(CONTROL!$C$9, $D$9, 100%, $F$9) + CHOOSE(CONTROL!$C$27, 0.0021, 0)</f>
        <v>56.617399999999996</v>
      </c>
      <c r="J580" s="14">
        <f>56.6153 * CHOOSE(CONTROL!$C$9, $D$9, 100%, $F$9) + CHOOSE(CONTROL!$C$27, 0.0021, 0)</f>
        <v>56.617399999999996</v>
      </c>
      <c r="K580" s="14">
        <f>56.6153 * CHOOSE(CONTROL!$C$9, $D$9, 100%, $F$9) + CHOOSE(CONTROL!$C$27, 0.0021, 0)</f>
        <v>56.617399999999996</v>
      </c>
      <c r="L580" s="14"/>
    </row>
    <row r="581" spans="1:12" ht="15.75" x14ac:dyDescent="0.25">
      <c r="A581" s="32">
        <v>58622</v>
      </c>
      <c r="B581" s="14">
        <f>57.7221 * CHOOSE(CONTROL!$C$9, $D$9, 100%, $F$9) + CHOOSE(CONTROL!$C$27, 0.0021, 0)</f>
        <v>57.724199999999996</v>
      </c>
      <c r="C581" s="14">
        <f>57.2898 * CHOOSE(CONTROL!$C$9, $D$9, 100%, $F$9) + CHOOSE(CONTROL!$C$27, 0.0021, 0)</f>
        <v>57.291899999999998</v>
      </c>
      <c r="D581" s="14">
        <f>57.2898 * CHOOSE(CONTROL!$C$9, $D$9, 100%, $F$9) + CHOOSE(CONTROL!$C$27, 0.0021, 0)</f>
        <v>57.291899999999998</v>
      </c>
      <c r="E581" s="14">
        <f>57.1532 * CHOOSE(CONTROL!$C$9, $D$9, 100%, $F$9) + CHOOSE(CONTROL!$C$27, 0.0021, 0)</f>
        <v>57.155299999999997</v>
      </c>
      <c r="F581" s="14">
        <f>57.1532 * CHOOSE(CONTROL!$C$9, $D$9, 100%, $F$9) + CHOOSE(CONTROL!$C$27, 0.0021, 0)</f>
        <v>57.155299999999997</v>
      </c>
      <c r="G581" s="14">
        <f>57.4246 * CHOOSE(CONTROL!$C$9, $D$9, 100%, $F$9) + CHOOSE(CONTROL!$C$27, 0.0021, 0)</f>
        <v>57.426699999999997</v>
      </c>
      <c r="H581" s="14">
        <f>57.2898 * CHOOSE(CONTROL!$C$9, $D$9, 100%, $F$9) + CHOOSE(CONTROL!$C$27, 0.0021, 0)</f>
        <v>57.291899999999998</v>
      </c>
      <c r="I581" s="14">
        <f>57.2898 * CHOOSE(CONTROL!$C$9, $D$9, 100%, $F$9) + CHOOSE(CONTROL!$C$27, 0.0021, 0)</f>
        <v>57.291899999999998</v>
      </c>
      <c r="J581" s="14">
        <f>57.2898 * CHOOSE(CONTROL!$C$9, $D$9, 100%, $F$9) + CHOOSE(CONTROL!$C$27, 0.0021, 0)</f>
        <v>57.291899999999998</v>
      </c>
      <c r="K581" s="14">
        <f>57.2898 * CHOOSE(CONTROL!$C$9, $D$9, 100%, $F$9) + CHOOSE(CONTROL!$C$27, 0.0021, 0)</f>
        <v>57.291899999999998</v>
      </c>
      <c r="L581" s="14"/>
    </row>
    <row r="582" spans="1:12" ht="15.75" x14ac:dyDescent="0.25">
      <c r="A582" s="32">
        <v>58653</v>
      </c>
      <c r="B582" s="14">
        <f>58.8349 * CHOOSE(CONTROL!$C$9, $D$9, 100%, $F$9) + CHOOSE(CONTROL!$C$27, 0.0021, 0)</f>
        <v>58.836999999999996</v>
      </c>
      <c r="C582" s="14">
        <f>58.4026 * CHOOSE(CONTROL!$C$9, $D$9, 100%, $F$9) + CHOOSE(CONTROL!$C$27, 0.0021, 0)</f>
        <v>58.404699999999998</v>
      </c>
      <c r="D582" s="14">
        <f>58.4026 * CHOOSE(CONTROL!$C$9, $D$9, 100%, $F$9) + CHOOSE(CONTROL!$C$27, 0.0021, 0)</f>
        <v>58.404699999999998</v>
      </c>
      <c r="E582" s="14">
        <f>58.266 * CHOOSE(CONTROL!$C$9, $D$9, 100%, $F$9) + CHOOSE(CONTROL!$C$27, 0.0021, 0)</f>
        <v>58.268099999999997</v>
      </c>
      <c r="F582" s="14">
        <f>58.266 * CHOOSE(CONTROL!$C$9, $D$9, 100%, $F$9) + CHOOSE(CONTROL!$C$27, 0.0021, 0)</f>
        <v>58.268099999999997</v>
      </c>
      <c r="G582" s="14">
        <f>58.5373 * CHOOSE(CONTROL!$C$9, $D$9, 100%, $F$9) + CHOOSE(CONTROL!$C$27, 0.0021, 0)</f>
        <v>58.539400000000001</v>
      </c>
      <c r="H582" s="14">
        <f>58.4026 * CHOOSE(CONTROL!$C$9, $D$9, 100%, $F$9) + CHOOSE(CONTROL!$C$27, 0.0021, 0)</f>
        <v>58.404699999999998</v>
      </c>
      <c r="I582" s="14">
        <f>58.4026 * CHOOSE(CONTROL!$C$9, $D$9, 100%, $F$9) + CHOOSE(CONTROL!$C$27, 0.0021, 0)</f>
        <v>58.404699999999998</v>
      </c>
      <c r="J582" s="14">
        <f>58.4026 * CHOOSE(CONTROL!$C$9, $D$9, 100%, $F$9) + CHOOSE(CONTROL!$C$27, 0.0021, 0)</f>
        <v>58.404699999999998</v>
      </c>
      <c r="K582" s="14">
        <f>58.4026 * CHOOSE(CONTROL!$C$9, $D$9, 100%, $F$9) + CHOOSE(CONTROL!$C$27, 0.0021, 0)</f>
        <v>58.404699999999998</v>
      </c>
      <c r="L582" s="14"/>
    </row>
    <row r="583" spans="1:12" ht="15.75" x14ac:dyDescent="0.25">
      <c r="A583" s="32">
        <v>58684</v>
      </c>
      <c r="B583" s="14">
        <f>59.1745 * CHOOSE(CONTROL!$C$9, $D$9, 100%, $F$9) + CHOOSE(CONTROL!$C$27, 0.0021, 0)</f>
        <v>59.176600000000001</v>
      </c>
      <c r="C583" s="14">
        <f>58.7423 * CHOOSE(CONTROL!$C$9, $D$9, 100%, $F$9) + CHOOSE(CONTROL!$C$27, 0.0021, 0)</f>
        <v>58.744399999999999</v>
      </c>
      <c r="D583" s="14">
        <f>58.7423 * CHOOSE(CONTROL!$C$9, $D$9, 100%, $F$9) + CHOOSE(CONTROL!$C$27, 0.0021, 0)</f>
        <v>58.744399999999999</v>
      </c>
      <c r="E583" s="14">
        <f>58.6056 * CHOOSE(CONTROL!$C$9, $D$9, 100%, $F$9) + CHOOSE(CONTROL!$C$27, 0.0021, 0)</f>
        <v>58.607700000000001</v>
      </c>
      <c r="F583" s="14">
        <f>58.6056 * CHOOSE(CONTROL!$C$9, $D$9, 100%, $F$9) + CHOOSE(CONTROL!$C$27, 0.0021, 0)</f>
        <v>58.607700000000001</v>
      </c>
      <c r="G583" s="14">
        <f>58.877 * CHOOSE(CONTROL!$C$9, $D$9, 100%, $F$9) + CHOOSE(CONTROL!$C$27, 0.0021, 0)</f>
        <v>58.879100000000001</v>
      </c>
      <c r="H583" s="14">
        <f>58.7423 * CHOOSE(CONTROL!$C$9, $D$9, 100%, $F$9) + CHOOSE(CONTROL!$C$27, 0.0021, 0)</f>
        <v>58.744399999999999</v>
      </c>
      <c r="I583" s="14">
        <f>58.7423 * CHOOSE(CONTROL!$C$9, $D$9, 100%, $F$9) + CHOOSE(CONTROL!$C$27, 0.0021, 0)</f>
        <v>58.744399999999999</v>
      </c>
      <c r="J583" s="14">
        <f>58.7423 * CHOOSE(CONTROL!$C$9, $D$9, 100%, $F$9) + CHOOSE(CONTROL!$C$27, 0.0021, 0)</f>
        <v>58.744399999999999</v>
      </c>
      <c r="K583" s="14">
        <f>58.7423 * CHOOSE(CONTROL!$C$9, $D$9, 100%, $F$9) + CHOOSE(CONTROL!$C$27, 0.0021, 0)</f>
        <v>58.744399999999999</v>
      </c>
      <c r="L583" s="14"/>
    </row>
    <row r="584" spans="1:12" ht="15.75" x14ac:dyDescent="0.25">
      <c r="A584" s="32">
        <v>58714</v>
      </c>
      <c r="B584" s="14">
        <f>60.3312 * CHOOSE(CONTROL!$C$9, $D$9, 100%, $F$9) + CHOOSE(CONTROL!$C$27, 0.0021, 0)</f>
        <v>60.333300000000001</v>
      </c>
      <c r="C584" s="14">
        <f>59.899 * CHOOSE(CONTROL!$C$9, $D$9, 100%, $F$9) + CHOOSE(CONTROL!$C$27, 0.0021, 0)</f>
        <v>59.9011</v>
      </c>
      <c r="D584" s="14">
        <f>59.899 * CHOOSE(CONTROL!$C$9, $D$9, 100%, $F$9) + CHOOSE(CONTROL!$C$27, 0.0021, 0)</f>
        <v>59.9011</v>
      </c>
      <c r="E584" s="14">
        <f>59.7623 * CHOOSE(CONTROL!$C$9, $D$9, 100%, $F$9) + CHOOSE(CONTROL!$C$27, 0.0021, 0)</f>
        <v>59.764400000000002</v>
      </c>
      <c r="F584" s="14">
        <f>59.7623 * CHOOSE(CONTROL!$C$9, $D$9, 100%, $F$9) + CHOOSE(CONTROL!$C$27, 0.0021, 0)</f>
        <v>59.764400000000002</v>
      </c>
      <c r="G584" s="14">
        <f>60.0337 * CHOOSE(CONTROL!$C$9, $D$9, 100%, $F$9) + CHOOSE(CONTROL!$C$27, 0.0021, 0)</f>
        <v>60.035800000000002</v>
      </c>
      <c r="H584" s="14">
        <f>59.899 * CHOOSE(CONTROL!$C$9, $D$9, 100%, $F$9) + CHOOSE(CONTROL!$C$27, 0.0021, 0)</f>
        <v>59.9011</v>
      </c>
      <c r="I584" s="14">
        <f>59.899 * CHOOSE(CONTROL!$C$9, $D$9, 100%, $F$9) + CHOOSE(CONTROL!$C$27, 0.0021, 0)</f>
        <v>59.9011</v>
      </c>
      <c r="J584" s="14">
        <f>59.899 * CHOOSE(CONTROL!$C$9, $D$9, 100%, $F$9) + CHOOSE(CONTROL!$C$27, 0.0021, 0)</f>
        <v>59.9011</v>
      </c>
      <c r="K584" s="14">
        <f>59.899 * CHOOSE(CONTROL!$C$9, $D$9, 100%, $F$9) + CHOOSE(CONTROL!$C$27, 0.0021, 0)</f>
        <v>59.9011</v>
      </c>
      <c r="L584" s="14"/>
    </row>
    <row r="585" spans="1:12" ht="15.75" x14ac:dyDescent="0.25">
      <c r="A585" s="32">
        <v>58745</v>
      </c>
      <c r="B585" s="14">
        <f>61.7954 * CHOOSE(CONTROL!$C$9, $D$9, 100%, $F$9) + CHOOSE(CONTROL!$C$27, 0.0021, 0)</f>
        <v>61.797499999999999</v>
      </c>
      <c r="C585" s="14">
        <f>61.3632 * CHOOSE(CONTROL!$C$9, $D$9, 100%, $F$9) + CHOOSE(CONTROL!$C$27, 0.0021, 0)</f>
        <v>61.365299999999998</v>
      </c>
      <c r="D585" s="14">
        <f>61.3632 * CHOOSE(CONTROL!$C$9, $D$9, 100%, $F$9) + CHOOSE(CONTROL!$C$27, 0.0021, 0)</f>
        <v>61.365299999999998</v>
      </c>
      <c r="E585" s="14">
        <f>61.2265 * CHOOSE(CONTROL!$C$9, $D$9, 100%, $F$9) + CHOOSE(CONTROL!$C$27, 0.0021, 0)</f>
        <v>61.2286</v>
      </c>
      <c r="F585" s="14">
        <f>61.2265 * CHOOSE(CONTROL!$C$9, $D$9, 100%, $F$9) + CHOOSE(CONTROL!$C$27, 0.0021, 0)</f>
        <v>61.2286</v>
      </c>
      <c r="G585" s="14">
        <f>61.4979 * CHOOSE(CONTROL!$C$9, $D$9, 100%, $F$9) + CHOOSE(CONTROL!$C$27, 0.0021, 0)</f>
        <v>61.5</v>
      </c>
      <c r="H585" s="14">
        <f>61.3632 * CHOOSE(CONTROL!$C$9, $D$9, 100%, $F$9) + CHOOSE(CONTROL!$C$27, 0.0021, 0)</f>
        <v>61.365299999999998</v>
      </c>
      <c r="I585" s="14">
        <f>61.3632 * CHOOSE(CONTROL!$C$9, $D$9, 100%, $F$9) + CHOOSE(CONTROL!$C$27, 0.0021, 0)</f>
        <v>61.365299999999998</v>
      </c>
      <c r="J585" s="14">
        <f>61.3632 * CHOOSE(CONTROL!$C$9, $D$9, 100%, $F$9) + CHOOSE(CONTROL!$C$27, 0.0021, 0)</f>
        <v>61.365299999999998</v>
      </c>
      <c r="K585" s="14">
        <f>61.3632 * CHOOSE(CONTROL!$C$9, $D$9, 100%, $F$9) + CHOOSE(CONTROL!$C$27, 0.0021, 0)</f>
        <v>61.365299999999998</v>
      </c>
      <c r="L585" s="14"/>
    </row>
    <row r="586" spans="1:12" ht="15.75" x14ac:dyDescent="0.25">
      <c r="A586" s="32">
        <v>58775</v>
      </c>
      <c r="B586" s="14">
        <f>61.9329 * CHOOSE(CONTROL!$C$9, $D$9, 100%, $F$9) + CHOOSE(CONTROL!$C$27, 0.0021, 0)</f>
        <v>61.934999999999995</v>
      </c>
      <c r="C586" s="14">
        <f>61.5006 * CHOOSE(CONTROL!$C$9, $D$9, 100%, $F$9) + CHOOSE(CONTROL!$C$27, 0.0021, 0)</f>
        <v>61.502699999999997</v>
      </c>
      <c r="D586" s="14">
        <f>61.5006 * CHOOSE(CONTROL!$C$9, $D$9, 100%, $F$9) + CHOOSE(CONTROL!$C$27, 0.0021, 0)</f>
        <v>61.502699999999997</v>
      </c>
      <c r="E586" s="14">
        <f>61.364 * CHOOSE(CONTROL!$C$9, $D$9, 100%, $F$9) + CHOOSE(CONTROL!$C$27, 0.0021, 0)</f>
        <v>61.366099999999996</v>
      </c>
      <c r="F586" s="14">
        <f>61.364 * CHOOSE(CONTROL!$C$9, $D$9, 100%, $F$9) + CHOOSE(CONTROL!$C$27, 0.0021, 0)</f>
        <v>61.366099999999996</v>
      </c>
      <c r="G586" s="14">
        <f>61.6353 * CHOOSE(CONTROL!$C$9, $D$9, 100%, $F$9) + CHOOSE(CONTROL!$C$27, 0.0021, 0)</f>
        <v>61.6374</v>
      </c>
      <c r="H586" s="14">
        <f>61.5006 * CHOOSE(CONTROL!$C$9, $D$9, 100%, $F$9) + CHOOSE(CONTROL!$C$27, 0.0021, 0)</f>
        <v>61.502699999999997</v>
      </c>
      <c r="I586" s="14">
        <f>61.5006 * CHOOSE(CONTROL!$C$9, $D$9, 100%, $F$9) + CHOOSE(CONTROL!$C$27, 0.0021, 0)</f>
        <v>61.502699999999997</v>
      </c>
      <c r="J586" s="14">
        <f>61.5006 * CHOOSE(CONTROL!$C$9, $D$9, 100%, $F$9) + CHOOSE(CONTROL!$C$27, 0.0021, 0)</f>
        <v>61.502699999999997</v>
      </c>
      <c r="K586" s="14">
        <f>61.5006 * CHOOSE(CONTROL!$C$9, $D$9, 100%, $F$9) + CHOOSE(CONTROL!$C$27, 0.0021, 0)</f>
        <v>61.502699999999997</v>
      </c>
      <c r="L586" s="14"/>
    </row>
    <row r="587" spans="1:12" ht="15.75" x14ac:dyDescent="0.25">
      <c r="A587" s="32">
        <v>58806</v>
      </c>
      <c r="B587" s="14">
        <f>60.7635 * CHOOSE(CONTROL!$C$9, $D$9, 100%, $F$9) + CHOOSE(CONTROL!$C$27, 0.0021, 0)</f>
        <v>60.765599999999999</v>
      </c>
      <c r="C587" s="14">
        <f>60.3312 * CHOOSE(CONTROL!$C$9, $D$9, 100%, $F$9) + CHOOSE(CONTROL!$C$27, 0.0021, 0)</f>
        <v>60.333300000000001</v>
      </c>
      <c r="D587" s="14">
        <f>60.3312 * CHOOSE(CONTROL!$C$9, $D$9, 100%, $F$9) + CHOOSE(CONTROL!$C$27, 0.0021, 0)</f>
        <v>60.333300000000001</v>
      </c>
      <c r="E587" s="14">
        <f>60.1945 * CHOOSE(CONTROL!$C$9, $D$9, 100%, $F$9) + CHOOSE(CONTROL!$C$27, 0.0021, 0)</f>
        <v>60.196599999999997</v>
      </c>
      <c r="F587" s="14">
        <f>60.1945 * CHOOSE(CONTROL!$C$9, $D$9, 100%, $F$9) + CHOOSE(CONTROL!$C$27, 0.0021, 0)</f>
        <v>60.196599999999997</v>
      </c>
      <c r="G587" s="14">
        <f>60.4659 * CHOOSE(CONTROL!$C$9, $D$9, 100%, $F$9) + CHOOSE(CONTROL!$C$27, 0.0021, 0)</f>
        <v>60.467999999999996</v>
      </c>
      <c r="H587" s="14">
        <f>60.3312 * CHOOSE(CONTROL!$C$9, $D$9, 100%, $F$9) + CHOOSE(CONTROL!$C$27, 0.0021, 0)</f>
        <v>60.333300000000001</v>
      </c>
      <c r="I587" s="14">
        <f>60.3312 * CHOOSE(CONTROL!$C$9, $D$9, 100%, $F$9) + CHOOSE(CONTROL!$C$27, 0.0021, 0)</f>
        <v>60.333300000000001</v>
      </c>
      <c r="J587" s="14">
        <f>60.3312 * CHOOSE(CONTROL!$C$9, $D$9, 100%, $F$9) + CHOOSE(CONTROL!$C$27, 0.0021, 0)</f>
        <v>60.333300000000001</v>
      </c>
      <c r="K587" s="14">
        <f>60.3312 * CHOOSE(CONTROL!$C$9, $D$9, 100%, $F$9) + CHOOSE(CONTROL!$C$27, 0.0021, 0)</f>
        <v>60.333300000000001</v>
      </c>
      <c r="L587" s="14"/>
    </row>
    <row r="588" spans="1:12" ht="15.75" x14ac:dyDescent="0.25">
      <c r="A588" s="32">
        <v>58837</v>
      </c>
      <c r="B588" s="14">
        <f>59.9973 * CHOOSE(CONTROL!$C$9, $D$9, 100%, $F$9) + CHOOSE(CONTROL!$C$27, 0.0021, 0)</f>
        <v>59.999400000000001</v>
      </c>
      <c r="C588" s="14">
        <f>59.5651 * CHOOSE(CONTROL!$C$9, $D$9, 100%, $F$9) + CHOOSE(CONTROL!$C$27, 0.0021, 0)</f>
        <v>59.5672</v>
      </c>
      <c r="D588" s="14">
        <f>59.5651 * CHOOSE(CONTROL!$C$9, $D$9, 100%, $F$9) + CHOOSE(CONTROL!$C$27, 0.0021, 0)</f>
        <v>59.5672</v>
      </c>
      <c r="E588" s="14">
        <f>59.4284 * CHOOSE(CONTROL!$C$9, $D$9, 100%, $F$9) + CHOOSE(CONTROL!$C$27, 0.0021, 0)</f>
        <v>59.430500000000002</v>
      </c>
      <c r="F588" s="14">
        <f>59.4284 * CHOOSE(CONTROL!$C$9, $D$9, 100%, $F$9) + CHOOSE(CONTROL!$C$27, 0.0021, 0)</f>
        <v>59.430500000000002</v>
      </c>
      <c r="G588" s="14">
        <f>59.6998 * CHOOSE(CONTROL!$C$9, $D$9, 100%, $F$9) + CHOOSE(CONTROL!$C$27, 0.0021, 0)</f>
        <v>59.701900000000002</v>
      </c>
      <c r="H588" s="14">
        <f>59.5651 * CHOOSE(CONTROL!$C$9, $D$9, 100%, $F$9) + CHOOSE(CONTROL!$C$27, 0.0021, 0)</f>
        <v>59.5672</v>
      </c>
      <c r="I588" s="14">
        <f>59.5651 * CHOOSE(CONTROL!$C$9, $D$9, 100%, $F$9) + CHOOSE(CONTROL!$C$27, 0.0021, 0)</f>
        <v>59.5672</v>
      </c>
      <c r="J588" s="14">
        <f>59.5651 * CHOOSE(CONTROL!$C$9, $D$9, 100%, $F$9) + CHOOSE(CONTROL!$C$27, 0.0021, 0)</f>
        <v>59.5672</v>
      </c>
      <c r="K588" s="14">
        <f>59.5651 * CHOOSE(CONTROL!$C$9, $D$9, 100%, $F$9) + CHOOSE(CONTROL!$C$27, 0.0021, 0)</f>
        <v>59.5672</v>
      </c>
      <c r="L588" s="14"/>
    </row>
    <row r="589" spans="1:12" ht="15.75" x14ac:dyDescent="0.25">
      <c r="A589" s="32">
        <v>58865</v>
      </c>
      <c r="B589" s="14">
        <f>58.3651 * CHOOSE(CONTROL!$C$9, $D$9, 100%, $F$9) + CHOOSE(CONTROL!$C$27, 0.0021, 0)</f>
        <v>58.367199999999997</v>
      </c>
      <c r="C589" s="14">
        <f>57.9329 * CHOOSE(CONTROL!$C$9, $D$9, 100%, $F$9) + CHOOSE(CONTROL!$C$27, 0.0021, 0)</f>
        <v>57.934999999999995</v>
      </c>
      <c r="D589" s="14">
        <f>57.9329 * CHOOSE(CONTROL!$C$9, $D$9, 100%, $F$9) + CHOOSE(CONTROL!$C$27, 0.0021, 0)</f>
        <v>57.934999999999995</v>
      </c>
      <c r="E589" s="14">
        <f>57.7962 * CHOOSE(CONTROL!$C$9, $D$9, 100%, $F$9) + CHOOSE(CONTROL!$C$27, 0.0021, 0)</f>
        <v>57.798299999999998</v>
      </c>
      <c r="F589" s="14">
        <f>57.7962 * CHOOSE(CONTROL!$C$9, $D$9, 100%, $F$9) + CHOOSE(CONTROL!$C$27, 0.0021, 0)</f>
        <v>57.798299999999998</v>
      </c>
      <c r="G589" s="14">
        <f>58.0676 * CHOOSE(CONTROL!$C$9, $D$9, 100%, $F$9) + CHOOSE(CONTROL!$C$27, 0.0021, 0)</f>
        <v>58.069699999999997</v>
      </c>
      <c r="H589" s="14">
        <f>57.9329 * CHOOSE(CONTROL!$C$9, $D$9, 100%, $F$9) + CHOOSE(CONTROL!$C$27, 0.0021, 0)</f>
        <v>57.934999999999995</v>
      </c>
      <c r="I589" s="14">
        <f>57.9329 * CHOOSE(CONTROL!$C$9, $D$9, 100%, $F$9) + CHOOSE(CONTROL!$C$27, 0.0021, 0)</f>
        <v>57.934999999999995</v>
      </c>
      <c r="J589" s="14">
        <f>57.9329 * CHOOSE(CONTROL!$C$9, $D$9, 100%, $F$9) + CHOOSE(CONTROL!$C$27, 0.0021, 0)</f>
        <v>57.934999999999995</v>
      </c>
      <c r="K589" s="14">
        <f>57.9329 * CHOOSE(CONTROL!$C$9, $D$9, 100%, $F$9) + CHOOSE(CONTROL!$C$27, 0.0021, 0)</f>
        <v>57.934999999999995</v>
      </c>
      <c r="L589" s="14"/>
    </row>
    <row r="590" spans="1:12" ht="15.75" x14ac:dyDescent="0.25">
      <c r="A590" s="32">
        <v>58893</v>
      </c>
      <c r="B590" s="14">
        <f>57.6914 * CHOOSE(CONTROL!$C$9, $D$9, 100%, $F$9) + CHOOSE(CONTROL!$C$27, 0.0021, 0)</f>
        <v>57.6935</v>
      </c>
      <c r="C590" s="14">
        <f>57.2591 * CHOOSE(CONTROL!$C$9, $D$9, 100%, $F$9) + CHOOSE(CONTROL!$C$27, 0.0021, 0)</f>
        <v>57.261199999999995</v>
      </c>
      <c r="D590" s="14">
        <f>57.2591 * CHOOSE(CONTROL!$C$9, $D$9, 100%, $F$9) + CHOOSE(CONTROL!$C$27, 0.0021, 0)</f>
        <v>57.261199999999995</v>
      </c>
      <c r="E590" s="14">
        <f>57.1225 * CHOOSE(CONTROL!$C$9, $D$9, 100%, $F$9) + CHOOSE(CONTROL!$C$27, 0.0021, 0)</f>
        <v>57.124600000000001</v>
      </c>
      <c r="F590" s="14">
        <f>57.1225 * CHOOSE(CONTROL!$C$9, $D$9, 100%, $F$9) + CHOOSE(CONTROL!$C$27, 0.0021, 0)</f>
        <v>57.124600000000001</v>
      </c>
      <c r="G590" s="14">
        <f>57.3938 * CHOOSE(CONTROL!$C$9, $D$9, 100%, $F$9) + CHOOSE(CONTROL!$C$27, 0.0021, 0)</f>
        <v>57.395899999999997</v>
      </c>
      <c r="H590" s="14">
        <f>57.2591 * CHOOSE(CONTROL!$C$9, $D$9, 100%, $F$9) + CHOOSE(CONTROL!$C$27, 0.0021, 0)</f>
        <v>57.261199999999995</v>
      </c>
      <c r="I590" s="14">
        <f>57.2591 * CHOOSE(CONTROL!$C$9, $D$9, 100%, $F$9) + CHOOSE(CONTROL!$C$27, 0.0021, 0)</f>
        <v>57.261199999999995</v>
      </c>
      <c r="J590" s="14">
        <f>57.2591 * CHOOSE(CONTROL!$C$9, $D$9, 100%, $F$9) + CHOOSE(CONTROL!$C$27, 0.0021, 0)</f>
        <v>57.261199999999995</v>
      </c>
      <c r="K590" s="14">
        <f>57.2591 * CHOOSE(CONTROL!$C$9, $D$9, 100%, $F$9) + CHOOSE(CONTROL!$C$27, 0.0021, 0)</f>
        <v>57.261199999999995</v>
      </c>
      <c r="L590" s="14"/>
    </row>
    <row r="591" spans="1:12" ht="15.75" x14ac:dyDescent="0.25">
      <c r="A591" s="32">
        <v>58926</v>
      </c>
      <c r="B591" s="14">
        <f>56.8869 * CHOOSE(CONTROL!$C$9, $D$9, 100%, $F$9) + CHOOSE(CONTROL!$C$27, 0.0021, 0)</f>
        <v>56.888999999999996</v>
      </c>
      <c r="C591" s="14">
        <f>56.4546 * CHOOSE(CONTROL!$C$9, $D$9, 100%, $F$9) + CHOOSE(CONTROL!$C$27, 0.0021, 0)</f>
        <v>56.456699999999998</v>
      </c>
      <c r="D591" s="14">
        <f>56.4546 * CHOOSE(CONTROL!$C$9, $D$9, 100%, $F$9) + CHOOSE(CONTROL!$C$27, 0.0021, 0)</f>
        <v>56.456699999999998</v>
      </c>
      <c r="E591" s="14">
        <f>56.318 * CHOOSE(CONTROL!$C$9, $D$9, 100%, $F$9) + CHOOSE(CONTROL!$C$27, 0.0021, 0)</f>
        <v>56.320099999999996</v>
      </c>
      <c r="F591" s="14">
        <f>56.318 * CHOOSE(CONTROL!$C$9, $D$9, 100%, $F$9) + CHOOSE(CONTROL!$C$27, 0.0021, 0)</f>
        <v>56.320099999999996</v>
      </c>
      <c r="G591" s="14">
        <f>56.5893 * CHOOSE(CONTROL!$C$9, $D$9, 100%, $F$9) + CHOOSE(CONTROL!$C$27, 0.0021, 0)</f>
        <v>56.5914</v>
      </c>
      <c r="H591" s="14">
        <f>56.4546 * CHOOSE(CONTROL!$C$9, $D$9, 100%, $F$9) + CHOOSE(CONTROL!$C$27, 0.0021, 0)</f>
        <v>56.456699999999998</v>
      </c>
      <c r="I591" s="14">
        <f>56.4546 * CHOOSE(CONTROL!$C$9, $D$9, 100%, $F$9) + CHOOSE(CONTROL!$C$27, 0.0021, 0)</f>
        <v>56.456699999999998</v>
      </c>
      <c r="J591" s="14">
        <f>56.4546 * CHOOSE(CONTROL!$C$9, $D$9, 100%, $F$9) + CHOOSE(CONTROL!$C$27, 0.0021, 0)</f>
        <v>56.456699999999998</v>
      </c>
      <c r="K591" s="14">
        <f>56.4546 * CHOOSE(CONTROL!$C$9, $D$9, 100%, $F$9) + CHOOSE(CONTROL!$C$27, 0.0021, 0)</f>
        <v>56.456699999999998</v>
      </c>
      <c r="L591" s="14"/>
    </row>
    <row r="592" spans="1:12" ht="15.75" x14ac:dyDescent="0.25">
      <c r="A592" s="32">
        <v>58957</v>
      </c>
      <c r="B592" s="14">
        <f>58.0334 * CHOOSE(CONTROL!$C$9, $D$9, 100%, $F$9) + CHOOSE(CONTROL!$C$27, 0.0021, 0)</f>
        <v>58.035499999999999</v>
      </c>
      <c r="C592" s="14">
        <f>57.6011 * CHOOSE(CONTROL!$C$9, $D$9, 100%, $F$9) + CHOOSE(CONTROL!$C$27, 0.0021, 0)</f>
        <v>57.603200000000001</v>
      </c>
      <c r="D592" s="14">
        <f>57.6011 * CHOOSE(CONTROL!$C$9, $D$9, 100%, $F$9) + CHOOSE(CONTROL!$C$27, 0.0021, 0)</f>
        <v>57.603200000000001</v>
      </c>
      <c r="E592" s="14">
        <f>57.4645 * CHOOSE(CONTROL!$C$9, $D$9, 100%, $F$9) + CHOOSE(CONTROL!$C$27, 0.0021, 0)</f>
        <v>57.4666</v>
      </c>
      <c r="F592" s="14">
        <f>57.4645 * CHOOSE(CONTROL!$C$9, $D$9, 100%, $F$9) + CHOOSE(CONTROL!$C$27, 0.0021, 0)</f>
        <v>57.4666</v>
      </c>
      <c r="G592" s="14">
        <f>57.7358 * CHOOSE(CONTROL!$C$9, $D$9, 100%, $F$9) + CHOOSE(CONTROL!$C$27, 0.0021, 0)</f>
        <v>57.737899999999996</v>
      </c>
      <c r="H592" s="14">
        <f>57.6011 * CHOOSE(CONTROL!$C$9, $D$9, 100%, $F$9) + CHOOSE(CONTROL!$C$27, 0.0021, 0)</f>
        <v>57.603200000000001</v>
      </c>
      <c r="I592" s="14">
        <f>57.6011 * CHOOSE(CONTROL!$C$9, $D$9, 100%, $F$9) + CHOOSE(CONTROL!$C$27, 0.0021, 0)</f>
        <v>57.603200000000001</v>
      </c>
      <c r="J592" s="14">
        <f>57.6011 * CHOOSE(CONTROL!$C$9, $D$9, 100%, $F$9) + CHOOSE(CONTROL!$C$27, 0.0021, 0)</f>
        <v>57.603200000000001</v>
      </c>
      <c r="K592" s="14">
        <f>57.6011 * CHOOSE(CONTROL!$C$9, $D$9, 100%, $F$9) + CHOOSE(CONTROL!$C$27, 0.0021, 0)</f>
        <v>57.603200000000001</v>
      </c>
      <c r="L592" s="14"/>
    </row>
    <row r="593" spans="1:12" ht="15.75" x14ac:dyDescent="0.25">
      <c r="A593" s="32">
        <v>58987</v>
      </c>
      <c r="B593" s="14">
        <f>58.7201 * CHOOSE(CONTROL!$C$9, $D$9, 100%, $F$9) + CHOOSE(CONTROL!$C$27, 0.0021, 0)</f>
        <v>58.722200000000001</v>
      </c>
      <c r="C593" s="14">
        <f>58.2878 * CHOOSE(CONTROL!$C$9, $D$9, 100%, $F$9) + CHOOSE(CONTROL!$C$27, 0.0021, 0)</f>
        <v>58.289899999999996</v>
      </c>
      <c r="D593" s="14">
        <f>58.2878 * CHOOSE(CONTROL!$C$9, $D$9, 100%, $F$9) + CHOOSE(CONTROL!$C$27, 0.0021, 0)</f>
        <v>58.289899999999996</v>
      </c>
      <c r="E593" s="14">
        <f>58.1512 * CHOOSE(CONTROL!$C$9, $D$9, 100%, $F$9) + CHOOSE(CONTROL!$C$27, 0.0021, 0)</f>
        <v>58.153300000000002</v>
      </c>
      <c r="F593" s="14">
        <f>58.1512 * CHOOSE(CONTROL!$C$9, $D$9, 100%, $F$9) + CHOOSE(CONTROL!$C$27, 0.0021, 0)</f>
        <v>58.153300000000002</v>
      </c>
      <c r="G593" s="14">
        <f>58.4226 * CHOOSE(CONTROL!$C$9, $D$9, 100%, $F$9) + CHOOSE(CONTROL!$C$27, 0.0021, 0)</f>
        <v>58.424700000000001</v>
      </c>
      <c r="H593" s="14">
        <f>58.2878 * CHOOSE(CONTROL!$C$9, $D$9, 100%, $F$9) + CHOOSE(CONTROL!$C$27, 0.0021, 0)</f>
        <v>58.289899999999996</v>
      </c>
      <c r="I593" s="14">
        <f>58.2878 * CHOOSE(CONTROL!$C$9, $D$9, 100%, $F$9) + CHOOSE(CONTROL!$C$27, 0.0021, 0)</f>
        <v>58.289899999999996</v>
      </c>
      <c r="J593" s="14">
        <f>58.2878 * CHOOSE(CONTROL!$C$9, $D$9, 100%, $F$9) + CHOOSE(CONTROL!$C$27, 0.0021, 0)</f>
        <v>58.289899999999996</v>
      </c>
      <c r="K593" s="14">
        <f>58.2878 * CHOOSE(CONTROL!$C$9, $D$9, 100%, $F$9) + CHOOSE(CONTROL!$C$27, 0.0021, 0)</f>
        <v>58.289899999999996</v>
      </c>
      <c r="L593" s="14"/>
    </row>
    <row r="594" spans="1:12" ht="15.75" x14ac:dyDescent="0.25">
      <c r="A594" s="32">
        <v>59018</v>
      </c>
      <c r="B594" s="14">
        <f>59.8529 * CHOOSE(CONTROL!$C$9, $D$9, 100%, $F$9) + CHOOSE(CONTROL!$C$27, 0.0021, 0)</f>
        <v>59.854999999999997</v>
      </c>
      <c r="C594" s="14">
        <f>59.4207 * CHOOSE(CONTROL!$C$9, $D$9, 100%, $F$9) + CHOOSE(CONTROL!$C$27, 0.0021, 0)</f>
        <v>59.422799999999995</v>
      </c>
      <c r="D594" s="14">
        <f>59.4207 * CHOOSE(CONTROL!$C$9, $D$9, 100%, $F$9) + CHOOSE(CONTROL!$C$27, 0.0021, 0)</f>
        <v>59.422799999999995</v>
      </c>
      <c r="E594" s="14">
        <f>59.284 * CHOOSE(CONTROL!$C$9, $D$9, 100%, $F$9) + CHOOSE(CONTROL!$C$27, 0.0021, 0)</f>
        <v>59.286099999999998</v>
      </c>
      <c r="F594" s="14">
        <f>59.284 * CHOOSE(CONTROL!$C$9, $D$9, 100%, $F$9) + CHOOSE(CONTROL!$C$27, 0.0021, 0)</f>
        <v>59.286099999999998</v>
      </c>
      <c r="G594" s="14">
        <f>59.5554 * CHOOSE(CONTROL!$C$9, $D$9, 100%, $F$9) + CHOOSE(CONTROL!$C$27, 0.0021, 0)</f>
        <v>59.557499999999997</v>
      </c>
      <c r="H594" s="14">
        <f>59.4207 * CHOOSE(CONTROL!$C$9, $D$9, 100%, $F$9) + CHOOSE(CONTROL!$C$27, 0.0021, 0)</f>
        <v>59.422799999999995</v>
      </c>
      <c r="I594" s="14">
        <f>59.4207 * CHOOSE(CONTROL!$C$9, $D$9, 100%, $F$9) + CHOOSE(CONTROL!$C$27, 0.0021, 0)</f>
        <v>59.422799999999995</v>
      </c>
      <c r="J594" s="14">
        <f>59.4207 * CHOOSE(CONTROL!$C$9, $D$9, 100%, $F$9) + CHOOSE(CONTROL!$C$27, 0.0021, 0)</f>
        <v>59.422799999999995</v>
      </c>
      <c r="K594" s="14">
        <f>59.4207 * CHOOSE(CONTROL!$C$9, $D$9, 100%, $F$9) + CHOOSE(CONTROL!$C$27, 0.0021, 0)</f>
        <v>59.422799999999995</v>
      </c>
      <c r="L594" s="14"/>
    </row>
    <row r="595" spans="1:12" ht="15.75" x14ac:dyDescent="0.25">
      <c r="A595" s="32">
        <v>59049</v>
      </c>
      <c r="B595" s="14">
        <f>60.1987 * CHOOSE(CONTROL!$C$9, $D$9, 100%, $F$9) + CHOOSE(CONTROL!$C$27, 0.0021, 0)</f>
        <v>60.200800000000001</v>
      </c>
      <c r="C595" s="14">
        <f>59.7664 * CHOOSE(CONTROL!$C$9, $D$9, 100%, $F$9) + CHOOSE(CONTROL!$C$27, 0.0021, 0)</f>
        <v>59.768499999999996</v>
      </c>
      <c r="D595" s="14">
        <f>59.7664 * CHOOSE(CONTROL!$C$9, $D$9, 100%, $F$9) + CHOOSE(CONTROL!$C$27, 0.0021, 0)</f>
        <v>59.768499999999996</v>
      </c>
      <c r="E595" s="14">
        <f>59.6298 * CHOOSE(CONTROL!$C$9, $D$9, 100%, $F$9) + CHOOSE(CONTROL!$C$27, 0.0021, 0)</f>
        <v>59.631900000000002</v>
      </c>
      <c r="F595" s="14">
        <f>59.6298 * CHOOSE(CONTROL!$C$9, $D$9, 100%, $F$9) + CHOOSE(CONTROL!$C$27, 0.0021, 0)</f>
        <v>59.631900000000002</v>
      </c>
      <c r="G595" s="14">
        <f>59.9012 * CHOOSE(CONTROL!$C$9, $D$9, 100%, $F$9) + CHOOSE(CONTROL!$C$27, 0.0021, 0)</f>
        <v>59.903300000000002</v>
      </c>
      <c r="H595" s="14">
        <f>59.7664 * CHOOSE(CONTROL!$C$9, $D$9, 100%, $F$9) + CHOOSE(CONTROL!$C$27, 0.0021, 0)</f>
        <v>59.768499999999996</v>
      </c>
      <c r="I595" s="14">
        <f>59.7664 * CHOOSE(CONTROL!$C$9, $D$9, 100%, $F$9) + CHOOSE(CONTROL!$C$27, 0.0021, 0)</f>
        <v>59.768499999999996</v>
      </c>
      <c r="J595" s="14">
        <f>59.7664 * CHOOSE(CONTROL!$C$9, $D$9, 100%, $F$9) + CHOOSE(CONTROL!$C$27, 0.0021, 0)</f>
        <v>59.768499999999996</v>
      </c>
      <c r="K595" s="14">
        <f>59.7664 * CHOOSE(CONTROL!$C$9, $D$9, 100%, $F$9) + CHOOSE(CONTROL!$C$27, 0.0021, 0)</f>
        <v>59.768499999999996</v>
      </c>
      <c r="L595" s="14"/>
    </row>
    <row r="596" spans="1:12" ht="15.75" x14ac:dyDescent="0.25">
      <c r="A596" s="32">
        <v>59079</v>
      </c>
      <c r="B596" s="14">
        <f>61.3762 * CHOOSE(CONTROL!$C$9, $D$9, 100%, $F$9) + CHOOSE(CONTROL!$C$27, 0.0021, 0)</f>
        <v>61.378299999999996</v>
      </c>
      <c r="C596" s="14">
        <f>60.944 * CHOOSE(CONTROL!$C$9, $D$9, 100%, $F$9) + CHOOSE(CONTROL!$C$27, 0.0021, 0)</f>
        <v>60.946100000000001</v>
      </c>
      <c r="D596" s="14">
        <f>60.944 * CHOOSE(CONTROL!$C$9, $D$9, 100%, $F$9) + CHOOSE(CONTROL!$C$27, 0.0021, 0)</f>
        <v>60.946100000000001</v>
      </c>
      <c r="E596" s="14">
        <f>60.8073 * CHOOSE(CONTROL!$C$9, $D$9, 100%, $F$9) + CHOOSE(CONTROL!$C$27, 0.0021, 0)</f>
        <v>60.809399999999997</v>
      </c>
      <c r="F596" s="14">
        <f>60.8073 * CHOOSE(CONTROL!$C$9, $D$9, 100%, $F$9) + CHOOSE(CONTROL!$C$27, 0.0021, 0)</f>
        <v>60.809399999999997</v>
      </c>
      <c r="G596" s="14">
        <f>61.0787 * CHOOSE(CONTROL!$C$9, $D$9, 100%, $F$9) + CHOOSE(CONTROL!$C$27, 0.0021, 0)</f>
        <v>61.080799999999996</v>
      </c>
      <c r="H596" s="14">
        <f>60.944 * CHOOSE(CONTROL!$C$9, $D$9, 100%, $F$9) + CHOOSE(CONTROL!$C$27, 0.0021, 0)</f>
        <v>60.946100000000001</v>
      </c>
      <c r="I596" s="14">
        <f>60.944 * CHOOSE(CONTROL!$C$9, $D$9, 100%, $F$9) + CHOOSE(CONTROL!$C$27, 0.0021, 0)</f>
        <v>60.946100000000001</v>
      </c>
      <c r="J596" s="14">
        <f>60.944 * CHOOSE(CONTROL!$C$9, $D$9, 100%, $F$9) + CHOOSE(CONTROL!$C$27, 0.0021, 0)</f>
        <v>60.946100000000001</v>
      </c>
      <c r="K596" s="14">
        <f>60.944 * CHOOSE(CONTROL!$C$9, $D$9, 100%, $F$9) + CHOOSE(CONTROL!$C$27, 0.0021, 0)</f>
        <v>60.946100000000001</v>
      </c>
      <c r="L596" s="14"/>
    </row>
    <row r="597" spans="1:12" ht="15.75" x14ac:dyDescent="0.25">
      <c r="A597" s="32">
        <v>59110</v>
      </c>
      <c r="B597" s="14">
        <f>62.8668 * CHOOSE(CONTROL!$C$9, $D$9, 100%, $F$9) + CHOOSE(CONTROL!$C$27, 0.0021, 0)</f>
        <v>62.868899999999996</v>
      </c>
      <c r="C597" s="14">
        <f>62.4345 * CHOOSE(CONTROL!$C$9, $D$9, 100%, $F$9) + CHOOSE(CONTROL!$C$27, 0.0021, 0)</f>
        <v>62.436599999999999</v>
      </c>
      <c r="D597" s="14">
        <f>62.4345 * CHOOSE(CONTROL!$C$9, $D$9, 100%, $F$9) + CHOOSE(CONTROL!$C$27, 0.0021, 0)</f>
        <v>62.436599999999999</v>
      </c>
      <c r="E597" s="14">
        <f>62.2978 * CHOOSE(CONTROL!$C$9, $D$9, 100%, $F$9) + CHOOSE(CONTROL!$C$27, 0.0021, 0)</f>
        <v>62.299900000000001</v>
      </c>
      <c r="F597" s="14">
        <f>62.2978 * CHOOSE(CONTROL!$C$9, $D$9, 100%, $F$9) + CHOOSE(CONTROL!$C$27, 0.0021, 0)</f>
        <v>62.299900000000001</v>
      </c>
      <c r="G597" s="14">
        <f>62.5692 * CHOOSE(CONTROL!$C$9, $D$9, 100%, $F$9) + CHOOSE(CONTROL!$C$27, 0.0021, 0)</f>
        <v>62.571300000000001</v>
      </c>
      <c r="H597" s="14">
        <f>62.4345 * CHOOSE(CONTROL!$C$9, $D$9, 100%, $F$9) + CHOOSE(CONTROL!$C$27, 0.0021, 0)</f>
        <v>62.436599999999999</v>
      </c>
      <c r="I597" s="14">
        <f>62.4345 * CHOOSE(CONTROL!$C$9, $D$9, 100%, $F$9) + CHOOSE(CONTROL!$C$27, 0.0021, 0)</f>
        <v>62.436599999999999</v>
      </c>
      <c r="J597" s="14">
        <f>62.4345 * CHOOSE(CONTROL!$C$9, $D$9, 100%, $F$9) + CHOOSE(CONTROL!$C$27, 0.0021, 0)</f>
        <v>62.436599999999999</v>
      </c>
      <c r="K597" s="14">
        <f>62.4345 * CHOOSE(CONTROL!$C$9, $D$9, 100%, $F$9) + CHOOSE(CONTROL!$C$27, 0.0021, 0)</f>
        <v>62.436599999999999</v>
      </c>
      <c r="L597" s="14"/>
    </row>
    <row r="598" spans="1:12" ht="15.75" x14ac:dyDescent="0.25">
      <c r="A598" s="32">
        <v>59140</v>
      </c>
      <c r="B598" s="14">
        <f>63.0067 * CHOOSE(CONTROL!$C$9, $D$9, 100%, $F$9) + CHOOSE(CONTROL!$C$27, 0.0021, 0)</f>
        <v>63.008800000000001</v>
      </c>
      <c r="C598" s="14">
        <f>62.5744 * CHOOSE(CONTROL!$C$9, $D$9, 100%, $F$9) + CHOOSE(CONTROL!$C$27, 0.0021, 0)</f>
        <v>62.576499999999996</v>
      </c>
      <c r="D598" s="14">
        <f>62.5744 * CHOOSE(CONTROL!$C$9, $D$9, 100%, $F$9) + CHOOSE(CONTROL!$C$27, 0.0021, 0)</f>
        <v>62.576499999999996</v>
      </c>
      <c r="E598" s="14">
        <f>62.4378 * CHOOSE(CONTROL!$C$9, $D$9, 100%, $F$9) + CHOOSE(CONTROL!$C$27, 0.0021, 0)</f>
        <v>62.439900000000002</v>
      </c>
      <c r="F598" s="14">
        <f>62.4378 * CHOOSE(CONTROL!$C$9, $D$9, 100%, $F$9) + CHOOSE(CONTROL!$C$27, 0.0021, 0)</f>
        <v>62.439900000000002</v>
      </c>
      <c r="G598" s="14">
        <f>62.7091 * CHOOSE(CONTROL!$C$9, $D$9, 100%, $F$9) + CHOOSE(CONTROL!$C$27, 0.0021, 0)</f>
        <v>62.711199999999998</v>
      </c>
      <c r="H598" s="14">
        <f>62.5744 * CHOOSE(CONTROL!$C$9, $D$9, 100%, $F$9) + CHOOSE(CONTROL!$C$27, 0.0021, 0)</f>
        <v>62.576499999999996</v>
      </c>
      <c r="I598" s="14">
        <f>62.5744 * CHOOSE(CONTROL!$C$9, $D$9, 100%, $F$9) + CHOOSE(CONTROL!$C$27, 0.0021, 0)</f>
        <v>62.576499999999996</v>
      </c>
      <c r="J598" s="14">
        <f>62.5744 * CHOOSE(CONTROL!$C$9, $D$9, 100%, $F$9) + CHOOSE(CONTROL!$C$27, 0.0021, 0)</f>
        <v>62.576499999999996</v>
      </c>
      <c r="K598" s="14">
        <f>62.5744 * CHOOSE(CONTROL!$C$9, $D$9, 100%, $F$9) + CHOOSE(CONTROL!$C$27, 0.0021, 0)</f>
        <v>62.576499999999996</v>
      </c>
      <c r="L598" s="14"/>
    </row>
    <row r="599" spans="1:12" ht="15.75" x14ac:dyDescent="0.25">
      <c r="A599" s="32">
        <v>59171</v>
      </c>
      <c r="B599" s="14">
        <f>61.8162 * CHOOSE(CONTROL!$C$9, $D$9, 100%, $F$9) + CHOOSE(CONTROL!$C$27, 0.0021, 0)</f>
        <v>61.818300000000001</v>
      </c>
      <c r="C599" s="14">
        <f>61.384 * CHOOSE(CONTROL!$C$9, $D$9, 100%, $F$9) + CHOOSE(CONTROL!$C$27, 0.0021, 0)</f>
        <v>61.386099999999999</v>
      </c>
      <c r="D599" s="14">
        <f>61.384 * CHOOSE(CONTROL!$C$9, $D$9, 100%, $F$9) + CHOOSE(CONTROL!$C$27, 0.0021, 0)</f>
        <v>61.386099999999999</v>
      </c>
      <c r="E599" s="14">
        <f>61.2473 * CHOOSE(CONTROL!$C$9, $D$9, 100%, $F$9) + CHOOSE(CONTROL!$C$27, 0.0021, 0)</f>
        <v>61.249400000000001</v>
      </c>
      <c r="F599" s="14">
        <f>61.2473 * CHOOSE(CONTROL!$C$9, $D$9, 100%, $F$9) + CHOOSE(CONTROL!$C$27, 0.0021, 0)</f>
        <v>61.249400000000001</v>
      </c>
      <c r="G599" s="14">
        <f>61.5187 * CHOOSE(CONTROL!$C$9, $D$9, 100%, $F$9) + CHOOSE(CONTROL!$C$27, 0.0021, 0)</f>
        <v>61.520800000000001</v>
      </c>
      <c r="H599" s="14">
        <f>61.384 * CHOOSE(CONTROL!$C$9, $D$9, 100%, $F$9) + CHOOSE(CONTROL!$C$27, 0.0021, 0)</f>
        <v>61.386099999999999</v>
      </c>
      <c r="I599" s="14">
        <f>61.384 * CHOOSE(CONTROL!$C$9, $D$9, 100%, $F$9) + CHOOSE(CONTROL!$C$27, 0.0021, 0)</f>
        <v>61.386099999999999</v>
      </c>
      <c r="J599" s="14">
        <f>61.384 * CHOOSE(CONTROL!$C$9, $D$9, 100%, $F$9) + CHOOSE(CONTROL!$C$27, 0.0021, 0)</f>
        <v>61.386099999999999</v>
      </c>
      <c r="K599" s="14">
        <f>61.384 * CHOOSE(CONTROL!$C$9, $D$9, 100%, $F$9) + CHOOSE(CONTROL!$C$27, 0.0021, 0)</f>
        <v>61.386099999999999</v>
      </c>
      <c r="L599" s="14"/>
    </row>
    <row r="600" spans="1:12" ht="15.75" x14ac:dyDescent="0.25">
      <c r="A600" s="32">
        <v>59202</v>
      </c>
      <c r="B600" s="14">
        <f>61.0363 * CHOOSE(CONTROL!$C$9, $D$9, 100%, $F$9) + CHOOSE(CONTROL!$C$27, 0.0021, 0)</f>
        <v>61.038399999999996</v>
      </c>
      <c r="C600" s="14">
        <f>60.6041 * CHOOSE(CONTROL!$C$9, $D$9, 100%, $F$9) + CHOOSE(CONTROL!$C$27, 0.0021, 0)</f>
        <v>60.606200000000001</v>
      </c>
      <c r="D600" s="14">
        <f>60.6041 * CHOOSE(CONTROL!$C$9, $D$9, 100%, $F$9) + CHOOSE(CONTROL!$C$27, 0.0021, 0)</f>
        <v>60.606200000000001</v>
      </c>
      <c r="E600" s="14">
        <f>60.4674 * CHOOSE(CONTROL!$C$9, $D$9, 100%, $F$9) + CHOOSE(CONTROL!$C$27, 0.0021, 0)</f>
        <v>60.469499999999996</v>
      </c>
      <c r="F600" s="14">
        <f>60.4674 * CHOOSE(CONTROL!$C$9, $D$9, 100%, $F$9) + CHOOSE(CONTROL!$C$27, 0.0021, 0)</f>
        <v>60.469499999999996</v>
      </c>
      <c r="G600" s="14">
        <f>60.7388 * CHOOSE(CONTROL!$C$9, $D$9, 100%, $F$9) + CHOOSE(CONTROL!$C$27, 0.0021, 0)</f>
        <v>60.740899999999996</v>
      </c>
      <c r="H600" s="14">
        <f>60.6041 * CHOOSE(CONTROL!$C$9, $D$9, 100%, $F$9) + CHOOSE(CONTROL!$C$27, 0.0021, 0)</f>
        <v>60.606200000000001</v>
      </c>
      <c r="I600" s="14">
        <f>60.6041 * CHOOSE(CONTROL!$C$9, $D$9, 100%, $F$9) + CHOOSE(CONTROL!$C$27, 0.0021, 0)</f>
        <v>60.606200000000001</v>
      </c>
      <c r="J600" s="14">
        <f>60.6041 * CHOOSE(CONTROL!$C$9, $D$9, 100%, $F$9) + CHOOSE(CONTROL!$C$27, 0.0021, 0)</f>
        <v>60.606200000000001</v>
      </c>
      <c r="K600" s="14">
        <f>60.6041 * CHOOSE(CONTROL!$C$9, $D$9, 100%, $F$9) + CHOOSE(CONTROL!$C$27, 0.0021, 0)</f>
        <v>60.606200000000001</v>
      </c>
      <c r="L600" s="14"/>
    </row>
    <row r="601" spans="1:12" ht="15.75" x14ac:dyDescent="0.25">
      <c r="A601" s="32">
        <v>59230</v>
      </c>
      <c r="B601" s="14">
        <f>59.3747 * CHOOSE(CONTROL!$C$9, $D$9, 100%, $F$9) + CHOOSE(CONTROL!$C$27, 0.0021, 0)</f>
        <v>59.376799999999996</v>
      </c>
      <c r="C601" s="14">
        <f>58.9425 * CHOOSE(CONTROL!$C$9, $D$9, 100%, $F$9) + CHOOSE(CONTROL!$C$27, 0.0021, 0)</f>
        <v>58.944600000000001</v>
      </c>
      <c r="D601" s="14">
        <f>58.9425 * CHOOSE(CONTROL!$C$9, $D$9, 100%, $F$9) + CHOOSE(CONTROL!$C$27, 0.0021, 0)</f>
        <v>58.944600000000001</v>
      </c>
      <c r="E601" s="14">
        <f>58.8058 * CHOOSE(CONTROL!$C$9, $D$9, 100%, $F$9) + CHOOSE(CONTROL!$C$27, 0.0021, 0)</f>
        <v>58.807899999999997</v>
      </c>
      <c r="F601" s="14">
        <f>58.8058 * CHOOSE(CONTROL!$C$9, $D$9, 100%, $F$9) + CHOOSE(CONTROL!$C$27, 0.0021, 0)</f>
        <v>58.807899999999997</v>
      </c>
      <c r="G601" s="14">
        <f>59.0772 * CHOOSE(CONTROL!$C$9, $D$9, 100%, $F$9) + CHOOSE(CONTROL!$C$27, 0.0021, 0)</f>
        <v>59.079299999999996</v>
      </c>
      <c r="H601" s="14">
        <f>58.9425 * CHOOSE(CONTROL!$C$9, $D$9, 100%, $F$9) + CHOOSE(CONTROL!$C$27, 0.0021, 0)</f>
        <v>58.944600000000001</v>
      </c>
      <c r="I601" s="14">
        <f>58.9425 * CHOOSE(CONTROL!$C$9, $D$9, 100%, $F$9) + CHOOSE(CONTROL!$C$27, 0.0021, 0)</f>
        <v>58.944600000000001</v>
      </c>
      <c r="J601" s="14">
        <f>58.9425 * CHOOSE(CONTROL!$C$9, $D$9, 100%, $F$9) + CHOOSE(CONTROL!$C$27, 0.0021, 0)</f>
        <v>58.944600000000001</v>
      </c>
      <c r="K601" s="14">
        <f>58.9425 * CHOOSE(CONTROL!$C$9, $D$9, 100%, $F$9) + CHOOSE(CONTROL!$C$27, 0.0021, 0)</f>
        <v>58.944600000000001</v>
      </c>
      <c r="L601" s="14"/>
    </row>
    <row r="602" spans="1:12" ht="15.75" x14ac:dyDescent="0.25">
      <c r="A602" s="32">
        <v>59261</v>
      </c>
      <c r="B602" s="14">
        <f>58.6888 * CHOOSE(CONTROL!$C$9, $D$9, 100%, $F$9) + CHOOSE(CONTROL!$C$27, 0.0021, 0)</f>
        <v>58.690899999999999</v>
      </c>
      <c r="C602" s="14">
        <f>58.2566 * CHOOSE(CONTROL!$C$9, $D$9, 100%, $F$9) + CHOOSE(CONTROL!$C$27, 0.0021, 0)</f>
        <v>58.258699999999997</v>
      </c>
      <c r="D602" s="14">
        <f>58.2566 * CHOOSE(CONTROL!$C$9, $D$9, 100%, $F$9) + CHOOSE(CONTROL!$C$27, 0.0021, 0)</f>
        <v>58.258699999999997</v>
      </c>
      <c r="E602" s="14">
        <f>58.1199 * CHOOSE(CONTROL!$C$9, $D$9, 100%, $F$9) + CHOOSE(CONTROL!$C$27, 0.0021, 0)</f>
        <v>58.122</v>
      </c>
      <c r="F602" s="14">
        <f>58.1199 * CHOOSE(CONTROL!$C$9, $D$9, 100%, $F$9) + CHOOSE(CONTROL!$C$27, 0.0021, 0)</f>
        <v>58.122</v>
      </c>
      <c r="G602" s="14">
        <f>58.3913 * CHOOSE(CONTROL!$C$9, $D$9, 100%, $F$9) + CHOOSE(CONTROL!$C$27, 0.0021, 0)</f>
        <v>58.3934</v>
      </c>
      <c r="H602" s="14">
        <f>58.2566 * CHOOSE(CONTROL!$C$9, $D$9, 100%, $F$9) + CHOOSE(CONTROL!$C$27, 0.0021, 0)</f>
        <v>58.258699999999997</v>
      </c>
      <c r="I602" s="14">
        <f>58.2566 * CHOOSE(CONTROL!$C$9, $D$9, 100%, $F$9) + CHOOSE(CONTROL!$C$27, 0.0021, 0)</f>
        <v>58.258699999999997</v>
      </c>
      <c r="J602" s="14">
        <f>58.2566 * CHOOSE(CONTROL!$C$9, $D$9, 100%, $F$9) + CHOOSE(CONTROL!$C$27, 0.0021, 0)</f>
        <v>58.258699999999997</v>
      </c>
      <c r="K602" s="14">
        <f>58.2566 * CHOOSE(CONTROL!$C$9, $D$9, 100%, $F$9) + CHOOSE(CONTROL!$C$27, 0.0021, 0)</f>
        <v>58.258699999999997</v>
      </c>
      <c r="L602" s="14"/>
    </row>
    <row r="603" spans="1:12" ht="15.75" x14ac:dyDescent="0.25">
      <c r="A603" s="32">
        <v>59291</v>
      </c>
      <c r="B603" s="14">
        <f>57.8698 * CHOOSE(CONTROL!$C$9, $D$9, 100%, $F$9) + CHOOSE(CONTROL!$C$27, 0.0021, 0)</f>
        <v>57.871899999999997</v>
      </c>
      <c r="C603" s="14">
        <f>57.4376 * CHOOSE(CONTROL!$C$9, $D$9, 100%, $F$9) + CHOOSE(CONTROL!$C$27, 0.0021, 0)</f>
        <v>57.439700000000002</v>
      </c>
      <c r="D603" s="14">
        <f>57.4376 * CHOOSE(CONTROL!$C$9, $D$9, 100%, $F$9) + CHOOSE(CONTROL!$C$27, 0.0021, 0)</f>
        <v>57.439700000000002</v>
      </c>
      <c r="E603" s="14">
        <f>57.3009 * CHOOSE(CONTROL!$C$9, $D$9, 100%, $F$9) + CHOOSE(CONTROL!$C$27, 0.0021, 0)</f>
        <v>57.302999999999997</v>
      </c>
      <c r="F603" s="14">
        <f>57.3009 * CHOOSE(CONTROL!$C$9, $D$9, 100%, $F$9) + CHOOSE(CONTROL!$C$27, 0.0021, 0)</f>
        <v>57.302999999999997</v>
      </c>
      <c r="G603" s="14">
        <f>57.5723 * CHOOSE(CONTROL!$C$9, $D$9, 100%, $F$9) + CHOOSE(CONTROL!$C$27, 0.0021, 0)</f>
        <v>57.574399999999997</v>
      </c>
      <c r="H603" s="14">
        <f>57.4376 * CHOOSE(CONTROL!$C$9, $D$9, 100%, $F$9) + CHOOSE(CONTROL!$C$27, 0.0021, 0)</f>
        <v>57.439700000000002</v>
      </c>
      <c r="I603" s="14">
        <f>57.4376 * CHOOSE(CONTROL!$C$9, $D$9, 100%, $F$9) + CHOOSE(CONTROL!$C$27, 0.0021, 0)</f>
        <v>57.439700000000002</v>
      </c>
      <c r="J603" s="14">
        <f>57.4376 * CHOOSE(CONTROL!$C$9, $D$9, 100%, $F$9) + CHOOSE(CONTROL!$C$27, 0.0021, 0)</f>
        <v>57.439700000000002</v>
      </c>
      <c r="K603" s="14">
        <f>57.4376 * CHOOSE(CONTROL!$C$9, $D$9, 100%, $F$9) + CHOOSE(CONTROL!$C$27, 0.0021, 0)</f>
        <v>57.439700000000002</v>
      </c>
      <c r="L603" s="14"/>
    </row>
    <row r="604" spans="1:12" ht="15.75" x14ac:dyDescent="0.25">
      <c r="A604" s="32">
        <v>59322</v>
      </c>
      <c r="B604" s="14">
        <f>59.037 * CHOOSE(CONTROL!$C$9, $D$9, 100%, $F$9) + CHOOSE(CONTROL!$C$27, 0.0021, 0)</f>
        <v>59.039099999999998</v>
      </c>
      <c r="C604" s="14">
        <f>58.6047 * CHOOSE(CONTROL!$C$9, $D$9, 100%, $F$9) + CHOOSE(CONTROL!$C$27, 0.0021, 0)</f>
        <v>58.6068</v>
      </c>
      <c r="D604" s="14">
        <f>58.6047 * CHOOSE(CONTROL!$C$9, $D$9, 100%, $F$9) + CHOOSE(CONTROL!$C$27, 0.0021, 0)</f>
        <v>58.6068</v>
      </c>
      <c r="E604" s="14">
        <f>58.4681 * CHOOSE(CONTROL!$C$9, $D$9, 100%, $F$9) + CHOOSE(CONTROL!$C$27, 0.0021, 0)</f>
        <v>58.470199999999998</v>
      </c>
      <c r="F604" s="14">
        <f>58.4681 * CHOOSE(CONTROL!$C$9, $D$9, 100%, $F$9) + CHOOSE(CONTROL!$C$27, 0.0021, 0)</f>
        <v>58.470199999999998</v>
      </c>
      <c r="G604" s="14">
        <f>58.7395 * CHOOSE(CONTROL!$C$9, $D$9, 100%, $F$9) + CHOOSE(CONTROL!$C$27, 0.0021, 0)</f>
        <v>58.741599999999998</v>
      </c>
      <c r="H604" s="14">
        <f>58.6047 * CHOOSE(CONTROL!$C$9, $D$9, 100%, $F$9) + CHOOSE(CONTROL!$C$27, 0.0021, 0)</f>
        <v>58.6068</v>
      </c>
      <c r="I604" s="14">
        <f>58.6047 * CHOOSE(CONTROL!$C$9, $D$9, 100%, $F$9) + CHOOSE(CONTROL!$C$27, 0.0021, 0)</f>
        <v>58.6068</v>
      </c>
      <c r="J604" s="14">
        <f>58.6047 * CHOOSE(CONTROL!$C$9, $D$9, 100%, $F$9) + CHOOSE(CONTROL!$C$27, 0.0021, 0)</f>
        <v>58.6068</v>
      </c>
      <c r="K604" s="14">
        <f>58.6047 * CHOOSE(CONTROL!$C$9, $D$9, 100%, $F$9) + CHOOSE(CONTROL!$C$27, 0.0021, 0)</f>
        <v>58.6068</v>
      </c>
      <c r="L604" s="14"/>
    </row>
    <row r="605" spans="1:12" ht="15.75" x14ac:dyDescent="0.25">
      <c r="A605" s="32">
        <v>59352</v>
      </c>
      <c r="B605" s="14">
        <f>59.7361 * CHOOSE(CONTROL!$C$9, $D$9, 100%, $F$9) + CHOOSE(CONTROL!$C$27, 0.0021, 0)</f>
        <v>59.738199999999999</v>
      </c>
      <c r="C605" s="14">
        <f>59.3038 * CHOOSE(CONTROL!$C$9, $D$9, 100%, $F$9) + CHOOSE(CONTROL!$C$27, 0.0021, 0)</f>
        <v>59.305900000000001</v>
      </c>
      <c r="D605" s="14">
        <f>59.3038 * CHOOSE(CONTROL!$C$9, $D$9, 100%, $F$9) + CHOOSE(CONTROL!$C$27, 0.0021, 0)</f>
        <v>59.305900000000001</v>
      </c>
      <c r="E605" s="14">
        <f>59.1672 * CHOOSE(CONTROL!$C$9, $D$9, 100%, $F$9) + CHOOSE(CONTROL!$C$27, 0.0021, 0)</f>
        <v>59.1693</v>
      </c>
      <c r="F605" s="14">
        <f>59.1672 * CHOOSE(CONTROL!$C$9, $D$9, 100%, $F$9) + CHOOSE(CONTROL!$C$27, 0.0021, 0)</f>
        <v>59.1693</v>
      </c>
      <c r="G605" s="14">
        <f>59.4385 * CHOOSE(CONTROL!$C$9, $D$9, 100%, $F$9) + CHOOSE(CONTROL!$C$27, 0.0021, 0)</f>
        <v>59.440599999999996</v>
      </c>
      <c r="H605" s="14">
        <f>59.3038 * CHOOSE(CONTROL!$C$9, $D$9, 100%, $F$9) + CHOOSE(CONTROL!$C$27, 0.0021, 0)</f>
        <v>59.305900000000001</v>
      </c>
      <c r="I605" s="14">
        <f>59.3038 * CHOOSE(CONTROL!$C$9, $D$9, 100%, $F$9) + CHOOSE(CONTROL!$C$27, 0.0021, 0)</f>
        <v>59.305900000000001</v>
      </c>
      <c r="J605" s="14">
        <f>59.3038 * CHOOSE(CONTROL!$C$9, $D$9, 100%, $F$9) + CHOOSE(CONTROL!$C$27, 0.0021, 0)</f>
        <v>59.305900000000001</v>
      </c>
      <c r="K605" s="14">
        <f>59.3038 * CHOOSE(CONTROL!$C$9, $D$9, 100%, $F$9) + CHOOSE(CONTROL!$C$27, 0.0021, 0)</f>
        <v>59.305900000000001</v>
      </c>
      <c r="L605" s="14"/>
    </row>
    <row r="606" spans="1:12" ht="15.75" x14ac:dyDescent="0.25">
      <c r="A606" s="32">
        <v>59383</v>
      </c>
      <c r="B606" s="14">
        <f>60.8893 * CHOOSE(CONTROL!$C$9, $D$9, 100%, $F$9) + CHOOSE(CONTROL!$C$27, 0.0021, 0)</f>
        <v>60.891399999999997</v>
      </c>
      <c r="C606" s="14">
        <f>60.457 * CHOOSE(CONTROL!$C$9, $D$9, 100%, $F$9) + CHOOSE(CONTROL!$C$27, 0.0021, 0)</f>
        <v>60.459099999999999</v>
      </c>
      <c r="D606" s="14">
        <f>60.457 * CHOOSE(CONTROL!$C$9, $D$9, 100%, $F$9) + CHOOSE(CONTROL!$C$27, 0.0021, 0)</f>
        <v>60.459099999999999</v>
      </c>
      <c r="E606" s="14">
        <f>60.3204 * CHOOSE(CONTROL!$C$9, $D$9, 100%, $F$9) + CHOOSE(CONTROL!$C$27, 0.0021, 0)</f>
        <v>60.322499999999998</v>
      </c>
      <c r="F606" s="14">
        <f>60.3204 * CHOOSE(CONTROL!$C$9, $D$9, 100%, $F$9) + CHOOSE(CONTROL!$C$27, 0.0021, 0)</f>
        <v>60.322499999999998</v>
      </c>
      <c r="G606" s="14">
        <f>60.5918 * CHOOSE(CONTROL!$C$9, $D$9, 100%, $F$9) + CHOOSE(CONTROL!$C$27, 0.0021, 0)</f>
        <v>60.593899999999998</v>
      </c>
      <c r="H606" s="14">
        <f>60.457 * CHOOSE(CONTROL!$C$9, $D$9, 100%, $F$9) + CHOOSE(CONTROL!$C$27, 0.0021, 0)</f>
        <v>60.459099999999999</v>
      </c>
      <c r="I606" s="14">
        <f>60.457 * CHOOSE(CONTROL!$C$9, $D$9, 100%, $F$9) + CHOOSE(CONTROL!$C$27, 0.0021, 0)</f>
        <v>60.459099999999999</v>
      </c>
      <c r="J606" s="14">
        <f>60.457 * CHOOSE(CONTROL!$C$9, $D$9, 100%, $F$9) + CHOOSE(CONTROL!$C$27, 0.0021, 0)</f>
        <v>60.459099999999999</v>
      </c>
      <c r="K606" s="14">
        <f>60.457 * CHOOSE(CONTROL!$C$9, $D$9, 100%, $F$9) + CHOOSE(CONTROL!$C$27, 0.0021, 0)</f>
        <v>60.459099999999999</v>
      </c>
      <c r="L606" s="14"/>
    </row>
    <row r="607" spans="1:12" ht="15.75" x14ac:dyDescent="0.25">
      <c r="A607" s="32">
        <v>59414</v>
      </c>
      <c r="B607" s="14">
        <f>61.2413 * CHOOSE(CONTROL!$C$9, $D$9, 100%, $F$9) + CHOOSE(CONTROL!$C$27, 0.0021, 0)</f>
        <v>61.243400000000001</v>
      </c>
      <c r="C607" s="14">
        <f>60.809 * CHOOSE(CONTROL!$C$9, $D$9, 100%, $F$9) + CHOOSE(CONTROL!$C$27, 0.0021, 0)</f>
        <v>60.811099999999996</v>
      </c>
      <c r="D607" s="14">
        <f>60.809 * CHOOSE(CONTROL!$C$9, $D$9, 100%, $F$9) + CHOOSE(CONTROL!$C$27, 0.0021, 0)</f>
        <v>60.811099999999996</v>
      </c>
      <c r="E607" s="14">
        <f>60.6724 * CHOOSE(CONTROL!$C$9, $D$9, 100%, $F$9) + CHOOSE(CONTROL!$C$27, 0.0021, 0)</f>
        <v>60.674500000000002</v>
      </c>
      <c r="F607" s="14">
        <f>60.6724 * CHOOSE(CONTROL!$C$9, $D$9, 100%, $F$9) + CHOOSE(CONTROL!$C$27, 0.0021, 0)</f>
        <v>60.674500000000002</v>
      </c>
      <c r="G607" s="14">
        <f>60.9437 * CHOOSE(CONTROL!$C$9, $D$9, 100%, $F$9) + CHOOSE(CONTROL!$C$27, 0.0021, 0)</f>
        <v>60.945799999999998</v>
      </c>
      <c r="H607" s="14">
        <f>60.809 * CHOOSE(CONTROL!$C$9, $D$9, 100%, $F$9) + CHOOSE(CONTROL!$C$27, 0.0021, 0)</f>
        <v>60.811099999999996</v>
      </c>
      <c r="I607" s="14">
        <f>60.809 * CHOOSE(CONTROL!$C$9, $D$9, 100%, $F$9) + CHOOSE(CONTROL!$C$27, 0.0021, 0)</f>
        <v>60.811099999999996</v>
      </c>
      <c r="J607" s="14">
        <f>60.809 * CHOOSE(CONTROL!$C$9, $D$9, 100%, $F$9) + CHOOSE(CONTROL!$C$27, 0.0021, 0)</f>
        <v>60.811099999999996</v>
      </c>
      <c r="K607" s="14">
        <f>60.809 * CHOOSE(CONTROL!$C$9, $D$9, 100%, $F$9) + CHOOSE(CONTROL!$C$27, 0.0021, 0)</f>
        <v>60.811099999999996</v>
      </c>
      <c r="L607" s="14"/>
    </row>
    <row r="608" spans="1:12" ht="15.75" x14ac:dyDescent="0.25">
      <c r="A608" s="32">
        <v>59444</v>
      </c>
      <c r="B608" s="14">
        <f>62.44 * CHOOSE(CONTROL!$C$9, $D$9, 100%, $F$9) + CHOOSE(CONTROL!$C$27, 0.0021, 0)</f>
        <v>62.442099999999996</v>
      </c>
      <c r="C608" s="14">
        <f>62.0078 * CHOOSE(CONTROL!$C$9, $D$9, 100%, $F$9) + CHOOSE(CONTROL!$C$27, 0.0021, 0)</f>
        <v>62.009900000000002</v>
      </c>
      <c r="D608" s="14">
        <f>62.0078 * CHOOSE(CONTROL!$C$9, $D$9, 100%, $F$9) + CHOOSE(CONTROL!$C$27, 0.0021, 0)</f>
        <v>62.009900000000002</v>
      </c>
      <c r="E608" s="14">
        <f>61.8711 * CHOOSE(CONTROL!$C$9, $D$9, 100%, $F$9) + CHOOSE(CONTROL!$C$27, 0.0021, 0)</f>
        <v>61.873199999999997</v>
      </c>
      <c r="F608" s="14">
        <f>61.8711 * CHOOSE(CONTROL!$C$9, $D$9, 100%, $F$9) + CHOOSE(CONTROL!$C$27, 0.0021, 0)</f>
        <v>61.873199999999997</v>
      </c>
      <c r="G608" s="14">
        <f>62.1425 * CHOOSE(CONTROL!$C$9, $D$9, 100%, $F$9) + CHOOSE(CONTROL!$C$27, 0.0021, 0)</f>
        <v>62.144599999999997</v>
      </c>
      <c r="H608" s="14">
        <f>62.0078 * CHOOSE(CONTROL!$C$9, $D$9, 100%, $F$9) + CHOOSE(CONTROL!$C$27, 0.0021, 0)</f>
        <v>62.009900000000002</v>
      </c>
      <c r="I608" s="14">
        <f>62.0078 * CHOOSE(CONTROL!$C$9, $D$9, 100%, $F$9) + CHOOSE(CONTROL!$C$27, 0.0021, 0)</f>
        <v>62.009900000000002</v>
      </c>
      <c r="J608" s="14">
        <f>62.0078 * CHOOSE(CONTROL!$C$9, $D$9, 100%, $F$9) + CHOOSE(CONTROL!$C$27, 0.0021, 0)</f>
        <v>62.009900000000002</v>
      </c>
      <c r="K608" s="14">
        <f>62.0078 * CHOOSE(CONTROL!$C$9, $D$9, 100%, $F$9) + CHOOSE(CONTROL!$C$27, 0.0021, 0)</f>
        <v>62.009900000000002</v>
      </c>
      <c r="L608" s="14"/>
    </row>
    <row r="609" spans="1:12" ht="15.75" x14ac:dyDescent="0.25">
      <c r="A609" s="32">
        <v>59475</v>
      </c>
      <c r="B609" s="14">
        <f>63.9574 * CHOOSE(CONTROL!$C$9, $D$9, 100%, $F$9) + CHOOSE(CONTROL!$C$27, 0.0021, 0)</f>
        <v>63.959499999999998</v>
      </c>
      <c r="C609" s="14">
        <f>63.5251 * CHOOSE(CONTROL!$C$9, $D$9, 100%, $F$9) + CHOOSE(CONTROL!$C$27, 0.0021, 0)</f>
        <v>63.527200000000001</v>
      </c>
      <c r="D609" s="14">
        <f>63.5251 * CHOOSE(CONTROL!$C$9, $D$9, 100%, $F$9) + CHOOSE(CONTROL!$C$27, 0.0021, 0)</f>
        <v>63.527200000000001</v>
      </c>
      <c r="E609" s="14">
        <f>63.3885 * CHOOSE(CONTROL!$C$9, $D$9, 100%, $F$9) + CHOOSE(CONTROL!$C$27, 0.0021, 0)</f>
        <v>63.390599999999999</v>
      </c>
      <c r="F609" s="14">
        <f>63.3885 * CHOOSE(CONTROL!$C$9, $D$9, 100%, $F$9) + CHOOSE(CONTROL!$C$27, 0.0021, 0)</f>
        <v>63.390599999999999</v>
      </c>
      <c r="G609" s="14">
        <f>63.6599 * CHOOSE(CONTROL!$C$9, $D$9, 100%, $F$9) + CHOOSE(CONTROL!$C$27, 0.0021, 0)</f>
        <v>63.661999999999999</v>
      </c>
      <c r="H609" s="14">
        <f>63.5251 * CHOOSE(CONTROL!$C$9, $D$9, 100%, $F$9) + CHOOSE(CONTROL!$C$27, 0.0021, 0)</f>
        <v>63.527200000000001</v>
      </c>
      <c r="I609" s="14">
        <f>63.5251 * CHOOSE(CONTROL!$C$9, $D$9, 100%, $F$9) + CHOOSE(CONTROL!$C$27, 0.0021, 0)</f>
        <v>63.527200000000001</v>
      </c>
      <c r="J609" s="14">
        <f>63.5251 * CHOOSE(CONTROL!$C$9, $D$9, 100%, $F$9) + CHOOSE(CONTROL!$C$27, 0.0021, 0)</f>
        <v>63.527200000000001</v>
      </c>
      <c r="K609" s="14">
        <f>63.5251 * CHOOSE(CONTROL!$C$9, $D$9, 100%, $F$9) + CHOOSE(CONTROL!$C$27, 0.0021, 0)</f>
        <v>63.527200000000001</v>
      </c>
      <c r="L609" s="14"/>
    </row>
    <row r="610" spans="1:12" ht="15.75" x14ac:dyDescent="0.25">
      <c r="A610" s="32">
        <v>59505</v>
      </c>
      <c r="B610" s="14">
        <f>64.0998 * CHOOSE(CONTROL!$C$9, $D$9, 100%, $F$9) + CHOOSE(CONTROL!$C$27, 0.0021, 0)</f>
        <v>64.101900000000001</v>
      </c>
      <c r="C610" s="14">
        <f>63.6676 * CHOOSE(CONTROL!$C$9, $D$9, 100%, $F$9) + CHOOSE(CONTROL!$C$27, 0.0021, 0)</f>
        <v>63.669699999999999</v>
      </c>
      <c r="D610" s="14">
        <f>63.6676 * CHOOSE(CONTROL!$C$9, $D$9, 100%, $F$9) + CHOOSE(CONTROL!$C$27, 0.0021, 0)</f>
        <v>63.669699999999999</v>
      </c>
      <c r="E610" s="14">
        <f>63.5309 * CHOOSE(CONTROL!$C$9, $D$9, 100%, $F$9) + CHOOSE(CONTROL!$C$27, 0.0021, 0)</f>
        <v>63.533000000000001</v>
      </c>
      <c r="F610" s="14">
        <f>63.5309 * CHOOSE(CONTROL!$C$9, $D$9, 100%, $F$9) + CHOOSE(CONTROL!$C$27, 0.0021, 0)</f>
        <v>63.533000000000001</v>
      </c>
      <c r="G610" s="14">
        <f>63.8023 * CHOOSE(CONTROL!$C$9, $D$9, 100%, $F$9) + CHOOSE(CONTROL!$C$27, 0.0021, 0)</f>
        <v>63.804400000000001</v>
      </c>
      <c r="H610" s="14">
        <f>63.6676 * CHOOSE(CONTROL!$C$9, $D$9, 100%, $F$9) + CHOOSE(CONTROL!$C$27, 0.0021, 0)</f>
        <v>63.669699999999999</v>
      </c>
      <c r="I610" s="14">
        <f>63.6676 * CHOOSE(CONTROL!$C$9, $D$9, 100%, $F$9) + CHOOSE(CONTROL!$C$27, 0.0021, 0)</f>
        <v>63.669699999999999</v>
      </c>
      <c r="J610" s="14">
        <f>63.6676 * CHOOSE(CONTROL!$C$9, $D$9, 100%, $F$9) + CHOOSE(CONTROL!$C$27, 0.0021, 0)</f>
        <v>63.669699999999999</v>
      </c>
      <c r="K610" s="14">
        <f>63.6676 * CHOOSE(CONTROL!$C$9, $D$9, 100%, $F$9) + CHOOSE(CONTROL!$C$27, 0.0021, 0)</f>
        <v>63.669699999999999</v>
      </c>
      <c r="L610" s="14"/>
    </row>
    <row r="611" spans="1:12" ht="15.75" x14ac:dyDescent="0.25">
      <c r="A611" s="32">
        <v>59536</v>
      </c>
      <c r="B611" s="14">
        <f>62.8879 * CHOOSE(CONTROL!$C$9, $D$9, 100%, $F$9) + CHOOSE(CONTROL!$C$27, 0.0021, 0)</f>
        <v>62.89</v>
      </c>
      <c r="C611" s="14">
        <f>62.4557 * CHOOSE(CONTROL!$C$9, $D$9, 100%, $F$9) + CHOOSE(CONTROL!$C$27, 0.0021, 0)</f>
        <v>62.457799999999999</v>
      </c>
      <c r="D611" s="14">
        <f>62.4557 * CHOOSE(CONTROL!$C$9, $D$9, 100%, $F$9) + CHOOSE(CONTROL!$C$27, 0.0021, 0)</f>
        <v>62.457799999999999</v>
      </c>
      <c r="E611" s="14">
        <f>62.319 * CHOOSE(CONTROL!$C$9, $D$9, 100%, $F$9) + CHOOSE(CONTROL!$C$27, 0.0021, 0)</f>
        <v>62.321100000000001</v>
      </c>
      <c r="F611" s="14">
        <f>62.319 * CHOOSE(CONTROL!$C$9, $D$9, 100%, $F$9) + CHOOSE(CONTROL!$C$27, 0.0021, 0)</f>
        <v>62.321100000000001</v>
      </c>
      <c r="G611" s="14">
        <f>62.5904 * CHOOSE(CONTROL!$C$9, $D$9, 100%, $F$9) + CHOOSE(CONTROL!$C$27, 0.0021, 0)</f>
        <v>62.592500000000001</v>
      </c>
      <c r="H611" s="14">
        <f>62.4557 * CHOOSE(CONTROL!$C$9, $D$9, 100%, $F$9) + CHOOSE(CONTROL!$C$27, 0.0021, 0)</f>
        <v>62.457799999999999</v>
      </c>
      <c r="I611" s="14">
        <f>62.4557 * CHOOSE(CONTROL!$C$9, $D$9, 100%, $F$9) + CHOOSE(CONTROL!$C$27, 0.0021, 0)</f>
        <v>62.457799999999999</v>
      </c>
      <c r="J611" s="14">
        <f>62.4557 * CHOOSE(CONTROL!$C$9, $D$9, 100%, $F$9) + CHOOSE(CONTROL!$C$27, 0.0021, 0)</f>
        <v>62.457799999999999</v>
      </c>
      <c r="K611" s="14">
        <f>62.4557 * CHOOSE(CONTROL!$C$9, $D$9, 100%, $F$9) + CHOOSE(CONTROL!$C$27, 0.0021, 0)</f>
        <v>62.457799999999999</v>
      </c>
      <c r="L611" s="14"/>
    </row>
    <row r="612" spans="1:12" ht="15.75" x14ac:dyDescent="0.25">
      <c r="A612" s="32">
        <v>59567</v>
      </c>
      <c r="B612" s="14">
        <f>62.094 * CHOOSE(CONTROL!$C$9, $D$9, 100%, $F$9) + CHOOSE(CONTROL!$C$27, 0.0021, 0)</f>
        <v>62.0961</v>
      </c>
      <c r="C612" s="14">
        <f>61.6617 * CHOOSE(CONTROL!$C$9, $D$9, 100%, $F$9) + CHOOSE(CONTROL!$C$27, 0.0021, 0)</f>
        <v>61.663800000000002</v>
      </c>
      <c r="D612" s="14">
        <f>61.6617 * CHOOSE(CONTROL!$C$9, $D$9, 100%, $F$9) + CHOOSE(CONTROL!$C$27, 0.0021, 0)</f>
        <v>61.663800000000002</v>
      </c>
      <c r="E612" s="14">
        <f>61.5251 * CHOOSE(CONTROL!$C$9, $D$9, 100%, $F$9) + CHOOSE(CONTROL!$C$27, 0.0021, 0)</f>
        <v>61.527200000000001</v>
      </c>
      <c r="F612" s="14">
        <f>61.5251 * CHOOSE(CONTROL!$C$9, $D$9, 100%, $F$9) + CHOOSE(CONTROL!$C$27, 0.0021, 0)</f>
        <v>61.527200000000001</v>
      </c>
      <c r="G612" s="14">
        <f>61.7965 * CHOOSE(CONTROL!$C$9, $D$9, 100%, $F$9) + CHOOSE(CONTROL!$C$27, 0.0021, 0)</f>
        <v>61.7986</v>
      </c>
      <c r="H612" s="14">
        <f>61.6617 * CHOOSE(CONTROL!$C$9, $D$9, 100%, $F$9) + CHOOSE(CONTROL!$C$27, 0.0021, 0)</f>
        <v>61.663800000000002</v>
      </c>
      <c r="I612" s="14">
        <f>61.6617 * CHOOSE(CONTROL!$C$9, $D$9, 100%, $F$9) + CHOOSE(CONTROL!$C$27, 0.0021, 0)</f>
        <v>61.663800000000002</v>
      </c>
      <c r="J612" s="14">
        <f>61.6617 * CHOOSE(CONTROL!$C$9, $D$9, 100%, $F$9) + CHOOSE(CONTROL!$C$27, 0.0021, 0)</f>
        <v>61.663800000000002</v>
      </c>
      <c r="K612" s="14">
        <f>61.6617 * CHOOSE(CONTROL!$C$9, $D$9, 100%, $F$9) + CHOOSE(CONTROL!$C$27, 0.0021, 0)</f>
        <v>61.663800000000002</v>
      </c>
      <c r="L612" s="14"/>
    </row>
    <row r="613" spans="1:12" ht="15.75" x14ac:dyDescent="0.25">
      <c r="A613" s="32">
        <v>59595</v>
      </c>
      <c r="B613" s="14">
        <f>60.4025 * CHOOSE(CONTROL!$C$9, $D$9, 100%, $F$9) + CHOOSE(CONTROL!$C$27, 0.0021, 0)</f>
        <v>60.404600000000002</v>
      </c>
      <c r="C613" s="14">
        <f>59.9702 * CHOOSE(CONTROL!$C$9, $D$9, 100%, $F$9) + CHOOSE(CONTROL!$C$27, 0.0021, 0)</f>
        <v>59.972299999999997</v>
      </c>
      <c r="D613" s="14">
        <f>59.9702 * CHOOSE(CONTROL!$C$9, $D$9, 100%, $F$9) + CHOOSE(CONTROL!$C$27, 0.0021, 0)</f>
        <v>59.972299999999997</v>
      </c>
      <c r="E613" s="14">
        <f>59.8336 * CHOOSE(CONTROL!$C$9, $D$9, 100%, $F$9) + CHOOSE(CONTROL!$C$27, 0.0021, 0)</f>
        <v>59.835699999999996</v>
      </c>
      <c r="F613" s="14">
        <f>59.8336 * CHOOSE(CONTROL!$C$9, $D$9, 100%, $F$9) + CHOOSE(CONTROL!$C$27, 0.0021, 0)</f>
        <v>59.835699999999996</v>
      </c>
      <c r="G613" s="14">
        <f>60.1049 * CHOOSE(CONTROL!$C$9, $D$9, 100%, $F$9) + CHOOSE(CONTROL!$C$27, 0.0021, 0)</f>
        <v>60.106999999999999</v>
      </c>
      <c r="H613" s="14">
        <f>59.9702 * CHOOSE(CONTROL!$C$9, $D$9, 100%, $F$9) + CHOOSE(CONTROL!$C$27, 0.0021, 0)</f>
        <v>59.972299999999997</v>
      </c>
      <c r="I613" s="14">
        <f>59.9702 * CHOOSE(CONTROL!$C$9, $D$9, 100%, $F$9) + CHOOSE(CONTROL!$C$27, 0.0021, 0)</f>
        <v>59.972299999999997</v>
      </c>
      <c r="J613" s="14">
        <f>59.9702 * CHOOSE(CONTROL!$C$9, $D$9, 100%, $F$9) + CHOOSE(CONTROL!$C$27, 0.0021, 0)</f>
        <v>59.972299999999997</v>
      </c>
      <c r="K613" s="14">
        <f>59.9702 * CHOOSE(CONTROL!$C$9, $D$9, 100%, $F$9) + CHOOSE(CONTROL!$C$27, 0.0021, 0)</f>
        <v>59.972299999999997</v>
      </c>
      <c r="L613" s="14"/>
    </row>
    <row r="614" spans="1:12" ht="15.75" x14ac:dyDescent="0.25">
      <c r="A614" s="32">
        <v>59626</v>
      </c>
      <c r="B614" s="14">
        <f>59.7042 * CHOOSE(CONTROL!$C$9, $D$9, 100%, $F$9) + CHOOSE(CONTROL!$C$27, 0.0021, 0)</f>
        <v>59.706299999999999</v>
      </c>
      <c r="C614" s="14">
        <f>59.272 * CHOOSE(CONTROL!$C$9, $D$9, 100%, $F$9) + CHOOSE(CONTROL!$C$27, 0.0021, 0)</f>
        <v>59.274099999999997</v>
      </c>
      <c r="D614" s="14">
        <f>59.272 * CHOOSE(CONTROL!$C$9, $D$9, 100%, $F$9) + CHOOSE(CONTROL!$C$27, 0.0021, 0)</f>
        <v>59.274099999999997</v>
      </c>
      <c r="E614" s="14">
        <f>59.1353 * CHOOSE(CONTROL!$C$9, $D$9, 100%, $F$9) + CHOOSE(CONTROL!$C$27, 0.0021, 0)</f>
        <v>59.1374</v>
      </c>
      <c r="F614" s="14">
        <f>59.1353 * CHOOSE(CONTROL!$C$9, $D$9, 100%, $F$9) + CHOOSE(CONTROL!$C$27, 0.0021, 0)</f>
        <v>59.1374</v>
      </c>
      <c r="G614" s="14">
        <f>59.4067 * CHOOSE(CONTROL!$C$9, $D$9, 100%, $F$9) + CHOOSE(CONTROL!$C$27, 0.0021, 0)</f>
        <v>59.408799999999999</v>
      </c>
      <c r="H614" s="14">
        <f>59.272 * CHOOSE(CONTROL!$C$9, $D$9, 100%, $F$9) + CHOOSE(CONTROL!$C$27, 0.0021, 0)</f>
        <v>59.274099999999997</v>
      </c>
      <c r="I614" s="14">
        <f>59.272 * CHOOSE(CONTROL!$C$9, $D$9, 100%, $F$9) + CHOOSE(CONTROL!$C$27, 0.0021, 0)</f>
        <v>59.274099999999997</v>
      </c>
      <c r="J614" s="14">
        <f>59.272 * CHOOSE(CONTROL!$C$9, $D$9, 100%, $F$9) + CHOOSE(CONTROL!$C$27, 0.0021, 0)</f>
        <v>59.274099999999997</v>
      </c>
      <c r="K614" s="14">
        <f>59.272 * CHOOSE(CONTROL!$C$9, $D$9, 100%, $F$9) + CHOOSE(CONTROL!$C$27, 0.0021, 0)</f>
        <v>59.274099999999997</v>
      </c>
      <c r="L614" s="14"/>
    </row>
    <row r="615" spans="1:12" ht="15.75" x14ac:dyDescent="0.25">
      <c r="A615" s="32">
        <v>59656</v>
      </c>
      <c r="B615" s="14">
        <f>58.8705 * CHOOSE(CONTROL!$C$9, $D$9, 100%, $F$9) + CHOOSE(CONTROL!$C$27, 0.0021, 0)</f>
        <v>58.872599999999998</v>
      </c>
      <c r="C615" s="14">
        <f>58.4382 * CHOOSE(CONTROL!$C$9, $D$9, 100%, $F$9) + CHOOSE(CONTROL!$C$27, 0.0021, 0)</f>
        <v>58.440300000000001</v>
      </c>
      <c r="D615" s="14">
        <f>58.4382 * CHOOSE(CONTROL!$C$9, $D$9, 100%, $F$9) + CHOOSE(CONTROL!$C$27, 0.0021, 0)</f>
        <v>58.440300000000001</v>
      </c>
      <c r="E615" s="14">
        <f>58.3016 * CHOOSE(CONTROL!$C$9, $D$9, 100%, $F$9) + CHOOSE(CONTROL!$C$27, 0.0021, 0)</f>
        <v>58.303699999999999</v>
      </c>
      <c r="F615" s="14">
        <f>58.3016 * CHOOSE(CONTROL!$C$9, $D$9, 100%, $F$9) + CHOOSE(CONTROL!$C$27, 0.0021, 0)</f>
        <v>58.303699999999999</v>
      </c>
      <c r="G615" s="14">
        <f>58.573 * CHOOSE(CONTROL!$C$9, $D$9, 100%, $F$9) + CHOOSE(CONTROL!$C$27, 0.0021, 0)</f>
        <v>58.575099999999999</v>
      </c>
      <c r="H615" s="14">
        <f>58.4382 * CHOOSE(CONTROL!$C$9, $D$9, 100%, $F$9) + CHOOSE(CONTROL!$C$27, 0.0021, 0)</f>
        <v>58.440300000000001</v>
      </c>
      <c r="I615" s="14">
        <f>58.4382 * CHOOSE(CONTROL!$C$9, $D$9, 100%, $F$9) + CHOOSE(CONTROL!$C$27, 0.0021, 0)</f>
        <v>58.440300000000001</v>
      </c>
      <c r="J615" s="14">
        <f>58.4382 * CHOOSE(CONTROL!$C$9, $D$9, 100%, $F$9) + CHOOSE(CONTROL!$C$27, 0.0021, 0)</f>
        <v>58.440300000000001</v>
      </c>
      <c r="K615" s="14">
        <f>58.4382 * CHOOSE(CONTROL!$C$9, $D$9, 100%, $F$9) + CHOOSE(CONTROL!$C$27, 0.0021, 0)</f>
        <v>58.440300000000001</v>
      </c>
      <c r="L615" s="14"/>
    </row>
    <row r="616" spans="1:12" ht="15.75" x14ac:dyDescent="0.25">
      <c r="A616" s="32">
        <v>59687</v>
      </c>
      <c r="B616" s="14">
        <f>60.0587 * CHOOSE(CONTROL!$C$9, $D$9, 100%, $F$9) + CHOOSE(CONTROL!$C$27, 0.0021, 0)</f>
        <v>60.0608</v>
      </c>
      <c r="C616" s="14">
        <f>59.6264 * CHOOSE(CONTROL!$C$9, $D$9, 100%, $F$9) + CHOOSE(CONTROL!$C$27, 0.0021, 0)</f>
        <v>59.628499999999995</v>
      </c>
      <c r="D616" s="14">
        <f>59.6264 * CHOOSE(CONTROL!$C$9, $D$9, 100%, $F$9) + CHOOSE(CONTROL!$C$27, 0.0021, 0)</f>
        <v>59.628499999999995</v>
      </c>
      <c r="E616" s="14">
        <f>59.4898 * CHOOSE(CONTROL!$C$9, $D$9, 100%, $F$9) + CHOOSE(CONTROL!$C$27, 0.0021, 0)</f>
        <v>59.491900000000001</v>
      </c>
      <c r="F616" s="14">
        <f>59.4898 * CHOOSE(CONTROL!$C$9, $D$9, 100%, $F$9) + CHOOSE(CONTROL!$C$27, 0.0021, 0)</f>
        <v>59.491900000000001</v>
      </c>
      <c r="G616" s="14">
        <f>59.7611 * CHOOSE(CONTROL!$C$9, $D$9, 100%, $F$9) + CHOOSE(CONTROL!$C$27, 0.0021, 0)</f>
        <v>59.763199999999998</v>
      </c>
      <c r="H616" s="14">
        <f>59.6264 * CHOOSE(CONTROL!$C$9, $D$9, 100%, $F$9) + CHOOSE(CONTROL!$C$27, 0.0021, 0)</f>
        <v>59.628499999999995</v>
      </c>
      <c r="I616" s="14">
        <f>59.6264 * CHOOSE(CONTROL!$C$9, $D$9, 100%, $F$9) + CHOOSE(CONTROL!$C$27, 0.0021, 0)</f>
        <v>59.628499999999995</v>
      </c>
      <c r="J616" s="14">
        <f>59.6264 * CHOOSE(CONTROL!$C$9, $D$9, 100%, $F$9) + CHOOSE(CONTROL!$C$27, 0.0021, 0)</f>
        <v>59.628499999999995</v>
      </c>
      <c r="K616" s="14">
        <f>59.6264 * CHOOSE(CONTROL!$C$9, $D$9, 100%, $F$9) + CHOOSE(CONTROL!$C$27, 0.0021, 0)</f>
        <v>59.628499999999995</v>
      </c>
      <c r="L616" s="14"/>
    </row>
    <row r="617" spans="1:12" ht="15.75" x14ac:dyDescent="0.25">
      <c r="A617" s="32">
        <v>59717</v>
      </c>
      <c r="B617" s="14">
        <f>60.7703 * CHOOSE(CONTROL!$C$9, $D$9, 100%, $F$9) + CHOOSE(CONTROL!$C$27, 0.0021, 0)</f>
        <v>60.772399999999998</v>
      </c>
      <c r="C617" s="14">
        <f>60.3381 * CHOOSE(CONTROL!$C$9, $D$9, 100%, $F$9) + CHOOSE(CONTROL!$C$27, 0.0021, 0)</f>
        <v>60.340199999999996</v>
      </c>
      <c r="D617" s="14">
        <f>60.3381 * CHOOSE(CONTROL!$C$9, $D$9, 100%, $F$9) + CHOOSE(CONTROL!$C$27, 0.0021, 0)</f>
        <v>60.340199999999996</v>
      </c>
      <c r="E617" s="14">
        <f>60.2014 * CHOOSE(CONTROL!$C$9, $D$9, 100%, $F$9) + CHOOSE(CONTROL!$C$27, 0.0021, 0)</f>
        <v>60.203499999999998</v>
      </c>
      <c r="F617" s="14">
        <f>60.2014 * CHOOSE(CONTROL!$C$9, $D$9, 100%, $F$9) + CHOOSE(CONTROL!$C$27, 0.0021, 0)</f>
        <v>60.203499999999998</v>
      </c>
      <c r="G617" s="14">
        <f>60.4728 * CHOOSE(CONTROL!$C$9, $D$9, 100%, $F$9) + CHOOSE(CONTROL!$C$27, 0.0021, 0)</f>
        <v>60.474899999999998</v>
      </c>
      <c r="H617" s="14">
        <f>60.3381 * CHOOSE(CONTROL!$C$9, $D$9, 100%, $F$9) + CHOOSE(CONTROL!$C$27, 0.0021, 0)</f>
        <v>60.340199999999996</v>
      </c>
      <c r="I617" s="14">
        <f>60.3381 * CHOOSE(CONTROL!$C$9, $D$9, 100%, $F$9) + CHOOSE(CONTROL!$C$27, 0.0021, 0)</f>
        <v>60.340199999999996</v>
      </c>
      <c r="J617" s="14">
        <f>60.3381 * CHOOSE(CONTROL!$C$9, $D$9, 100%, $F$9) + CHOOSE(CONTROL!$C$27, 0.0021, 0)</f>
        <v>60.340199999999996</v>
      </c>
      <c r="K617" s="14">
        <f>60.3381 * CHOOSE(CONTROL!$C$9, $D$9, 100%, $F$9) + CHOOSE(CONTROL!$C$27, 0.0021, 0)</f>
        <v>60.340199999999996</v>
      </c>
      <c r="L617" s="14"/>
    </row>
    <row r="618" spans="1:12" ht="15.75" x14ac:dyDescent="0.25">
      <c r="A618" s="32">
        <v>59748</v>
      </c>
      <c r="B618" s="14">
        <f>61.9443 * CHOOSE(CONTROL!$C$9, $D$9, 100%, $F$9) + CHOOSE(CONTROL!$C$27, 0.0021, 0)</f>
        <v>61.946399999999997</v>
      </c>
      <c r="C618" s="14">
        <f>61.5121 * CHOOSE(CONTROL!$C$9, $D$9, 100%, $F$9) + CHOOSE(CONTROL!$C$27, 0.0021, 0)</f>
        <v>61.514199999999995</v>
      </c>
      <c r="D618" s="14">
        <f>61.5121 * CHOOSE(CONTROL!$C$9, $D$9, 100%, $F$9) + CHOOSE(CONTROL!$C$27, 0.0021, 0)</f>
        <v>61.514199999999995</v>
      </c>
      <c r="E618" s="14">
        <f>61.3754 * CHOOSE(CONTROL!$C$9, $D$9, 100%, $F$9) + CHOOSE(CONTROL!$C$27, 0.0021, 0)</f>
        <v>61.377499999999998</v>
      </c>
      <c r="F618" s="14">
        <f>61.3754 * CHOOSE(CONTROL!$C$9, $D$9, 100%, $F$9) + CHOOSE(CONTROL!$C$27, 0.0021, 0)</f>
        <v>61.377499999999998</v>
      </c>
      <c r="G618" s="14">
        <f>61.6468 * CHOOSE(CONTROL!$C$9, $D$9, 100%, $F$9) + CHOOSE(CONTROL!$C$27, 0.0021, 0)</f>
        <v>61.648899999999998</v>
      </c>
      <c r="H618" s="14">
        <f>61.5121 * CHOOSE(CONTROL!$C$9, $D$9, 100%, $F$9) + CHOOSE(CONTROL!$C$27, 0.0021, 0)</f>
        <v>61.514199999999995</v>
      </c>
      <c r="I618" s="14">
        <f>61.5121 * CHOOSE(CONTROL!$C$9, $D$9, 100%, $F$9) + CHOOSE(CONTROL!$C$27, 0.0021, 0)</f>
        <v>61.514199999999995</v>
      </c>
      <c r="J618" s="14">
        <f>61.5121 * CHOOSE(CONTROL!$C$9, $D$9, 100%, $F$9) + CHOOSE(CONTROL!$C$27, 0.0021, 0)</f>
        <v>61.514199999999995</v>
      </c>
      <c r="K618" s="14">
        <f>61.5121 * CHOOSE(CONTROL!$C$9, $D$9, 100%, $F$9) + CHOOSE(CONTROL!$C$27, 0.0021, 0)</f>
        <v>61.514199999999995</v>
      </c>
      <c r="L618" s="14"/>
    </row>
    <row r="619" spans="1:12" ht="15.75" x14ac:dyDescent="0.25">
      <c r="A619" s="32">
        <v>59779</v>
      </c>
      <c r="B619" s="14">
        <f>62.3026 * CHOOSE(CONTROL!$C$9, $D$9, 100%, $F$9) + CHOOSE(CONTROL!$C$27, 0.0021, 0)</f>
        <v>62.304699999999997</v>
      </c>
      <c r="C619" s="14">
        <f>61.8704 * CHOOSE(CONTROL!$C$9, $D$9, 100%, $F$9) + CHOOSE(CONTROL!$C$27, 0.0021, 0)</f>
        <v>61.872499999999995</v>
      </c>
      <c r="D619" s="14">
        <f>61.8704 * CHOOSE(CONTROL!$C$9, $D$9, 100%, $F$9) + CHOOSE(CONTROL!$C$27, 0.0021, 0)</f>
        <v>61.872499999999995</v>
      </c>
      <c r="E619" s="14">
        <f>61.7337 * CHOOSE(CONTROL!$C$9, $D$9, 100%, $F$9) + CHOOSE(CONTROL!$C$27, 0.0021, 0)</f>
        <v>61.735799999999998</v>
      </c>
      <c r="F619" s="14">
        <f>61.7337 * CHOOSE(CONTROL!$C$9, $D$9, 100%, $F$9) + CHOOSE(CONTROL!$C$27, 0.0021, 0)</f>
        <v>61.735799999999998</v>
      </c>
      <c r="G619" s="14">
        <f>62.0051 * CHOOSE(CONTROL!$C$9, $D$9, 100%, $F$9) + CHOOSE(CONTROL!$C$27, 0.0021, 0)</f>
        <v>62.007199999999997</v>
      </c>
      <c r="H619" s="14">
        <f>61.8704 * CHOOSE(CONTROL!$C$9, $D$9, 100%, $F$9) + CHOOSE(CONTROL!$C$27, 0.0021, 0)</f>
        <v>61.872499999999995</v>
      </c>
      <c r="I619" s="14">
        <f>61.8704 * CHOOSE(CONTROL!$C$9, $D$9, 100%, $F$9) + CHOOSE(CONTROL!$C$27, 0.0021, 0)</f>
        <v>61.872499999999995</v>
      </c>
      <c r="J619" s="14">
        <f>61.8704 * CHOOSE(CONTROL!$C$9, $D$9, 100%, $F$9) + CHOOSE(CONTROL!$C$27, 0.0021, 0)</f>
        <v>61.872499999999995</v>
      </c>
      <c r="K619" s="14">
        <f>61.8704 * CHOOSE(CONTROL!$C$9, $D$9, 100%, $F$9) + CHOOSE(CONTROL!$C$27, 0.0021, 0)</f>
        <v>61.872499999999995</v>
      </c>
      <c r="L619" s="14"/>
    </row>
    <row r="620" spans="1:12" ht="15.75" x14ac:dyDescent="0.25">
      <c r="A620" s="32">
        <v>59809</v>
      </c>
      <c r="B620" s="14">
        <f>63.523 * CHOOSE(CONTROL!$C$9, $D$9, 100%, $F$9) + CHOOSE(CONTROL!$C$27, 0.0021, 0)</f>
        <v>63.525100000000002</v>
      </c>
      <c r="C620" s="14">
        <f>63.0907 * CHOOSE(CONTROL!$C$9, $D$9, 100%, $F$9) + CHOOSE(CONTROL!$C$27, 0.0021, 0)</f>
        <v>63.092799999999997</v>
      </c>
      <c r="D620" s="14">
        <f>63.0907 * CHOOSE(CONTROL!$C$9, $D$9, 100%, $F$9) + CHOOSE(CONTROL!$C$27, 0.0021, 0)</f>
        <v>63.092799999999997</v>
      </c>
      <c r="E620" s="14">
        <f>62.954 * CHOOSE(CONTROL!$C$9, $D$9, 100%, $F$9) + CHOOSE(CONTROL!$C$27, 0.0021, 0)</f>
        <v>62.956099999999999</v>
      </c>
      <c r="F620" s="14">
        <f>62.954 * CHOOSE(CONTROL!$C$9, $D$9, 100%, $F$9) + CHOOSE(CONTROL!$C$27, 0.0021, 0)</f>
        <v>62.956099999999999</v>
      </c>
      <c r="G620" s="14">
        <f>63.2254 * CHOOSE(CONTROL!$C$9, $D$9, 100%, $F$9) + CHOOSE(CONTROL!$C$27, 0.0021, 0)</f>
        <v>63.227499999999999</v>
      </c>
      <c r="H620" s="14">
        <f>63.0907 * CHOOSE(CONTROL!$C$9, $D$9, 100%, $F$9) + CHOOSE(CONTROL!$C$27, 0.0021, 0)</f>
        <v>63.092799999999997</v>
      </c>
      <c r="I620" s="14">
        <f>63.0907 * CHOOSE(CONTROL!$C$9, $D$9, 100%, $F$9) + CHOOSE(CONTROL!$C$27, 0.0021, 0)</f>
        <v>63.092799999999997</v>
      </c>
      <c r="J620" s="14">
        <f>63.0907 * CHOOSE(CONTROL!$C$9, $D$9, 100%, $F$9) + CHOOSE(CONTROL!$C$27, 0.0021, 0)</f>
        <v>63.092799999999997</v>
      </c>
      <c r="K620" s="14">
        <f>63.0907 * CHOOSE(CONTROL!$C$9, $D$9, 100%, $F$9) + CHOOSE(CONTROL!$C$27, 0.0021, 0)</f>
        <v>63.092799999999997</v>
      </c>
      <c r="L620" s="14"/>
    </row>
    <row r="621" spans="1:12" ht="15.75" x14ac:dyDescent="0.25">
      <c r="A621" s="32">
        <v>59840</v>
      </c>
      <c r="B621" s="14">
        <f>65.0677 * CHOOSE(CONTROL!$C$9, $D$9, 100%, $F$9) + CHOOSE(CONTROL!$C$27, 0.0021, 0)</f>
        <v>65.069800000000001</v>
      </c>
      <c r="C621" s="14">
        <f>64.6354 * CHOOSE(CONTROL!$C$9, $D$9, 100%, $F$9) + CHOOSE(CONTROL!$C$27, 0.0021, 0)</f>
        <v>64.637500000000003</v>
      </c>
      <c r="D621" s="14">
        <f>64.6354 * CHOOSE(CONTROL!$C$9, $D$9, 100%, $F$9) + CHOOSE(CONTROL!$C$27, 0.0021, 0)</f>
        <v>64.637500000000003</v>
      </c>
      <c r="E621" s="14">
        <f>64.4987 * CHOOSE(CONTROL!$C$9, $D$9, 100%, $F$9) + CHOOSE(CONTROL!$C$27, 0.0021, 0)</f>
        <v>64.500799999999998</v>
      </c>
      <c r="F621" s="14">
        <f>64.4987 * CHOOSE(CONTROL!$C$9, $D$9, 100%, $F$9) + CHOOSE(CONTROL!$C$27, 0.0021, 0)</f>
        <v>64.500799999999998</v>
      </c>
      <c r="G621" s="14">
        <f>64.7701 * CHOOSE(CONTROL!$C$9, $D$9, 100%, $F$9) + CHOOSE(CONTROL!$C$27, 0.0021, 0)</f>
        <v>64.772199999999998</v>
      </c>
      <c r="H621" s="14">
        <f>64.6354 * CHOOSE(CONTROL!$C$9, $D$9, 100%, $F$9) + CHOOSE(CONTROL!$C$27, 0.0021, 0)</f>
        <v>64.637500000000003</v>
      </c>
      <c r="I621" s="14">
        <f>64.6354 * CHOOSE(CONTROL!$C$9, $D$9, 100%, $F$9) + CHOOSE(CONTROL!$C$27, 0.0021, 0)</f>
        <v>64.637500000000003</v>
      </c>
      <c r="J621" s="14">
        <f>64.6354 * CHOOSE(CONTROL!$C$9, $D$9, 100%, $F$9) + CHOOSE(CONTROL!$C$27, 0.0021, 0)</f>
        <v>64.637500000000003</v>
      </c>
      <c r="K621" s="14">
        <f>64.6354 * CHOOSE(CONTROL!$C$9, $D$9, 100%, $F$9) + CHOOSE(CONTROL!$C$27, 0.0021, 0)</f>
        <v>64.637500000000003</v>
      </c>
      <c r="L621" s="14"/>
    </row>
    <row r="622" spans="1:12" ht="15.75" x14ac:dyDescent="0.25">
      <c r="A622" s="32">
        <v>59870</v>
      </c>
      <c r="B622" s="14">
        <f>65.2127 * CHOOSE(CONTROL!$C$9, $D$9, 100%, $F$9) + CHOOSE(CONTROL!$C$27, 0.0021, 0)</f>
        <v>65.214799999999997</v>
      </c>
      <c r="C622" s="14">
        <f>64.7804 * CHOOSE(CONTROL!$C$9, $D$9, 100%, $F$9) + CHOOSE(CONTROL!$C$27, 0.0021, 0)</f>
        <v>64.782499999999999</v>
      </c>
      <c r="D622" s="14">
        <f>64.7804 * CHOOSE(CONTROL!$C$9, $D$9, 100%, $F$9) + CHOOSE(CONTROL!$C$27, 0.0021, 0)</f>
        <v>64.782499999999999</v>
      </c>
      <c r="E622" s="14">
        <f>64.6438 * CHOOSE(CONTROL!$C$9, $D$9, 100%, $F$9) + CHOOSE(CONTROL!$C$27, 0.0021, 0)</f>
        <v>64.645899999999997</v>
      </c>
      <c r="F622" s="14">
        <f>64.6438 * CHOOSE(CONTROL!$C$9, $D$9, 100%, $F$9) + CHOOSE(CONTROL!$C$27, 0.0021, 0)</f>
        <v>64.645899999999997</v>
      </c>
      <c r="G622" s="14">
        <f>64.9151 * CHOOSE(CONTROL!$C$9, $D$9, 100%, $F$9) + CHOOSE(CONTROL!$C$27, 0.0021, 0)</f>
        <v>64.917199999999994</v>
      </c>
      <c r="H622" s="14">
        <f>64.7804 * CHOOSE(CONTROL!$C$9, $D$9, 100%, $F$9) + CHOOSE(CONTROL!$C$27, 0.0021, 0)</f>
        <v>64.782499999999999</v>
      </c>
      <c r="I622" s="14">
        <f>64.7804 * CHOOSE(CONTROL!$C$9, $D$9, 100%, $F$9) + CHOOSE(CONTROL!$C$27, 0.0021, 0)</f>
        <v>64.782499999999999</v>
      </c>
      <c r="J622" s="14">
        <f>64.7804 * CHOOSE(CONTROL!$C$9, $D$9, 100%, $F$9) + CHOOSE(CONTROL!$C$27, 0.0021, 0)</f>
        <v>64.782499999999999</v>
      </c>
      <c r="K622" s="14">
        <f>64.7804 * CHOOSE(CONTROL!$C$9, $D$9, 100%, $F$9) + CHOOSE(CONTROL!$C$27, 0.0021, 0)</f>
        <v>64.782499999999999</v>
      </c>
      <c r="L622" s="14"/>
    </row>
    <row r="623" spans="1:12" ht="15.75" x14ac:dyDescent="0.25">
      <c r="A623" s="32">
        <v>59901</v>
      </c>
      <c r="B623" s="14">
        <f>63.9789 * CHOOSE(CONTROL!$C$9, $D$9, 100%, $F$9) + CHOOSE(CONTROL!$C$27, 0.0021, 0)</f>
        <v>63.981000000000002</v>
      </c>
      <c r="C623" s="14">
        <f>63.5467 * CHOOSE(CONTROL!$C$9, $D$9, 100%, $F$9) + CHOOSE(CONTROL!$C$27, 0.0021, 0)</f>
        <v>63.5488</v>
      </c>
      <c r="D623" s="14">
        <f>63.5467 * CHOOSE(CONTROL!$C$9, $D$9, 100%, $F$9) + CHOOSE(CONTROL!$C$27, 0.0021, 0)</f>
        <v>63.5488</v>
      </c>
      <c r="E623" s="14">
        <f>63.41 * CHOOSE(CONTROL!$C$9, $D$9, 100%, $F$9) + CHOOSE(CONTROL!$C$27, 0.0021, 0)</f>
        <v>63.412099999999995</v>
      </c>
      <c r="F623" s="14">
        <f>63.41 * CHOOSE(CONTROL!$C$9, $D$9, 100%, $F$9) + CHOOSE(CONTROL!$C$27, 0.0021, 0)</f>
        <v>63.412099999999995</v>
      </c>
      <c r="G623" s="14">
        <f>63.6814 * CHOOSE(CONTROL!$C$9, $D$9, 100%, $F$9) + CHOOSE(CONTROL!$C$27, 0.0021, 0)</f>
        <v>63.683499999999995</v>
      </c>
      <c r="H623" s="14">
        <f>63.5467 * CHOOSE(CONTROL!$C$9, $D$9, 100%, $F$9) + CHOOSE(CONTROL!$C$27, 0.0021, 0)</f>
        <v>63.5488</v>
      </c>
      <c r="I623" s="14">
        <f>63.5467 * CHOOSE(CONTROL!$C$9, $D$9, 100%, $F$9) + CHOOSE(CONTROL!$C$27, 0.0021, 0)</f>
        <v>63.5488</v>
      </c>
      <c r="J623" s="14">
        <f>63.5467 * CHOOSE(CONTROL!$C$9, $D$9, 100%, $F$9) + CHOOSE(CONTROL!$C$27, 0.0021, 0)</f>
        <v>63.5488</v>
      </c>
      <c r="K623" s="14">
        <f>63.5467 * CHOOSE(CONTROL!$C$9, $D$9, 100%, $F$9) + CHOOSE(CONTROL!$C$27, 0.0021, 0)</f>
        <v>63.5488</v>
      </c>
      <c r="L623" s="14"/>
    </row>
    <row r="624" spans="1:12" ht="15.75" x14ac:dyDescent="0.25">
      <c r="A624" s="32">
        <v>59932</v>
      </c>
      <c r="B624" s="14">
        <f>63.1707 * CHOOSE(CONTROL!$C$9, $D$9, 100%, $F$9) + CHOOSE(CONTROL!$C$27, 0.0021, 0)</f>
        <v>63.172799999999995</v>
      </c>
      <c r="C624" s="14">
        <f>62.7385 * CHOOSE(CONTROL!$C$9, $D$9, 100%, $F$9) + CHOOSE(CONTROL!$C$27, 0.0021, 0)</f>
        <v>62.740600000000001</v>
      </c>
      <c r="D624" s="14">
        <f>62.7385 * CHOOSE(CONTROL!$C$9, $D$9, 100%, $F$9) + CHOOSE(CONTROL!$C$27, 0.0021, 0)</f>
        <v>62.740600000000001</v>
      </c>
      <c r="E624" s="14">
        <f>62.6018 * CHOOSE(CONTROL!$C$9, $D$9, 100%, $F$9) + CHOOSE(CONTROL!$C$27, 0.0021, 0)</f>
        <v>62.603899999999996</v>
      </c>
      <c r="F624" s="14">
        <f>62.6018 * CHOOSE(CONTROL!$C$9, $D$9, 100%, $F$9) + CHOOSE(CONTROL!$C$27, 0.0021, 0)</f>
        <v>62.603899999999996</v>
      </c>
      <c r="G624" s="14">
        <f>62.8732 * CHOOSE(CONTROL!$C$9, $D$9, 100%, $F$9) + CHOOSE(CONTROL!$C$27, 0.0021, 0)</f>
        <v>62.875299999999996</v>
      </c>
      <c r="H624" s="14">
        <f>62.7385 * CHOOSE(CONTROL!$C$9, $D$9, 100%, $F$9) + CHOOSE(CONTROL!$C$27, 0.0021, 0)</f>
        <v>62.740600000000001</v>
      </c>
      <c r="I624" s="14">
        <f>62.7385 * CHOOSE(CONTROL!$C$9, $D$9, 100%, $F$9) + CHOOSE(CONTROL!$C$27, 0.0021, 0)</f>
        <v>62.740600000000001</v>
      </c>
      <c r="J624" s="14">
        <f>62.7385 * CHOOSE(CONTROL!$C$9, $D$9, 100%, $F$9) + CHOOSE(CONTROL!$C$27, 0.0021, 0)</f>
        <v>62.740600000000001</v>
      </c>
      <c r="K624" s="14">
        <f>62.7385 * CHOOSE(CONTROL!$C$9, $D$9, 100%, $F$9) + CHOOSE(CONTROL!$C$27, 0.0021, 0)</f>
        <v>62.740600000000001</v>
      </c>
      <c r="L624" s="14"/>
    </row>
    <row r="625" spans="1:12" ht="15.75" x14ac:dyDescent="0.25">
      <c r="A625" s="32">
        <v>59961</v>
      </c>
      <c r="B625" s="14">
        <f>61.4487 * CHOOSE(CONTROL!$C$9, $D$9, 100%, $F$9) + CHOOSE(CONTROL!$C$27, 0.0021, 0)</f>
        <v>61.450800000000001</v>
      </c>
      <c r="C625" s="14">
        <f>61.0165 * CHOOSE(CONTROL!$C$9, $D$9, 100%, $F$9) + CHOOSE(CONTROL!$C$27, 0.0021, 0)</f>
        <v>61.018599999999999</v>
      </c>
      <c r="D625" s="14">
        <f>61.0165 * CHOOSE(CONTROL!$C$9, $D$9, 100%, $F$9) + CHOOSE(CONTROL!$C$27, 0.0021, 0)</f>
        <v>61.018599999999999</v>
      </c>
      <c r="E625" s="14">
        <f>60.8798 * CHOOSE(CONTROL!$C$9, $D$9, 100%, $F$9) + CHOOSE(CONTROL!$C$27, 0.0021, 0)</f>
        <v>60.881900000000002</v>
      </c>
      <c r="F625" s="14">
        <f>60.8798 * CHOOSE(CONTROL!$C$9, $D$9, 100%, $F$9) + CHOOSE(CONTROL!$C$27, 0.0021, 0)</f>
        <v>60.881900000000002</v>
      </c>
      <c r="G625" s="14">
        <f>61.1512 * CHOOSE(CONTROL!$C$9, $D$9, 100%, $F$9) + CHOOSE(CONTROL!$C$27, 0.0021, 0)</f>
        <v>61.153300000000002</v>
      </c>
      <c r="H625" s="14">
        <f>61.0165 * CHOOSE(CONTROL!$C$9, $D$9, 100%, $F$9) + CHOOSE(CONTROL!$C$27, 0.0021, 0)</f>
        <v>61.018599999999999</v>
      </c>
      <c r="I625" s="14">
        <f>61.0165 * CHOOSE(CONTROL!$C$9, $D$9, 100%, $F$9) + CHOOSE(CONTROL!$C$27, 0.0021, 0)</f>
        <v>61.018599999999999</v>
      </c>
      <c r="J625" s="14">
        <f>61.0165 * CHOOSE(CONTROL!$C$9, $D$9, 100%, $F$9) + CHOOSE(CONTROL!$C$27, 0.0021, 0)</f>
        <v>61.018599999999999</v>
      </c>
      <c r="K625" s="14">
        <f>61.0165 * CHOOSE(CONTROL!$C$9, $D$9, 100%, $F$9) + CHOOSE(CONTROL!$C$27, 0.0021, 0)</f>
        <v>61.018599999999999</v>
      </c>
      <c r="L625" s="14"/>
    </row>
    <row r="626" spans="1:12" ht="15.75" x14ac:dyDescent="0.25">
      <c r="A626" s="32">
        <v>59992</v>
      </c>
      <c r="B626" s="14">
        <f>60.7379 * CHOOSE(CONTROL!$C$9, $D$9, 100%, $F$9) + CHOOSE(CONTROL!$C$27, 0.0021, 0)</f>
        <v>60.74</v>
      </c>
      <c r="C626" s="14">
        <f>60.3057 * CHOOSE(CONTROL!$C$9, $D$9, 100%, $F$9) + CHOOSE(CONTROL!$C$27, 0.0021, 0)</f>
        <v>60.3078</v>
      </c>
      <c r="D626" s="14">
        <f>60.3057 * CHOOSE(CONTROL!$C$9, $D$9, 100%, $F$9) + CHOOSE(CONTROL!$C$27, 0.0021, 0)</f>
        <v>60.3078</v>
      </c>
      <c r="E626" s="14">
        <f>60.169 * CHOOSE(CONTROL!$C$9, $D$9, 100%, $F$9) + CHOOSE(CONTROL!$C$27, 0.0021, 0)</f>
        <v>60.171099999999996</v>
      </c>
      <c r="F626" s="14">
        <f>60.169 * CHOOSE(CONTROL!$C$9, $D$9, 100%, $F$9) + CHOOSE(CONTROL!$C$27, 0.0021, 0)</f>
        <v>60.171099999999996</v>
      </c>
      <c r="G626" s="14">
        <f>60.4404 * CHOOSE(CONTROL!$C$9, $D$9, 100%, $F$9) + CHOOSE(CONTROL!$C$27, 0.0021, 0)</f>
        <v>60.442499999999995</v>
      </c>
      <c r="H626" s="14">
        <f>60.3057 * CHOOSE(CONTROL!$C$9, $D$9, 100%, $F$9) + CHOOSE(CONTROL!$C$27, 0.0021, 0)</f>
        <v>60.3078</v>
      </c>
      <c r="I626" s="14">
        <f>60.3057 * CHOOSE(CONTROL!$C$9, $D$9, 100%, $F$9) + CHOOSE(CONTROL!$C$27, 0.0021, 0)</f>
        <v>60.3078</v>
      </c>
      <c r="J626" s="14">
        <f>60.3057 * CHOOSE(CONTROL!$C$9, $D$9, 100%, $F$9) + CHOOSE(CONTROL!$C$27, 0.0021, 0)</f>
        <v>60.3078</v>
      </c>
      <c r="K626" s="14">
        <f>60.3057 * CHOOSE(CONTROL!$C$9, $D$9, 100%, $F$9) + CHOOSE(CONTROL!$C$27, 0.0021, 0)</f>
        <v>60.3078</v>
      </c>
      <c r="L626" s="14"/>
    </row>
    <row r="627" spans="1:12" ht="15.75" x14ac:dyDescent="0.25">
      <c r="A627" s="32">
        <v>60022</v>
      </c>
      <c r="B627" s="14">
        <f>59.8892 * CHOOSE(CONTROL!$C$9, $D$9, 100%, $F$9) + CHOOSE(CONTROL!$C$27, 0.0021, 0)</f>
        <v>59.891300000000001</v>
      </c>
      <c r="C627" s="14">
        <f>59.4569 * CHOOSE(CONTROL!$C$9, $D$9, 100%, $F$9) + CHOOSE(CONTROL!$C$27, 0.0021, 0)</f>
        <v>59.458999999999996</v>
      </c>
      <c r="D627" s="14">
        <f>59.4569 * CHOOSE(CONTROL!$C$9, $D$9, 100%, $F$9) + CHOOSE(CONTROL!$C$27, 0.0021, 0)</f>
        <v>59.458999999999996</v>
      </c>
      <c r="E627" s="14">
        <f>59.3203 * CHOOSE(CONTROL!$C$9, $D$9, 100%, $F$9) + CHOOSE(CONTROL!$C$27, 0.0021, 0)</f>
        <v>59.322400000000002</v>
      </c>
      <c r="F627" s="14">
        <f>59.3203 * CHOOSE(CONTROL!$C$9, $D$9, 100%, $F$9) + CHOOSE(CONTROL!$C$27, 0.0021, 0)</f>
        <v>59.322400000000002</v>
      </c>
      <c r="G627" s="14">
        <f>59.5916 * CHOOSE(CONTROL!$C$9, $D$9, 100%, $F$9) + CHOOSE(CONTROL!$C$27, 0.0021, 0)</f>
        <v>59.593699999999998</v>
      </c>
      <c r="H627" s="14">
        <f>59.4569 * CHOOSE(CONTROL!$C$9, $D$9, 100%, $F$9) + CHOOSE(CONTROL!$C$27, 0.0021, 0)</f>
        <v>59.458999999999996</v>
      </c>
      <c r="I627" s="14">
        <f>59.4569 * CHOOSE(CONTROL!$C$9, $D$9, 100%, $F$9) + CHOOSE(CONTROL!$C$27, 0.0021, 0)</f>
        <v>59.458999999999996</v>
      </c>
      <c r="J627" s="14">
        <f>59.4569 * CHOOSE(CONTROL!$C$9, $D$9, 100%, $F$9) + CHOOSE(CONTROL!$C$27, 0.0021, 0)</f>
        <v>59.458999999999996</v>
      </c>
      <c r="K627" s="14">
        <f>59.4569 * CHOOSE(CONTROL!$C$9, $D$9, 100%, $F$9) + CHOOSE(CONTROL!$C$27, 0.0021, 0)</f>
        <v>59.458999999999996</v>
      </c>
      <c r="L627" s="14"/>
    </row>
    <row r="628" spans="1:12" ht="15.75" x14ac:dyDescent="0.25">
      <c r="A628" s="32">
        <v>60053</v>
      </c>
      <c r="B628" s="14">
        <f>61.0987 * CHOOSE(CONTROL!$C$9, $D$9, 100%, $F$9) + CHOOSE(CONTROL!$C$27, 0.0021, 0)</f>
        <v>61.1008</v>
      </c>
      <c r="C628" s="14">
        <f>60.6665 * CHOOSE(CONTROL!$C$9, $D$9, 100%, $F$9) + CHOOSE(CONTROL!$C$27, 0.0021, 0)</f>
        <v>60.668599999999998</v>
      </c>
      <c r="D628" s="14">
        <f>60.6665 * CHOOSE(CONTROL!$C$9, $D$9, 100%, $F$9) + CHOOSE(CONTROL!$C$27, 0.0021, 0)</f>
        <v>60.668599999999998</v>
      </c>
      <c r="E628" s="14">
        <f>60.5298 * CHOOSE(CONTROL!$C$9, $D$9, 100%, $F$9) + CHOOSE(CONTROL!$C$27, 0.0021, 0)</f>
        <v>60.5319</v>
      </c>
      <c r="F628" s="14">
        <f>60.5298 * CHOOSE(CONTROL!$C$9, $D$9, 100%, $F$9) + CHOOSE(CONTROL!$C$27, 0.0021, 0)</f>
        <v>60.5319</v>
      </c>
      <c r="G628" s="14">
        <f>60.8012 * CHOOSE(CONTROL!$C$9, $D$9, 100%, $F$9) + CHOOSE(CONTROL!$C$27, 0.0021, 0)</f>
        <v>60.8033</v>
      </c>
      <c r="H628" s="14">
        <f>60.6665 * CHOOSE(CONTROL!$C$9, $D$9, 100%, $F$9) + CHOOSE(CONTROL!$C$27, 0.0021, 0)</f>
        <v>60.668599999999998</v>
      </c>
      <c r="I628" s="14">
        <f>60.6665 * CHOOSE(CONTROL!$C$9, $D$9, 100%, $F$9) + CHOOSE(CONTROL!$C$27, 0.0021, 0)</f>
        <v>60.668599999999998</v>
      </c>
      <c r="J628" s="14">
        <f>60.6665 * CHOOSE(CONTROL!$C$9, $D$9, 100%, $F$9) + CHOOSE(CONTROL!$C$27, 0.0021, 0)</f>
        <v>60.668599999999998</v>
      </c>
      <c r="K628" s="14">
        <f>60.6665 * CHOOSE(CONTROL!$C$9, $D$9, 100%, $F$9) + CHOOSE(CONTROL!$C$27, 0.0021, 0)</f>
        <v>60.668599999999998</v>
      </c>
      <c r="L628" s="14"/>
    </row>
    <row r="629" spans="1:12" ht="15.75" x14ac:dyDescent="0.25">
      <c r="A629" s="32">
        <v>60083</v>
      </c>
      <c r="B629" s="14">
        <f>61.8232 * CHOOSE(CONTROL!$C$9, $D$9, 100%, $F$9) + CHOOSE(CONTROL!$C$27, 0.0021, 0)</f>
        <v>61.825299999999999</v>
      </c>
      <c r="C629" s="14">
        <f>61.391 * CHOOSE(CONTROL!$C$9, $D$9, 100%, $F$9) + CHOOSE(CONTROL!$C$27, 0.0021, 0)</f>
        <v>61.393099999999997</v>
      </c>
      <c r="D629" s="14">
        <f>61.391 * CHOOSE(CONTROL!$C$9, $D$9, 100%, $F$9) + CHOOSE(CONTROL!$C$27, 0.0021, 0)</f>
        <v>61.393099999999997</v>
      </c>
      <c r="E629" s="14">
        <f>61.2543 * CHOOSE(CONTROL!$C$9, $D$9, 100%, $F$9) + CHOOSE(CONTROL!$C$27, 0.0021, 0)</f>
        <v>61.256399999999999</v>
      </c>
      <c r="F629" s="14">
        <f>61.2543 * CHOOSE(CONTROL!$C$9, $D$9, 100%, $F$9) + CHOOSE(CONTROL!$C$27, 0.0021, 0)</f>
        <v>61.256399999999999</v>
      </c>
      <c r="G629" s="14">
        <f>61.5257 * CHOOSE(CONTROL!$C$9, $D$9, 100%, $F$9) + CHOOSE(CONTROL!$C$27, 0.0021, 0)</f>
        <v>61.527799999999999</v>
      </c>
      <c r="H629" s="14">
        <f>61.391 * CHOOSE(CONTROL!$C$9, $D$9, 100%, $F$9) + CHOOSE(CONTROL!$C$27, 0.0021, 0)</f>
        <v>61.393099999999997</v>
      </c>
      <c r="I629" s="14">
        <f>61.391 * CHOOSE(CONTROL!$C$9, $D$9, 100%, $F$9) + CHOOSE(CONTROL!$C$27, 0.0021, 0)</f>
        <v>61.393099999999997</v>
      </c>
      <c r="J629" s="14">
        <f>61.391 * CHOOSE(CONTROL!$C$9, $D$9, 100%, $F$9) + CHOOSE(CONTROL!$C$27, 0.0021, 0)</f>
        <v>61.393099999999997</v>
      </c>
      <c r="K629" s="14">
        <f>61.391 * CHOOSE(CONTROL!$C$9, $D$9, 100%, $F$9) + CHOOSE(CONTROL!$C$27, 0.0021, 0)</f>
        <v>61.393099999999997</v>
      </c>
      <c r="L629" s="14"/>
    </row>
    <row r="630" spans="1:12" ht="15.75" x14ac:dyDescent="0.25">
      <c r="A630" s="32">
        <v>60114</v>
      </c>
      <c r="B630" s="14">
        <f>63.0183 * CHOOSE(CONTROL!$C$9, $D$9, 100%, $F$9) + CHOOSE(CONTROL!$C$27, 0.0021, 0)</f>
        <v>63.020400000000002</v>
      </c>
      <c r="C630" s="14">
        <f>62.5861 * CHOOSE(CONTROL!$C$9, $D$9, 100%, $F$9) + CHOOSE(CONTROL!$C$27, 0.0021, 0)</f>
        <v>62.588200000000001</v>
      </c>
      <c r="D630" s="14">
        <f>62.5861 * CHOOSE(CONTROL!$C$9, $D$9, 100%, $F$9) + CHOOSE(CONTROL!$C$27, 0.0021, 0)</f>
        <v>62.588200000000001</v>
      </c>
      <c r="E630" s="14">
        <f>62.4494 * CHOOSE(CONTROL!$C$9, $D$9, 100%, $F$9) + CHOOSE(CONTROL!$C$27, 0.0021, 0)</f>
        <v>62.451499999999996</v>
      </c>
      <c r="F630" s="14">
        <f>62.4494 * CHOOSE(CONTROL!$C$9, $D$9, 100%, $F$9) + CHOOSE(CONTROL!$C$27, 0.0021, 0)</f>
        <v>62.451499999999996</v>
      </c>
      <c r="G630" s="14">
        <f>62.7208 * CHOOSE(CONTROL!$C$9, $D$9, 100%, $F$9) + CHOOSE(CONTROL!$C$27, 0.0021, 0)</f>
        <v>62.722899999999996</v>
      </c>
      <c r="H630" s="14">
        <f>62.5861 * CHOOSE(CONTROL!$C$9, $D$9, 100%, $F$9) + CHOOSE(CONTROL!$C$27, 0.0021, 0)</f>
        <v>62.588200000000001</v>
      </c>
      <c r="I630" s="14">
        <f>62.5861 * CHOOSE(CONTROL!$C$9, $D$9, 100%, $F$9) + CHOOSE(CONTROL!$C$27, 0.0021, 0)</f>
        <v>62.588200000000001</v>
      </c>
      <c r="J630" s="14">
        <f>62.5861 * CHOOSE(CONTROL!$C$9, $D$9, 100%, $F$9) + CHOOSE(CONTROL!$C$27, 0.0021, 0)</f>
        <v>62.588200000000001</v>
      </c>
      <c r="K630" s="14">
        <f>62.5861 * CHOOSE(CONTROL!$C$9, $D$9, 100%, $F$9) + CHOOSE(CONTROL!$C$27, 0.0021, 0)</f>
        <v>62.588200000000001</v>
      </c>
      <c r="L630" s="14"/>
    </row>
    <row r="631" spans="1:12" ht="15.75" x14ac:dyDescent="0.25">
      <c r="A631" s="32">
        <v>60145</v>
      </c>
      <c r="B631" s="14">
        <f>63.3831 * CHOOSE(CONTROL!$C$9, $D$9, 100%, $F$9) + CHOOSE(CONTROL!$C$27, 0.0021, 0)</f>
        <v>63.385199999999998</v>
      </c>
      <c r="C631" s="14">
        <f>62.9509 * CHOOSE(CONTROL!$C$9, $D$9, 100%, $F$9) + CHOOSE(CONTROL!$C$27, 0.0021, 0)</f>
        <v>62.952999999999996</v>
      </c>
      <c r="D631" s="14">
        <f>62.9509 * CHOOSE(CONTROL!$C$9, $D$9, 100%, $F$9) + CHOOSE(CONTROL!$C$27, 0.0021, 0)</f>
        <v>62.952999999999996</v>
      </c>
      <c r="E631" s="14">
        <f>62.8142 * CHOOSE(CONTROL!$C$9, $D$9, 100%, $F$9) + CHOOSE(CONTROL!$C$27, 0.0021, 0)</f>
        <v>62.816299999999998</v>
      </c>
      <c r="F631" s="14">
        <f>62.8142 * CHOOSE(CONTROL!$C$9, $D$9, 100%, $F$9) + CHOOSE(CONTROL!$C$27, 0.0021, 0)</f>
        <v>62.816299999999998</v>
      </c>
      <c r="G631" s="14">
        <f>63.0856 * CHOOSE(CONTROL!$C$9, $D$9, 100%, $F$9) + CHOOSE(CONTROL!$C$27, 0.0021, 0)</f>
        <v>63.087699999999998</v>
      </c>
      <c r="H631" s="14">
        <f>62.9509 * CHOOSE(CONTROL!$C$9, $D$9, 100%, $F$9) + CHOOSE(CONTROL!$C$27, 0.0021, 0)</f>
        <v>62.952999999999996</v>
      </c>
      <c r="I631" s="14">
        <f>62.9509 * CHOOSE(CONTROL!$C$9, $D$9, 100%, $F$9) + CHOOSE(CONTROL!$C$27, 0.0021, 0)</f>
        <v>62.952999999999996</v>
      </c>
      <c r="J631" s="14">
        <f>62.9509 * CHOOSE(CONTROL!$C$9, $D$9, 100%, $F$9) + CHOOSE(CONTROL!$C$27, 0.0021, 0)</f>
        <v>62.952999999999996</v>
      </c>
      <c r="K631" s="14">
        <f>62.9509 * CHOOSE(CONTROL!$C$9, $D$9, 100%, $F$9) + CHOOSE(CONTROL!$C$27, 0.0021, 0)</f>
        <v>62.952999999999996</v>
      </c>
      <c r="L631" s="14"/>
    </row>
    <row r="632" spans="1:12" ht="15.75" x14ac:dyDescent="0.25">
      <c r="A632" s="32">
        <v>60175</v>
      </c>
      <c r="B632" s="14">
        <f>64.6254 * CHOOSE(CONTROL!$C$9, $D$9, 100%, $F$9) + CHOOSE(CONTROL!$C$27, 0.0021, 0)</f>
        <v>64.627499999999998</v>
      </c>
      <c r="C632" s="14">
        <f>64.1932 * CHOOSE(CONTROL!$C$9, $D$9, 100%, $F$9) + CHOOSE(CONTROL!$C$27, 0.0021, 0)</f>
        <v>64.195300000000003</v>
      </c>
      <c r="D632" s="14">
        <f>64.1932 * CHOOSE(CONTROL!$C$9, $D$9, 100%, $F$9) + CHOOSE(CONTROL!$C$27, 0.0021, 0)</f>
        <v>64.195300000000003</v>
      </c>
      <c r="E632" s="14">
        <f>64.0565 * CHOOSE(CONTROL!$C$9, $D$9, 100%, $F$9) + CHOOSE(CONTROL!$C$27, 0.0021, 0)</f>
        <v>64.058599999999998</v>
      </c>
      <c r="F632" s="14">
        <f>64.0565 * CHOOSE(CONTROL!$C$9, $D$9, 100%, $F$9) + CHOOSE(CONTROL!$C$27, 0.0021, 0)</f>
        <v>64.058599999999998</v>
      </c>
      <c r="G632" s="14">
        <f>64.3279 * CHOOSE(CONTROL!$C$9, $D$9, 100%, $F$9) + CHOOSE(CONTROL!$C$27, 0.0021, 0)</f>
        <v>64.33</v>
      </c>
      <c r="H632" s="14">
        <f>64.1932 * CHOOSE(CONTROL!$C$9, $D$9, 100%, $F$9) + CHOOSE(CONTROL!$C$27, 0.0021, 0)</f>
        <v>64.195300000000003</v>
      </c>
      <c r="I632" s="14">
        <f>64.1932 * CHOOSE(CONTROL!$C$9, $D$9, 100%, $F$9) + CHOOSE(CONTROL!$C$27, 0.0021, 0)</f>
        <v>64.195300000000003</v>
      </c>
      <c r="J632" s="14">
        <f>64.1932 * CHOOSE(CONTROL!$C$9, $D$9, 100%, $F$9) + CHOOSE(CONTROL!$C$27, 0.0021, 0)</f>
        <v>64.195300000000003</v>
      </c>
      <c r="K632" s="14">
        <f>64.1932 * CHOOSE(CONTROL!$C$9, $D$9, 100%, $F$9) + CHOOSE(CONTROL!$C$27, 0.0021, 0)</f>
        <v>64.195300000000003</v>
      </c>
      <c r="L632" s="14"/>
    </row>
    <row r="633" spans="1:12" ht="15.75" x14ac:dyDescent="0.25">
      <c r="A633" s="32">
        <v>60206</v>
      </c>
      <c r="B633" s="14">
        <f>66.1979 * CHOOSE(CONTROL!$C$9, $D$9, 100%, $F$9) + CHOOSE(CONTROL!$C$27, 0.0021, 0)</f>
        <v>66.2</v>
      </c>
      <c r="C633" s="14">
        <f>65.7657 * CHOOSE(CONTROL!$C$9, $D$9, 100%, $F$9) + CHOOSE(CONTROL!$C$27, 0.0021, 0)</f>
        <v>65.767799999999994</v>
      </c>
      <c r="D633" s="14">
        <f>65.7657 * CHOOSE(CONTROL!$C$9, $D$9, 100%, $F$9) + CHOOSE(CONTROL!$C$27, 0.0021, 0)</f>
        <v>65.767799999999994</v>
      </c>
      <c r="E633" s="14">
        <f>65.629 * CHOOSE(CONTROL!$C$9, $D$9, 100%, $F$9) + CHOOSE(CONTROL!$C$27, 0.0021, 0)</f>
        <v>65.631100000000004</v>
      </c>
      <c r="F633" s="14">
        <f>65.629 * CHOOSE(CONTROL!$C$9, $D$9, 100%, $F$9) + CHOOSE(CONTROL!$C$27, 0.0021, 0)</f>
        <v>65.631100000000004</v>
      </c>
      <c r="G633" s="14">
        <f>65.9004 * CHOOSE(CONTROL!$C$9, $D$9, 100%, $F$9) + CHOOSE(CONTROL!$C$27, 0.0021, 0)</f>
        <v>65.902500000000003</v>
      </c>
      <c r="H633" s="14">
        <f>65.7657 * CHOOSE(CONTROL!$C$9, $D$9, 100%, $F$9) + CHOOSE(CONTROL!$C$27, 0.0021, 0)</f>
        <v>65.767799999999994</v>
      </c>
      <c r="I633" s="14">
        <f>65.7657 * CHOOSE(CONTROL!$C$9, $D$9, 100%, $F$9) + CHOOSE(CONTROL!$C$27, 0.0021, 0)</f>
        <v>65.767799999999994</v>
      </c>
      <c r="J633" s="14">
        <f>65.7657 * CHOOSE(CONTROL!$C$9, $D$9, 100%, $F$9) + CHOOSE(CONTROL!$C$27, 0.0021, 0)</f>
        <v>65.767799999999994</v>
      </c>
      <c r="K633" s="14">
        <f>65.7657 * CHOOSE(CONTROL!$C$9, $D$9, 100%, $F$9) + CHOOSE(CONTROL!$C$27, 0.0021, 0)</f>
        <v>65.767799999999994</v>
      </c>
      <c r="L633" s="14"/>
    </row>
    <row r="634" spans="1:12" ht="15.75" x14ac:dyDescent="0.25">
      <c r="A634" s="32">
        <v>60236</v>
      </c>
      <c r="B634" s="14">
        <f>66.3455 * CHOOSE(CONTROL!$C$9, $D$9, 100%, $F$9) + CHOOSE(CONTROL!$C$27, 0.0021, 0)</f>
        <v>66.3476</v>
      </c>
      <c r="C634" s="14">
        <f>65.9133 * CHOOSE(CONTROL!$C$9, $D$9, 100%, $F$9) + CHOOSE(CONTROL!$C$27, 0.0021, 0)</f>
        <v>65.915400000000005</v>
      </c>
      <c r="D634" s="14">
        <f>65.9133 * CHOOSE(CONTROL!$C$9, $D$9, 100%, $F$9) + CHOOSE(CONTROL!$C$27, 0.0021, 0)</f>
        <v>65.915400000000005</v>
      </c>
      <c r="E634" s="14">
        <f>65.7766 * CHOOSE(CONTROL!$C$9, $D$9, 100%, $F$9) + CHOOSE(CONTROL!$C$27, 0.0021, 0)</f>
        <v>65.778700000000001</v>
      </c>
      <c r="F634" s="14">
        <f>65.7766 * CHOOSE(CONTROL!$C$9, $D$9, 100%, $F$9) + CHOOSE(CONTROL!$C$27, 0.0021, 0)</f>
        <v>65.778700000000001</v>
      </c>
      <c r="G634" s="14">
        <f>66.048 * CHOOSE(CONTROL!$C$9, $D$9, 100%, $F$9) + CHOOSE(CONTROL!$C$27, 0.0021, 0)</f>
        <v>66.0501</v>
      </c>
      <c r="H634" s="14">
        <f>65.9133 * CHOOSE(CONTROL!$C$9, $D$9, 100%, $F$9) + CHOOSE(CONTROL!$C$27, 0.0021, 0)</f>
        <v>65.915400000000005</v>
      </c>
      <c r="I634" s="14">
        <f>65.9133 * CHOOSE(CONTROL!$C$9, $D$9, 100%, $F$9) + CHOOSE(CONTROL!$C$27, 0.0021, 0)</f>
        <v>65.915400000000005</v>
      </c>
      <c r="J634" s="14">
        <f>65.9133 * CHOOSE(CONTROL!$C$9, $D$9, 100%, $F$9) + CHOOSE(CONTROL!$C$27, 0.0021, 0)</f>
        <v>65.915400000000005</v>
      </c>
      <c r="K634" s="14">
        <f>65.9133 * CHOOSE(CONTROL!$C$9, $D$9, 100%, $F$9) + CHOOSE(CONTROL!$C$27, 0.0021, 0)</f>
        <v>65.915400000000005</v>
      </c>
      <c r="L634" s="14"/>
    </row>
    <row r="635" spans="1:12" ht="15.75" x14ac:dyDescent="0.25">
      <c r="A635" s="32">
        <v>60267</v>
      </c>
      <c r="B635" s="14">
        <f>65.0896 * CHOOSE(CONTROL!$C$9, $D$9, 100%, $F$9) + CHOOSE(CONTROL!$C$27, 0.0021, 0)</f>
        <v>65.091700000000003</v>
      </c>
      <c r="C635" s="14">
        <f>64.6574 * CHOOSE(CONTROL!$C$9, $D$9, 100%, $F$9) + CHOOSE(CONTROL!$C$27, 0.0021, 0)</f>
        <v>64.659499999999994</v>
      </c>
      <c r="D635" s="14">
        <f>64.6574 * CHOOSE(CONTROL!$C$9, $D$9, 100%, $F$9) + CHOOSE(CONTROL!$C$27, 0.0021, 0)</f>
        <v>64.659499999999994</v>
      </c>
      <c r="E635" s="14">
        <f>64.5207 * CHOOSE(CONTROL!$C$9, $D$9, 100%, $F$9) + CHOOSE(CONTROL!$C$27, 0.0021, 0)</f>
        <v>64.522800000000004</v>
      </c>
      <c r="F635" s="14">
        <f>64.5207 * CHOOSE(CONTROL!$C$9, $D$9, 100%, $F$9) + CHOOSE(CONTROL!$C$27, 0.0021, 0)</f>
        <v>64.522800000000004</v>
      </c>
      <c r="G635" s="14">
        <f>64.7921 * CHOOSE(CONTROL!$C$9, $D$9, 100%, $F$9) + CHOOSE(CONTROL!$C$27, 0.0021, 0)</f>
        <v>64.794200000000004</v>
      </c>
      <c r="H635" s="14">
        <f>64.6574 * CHOOSE(CONTROL!$C$9, $D$9, 100%, $F$9) + CHOOSE(CONTROL!$C$27, 0.0021, 0)</f>
        <v>64.659499999999994</v>
      </c>
      <c r="I635" s="14">
        <f>64.6574 * CHOOSE(CONTROL!$C$9, $D$9, 100%, $F$9) + CHOOSE(CONTROL!$C$27, 0.0021, 0)</f>
        <v>64.659499999999994</v>
      </c>
      <c r="J635" s="14">
        <f>64.6574 * CHOOSE(CONTROL!$C$9, $D$9, 100%, $F$9) + CHOOSE(CONTROL!$C$27, 0.0021, 0)</f>
        <v>64.659499999999994</v>
      </c>
      <c r="K635" s="14">
        <f>64.6574 * CHOOSE(CONTROL!$C$9, $D$9, 100%, $F$9) + CHOOSE(CONTROL!$C$27, 0.0021, 0)</f>
        <v>64.659499999999994</v>
      </c>
      <c r="L635" s="14"/>
    </row>
    <row r="636" spans="1:12" ht="15.75" x14ac:dyDescent="0.25">
      <c r="A636" s="32">
        <v>60298</v>
      </c>
      <c r="B636" s="14">
        <f>64.2668 * CHOOSE(CONTROL!$C$9, $D$9, 100%, $F$9) + CHOOSE(CONTROL!$C$27, 0.0021, 0)</f>
        <v>64.268900000000002</v>
      </c>
      <c r="C636" s="14">
        <f>63.8346 * CHOOSE(CONTROL!$C$9, $D$9, 100%, $F$9) + CHOOSE(CONTROL!$C$27, 0.0021, 0)</f>
        <v>63.8367</v>
      </c>
      <c r="D636" s="14">
        <f>63.8346 * CHOOSE(CONTROL!$C$9, $D$9, 100%, $F$9) + CHOOSE(CONTROL!$C$27, 0.0021, 0)</f>
        <v>63.8367</v>
      </c>
      <c r="E636" s="14">
        <f>63.6979 * CHOOSE(CONTROL!$C$9, $D$9, 100%, $F$9) + CHOOSE(CONTROL!$C$27, 0.0021, 0)</f>
        <v>63.699999999999996</v>
      </c>
      <c r="F636" s="14">
        <f>63.6979 * CHOOSE(CONTROL!$C$9, $D$9, 100%, $F$9) + CHOOSE(CONTROL!$C$27, 0.0021, 0)</f>
        <v>63.699999999999996</v>
      </c>
      <c r="G636" s="14">
        <f>63.9693 * CHOOSE(CONTROL!$C$9, $D$9, 100%, $F$9) + CHOOSE(CONTROL!$C$27, 0.0021, 0)</f>
        <v>63.971399999999996</v>
      </c>
      <c r="H636" s="14">
        <f>63.8346 * CHOOSE(CONTROL!$C$9, $D$9, 100%, $F$9) + CHOOSE(CONTROL!$C$27, 0.0021, 0)</f>
        <v>63.8367</v>
      </c>
      <c r="I636" s="14">
        <f>63.8346 * CHOOSE(CONTROL!$C$9, $D$9, 100%, $F$9) + CHOOSE(CONTROL!$C$27, 0.0021, 0)</f>
        <v>63.8367</v>
      </c>
      <c r="J636" s="14">
        <f>63.8346 * CHOOSE(CONTROL!$C$9, $D$9, 100%, $F$9) + CHOOSE(CONTROL!$C$27, 0.0021, 0)</f>
        <v>63.8367</v>
      </c>
      <c r="K636" s="14">
        <f>63.8346 * CHOOSE(CONTROL!$C$9, $D$9, 100%, $F$9) + CHOOSE(CONTROL!$C$27, 0.0021, 0)</f>
        <v>63.8367</v>
      </c>
      <c r="L636" s="14"/>
    </row>
    <row r="637" spans="1:12" ht="15.75" x14ac:dyDescent="0.25">
      <c r="A637" s="32">
        <v>60326</v>
      </c>
      <c r="B637" s="14">
        <f>62.5138 * CHOOSE(CONTROL!$C$9, $D$9, 100%, $F$9) + CHOOSE(CONTROL!$C$27, 0.0021, 0)</f>
        <v>62.515900000000002</v>
      </c>
      <c r="C637" s="14">
        <f>62.0816 * CHOOSE(CONTROL!$C$9, $D$9, 100%, $F$9) + CHOOSE(CONTROL!$C$27, 0.0021, 0)</f>
        <v>62.0837</v>
      </c>
      <c r="D637" s="14">
        <f>62.0816 * CHOOSE(CONTROL!$C$9, $D$9, 100%, $F$9) + CHOOSE(CONTROL!$C$27, 0.0021, 0)</f>
        <v>62.0837</v>
      </c>
      <c r="E637" s="14">
        <f>61.9449 * CHOOSE(CONTROL!$C$9, $D$9, 100%, $F$9) + CHOOSE(CONTROL!$C$27, 0.0021, 0)</f>
        <v>61.946999999999996</v>
      </c>
      <c r="F637" s="14">
        <f>61.9449 * CHOOSE(CONTROL!$C$9, $D$9, 100%, $F$9) + CHOOSE(CONTROL!$C$27, 0.0021, 0)</f>
        <v>61.946999999999996</v>
      </c>
      <c r="G637" s="14">
        <f>62.2163 * CHOOSE(CONTROL!$C$9, $D$9, 100%, $F$9) + CHOOSE(CONTROL!$C$27, 0.0021, 0)</f>
        <v>62.218399999999995</v>
      </c>
      <c r="H637" s="14">
        <f>62.0816 * CHOOSE(CONTROL!$C$9, $D$9, 100%, $F$9) + CHOOSE(CONTROL!$C$27, 0.0021, 0)</f>
        <v>62.0837</v>
      </c>
      <c r="I637" s="14">
        <f>62.0816 * CHOOSE(CONTROL!$C$9, $D$9, 100%, $F$9) + CHOOSE(CONTROL!$C$27, 0.0021, 0)</f>
        <v>62.0837</v>
      </c>
      <c r="J637" s="14">
        <f>62.0816 * CHOOSE(CONTROL!$C$9, $D$9, 100%, $F$9) + CHOOSE(CONTROL!$C$27, 0.0021, 0)</f>
        <v>62.0837</v>
      </c>
      <c r="K637" s="14">
        <f>62.0816 * CHOOSE(CONTROL!$C$9, $D$9, 100%, $F$9) + CHOOSE(CONTROL!$C$27, 0.0021, 0)</f>
        <v>62.0837</v>
      </c>
      <c r="L637" s="14"/>
    </row>
    <row r="638" spans="1:12" ht="15.75" x14ac:dyDescent="0.25">
      <c r="A638" s="32">
        <v>60357</v>
      </c>
      <c r="B638" s="14">
        <f>61.7902 * CHOOSE(CONTROL!$C$9, $D$9, 100%, $F$9) + CHOOSE(CONTROL!$C$27, 0.0021, 0)</f>
        <v>61.792299999999997</v>
      </c>
      <c r="C638" s="14">
        <f>61.358 * CHOOSE(CONTROL!$C$9, $D$9, 100%, $F$9) + CHOOSE(CONTROL!$C$27, 0.0021, 0)</f>
        <v>61.360099999999996</v>
      </c>
      <c r="D638" s="14">
        <f>61.358 * CHOOSE(CONTROL!$C$9, $D$9, 100%, $F$9) + CHOOSE(CONTROL!$C$27, 0.0021, 0)</f>
        <v>61.360099999999996</v>
      </c>
      <c r="E638" s="14">
        <f>61.2213 * CHOOSE(CONTROL!$C$9, $D$9, 100%, $F$9) + CHOOSE(CONTROL!$C$27, 0.0021, 0)</f>
        <v>61.223399999999998</v>
      </c>
      <c r="F638" s="14">
        <f>61.2213 * CHOOSE(CONTROL!$C$9, $D$9, 100%, $F$9) + CHOOSE(CONTROL!$C$27, 0.0021, 0)</f>
        <v>61.223399999999998</v>
      </c>
      <c r="G638" s="14">
        <f>61.4927 * CHOOSE(CONTROL!$C$9, $D$9, 100%, $F$9) + CHOOSE(CONTROL!$C$27, 0.0021, 0)</f>
        <v>61.494799999999998</v>
      </c>
      <c r="H638" s="14">
        <f>61.358 * CHOOSE(CONTROL!$C$9, $D$9, 100%, $F$9) + CHOOSE(CONTROL!$C$27, 0.0021, 0)</f>
        <v>61.360099999999996</v>
      </c>
      <c r="I638" s="14">
        <f>61.358 * CHOOSE(CONTROL!$C$9, $D$9, 100%, $F$9) + CHOOSE(CONTROL!$C$27, 0.0021, 0)</f>
        <v>61.360099999999996</v>
      </c>
      <c r="J638" s="14">
        <f>61.358 * CHOOSE(CONTROL!$C$9, $D$9, 100%, $F$9) + CHOOSE(CONTROL!$C$27, 0.0021, 0)</f>
        <v>61.360099999999996</v>
      </c>
      <c r="K638" s="14">
        <f>61.358 * CHOOSE(CONTROL!$C$9, $D$9, 100%, $F$9) + CHOOSE(CONTROL!$C$27, 0.0021, 0)</f>
        <v>61.360099999999996</v>
      </c>
      <c r="L638" s="14"/>
    </row>
    <row r="639" spans="1:12" ht="15.75" x14ac:dyDescent="0.25">
      <c r="A639" s="32">
        <v>60387</v>
      </c>
      <c r="B639" s="14">
        <f>60.9262 * CHOOSE(CONTROL!$C$9, $D$9, 100%, $F$9) + CHOOSE(CONTROL!$C$27, 0.0021, 0)</f>
        <v>60.9283</v>
      </c>
      <c r="C639" s="14">
        <f>60.4939 * CHOOSE(CONTROL!$C$9, $D$9, 100%, $F$9) + CHOOSE(CONTROL!$C$27, 0.0021, 0)</f>
        <v>60.495999999999995</v>
      </c>
      <c r="D639" s="14">
        <f>60.4939 * CHOOSE(CONTROL!$C$9, $D$9, 100%, $F$9) + CHOOSE(CONTROL!$C$27, 0.0021, 0)</f>
        <v>60.495999999999995</v>
      </c>
      <c r="E639" s="14">
        <f>60.3573 * CHOOSE(CONTROL!$C$9, $D$9, 100%, $F$9) + CHOOSE(CONTROL!$C$27, 0.0021, 0)</f>
        <v>60.359400000000001</v>
      </c>
      <c r="F639" s="14">
        <f>60.3573 * CHOOSE(CONTROL!$C$9, $D$9, 100%, $F$9) + CHOOSE(CONTROL!$C$27, 0.0021, 0)</f>
        <v>60.359400000000001</v>
      </c>
      <c r="G639" s="14">
        <f>60.6287 * CHOOSE(CONTROL!$C$9, $D$9, 100%, $F$9) + CHOOSE(CONTROL!$C$27, 0.0021, 0)</f>
        <v>60.630800000000001</v>
      </c>
      <c r="H639" s="14">
        <f>60.4939 * CHOOSE(CONTROL!$C$9, $D$9, 100%, $F$9) + CHOOSE(CONTROL!$C$27, 0.0021, 0)</f>
        <v>60.495999999999995</v>
      </c>
      <c r="I639" s="14">
        <f>60.4939 * CHOOSE(CONTROL!$C$9, $D$9, 100%, $F$9) + CHOOSE(CONTROL!$C$27, 0.0021, 0)</f>
        <v>60.495999999999995</v>
      </c>
      <c r="J639" s="14">
        <f>60.4939 * CHOOSE(CONTROL!$C$9, $D$9, 100%, $F$9) + CHOOSE(CONTROL!$C$27, 0.0021, 0)</f>
        <v>60.495999999999995</v>
      </c>
      <c r="K639" s="14">
        <f>60.4939 * CHOOSE(CONTROL!$C$9, $D$9, 100%, $F$9) + CHOOSE(CONTROL!$C$27, 0.0021, 0)</f>
        <v>60.495999999999995</v>
      </c>
      <c r="L639" s="14"/>
    </row>
    <row r="640" spans="1:12" ht="15.75" x14ac:dyDescent="0.25">
      <c r="A640" s="32">
        <v>60418</v>
      </c>
      <c r="B640" s="14">
        <f>62.1575 * CHOOSE(CONTROL!$C$9, $D$9, 100%, $F$9) + CHOOSE(CONTROL!$C$27, 0.0021, 0)</f>
        <v>62.159599999999998</v>
      </c>
      <c r="C640" s="14">
        <f>61.7253 * CHOOSE(CONTROL!$C$9, $D$9, 100%, $F$9) + CHOOSE(CONTROL!$C$27, 0.0021, 0)</f>
        <v>61.727399999999996</v>
      </c>
      <c r="D640" s="14">
        <f>61.7253 * CHOOSE(CONTROL!$C$9, $D$9, 100%, $F$9) + CHOOSE(CONTROL!$C$27, 0.0021, 0)</f>
        <v>61.727399999999996</v>
      </c>
      <c r="E640" s="14">
        <f>61.5886 * CHOOSE(CONTROL!$C$9, $D$9, 100%, $F$9) + CHOOSE(CONTROL!$C$27, 0.0021, 0)</f>
        <v>61.590699999999998</v>
      </c>
      <c r="F640" s="14">
        <f>61.5886 * CHOOSE(CONTROL!$C$9, $D$9, 100%, $F$9) + CHOOSE(CONTROL!$C$27, 0.0021, 0)</f>
        <v>61.590699999999998</v>
      </c>
      <c r="G640" s="14">
        <f>61.86 * CHOOSE(CONTROL!$C$9, $D$9, 100%, $F$9) + CHOOSE(CONTROL!$C$27, 0.0021, 0)</f>
        <v>61.862099999999998</v>
      </c>
      <c r="H640" s="14">
        <f>61.7253 * CHOOSE(CONTROL!$C$9, $D$9, 100%, $F$9) + CHOOSE(CONTROL!$C$27, 0.0021, 0)</f>
        <v>61.727399999999996</v>
      </c>
      <c r="I640" s="14">
        <f>61.7253 * CHOOSE(CONTROL!$C$9, $D$9, 100%, $F$9) + CHOOSE(CONTROL!$C$27, 0.0021, 0)</f>
        <v>61.727399999999996</v>
      </c>
      <c r="J640" s="14">
        <f>61.7253 * CHOOSE(CONTROL!$C$9, $D$9, 100%, $F$9) + CHOOSE(CONTROL!$C$27, 0.0021, 0)</f>
        <v>61.727399999999996</v>
      </c>
      <c r="K640" s="14">
        <f>61.7253 * CHOOSE(CONTROL!$C$9, $D$9, 100%, $F$9) + CHOOSE(CONTROL!$C$27, 0.0021, 0)</f>
        <v>61.727399999999996</v>
      </c>
      <c r="L640" s="14"/>
    </row>
    <row r="641" spans="1:12" ht="15.75" x14ac:dyDescent="0.25">
      <c r="A641" s="32">
        <v>60448</v>
      </c>
      <c r="B641" s="14">
        <f>62.8951 * CHOOSE(CONTROL!$C$9, $D$9, 100%, $F$9) + CHOOSE(CONTROL!$C$27, 0.0021, 0)</f>
        <v>62.897199999999998</v>
      </c>
      <c r="C641" s="14">
        <f>62.4628 * CHOOSE(CONTROL!$C$9, $D$9, 100%, $F$9) + CHOOSE(CONTROL!$C$27, 0.0021, 0)</f>
        <v>62.4649</v>
      </c>
      <c r="D641" s="14">
        <f>62.4628 * CHOOSE(CONTROL!$C$9, $D$9, 100%, $F$9) + CHOOSE(CONTROL!$C$27, 0.0021, 0)</f>
        <v>62.4649</v>
      </c>
      <c r="E641" s="14">
        <f>62.3261 * CHOOSE(CONTROL!$C$9, $D$9, 100%, $F$9) + CHOOSE(CONTROL!$C$27, 0.0021, 0)</f>
        <v>62.328199999999995</v>
      </c>
      <c r="F641" s="14">
        <f>62.3261 * CHOOSE(CONTROL!$C$9, $D$9, 100%, $F$9) + CHOOSE(CONTROL!$C$27, 0.0021, 0)</f>
        <v>62.328199999999995</v>
      </c>
      <c r="G641" s="14">
        <f>62.5975 * CHOOSE(CONTROL!$C$9, $D$9, 100%, $F$9) + CHOOSE(CONTROL!$C$27, 0.0021, 0)</f>
        <v>62.599599999999995</v>
      </c>
      <c r="H641" s="14">
        <f>62.4628 * CHOOSE(CONTROL!$C$9, $D$9, 100%, $F$9) + CHOOSE(CONTROL!$C$27, 0.0021, 0)</f>
        <v>62.4649</v>
      </c>
      <c r="I641" s="14">
        <f>62.4628 * CHOOSE(CONTROL!$C$9, $D$9, 100%, $F$9) + CHOOSE(CONTROL!$C$27, 0.0021, 0)</f>
        <v>62.4649</v>
      </c>
      <c r="J641" s="14">
        <f>62.4628 * CHOOSE(CONTROL!$C$9, $D$9, 100%, $F$9) + CHOOSE(CONTROL!$C$27, 0.0021, 0)</f>
        <v>62.4649</v>
      </c>
      <c r="K641" s="14">
        <f>62.4628 * CHOOSE(CONTROL!$C$9, $D$9, 100%, $F$9) + CHOOSE(CONTROL!$C$27, 0.0021, 0)</f>
        <v>62.4649</v>
      </c>
      <c r="L641" s="14"/>
    </row>
    <row r="642" spans="1:12" ht="15.75" x14ac:dyDescent="0.25">
      <c r="A642" s="32">
        <v>60479</v>
      </c>
      <c r="B642" s="14">
        <f>64.1117 * CHOOSE(CONTROL!$C$9, $D$9, 100%, $F$9) + CHOOSE(CONTROL!$C$27, 0.0021, 0)</f>
        <v>64.113799999999998</v>
      </c>
      <c r="C642" s="14">
        <f>63.6794 * CHOOSE(CONTROL!$C$9, $D$9, 100%, $F$9) + CHOOSE(CONTROL!$C$27, 0.0021, 0)</f>
        <v>63.6815</v>
      </c>
      <c r="D642" s="14">
        <f>63.6794 * CHOOSE(CONTROL!$C$9, $D$9, 100%, $F$9) + CHOOSE(CONTROL!$C$27, 0.0021, 0)</f>
        <v>63.6815</v>
      </c>
      <c r="E642" s="14">
        <f>63.5428 * CHOOSE(CONTROL!$C$9, $D$9, 100%, $F$9) + CHOOSE(CONTROL!$C$27, 0.0021, 0)</f>
        <v>63.544899999999998</v>
      </c>
      <c r="F642" s="14">
        <f>63.5428 * CHOOSE(CONTROL!$C$9, $D$9, 100%, $F$9) + CHOOSE(CONTROL!$C$27, 0.0021, 0)</f>
        <v>63.544899999999998</v>
      </c>
      <c r="G642" s="14">
        <f>63.8142 * CHOOSE(CONTROL!$C$9, $D$9, 100%, $F$9) + CHOOSE(CONTROL!$C$27, 0.0021, 0)</f>
        <v>63.816299999999998</v>
      </c>
      <c r="H642" s="14">
        <f>63.6794 * CHOOSE(CONTROL!$C$9, $D$9, 100%, $F$9) + CHOOSE(CONTROL!$C$27, 0.0021, 0)</f>
        <v>63.6815</v>
      </c>
      <c r="I642" s="14">
        <f>63.6794 * CHOOSE(CONTROL!$C$9, $D$9, 100%, $F$9) + CHOOSE(CONTROL!$C$27, 0.0021, 0)</f>
        <v>63.6815</v>
      </c>
      <c r="J642" s="14">
        <f>63.6794 * CHOOSE(CONTROL!$C$9, $D$9, 100%, $F$9) + CHOOSE(CONTROL!$C$27, 0.0021, 0)</f>
        <v>63.6815</v>
      </c>
      <c r="K642" s="14">
        <f>63.6794 * CHOOSE(CONTROL!$C$9, $D$9, 100%, $F$9) + CHOOSE(CONTROL!$C$27, 0.0021, 0)</f>
        <v>63.6815</v>
      </c>
      <c r="L642" s="14"/>
    </row>
    <row r="643" spans="1:12" ht="15.75" x14ac:dyDescent="0.25">
      <c r="A643" s="32">
        <v>60510</v>
      </c>
      <c r="B643" s="14">
        <f>64.483 * CHOOSE(CONTROL!$C$9, $D$9, 100%, $F$9) + CHOOSE(CONTROL!$C$27, 0.0021, 0)</f>
        <v>64.485100000000003</v>
      </c>
      <c r="C643" s="14">
        <f>64.0508 * CHOOSE(CONTROL!$C$9, $D$9, 100%, $F$9) + CHOOSE(CONTROL!$C$27, 0.0021, 0)</f>
        <v>64.052899999999994</v>
      </c>
      <c r="D643" s="14">
        <f>64.0508 * CHOOSE(CONTROL!$C$9, $D$9, 100%, $F$9) + CHOOSE(CONTROL!$C$27, 0.0021, 0)</f>
        <v>64.052899999999994</v>
      </c>
      <c r="E643" s="14">
        <f>63.9141 * CHOOSE(CONTROL!$C$9, $D$9, 100%, $F$9) + CHOOSE(CONTROL!$C$27, 0.0021, 0)</f>
        <v>63.916199999999996</v>
      </c>
      <c r="F643" s="14">
        <f>63.9141 * CHOOSE(CONTROL!$C$9, $D$9, 100%, $F$9) + CHOOSE(CONTROL!$C$27, 0.0021, 0)</f>
        <v>63.916199999999996</v>
      </c>
      <c r="G643" s="14">
        <f>64.1855 * CHOOSE(CONTROL!$C$9, $D$9, 100%, $F$9) + CHOOSE(CONTROL!$C$27, 0.0021, 0)</f>
        <v>64.187600000000003</v>
      </c>
      <c r="H643" s="14">
        <f>64.0508 * CHOOSE(CONTROL!$C$9, $D$9, 100%, $F$9) + CHOOSE(CONTROL!$C$27, 0.0021, 0)</f>
        <v>64.052899999999994</v>
      </c>
      <c r="I643" s="14">
        <f>64.0508 * CHOOSE(CONTROL!$C$9, $D$9, 100%, $F$9) + CHOOSE(CONTROL!$C$27, 0.0021, 0)</f>
        <v>64.052899999999994</v>
      </c>
      <c r="J643" s="14">
        <f>64.0508 * CHOOSE(CONTROL!$C$9, $D$9, 100%, $F$9) + CHOOSE(CONTROL!$C$27, 0.0021, 0)</f>
        <v>64.052899999999994</v>
      </c>
      <c r="K643" s="14">
        <f>64.0508 * CHOOSE(CONTROL!$C$9, $D$9, 100%, $F$9) + CHOOSE(CONTROL!$C$27, 0.0021, 0)</f>
        <v>64.052899999999994</v>
      </c>
      <c r="L643" s="14"/>
    </row>
    <row r="644" spans="1:12" ht="15.75" x14ac:dyDescent="0.25">
      <c r="A644" s="32">
        <v>60540</v>
      </c>
      <c r="B644" s="14">
        <f>65.7477 * CHOOSE(CONTROL!$C$9, $D$9, 100%, $F$9) + CHOOSE(CONTROL!$C$27, 0.0021, 0)</f>
        <v>65.749799999999993</v>
      </c>
      <c r="C644" s="14">
        <f>65.3154 * CHOOSE(CONTROL!$C$9, $D$9, 100%, $F$9) + CHOOSE(CONTROL!$C$27, 0.0021, 0)</f>
        <v>65.317499999999995</v>
      </c>
      <c r="D644" s="14">
        <f>65.3154 * CHOOSE(CONTROL!$C$9, $D$9, 100%, $F$9) + CHOOSE(CONTROL!$C$27, 0.0021, 0)</f>
        <v>65.317499999999995</v>
      </c>
      <c r="E644" s="14">
        <f>65.1788 * CHOOSE(CONTROL!$C$9, $D$9, 100%, $F$9) + CHOOSE(CONTROL!$C$27, 0.0021, 0)</f>
        <v>65.180899999999994</v>
      </c>
      <c r="F644" s="14">
        <f>65.1788 * CHOOSE(CONTROL!$C$9, $D$9, 100%, $F$9) + CHOOSE(CONTROL!$C$27, 0.0021, 0)</f>
        <v>65.180899999999994</v>
      </c>
      <c r="G644" s="14">
        <f>65.4502 * CHOOSE(CONTROL!$C$9, $D$9, 100%, $F$9) + CHOOSE(CONTROL!$C$27, 0.0021, 0)</f>
        <v>65.452299999999994</v>
      </c>
      <c r="H644" s="14">
        <f>65.3154 * CHOOSE(CONTROL!$C$9, $D$9, 100%, $F$9) + CHOOSE(CONTROL!$C$27, 0.0021, 0)</f>
        <v>65.317499999999995</v>
      </c>
      <c r="I644" s="14">
        <f>65.3154 * CHOOSE(CONTROL!$C$9, $D$9, 100%, $F$9) + CHOOSE(CONTROL!$C$27, 0.0021, 0)</f>
        <v>65.317499999999995</v>
      </c>
      <c r="J644" s="14">
        <f>65.3154 * CHOOSE(CONTROL!$C$9, $D$9, 100%, $F$9) + CHOOSE(CONTROL!$C$27, 0.0021, 0)</f>
        <v>65.317499999999995</v>
      </c>
      <c r="K644" s="14">
        <f>65.3154 * CHOOSE(CONTROL!$C$9, $D$9, 100%, $F$9) + CHOOSE(CONTROL!$C$27, 0.0021, 0)</f>
        <v>65.317499999999995</v>
      </c>
      <c r="L644" s="14"/>
    </row>
    <row r="645" spans="1:12" ht="15.75" x14ac:dyDescent="0.25">
      <c r="A645" s="32">
        <v>60571</v>
      </c>
      <c r="B645" s="14">
        <f>67.3485 * CHOOSE(CONTROL!$C$9, $D$9, 100%, $F$9) + CHOOSE(CONTROL!$C$27, 0.0021, 0)</f>
        <v>67.3506</v>
      </c>
      <c r="C645" s="14">
        <f>66.9163 * CHOOSE(CONTROL!$C$9, $D$9, 100%, $F$9) + CHOOSE(CONTROL!$C$27, 0.0021, 0)</f>
        <v>66.918400000000005</v>
      </c>
      <c r="D645" s="14">
        <f>66.9163 * CHOOSE(CONTROL!$C$9, $D$9, 100%, $F$9) + CHOOSE(CONTROL!$C$27, 0.0021, 0)</f>
        <v>66.918400000000005</v>
      </c>
      <c r="E645" s="14">
        <f>66.7796 * CHOOSE(CONTROL!$C$9, $D$9, 100%, $F$9) + CHOOSE(CONTROL!$C$27, 0.0021, 0)</f>
        <v>66.781700000000001</v>
      </c>
      <c r="F645" s="14">
        <f>66.7796 * CHOOSE(CONTROL!$C$9, $D$9, 100%, $F$9) + CHOOSE(CONTROL!$C$27, 0.0021, 0)</f>
        <v>66.781700000000001</v>
      </c>
      <c r="G645" s="14">
        <f>67.051 * CHOOSE(CONTROL!$C$9, $D$9, 100%, $F$9) + CHOOSE(CONTROL!$C$27, 0.0021, 0)</f>
        <v>67.053100000000001</v>
      </c>
      <c r="H645" s="14">
        <f>66.9163 * CHOOSE(CONTROL!$C$9, $D$9, 100%, $F$9) + CHOOSE(CONTROL!$C$27, 0.0021, 0)</f>
        <v>66.918400000000005</v>
      </c>
      <c r="I645" s="14">
        <f>66.9163 * CHOOSE(CONTROL!$C$9, $D$9, 100%, $F$9) + CHOOSE(CONTROL!$C$27, 0.0021, 0)</f>
        <v>66.918400000000005</v>
      </c>
      <c r="J645" s="14">
        <f>66.9163 * CHOOSE(CONTROL!$C$9, $D$9, 100%, $F$9) + CHOOSE(CONTROL!$C$27, 0.0021, 0)</f>
        <v>66.918400000000005</v>
      </c>
      <c r="K645" s="14">
        <f>66.9163 * CHOOSE(CONTROL!$C$9, $D$9, 100%, $F$9) + CHOOSE(CONTROL!$C$27, 0.0021, 0)</f>
        <v>66.918400000000005</v>
      </c>
      <c r="L645" s="14"/>
    </row>
    <row r="646" spans="1:12" ht="15.75" x14ac:dyDescent="0.25">
      <c r="A646" s="32">
        <v>60601</v>
      </c>
      <c r="B646" s="14">
        <f>67.4988 * CHOOSE(CONTROL!$C$9, $D$9, 100%, $F$9) + CHOOSE(CONTROL!$C$27, 0.0021, 0)</f>
        <v>67.500900000000001</v>
      </c>
      <c r="C646" s="14">
        <f>67.0666 * CHOOSE(CONTROL!$C$9, $D$9, 100%, $F$9) + CHOOSE(CONTROL!$C$27, 0.0021, 0)</f>
        <v>67.068699999999993</v>
      </c>
      <c r="D646" s="14">
        <f>67.0666 * CHOOSE(CONTROL!$C$9, $D$9, 100%, $F$9) + CHOOSE(CONTROL!$C$27, 0.0021, 0)</f>
        <v>67.068699999999993</v>
      </c>
      <c r="E646" s="14">
        <f>66.9299 * CHOOSE(CONTROL!$C$9, $D$9, 100%, $F$9) + CHOOSE(CONTROL!$C$27, 0.0021, 0)</f>
        <v>66.932000000000002</v>
      </c>
      <c r="F646" s="14">
        <f>66.9299 * CHOOSE(CONTROL!$C$9, $D$9, 100%, $F$9) + CHOOSE(CONTROL!$C$27, 0.0021, 0)</f>
        <v>66.932000000000002</v>
      </c>
      <c r="G646" s="14">
        <f>67.2013 * CHOOSE(CONTROL!$C$9, $D$9, 100%, $F$9) + CHOOSE(CONTROL!$C$27, 0.0021, 0)</f>
        <v>67.203400000000002</v>
      </c>
      <c r="H646" s="14">
        <f>67.0666 * CHOOSE(CONTROL!$C$9, $D$9, 100%, $F$9) + CHOOSE(CONTROL!$C$27, 0.0021, 0)</f>
        <v>67.068699999999993</v>
      </c>
      <c r="I646" s="14">
        <f>67.0666 * CHOOSE(CONTROL!$C$9, $D$9, 100%, $F$9) + CHOOSE(CONTROL!$C$27, 0.0021, 0)</f>
        <v>67.068699999999993</v>
      </c>
      <c r="J646" s="14">
        <f>67.0666 * CHOOSE(CONTROL!$C$9, $D$9, 100%, $F$9) + CHOOSE(CONTROL!$C$27, 0.0021, 0)</f>
        <v>67.068699999999993</v>
      </c>
      <c r="K646" s="14">
        <f>67.0666 * CHOOSE(CONTROL!$C$9, $D$9, 100%, $F$9) + CHOOSE(CONTROL!$C$27, 0.0021, 0)</f>
        <v>67.068699999999993</v>
      </c>
      <c r="L646" s="14"/>
    </row>
    <row r="647" spans="1:12" ht="15.75" x14ac:dyDescent="0.25">
      <c r="A647" s="32">
        <v>60632</v>
      </c>
      <c r="B647" s="14">
        <f>66.2203 * CHOOSE(CONTROL!$C$9, $D$9, 100%, $F$9) + CHOOSE(CONTROL!$C$27, 0.0021, 0)</f>
        <v>66.222399999999993</v>
      </c>
      <c r="C647" s="14">
        <f>65.788 * CHOOSE(CONTROL!$C$9, $D$9, 100%, $F$9) + CHOOSE(CONTROL!$C$27, 0.0021, 0)</f>
        <v>65.790099999999995</v>
      </c>
      <c r="D647" s="14">
        <f>65.788 * CHOOSE(CONTROL!$C$9, $D$9, 100%, $F$9) + CHOOSE(CONTROL!$C$27, 0.0021, 0)</f>
        <v>65.790099999999995</v>
      </c>
      <c r="E647" s="14">
        <f>65.6513 * CHOOSE(CONTROL!$C$9, $D$9, 100%, $F$9) + CHOOSE(CONTROL!$C$27, 0.0021, 0)</f>
        <v>65.653400000000005</v>
      </c>
      <c r="F647" s="14">
        <f>65.6513 * CHOOSE(CONTROL!$C$9, $D$9, 100%, $F$9) + CHOOSE(CONTROL!$C$27, 0.0021, 0)</f>
        <v>65.653400000000005</v>
      </c>
      <c r="G647" s="14">
        <f>65.9227 * CHOOSE(CONTROL!$C$9, $D$9, 100%, $F$9) + CHOOSE(CONTROL!$C$27, 0.0021, 0)</f>
        <v>65.924800000000005</v>
      </c>
      <c r="H647" s="14">
        <f>65.788 * CHOOSE(CONTROL!$C$9, $D$9, 100%, $F$9) + CHOOSE(CONTROL!$C$27, 0.0021, 0)</f>
        <v>65.790099999999995</v>
      </c>
      <c r="I647" s="14">
        <f>65.788 * CHOOSE(CONTROL!$C$9, $D$9, 100%, $F$9) + CHOOSE(CONTROL!$C$27, 0.0021, 0)</f>
        <v>65.790099999999995</v>
      </c>
      <c r="J647" s="14">
        <f>65.788 * CHOOSE(CONTROL!$C$9, $D$9, 100%, $F$9) + CHOOSE(CONTROL!$C$27, 0.0021, 0)</f>
        <v>65.790099999999995</v>
      </c>
      <c r="K647" s="14">
        <f>65.788 * CHOOSE(CONTROL!$C$9, $D$9, 100%, $F$9) + CHOOSE(CONTROL!$C$27, 0.0021, 0)</f>
        <v>65.790099999999995</v>
      </c>
      <c r="L647" s="14"/>
    </row>
    <row r="648" spans="1:12" ht="15.75" x14ac:dyDescent="0.25">
      <c r="A648" s="32">
        <v>60663</v>
      </c>
      <c r="B648" s="14">
        <f>65.3827 * CHOOSE(CONTROL!$C$9, $D$9, 100%, $F$9) + CHOOSE(CONTROL!$C$27, 0.0021, 0)</f>
        <v>65.384799999999998</v>
      </c>
      <c r="C648" s="14">
        <f>64.9504 * CHOOSE(CONTROL!$C$9, $D$9, 100%, $F$9) + CHOOSE(CONTROL!$C$27, 0.0021, 0)</f>
        <v>64.952500000000001</v>
      </c>
      <c r="D648" s="14">
        <f>64.9504 * CHOOSE(CONTROL!$C$9, $D$9, 100%, $F$9) + CHOOSE(CONTROL!$C$27, 0.0021, 0)</f>
        <v>64.952500000000001</v>
      </c>
      <c r="E648" s="14">
        <f>64.8138 * CHOOSE(CONTROL!$C$9, $D$9, 100%, $F$9) + CHOOSE(CONTROL!$C$27, 0.0021, 0)</f>
        <v>64.815899999999999</v>
      </c>
      <c r="F648" s="14">
        <f>64.8138 * CHOOSE(CONTROL!$C$9, $D$9, 100%, $F$9) + CHOOSE(CONTROL!$C$27, 0.0021, 0)</f>
        <v>64.815899999999999</v>
      </c>
      <c r="G648" s="14">
        <f>65.0851 * CHOOSE(CONTROL!$C$9, $D$9, 100%, $F$9) + CHOOSE(CONTROL!$C$27, 0.0021, 0)</f>
        <v>65.087199999999996</v>
      </c>
      <c r="H648" s="14">
        <f>64.9504 * CHOOSE(CONTROL!$C$9, $D$9, 100%, $F$9) + CHOOSE(CONTROL!$C$27, 0.0021, 0)</f>
        <v>64.952500000000001</v>
      </c>
      <c r="I648" s="14">
        <f>64.9504 * CHOOSE(CONTROL!$C$9, $D$9, 100%, $F$9) + CHOOSE(CONTROL!$C$27, 0.0021, 0)</f>
        <v>64.952500000000001</v>
      </c>
      <c r="J648" s="14">
        <f>64.9504 * CHOOSE(CONTROL!$C$9, $D$9, 100%, $F$9) + CHOOSE(CONTROL!$C$27, 0.0021, 0)</f>
        <v>64.952500000000001</v>
      </c>
      <c r="K648" s="14">
        <f>64.9504 * CHOOSE(CONTROL!$C$9, $D$9, 100%, $F$9) + CHOOSE(CONTROL!$C$27, 0.0021, 0)</f>
        <v>64.952500000000001</v>
      </c>
      <c r="L648" s="14"/>
    </row>
    <row r="649" spans="1:12" ht="15.75" x14ac:dyDescent="0.25">
      <c r="A649" s="32">
        <v>60691</v>
      </c>
      <c r="B649" s="14">
        <f>63.5981 * CHOOSE(CONTROL!$C$9, $D$9, 100%, $F$9) + CHOOSE(CONTROL!$C$27, 0.0021, 0)</f>
        <v>63.600200000000001</v>
      </c>
      <c r="C649" s="14">
        <f>63.1659 * CHOOSE(CONTROL!$C$9, $D$9, 100%, $F$9) + CHOOSE(CONTROL!$C$27, 0.0021, 0)</f>
        <v>63.167999999999999</v>
      </c>
      <c r="D649" s="14">
        <f>63.1659 * CHOOSE(CONTROL!$C$9, $D$9, 100%, $F$9) + CHOOSE(CONTROL!$C$27, 0.0021, 0)</f>
        <v>63.167999999999999</v>
      </c>
      <c r="E649" s="14">
        <f>63.0292 * CHOOSE(CONTROL!$C$9, $D$9, 100%, $F$9) + CHOOSE(CONTROL!$C$27, 0.0021, 0)</f>
        <v>63.031300000000002</v>
      </c>
      <c r="F649" s="14">
        <f>63.0292 * CHOOSE(CONTROL!$C$9, $D$9, 100%, $F$9) + CHOOSE(CONTROL!$C$27, 0.0021, 0)</f>
        <v>63.031300000000002</v>
      </c>
      <c r="G649" s="14">
        <f>63.3006 * CHOOSE(CONTROL!$C$9, $D$9, 100%, $F$9) + CHOOSE(CONTROL!$C$27, 0.0021, 0)</f>
        <v>63.302700000000002</v>
      </c>
      <c r="H649" s="14">
        <f>63.1659 * CHOOSE(CONTROL!$C$9, $D$9, 100%, $F$9) + CHOOSE(CONTROL!$C$27, 0.0021, 0)</f>
        <v>63.167999999999999</v>
      </c>
      <c r="I649" s="14">
        <f>63.1659 * CHOOSE(CONTROL!$C$9, $D$9, 100%, $F$9) + CHOOSE(CONTROL!$C$27, 0.0021, 0)</f>
        <v>63.167999999999999</v>
      </c>
      <c r="J649" s="14">
        <f>63.1659 * CHOOSE(CONTROL!$C$9, $D$9, 100%, $F$9) + CHOOSE(CONTROL!$C$27, 0.0021, 0)</f>
        <v>63.167999999999999</v>
      </c>
      <c r="K649" s="14">
        <f>63.1659 * CHOOSE(CONTROL!$C$9, $D$9, 100%, $F$9) + CHOOSE(CONTROL!$C$27, 0.0021, 0)</f>
        <v>63.167999999999999</v>
      </c>
      <c r="L649" s="14"/>
    </row>
    <row r="650" spans="1:12" ht="15.75" x14ac:dyDescent="0.25">
      <c r="A650" s="32">
        <v>60722</v>
      </c>
      <c r="B650" s="14">
        <f>62.8615 * CHOOSE(CONTROL!$C$9, $D$9, 100%, $F$9) + CHOOSE(CONTROL!$C$27, 0.0021, 0)</f>
        <v>62.863599999999998</v>
      </c>
      <c r="C650" s="14">
        <f>62.4292 * CHOOSE(CONTROL!$C$9, $D$9, 100%, $F$9) + CHOOSE(CONTROL!$C$27, 0.0021, 0)</f>
        <v>62.4313</v>
      </c>
      <c r="D650" s="14">
        <f>62.4292 * CHOOSE(CONTROL!$C$9, $D$9, 100%, $F$9) + CHOOSE(CONTROL!$C$27, 0.0021, 0)</f>
        <v>62.4313</v>
      </c>
      <c r="E650" s="14">
        <f>62.2926 * CHOOSE(CONTROL!$C$9, $D$9, 100%, $F$9) + CHOOSE(CONTROL!$C$27, 0.0021, 0)</f>
        <v>62.294699999999999</v>
      </c>
      <c r="F650" s="14">
        <f>62.2926 * CHOOSE(CONTROL!$C$9, $D$9, 100%, $F$9) + CHOOSE(CONTROL!$C$27, 0.0021, 0)</f>
        <v>62.294699999999999</v>
      </c>
      <c r="G650" s="14">
        <f>62.5639 * CHOOSE(CONTROL!$C$9, $D$9, 100%, $F$9) + CHOOSE(CONTROL!$C$27, 0.0021, 0)</f>
        <v>62.565999999999995</v>
      </c>
      <c r="H650" s="14">
        <f>62.4292 * CHOOSE(CONTROL!$C$9, $D$9, 100%, $F$9) + CHOOSE(CONTROL!$C$27, 0.0021, 0)</f>
        <v>62.4313</v>
      </c>
      <c r="I650" s="14">
        <f>62.4292 * CHOOSE(CONTROL!$C$9, $D$9, 100%, $F$9) + CHOOSE(CONTROL!$C$27, 0.0021, 0)</f>
        <v>62.4313</v>
      </c>
      <c r="J650" s="14">
        <f>62.4292 * CHOOSE(CONTROL!$C$9, $D$9, 100%, $F$9) + CHOOSE(CONTROL!$C$27, 0.0021, 0)</f>
        <v>62.4313</v>
      </c>
      <c r="K650" s="14">
        <f>62.4292 * CHOOSE(CONTROL!$C$9, $D$9, 100%, $F$9) + CHOOSE(CONTROL!$C$27, 0.0021, 0)</f>
        <v>62.4313</v>
      </c>
      <c r="L650" s="14"/>
    </row>
    <row r="651" spans="1:12" ht="15.75" x14ac:dyDescent="0.25">
      <c r="A651" s="32">
        <v>60752</v>
      </c>
      <c r="B651" s="14">
        <f>61.9819 * CHOOSE(CONTROL!$C$9, $D$9, 100%, $F$9) + CHOOSE(CONTROL!$C$27, 0.0021, 0)</f>
        <v>61.984000000000002</v>
      </c>
      <c r="C651" s="14">
        <f>61.5496 * CHOOSE(CONTROL!$C$9, $D$9, 100%, $F$9) + CHOOSE(CONTROL!$C$27, 0.0021, 0)</f>
        <v>61.551699999999997</v>
      </c>
      <c r="D651" s="14">
        <f>61.5496 * CHOOSE(CONTROL!$C$9, $D$9, 100%, $F$9) + CHOOSE(CONTROL!$C$27, 0.0021, 0)</f>
        <v>61.551699999999997</v>
      </c>
      <c r="E651" s="14">
        <f>61.413 * CHOOSE(CONTROL!$C$9, $D$9, 100%, $F$9) + CHOOSE(CONTROL!$C$27, 0.0021, 0)</f>
        <v>61.415099999999995</v>
      </c>
      <c r="F651" s="14">
        <f>61.413 * CHOOSE(CONTROL!$C$9, $D$9, 100%, $F$9) + CHOOSE(CONTROL!$C$27, 0.0021, 0)</f>
        <v>61.415099999999995</v>
      </c>
      <c r="G651" s="14">
        <f>61.6844 * CHOOSE(CONTROL!$C$9, $D$9, 100%, $F$9) + CHOOSE(CONTROL!$C$27, 0.0021, 0)</f>
        <v>61.686499999999995</v>
      </c>
      <c r="H651" s="14">
        <f>61.5496 * CHOOSE(CONTROL!$C$9, $D$9, 100%, $F$9) + CHOOSE(CONTROL!$C$27, 0.0021, 0)</f>
        <v>61.551699999999997</v>
      </c>
      <c r="I651" s="14">
        <f>61.5496 * CHOOSE(CONTROL!$C$9, $D$9, 100%, $F$9) + CHOOSE(CONTROL!$C$27, 0.0021, 0)</f>
        <v>61.551699999999997</v>
      </c>
      <c r="J651" s="14">
        <f>61.5496 * CHOOSE(CONTROL!$C$9, $D$9, 100%, $F$9) + CHOOSE(CONTROL!$C$27, 0.0021, 0)</f>
        <v>61.551699999999997</v>
      </c>
      <c r="K651" s="14">
        <f>61.5496 * CHOOSE(CONTROL!$C$9, $D$9, 100%, $F$9) + CHOOSE(CONTROL!$C$27, 0.0021, 0)</f>
        <v>61.551699999999997</v>
      </c>
      <c r="L651" s="14"/>
    </row>
    <row r="652" spans="1:12" ht="15.75" x14ac:dyDescent="0.25">
      <c r="A652" s="32">
        <v>60783</v>
      </c>
      <c r="B652" s="14">
        <f>63.2354 * CHOOSE(CONTROL!$C$9, $D$9, 100%, $F$9) + CHOOSE(CONTROL!$C$27, 0.0021, 0)</f>
        <v>63.237499999999997</v>
      </c>
      <c r="C652" s="14">
        <f>62.8031 * CHOOSE(CONTROL!$C$9, $D$9, 100%, $F$9) + CHOOSE(CONTROL!$C$27, 0.0021, 0)</f>
        <v>62.805199999999999</v>
      </c>
      <c r="D652" s="14">
        <f>62.8031 * CHOOSE(CONTROL!$C$9, $D$9, 100%, $F$9) + CHOOSE(CONTROL!$C$27, 0.0021, 0)</f>
        <v>62.805199999999999</v>
      </c>
      <c r="E652" s="14">
        <f>62.6665 * CHOOSE(CONTROL!$C$9, $D$9, 100%, $F$9) + CHOOSE(CONTROL!$C$27, 0.0021, 0)</f>
        <v>62.668599999999998</v>
      </c>
      <c r="F652" s="14">
        <f>62.6665 * CHOOSE(CONTROL!$C$9, $D$9, 100%, $F$9) + CHOOSE(CONTROL!$C$27, 0.0021, 0)</f>
        <v>62.668599999999998</v>
      </c>
      <c r="G652" s="14">
        <f>62.9379 * CHOOSE(CONTROL!$C$9, $D$9, 100%, $F$9) + CHOOSE(CONTROL!$C$27, 0.0021, 0)</f>
        <v>62.94</v>
      </c>
      <c r="H652" s="14">
        <f>62.8031 * CHOOSE(CONTROL!$C$9, $D$9, 100%, $F$9) + CHOOSE(CONTROL!$C$27, 0.0021, 0)</f>
        <v>62.805199999999999</v>
      </c>
      <c r="I652" s="14">
        <f>62.8031 * CHOOSE(CONTROL!$C$9, $D$9, 100%, $F$9) + CHOOSE(CONTROL!$C$27, 0.0021, 0)</f>
        <v>62.805199999999999</v>
      </c>
      <c r="J652" s="14">
        <f>62.8031 * CHOOSE(CONTROL!$C$9, $D$9, 100%, $F$9) + CHOOSE(CONTROL!$C$27, 0.0021, 0)</f>
        <v>62.805199999999999</v>
      </c>
      <c r="K652" s="14">
        <f>62.8031 * CHOOSE(CONTROL!$C$9, $D$9, 100%, $F$9) + CHOOSE(CONTROL!$C$27, 0.0021, 0)</f>
        <v>62.805199999999999</v>
      </c>
      <c r="L652" s="14"/>
    </row>
    <row r="653" spans="1:12" ht="15.75" x14ac:dyDescent="0.25">
      <c r="A653" s="32">
        <v>60813</v>
      </c>
      <c r="B653" s="14">
        <f>63.9862 * CHOOSE(CONTROL!$C$9, $D$9, 100%, $F$9) + CHOOSE(CONTROL!$C$27, 0.0021, 0)</f>
        <v>63.988299999999995</v>
      </c>
      <c r="C653" s="14">
        <f>63.5539 * CHOOSE(CONTROL!$C$9, $D$9, 100%, $F$9) + CHOOSE(CONTROL!$C$27, 0.0021, 0)</f>
        <v>63.555999999999997</v>
      </c>
      <c r="D653" s="14">
        <f>63.5539 * CHOOSE(CONTROL!$C$9, $D$9, 100%, $F$9) + CHOOSE(CONTROL!$C$27, 0.0021, 0)</f>
        <v>63.555999999999997</v>
      </c>
      <c r="E653" s="14">
        <f>63.4173 * CHOOSE(CONTROL!$C$9, $D$9, 100%, $F$9) + CHOOSE(CONTROL!$C$27, 0.0021, 0)</f>
        <v>63.419399999999996</v>
      </c>
      <c r="F653" s="14">
        <f>63.4173 * CHOOSE(CONTROL!$C$9, $D$9, 100%, $F$9) + CHOOSE(CONTROL!$C$27, 0.0021, 0)</f>
        <v>63.419399999999996</v>
      </c>
      <c r="G653" s="14">
        <f>63.6887 * CHOOSE(CONTROL!$C$9, $D$9, 100%, $F$9) + CHOOSE(CONTROL!$C$27, 0.0021, 0)</f>
        <v>63.690799999999996</v>
      </c>
      <c r="H653" s="14">
        <f>63.5539 * CHOOSE(CONTROL!$C$9, $D$9, 100%, $F$9) + CHOOSE(CONTROL!$C$27, 0.0021, 0)</f>
        <v>63.555999999999997</v>
      </c>
      <c r="I653" s="14">
        <f>63.5539 * CHOOSE(CONTROL!$C$9, $D$9, 100%, $F$9) + CHOOSE(CONTROL!$C$27, 0.0021, 0)</f>
        <v>63.555999999999997</v>
      </c>
      <c r="J653" s="14">
        <f>63.5539 * CHOOSE(CONTROL!$C$9, $D$9, 100%, $F$9) + CHOOSE(CONTROL!$C$27, 0.0021, 0)</f>
        <v>63.555999999999997</v>
      </c>
      <c r="K653" s="14">
        <f>63.5539 * CHOOSE(CONTROL!$C$9, $D$9, 100%, $F$9) + CHOOSE(CONTROL!$C$27, 0.0021, 0)</f>
        <v>63.555999999999997</v>
      </c>
      <c r="L653" s="14"/>
    </row>
    <row r="654" spans="1:12" ht="15.75" x14ac:dyDescent="0.25">
      <c r="A654" s="32">
        <v>60844</v>
      </c>
      <c r="B654" s="14">
        <f>65.2247 * CHOOSE(CONTROL!$C$9, $D$9, 100%, $F$9) + CHOOSE(CONTROL!$C$27, 0.0021, 0)</f>
        <v>65.226799999999997</v>
      </c>
      <c r="C654" s="14">
        <f>64.7925 * CHOOSE(CONTROL!$C$9, $D$9, 100%, $F$9) + CHOOSE(CONTROL!$C$27, 0.0021, 0)</f>
        <v>64.794600000000003</v>
      </c>
      <c r="D654" s="14">
        <f>64.7925 * CHOOSE(CONTROL!$C$9, $D$9, 100%, $F$9) + CHOOSE(CONTROL!$C$27, 0.0021, 0)</f>
        <v>64.794600000000003</v>
      </c>
      <c r="E654" s="14">
        <f>64.6558 * CHOOSE(CONTROL!$C$9, $D$9, 100%, $F$9) + CHOOSE(CONTROL!$C$27, 0.0021, 0)</f>
        <v>64.657899999999998</v>
      </c>
      <c r="F654" s="14">
        <f>64.6558 * CHOOSE(CONTROL!$C$9, $D$9, 100%, $F$9) + CHOOSE(CONTROL!$C$27, 0.0021, 0)</f>
        <v>64.657899999999998</v>
      </c>
      <c r="G654" s="14">
        <f>64.9272 * CHOOSE(CONTROL!$C$9, $D$9, 100%, $F$9) + CHOOSE(CONTROL!$C$27, 0.0021, 0)</f>
        <v>64.929299999999998</v>
      </c>
      <c r="H654" s="14">
        <f>64.7925 * CHOOSE(CONTROL!$C$9, $D$9, 100%, $F$9) + CHOOSE(CONTROL!$C$27, 0.0021, 0)</f>
        <v>64.794600000000003</v>
      </c>
      <c r="I654" s="14">
        <f>64.7925 * CHOOSE(CONTROL!$C$9, $D$9, 100%, $F$9) + CHOOSE(CONTROL!$C$27, 0.0021, 0)</f>
        <v>64.794600000000003</v>
      </c>
      <c r="J654" s="14">
        <f>64.7925 * CHOOSE(CONTROL!$C$9, $D$9, 100%, $F$9) + CHOOSE(CONTROL!$C$27, 0.0021, 0)</f>
        <v>64.794600000000003</v>
      </c>
      <c r="K654" s="14">
        <f>64.7925 * CHOOSE(CONTROL!$C$9, $D$9, 100%, $F$9) + CHOOSE(CONTROL!$C$27, 0.0021, 0)</f>
        <v>64.794600000000003</v>
      </c>
      <c r="L654" s="14"/>
    </row>
    <row r="655" spans="1:12" ht="15.75" x14ac:dyDescent="0.25">
      <c r="A655" s="32">
        <v>60875</v>
      </c>
      <c r="B655" s="14">
        <f>65.6028 * CHOOSE(CONTROL!$C$9, $D$9, 100%, $F$9) + CHOOSE(CONTROL!$C$27, 0.0021, 0)</f>
        <v>65.604900000000001</v>
      </c>
      <c r="C655" s="14">
        <f>65.1705 * CHOOSE(CONTROL!$C$9, $D$9, 100%, $F$9) + CHOOSE(CONTROL!$C$27, 0.0021, 0)</f>
        <v>65.172600000000003</v>
      </c>
      <c r="D655" s="14">
        <f>65.1705 * CHOOSE(CONTROL!$C$9, $D$9, 100%, $F$9) + CHOOSE(CONTROL!$C$27, 0.0021, 0)</f>
        <v>65.172600000000003</v>
      </c>
      <c r="E655" s="14">
        <f>65.0339 * CHOOSE(CONTROL!$C$9, $D$9, 100%, $F$9) + CHOOSE(CONTROL!$C$27, 0.0021, 0)</f>
        <v>65.036000000000001</v>
      </c>
      <c r="F655" s="14">
        <f>65.0339 * CHOOSE(CONTROL!$C$9, $D$9, 100%, $F$9) + CHOOSE(CONTROL!$C$27, 0.0021, 0)</f>
        <v>65.036000000000001</v>
      </c>
      <c r="G655" s="14">
        <f>65.3053 * CHOOSE(CONTROL!$C$9, $D$9, 100%, $F$9) + CHOOSE(CONTROL!$C$27, 0.0021, 0)</f>
        <v>65.307400000000001</v>
      </c>
      <c r="H655" s="14">
        <f>65.1705 * CHOOSE(CONTROL!$C$9, $D$9, 100%, $F$9) + CHOOSE(CONTROL!$C$27, 0.0021, 0)</f>
        <v>65.172600000000003</v>
      </c>
      <c r="I655" s="14">
        <f>65.1705 * CHOOSE(CONTROL!$C$9, $D$9, 100%, $F$9) + CHOOSE(CONTROL!$C$27, 0.0021, 0)</f>
        <v>65.172600000000003</v>
      </c>
      <c r="J655" s="14">
        <f>65.1705 * CHOOSE(CONTROL!$C$9, $D$9, 100%, $F$9) + CHOOSE(CONTROL!$C$27, 0.0021, 0)</f>
        <v>65.172600000000003</v>
      </c>
      <c r="K655" s="14">
        <f>65.1705 * CHOOSE(CONTROL!$C$9, $D$9, 100%, $F$9) + CHOOSE(CONTROL!$C$27, 0.0021, 0)</f>
        <v>65.172600000000003</v>
      </c>
      <c r="L655" s="14"/>
    </row>
    <row r="656" spans="1:12" ht="15.75" x14ac:dyDescent="0.25">
      <c r="A656" s="32">
        <v>60905</v>
      </c>
      <c r="B656" s="14">
        <f>66.8902 * CHOOSE(CONTROL!$C$9, $D$9, 100%, $F$9) + CHOOSE(CONTROL!$C$27, 0.0021, 0)</f>
        <v>66.892299999999992</v>
      </c>
      <c r="C656" s="14">
        <f>66.458 * CHOOSE(CONTROL!$C$9, $D$9, 100%, $F$9) + CHOOSE(CONTROL!$C$27, 0.0021, 0)</f>
        <v>66.460099999999997</v>
      </c>
      <c r="D656" s="14">
        <f>66.458 * CHOOSE(CONTROL!$C$9, $D$9, 100%, $F$9) + CHOOSE(CONTROL!$C$27, 0.0021, 0)</f>
        <v>66.460099999999997</v>
      </c>
      <c r="E656" s="14">
        <f>66.3213 * CHOOSE(CONTROL!$C$9, $D$9, 100%, $F$9) + CHOOSE(CONTROL!$C$27, 0.0021, 0)</f>
        <v>66.323399999999992</v>
      </c>
      <c r="F656" s="14">
        <f>66.3213 * CHOOSE(CONTROL!$C$9, $D$9, 100%, $F$9) + CHOOSE(CONTROL!$C$27, 0.0021, 0)</f>
        <v>66.323399999999992</v>
      </c>
      <c r="G656" s="14">
        <f>66.5927 * CHOOSE(CONTROL!$C$9, $D$9, 100%, $F$9) + CHOOSE(CONTROL!$C$27, 0.0021, 0)</f>
        <v>66.594799999999992</v>
      </c>
      <c r="H656" s="14">
        <f>66.458 * CHOOSE(CONTROL!$C$9, $D$9, 100%, $F$9) + CHOOSE(CONTROL!$C$27, 0.0021, 0)</f>
        <v>66.460099999999997</v>
      </c>
      <c r="I656" s="14">
        <f>66.458 * CHOOSE(CONTROL!$C$9, $D$9, 100%, $F$9) + CHOOSE(CONTROL!$C$27, 0.0021, 0)</f>
        <v>66.460099999999997</v>
      </c>
      <c r="J656" s="14">
        <f>66.458 * CHOOSE(CONTROL!$C$9, $D$9, 100%, $F$9) + CHOOSE(CONTROL!$C$27, 0.0021, 0)</f>
        <v>66.460099999999997</v>
      </c>
      <c r="K656" s="14">
        <f>66.458 * CHOOSE(CONTROL!$C$9, $D$9, 100%, $F$9) + CHOOSE(CONTROL!$C$27, 0.0021, 0)</f>
        <v>66.460099999999997</v>
      </c>
      <c r="L656" s="14"/>
    </row>
    <row r="657" spans="1:12" ht="15.75" x14ac:dyDescent="0.25">
      <c r="A657" s="32">
        <v>60936</v>
      </c>
      <c r="B657" s="14">
        <f>68.5198 * CHOOSE(CONTROL!$C$9, $D$9, 100%, $F$9) + CHOOSE(CONTROL!$C$27, 0.0021, 0)</f>
        <v>68.521900000000002</v>
      </c>
      <c r="C657" s="14">
        <f>68.0876 * CHOOSE(CONTROL!$C$9, $D$9, 100%, $F$9) + CHOOSE(CONTROL!$C$27, 0.0021, 0)</f>
        <v>68.089699999999993</v>
      </c>
      <c r="D657" s="14">
        <f>68.0876 * CHOOSE(CONTROL!$C$9, $D$9, 100%, $F$9) + CHOOSE(CONTROL!$C$27, 0.0021, 0)</f>
        <v>68.089699999999993</v>
      </c>
      <c r="E657" s="14">
        <f>67.9509 * CHOOSE(CONTROL!$C$9, $D$9, 100%, $F$9) + CHOOSE(CONTROL!$C$27, 0.0021, 0)</f>
        <v>67.953000000000003</v>
      </c>
      <c r="F657" s="14">
        <f>67.9509 * CHOOSE(CONTROL!$C$9, $D$9, 100%, $F$9) + CHOOSE(CONTROL!$C$27, 0.0021, 0)</f>
        <v>67.953000000000003</v>
      </c>
      <c r="G657" s="14">
        <f>68.2223 * CHOOSE(CONTROL!$C$9, $D$9, 100%, $F$9) + CHOOSE(CONTROL!$C$27, 0.0021, 0)</f>
        <v>68.224400000000003</v>
      </c>
      <c r="H657" s="14">
        <f>68.0876 * CHOOSE(CONTROL!$C$9, $D$9, 100%, $F$9) + CHOOSE(CONTROL!$C$27, 0.0021, 0)</f>
        <v>68.089699999999993</v>
      </c>
      <c r="I657" s="14">
        <f>68.0876 * CHOOSE(CONTROL!$C$9, $D$9, 100%, $F$9) + CHOOSE(CONTROL!$C$27, 0.0021, 0)</f>
        <v>68.089699999999993</v>
      </c>
      <c r="J657" s="14">
        <f>68.0876 * CHOOSE(CONTROL!$C$9, $D$9, 100%, $F$9) + CHOOSE(CONTROL!$C$27, 0.0021, 0)</f>
        <v>68.089699999999993</v>
      </c>
      <c r="K657" s="14">
        <f>68.0876 * CHOOSE(CONTROL!$C$9, $D$9, 100%, $F$9) + CHOOSE(CONTROL!$C$27, 0.0021, 0)</f>
        <v>68.089699999999993</v>
      </c>
      <c r="L657" s="14"/>
    </row>
    <row r="658" spans="1:12" ht="15.75" x14ac:dyDescent="0.25">
      <c r="A658" s="32">
        <v>60966</v>
      </c>
      <c r="B658" s="14">
        <f>68.6728 * CHOOSE(CONTROL!$C$9, $D$9, 100%, $F$9) + CHOOSE(CONTROL!$C$27, 0.0021, 0)</f>
        <v>68.674899999999994</v>
      </c>
      <c r="C658" s="14">
        <f>68.2406 * CHOOSE(CONTROL!$C$9, $D$9, 100%, $F$9) + CHOOSE(CONTROL!$C$27, 0.0021, 0)</f>
        <v>68.242699999999999</v>
      </c>
      <c r="D658" s="14">
        <f>68.2406 * CHOOSE(CONTROL!$C$9, $D$9, 100%, $F$9) + CHOOSE(CONTROL!$C$27, 0.0021, 0)</f>
        <v>68.242699999999999</v>
      </c>
      <c r="E658" s="14">
        <f>68.1039 * CHOOSE(CONTROL!$C$9, $D$9, 100%, $F$9) + CHOOSE(CONTROL!$C$27, 0.0021, 0)</f>
        <v>68.105999999999995</v>
      </c>
      <c r="F658" s="14">
        <f>68.1039 * CHOOSE(CONTROL!$C$9, $D$9, 100%, $F$9) + CHOOSE(CONTROL!$C$27, 0.0021, 0)</f>
        <v>68.105999999999995</v>
      </c>
      <c r="G658" s="14">
        <f>68.3753 * CHOOSE(CONTROL!$C$9, $D$9, 100%, $F$9) + CHOOSE(CONTROL!$C$27, 0.0021, 0)</f>
        <v>68.377399999999994</v>
      </c>
      <c r="H658" s="14">
        <f>68.2406 * CHOOSE(CONTROL!$C$9, $D$9, 100%, $F$9) + CHOOSE(CONTROL!$C$27, 0.0021, 0)</f>
        <v>68.242699999999999</v>
      </c>
      <c r="I658" s="14">
        <f>68.2406 * CHOOSE(CONTROL!$C$9, $D$9, 100%, $F$9) + CHOOSE(CONTROL!$C$27, 0.0021, 0)</f>
        <v>68.242699999999999</v>
      </c>
      <c r="J658" s="14">
        <f>68.2406 * CHOOSE(CONTROL!$C$9, $D$9, 100%, $F$9) + CHOOSE(CONTROL!$C$27, 0.0021, 0)</f>
        <v>68.242699999999999</v>
      </c>
      <c r="K658" s="14">
        <f>68.2406 * CHOOSE(CONTROL!$C$9, $D$9, 100%, $F$9) + CHOOSE(CONTROL!$C$27, 0.0021, 0)</f>
        <v>68.242699999999999</v>
      </c>
      <c r="L658" s="14"/>
    </row>
    <row r="659" spans="1:12" ht="15.75" x14ac:dyDescent="0.25">
      <c r="A659" s="32">
        <v>60997</v>
      </c>
      <c r="B659" s="14">
        <f>67.3713 * CHOOSE(CONTROL!$C$9, $D$9, 100%, $F$9) + CHOOSE(CONTROL!$C$27, 0.0021, 0)</f>
        <v>67.373400000000004</v>
      </c>
      <c r="C659" s="14">
        <f>66.939 * CHOOSE(CONTROL!$C$9, $D$9, 100%, $F$9) + CHOOSE(CONTROL!$C$27, 0.0021, 0)</f>
        <v>66.941099999999992</v>
      </c>
      <c r="D659" s="14">
        <f>66.939 * CHOOSE(CONTROL!$C$9, $D$9, 100%, $F$9) + CHOOSE(CONTROL!$C$27, 0.0021, 0)</f>
        <v>66.941099999999992</v>
      </c>
      <c r="E659" s="14">
        <f>66.8024 * CHOOSE(CONTROL!$C$9, $D$9, 100%, $F$9) + CHOOSE(CONTROL!$C$27, 0.0021, 0)</f>
        <v>66.804500000000004</v>
      </c>
      <c r="F659" s="14">
        <f>66.8024 * CHOOSE(CONTROL!$C$9, $D$9, 100%, $F$9) + CHOOSE(CONTROL!$C$27, 0.0021, 0)</f>
        <v>66.804500000000004</v>
      </c>
      <c r="G659" s="14">
        <f>67.0737 * CHOOSE(CONTROL!$C$9, $D$9, 100%, $F$9) + CHOOSE(CONTROL!$C$27, 0.0021, 0)</f>
        <v>67.075800000000001</v>
      </c>
      <c r="H659" s="14">
        <f>66.939 * CHOOSE(CONTROL!$C$9, $D$9, 100%, $F$9) + CHOOSE(CONTROL!$C$27, 0.0021, 0)</f>
        <v>66.941099999999992</v>
      </c>
      <c r="I659" s="14">
        <f>66.939 * CHOOSE(CONTROL!$C$9, $D$9, 100%, $F$9) + CHOOSE(CONTROL!$C$27, 0.0021, 0)</f>
        <v>66.941099999999992</v>
      </c>
      <c r="J659" s="14">
        <f>66.939 * CHOOSE(CONTROL!$C$9, $D$9, 100%, $F$9) + CHOOSE(CONTROL!$C$27, 0.0021, 0)</f>
        <v>66.941099999999992</v>
      </c>
      <c r="K659" s="14">
        <f>66.939 * CHOOSE(CONTROL!$C$9, $D$9, 100%, $F$9) + CHOOSE(CONTROL!$C$27, 0.0021, 0)</f>
        <v>66.941099999999992</v>
      </c>
      <c r="L659" s="14"/>
    </row>
    <row r="660" spans="1:12" ht="15.75" x14ac:dyDescent="0.25">
      <c r="A660" s="32">
        <v>61028</v>
      </c>
      <c r="B660" s="14">
        <f>66.5186 * CHOOSE(CONTROL!$C$9, $D$9, 100%, $F$9) + CHOOSE(CONTROL!$C$27, 0.0021, 0)</f>
        <v>66.520700000000005</v>
      </c>
      <c r="C660" s="14">
        <f>66.0863 * CHOOSE(CONTROL!$C$9, $D$9, 100%, $F$9) + CHOOSE(CONTROL!$C$27, 0.0021, 0)</f>
        <v>66.088399999999993</v>
      </c>
      <c r="D660" s="14">
        <f>66.0863 * CHOOSE(CONTROL!$C$9, $D$9, 100%, $F$9) + CHOOSE(CONTROL!$C$27, 0.0021, 0)</f>
        <v>66.088399999999993</v>
      </c>
      <c r="E660" s="14">
        <f>65.9497 * CHOOSE(CONTROL!$C$9, $D$9, 100%, $F$9) + CHOOSE(CONTROL!$C$27, 0.0021, 0)</f>
        <v>65.951800000000006</v>
      </c>
      <c r="F660" s="14">
        <f>65.9497 * CHOOSE(CONTROL!$C$9, $D$9, 100%, $F$9) + CHOOSE(CONTROL!$C$27, 0.0021, 0)</f>
        <v>65.951800000000006</v>
      </c>
      <c r="G660" s="14">
        <f>66.2211 * CHOOSE(CONTROL!$C$9, $D$9, 100%, $F$9) + CHOOSE(CONTROL!$C$27, 0.0021, 0)</f>
        <v>66.223200000000006</v>
      </c>
      <c r="H660" s="14">
        <f>66.0863 * CHOOSE(CONTROL!$C$9, $D$9, 100%, $F$9) + CHOOSE(CONTROL!$C$27, 0.0021, 0)</f>
        <v>66.088399999999993</v>
      </c>
      <c r="I660" s="14">
        <f>66.0863 * CHOOSE(CONTROL!$C$9, $D$9, 100%, $F$9) + CHOOSE(CONTROL!$C$27, 0.0021, 0)</f>
        <v>66.088399999999993</v>
      </c>
      <c r="J660" s="14">
        <f>66.0863 * CHOOSE(CONTROL!$C$9, $D$9, 100%, $F$9) + CHOOSE(CONTROL!$C$27, 0.0021, 0)</f>
        <v>66.088399999999993</v>
      </c>
      <c r="K660" s="14">
        <f>66.0863 * CHOOSE(CONTROL!$C$9, $D$9, 100%, $F$9) + CHOOSE(CONTROL!$C$27, 0.0021, 0)</f>
        <v>66.088399999999993</v>
      </c>
      <c r="L660" s="14"/>
    </row>
    <row r="661" spans="1:12" ht="15.75" x14ac:dyDescent="0.25">
      <c r="A661" s="32">
        <v>61056</v>
      </c>
      <c r="B661" s="14">
        <f>64.7019 * CHOOSE(CONTROL!$C$9, $D$9, 100%, $F$9) + CHOOSE(CONTROL!$C$27, 0.0021, 0)</f>
        <v>64.703999999999994</v>
      </c>
      <c r="C661" s="14">
        <f>64.2697 * CHOOSE(CONTROL!$C$9, $D$9, 100%, $F$9) + CHOOSE(CONTROL!$C$27, 0.0021, 0)</f>
        <v>64.271799999999999</v>
      </c>
      <c r="D661" s="14">
        <f>64.2697 * CHOOSE(CONTROL!$C$9, $D$9, 100%, $F$9) + CHOOSE(CONTROL!$C$27, 0.0021, 0)</f>
        <v>64.271799999999999</v>
      </c>
      <c r="E661" s="14">
        <f>64.133 * CHOOSE(CONTROL!$C$9, $D$9, 100%, $F$9) + CHOOSE(CONTROL!$C$27, 0.0021, 0)</f>
        <v>64.135099999999994</v>
      </c>
      <c r="F661" s="14">
        <f>64.133 * CHOOSE(CONTROL!$C$9, $D$9, 100%, $F$9) + CHOOSE(CONTROL!$C$27, 0.0021, 0)</f>
        <v>64.135099999999994</v>
      </c>
      <c r="G661" s="14">
        <f>64.4044 * CHOOSE(CONTROL!$C$9, $D$9, 100%, $F$9) + CHOOSE(CONTROL!$C$27, 0.0021, 0)</f>
        <v>64.406499999999994</v>
      </c>
      <c r="H661" s="14">
        <f>64.2697 * CHOOSE(CONTROL!$C$9, $D$9, 100%, $F$9) + CHOOSE(CONTROL!$C$27, 0.0021, 0)</f>
        <v>64.271799999999999</v>
      </c>
      <c r="I661" s="14">
        <f>64.2697 * CHOOSE(CONTROL!$C$9, $D$9, 100%, $F$9) + CHOOSE(CONTROL!$C$27, 0.0021, 0)</f>
        <v>64.271799999999999</v>
      </c>
      <c r="J661" s="14">
        <f>64.2697 * CHOOSE(CONTROL!$C$9, $D$9, 100%, $F$9) + CHOOSE(CONTROL!$C$27, 0.0021, 0)</f>
        <v>64.271799999999999</v>
      </c>
      <c r="K661" s="14">
        <f>64.2697 * CHOOSE(CONTROL!$C$9, $D$9, 100%, $F$9) + CHOOSE(CONTROL!$C$27, 0.0021, 0)</f>
        <v>64.271799999999999</v>
      </c>
      <c r="L661" s="14"/>
    </row>
    <row r="662" spans="1:12" ht="15.75" x14ac:dyDescent="0.25">
      <c r="A662" s="32">
        <v>61087</v>
      </c>
      <c r="B662" s="14">
        <f>63.952 * CHOOSE(CONTROL!$C$9, $D$9, 100%, $F$9) + CHOOSE(CONTROL!$C$27, 0.0021, 0)</f>
        <v>63.954099999999997</v>
      </c>
      <c r="C662" s="14">
        <f>63.5198 * CHOOSE(CONTROL!$C$9, $D$9, 100%, $F$9) + CHOOSE(CONTROL!$C$27, 0.0021, 0)</f>
        <v>63.521899999999995</v>
      </c>
      <c r="D662" s="14">
        <f>63.5198 * CHOOSE(CONTROL!$C$9, $D$9, 100%, $F$9) + CHOOSE(CONTROL!$C$27, 0.0021, 0)</f>
        <v>63.521899999999995</v>
      </c>
      <c r="E662" s="14">
        <f>63.3831 * CHOOSE(CONTROL!$C$9, $D$9, 100%, $F$9) + CHOOSE(CONTROL!$C$27, 0.0021, 0)</f>
        <v>63.385199999999998</v>
      </c>
      <c r="F662" s="14">
        <f>63.3831 * CHOOSE(CONTROL!$C$9, $D$9, 100%, $F$9) + CHOOSE(CONTROL!$C$27, 0.0021, 0)</f>
        <v>63.385199999999998</v>
      </c>
      <c r="G662" s="14">
        <f>63.6545 * CHOOSE(CONTROL!$C$9, $D$9, 100%, $F$9) + CHOOSE(CONTROL!$C$27, 0.0021, 0)</f>
        <v>63.656599999999997</v>
      </c>
      <c r="H662" s="14">
        <f>63.5198 * CHOOSE(CONTROL!$C$9, $D$9, 100%, $F$9) + CHOOSE(CONTROL!$C$27, 0.0021, 0)</f>
        <v>63.521899999999995</v>
      </c>
      <c r="I662" s="14">
        <f>63.5198 * CHOOSE(CONTROL!$C$9, $D$9, 100%, $F$9) + CHOOSE(CONTROL!$C$27, 0.0021, 0)</f>
        <v>63.521899999999995</v>
      </c>
      <c r="J662" s="14">
        <f>63.5198 * CHOOSE(CONTROL!$C$9, $D$9, 100%, $F$9) + CHOOSE(CONTROL!$C$27, 0.0021, 0)</f>
        <v>63.521899999999995</v>
      </c>
      <c r="K662" s="14">
        <f>63.5198 * CHOOSE(CONTROL!$C$9, $D$9, 100%, $F$9) + CHOOSE(CONTROL!$C$27, 0.0021, 0)</f>
        <v>63.521899999999995</v>
      </c>
      <c r="L662" s="14"/>
    </row>
    <row r="663" spans="1:12" ht="15.75" x14ac:dyDescent="0.25">
      <c r="A663" s="32">
        <v>61117</v>
      </c>
      <c r="B663" s="14">
        <f>63.0566 * CHOOSE(CONTROL!$C$9, $D$9, 100%, $F$9) + CHOOSE(CONTROL!$C$27, 0.0021, 0)</f>
        <v>63.058700000000002</v>
      </c>
      <c r="C663" s="14">
        <f>62.6243 * CHOOSE(CONTROL!$C$9, $D$9, 100%, $F$9) + CHOOSE(CONTROL!$C$27, 0.0021, 0)</f>
        <v>62.626399999999997</v>
      </c>
      <c r="D663" s="14">
        <f>62.6243 * CHOOSE(CONTROL!$C$9, $D$9, 100%, $F$9) + CHOOSE(CONTROL!$C$27, 0.0021, 0)</f>
        <v>62.626399999999997</v>
      </c>
      <c r="E663" s="14">
        <f>62.4877 * CHOOSE(CONTROL!$C$9, $D$9, 100%, $F$9) + CHOOSE(CONTROL!$C$27, 0.0021, 0)</f>
        <v>62.489799999999995</v>
      </c>
      <c r="F663" s="14">
        <f>62.4877 * CHOOSE(CONTROL!$C$9, $D$9, 100%, $F$9) + CHOOSE(CONTROL!$C$27, 0.0021, 0)</f>
        <v>62.489799999999995</v>
      </c>
      <c r="G663" s="14">
        <f>62.7591 * CHOOSE(CONTROL!$C$9, $D$9, 100%, $F$9) + CHOOSE(CONTROL!$C$27, 0.0021, 0)</f>
        <v>62.761199999999995</v>
      </c>
      <c r="H663" s="14">
        <f>62.6243 * CHOOSE(CONTROL!$C$9, $D$9, 100%, $F$9) + CHOOSE(CONTROL!$C$27, 0.0021, 0)</f>
        <v>62.626399999999997</v>
      </c>
      <c r="I663" s="14">
        <f>62.6243 * CHOOSE(CONTROL!$C$9, $D$9, 100%, $F$9) + CHOOSE(CONTROL!$C$27, 0.0021, 0)</f>
        <v>62.626399999999997</v>
      </c>
      <c r="J663" s="14">
        <f>62.6243 * CHOOSE(CONTROL!$C$9, $D$9, 100%, $F$9) + CHOOSE(CONTROL!$C$27, 0.0021, 0)</f>
        <v>62.626399999999997</v>
      </c>
      <c r="K663" s="14">
        <f>62.6243 * CHOOSE(CONTROL!$C$9, $D$9, 100%, $F$9) + CHOOSE(CONTROL!$C$27, 0.0021, 0)</f>
        <v>62.626399999999997</v>
      </c>
      <c r="L663" s="14"/>
    </row>
    <row r="664" spans="1:12" ht="15.75" x14ac:dyDescent="0.25">
      <c r="A664" s="32">
        <v>61148</v>
      </c>
      <c r="B664" s="14">
        <f>64.3327 * CHOOSE(CONTROL!$C$9, $D$9, 100%, $F$9) + CHOOSE(CONTROL!$C$27, 0.0021, 0)</f>
        <v>64.334800000000001</v>
      </c>
      <c r="C664" s="14">
        <f>63.9004 * CHOOSE(CONTROL!$C$9, $D$9, 100%, $F$9) + CHOOSE(CONTROL!$C$27, 0.0021, 0)</f>
        <v>63.902499999999996</v>
      </c>
      <c r="D664" s="14">
        <f>63.9004 * CHOOSE(CONTROL!$C$9, $D$9, 100%, $F$9) + CHOOSE(CONTROL!$C$27, 0.0021, 0)</f>
        <v>63.902499999999996</v>
      </c>
      <c r="E664" s="14">
        <f>63.7638 * CHOOSE(CONTROL!$C$9, $D$9, 100%, $F$9) + CHOOSE(CONTROL!$C$27, 0.0021, 0)</f>
        <v>63.765900000000002</v>
      </c>
      <c r="F664" s="14">
        <f>63.7638 * CHOOSE(CONTROL!$C$9, $D$9, 100%, $F$9) + CHOOSE(CONTROL!$C$27, 0.0021, 0)</f>
        <v>63.765900000000002</v>
      </c>
      <c r="G664" s="14">
        <f>64.0351 * CHOOSE(CONTROL!$C$9, $D$9, 100%, $F$9) + CHOOSE(CONTROL!$C$27, 0.0021, 0)</f>
        <v>64.037199999999999</v>
      </c>
      <c r="H664" s="14">
        <f>63.9004 * CHOOSE(CONTROL!$C$9, $D$9, 100%, $F$9) + CHOOSE(CONTROL!$C$27, 0.0021, 0)</f>
        <v>63.902499999999996</v>
      </c>
      <c r="I664" s="14">
        <f>63.9004 * CHOOSE(CONTROL!$C$9, $D$9, 100%, $F$9) + CHOOSE(CONTROL!$C$27, 0.0021, 0)</f>
        <v>63.902499999999996</v>
      </c>
      <c r="J664" s="14">
        <f>63.9004 * CHOOSE(CONTROL!$C$9, $D$9, 100%, $F$9) + CHOOSE(CONTROL!$C$27, 0.0021, 0)</f>
        <v>63.902499999999996</v>
      </c>
      <c r="K664" s="14">
        <f>63.9004 * CHOOSE(CONTROL!$C$9, $D$9, 100%, $F$9) + CHOOSE(CONTROL!$C$27, 0.0021, 0)</f>
        <v>63.902499999999996</v>
      </c>
      <c r="L664" s="14"/>
    </row>
    <row r="665" spans="1:12" ht="15.75" x14ac:dyDescent="0.25">
      <c r="A665" s="32">
        <v>61178</v>
      </c>
      <c r="B665" s="14">
        <f>65.097 * CHOOSE(CONTROL!$C$9, $D$9, 100%, $F$9) + CHOOSE(CONTROL!$C$27, 0.0021, 0)</f>
        <v>65.099099999999993</v>
      </c>
      <c r="C665" s="14">
        <f>64.6647 * CHOOSE(CONTROL!$C$9, $D$9, 100%, $F$9) + CHOOSE(CONTROL!$C$27, 0.0021, 0)</f>
        <v>64.666799999999995</v>
      </c>
      <c r="D665" s="14">
        <f>64.6647 * CHOOSE(CONTROL!$C$9, $D$9, 100%, $F$9) + CHOOSE(CONTROL!$C$27, 0.0021, 0)</f>
        <v>64.666799999999995</v>
      </c>
      <c r="E665" s="14">
        <f>64.5281 * CHOOSE(CONTROL!$C$9, $D$9, 100%, $F$9) + CHOOSE(CONTROL!$C$27, 0.0021, 0)</f>
        <v>64.530199999999994</v>
      </c>
      <c r="F665" s="14">
        <f>64.5281 * CHOOSE(CONTROL!$C$9, $D$9, 100%, $F$9) + CHOOSE(CONTROL!$C$27, 0.0021, 0)</f>
        <v>64.530199999999994</v>
      </c>
      <c r="G665" s="14">
        <f>64.7995 * CHOOSE(CONTROL!$C$9, $D$9, 100%, $F$9) + CHOOSE(CONTROL!$C$27, 0.0021, 0)</f>
        <v>64.801599999999993</v>
      </c>
      <c r="H665" s="14">
        <f>64.6647 * CHOOSE(CONTROL!$C$9, $D$9, 100%, $F$9) + CHOOSE(CONTROL!$C$27, 0.0021, 0)</f>
        <v>64.666799999999995</v>
      </c>
      <c r="I665" s="14">
        <f>64.6647 * CHOOSE(CONTROL!$C$9, $D$9, 100%, $F$9) + CHOOSE(CONTROL!$C$27, 0.0021, 0)</f>
        <v>64.666799999999995</v>
      </c>
      <c r="J665" s="14">
        <f>64.6647 * CHOOSE(CONTROL!$C$9, $D$9, 100%, $F$9) + CHOOSE(CONTROL!$C$27, 0.0021, 0)</f>
        <v>64.666799999999995</v>
      </c>
      <c r="K665" s="14">
        <f>64.6647 * CHOOSE(CONTROL!$C$9, $D$9, 100%, $F$9) + CHOOSE(CONTROL!$C$27, 0.0021, 0)</f>
        <v>64.666799999999995</v>
      </c>
      <c r="L665" s="14"/>
    </row>
    <row r="666" spans="1:12" ht="15.75" x14ac:dyDescent="0.25">
      <c r="A666" s="32">
        <v>61209</v>
      </c>
      <c r="B666" s="14">
        <f>66.3578 * CHOOSE(CONTROL!$C$9, $D$9, 100%, $F$9) + CHOOSE(CONTROL!$C$27, 0.0021, 0)</f>
        <v>66.359899999999996</v>
      </c>
      <c r="C666" s="14">
        <f>65.9256 * CHOOSE(CONTROL!$C$9, $D$9, 100%, $F$9) + CHOOSE(CONTROL!$C$27, 0.0021, 0)</f>
        <v>65.927700000000002</v>
      </c>
      <c r="D666" s="14">
        <f>65.9256 * CHOOSE(CONTROL!$C$9, $D$9, 100%, $F$9) + CHOOSE(CONTROL!$C$27, 0.0021, 0)</f>
        <v>65.927700000000002</v>
      </c>
      <c r="E666" s="14">
        <f>65.7889 * CHOOSE(CONTROL!$C$9, $D$9, 100%, $F$9) + CHOOSE(CONTROL!$C$27, 0.0021, 0)</f>
        <v>65.790999999999997</v>
      </c>
      <c r="F666" s="14">
        <f>65.7889 * CHOOSE(CONTROL!$C$9, $D$9, 100%, $F$9) + CHOOSE(CONTROL!$C$27, 0.0021, 0)</f>
        <v>65.790999999999997</v>
      </c>
      <c r="G666" s="14">
        <f>66.0603 * CHOOSE(CONTROL!$C$9, $D$9, 100%, $F$9) + CHOOSE(CONTROL!$C$27, 0.0021, 0)</f>
        <v>66.062399999999997</v>
      </c>
      <c r="H666" s="14">
        <f>65.9256 * CHOOSE(CONTROL!$C$9, $D$9, 100%, $F$9) + CHOOSE(CONTROL!$C$27, 0.0021, 0)</f>
        <v>65.927700000000002</v>
      </c>
      <c r="I666" s="14">
        <f>65.9256 * CHOOSE(CONTROL!$C$9, $D$9, 100%, $F$9) + CHOOSE(CONTROL!$C$27, 0.0021, 0)</f>
        <v>65.927700000000002</v>
      </c>
      <c r="J666" s="14">
        <f>65.9256 * CHOOSE(CONTROL!$C$9, $D$9, 100%, $F$9) + CHOOSE(CONTROL!$C$27, 0.0021, 0)</f>
        <v>65.927700000000002</v>
      </c>
      <c r="K666" s="14">
        <f>65.9256 * CHOOSE(CONTROL!$C$9, $D$9, 100%, $F$9) + CHOOSE(CONTROL!$C$27, 0.0021, 0)</f>
        <v>65.927700000000002</v>
      </c>
      <c r="L666" s="14"/>
    </row>
    <row r="667" spans="1:12" ht="15.75" x14ac:dyDescent="0.25">
      <c r="A667" s="32">
        <v>61240</v>
      </c>
      <c r="B667" s="14">
        <f>66.7427 * CHOOSE(CONTROL!$C$9, $D$9, 100%, $F$9) + CHOOSE(CONTROL!$C$27, 0.0021, 0)</f>
        <v>66.744799999999998</v>
      </c>
      <c r="C667" s="14">
        <f>66.3104 * CHOOSE(CONTROL!$C$9, $D$9, 100%, $F$9) + CHOOSE(CONTROL!$C$27, 0.0021, 0)</f>
        <v>66.3125</v>
      </c>
      <c r="D667" s="14">
        <f>66.3104 * CHOOSE(CONTROL!$C$9, $D$9, 100%, $F$9) + CHOOSE(CONTROL!$C$27, 0.0021, 0)</f>
        <v>66.3125</v>
      </c>
      <c r="E667" s="14">
        <f>66.1738 * CHOOSE(CONTROL!$C$9, $D$9, 100%, $F$9) + CHOOSE(CONTROL!$C$27, 0.0021, 0)</f>
        <v>66.175899999999999</v>
      </c>
      <c r="F667" s="14">
        <f>66.1738 * CHOOSE(CONTROL!$C$9, $D$9, 100%, $F$9) + CHOOSE(CONTROL!$C$27, 0.0021, 0)</f>
        <v>66.175899999999999</v>
      </c>
      <c r="G667" s="14">
        <f>66.4451 * CHOOSE(CONTROL!$C$9, $D$9, 100%, $F$9) + CHOOSE(CONTROL!$C$27, 0.0021, 0)</f>
        <v>66.447199999999995</v>
      </c>
      <c r="H667" s="14">
        <f>66.3104 * CHOOSE(CONTROL!$C$9, $D$9, 100%, $F$9) + CHOOSE(CONTROL!$C$27, 0.0021, 0)</f>
        <v>66.3125</v>
      </c>
      <c r="I667" s="14">
        <f>66.3104 * CHOOSE(CONTROL!$C$9, $D$9, 100%, $F$9) + CHOOSE(CONTROL!$C$27, 0.0021, 0)</f>
        <v>66.3125</v>
      </c>
      <c r="J667" s="14">
        <f>66.3104 * CHOOSE(CONTROL!$C$9, $D$9, 100%, $F$9) + CHOOSE(CONTROL!$C$27, 0.0021, 0)</f>
        <v>66.3125</v>
      </c>
      <c r="K667" s="14">
        <f>66.3104 * CHOOSE(CONTROL!$C$9, $D$9, 100%, $F$9) + CHOOSE(CONTROL!$C$27, 0.0021, 0)</f>
        <v>66.3125</v>
      </c>
      <c r="L667" s="14"/>
    </row>
    <row r="668" spans="1:12" ht="15.75" x14ac:dyDescent="0.25">
      <c r="A668" s="32">
        <v>61270</v>
      </c>
      <c r="B668" s="14">
        <f>68.0533 * CHOOSE(CONTROL!$C$9, $D$9, 100%, $F$9) + CHOOSE(CONTROL!$C$27, 0.0021, 0)</f>
        <v>68.055399999999992</v>
      </c>
      <c r="C668" s="14">
        <f>67.621 * CHOOSE(CONTROL!$C$9, $D$9, 100%, $F$9) + CHOOSE(CONTROL!$C$27, 0.0021, 0)</f>
        <v>67.623099999999994</v>
      </c>
      <c r="D668" s="14">
        <f>67.621 * CHOOSE(CONTROL!$C$9, $D$9, 100%, $F$9) + CHOOSE(CONTROL!$C$27, 0.0021, 0)</f>
        <v>67.623099999999994</v>
      </c>
      <c r="E668" s="14">
        <f>67.4844 * CHOOSE(CONTROL!$C$9, $D$9, 100%, $F$9) + CHOOSE(CONTROL!$C$27, 0.0021, 0)</f>
        <v>67.486499999999992</v>
      </c>
      <c r="F668" s="14">
        <f>67.4844 * CHOOSE(CONTROL!$C$9, $D$9, 100%, $F$9) + CHOOSE(CONTROL!$C$27, 0.0021, 0)</f>
        <v>67.486499999999992</v>
      </c>
      <c r="G668" s="14">
        <f>67.7557 * CHOOSE(CONTROL!$C$9, $D$9, 100%, $F$9) + CHOOSE(CONTROL!$C$27, 0.0021, 0)</f>
        <v>67.757800000000003</v>
      </c>
      <c r="H668" s="14">
        <f>67.621 * CHOOSE(CONTROL!$C$9, $D$9, 100%, $F$9) + CHOOSE(CONTROL!$C$27, 0.0021, 0)</f>
        <v>67.623099999999994</v>
      </c>
      <c r="I668" s="14">
        <f>67.621 * CHOOSE(CONTROL!$C$9, $D$9, 100%, $F$9) + CHOOSE(CONTROL!$C$27, 0.0021, 0)</f>
        <v>67.623099999999994</v>
      </c>
      <c r="J668" s="14">
        <f>67.621 * CHOOSE(CONTROL!$C$9, $D$9, 100%, $F$9) + CHOOSE(CONTROL!$C$27, 0.0021, 0)</f>
        <v>67.623099999999994</v>
      </c>
      <c r="K668" s="14">
        <f>67.621 * CHOOSE(CONTROL!$C$9, $D$9, 100%, $F$9) + CHOOSE(CONTROL!$C$27, 0.0021, 0)</f>
        <v>67.623099999999994</v>
      </c>
      <c r="L668" s="14"/>
    </row>
    <row r="669" spans="1:12" ht="15.75" x14ac:dyDescent="0.25">
      <c r="A669" s="32">
        <v>61301</v>
      </c>
      <c r="B669" s="14">
        <f>69.7123 * CHOOSE(CONTROL!$C$9, $D$9, 100%, $F$9) + CHOOSE(CONTROL!$C$27, 0.0021, 0)</f>
        <v>69.714399999999998</v>
      </c>
      <c r="C669" s="14">
        <f>69.28 * CHOOSE(CONTROL!$C$9, $D$9, 100%, $F$9) + CHOOSE(CONTROL!$C$27, 0.0021, 0)</f>
        <v>69.2821</v>
      </c>
      <c r="D669" s="14">
        <f>69.28 * CHOOSE(CONTROL!$C$9, $D$9, 100%, $F$9) + CHOOSE(CONTROL!$C$27, 0.0021, 0)</f>
        <v>69.2821</v>
      </c>
      <c r="E669" s="14">
        <f>69.1434 * CHOOSE(CONTROL!$C$9, $D$9, 100%, $F$9) + CHOOSE(CONTROL!$C$27, 0.0021, 0)</f>
        <v>69.145499999999998</v>
      </c>
      <c r="F669" s="14">
        <f>69.1434 * CHOOSE(CONTROL!$C$9, $D$9, 100%, $F$9) + CHOOSE(CONTROL!$C$27, 0.0021, 0)</f>
        <v>69.145499999999998</v>
      </c>
      <c r="G669" s="14">
        <f>69.4147 * CHOOSE(CONTROL!$C$9, $D$9, 100%, $F$9) + CHOOSE(CONTROL!$C$27, 0.0021, 0)</f>
        <v>69.416799999999995</v>
      </c>
      <c r="H669" s="14">
        <f>69.28 * CHOOSE(CONTROL!$C$9, $D$9, 100%, $F$9) + CHOOSE(CONTROL!$C$27, 0.0021, 0)</f>
        <v>69.2821</v>
      </c>
      <c r="I669" s="14">
        <f>69.28 * CHOOSE(CONTROL!$C$9, $D$9, 100%, $F$9) + CHOOSE(CONTROL!$C$27, 0.0021, 0)</f>
        <v>69.2821</v>
      </c>
      <c r="J669" s="14">
        <f>69.28 * CHOOSE(CONTROL!$C$9, $D$9, 100%, $F$9) + CHOOSE(CONTROL!$C$27, 0.0021, 0)</f>
        <v>69.2821</v>
      </c>
      <c r="K669" s="14">
        <f>69.28 * CHOOSE(CONTROL!$C$9, $D$9, 100%, $F$9) + CHOOSE(CONTROL!$C$27, 0.0021, 0)</f>
        <v>69.2821</v>
      </c>
      <c r="L669" s="14"/>
    </row>
    <row r="670" spans="1:12" ht="15.75" x14ac:dyDescent="0.25">
      <c r="A670" s="32">
        <v>61331</v>
      </c>
      <c r="B670" s="14">
        <f>69.868 * CHOOSE(CONTROL!$C$9, $D$9, 100%, $F$9) + CHOOSE(CONTROL!$C$27, 0.0021, 0)</f>
        <v>69.870099999999994</v>
      </c>
      <c r="C670" s="14">
        <f>69.4358 * CHOOSE(CONTROL!$C$9, $D$9, 100%, $F$9) + CHOOSE(CONTROL!$C$27, 0.0021, 0)</f>
        <v>69.437899999999999</v>
      </c>
      <c r="D670" s="14">
        <f>69.4358 * CHOOSE(CONTROL!$C$9, $D$9, 100%, $F$9) + CHOOSE(CONTROL!$C$27, 0.0021, 0)</f>
        <v>69.437899999999999</v>
      </c>
      <c r="E670" s="14">
        <f>69.2991 * CHOOSE(CONTROL!$C$9, $D$9, 100%, $F$9) + CHOOSE(CONTROL!$C$27, 0.0021, 0)</f>
        <v>69.301199999999994</v>
      </c>
      <c r="F670" s="14">
        <f>69.2991 * CHOOSE(CONTROL!$C$9, $D$9, 100%, $F$9) + CHOOSE(CONTROL!$C$27, 0.0021, 0)</f>
        <v>69.301199999999994</v>
      </c>
      <c r="G670" s="14">
        <f>69.5705 * CHOOSE(CONTROL!$C$9, $D$9, 100%, $F$9) + CHOOSE(CONTROL!$C$27, 0.0021, 0)</f>
        <v>69.572599999999994</v>
      </c>
      <c r="H670" s="14">
        <f>69.4358 * CHOOSE(CONTROL!$C$9, $D$9, 100%, $F$9) + CHOOSE(CONTROL!$C$27, 0.0021, 0)</f>
        <v>69.437899999999999</v>
      </c>
      <c r="I670" s="14">
        <f>69.4358 * CHOOSE(CONTROL!$C$9, $D$9, 100%, $F$9) + CHOOSE(CONTROL!$C$27, 0.0021, 0)</f>
        <v>69.437899999999999</v>
      </c>
      <c r="J670" s="14">
        <f>69.4358 * CHOOSE(CONTROL!$C$9, $D$9, 100%, $F$9) + CHOOSE(CONTROL!$C$27, 0.0021, 0)</f>
        <v>69.437899999999999</v>
      </c>
      <c r="K670" s="14">
        <f>69.4358 * CHOOSE(CONTROL!$C$9, $D$9, 100%, $F$9) + CHOOSE(CONTROL!$C$27, 0.0021, 0)</f>
        <v>69.437899999999999</v>
      </c>
      <c r="L670" s="14"/>
    </row>
    <row r="671" spans="1:12" ht="15.75" x14ac:dyDescent="0.25">
      <c r="A671" s="32">
        <v>61362</v>
      </c>
      <c r="B671" s="14">
        <f>68.543 * CHOOSE(CONTROL!$C$9, $D$9, 100%, $F$9) + CHOOSE(CONTROL!$C$27, 0.0021, 0)</f>
        <v>68.545100000000005</v>
      </c>
      <c r="C671" s="14">
        <f>68.1108 * CHOOSE(CONTROL!$C$9, $D$9, 100%, $F$9) + CHOOSE(CONTROL!$C$27, 0.0021, 0)</f>
        <v>68.112899999999996</v>
      </c>
      <c r="D671" s="14">
        <f>68.1108 * CHOOSE(CONTROL!$C$9, $D$9, 100%, $F$9) + CHOOSE(CONTROL!$C$27, 0.0021, 0)</f>
        <v>68.112899999999996</v>
      </c>
      <c r="E671" s="14">
        <f>67.9741 * CHOOSE(CONTROL!$C$9, $D$9, 100%, $F$9) + CHOOSE(CONTROL!$C$27, 0.0021, 0)</f>
        <v>67.976200000000006</v>
      </c>
      <c r="F671" s="14">
        <f>67.9741 * CHOOSE(CONTROL!$C$9, $D$9, 100%, $F$9) + CHOOSE(CONTROL!$C$27, 0.0021, 0)</f>
        <v>67.976200000000006</v>
      </c>
      <c r="G671" s="14">
        <f>68.2455 * CHOOSE(CONTROL!$C$9, $D$9, 100%, $F$9) + CHOOSE(CONTROL!$C$27, 0.0021, 0)</f>
        <v>68.247600000000006</v>
      </c>
      <c r="H671" s="14">
        <f>68.1108 * CHOOSE(CONTROL!$C$9, $D$9, 100%, $F$9) + CHOOSE(CONTROL!$C$27, 0.0021, 0)</f>
        <v>68.112899999999996</v>
      </c>
      <c r="I671" s="14">
        <f>68.1108 * CHOOSE(CONTROL!$C$9, $D$9, 100%, $F$9) + CHOOSE(CONTROL!$C$27, 0.0021, 0)</f>
        <v>68.112899999999996</v>
      </c>
      <c r="J671" s="14">
        <f>68.1108 * CHOOSE(CONTROL!$C$9, $D$9, 100%, $F$9) + CHOOSE(CONTROL!$C$27, 0.0021, 0)</f>
        <v>68.112899999999996</v>
      </c>
      <c r="K671" s="14">
        <f>68.1108 * CHOOSE(CONTROL!$C$9, $D$9, 100%, $F$9) + CHOOSE(CONTROL!$C$27, 0.0021, 0)</f>
        <v>68.112899999999996</v>
      </c>
      <c r="L671" s="14"/>
    </row>
    <row r="672" spans="1:12" ht="15.75" x14ac:dyDescent="0.25">
      <c r="A672" s="32">
        <v>61393</v>
      </c>
      <c r="B672" s="14">
        <f>67.675 * CHOOSE(CONTROL!$C$9, $D$9, 100%, $F$9) + CHOOSE(CONTROL!$C$27, 0.0021, 0)</f>
        <v>67.677099999999996</v>
      </c>
      <c r="C672" s="14">
        <f>67.2427 * CHOOSE(CONTROL!$C$9, $D$9, 100%, $F$9) + CHOOSE(CONTROL!$C$27, 0.0021, 0)</f>
        <v>67.244799999999998</v>
      </c>
      <c r="D672" s="14">
        <f>67.2427 * CHOOSE(CONTROL!$C$9, $D$9, 100%, $F$9) + CHOOSE(CONTROL!$C$27, 0.0021, 0)</f>
        <v>67.244799999999998</v>
      </c>
      <c r="E672" s="14">
        <f>67.1061 * CHOOSE(CONTROL!$C$9, $D$9, 100%, $F$9) + CHOOSE(CONTROL!$C$27, 0.0021, 0)</f>
        <v>67.108199999999997</v>
      </c>
      <c r="F672" s="14">
        <f>67.1061 * CHOOSE(CONTROL!$C$9, $D$9, 100%, $F$9) + CHOOSE(CONTROL!$C$27, 0.0021, 0)</f>
        <v>67.108199999999997</v>
      </c>
      <c r="G672" s="14">
        <f>67.3774 * CHOOSE(CONTROL!$C$9, $D$9, 100%, $F$9) + CHOOSE(CONTROL!$C$27, 0.0021, 0)</f>
        <v>67.379499999999993</v>
      </c>
      <c r="H672" s="14">
        <f>67.2427 * CHOOSE(CONTROL!$C$9, $D$9, 100%, $F$9) + CHOOSE(CONTROL!$C$27, 0.0021, 0)</f>
        <v>67.244799999999998</v>
      </c>
      <c r="I672" s="14">
        <f>67.2427 * CHOOSE(CONTROL!$C$9, $D$9, 100%, $F$9) + CHOOSE(CONTROL!$C$27, 0.0021, 0)</f>
        <v>67.244799999999998</v>
      </c>
      <c r="J672" s="14">
        <f>67.2427 * CHOOSE(CONTROL!$C$9, $D$9, 100%, $F$9) + CHOOSE(CONTROL!$C$27, 0.0021, 0)</f>
        <v>67.244799999999998</v>
      </c>
      <c r="K672" s="14">
        <f>67.2427 * CHOOSE(CONTROL!$C$9, $D$9, 100%, $F$9) + CHOOSE(CONTROL!$C$27, 0.0021, 0)</f>
        <v>67.244799999999998</v>
      </c>
      <c r="L672" s="14"/>
    </row>
    <row r="673" spans="1:12" ht="15.75" x14ac:dyDescent="0.25">
      <c r="A673" s="32">
        <v>61422</v>
      </c>
      <c r="B673" s="14">
        <f>65.8256 * CHOOSE(CONTROL!$C$9, $D$9, 100%, $F$9) + CHOOSE(CONTROL!$C$27, 0.0021, 0)</f>
        <v>65.827699999999993</v>
      </c>
      <c r="C673" s="14">
        <f>65.3933 * CHOOSE(CONTROL!$C$9, $D$9, 100%, $F$9) + CHOOSE(CONTROL!$C$27, 0.0021, 0)</f>
        <v>65.395399999999995</v>
      </c>
      <c r="D673" s="14">
        <f>65.3933 * CHOOSE(CONTROL!$C$9, $D$9, 100%, $F$9) + CHOOSE(CONTROL!$C$27, 0.0021, 0)</f>
        <v>65.395399999999995</v>
      </c>
      <c r="E673" s="14">
        <f>65.2567 * CHOOSE(CONTROL!$C$9, $D$9, 100%, $F$9) + CHOOSE(CONTROL!$C$27, 0.0021, 0)</f>
        <v>65.258799999999994</v>
      </c>
      <c r="F673" s="14">
        <f>65.2567 * CHOOSE(CONTROL!$C$9, $D$9, 100%, $F$9) + CHOOSE(CONTROL!$C$27, 0.0021, 0)</f>
        <v>65.258799999999994</v>
      </c>
      <c r="G673" s="14">
        <f>65.5281 * CHOOSE(CONTROL!$C$9, $D$9, 100%, $F$9) + CHOOSE(CONTROL!$C$27, 0.0021, 0)</f>
        <v>65.530199999999994</v>
      </c>
      <c r="H673" s="14">
        <f>65.3933 * CHOOSE(CONTROL!$C$9, $D$9, 100%, $F$9) + CHOOSE(CONTROL!$C$27, 0.0021, 0)</f>
        <v>65.395399999999995</v>
      </c>
      <c r="I673" s="14">
        <f>65.3933 * CHOOSE(CONTROL!$C$9, $D$9, 100%, $F$9) + CHOOSE(CONTROL!$C$27, 0.0021, 0)</f>
        <v>65.395399999999995</v>
      </c>
      <c r="J673" s="14">
        <f>65.3933 * CHOOSE(CONTROL!$C$9, $D$9, 100%, $F$9) + CHOOSE(CONTROL!$C$27, 0.0021, 0)</f>
        <v>65.395399999999995</v>
      </c>
      <c r="K673" s="14">
        <f>65.3933 * CHOOSE(CONTROL!$C$9, $D$9, 100%, $F$9) + CHOOSE(CONTROL!$C$27, 0.0021, 0)</f>
        <v>65.395399999999995</v>
      </c>
      <c r="L673" s="14"/>
    </row>
    <row r="674" spans="1:12" ht="15.75" x14ac:dyDescent="0.25">
      <c r="A674" s="32">
        <v>61453</v>
      </c>
      <c r="B674" s="14">
        <f>65.0622 * CHOOSE(CONTROL!$C$9, $D$9, 100%, $F$9) + CHOOSE(CONTROL!$C$27, 0.0021, 0)</f>
        <v>65.064300000000003</v>
      </c>
      <c r="C674" s="14">
        <f>64.6299 * CHOOSE(CONTROL!$C$9, $D$9, 100%, $F$9) + CHOOSE(CONTROL!$C$27, 0.0021, 0)</f>
        <v>64.632000000000005</v>
      </c>
      <c r="D674" s="14">
        <f>64.6299 * CHOOSE(CONTROL!$C$9, $D$9, 100%, $F$9) + CHOOSE(CONTROL!$C$27, 0.0021, 0)</f>
        <v>64.632000000000005</v>
      </c>
      <c r="E674" s="14">
        <f>64.4933 * CHOOSE(CONTROL!$C$9, $D$9, 100%, $F$9) + CHOOSE(CONTROL!$C$27, 0.0021, 0)</f>
        <v>64.495400000000004</v>
      </c>
      <c r="F674" s="14">
        <f>64.4933 * CHOOSE(CONTROL!$C$9, $D$9, 100%, $F$9) + CHOOSE(CONTROL!$C$27, 0.0021, 0)</f>
        <v>64.495400000000004</v>
      </c>
      <c r="G674" s="14">
        <f>64.7646 * CHOOSE(CONTROL!$C$9, $D$9, 100%, $F$9) + CHOOSE(CONTROL!$C$27, 0.0021, 0)</f>
        <v>64.7667</v>
      </c>
      <c r="H674" s="14">
        <f>64.6299 * CHOOSE(CONTROL!$C$9, $D$9, 100%, $F$9) + CHOOSE(CONTROL!$C$27, 0.0021, 0)</f>
        <v>64.632000000000005</v>
      </c>
      <c r="I674" s="14">
        <f>64.6299 * CHOOSE(CONTROL!$C$9, $D$9, 100%, $F$9) + CHOOSE(CONTROL!$C$27, 0.0021, 0)</f>
        <v>64.632000000000005</v>
      </c>
      <c r="J674" s="14">
        <f>64.6299 * CHOOSE(CONTROL!$C$9, $D$9, 100%, $F$9) + CHOOSE(CONTROL!$C$27, 0.0021, 0)</f>
        <v>64.632000000000005</v>
      </c>
      <c r="K674" s="14">
        <f>64.6299 * CHOOSE(CONTROL!$C$9, $D$9, 100%, $F$9) + CHOOSE(CONTROL!$C$27, 0.0021, 0)</f>
        <v>64.632000000000005</v>
      </c>
      <c r="L674" s="14"/>
    </row>
    <row r="675" spans="1:12" ht="15.75" x14ac:dyDescent="0.25">
      <c r="A675" s="32">
        <v>61483</v>
      </c>
      <c r="B675" s="14">
        <f>64.1506 * CHOOSE(CONTROL!$C$9, $D$9, 100%, $F$9) + CHOOSE(CONTROL!$C$27, 0.0021, 0)</f>
        <v>64.152699999999996</v>
      </c>
      <c r="C675" s="14">
        <f>63.7184 * CHOOSE(CONTROL!$C$9, $D$9, 100%, $F$9) + CHOOSE(CONTROL!$C$27, 0.0021, 0)</f>
        <v>63.720500000000001</v>
      </c>
      <c r="D675" s="14">
        <f>63.7184 * CHOOSE(CONTROL!$C$9, $D$9, 100%, $F$9) + CHOOSE(CONTROL!$C$27, 0.0021, 0)</f>
        <v>63.720500000000001</v>
      </c>
      <c r="E675" s="14">
        <f>63.5817 * CHOOSE(CONTROL!$C$9, $D$9, 100%, $F$9) + CHOOSE(CONTROL!$C$27, 0.0021, 0)</f>
        <v>63.583799999999997</v>
      </c>
      <c r="F675" s="14">
        <f>63.5817 * CHOOSE(CONTROL!$C$9, $D$9, 100%, $F$9) + CHOOSE(CONTROL!$C$27, 0.0021, 0)</f>
        <v>63.583799999999997</v>
      </c>
      <c r="G675" s="14">
        <f>63.8531 * CHOOSE(CONTROL!$C$9, $D$9, 100%, $F$9) + CHOOSE(CONTROL!$C$27, 0.0021, 0)</f>
        <v>63.855199999999996</v>
      </c>
      <c r="H675" s="14">
        <f>63.7184 * CHOOSE(CONTROL!$C$9, $D$9, 100%, $F$9) + CHOOSE(CONTROL!$C$27, 0.0021, 0)</f>
        <v>63.720500000000001</v>
      </c>
      <c r="I675" s="14">
        <f>63.7184 * CHOOSE(CONTROL!$C$9, $D$9, 100%, $F$9) + CHOOSE(CONTROL!$C$27, 0.0021, 0)</f>
        <v>63.720500000000001</v>
      </c>
      <c r="J675" s="14">
        <f>63.7184 * CHOOSE(CONTROL!$C$9, $D$9, 100%, $F$9) + CHOOSE(CONTROL!$C$27, 0.0021, 0)</f>
        <v>63.720500000000001</v>
      </c>
      <c r="K675" s="14">
        <f>63.7184 * CHOOSE(CONTROL!$C$9, $D$9, 100%, $F$9) + CHOOSE(CONTROL!$C$27, 0.0021, 0)</f>
        <v>63.720500000000001</v>
      </c>
      <c r="L675" s="14"/>
    </row>
    <row r="676" spans="1:12" ht="15.75" x14ac:dyDescent="0.25">
      <c r="A676" s="32">
        <v>61514</v>
      </c>
      <c r="B676" s="14">
        <f>65.4497 * CHOOSE(CONTROL!$C$9, $D$9, 100%, $F$9) + CHOOSE(CONTROL!$C$27, 0.0021, 0)</f>
        <v>65.451800000000006</v>
      </c>
      <c r="C676" s="14">
        <f>65.0174 * CHOOSE(CONTROL!$C$9, $D$9, 100%, $F$9) + CHOOSE(CONTROL!$C$27, 0.0021, 0)</f>
        <v>65.019499999999994</v>
      </c>
      <c r="D676" s="14">
        <f>65.0174 * CHOOSE(CONTROL!$C$9, $D$9, 100%, $F$9) + CHOOSE(CONTROL!$C$27, 0.0021, 0)</f>
        <v>65.019499999999994</v>
      </c>
      <c r="E676" s="14">
        <f>64.8808 * CHOOSE(CONTROL!$C$9, $D$9, 100%, $F$9) + CHOOSE(CONTROL!$C$27, 0.0021, 0)</f>
        <v>64.882899999999992</v>
      </c>
      <c r="F676" s="14">
        <f>64.8808 * CHOOSE(CONTROL!$C$9, $D$9, 100%, $F$9) + CHOOSE(CONTROL!$C$27, 0.0021, 0)</f>
        <v>64.882899999999992</v>
      </c>
      <c r="G676" s="14">
        <f>65.1522 * CHOOSE(CONTROL!$C$9, $D$9, 100%, $F$9) + CHOOSE(CONTROL!$C$27, 0.0021, 0)</f>
        <v>65.154299999999992</v>
      </c>
      <c r="H676" s="14">
        <f>65.0174 * CHOOSE(CONTROL!$C$9, $D$9, 100%, $F$9) + CHOOSE(CONTROL!$C$27, 0.0021, 0)</f>
        <v>65.019499999999994</v>
      </c>
      <c r="I676" s="14">
        <f>65.0174 * CHOOSE(CONTROL!$C$9, $D$9, 100%, $F$9) + CHOOSE(CONTROL!$C$27, 0.0021, 0)</f>
        <v>65.019499999999994</v>
      </c>
      <c r="J676" s="14">
        <f>65.0174 * CHOOSE(CONTROL!$C$9, $D$9, 100%, $F$9) + CHOOSE(CONTROL!$C$27, 0.0021, 0)</f>
        <v>65.019499999999994</v>
      </c>
      <c r="K676" s="14">
        <f>65.0174 * CHOOSE(CONTROL!$C$9, $D$9, 100%, $F$9) + CHOOSE(CONTROL!$C$27, 0.0021, 0)</f>
        <v>65.019499999999994</v>
      </c>
      <c r="L676" s="14"/>
    </row>
    <row r="677" spans="1:12" ht="15.75" x14ac:dyDescent="0.25">
      <c r="A677" s="32">
        <v>61544</v>
      </c>
      <c r="B677" s="14">
        <f>66.2278 * CHOOSE(CONTROL!$C$9, $D$9, 100%, $F$9) + CHOOSE(CONTROL!$C$27, 0.0021, 0)</f>
        <v>66.229900000000001</v>
      </c>
      <c r="C677" s="14">
        <f>65.7955 * CHOOSE(CONTROL!$C$9, $D$9, 100%, $F$9) + CHOOSE(CONTROL!$C$27, 0.0021, 0)</f>
        <v>65.797600000000003</v>
      </c>
      <c r="D677" s="14">
        <f>65.7955 * CHOOSE(CONTROL!$C$9, $D$9, 100%, $F$9) + CHOOSE(CONTROL!$C$27, 0.0021, 0)</f>
        <v>65.797600000000003</v>
      </c>
      <c r="E677" s="14">
        <f>65.6589 * CHOOSE(CONTROL!$C$9, $D$9, 100%, $F$9) + CHOOSE(CONTROL!$C$27, 0.0021, 0)</f>
        <v>65.661000000000001</v>
      </c>
      <c r="F677" s="14">
        <f>65.6589 * CHOOSE(CONTROL!$C$9, $D$9, 100%, $F$9) + CHOOSE(CONTROL!$C$27, 0.0021, 0)</f>
        <v>65.661000000000001</v>
      </c>
      <c r="G677" s="14">
        <f>65.9302 * CHOOSE(CONTROL!$C$9, $D$9, 100%, $F$9) + CHOOSE(CONTROL!$C$27, 0.0021, 0)</f>
        <v>65.932299999999998</v>
      </c>
      <c r="H677" s="14">
        <f>65.7955 * CHOOSE(CONTROL!$C$9, $D$9, 100%, $F$9) + CHOOSE(CONTROL!$C$27, 0.0021, 0)</f>
        <v>65.797600000000003</v>
      </c>
      <c r="I677" s="14">
        <f>65.7955 * CHOOSE(CONTROL!$C$9, $D$9, 100%, $F$9) + CHOOSE(CONTROL!$C$27, 0.0021, 0)</f>
        <v>65.797600000000003</v>
      </c>
      <c r="J677" s="14">
        <f>65.7955 * CHOOSE(CONTROL!$C$9, $D$9, 100%, $F$9) + CHOOSE(CONTROL!$C$27, 0.0021, 0)</f>
        <v>65.797600000000003</v>
      </c>
      <c r="K677" s="14">
        <f>65.7955 * CHOOSE(CONTROL!$C$9, $D$9, 100%, $F$9) + CHOOSE(CONTROL!$C$27, 0.0021, 0)</f>
        <v>65.797600000000003</v>
      </c>
      <c r="L677" s="14"/>
    </row>
    <row r="678" spans="1:12" ht="15.75" x14ac:dyDescent="0.25">
      <c r="A678" s="32">
        <v>61575</v>
      </c>
      <c r="B678" s="14">
        <f>67.5113 * CHOOSE(CONTROL!$C$9, $D$9, 100%, $F$9) + CHOOSE(CONTROL!$C$27, 0.0021, 0)</f>
        <v>67.513400000000004</v>
      </c>
      <c r="C678" s="14">
        <f>67.0791 * CHOOSE(CONTROL!$C$9, $D$9, 100%, $F$9) + CHOOSE(CONTROL!$C$27, 0.0021, 0)</f>
        <v>67.081199999999995</v>
      </c>
      <c r="D678" s="14">
        <f>67.0791 * CHOOSE(CONTROL!$C$9, $D$9, 100%, $F$9) + CHOOSE(CONTROL!$C$27, 0.0021, 0)</f>
        <v>67.081199999999995</v>
      </c>
      <c r="E678" s="14">
        <f>66.9424 * CHOOSE(CONTROL!$C$9, $D$9, 100%, $F$9) + CHOOSE(CONTROL!$C$27, 0.0021, 0)</f>
        <v>66.944500000000005</v>
      </c>
      <c r="F678" s="14">
        <f>66.9424 * CHOOSE(CONTROL!$C$9, $D$9, 100%, $F$9) + CHOOSE(CONTROL!$C$27, 0.0021, 0)</f>
        <v>66.944500000000005</v>
      </c>
      <c r="G678" s="14">
        <f>67.2138 * CHOOSE(CONTROL!$C$9, $D$9, 100%, $F$9) + CHOOSE(CONTROL!$C$27, 0.0021, 0)</f>
        <v>67.215900000000005</v>
      </c>
      <c r="H678" s="14">
        <f>67.0791 * CHOOSE(CONTROL!$C$9, $D$9, 100%, $F$9) + CHOOSE(CONTROL!$C$27, 0.0021, 0)</f>
        <v>67.081199999999995</v>
      </c>
      <c r="I678" s="14">
        <f>67.0791 * CHOOSE(CONTROL!$C$9, $D$9, 100%, $F$9) + CHOOSE(CONTROL!$C$27, 0.0021, 0)</f>
        <v>67.081199999999995</v>
      </c>
      <c r="J678" s="14">
        <f>67.0791 * CHOOSE(CONTROL!$C$9, $D$9, 100%, $F$9) + CHOOSE(CONTROL!$C$27, 0.0021, 0)</f>
        <v>67.081199999999995</v>
      </c>
      <c r="K678" s="14">
        <f>67.0791 * CHOOSE(CONTROL!$C$9, $D$9, 100%, $F$9) + CHOOSE(CONTROL!$C$27, 0.0021, 0)</f>
        <v>67.081199999999995</v>
      </c>
      <c r="L678" s="14"/>
    </row>
    <row r="679" spans="1:12" ht="15.75" x14ac:dyDescent="0.25">
      <c r="A679" s="32">
        <v>61606</v>
      </c>
      <c r="B679" s="14">
        <f>67.9031 * CHOOSE(CONTROL!$C$9, $D$9, 100%, $F$9) + CHOOSE(CONTROL!$C$27, 0.0021, 0)</f>
        <v>67.905199999999994</v>
      </c>
      <c r="C679" s="14">
        <f>67.4708 * CHOOSE(CONTROL!$C$9, $D$9, 100%, $F$9) + CHOOSE(CONTROL!$C$27, 0.0021, 0)</f>
        <v>67.472899999999996</v>
      </c>
      <c r="D679" s="14">
        <f>67.4708 * CHOOSE(CONTROL!$C$9, $D$9, 100%, $F$9) + CHOOSE(CONTROL!$C$27, 0.0021, 0)</f>
        <v>67.472899999999996</v>
      </c>
      <c r="E679" s="14">
        <f>67.3342 * CHOOSE(CONTROL!$C$9, $D$9, 100%, $F$9) + CHOOSE(CONTROL!$C$27, 0.0021, 0)</f>
        <v>67.336299999999994</v>
      </c>
      <c r="F679" s="14">
        <f>67.3342 * CHOOSE(CONTROL!$C$9, $D$9, 100%, $F$9) + CHOOSE(CONTROL!$C$27, 0.0021, 0)</f>
        <v>67.336299999999994</v>
      </c>
      <c r="G679" s="14">
        <f>67.6056 * CHOOSE(CONTROL!$C$9, $D$9, 100%, $F$9) + CHOOSE(CONTROL!$C$27, 0.0021, 0)</f>
        <v>67.607699999999994</v>
      </c>
      <c r="H679" s="14">
        <f>67.4708 * CHOOSE(CONTROL!$C$9, $D$9, 100%, $F$9) + CHOOSE(CONTROL!$C$27, 0.0021, 0)</f>
        <v>67.472899999999996</v>
      </c>
      <c r="I679" s="14">
        <f>67.4708 * CHOOSE(CONTROL!$C$9, $D$9, 100%, $F$9) + CHOOSE(CONTROL!$C$27, 0.0021, 0)</f>
        <v>67.472899999999996</v>
      </c>
      <c r="J679" s="14">
        <f>67.4708 * CHOOSE(CONTROL!$C$9, $D$9, 100%, $F$9) + CHOOSE(CONTROL!$C$27, 0.0021, 0)</f>
        <v>67.472899999999996</v>
      </c>
      <c r="K679" s="14">
        <f>67.4708 * CHOOSE(CONTROL!$C$9, $D$9, 100%, $F$9) + CHOOSE(CONTROL!$C$27, 0.0021, 0)</f>
        <v>67.472899999999996</v>
      </c>
      <c r="L679" s="14"/>
    </row>
    <row r="680" spans="1:12" ht="15.75" x14ac:dyDescent="0.25">
      <c r="A680" s="32">
        <v>61636</v>
      </c>
      <c r="B680" s="14">
        <f>69.2373 * CHOOSE(CONTROL!$C$9, $D$9, 100%, $F$9) + CHOOSE(CONTROL!$C$27, 0.0021, 0)</f>
        <v>69.239400000000003</v>
      </c>
      <c r="C680" s="14">
        <f>68.805 * CHOOSE(CONTROL!$C$9, $D$9, 100%, $F$9) + CHOOSE(CONTROL!$C$27, 0.0021, 0)</f>
        <v>68.807100000000005</v>
      </c>
      <c r="D680" s="14">
        <f>68.805 * CHOOSE(CONTROL!$C$9, $D$9, 100%, $F$9) + CHOOSE(CONTROL!$C$27, 0.0021, 0)</f>
        <v>68.807100000000005</v>
      </c>
      <c r="E680" s="14">
        <f>68.6684 * CHOOSE(CONTROL!$C$9, $D$9, 100%, $F$9) + CHOOSE(CONTROL!$C$27, 0.0021, 0)</f>
        <v>68.670500000000004</v>
      </c>
      <c r="F680" s="14">
        <f>68.6684 * CHOOSE(CONTROL!$C$9, $D$9, 100%, $F$9) + CHOOSE(CONTROL!$C$27, 0.0021, 0)</f>
        <v>68.670500000000004</v>
      </c>
      <c r="G680" s="14">
        <f>68.9398 * CHOOSE(CONTROL!$C$9, $D$9, 100%, $F$9) + CHOOSE(CONTROL!$C$27, 0.0021, 0)</f>
        <v>68.941900000000004</v>
      </c>
      <c r="H680" s="14">
        <f>68.805 * CHOOSE(CONTROL!$C$9, $D$9, 100%, $F$9) + CHOOSE(CONTROL!$C$27, 0.0021, 0)</f>
        <v>68.807100000000005</v>
      </c>
      <c r="I680" s="14">
        <f>68.805 * CHOOSE(CONTROL!$C$9, $D$9, 100%, $F$9) + CHOOSE(CONTROL!$C$27, 0.0021, 0)</f>
        <v>68.807100000000005</v>
      </c>
      <c r="J680" s="14">
        <f>68.805 * CHOOSE(CONTROL!$C$9, $D$9, 100%, $F$9) + CHOOSE(CONTROL!$C$27, 0.0021, 0)</f>
        <v>68.807100000000005</v>
      </c>
      <c r="K680" s="14">
        <f>68.805 * CHOOSE(CONTROL!$C$9, $D$9, 100%, $F$9) + CHOOSE(CONTROL!$C$27, 0.0021, 0)</f>
        <v>68.807100000000005</v>
      </c>
      <c r="L680" s="14"/>
    </row>
    <row r="681" spans="1:12" ht="15.75" x14ac:dyDescent="0.25">
      <c r="A681" s="32">
        <v>61667</v>
      </c>
      <c r="B681" s="14">
        <f>70.9261 * CHOOSE(CONTROL!$C$9, $D$9, 100%, $F$9) + CHOOSE(CONTROL!$C$27, 0.0021, 0)</f>
        <v>70.928200000000004</v>
      </c>
      <c r="C681" s="14">
        <f>70.4939 * CHOOSE(CONTROL!$C$9, $D$9, 100%, $F$9) + CHOOSE(CONTROL!$C$27, 0.0021, 0)</f>
        <v>70.495999999999995</v>
      </c>
      <c r="D681" s="14">
        <f>70.4939 * CHOOSE(CONTROL!$C$9, $D$9, 100%, $F$9) + CHOOSE(CONTROL!$C$27, 0.0021, 0)</f>
        <v>70.495999999999995</v>
      </c>
      <c r="E681" s="14">
        <f>70.3572 * CHOOSE(CONTROL!$C$9, $D$9, 100%, $F$9) + CHOOSE(CONTROL!$C$27, 0.0021, 0)</f>
        <v>70.359300000000005</v>
      </c>
      <c r="F681" s="14">
        <f>70.3572 * CHOOSE(CONTROL!$C$9, $D$9, 100%, $F$9) + CHOOSE(CONTROL!$C$27, 0.0021, 0)</f>
        <v>70.359300000000005</v>
      </c>
      <c r="G681" s="14">
        <f>70.6286 * CHOOSE(CONTROL!$C$9, $D$9, 100%, $F$9) + CHOOSE(CONTROL!$C$27, 0.0021, 0)</f>
        <v>70.630700000000004</v>
      </c>
      <c r="H681" s="14">
        <f>70.4939 * CHOOSE(CONTROL!$C$9, $D$9, 100%, $F$9) + CHOOSE(CONTROL!$C$27, 0.0021, 0)</f>
        <v>70.495999999999995</v>
      </c>
      <c r="I681" s="14">
        <f>70.4939 * CHOOSE(CONTROL!$C$9, $D$9, 100%, $F$9) + CHOOSE(CONTROL!$C$27, 0.0021, 0)</f>
        <v>70.495999999999995</v>
      </c>
      <c r="J681" s="14">
        <f>70.4939 * CHOOSE(CONTROL!$C$9, $D$9, 100%, $F$9) + CHOOSE(CONTROL!$C$27, 0.0021, 0)</f>
        <v>70.495999999999995</v>
      </c>
      <c r="K681" s="14">
        <f>70.4939 * CHOOSE(CONTROL!$C$9, $D$9, 100%, $F$9) + CHOOSE(CONTROL!$C$27, 0.0021, 0)</f>
        <v>70.495999999999995</v>
      </c>
      <c r="L681" s="14"/>
    </row>
    <row r="682" spans="1:12" ht="15.75" x14ac:dyDescent="0.25">
      <c r="A682" s="32">
        <v>61697</v>
      </c>
      <c r="B682" s="14">
        <f>71.0847 * CHOOSE(CONTROL!$C$9, $D$9, 100%, $F$9) + CHOOSE(CONTROL!$C$27, 0.0021, 0)</f>
        <v>71.086799999999997</v>
      </c>
      <c r="C682" s="14">
        <f>70.6524 * CHOOSE(CONTROL!$C$9, $D$9, 100%, $F$9) + CHOOSE(CONTROL!$C$27, 0.0021, 0)</f>
        <v>70.654499999999999</v>
      </c>
      <c r="D682" s="14">
        <f>70.6524 * CHOOSE(CONTROL!$C$9, $D$9, 100%, $F$9) + CHOOSE(CONTROL!$C$27, 0.0021, 0)</f>
        <v>70.654499999999999</v>
      </c>
      <c r="E682" s="14">
        <f>70.5158 * CHOOSE(CONTROL!$C$9, $D$9, 100%, $F$9) + CHOOSE(CONTROL!$C$27, 0.0021, 0)</f>
        <v>70.517899999999997</v>
      </c>
      <c r="F682" s="14">
        <f>70.5158 * CHOOSE(CONTROL!$C$9, $D$9, 100%, $F$9) + CHOOSE(CONTROL!$C$27, 0.0021, 0)</f>
        <v>70.517899999999997</v>
      </c>
      <c r="G682" s="14">
        <f>70.7872 * CHOOSE(CONTROL!$C$9, $D$9, 100%, $F$9) + CHOOSE(CONTROL!$C$27, 0.0021, 0)</f>
        <v>70.789299999999997</v>
      </c>
      <c r="H682" s="14">
        <f>70.6524 * CHOOSE(CONTROL!$C$9, $D$9, 100%, $F$9) + CHOOSE(CONTROL!$C$27, 0.0021, 0)</f>
        <v>70.654499999999999</v>
      </c>
      <c r="I682" s="14">
        <f>70.6524 * CHOOSE(CONTROL!$C$9, $D$9, 100%, $F$9) + CHOOSE(CONTROL!$C$27, 0.0021, 0)</f>
        <v>70.654499999999999</v>
      </c>
      <c r="J682" s="14">
        <f>70.6524 * CHOOSE(CONTROL!$C$9, $D$9, 100%, $F$9) + CHOOSE(CONTROL!$C$27, 0.0021, 0)</f>
        <v>70.654499999999999</v>
      </c>
      <c r="K682" s="14">
        <f>70.6524 * CHOOSE(CONTROL!$C$9, $D$9, 100%, $F$9) + CHOOSE(CONTROL!$C$27, 0.0021, 0)</f>
        <v>70.654499999999999</v>
      </c>
      <c r="L682" s="14"/>
    </row>
    <row r="683" spans="1:12" ht="15.75" x14ac:dyDescent="0.25">
      <c r="A683" s="32">
        <v>61728</v>
      </c>
      <c r="B683" s="14">
        <f>69.7358 * CHOOSE(CONTROL!$C$9, $D$9, 100%, $F$9) + CHOOSE(CONTROL!$C$27, 0.0021, 0)</f>
        <v>69.737899999999996</v>
      </c>
      <c r="C683" s="14">
        <f>69.3036 * CHOOSE(CONTROL!$C$9, $D$9, 100%, $F$9) + CHOOSE(CONTROL!$C$27, 0.0021, 0)</f>
        <v>69.305700000000002</v>
      </c>
      <c r="D683" s="14">
        <f>69.3036 * CHOOSE(CONTROL!$C$9, $D$9, 100%, $F$9) + CHOOSE(CONTROL!$C$27, 0.0021, 0)</f>
        <v>69.305700000000002</v>
      </c>
      <c r="E683" s="14">
        <f>69.1669 * CHOOSE(CONTROL!$C$9, $D$9, 100%, $F$9) + CHOOSE(CONTROL!$C$27, 0.0021, 0)</f>
        <v>69.168999999999997</v>
      </c>
      <c r="F683" s="14">
        <f>69.1669 * CHOOSE(CONTROL!$C$9, $D$9, 100%, $F$9) + CHOOSE(CONTROL!$C$27, 0.0021, 0)</f>
        <v>69.168999999999997</v>
      </c>
      <c r="G683" s="14">
        <f>69.4383 * CHOOSE(CONTROL!$C$9, $D$9, 100%, $F$9) + CHOOSE(CONTROL!$C$27, 0.0021, 0)</f>
        <v>69.440399999999997</v>
      </c>
      <c r="H683" s="14">
        <f>69.3036 * CHOOSE(CONTROL!$C$9, $D$9, 100%, $F$9) + CHOOSE(CONTROL!$C$27, 0.0021, 0)</f>
        <v>69.305700000000002</v>
      </c>
      <c r="I683" s="14">
        <f>69.3036 * CHOOSE(CONTROL!$C$9, $D$9, 100%, $F$9) + CHOOSE(CONTROL!$C$27, 0.0021, 0)</f>
        <v>69.305700000000002</v>
      </c>
      <c r="J683" s="14">
        <f>69.3036 * CHOOSE(CONTROL!$C$9, $D$9, 100%, $F$9) + CHOOSE(CONTROL!$C$27, 0.0021, 0)</f>
        <v>69.305700000000002</v>
      </c>
      <c r="K683" s="14">
        <f>69.3036 * CHOOSE(CONTROL!$C$9, $D$9, 100%, $F$9) + CHOOSE(CONTROL!$C$27, 0.0021, 0)</f>
        <v>69.305700000000002</v>
      </c>
      <c r="L683" s="14"/>
    </row>
    <row r="684" spans="1:12" ht="15.75" x14ac:dyDescent="0.25">
      <c r="A684" s="32">
        <v>61759</v>
      </c>
      <c r="B684" s="14">
        <f>68.8522 * CHOOSE(CONTROL!$C$9, $D$9, 100%, $F$9) + CHOOSE(CONTROL!$C$27, 0.0021, 0)</f>
        <v>68.854299999999995</v>
      </c>
      <c r="C684" s="14">
        <f>68.4199 * CHOOSE(CONTROL!$C$9, $D$9, 100%, $F$9) + CHOOSE(CONTROL!$C$27, 0.0021, 0)</f>
        <v>68.421999999999997</v>
      </c>
      <c r="D684" s="14">
        <f>68.4199 * CHOOSE(CONTROL!$C$9, $D$9, 100%, $F$9) + CHOOSE(CONTROL!$C$27, 0.0021, 0)</f>
        <v>68.421999999999997</v>
      </c>
      <c r="E684" s="14">
        <f>68.2833 * CHOOSE(CONTROL!$C$9, $D$9, 100%, $F$9) + CHOOSE(CONTROL!$C$27, 0.0021, 0)</f>
        <v>68.285399999999996</v>
      </c>
      <c r="F684" s="14">
        <f>68.2833 * CHOOSE(CONTROL!$C$9, $D$9, 100%, $F$9) + CHOOSE(CONTROL!$C$27, 0.0021, 0)</f>
        <v>68.285399999999996</v>
      </c>
      <c r="G684" s="14">
        <f>68.5546 * CHOOSE(CONTROL!$C$9, $D$9, 100%, $F$9) + CHOOSE(CONTROL!$C$27, 0.0021, 0)</f>
        <v>68.556699999999992</v>
      </c>
      <c r="H684" s="14">
        <f>68.4199 * CHOOSE(CONTROL!$C$9, $D$9, 100%, $F$9) + CHOOSE(CONTROL!$C$27, 0.0021, 0)</f>
        <v>68.421999999999997</v>
      </c>
      <c r="I684" s="14">
        <f>68.4199 * CHOOSE(CONTROL!$C$9, $D$9, 100%, $F$9) + CHOOSE(CONTROL!$C$27, 0.0021, 0)</f>
        <v>68.421999999999997</v>
      </c>
      <c r="J684" s="14">
        <f>68.4199 * CHOOSE(CONTROL!$C$9, $D$9, 100%, $F$9) + CHOOSE(CONTROL!$C$27, 0.0021, 0)</f>
        <v>68.421999999999997</v>
      </c>
      <c r="K684" s="14">
        <f>68.4199 * CHOOSE(CONTROL!$C$9, $D$9, 100%, $F$9) + CHOOSE(CONTROL!$C$27, 0.0021, 0)</f>
        <v>68.421999999999997</v>
      </c>
      <c r="L684" s="14"/>
    </row>
    <row r="685" spans="1:12" ht="15.75" x14ac:dyDescent="0.25">
      <c r="A685" s="32">
        <v>61787</v>
      </c>
      <c r="B685" s="14">
        <f>66.9695 * CHOOSE(CONTROL!$C$9, $D$9, 100%, $F$9) + CHOOSE(CONTROL!$C$27, 0.0021, 0)</f>
        <v>66.971599999999995</v>
      </c>
      <c r="C685" s="14">
        <f>66.5373 * CHOOSE(CONTROL!$C$9, $D$9, 100%, $F$9) + CHOOSE(CONTROL!$C$27, 0.0021, 0)</f>
        <v>66.539400000000001</v>
      </c>
      <c r="D685" s="14">
        <f>66.5373 * CHOOSE(CONTROL!$C$9, $D$9, 100%, $F$9) + CHOOSE(CONTROL!$C$27, 0.0021, 0)</f>
        <v>66.539400000000001</v>
      </c>
      <c r="E685" s="14">
        <f>66.4006 * CHOOSE(CONTROL!$C$9, $D$9, 100%, $F$9) + CHOOSE(CONTROL!$C$27, 0.0021, 0)</f>
        <v>66.402699999999996</v>
      </c>
      <c r="F685" s="14">
        <f>66.4006 * CHOOSE(CONTROL!$C$9, $D$9, 100%, $F$9) + CHOOSE(CONTROL!$C$27, 0.0021, 0)</f>
        <v>66.402699999999996</v>
      </c>
      <c r="G685" s="14">
        <f>66.672 * CHOOSE(CONTROL!$C$9, $D$9, 100%, $F$9) + CHOOSE(CONTROL!$C$27, 0.0021, 0)</f>
        <v>66.674099999999996</v>
      </c>
      <c r="H685" s="14">
        <f>66.5373 * CHOOSE(CONTROL!$C$9, $D$9, 100%, $F$9) + CHOOSE(CONTROL!$C$27, 0.0021, 0)</f>
        <v>66.539400000000001</v>
      </c>
      <c r="I685" s="14">
        <f>66.5373 * CHOOSE(CONTROL!$C$9, $D$9, 100%, $F$9) + CHOOSE(CONTROL!$C$27, 0.0021, 0)</f>
        <v>66.539400000000001</v>
      </c>
      <c r="J685" s="14">
        <f>66.5373 * CHOOSE(CONTROL!$C$9, $D$9, 100%, $F$9) + CHOOSE(CONTROL!$C$27, 0.0021, 0)</f>
        <v>66.539400000000001</v>
      </c>
      <c r="K685" s="14">
        <f>66.5373 * CHOOSE(CONTROL!$C$9, $D$9, 100%, $F$9) + CHOOSE(CONTROL!$C$27, 0.0021, 0)</f>
        <v>66.539400000000001</v>
      </c>
      <c r="L685" s="14"/>
    </row>
    <row r="686" spans="1:12" ht="15.75" x14ac:dyDescent="0.25">
      <c r="A686" s="32">
        <v>61818</v>
      </c>
      <c r="B686" s="14">
        <f>66.1923 * CHOOSE(CONTROL!$C$9, $D$9, 100%, $F$9) + CHOOSE(CONTROL!$C$27, 0.0021, 0)</f>
        <v>66.194400000000002</v>
      </c>
      <c r="C686" s="14">
        <f>65.7601 * CHOOSE(CONTROL!$C$9, $D$9, 100%, $F$9) + CHOOSE(CONTROL!$C$27, 0.0021, 0)</f>
        <v>65.762199999999993</v>
      </c>
      <c r="D686" s="14">
        <f>65.7601 * CHOOSE(CONTROL!$C$9, $D$9, 100%, $F$9) + CHOOSE(CONTROL!$C$27, 0.0021, 0)</f>
        <v>65.762199999999993</v>
      </c>
      <c r="E686" s="14">
        <f>65.6234 * CHOOSE(CONTROL!$C$9, $D$9, 100%, $F$9) + CHOOSE(CONTROL!$C$27, 0.0021, 0)</f>
        <v>65.625500000000002</v>
      </c>
      <c r="F686" s="14">
        <f>65.6234 * CHOOSE(CONTROL!$C$9, $D$9, 100%, $F$9) + CHOOSE(CONTROL!$C$27, 0.0021, 0)</f>
        <v>65.625500000000002</v>
      </c>
      <c r="G686" s="14">
        <f>65.8948 * CHOOSE(CONTROL!$C$9, $D$9, 100%, $F$9) + CHOOSE(CONTROL!$C$27, 0.0021, 0)</f>
        <v>65.896900000000002</v>
      </c>
      <c r="H686" s="14">
        <f>65.7601 * CHOOSE(CONTROL!$C$9, $D$9, 100%, $F$9) + CHOOSE(CONTROL!$C$27, 0.0021, 0)</f>
        <v>65.762199999999993</v>
      </c>
      <c r="I686" s="14">
        <f>65.7601 * CHOOSE(CONTROL!$C$9, $D$9, 100%, $F$9) + CHOOSE(CONTROL!$C$27, 0.0021, 0)</f>
        <v>65.762199999999993</v>
      </c>
      <c r="J686" s="14">
        <f>65.7601 * CHOOSE(CONTROL!$C$9, $D$9, 100%, $F$9) + CHOOSE(CONTROL!$C$27, 0.0021, 0)</f>
        <v>65.762199999999993</v>
      </c>
      <c r="K686" s="14">
        <f>65.7601 * CHOOSE(CONTROL!$C$9, $D$9, 100%, $F$9) + CHOOSE(CONTROL!$C$27, 0.0021, 0)</f>
        <v>65.762199999999993</v>
      </c>
      <c r="L686" s="14"/>
    </row>
    <row r="687" spans="1:12" ht="15.75" x14ac:dyDescent="0.25">
      <c r="A687" s="32">
        <v>61848</v>
      </c>
      <c r="B687" s="14">
        <f>65.2644 * CHOOSE(CONTROL!$C$9, $D$9, 100%, $F$9) + CHOOSE(CONTROL!$C$27, 0.0021, 0)</f>
        <v>65.266499999999994</v>
      </c>
      <c r="C687" s="14">
        <f>64.8321 * CHOOSE(CONTROL!$C$9, $D$9, 100%, $F$9) + CHOOSE(CONTROL!$C$27, 0.0021, 0)</f>
        <v>64.834199999999996</v>
      </c>
      <c r="D687" s="14">
        <f>64.8321 * CHOOSE(CONTROL!$C$9, $D$9, 100%, $F$9) + CHOOSE(CONTROL!$C$27, 0.0021, 0)</f>
        <v>64.834199999999996</v>
      </c>
      <c r="E687" s="14">
        <f>64.6955 * CHOOSE(CONTROL!$C$9, $D$9, 100%, $F$9) + CHOOSE(CONTROL!$C$27, 0.0021, 0)</f>
        <v>64.697599999999994</v>
      </c>
      <c r="F687" s="14">
        <f>64.6955 * CHOOSE(CONTROL!$C$9, $D$9, 100%, $F$9) + CHOOSE(CONTROL!$C$27, 0.0021, 0)</f>
        <v>64.697599999999994</v>
      </c>
      <c r="G687" s="14">
        <f>64.9669 * CHOOSE(CONTROL!$C$9, $D$9, 100%, $F$9) + CHOOSE(CONTROL!$C$27, 0.0021, 0)</f>
        <v>64.968999999999994</v>
      </c>
      <c r="H687" s="14">
        <f>64.8321 * CHOOSE(CONTROL!$C$9, $D$9, 100%, $F$9) + CHOOSE(CONTROL!$C$27, 0.0021, 0)</f>
        <v>64.834199999999996</v>
      </c>
      <c r="I687" s="14">
        <f>64.8321 * CHOOSE(CONTROL!$C$9, $D$9, 100%, $F$9) + CHOOSE(CONTROL!$C$27, 0.0021, 0)</f>
        <v>64.834199999999996</v>
      </c>
      <c r="J687" s="14">
        <f>64.8321 * CHOOSE(CONTROL!$C$9, $D$9, 100%, $F$9) + CHOOSE(CONTROL!$C$27, 0.0021, 0)</f>
        <v>64.834199999999996</v>
      </c>
      <c r="K687" s="14">
        <f>64.8321 * CHOOSE(CONTROL!$C$9, $D$9, 100%, $F$9) + CHOOSE(CONTROL!$C$27, 0.0021, 0)</f>
        <v>64.834199999999996</v>
      </c>
      <c r="L687" s="14"/>
    </row>
    <row r="688" spans="1:12" ht="15.75" x14ac:dyDescent="0.25">
      <c r="A688" s="32">
        <v>61879</v>
      </c>
      <c r="B688" s="14">
        <f>66.5868 * CHOOSE(CONTROL!$C$9, $D$9, 100%, $F$9) + CHOOSE(CONTROL!$C$27, 0.0021, 0)</f>
        <v>66.588899999999995</v>
      </c>
      <c r="C688" s="14">
        <f>66.1546 * CHOOSE(CONTROL!$C$9, $D$9, 100%, $F$9) + CHOOSE(CONTROL!$C$27, 0.0021, 0)</f>
        <v>66.156700000000001</v>
      </c>
      <c r="D688" s="14">
        <f>66.1546 * CHOOSE(CONTROL!$C$9, $D$9, 100%, $F$9) + CHOOSE(CONTROL!$C$27, 0.0021, 0)</f>
        <v>66.156700000000001</v>
      </c>
      <c r="E688" s="14">
        <f>66.0179 * CHOOSE(CONTROL!$C$9, $D$9, 100%, $F$9) + CHOOSE(CONTROL!$C$27, 0.0021, 0)</f>
        <v>66.02</v>
      </c>
      <c r="F688" s="14">
        <f>66.0179 * CHOOSE(CONTROL!$C$9, $D$9, 100%, $F$9) + CHOOSE(CONTROL!$C$27, 0.0021, 0)</f>
        <v>66.02</v>
      </c>
      <c r="G688" s="14">
        <f>66.2893 * CHOOSE(CONTROL!$C$9, $D$9, 100%, $F$9) + CHOOSE(CONTROL!$C$27, 0.0021, 0)</f>
        <v>66.291399999999996</v>
      </c>
      <c r="H688" s="14">
        <f>66.1546 * CHOOSE(CONTROL!$C$9, $D$9, 100%, $F$9) + CHOOSE(CONTROL!$C$27, 0.0021, 0)</f>
        <v>66.156700000000001</v>
      </c>
      <c r="I688" s="14">
        <f>66.1546 * CHOOSE(CONTROL!$C$9, $D$9, 100%, $F$9) + CHOOSE(CONTROL!$C$27, 0.0021, 0)</f>
        <v>66.156700000000001</v>
      </c>
      <c r="J688" s="14">
        <f>66.1546 * CHOOSE(CONTROL!$C$9, $D$9, 100%, $F$9) + CHOOSE(CONTROL!$C$27, 0.0021, 0)</f>
        <v>66.156700000000001</v>
      </c>
      <c r="K688" s="14">
        <f>66.1546 * CHOOSE(CONTROL!$C$9, $D$9, 100%, $F$9) + CHOOSE(CONTROL!$C$27, 0.0021, 0)</f>
        <v>66.156700000000001</v>
      </c>
      <c r="L688" s="14"/>
    </row>
    <row r="689" spans="1:12" ht="15.75" x14ac:dyDescent="0.25">
      <c r="A689" s="32">
        <v>61909</v>
      </c>
      <c r="B689" s="14">
        <f>67.3789 * CHOOSE(CONTROL!$C$9, $D$9, 100%, $F$9) + CHOOSE(CONTROL!$C$27, 0.0021, 0)</f>
        <v>67.381</v>
      </c>
      <c r="C689" s="14">
        <f>66.9467 * CHOOSE(CONTROL!$C$9, $D$9, 100%, $F$9) + CHOOSE(CONTROL!$C$27, 0.0021, 0)</f>
        <v>66.948800000000006</v>
      </c>
      <c r="D689" s="14">
        <f>66.9467 * CHOOSE(CONTROL!$C$9, $D$9, 100%, $F$9) + CHOOSE(CONTROL!$C$27, 0.0021, 0)</f>
        <v>66.948800000000006</v>
      </c>
      <c r="E689" s="14">
        <f>66.81 * CHOOSE(CONTROL!$C$9, $D$9, 100%, $F$9) + CHOOSE(CONTROL!$C$27, 0.0021, 0)</f>
        <v>66.812100000000001</v>
      </c>
      <c r="F689" s="14">
        <f>66.81 * CHOOSE(CONTROL!$C$9, $D$9, 100%, $F$9) + CHOOSE(CONTROL!$C$27, 0.0021, 0)</f>
        <v>66.812100000000001</v>
      </c>
      <c r="G689" s="14">
        <f>67.0814 * CHOOSE(CONTROL!$C$9, $D$9, 100%, $F$9) + CHOOSE(CONTROL!$C$27, 0.0021, 0)</f>
        <v>67.083500000000001</v>
      </c>
      <c r="H689" s="14">
        <f>66.9467 * CHOOSE(CONTROL!$C$9, $D$9, 100%, $F$9) + CHOOSE(CONTROL!$C$27, 0.0021, 0)</f>
        <v>66.948800000000006</v>
      </c>
      <c r="I689" s="14">
        <f>66.9467 * CHOOSE(CONTROL!$C$9, $D$9, 100%, $F$9) + CHOOSE(CONTROL!$C$27, 0.0021, 0)</f>
        <v>66.948800000000006</v>
      </c>
      <c r="J689" s="14">
        <f>66.9467 * CHOOSE(CONTROL!$C$9, $D$9, 100%, $F$9) + CHOOSE(CONTROL!$C$27, 0.0021, 0)</f>
        <v>66.948800000000006</v>
      </c>
      <c r="K689" s="14">
        <f>66.9467 * CHOOSE(CONTROL!$C$9, $D$9, 100%, $F$9) + CHOOSE(CONTROL!$C$27, 0.0021, 0)</f>
        <v>66.948800000000006</v>
      </c>
      <c r="L689" s="14"/>
    </row>
    <row r="690" spans="1:12" ht="15.75" x14ac:dyDescent="0.25">
      <c r="A690" s="32">
        <v>61940</v>
      </c>
      <c r="B690" s="14">
        <f>68.6856 * CHOOSE(CONTROL!$C$9, $D$9, 100%, $F$9) + CHOOSE(CONTROL!$C$27, 0.0021, 0)</f>
        <v>68.687699999999992</v>
      </c>
      <c r="C690" s="14">
        <f>68.2533 * CHOOSE(CONTROL!$C$9, $D$9, 100%, $F$9) + CHOOSE(CONTROL!$C$27, 0.0021, 0)</f>
        <v>68.255399999999995</v>
      </c>
      <c r="D690" s="14">
        <f>68.2533 * CHOOSE(CONTROL!$C$9, $D$9, 100%, $F$9) + CHOOSE(CONTROL!$C$27, 0.0021, 0)</f>
        <v>68.255399999999995</v>
      </c>
      <c r="E690" s="14">
        <f>68.1167 * CHOOSE(CONTROL!$C$9, $D$9, 100%, $F$9) + CHOOSE(CONTROL!$C$27, 0.0021, 0)</f>
        <v>68.118799999999993</v>
      </c>
      <c r="F690" s="14">
        <f>68.1167 * CHOOSE(CONTROL!$C$9, $D$9, 100%, $F$9) + CHOOSE(CONTROL!$C$27, 0.0021, 0)</f>
        <v>68.118799999999993</v>
      </c>
      <c r="G690" s="14">
        <f>68.388 * CHOOSE(CONTROL!$C$9, $D$9, 100%, $F$9) + CHOOSE(CONTROL!$C$27, 0.0021, 0)</f>
        <v>68.390100000000004</v>
      </c>
      <c r="H690" s="14">
        <f>68.2533 * CHOOSE(CONTROL!$C$9, $D$9, 100%, $F$9) + CHOOSE(CONTROL!$C$27, 0.0021, 0)</f>
        <v>68.255399999999995</v>
      </c>
      <c r="I690" s="14">
        <f>68.2533 * CHOOSE(CONTROL!$C$9, $D$9, 100%, $F$9) + CHOOSE(CONTROL!$C$27, 0.0021, 0)</f>
        <v>68.255399999999995</v>
      </c>
      <c r="J690" s="14">
        <f>68.2533 * CHOOSE(CONTROL!$C$9, $D$9, 100%, $F$9) + CHOOSE(CONTROL!$C$27, 0.0021, 0)</f>
        <v>68.255399999999995</v>
      </c>
      <c r="K690" s="14">
        <f>68.2533 * CHOOSE(CONTROL!$C$9, $D$9, 100%, $F$9) + CHOOSE(CONTROL!$C$27, 0.0021, 0)</f>
        <v>68.255399999999995</v>
      </c>
      <c r="L690" s="14"/>
    </row>
    <row r="691" spans="1:12" ht="15.75" x14ac:dyDescent="0.25">
      <c r="A691" s="32">
        <v>61971</v>
      </c>
      <c r="B691" s="14">
        <f>69.0844 * CHOOSE(CONTROL!$C$9, $D$9, 100%, $F$9) + CHOOSE(CONTROL!$C$27, 0.0021, 0)</f>
        <v>69.086500000000001</v>
      </c>
      <c r="C691" s="14">
        <f>68.6522 * CHOOSE(CONTROL!$C$9, $D$9, 100%, $F$9) + CHOOSE(CONTROL!$C$27, 0.0021, 0)</f>
        <v>68.654299999999992</v>
      </c>
      <c r="D691" s="14">
        <f>68.6522 * CHOOSE(CONTROL!$C$9, $D$9, 100%, $F$9) + CHOOSE(CONTROL!$C$27, 0.0021, 0)</f>
        <v>68.654299999999992</v>
      </c>
      <c r="E691" s="14">
        <f>68.5155 * CHOOSE(CONTROL!$C$9, $D$9, 100%, $F$9) + CHOOSE(CONTROL!$C$27, 0.0021, 0)</f>
        <v>68.517600000000002</v>
      </c>
      <c r="F691" s="14">
        <f>68.5155 * CHOOSE(CONTROL!$C$9, $D$9, 100%, $F$9) + CHOOSE(CONTROL!$C$27, 0.0021, 0)</f>
        <v>68.517600000000002</v>
      </c>
      <c r="G691" s="14">
        <f>68.7869 * CHOOSE(CONTROL!$C$9, $D$9, 100%, $F$9) + CHOOSE(CONTROL!$C$27, 0.0021, 0)</f>
        <v>68.789000000000001</v>
      </c>
      <c r="H691" s="14">
        <f>68.6522 * CHOOSE(CONTROL!$C$9, $D$9, 100%, $F$9) + CHOOSE(CONTROL!$C$27, 0.0021, 0)</f>
        <v>68.654299999999992</v>
      </c>
      <c r="I691" s="14">
        <f>68.6522 * CHOOSE(CONTROL!$C$9, $D$9, 100%, $F$9) + CHOOSE(CONTROL!$C$27, 0.0021, 0)</f>
        <v>68.654299999999992</v>
      </c>
      <c r="J691" s="14">
        <f>68.6522 * CHOOSE(CONTROL!$C$9, $D$9, 100%, $F$9) + CHOOSE(CONTROL!$C$27, 0.0021, 0)</f>
        <v>68.654299999999992</v>
      </c>
      <c r="K691" s="14">
        <f>68.6522 * CHOOSE(CONTROL!$C$9, $D$9, 100%, $F$9) + CHOOSE(CONTROL!$C$27, 0.0021, 0)</f>
        <v>68.654299999999992</v>
      </c>
      <c r="L691" s="14"/>
    </row>
    <row r="692" spans="1:12" ht="15.75" x14ac:dyDescent="0.25">
      <c r="A692" s="32">
        <v>62001</v>
      </c>
      <c r="B692" s="14">
        <f>70.4426 * CHOOSE(CONTROL!$C$9, $D$9, 100%, $F$9) + CHOOSE(CONTROL!$C$27, 0.0021, 0)</f>
        <v>70.444699999999997</v>
      </c>
      <c r="C692" s="14">
        <f>70.0104 * CHOOSE(CONTROL!$C$9, $D$9, 100%, $F$9) + CHOOSE(CONTROL!$C$27, 0.0021, 0)</f>
        <v>70.012500000000003</v>
      </c>
      <c r="D692" s="14">
        <f>70.0104 * CHOOSE(CONTROL!$C$9, $D$9, 100%, $F$9) + CHOOSE(CONTROL!$C$27, 0.0021, 0)</f>
        <v>70.012500000000003</v>
      </c>
      <c r="E692" s="14">
        <f>69.8737 * CHOOSE(CONTROL!$C$9, $D$9, 100%, $F$9) + CHOOSE(CONTROL!$C$27, 0.0021, 0)</f>
        <v>69.875799999999998</v>
      </c>
      <c r="F692" s="14">
        <f>69.8737 * CHOOSE(CONTROL!$C$9, $D$9, 100%, $F$9) + CHOOSE(CONTROL!$C$27, 0.0021, 0)</f>
        <v>69.875799999999998</v>
      </c>
      <c r="G692" s="14">
        <f>70.1451 * CHOOSE(CONTROL!$C$9, $D$9, 100%, $F$9) + CHOOSE(CONTROL!$C$27, 0.0021, 0)</f>
        <v>70.147199999999998</v>
      </c>
      <c r="H692" s="14">
        <f>70.0104 * CHOOSE(CONTROL!$C$9, $D$9, 100%, $F$9) + CHOOSE(CONTROL!$C$27, 0.0021, 0)</f>
        <v>70.012500000000003</v>
      </c>
      <c r="I692" s="14">
        <f>70.0104 * CHOOSE(CONTROL!$C$9, $D$9, 100%, $F$9) + CHOOSE(CONTROL!$C$27, 0.0021, 0)</f>
        <v>70.012500000000003</v>
      </c>
      <c r="J692" s="14">
        <f>70.0104 * CHOOSE(CONTROL!$C$9, $D$9, 100%, $F$9) + CHOOSE(CONTROL!$C$27, 0.0021, 0)</f>
        <v>70.012500000000003</v>
      </c>
      <c r="K692" s="14">
        <f>70.0104 * CHOOSE(CONTROL!$C$9, $D$9, 100%, $F$9) + CHOOSE(CONTROL!$C$27, 0.0021, 0)</f>
        <v>70.012500000000003</v>
      </c>
      <c r="L692" s="14"/>
    </row>
    <row r="693" spans="1:12" ht="15.75" x14ac:dyDescent="0.25">
      <c r="A693" s="32">
        <v>62032</v>
      </c>
      <c r="B693" s="14">
        <f>72.1619 * CHOOSE(CONTROL!$C$9, $D$9, 100%, $F$9) + CHOOSE(CONTROL!$C$27, 0.0021, 0)</f>
        <v>72.164000000000001</v>
      </c>
      <c r="C693" s="14">
        <f>71.7296 * CHOOSE(CONTROL!$C$9, $D$9, 100%, $F$9) + CHOOSE(CONTROL!$C$27, 0.0021, 0)</f>
        <v>71.731700000000004</v>
      </c>
      <c r="D693" s="14">
        <f>71.7296 * CHOOSE(CONTROL!$C$9, $D$9, 100%, $F$9) + CHOOSE(CONTROL!$C$27, 0.0021, 0)</f>
        <v>71.731700000000004</v>
      </c>
      <c r="E693" s="14">
        <f>71.593 * CHOOSE(CONTROL!$C$9, $D$9, 100%, $F$9) + CHOOSE(CONTROL!$C$27, 0.0021, 0)</f>
        <v>71.595100000000002</v>
      </c>
      <c r="F693" s="14">
        <f>71.593 * CHOOSE(CONTROL!$C$9, $D$9, 100%, $F$9) + CHOOSE(CONTROL!$C$27, 0.0021, 0)</f>
        <v>71.595100000000002</v>
      </c>
      <c r="G693" s="14">
        <f>71.8644 * CHOOSE(CONTROL!$C$9, $D$9, 100%, $F$9) + CHOOSE(CONTROL!$C$27, 0.0021, 0)</f>
        <v>71.866500000000002</v>
      </c>
      <c r="H693" s="14">
        <f>71.7296 * CHOOSE(CONTROL!$C$9, $D$9, 100%, $F$9) + CHOOSE(CONTROL!$C$27, 0.0021, 0)</f>
        <v>71.731700000000004</v>
      </c>
      <c r="I693" s="14">
        <f>71.7296 * CHOOSE(CONTROL!$C$9, $D$9, 100%, $F$9) + CHOOSE(CONTROL!$C$27, 0.0021, 0)</f>
        <v>71.731700000000004</v>
      </c>
      <c r="J693" s="14">
        <f>71.7296 * CHOOSE(CONTROL!$C$9, $D$9, 100%, $F$9) + CHOOSE(CONTROL!$C$27, 0.0021, 0)</f>
        <v>71.731700000000004</v>
      </c>
      <c r="K693" s="14">
        <f>71.7296 * CHOOSE(CONTROL!$C$9, $D$9, 100%, $F$9) + CHOOSE(CONTROL!$C$27, 0.0021, 0)</f>
        <v>71.731700000000004</v>
      </c>
      <c r="L693" s="14"/>
    </row>
    <row r="694" spans="1:12" ht="15.75" x14ac:dyDescent="0.25">
      <c r="A694" s="32">
        <v>62062</v>
      </c>
      <c r="B694" s="14">
        <f>72.3233 * CHOOSE(CONTROL!$C$9, $D$9, 100%, $F$9) + CHOOSE(CONTROL!$C$27, 0.0021, 0)</f>
        <v>72.325400000000002</v>
      </c>
      <c r="C694" s="14">
        <f>71.891 * CHOOSE(CONTROL!$C$9, $D$9, 100%, $F$9) + CHOOSE(CONTROL!$C$27, 0.0021, 0)</f>
        <v>71.893100000000004</v>
      </c>
      <c r="D694" s="14">
        <f>71.891 * CHOOSE(CONTROL!$C$9, $D$9, 100%, $F$9) + CHOOSE(CONTROL!$C$27, 0.0021, 0)</f>
        <v>71.893100000000004</v>
      </c>
      <c r="E694" s="14">
        <f>71.7544 * CHOOSE(CONTROL!$C$9, $D$9, 100%, $F$9) + CHOOSE(CONTROL!$C$27, 0.0021, 0)</f>
        <v>71.756500000000003</v>
      </c>
      <c r="F694" s="14">
        <f>71.7544 * CHOOSE(CONTROL!$C$9, $D$9, 100%, $F$9) + CHOOSE(CONTROL!$C$27, 0.0021, 0)</f>
        <v>71.756500000000003</v>
      </c>
      <c r="G694" s="14">
        <f>72.0258 * CHOOSE(CONTROL!$C$9, $D$9, 100%, $F$9) + CHOOSE(CONTROL!$C$27, 0.0021, 0)</f>
        <v>72.027900000000002</v>
      </c>
      <c r="H694" s="14">
        <f>71.891 * CHOOSE(CONTROL!$C$9, $D$9, 100%, $F$9) + CHOOSE(CONTROL!$C$27, 0.0021, 0)</f>
        <v>71.893100000000004</v>
      </c>
      <c r="I694" s="14">
        <f>71.891 * CHOOSE(CONTROL!$C$9, $D$9, 100%, $F$9) + CHOOSE(CONTROL!$C$27, 0.0021, 0)</f>
        <v>71.893100000000004</v>
      </c>
      <c r="J694" s="14">
        <f>71.891 * CHOOSE(CONTROL!$C$9, $D$9, 100%, $F$9) + CHOOSE(CONTROL!$C$27, 0.0021, 0)</f>
        <v>71.893100000000004</v>
      </c>
      <c r="K694" s="14">
        <f>71.891 * CHOOSE(CONTROL!$C$9, $D$9, 100%, $F$9) + CHOOSE(CONTROL!$C$27, 0.0021, 0)</f>
        <v>71.893100000000004</v>
      </c>
      <c r="L694" s="14"/>
    </row>
    <row r="695" spans="1:12" ht="15.75" x14ac:dyDescent="0.25">
      <c r="A695" s="32">
        <v>62093</v>
      </c>
      <c r="B695" s="14">
        <f>70.9501 * CHOOSE(CONTROL!$C$9, $D$9, 100%, $F$9) + CHOOSE(CONTROL!$C$27, 0.0021, 0)</f>
        <v>70.952200000000005</v>
      </c>
      <c r="C695" s="14">
        <f>70.5179 * CHOOSE(CONTROL!$C$9, $D$9, 100%, $F$9) + CHOOSE(CONTROL!$C$27, 0.0021, 0)</f>
        <v>70.52</v>
      </c>
      <c r="D695" s="14">
        <f>70.5179 * CHOOSE(CONTROL!$C$9, $D$9, 100%, $F$9) + CHOOSE(CONTROL!$C$27, 0.0021, 0)</f>
        <v>70.52</v>
      </c>
      <c r="E695" s="14">
        <f>70.3812 * CHOOSE(CONTROL!$C$9, $D$9, 100%, $F$9) + CHOOSE(CONTROL!$C$27, 0.0021, 0)</f>
        <v>70.383300000000006</v>
      </c>
      <c r="F695" s="14">
        <f>70.3812 * CHOOSE(CONTROL!$C$9, $D$9, 100%, $F$9) + CHOOSE(CONTROL!$C$27, 0.0021, 0)</f>
        <v>70.383300000000006</v>
      </c>
      <c r="G695" s="14">
        <f>70.6526 * CHOOSE(CONTROL!$C$9, $D$9, 100%, $F$9) + CHOOSE(CONTROL!$C$27, 0.0021, 0)</f>
        <v>70.654700000000005</v>
      </c>
      <c r="H695" s="14">
        <f>70.5179 * CHOOSE(CONTROL!$C$9, $D$9, 100%, $F$9) + CHOOSE(CONTROL!$C$27, 0.0021, 0)</f>
        <v>70.52</v>
      </c>
      <c r="I695" s="14">
        <f>70.5179 * CHOOSE(CONTROL!$C$9, $D$9, 100%, $F$9) + CHOOSE(CONTROL!$C$27, 0.0021, 0)</f>
        <v>70.52</v>
      </c>
      <c r="J695" s="14">
        <f>70.5179 * CHOOSE(CONTROL!$C$9, $D$9, 100%, $F$9) + CHOOSE(CONTROL!$C$27, 0.0021, 0)</f>
        <v>70.52</v>
      </c>
      <c r="K695" s="14">
        <f>70.5179 * CHOOSE(CONTROL!$C$9, $D$9, 100%, $F$9) + CHOOSE(CONTROL!$C$27, 0.0021, 0)</f>
        <v>70.52</v>
      </c>
      <c r="L695" s="14"/>
    </row>
    <row r="696" spans="1:12" ht="15.75" x14ac:dyDescent="0.25">
      <c r="A696" s="32">
        <v>62124</v>
      </c>
      <c r="B696" s="14">
        <f>70.0506 * CHOOSE(CONTROL!$C$9, $D$9, 100%, $F$9) + CHOOSE(CONTROL!$C$27, 0.0021, 0)</f>
        <v>70.052700000000002</v>
      </c>
      <c r="C696" s="14">
        <f>69.6183 * CHOOSE(CONTROL!$C$9, $D$9, 100%, $F$9) + CHOOSE(CONTROL!$C$27, 0.0021, 0)</f>
        <v>69.620400000000004</v>
      </c>
      <c r="D696" s="14">
        <f>69.6183 * CHOOSE(CONTROL!$C$9, $D$9, 100%, $F$9) + CHOOSE(CONTROL!$C$27, 0.0021, 0)</f>
        <v>69.620400000000004</v>
      </c>
      <c r="E696" s="14">
        <f>69.4817 * CHOOSE(CONTROL!$C$9, $D$9, 100%, $F$9) + CHOOSE(CONTROL!$C$27, 0.0021, 0)</f>
        <v>69.483800000000002</v>
      </c>
      <c r="F696" s="14">
        <f>69.4817 * CHOOSE(CONTROL!$C$9, $D$9, 100%, $F$9) + CHOOSE(CONTROL!$C$27, 0.0021, 0)</f>
        <v>69.483800000000002</v>
      </c>
      <c r="G696" s="14">
        <f>69.753 * CHOOSE(CONTROL!$C$9, $D$9, 100%, $F$9) + CHOOSE(CONTROL!$C$27, 0.0021, 0)</f>
        <v>69.755099999999999</v>
      </c>
      <c r="H696" s="14">
        <f>69.6183 * CHOOSE(CONTROL!$C$9, $D$9, 100%, $F$9) + CHOOSE(CONTROL!$C$27, 0.0021, 0)</f>
        <v>69.620400000000004</v>
      </c>
      <c r="I696" s="14">
        <f>69.6183 * CHOOSE(CONTROL!$C$9, $D$9, 100%, $F$9) + CHOOSE(CONTROL!$C$27, 0.0021, 0)</f>
        <v>69.620400000000004</v>
      </c>
      <c r="J696" s="14">
        <f>69.6183 * CHOOSE(CONTROL!$C$9, $D$9, 100%, $F$9) + CHOOSE(CONTROL!$C$27, 0.0021, 0)</f>
        <v>69.620400000000004</v>
      </c>
      <c r="K696" s="14">
        <f>69.6183 * CHOOSE(CONTROL!$C$9, $D$9, 100%, $F$9) + CHOOSE(CONTROL!$C$27, 0.0021, 0)</f>
        <v>69.620400000000004</v>
      </c>
      <c r="L696" s="14"/>
    </row>
    <row r="697" spans="1:12" ht="15.75" x14ac:dyDescent="0.25">
      <c r="A697" s="32">
        <v>62152</v>
      </c>
      <c r="B697" s="14">
        <f>68.134 * CHOOSE(CONTROL!$C$9, $D$9, 100%, $F$9) + CHOOSE(CONTROL!$C$27, 0.0021, 0)</f>
        <v>68.136099999999999</v>
      </c>
      <c r="C697" s="14">
        <f>67.7018 * CHOOSE(CONTROL!$C$9, $D$9, 100%, $F$9) + CHOOSE(CONTROL!$C$27, 0.0021, 0)</f>
        <v>67.703900000000004</v>
      </c>
      <c r="D697" s="14">
        <f>67.7018 * CHOOSE(CONTROL!$C$9, $D$9, 100%, $F$9) + CHOOSE(CONTROL!$C$27, 0.0021, 0)</f>
        <v>67.703900000000004</v>
      </c>
      <c r="E697" s="14">
        <f>67.5651 * CHOOSE(CONTROL!$C$9, $D$9, 100%, $F$9) + CHOOSE(CONTROL!$C$27, 0.0021, 0)</f>
        <v>67.5672</v>
      </c>
      <c r="F697" s="14">
        <f>67.5651 * CHOOSE(CONTROL!$C$9, $D$9, 100%, $F$9) + CHOOSE(CONTROL!$C$27, 0.0021, 0)</f>
        <v>67.5672</v>
      </c>
      <c r="G697" s="14">
        <f>67.8365 * CHOOSE(CONTROL!$C$9, $D$9, 100%, $F$9) + CHOOSE(CONTROL!$C$27, 0.0021, 0)</f>
        <v>67.8386</v>
      </c>
      <c r="H697" s="14">
        <f>67.7018 * CHOOSE(CONTROL!$C$9, $D$9, 100%, $F$9) + CHOOSE(CONTROL!$C$27, 0.0021, 0)</f>
        <v>67.703900000000004</v>
      </c>
      <c r="I697" s="14">
        <f>67.7018 * CHOOSE(CONTROL!$C$9, $D$9, 100%, $F$9) + CHOOSE(CONTROL!$C$27, 0.0021, 0)</f>
        <v>67.703900000000004</v>
      </c>
      <c r="J697" s="14">
        <f>67.7018 * CHOOSE(CONTROL!$C$9, $D$9, 100%, $F$9) + CHOOSE(CONTROL!$C$27, 0.0021, 0)</f>
        <v>67.703900000000004</v>
      </c>
      <c r="K697" s="14">
        <f>67.7018 * CHOOSE(CONTROL!$C$9, $D$9, 100%, $F$9) + CHOOSE(CONTROL!$C$27, 0.0021, 0)</f>
        <v>67.703900000000004</v>
      </c>
      <c r="L697" s="14"/>
    </row>
    <row r="698" spans="1:12" ht="15.75" x14ac:dyDescent="0.25">
      <c r="A698" s="32">
        <v>62183</v>
      </c>
      <c r="B698" s="14">
        <f>67.3428 * CHOOSE(CONTROL!$C$9, $D$9, 100%, $F$9) + CHOOSE(CONTROL!$C$27, 0.0021, 0)</f>
        <v>67.344899999999996</v>
      </c>
      <c r="C698" s="14">
        <f>66.9106 * CHOOSE(CONTROL!$C$9, $D$9, 100%, $F$9) + CHOOSE(CONTROL!$C$27, 0.0021, 0)</f>
        <v>66.912700000000001</v>
      </c>
      <c r="D698" s="14">
        <f>66.9106 * CHOOSE(CONTROL!$C$9, $D$9, 100%, $F$9) + CHOOSE(CONTROL!$C$27, 0.0021, 0)</f>
        <v>66.912700000000001</v>
      </c>
      <c r="E698" s="14">
        <f>66.7739 * CHOOSE(CONTROL!$C$9, $D$9, 100%, $F$9) + CHOOSE(CONTROL!$C$27, 0.0021, 0)</f>
        <v>66.775999999999996</v>
      </c>
      <c r="F698" s="14">
        <f>66.7739 * CHOOSE(CONTROL!$C$9, $D$9, 100%, $F$9) + CHOOSE(CONTROL!$C$27, 0.0021, 0)</f>
        <v>66.775999999999996</v>
      </c>
      <c r="G698" s="14">
        <f>67.0453 * CHOOSE(CONTROL!$C$9, $D$9, 100%, $F$9) + CHOOSE(CONTROL!$C$27, 0.0021, 0)</f>
        <v>67.047399999999996</v>
      </c>
      <c r="H698" s="14">
        <f>66.9106 * CHOOSE(CONTROL!$C$9, $D$9, 100%, $F$9) + CHOOSE(CONTROL!$C$27, 0.0021, 0)</f>
        <v>66.912700000000001</v>
      </c>
      <c r="I698" s="14">
        <f>66.9106 * CHOOSE(CONTROL!$C$9, $D$9, 100%, $F$9) + CHOOSE(CONTROL!$C$27, 0.0021, 0)</f>
        <v>66.912700000000001</v>
      </c>
      <c r="J698" s="14">
        <f>66.9106 * CHOOSE(CONTROL!$C$9, $D$9, 100%, $F$9) + CHOOSE(CONTROL!$C$27, 0.0021, 0)</f>
        <v>66.912700000000001</v>
      </c>
      <c r="K698" s="14">
        <f>66.9106 * CHOOSE(CONTROL!$C$9, $D$9, 100%, $F$9) + CHOOSE(CONTROL!$C$27, 0.0021, 0)</f>
        <v>66.912700000000001</v>
      </c>
      <c r="L698" s="14"/>
    </row>
    <row r="699" spans="1:12" ht="15.75" x14ac:dyDescent="0.25">
      <c r="A699" s="32">
        <v>62213</v>
      </c>
      <c r="B699" s="14">
        <f>66.3982 * CHOOSE(CONTROL!$C$9, $D$9, 100%, $F$9) + CHOOSE(CONTROL!$C$27, 0.0021, 0)</f>
        <v>66.400300000000001</v>
      </c>
      <c r="C699" s="14">
        <f>65.9659 * CHOOSE(CONTROL!$C$9, $D$9, 100%, $F$9) + CHOOSE(CONTROL!$C$27, 0.0021, 0)</f>
        <v>65.968000000000004</v>
      </c>
      <c r="D699" s="14">
        <f>65.9659 * CHOOSE(CONTROL!$C$9, $D$9, 100%, $F$9) + CHOOSE(CONTROL!$C$27, 0.0021, 0)</f>
        <v>65.968000000000004</v>
      </c>
      <c r="E699" s="14">
        <f>65.8293 * CHOOSE(CONTROL!$C$9, $D$9, 100%, $F$9) + CHOOSE(CONTROL!$C$27, 0.0021, 0)</f>
        <v>65.831400000000002</v>
      </c>
      <c r="F699" s="14">
        <f>65.8293 * CHOOSE(CONTROL!$C$9, $D$9, 100%, $F$9) + CHOOSE(CONTROL!$C$27, 0.0021, 0)</f>
        <v>65.831400000000002</v>
      </c>
      <c r="G699" s="14">
        <f>66.1007 * CHOOSE(CONTROL!$C$9, $D$9, 100%, $F$9) + CHOOSE(CONTROL!$C$27, 0.0021, 0)</f>
        <v>66.102800000000002</v>
      </c>
      <c r="H699" s="14">
        <f>65.9659 * CHOOSE(CONTROL!$C$9, $D$9, 100%, $F$9) + CHOOSE(CONTROL!$C$27, 0.0021, 0)</f>
        <v>65.968000000000004</v>
      </c>
      <c r="I699" s="14">
        <f>65.9659 * CHOOSE(CONTROL!$C$9, $D$9, 100%, $F$9) + CHOOSE(CONTROL!$C$27, 0.0021, 0)</f>
        <v>65.968000000000004</v>
      </c>
      <c r="J699" s="14">
        <f>65.9659 * CHOOSE(CONTROL!$C$9, $D$9, 100%, $F$9) + CHOOSE(CONTROL!$C$27, 0.0021, 0)</f>
        <v>65.968000000000004</v>
      </c>
      <c r="K699" s="14">
        <f>65.9659 * CHOOSE(CONTROL!$C$9, $D$9, 100%, $F$9) + CHOOSE(CONTROL!$C$27, 0.0021, 0)</f>
        <v>65.968000000000004</v>
      </c>
      <c r="L699" s="14"/>
    </row>
    <row r="700" spans="1:12" ht="15.75" x14ac:dyDescent="0.25">
      <c r="A700" s="32">
        <v>62244</v>
      </c>
      <c r="B700" s="14">
        <f>67.7444 * CHOOSE(CONTROL!$C$9, $D$9, 100%, $F$9) + CHOOSE(CONTROL!$C$27, 0.0021, 0)</f>
        <v>67.746499999999997</v>
      </c>
      <c r="C700" s="14">
        <f>67.3122 * CHOOSE(CONTROL!$C$9, $D$9, 100%, $F$9) + CHOOSE(CONTROL!$C$27, 0.0021, 0)</f>
        <v>67.314300000000003</v>
      </c>
      <c r="D700" s="14">
        <f>67.3122 * CHOOSE(CONTROL!$C$9, $D$9, 100%, $F$9) + CHOOSE(CONTROL!$C$27, 0.0021, 0)</f>
        <v>67.314300000000003</v>
      </c>
      <c r="E700" s="14">
        <f>67.1755 * CHOOSE(CONTROL!$C$9, $D$9, 100%, $F$9) + CHOOSE(CONTROL!$C$27, 0.0021, 0)</f>
        <v>67.177599999999998</v>
      </c>
      <c r="F700" s="14">
        <f>67.1755 * CHOOSE(CONTROL!$C$9, $D$9, 100%, $F$9) + CHOOSE(CONTROL!$C$27, 0.0021, 0)</f>
        <v>67.177599999999998</v>
      </c>
      <c r="G700" s="14">
        <f>67.4469 * CHOOSE(CONTROL!$C$9, $D$9, 100%, $F$9) + CHOOSE(CONTROL!$C$27, 0.0021, 0)</f>
        <v>67.448999999999998</v>
      </c>
      <c r="H700" s="14">
        <f>67.3122 * CHOOSE(CONTROL!$C$9, $D$9, 100%, $F$9) + CHOOSE(CONTROL!$C$27, 0.0021, 0)</f>
        <v>67.314300000000003</v>
      </c>
      <c r="I700" s="14">
        <f>67.3122 * CHOOSE(CONTROL!$C$9, $D$9, 100%, $F$9) + CHOOSE(CONTROL!$C$27, 0.0021, 0)</f>
        <v>67.314300000000003</v>
      </c>
      <c r="J700" s="14">
        <f>67.3122 * CHOOSE(CONTROL!$C$9, $D$9, 100%, $F$9) + CHOOSE(CONTROL!$C$27, 0.0021, 0)</f>
        <v>67.314300000000003</v>
      </c>
      <c r="K700" s="14">
        <f>67.3122 * CHOOSE(CONTROL!$C$9, $D$9, 100%, $F$9) + CHOOSE(CONTROL!$C$27, 0.0021, 0)</f>
        <v>67.314300000000003</v>
      </c>
      <c r="L700" s="14"/>
    </row>
    <row r="701" spans="1:12" ht="15.75" x14ac:dyDescent="0.25">
      <c r="A701" s="32">
        <v>62274</v>
      </c>
      <c r="B701" s="14">
        <f>68.5508 * CHOOSE(CONTROL!$C$9, $D$9, 100%, $F$9) + CHOOSE(CONTROL!$C$27, 0.0021, 0)</f>
        <v>68.552899999999994</v>
      </c>
      <c r="C701" s="14">
        <f>68.1185 * CHOOSE(CONTROL!$C$9, $D$9, 100%, $F$9) + CHOOSE(CONTROL!$C$27, 0.0021, 0)</f>
        <v>68.120599999999996</v>
      </c>
      <c r="D701" s="14">
        <f>68.1185 * CHOOSE(CONTROL!$C$9, $D$9, 100%, $F$9) + CHOOSE(CONTROL!$C$27, 0.0021, 0)</f>
        <v>68.120599999999996</v>
      </c>
      <c r="E701" s="14">
        <f>67.9819 * CHOOSE(CONTROL!$C$9, $D$9, 100%, $F$9) + CHOOSE(CONTROL!$C$27, 0.0021, 0)</f>
        <v>67.983999999999995</v>
      </c>
      <c r="F701" s="14">
        <f>67.9819 * CHOOSE(CONTROL!$C$9, $D$9, 100%, $F$9) + CHOOSE(CONTROL!$C$27, 0.0021, 0)</f>
        <v>67.983999999999995</v>
      </c>
      <c r="G701" s="14">
        <f>68.2533 * CHOOSE(CONTROL!$C$9, $D$9, 100%, $F$9) + CHOOSE(CONTROL!$C$27, 0.0021, 0)</f>
        <v>68.255399999999995</v>
      </c>
      <c r="H701" s="14">
        <f>68.1185 * CHOOSE(CONTROL!$C$9, $D$9, 100%, $F$9) + CHOOSE(CONTROL!$C$27, 0.0021, 0)</f>
        <v>68.120599999999996</v>
      </c>
      <c r="I701" s="14">
        <f>68.1185 * CHOOSE(CONTROL!$C$9, $D$9, 100%, $F$9) + CHOOSE(CONTROL!$C$27, 0.0021, 0)</f>
        <v>68.120599999999996</v>
      </c>
      <c r="J701" s="14">
        <f>68.1185 * CHOOSE(CONTROL!$C$9, $D$9, 100%, $F$9) + CHOOSE(CONTROL!$C$27, 0.0021, 0)</f>
        <v>68.120599999999996</v>
      </c>
      <c r="K701" s="14">
        <f>68.1185 * CHOOSE(CONTROL!$C$9, $D$9, 100%, $F$9) + CHOOSE(CONTROL!$C$27, 0.0021, 0)</f>
        <v>68.120599999999996</v>
      </c>
      <c r="L701" s="14"/>
    </row>
    <row r="702" spans="1:12" ht="15.75" x14ac:dyDescent="0.25">
      <c r="A702" s="32">
        <v>62305</v>
      </c>
      <c r="B702" s="14">
        <f>69.881 * CHOOSE(CONTROL!$C$9, $D$9, 100%, $F$9) + CHOOSE(CONTROL!$C$27, 0.0021, 0)</f>
        <v>69.883099999999999</v>
      </c>
      <c r="C702" s="14">
        <f>69.4487 * CHOOSE(CONTROL!$C$9, $D$9, 100%, $F$9) + CHOOSE(CONTROL!$C$27, 0.0021, 0)</f>
        <v>69.450800000000001</v>
      </c>
      <c r="D702" s="14">
        <f>69.4487 * CHOOSE(CONTROL!$C$9, $D$9, 100%, $F$9) + CHOOSE(CONTROL!$C$27, 0.0021, 0)</f>
        <v>69.450800000000001</v>
      </c>
      <c r="E702" s="14">
        <f>69.3121 * CHOOSE(CONTROL!$C$9, $D$9, 100%, $F$9) + CHOOSE(CONTROL!$C$27, 0.0021, 0)</f>
        <v>69.3142</v>
      </c>
      <c r="F702" s="14">
        <f>69.3121 * CHOOSE(CONTROL!$C$9, $D$9, 100%, $F$9) + CHOOSE(CONTROL!$C$27, 0.0021, 0)</f>
        <v>69.3142</v>
      </c>
      <c r="G702" s="14">
        <f>69.5834 * CHOOSE(CONTROL!$C$9, $D$9, 100%, $F$9) + CHOOSE(CONTROL!$C$27, 0.0021, 0)</f>
        <v>69.585499999999996</v>
      </c>
      <c r="H702" s="14">
        <f>69.4487 * CHOOSE(CONTROL!$C$9, $D$9, 100%, $F$9) + CHOOSE(CONTROL!$C$27, 0.0021, 0)</f>
        <v>69.450800000000001</v>
      </c>
      <c r="I702" s="14">
        <f>69.4487 * CHOOSE(CONTROL!$C$9, $D$9, 100%, $F$9) + CHOOSE(CONTROL!$C$27, 0.0021, 0)</f>
        <v>69.450800000000001</v>
      </c>
      <c r="J702" s="14">
        <f>69.4487 * CHOOSE(CONTROL!$C$9, $D$9, 100%, $F$9) + CHOOSE(CONTROL!$C$27, 0.0021, 0)</f>
        <v>69.450800000000001</v>
      </c>
      <c r="K702" s="14">
        <f>69.4487 * CHOOSE(CONTROL!$C$9, $D$9, 100%, $F$9) + CHOOSE(CONTROL!$C$27, 0.0021, 0)</f>
        <v>69.450800000000001</v>
      </c>
      <c r="L702" s="14"/>
    </row>
    <row r="703" spans="1:12" ht="15.75" x14ac:dyDescent="0.25">
      <c r="A703" s="32">
        <v>62336</v>
      </c>
      <c r="B703" s="14">
        <f>70.287 * CHOOSE(CONTROL!$C$9, $D$9, 100%, $F$9) + CHOOSE(CONTROL!$C$27, 0.0021, 0)</f>
        <v>70.289100000000005</v>
      </c>
      <c r="C703" s="14">
        <f>69.8547 * CHOOSE(CONTROL!$C$9, $D$9, 100%, $F$9) + CHOOSE(CONTROL!$C$27, 0.0021, 0)</f>
        <v>69.856799999999993</v>
      </c>
      <c r="D703" s="14">
        <f>69.8547 * CHOOSE(CONTROL!$C$9, $D$9, 100%, $F$9) + CHOOSE(CONTROL!$C$27, 0.0021, 0)</f>
        <v>69.856799999999993</v>
      </c>
      <c r="E703" s="14">
        <f>69.7181 * CHOOSE(CONTROL!$C$9, $D$9, 100%, $F$9) + CHOOSE(CONTROL!$C$27, 0.0021, 0)</f>
        <v>69.720200000000006</v>
      </c>
      <c r="F703" s="14">
        <f>69.7181 * CHOOSE(CONTROL!$C$9, $D$9, 100%, $F$9) + CHOOSE(CONTROL!$C$27, 0.0021, 0)</f>
        <v>69.720200000000006</v>
      </c>
      <c r="G703" s="14">
        <f>69.9895 * CHOOSE(CONTROL!$C$9, $D$9, 100%, $F$9) + CHOOSE(CONTROL!$C$27, 0.0021, 0)</f>
        <v>69.991600000000005</v>
      </c>
      <c r="H703" s="14">
        <f>69.8547 * CHOOSE(CONTROL!$C$9, $D$9, 100%, $F$9) + CHOOSE(CONTROL!$C$27, 0.0021, 0)</f>
        <v>69.856799999999993</v>
      </c>
      <c r="I703" s="14">
        <f>69.8547 * CHOOSE(CONTROL!$C$9, $D$9, 100%, $F$9) + CHOOSE(CONTROL!$C$27, 0.0021, 0)</f>
        <v>69.856799999999993</v>
      </c>
      <c r="J703" s="14">
        <f>69.8547 * CHOOSE(CONTROL!$C$9, $D$9, 100%, $F$9) + CHOOSE(CONTROL!$C$27, 0.0021, 0)</f>
        <v>69.856799999999993</v>
      </c>
      <c r="K703" s="14">
        <f>69.8547 * CHOOSE(CONTROL!$C$9, $D$9, 100%, $F$9) + CHOOSE(CONTROL!$C$27, 0.0021, 0)</f>
        <v>69.856799999999993</v>
      </c>
      <c r="L703" s="14"/>
    </row>
    <row r="704" spans="1:12" ht="15.75" x14ac:dyDescent="0.25">
      <c r="A704" s="32">
        <v>62366</v>
      </c>
      <c r="B704" s="14">
        <f>71.6697 * CHOOSE(CONTROL!$C$9, $D$9, 100%, $F$9) + CHOOSE(CONTROL!$C$27, 0.0021, 0)</f>
        <v>71.671800000000005</v>
      </c>
      <c r="C704" s="14">
        <f>71.2374 * CHOOSE(CONTROL!$C$9, $D$9, 100%, $F$9) + CHOOSE(CONTROL!$C$27, 0.0021, 0)</f>
        <v>71.239499999999992</v>
      </c>
      <c r="D704" s="14">
        <f>71.2374 * CHOOSE(CONTROL!$C$9, $D$9, 100%, $F$9) + CHOOSE(CONTROL!$C$27, 0.0021, 0)</f>
        <v>71.239499999999992</v>
      </c>
      <c r="E704" s="14">
        <f>71.1007 * CHOOSE(CONTROL!$C$9, $D$9, 100%, $F$9) + CHOOSE(CONTROL!$C$27, 0.0021, 0)</f>
        <v>71.102800000000002</v>
      </c>
      <c r="F704" s="14">
        <f>71.1007 * CHOOSE(CONTROL!$C$9, $D$9, 100%, $F$9) + CHOOSE(CONTROL!$C$27, 0.0021, 0)</f>
        <v>71.102800000000002</v>
      </c>
      <c r="G704" s="14">
        <f>71.3721 * CHOOSE(CONTROL!$C$9, $D$9, 100%, $F$9) + CHOOSE(CONTROL!$C$27, 0.0021, 0)</f>
        <v>71.374200000000002</v>
      </c>
      <c r="H704" s="14">
        <f>71.2374 * CHOOSE(CONTROL!$C$9, $D$9, 100%, $F$9) + CHOOSE(CONTROL!$C$27, 0.0021, 0)</f>
        <v>71.239499999999992</v>
      </c>
      <c r="I704" s="14">
        <f>71.2374 * CHOOSE(CONTROL!$C$9, $D$9, 100%, $F$9) + CHOOSE(CONTROL!$C$27, 0.0021, 0)</f>
        <v>71.239499999999992</v>
      </c>
      <c r="J704" s="14">
        <f>71.2374 * CHOOSE(CONTROL!$C$9, $D$9, 100%, $F$9) + CHOOSE(CONTROL!$C$27, 0.0021, 0)</f>
        <v>71.239499999999992</v>
      </c>
      <c r="K704" s="14">
        <f>71.2374 * CHOOSE(CONTROL!$C$9, $D$9, 100%, $F$9) + CHOOSE(CONTROL!$C$27, 0.0021, 0)</f>
        <v>71.239499999999992</v>
      </c>
      <c r="L704" s="14"/>
    </row>
    <row r="705" spans="1:12" ht="15.75" x14ac:dyDescent="0.25">
      <c r="A705" s="32">
        <v>62397</v>
      </c>
      <c r="B705" s="14">
        <f>73.4199 * CHOOSE(CONTROL!$C$9, $D$9, 100%, $F$9) + CHOOSE(CONTROL!$C$27, 0.0021, 0)</f>
        <v>73.421999999999997</v>
      </c>
      <c r="C705" s="14">
        <f>72.9876 * CHOOSE(CONTROL!$C$9, $D$9, 100%, $F$9) + CHOOSE(CONTROL!$C$27, 0.0021, 0)</f>
        <v>72.989699999999999</v>
      </c>
      <c r="D705" s="14">
        <f>72.9876 * CHOOSE(CONTROL!$C$9, $D$9, 100%, $F$9) + CHOOSE(CONTROL!$C$27, 0.0021, 0)</f>
        <v>72.989699999999999</v>
      </c>
      <c r="E705" s="14">
        <f>72.851 * CHOOSE(CONTROL!$C$9, $D$9, 100%, $F$9) + CHOOSE(CONTROL!$C$27, 0.0021, 0)</f>
        <v>72.853099999999998</v>
      </c>
      <c r="F705" s="14">
        <f>72.851 * CHOOSE(CONTROL!$C$9, $D$9, 100%, $F$9) + CHOOSE(CONTROL!$C$27, 0.0021, 0)</f>
        <v>72.853099999999998</v>
      </c>
      <c r="G705" s="14">
        <f>73.1223 * CHOOSE(CONTROL!$C$9, $D$9, 100%, $F$9) + CHOOSE(CONTROL!$C$27, 0.0021, 0)</f>
        <v>73.124399999999994</v>
      </c>
      <c r="H705" s="14">
        <f>72.9876 * CHOOSE(CONTROL!$C$9, $D$9, 100%, $F$9) + CHOOSE(CONTROL!$C$27, 0.0021, 0)</f>
        <v>72.989699999999999</v>
      </c>
      <c r="I705" s="14">
        <f>72.9876 * CHOOSE(CONTROL!$C$9, $D$9, 100%, $F$9) + CHOOSE(CONTROL!$C$27, 0.0021, 0)</f>
        <v>72.989699999999999</v>
      </c>
      <c r="J705" s="14">
        <f>72.9876 * CHOOSE(CONTROL!$C$9, $D$9, 100%, $F$9) + CHOOSE(CONTROL!$C$27, 0.0021, 0)</f>
        <v>72.989699999999999</v>
      </c>
      <c r="K705" s="14">
        <f>72.9876 * CHOOSE(CONTROL!$C$9, $D$9, 100%, $F$9) + CHOOSE(CONTROL!$C$27, 0.0021, 0)</f>
        <v>72.989699999999999</v>
      </c>
      <c r="L705" s="14"/>
    </row>
    <row r="706" spans="1:12" ht="15.75" x14ac:dyDescent="0.25">
      <c r="A706" s="32">
        <v>62427</v>
      </c>
      <c r="B706" s="14">
        <f>73.5842 * CHOOSE(CONTROL!$C$9, $D$9, 100%, $F$9) + CHOOSE(CONTROL!$C$27, 0.0021, 0)</f>
        <v>73.586299999999994</v>
      </c>
      <c r="C706" s="14">
        <f>73.1519 * CHOOSE(CONTROL!$C$9, $D$9, 100%, $F$9) + CHOOSE(CONTROL!$C$27, 0.0021, 0)</f>
        <v>73.153999999999996</v>
      </c>
      <c r="D706" s="14">
        <f>73.1519 * CHOOSE(CONTROL!$C$9, $D$9, 100%, $F$9) + CHOOSE(CONTROL!$C$27, 0.0021, 0)</f>
        <v>73.153999999999996</v>
      </c>
      <c r="E706" s="14">
        <f>73.0153 * CHOOSE(CONTROL!$C$9, $D$9, 100%, $F$9) + CHOOSE(CONTROL!$C$27, 0.0021, 0)</f>
        <v>73.017399999999995</v>
      </c>
      <c r="F706" s="14">
        <f>73.0153 * CHOOSE(CONTROL!$C$9, $D$9, 100%, $F$9) + CHOOSE(CONTROL!$C$27, 0.0021, 0)</f>
        <v>73.017399999999995</v>
      </c>
      <c r="G706" s="14">
        <f>73.2867 * CHOOSE(CONTROL!$C$9, $D$9, 100%, $F$9) + CHOOSE(CONTROL!$C$27, 0.0021, 0)</f>
        <v>73.288799999999995</v>
      </c>
      <c r="H706" s="14">
        <f>73.1519 * CHOOSE(CONTROL!$C$9, $D$9, 100%, $F$9) + CHOOSE(CONTROL!$C$27, 0.0021, 0)</f>
        <v>73.153999999999996</v>
      </c>
      <c r="I706" s="14">
        <f>73.1519 * CHOOSE(CONTROL!$C$9, $D$9, 100%, $F$9) + CHOOSE(CONTROL!$C$27, 0.0021, 0)</f>
        <v>73.153999999999996</v>
      </c>
      <c r="J706" s="14">
        <f>73.1519 * CHOOSE(CONTROL!$C$9, $D$9, 100%, $F$9) + CHOOSE(CONTROL!$C$27, 0.0021, 0)</f>
        <v>73.153999999999996</v>
      </c>
      <c r="K706" s="14">
        <f>73.1519 * CHOOSE(CONTROL!$C$9, $D$9, 100%, $F$9) + CHOOSE(CONTROL!$C$27, 0.0021, 0)</f>
        <v>73.153999999999996</v>
      </c>
      <c r="L706" s="14"/>
    </row>
    <row r="707" spans="1:12" ht="15.75" x14ac:dyDescent="0.25">
      <c r="A707" s="32">
        <v>62458</v>
      </c>
      <c r="B707" s="14">
        <f>72.1863 * CHOOSE(CONTROL!$C$9, $D$9, 100%, $F$9) + CHOOSE(CONTROL!$C$27, 0.0021, 0)</f>
        <v>72.188400000000001</v>
      </c>
      <c r="C707" s="14">
        <f>71.7541 * CHOOSE(CONTROL!$C$9, $D$9, 100%, $F$9) + CHOOSE(CONTROL!$C$27, 0.0021, 0)</f>
        <v>71.756199999999993</v>
      </c>
      <c r="D707" s="14">
        <f>71.7541 * CHOOSE(CONTROL!$C$9, $D$9, 100%, $F$9) + CHOOSE(CONTROL!$C$27, 0.0021, 0)</f>
        <v>71.756199999999993</v>
      </c>
      <c r="E707" s="14">
        <f>71.6174 * CHOOSE(CONTROL!$C$9, $D$9, 100%, $F$9) + CHOOSE(CONTROL!$C$27, 0.0021, 0)</f>
        <v>71.619500000000002</v>
      </c>
      <c r="F707" s="14">
        <f>71.6174 * CHOOSE(CONTROL!$C$9, $D$9, 100%, $F$9) + CHOOSE(CONTROL!$C$27, 0.0021, 0)</f>
        <v>71.619500000000002</v>
      </c>
      <c r="G707" s="14">
        <f>71.8888 * CHOOSE(CONTROL!$C$9, $D$9, 100%, $F$9) + CHOOSE(CONTROL!$C$27, 0.0021, 0)</f>
        <v>71.890900000000002</v>
      </c>
      <c r="H707" s="14">
        <f>71.7541 * CHOOSE(CONTROL!$C$9, $D$9, 100%, $F$9) + CHOOSE(CONTROL!$C$27, 0.0021, 0)</f>
        <v>71.756199999999993</v>
      </c>
      <c r="I707" s="14">
        <f>71.7541 * CHOOSE(CONTROL!$C$9, $D$9, 100%, $F$9) + CHOOSE(CONTROL!$C$27, 0.0021, 0)</f>
        <v>71.756199999999993</v>
      </c>
      <c r="J707" s="14">
        <f>71.7541 * CHOOSE(CONTROL!$C$9, $D$9, 100%, $F$9) + CHOOSE(CONTROL!$C$27, 0.0021, 0)</f>
        <v>71.756199999999993</v>
      </c>
      <c r="K707" s="14">
        <f>71.7541 * CHOOSE(CONTROL!$C$9, $D$9, 100%, $F$9) + CHOOSE(CONTROL!$C$27, 0.0021, 0)</f>
        <v>71.756199999999993</v>
      </c>
      <c r="L707" s="14"/>
    </row>
    <row r="708" spans="1:12" ht="15.75" x14ac:dyDescent="0.25">
      <c r="A708" s="32">
        <v>62489</v>
      </c>
      <c r="B708" s="14">
        <f>71.2705 * CHOOSE(CONTROL!$C$9, $D$9, 100%, $F$9) + CHOOSE(CONTROL!$C$27, 0.0021, 0)</f>
        <v>71.272599999999997</v>
      </c>
      <c r="C708" s="14">
        <f>70.8383 * CHOOSE(CONTROL!$C$9, $D$9, 100%, $F$9) + CHOOSE(CONTROL!$C$27, 0.0021, 0)</f>
        <v>70.840400000000002</v>
      </c>
      <c r="D708" s="14">
        <f>70.8383 * CHOOSE(CONTROL!$C$9, $D$9, 100%, $F$9) + CHOOSE(CONTROL!$C$27, 0.0021, 0)</f>
        <v>70.840400000000002</v>
      </c>
      <c r="E708" s="14">
        <f>70.7016 * CHOOSE(CONTROL!$C$9, $D$9, 100%, $F$9) + CHOOSE(CONTROL!$C$27, 0.0021, 0)</f>
        <v>70.703699999999998</v>
      </c>
      <c r="F708" s="14">
        <f>70.7016 * CHOOSE(CONTROL!$C$9, $D$9, 100%, $F$9) + CHOOSE(CONTROL!$C$27, 0.0021, 0)</f>
        <v>70.703699999999998</v>
      </c>
      <c r="G708" s="14">
        <f>70.973 * CHOOSE(CONTROL!$C$9, $D$9, 100%, $F$9) + CHOOSE(CONTROL!$C$27, 0.0021, 0)</f>
        <v>70.975099999999998</v>
      </c>
      <c r="H708" s="14">
        <f>70.8383 * CHOOSE(CONTROL!$C$9, $D$9, 100%, $F$9) + CHOOSE(CONTROL!$C$27, 0.0021, 0)</f>
        <v>70.840400000000002</v>
      </c>
      <c r="I708" s="14">
        <f>70.8383 * CHOOSE(CONTROL!$C$9, $D$9, 100%, $F$9) + CHOOSE(CONTROL!$C$27, 0.0021, 0)</f>
        <v>70.840400000000002</v>
      </c>
      <c r="J708" s="14">
        <f>70.8383 * CHOOSE(CONTROL!$C$9, $D$9, 100%, $F$9) + CHOOSE(CONTROL!$C$27, 0.0021, 0)</f>
        <v>70.840400000000002</v>
      </c>
      <c r="K708" s="14">
        <f>70.8383 * CHOOSE(CONTROL!$C$9, $D$9, 100%, $F$9) + CHOOSE(CONTROL!$C$27, 0.0021, 0)</f>
        <v>70.840400000000002</v>
      </c>
      <c r="L708" s="14"/>
    </row>
    <row r="709" spans="1:12" ht="15.75" x14ac:dyDescent="0.25">
      <c r="A709" s="32">
        <v>62517</v>
      </c>
      <c r="B709" s="14">
        <f>69.3195 * CHOOSE(CONTROL!$C$9, $D$9, 100%, $F$9) + CHOOSE(CONTROL!$C$27, 0.0021, 0)</f>
        <v>69.321600000000004</v>
      </c>
      <c r="C709" s="14">
        <f>68.8872 * CHOOSE(CONTROL!$C$9, $D$9, 100%, $F$9) + CHOOSE(CONTROL!$C$27, 0.0021, 0)</f>
        <v>68.889300000000006</v>
      </c>
      <c r="D709" s="14">
        <f>68.8872 * CHOOSE(CONTROL!$C$9, $D$9, 100%, $F$9) + CHOOSE(CONTROL!$C$27, 0.0021, 0)</f>
        <v>68.889300000000006</v>
      </c>
      <c r="E709" s="14">
        <f>68.7506 * CHOOSE(CONTROL!$C$9, $D$9, 100%, $F$9) + CHOOSE(CONTROL!$C$27, 0.0021, 0)</f>
        <v>68.752700000000004</v>
      </c>
      <c r="F709" s="14">
        <f>68.7506 * CHOOSE(CONTROL!$C$9, $D$9, 100%, $F$9) + CHOOSE(CONTROL!$C$27, 0.0021, 0)</f>
        <v>68.752700000000004</v>
      </c>
      <c r="G709" s="14">
        <f>69.0219 * CHOOSE(CONTROL!$C$9, $D$9, 100%, $F$9) + CHOOSE(CONTROL!$C$27, 0.0021, 0)</f>
        <v>69.024000000000001</v>
      </c>
      <c r="H709" s="14">
        <f>68.8872 * CHOOSE(CONTROL!$C$9, $D$9, 100%, $F$9) + CHOOSE(CONTROL!$C$27, 0.0021, 0)</f>
        <v>68.889300000000006</v>
      </c>
      <c r="I709" s="14">
        <f>68.8872 * CHOOSE(CONTROL!$C$9, $D$9, 100%, $F$9) + CHOOSE(CONTROL!$C$27, 0.0021, 0)</f>
        <v>68.889300000000006</v>
      </c>
      <c r="J709" s="14">
        <f>68.8872 * CHOOSE(CONTROL!$C$9, $D$9, 100%, $F$9) + CHOOSE(CONTROL!$C$27, 0.0021, 0)</f>
        <v>68.889300000000006</v>
      </c>
      <c r="K709" s="14">
        <f>68.8872 * CHOOSE(CONTROL!$C$9, $D$9, 100%, $F$9) + CHOOSE(CONTROL!$C$27, 0.0021, 0)</f>
        <v>68.889300000000006</v>
      </c>
      <c r="L709" s="14"/>
    </row>
    <row r="710" spans="1:12" ht="15.75" x14ac:dyDescent="0.25">
      <c r="A710" s="32">
        <v>62548</v>
      </c>
      <c r="B710" s="14">
        <f>68.5141 * CHOOSE(CONTROL!$C$9, $D$9, 100%, $F$9) + CHOOSE(CONTROL!$C$27, 0.0021, 0)</f>
        <v>68.516199999999998</v>
      </c>
      <c r="C710" s="14">
        <f>68.0818 * CHOOSE(CONTROL!$C$9, $D$9, 100%, $F$9) + CHOOSE(CONTROL!$C$27, 0.0021, 0)</f>
        <v>68.0839</v>
      </c>
      <c r="D710" s="14">
        <f>68.0818 * CHOOSE(CONTROL!$C$9, $D$9, 100%, $F$9) + CHOOSE(CONTROL!$C$27, 0.0021, 0)</f>
        <v>68.0839</v>
      </c>
      <c r="E710" s="14">
        <f>67.9452 * CHOOSE(CONTROL!$C$9, $D$9, 100%, $F$9) + CHOOSE(CONTROL!$C$27, 0.0021, 0)</f>
        <v>67.947299999999998</v>
      </c>
      <c r="F710" s="14">
        <f>67.9452 * CHOOSE(CONTROL!$C$9, $D$9, 100%, $F$9) + CHOOSE(CONTROL!$C$27, 0.0021, 0)</f>
        <v>67.947299999999998</v>
      </c>
      <c r="G710" s="14">
        <f>68.2165 * CHOOSE(CONTROL!$C$9, $D$9, 100%, $F$9) + CHOOSE(CONTROL!$C$27, 0.0021, 0)</f>
        <v>68.218599999999995</v>
      </c>
      <c r="H710" s="14">
        <f>68.0818 * CHOOSE(CONTROL!$C$9, $D$9, 100%, $F$9) + CHOOSE(CONTROL!$C$27, 0.0021, 0)</f>
        <v>68.0839</v>
      </c>
      <c r="I710" s="14">
        <f>68.0818 * CHOOSE(CONTROL!$C$9, $D$9, 100%, $F$9) + CHOOSE(CONTROL!$C$27, 0.0021, 0)</f>
        <v>68.0839</v>
      </c>
      <c r="J710" s="14">
        <f>68.0818 * CHOOSE(CONTROL!$C$9, $D$9, 100%, $F$9) + CHOOSE(CONTROL!$C$27, 0.0021, 0)</f>
        <v>68.0839</v>
      </c>
      <c r="K710" s="14">
        <f>68.0818 * CHOOSE(CONTROL!$C$9, $D$9, 100%, $F$9) + CHOOSE(CONTROL!$C$27, 0.0021, 0)</f>
        <v>68.0839</v>
      </c>
      <c r="L710" s="14"/>
    </row>
    <row r="711" spans="1:12" ht="15.75" x14ac:dyDescent="0.25">
      <c r="A711" s="32">
        <v>62578</v>
      </c>
      <c r="B711" s="14">
        <f>67.5524 * CHOOSE(CONTROL!$C$9, $D$9, 100%, $F$9) + CHOOSE(CONTROL!$C$27, 0.0021, 0)</f>
        <v>67.554500000000004</v>
      </c>
      <c r="C711" s="14">
        <f>67.1202 * CHOOSE(CONTROL!$C$9, $D$9, 100%, $F$9) + CHOOSE(CONTROL!$C$27, 0.0021, 0)</f>
        <v>67.122299999999996</v>
      </c>
      <c r="D711" s="14">
        <f>67.1202 * CHOOSE(CONTROL!$C$9, $D$9, 100%, $F$9) + CHOOSE(CONTROL!$C$27, 0.0021, 0)</f>
        <v>67.122299999999996</v>
      </c>
      <c r="E711" s="14">
        <f>66.9835 * CHOOSE(CONTROL!$C$9, $D$9, 100%, $F$9) + CHOOSE(CONTROL!$C$27, 0.0021, 0)</f>
        <v>66.985600000000005</v>
      </c>
      <c r="F711" s="14">
        <f>66.9835 * CHOOSE(CONTROL!$C$9, $D$9, 100%, $F$9) + CHOOSE(CONTROL!$C$27, 0.0021, 0)</f>
        <v>66.985600000000005</v>
      </c>
      <c r="G711" s="14">
        <f>67.2549 * CHOOSE(CONTROL!$C$9, $D$9, 100%, $F$9) + CHOOSE(CONTROL!$C$27, 0.0021, 0)</f>
        <v>67.257000000000005</v>
      </c>
      <c r="H711" s="14">
        <f>67.1202 * CHOOSE(CONTROL!$C$9, $D$9, 100%, $F$9) + CHOOSE(CONTROL!$C$27, 0.0021, 0)</f>
        <v>67.122299999999996</v>
      </c>
      <c r="I711" s="14">
        <f>67.1202 * CHOOSE(CONTROL!$C$9, $D$9, 100%, $F$9) + CHOOSE(CONTROL!$C$27, 0.0021, 0)</f>
        <v>67.122299999999996</v>
      </c>
      <c r="J711" s="14">
        <f>67.1202 * CHOOSE(CONTROL!$C$9, $D$9, 100%, $F$9) + CHOOSE(CONTROL!$C$27, 0.0021, 0)</f>
        <v>67.122299999999996</v>
      </c>
      <c r="K711" s="14">
        <f>67.1202 * CHOOSE(CONTROL!$C$9, $D$9, 100%, $F$9) + CHOOSE(CONTROL!$C$27, 0.0021, 0)</f>
        <v>67.122299999999996</v>
      </c>
      <c r="L711" s="14"/>
    </row>
    <row r="712" spans="1:12" ht="15.75" x14ac:dyDescent="0.25">
      <c r="A712" s="32">
        <v>62609</v>
      </c>
      <c r="B712" s="14">
        <f>68.9229 * CHOOSE(CONTROL!$C$9, $D$9, 100%, $F$9) + CHOOSE(CONTROL!$C$27, 0.0021, 0)</f>
        <v>68.924999999999997</v>
      </c>
      <c r="C712" s="14">
        <f>68.4906 * CHOOSE(CONTROL!$C$9, $D$9, 100%, $F$9) + CHOOSE(CONTROL!$C$27, 0.0021, 0)</f>
        <v>68.492699999999999</v>
      </c>
      <c r="D712" s="14">
        <f>68.4906 * CHOOSE(CONTROL!$C$9, $D$9, 100%, $F$9) + CHOOSE(CONTROL!$C$27, 0.0021, 0)</f>
        <v>68.492699999999999</v>
      </c>
      <c r="E712" s="14">
        <f>68.354 * CHOOSE(CONTROL!$C$9, $D$9, 100%, $F$9) + CHOOSE(CONTROL!$C$27, 0.0021, 0)</f>
        <v>68.356099999999998</v>
      </c>
      <c r="F712" s="14">
        <f>68.354 * CHOOSE(CONTROL!$C$9, $D$9, 100%, $F$9) + CHOOSE(CONTROL!$C$27, 0.0021, 0)</f>
        <v>68.356099999999998</v>
      </c>
      <c r="G712" s="14">
        <f>68.6254 * CHOOSE(CONTROL!$C$9, $D$9, 100%, $F$9) + CHOOSE(CONTROL!$C$27, 0.0021, 0)</f>
        <v>68.627499999999998</v>
      </c>
      <c r="H712" s="14">
        <f>68.4906 * CHOOSE(CONTROL!$C$9, $D$9, 100%, $F$9) + CHOOSE(CONTROL!$C$27, 0.0021, 0)</f>
        <v>68.492699999999999</v>
      </c>
      <c r="I712" s="14">
        <f>68.4906 * CHOOSE(CONTROL!$C$9, $D$9, 100%, $F$9) + CHOOSE(CONTROL!$C$27, 0.0021, 0)</f>
        <v>68.492699999999999</v>
      </c>
      <c r="J712" s="14">
        <f>68.4906 * CHOOSE(CONTROL!$C$9, $D$9, 100%, $F$9) + CHOOSE(CONTROL!$C$27, 0.0021, 0)</f>
        <v>68.492699999999999</v>
      </c>
      <c r="K712" s="14">
        <f>68.4906 * CHOOSE(CONTROL!$C$9, $D$9, 100%, $F$9) + CHOOSE(CONTROL!$C$27, 0.0021, 0)</f>
        <v>68.492699999999999</v>
      </c>
      <c r="L712" s="14"/>
    </row>
    <row r="713" spans="1:12" ht="15.75" x14ac:dyDescent="0.25">
      <c r="A713" s="32">
        <v>62639</v>
      </c>
      <c r="B713" s="14">
        <f>69.7438 * CHOOSE(CONTROL!$C$9, $D$9, 100%, $F$9) + CHOOSE(CONTROL!$C$27, 0.0021, 0)</f>
        <v>69.745899999999992</v>
      </c>
      <c r="C713" s="14">
        <f>69.3115 * CHOOSE(CONTROL!$C$9, $D$9, 100%, $F$9) + CHOOSE(CONTROL!$C$27, 0.0021, 0)</f>
        <v>69.313599999999994</v>
      </c>
      <c r="D713" s="14">
        <f>69.3115 * CHOOSE(CONTROL!$C$9, $D$9, 100%, $F$9) + CHOOSE(CONTROL!$C$27, 0.0021, 0)</f>
        <v>69.313599999999994</v>
      </c>
      <c r="E713" s="14">
        <f>69.1749 * CHOOSE(CONTROL!$C$9, $D$9, 100%, $F$9) + CHOOSE(CONTROL!$C$27, 0.0021, 0)</f>
        <v>69.176999999999992</v>
      </c>
      <c r="F713" s="14">
        <f>69.1749 * CHOOSE(CONTROL!$C$9, $D$9, 100%, $F$9) + CHOOSE(CONTROL!$C$27, 0.0021, 0)</f>
        <v>69.176999999999992</v>
      </c>
      <c r="G713" s="14">
        <f>69.4462 * CHOOSE(CONTROL!$C$9, $D$9, 100%, $F$9) + CHOOSE(CONTROL!$C$27, 0.0021, 0)</f>
        <v>69.448300000000003</v>
      </c>
      <c r="H713" s="14">
        <f>69.3115 * CHOOSE(CONTROL!$C$9, $D$9, 100%, $F$9) + CHOOSE(CONTROL!$C$27, 0.0021, 0)</f>
        <v>69.313599999999994</v>
      </c>
      <c r="I713" s="14">
        <f>69.3115 * CHOOSE(CONTROL!$C$9, $D$9, 100%, $F$9) + CHOOSE(CONTROL!$C$27, 0.0021, 0)</f>
        <v>69.313599999999994</v>
      </c>
      <c r="J713" s="14">
        <f>69.3115 * CHOOSE(CONTROL!$C$9, $D$9, 100%, $F$9) + CHOOSE(CONTROL!$C$27, 0.0021, 0)</f>
        <v>69.313599999999994</v>
      </c>
      <c r="K713" s="14">
        <f>69.3115 * CHOOSE(CONTROL!$C$9, $D$9, 100%, $F$9) + CHOOSE(CONTROL!$C$27, 0.0021, 0)</f>
        <v>69.313599999999994</v>
      </c>
      <c r="L713" s="14"/>
    </row>
    <row r="714" spans="1:12" ht="15.75" x14ac:dyDescent="0.25">
      <c r="A714" s="32">
        <v>62670</v>
      </c>
      <c r="B714" s="14">
        <f>71.0979 * CHOOSE(CONTROL!$C$9, $D$9, 100%, $F$9) + CHOOSE(CONTROL!$C$27, 0.0021, 0)</f>
        <v>71.099999999999994</v>
      </c>
      <c r="C714" s="14">
        <f>70.6656 * CHOOSE(CONTROL!$C$9, $D$9, 100%, $F$9) + CHOOSE(CONTROL!$C$27, 0.0021, 0)</f>
        <v>70.667699999999996</v>
      </c>
      <c r="D714" s="14">
        <f>70.6656 * CHOOSE(CONTROL!$C$9, $D$9, 100%, $F$9) + CHOOSE(CONTROL!$C$27, 0.0021, 0)</f>
        <v>70.667699999999996</v>
      </c>
      <c r="E714" s="14">
        <f>70.529 * CHOOSE(CONTROL!$C$9, $D$9, 100%, $F$9) + CHOOSE(CONTROL!$C$27, 0.0021, 0)</f>
        <v>70.531099999999995</v>
      </c>
      <c r="F714" s="14">
        <f>70.529 * CHOOSE(CONTROL!$C$9, $D$9, 100%, $F$9) + CHOOSE(CONTROL!$C$27, 0.0021, 0)</f>
        <v>70.531099999999995</v>
      </c>
      <c r="G714" s="14">
        <f>70.8004 * CHOOSE(CONTROL!$C$9, $D$9, 100%, $F$9) + CHOOSE(CONTROL!$C$27, 0.0021, 0)</f>
        <v>70.802499999999995</v>
      </c>
      <c r="H714" s="14">
        <f>70.6656 * CHOOSE(CONTROL!$C$9, $D$9, 100%, $F$9) + CHOOSE(CONTROL!$C$27, 0.0021, 0)</f>
        <v>70.667699999999996</v>
      </c>
      <c r="I714" s="14">
        <f>70.6656 * CHOOSE(CONTROL!$C$9, $D$9, 100%, $F$9) + CHOOSE(CONTROL!$C$27, 0.0021, 0)</f>
        <v>70.667699999999996</v>
      </c>
      <c r="J714" s="14">
        <f>70.6656 * CHOOSE(CONTROL!$C$9, $D$9, 100%, $F$9) + CHOOSE(CONTROL!$C$27, 0.0021, 0)</f>
        <v>70.667699999999996</v>
      </c>
      <c r="K714" s="14">
        <f>70.6656 * CHOOSE(CONTROL!$C$9, $D$9, 100%, $F$9) + CHOOSE(CONTROL!$C$27, 0.0021, 0)</f>
        <v>70.667699999999996</v>
      </c>
      <c r="L714" s="14"/>
    </row>
    <row r="715" spans="1:12" ht="15.75" x14ac:dyDescent="0.25">
      <c r="A715" s="32">
        <v>62701</v>
      </c>
      <c r="B715" s="14">
        <f>71.5112 * CHOOSE(CONTROL!$C$9, $D$9, 100%, $F$9) + CHOOSE(CONTROL!$C$27, 0.0021, 0)</f>
        <v>71.513300000000001</v>
      </c>
      <c r="C715" s="14">
        <f>71.079 * CHOOSE(CONTROL!$C$9, $D$9, 100%, $F$9) + CHOOSE(CONTROL!$C$27, 0.0021, 0)</f>
        <v>71.081099999999992</v>
      </c>
      <c r="D715" s="14">
        <f>71.079 * CHOOSE(CONTROL!$C$9, $D$9, 100%, $F$9) + CHOOSE(CONTROL!$C$27, 0.0021, 0)</f>
        <v>71.081099999999992</v>
      </c>
      <c r="E715" s="14">
        <f>70.9423 * CHOOSE(CONTROL!$C$9, $D$9, 100%, $F$9) + CHOOSE(CONTROL!$C$27, 0.0021, 0)</f>
        <v>70.944400000000002</v>
      </c>
      <c r="F715" s="14">
        <f>70.9423 * CHOOSE(CONTROL!$C$9, $D$9, 100%, $F$9) + CHOOSE(CONTROL!$C$27, 0.0021, 0)</f>
        <v>70.944400000000002</v>
      </c>
      <c r="G715" s="14">
        <f>71.2137 * CHOOSE(CONTROL!$C$9, $D$9, 100%, $F$9) + CHOOSE(CONTROL!$C$27, 0.0021, 0)</f>
        <v>71.215800000000002</v>
      </c>
      <c r="H715" s="14">
        <f>71.079 * CHOOSE(CONTROL!$C$9, $D$9, 100%, $F$9) + CHOOSE(CONTROL!$C$27, 0.0021, 0)</f>
        <v>71.081099999999992</v>
      </c>
      <c r="I715" s="14">
        <f>71.079 * CHOOSE(CONTROL!$C$9, $D$9, 100%, $F$9) + CHOOSE(CONTROL!$C$27, 0.0021, 0)</f>
        <v>71.081099999999992</v>
      </c>
      <c r="J715" s="14">
        <f>71.079 * CHOOSE(CONTROL!$C$9, $D$9, 100%, $F$9) + CHOOSE(CONTROL!$C$27, 0.0021, 0)</f>
        <v>71.081099999999992</v>
      </c>
      <c r="K715" s="14">
        <f>71.079 * CHOOSE(CONTROL!$C$9, $D$9, 100%, $F$9) + CHOOSE(CONTROL!$C$27, 0.0021, 0)</f>
        <v>71.081099999999992</v>
      </c>
      <c r="L715" s="14"/>
    </row>
    <row r="716" spans="1:12" ht="15.75" x14ac:dyDescent="0.25">
      <c r="A716" s="32">
        <v>62731</v>
      </c>
      <c r="B716" s="14">
        <f>72.9188 * CHOOSE(CONTROL!$C$9, $D$9, 100%, $F$9) + CHOOSE(CONTROL!$C$27, 0.0021, 0)</f>
        <v>72.920900000000003</v>
      </c>
      <c r="C716" s="14">
        <f>72.4865 * CHOOSE(CONTROL!$C$9, $D$9, 100%, $F$9) + CHOOSE(CONTROL!$C$27, 0.0021, 0)</f>
        <v>72.488600000000005</v>
      </c>
      <c r="D716" s="14">
        <f>72.4865 * CHOOSE(CONTROL!$C$9, $D$9, 100%, $F$9) + CHOOSE(CONTROL!$C$27, 0.0021, 0)</f>
        <v>72.488600000000005</v>
      </c>
      <c r="E716" s="14">
        <f>72.3499 * CHOOSE(CONTROL!$C$9, $D$9, 100%, $F$9) + CHOOSE(CONTROL!$C$27, 0.0021, 0)</f>
        <v>72.352000000000004</v>
      </c>
      <c r="F716" s="14">
        <f>72.3499 * CHOOSE(CONTROL!$C$9, $D$9, 100%, $F$9) + CHOOSE(CONTROL!$C$27, 0.0021, 0)</f>
        <v>72.352000000000004</v>
      </c>
      <c r="G716" s="14">
        <f>72.6213 * CHOOSE(CONTROL!$C$9, $D$9, 100%, $F$9) + CHOOSE(CONTROL!$C$27, 0.0021, 0)</f>
        <v>72.623400000000004</v>
      </c>
      <c r="H716" s="14">
        <f>72.4865 * CHOOSE(CONTROL!$C$9, $D$9, 100%, $F$9) + CHOOSE(CONTROL!$C$27, 0.0021, 0)</f>
        <v>72.488600000000005</v>
      </c>
      <c r="I716" s="14">
        <f>72.4865 * CHOOSE(CONTROL!$C$9, $D$9, 100%, $F$9) + CHOOSE(CONTROL!$C$27, 0.0021, 0)</f>
        <v>72.488600000000005</v>
      </c>
      <c r="J716" s="14">
        <f>72.4865 * CHOOSE(CONTROL!$C$9, $D$9, 100%, $F$9) + CHOOSE(CONTROL!$C$27, 0.0021, 0)</f>
        <v>72.488600000000005</v>
      </c>
      <c r="K716" s="14">
        <f>72.4865 * CHOOSE(CONTROL!$C$9, $D$9, 100%, $F$9) + CHOOSE(CONTROL!$C$27, 0.0021, 0)</f>
        <v>72.488600000000005</v>
      </c>
      <c r="L716" s="14"/>
    </row>
    <row r="717" spans="1:12" ht="15.75" x14ac:dyDescent="0.25">
      <c r="A717" s="32">
        <v>62762</v>
      </c>
      <c r="B717" s="14">
        <f>74.7005 * CHOOSE(CONTROL!$C$9, $D$9, 100%, $F$9) + CHOOSE(CONTROL!$C$27, 0.0021, 0)</f>
        <v>74.702600000000004</v>
      </c>
      <c r="C717" s="14">
        <f>74.2683 * CHOOSE(CONTROL!$C$9, $D$9, 100%, $F$9) + CHOOSE(CONTROL!$C$27, 0.0021, 0)</f>
        <v>74.270399999999995</v>
      </c>
      <c r="D717" s="14">
        <f>74.2683 * CHOOSE(CONTROL!$C$9, $D$9, 100%, $F$9) + CHOOSE(CONTROL!$C$27, 0.0021, 0)</f>
        <v>74.270399999999995</v>
      </c>
      <c r="E717" s="14">
        <f>74.1316 * CHOOSE(CONTROL!$C$9, $D$9, 100%, $F$9) + CHOOSE(CONTROL!$C$27, 0.0021, 0)</f>
        <v>74.133700000000005</v>
      </c>
      <c r="F717" s="14">
        <f>74.1316 * CHOOSE(CONTROL!$C$9, $D$9, 100%, $F$9) + CHOOSE(CONTROL!$C$27, 0.0021, 0)</f>
        <v>74.133700000000005</v>
      </c>
      <c r="G717" s="14">
        <f>74.403 * CHOOSE(CONTROL!$C$9, $D$9, 100%, $F$9) + CHOOSE(CONTROL!$C$27, 0.0021, 0)</f>
        <v>74.405100000000004</v>
      </c>
      <c r="H717" s="14">
        <f>74.2683 * CHOOSE(CONTROL!$C$9, $D$9, 100%, $F$9) + CHOOSE(CONTROL!$C$27, 0.0021, 0)</f>
        <v>74.270399999999995</v>
      </c>
      <c r="I717" s="14">
        <f>74.2683 * CHOOSE(CONTROL!$C$9, $D$9, 100%, $F$9) + CHOOSE(CONTROL!$C$27, 0.0021, 0)</f>
        <v>74.270399999999995</v>
      </c>
      <c r="J717" s="14">
        <f>74.2683 * CHOOSE(CONTROL!$C$9, $D$9, 100%, $F$9) + CHOOSE(CONTROL!$C$27, 0.0021, 0)</f>
        <v>74.270399999999995</v>
      </c>
      <c r="K717" s="14">
        <f>74.2683 * CHOOSE(CONTROL!$C$9, $D$9, 100%, $F$9) + CHOOSE(CONTROL!$C$27, 0.0021, 0)</f>
        <v>74.270399999999995</v>
      </c>
      <c r="L717" s="14"/>
    </row>
    <row r="718" spans="1:12" ht="15.75" x14ac:dyDescent="0.25">
      <c r="A718" s="32">
        <v>62792</v>
      </c>
      <c r="B718" s="14">
        <f>74.8678 * CHOOSE(CONTROL!$C$9, $D$9, 100%, $F$9) + CHOOSE(CONTROL!$C$27, 0.0021, 0)</f>
        <v>74.869900000000001</v>
      </c>
      <c r="C718" s="14">
        <f>74.4355 * CHOOSE(CONTROL!$C$9, $D$9, 100%, $F$9) + CHOOSE(CONTROL!$C$27, 0.0021, 0)</f>
        <v>74.437600000000003</v>
      </c>
      <c r="D718" s="14">
        <f>74.4355 * CHOOSE(CONTROL!$C$9, $D$9, 100%, $F$9) + CHOOSE(CONTROL!$C$27, 0.0021, 0)</f>
        <v>74.437600000000003</v>
      </c>
      <c r="E718" s="14">
        <f>74.2989 * CHOOSE(CONTROL!$C$9, $D$9, 100%, $F$9) + CHOOSE(CONTROL!$C$27, 0.0021, 0)</f>
        <v>74.301000000000002</v>
      </c>
      <c r="F718" s="14">
        <f>74.2989 * CHOOSE(CONTROL!$C$9, $D$9, 100%, $F$9) + CHOOSE(CONTROL!$C$27, 0.0021, 0)</f>
        <v>74.301000000000002</v>
      </c>
      <c r="G718" s="14">
        <f>74.5702 * CHOOSE(CONTROL!$C$9, $D$9, 100%, $F$9) + CHOOSE(CONTROL!$C$27, 0.0021, 0)</f>
        <v>74.572299999999998</v>
      </c>
      <c r="H718" s="14">
        <f>74.4355 * CHOOSE(CONTROL!$C$9, $D$9, 100%, $F$9) + CHOOSE(CONTROL!$C$27, 0.0021, 0)</f>
        <v>74.437600000000003</v>
      </c>
      <c r="I718" s="14">
        <f>74.4355 * CHOOSE(CONTROL!$C$9, $D$9, 100%, $F$9) + CHOOSE(CONTROL!$C$27, 0.0021, 0)</f>
        <v>74.437600000000003</v>
      </c>
      <c r="J718" s="14">
        <f>74.4355 * CHOOSE(CONTROL!$C$9, $D$9, 100%, $F$9) + CHOOSE(CONTROL!$C$27, 0.0021, 0)</f>
        <v>74.437600000000003</v>
      </c>
      <c r="K718" s="14">
        <f>74.4355 * CHOOSE(CONTROL!$C$9, $D$9, 100%, $F$9) + CHOOSE(CONTROL!$C$27, 0.0021, 0)</f>
        <v>74.437600000000003</v>
      </c>
      <c r="L718" s="14"/>
    </row>
    <row r="719" spans="1:12" ht="15.75" x14ac:dyDescent="0.25">
      <c r="A719" s="32">
        <v>62823</v>
      </c>
      <c r="B719" s="14">
        <f>73.4447 * CHOOSE(CONTROL!$C$9, $D$9, 100%, $F$9) + CHOOSE(CONTROL!$C$27, 0.0021, 0)</f>
        <v>73.446799999999996</v>
      </c>
      <c r="C719" s="14">
        <f>73.0125 * CHOOSE(CONTROL!$C$9, $D$9, 100%, $F$9) + CHOOSE(CONTROL!$C$27, 0.0021, 0)</f>
        <v>73.014600000000002</v>
      </c>
      <c r="D719" s="14">
        <f>73.0125 * CHOOSE(CONTROL!$C$9, $D$9, 100%, $F$9) + CHOOSE(CONTROL!$C$27, 0.0021, 0)</f>
        <v>73.014600000000002</v>
      </c>
      <c r="E719" s="14">
        <f>72.8758 * CHOOSE(CONTROL!$C$9, $D$9, 100%, $F$9) + CHOOSE(CONTROL!$C$27, 0.0021, 0)</f>
        <v>72.877899999999997</v>
      </c>
      <c r="F719" s="14">
        <f>72.8758 * CHOOSE(CONTROL!$C$9, $D$9, 100%, $F$9) + CHOOSE(CONTROL!$C$27, 0.0021, 0)</f>
        <v>72.877899999999997</v>
      </c>
      <c r="G719" s="14">
        <f>73.1472 * CHOOSE(CONTROL!$C$9, $D$9, 100%, $F$9) + CHOOSE(CONTROL!$C$27, 0.0021, 0)</f>
        <v>73.149299999999997</v>
      </c>
      <c r="H719" s="14">
        <f>73.0125 * CHOOSE(CONTROL!$C$9, $D$9, 100%, $F$9) + CHOOSE(CONTROL!$C$27, 0.0021, 0)</f>
        <v>73.014600000000002</v>
      </c>
      <c r="I719" s="14">
        <f>73.0125 * CHOOSE(CONTROL!$C$9, $D$9, 100%, $F$9) + CHOOSE(CONTROL!$C$27, 0.0021, 0)</f>
        <v>73.014600000000002</v>
      </c>
      <c r="J719" s="14">
        <f>73.0125 * CHOOSE(CONTROL!$C$9, $D$9, 100%, $F$9) + CHOOSE(CONTROL!$C$27, 0.0021, 0)</f>
        <v>73.014600000000002</v>
      </c>
      <c r="K719" s="14">
        <f>73.0125 * CHOOSE(CONTROL!$C$9, $D$9, 100%, $F$9) + CHOOSE(CONTROL!$C$27, 0.0021, 0)</f>
        <v>73.014600000000002</v>
      </c>
      <c r="L719" s="14"/>
    </row>
    <row r="720" spans="1:12" ht="15.75" x14ac:dyDescent="0.25">
      <c r="A720" s="32">
        <v>62854</v>
      </c>
      <c r="B720" s="14">
        <f>72.5125 * CHOOSE(CONTROL!$C$9, $D$9, 100%, $F$9) + CHOOSE(CONTROL!$C$27, 0.0021, 0)</f>
        <v>72.514600000000002</v>
      </c>
      <c r="C720" s="14">
        <f>72.0802 * CHOOSE(CONTROL!$C$9, $D$9, 100%, $F$9) + CHOOSE(CONTROL!$C$27, 0.0021, 0)</f>
        <v>72.082300000000004</v>
      </c>
      <c r="D720" s="14">
        <f>72.0802 * CHOOSE(CONTROL!$C$9, $D$9, 100%, $F$9) + CHOOSE(CONTROL!$C$27, 0.0021, 0)</f>
        <v>72.082300000000004</v>
      </c>
      <c r="E720" s="14">
        <f>71.9436 * CHOOSE(CONTROL!$C$9, $D$9, 100%, $F$9) + CHOOSE(CONTROL!$C$27, 0.0021, 0)</f>
        <v>71.945700000000002</v>
      </c>
      <c r="F720" s="14">
        <f>71.9436 * CHOOSE(CONTROL!$C$9, $D$9, 100%, $F$9) + CHOOSE(CONTROL!$C$27, 0.0021, 0)</f>
        <v>71.945700000000002</v>
      </c>
      <c r="G720" s="14">
        <f>72.215 * CHOOSE(CONTROL!$C$9, $D$9, 100%, $F$9) + CHOOSE(CONTROL!$C$27, 0.0021, 0)</f>
        <v>72.217100000000002</v>
      </c>
      <c r="H720" s="14">
        <f>72.0802 * CHOOSE(CONTROL!$C$9, $D$9, 100%, $F$9) + CHOOSE(CONTROL!$C$27, 0.0021, 0)</f>
        <v>72.082300000000004</v>
      </c>
      <c r="I720" s="14">
        <f>72.0802 * CHOOSE(CONTROL!$C$9, $D$9, 100%, $F$9) + CHOOSE(CONTROL!$C$27, 0.0021, 0)</f>
        <v>72.082300000000004</v>
      </c>
      <c r="J720" s="14">
        <f>72.0802 * CHOOSE(CONTROL!$C$9, $D$9, 100%, $F$9) + CHOOSE(CONTROL!$C$27, 0.0021, 0)</f>
        <v>72.082300000000004</v>
      </c>
      <c r="K720" s="14">
        <f>72.0802 * CHOOSE(CONTROL!$C$9, $D$9, 100%, $F$9) + CHOOSE(CONTROL!$C$27, 0.0021, 0)</f>
        <v>72.082300000000004</v>
      </c>
      <c r="L720" s="14"/>
    </row>
    <row r="721" spans="1:12" ht="15.75" x14ac:dyDescent="0.25">
      <c r="A721" s="32">
        <v>62883</v>
      </c>
      <c r="B721" s="14">
        <f>70.5263 * CHOOSE(CONTROL!$C$9, $D$9, 100%, $F$9) + CHOOSE(CONTROL!$C$27, 0.0021, 0)</f>
        <v>70.528400000000005</v>
      </c>
      <c r="C721" s="14">
        <f>70.094 * CHOOSE(CONTROL!$C$9, $D$9, 100%, $F$9) + CHOOSE(CONTROL!$C$27, 0.0021, 0)</f>
        <v>70.096099999999993</v>
      </c>
      <c r="D721" s="14">
        <f>70.094 * CHOOSE(CONTROL!$C$9, $D$9, 100%, $F$9) + CHOOSE(CONTROL!$C$27, 0.0021, 0)</f>
        <v>70.096099999999993</v>
      </c>
      <c r="E721" s="14">
        <f>69.9574 * CHOOSE(CONTROL!$C$9, $D$9, 100%, $F$9) + CHOOSE(CONTROL!$C$27, 0.0021, 0)</f>
        <v>69.959500000000006</v>
      </c>
      <c r="F721" s="14">
        <f>69.9574 * CHOOSE(CONTROL!$C$9, $D$9, 100%, $F$9) + CHOOSE(CONTROL!$C$27, 0.0021, 0)</f>
        <v>69.959500000000006</v>
      </c>
      <c r="G721" s="14">
        <f>70.2288 * CHOOSE(CONTROL!$C$9, $D$9, 100%, $F$9) + CHOOSE(CONTROL!$C$27, 0.0021, 0)</f>
        <v>70.230900000000005</v>
      </c>
      <c r="H721" s="14">
        <f>70.094 * CHOOSE(CONTROL!$C$9, $D$9, 100%, $F$9) + CHOOSE(CONTROL!$C$27, 0.0021, 0)</f>
        <v>70.096099999999993</v>
      </c>
      <c r="I721" s="14">
        <f>70.094 * CHOOSE(CONTROL!$C$9, $D$9, 100%, $F$9) + CHOOSE(CONTROL!$C$27, 0.0021, 0)</f>
        <v>70.096099999999993</v>
      </c>
      <c r="J721" s="14">
        <f>70.094 * CHOOSE(CONTROL!$C$9, $D$9, 100%, $F$9) + CHOOSE(CONTROL!$C$27, 0.0021, 0)</f>
        <v>70.096099999999993</v>
      </c>
      <c r="K721" s="14">
        <f>70.094 * CHOOSE(CONTROL!$C$9, $D$9, 100%, $F$9) + CHOOSE(CONTROL!$C$27, 0.0021, 0)</f>
        <v>70.096099999999993</v>
      </c>
      <c r="L721" s="14"/>
    </row>
    <row r="722" spans="1:12" ht="15.75" x14ac:dyDescent="0.25">
      <c r="A722" s="32">
        <v>62914</v>
      </c>
      <c r="B722" s="14">
        <f>69.7064 * CHOOSE(CONTROL!$C$9, $D$9, 100%, $F$9) + CHOOSE(CONTROL!$C$27, 0.0021, 0)</f>
        <v>69.708500000000001</v>
      </c>
      <c r="C722" s="14">
        <f>69.2741 * CHOOSE(CONTROL!$C$9, $D$9, 100%, $F$9) + CHOOSE(CONTROL!$C$27, 0.0021, 0)</f>
        <v>69.276200000000003</v>
      </c>
      <c r="D722" s="14">
        <f>69.2741 * CHOOSE(CONTROL!$C$9, $D$9, 100%, $F$9) + CHOOSE(CONTROL!$C$27, 0.0021, 0)</f>
        <v>69.276200000000003</v>
      </c>
      <c r="E722" s="14">
        <f>69.1375 * CHOOSE(CONTROL!$C$9, $D$9, 100%, $F$9) + CHOOSE(CONTROL!$C$27, 0.0021, 0)</f>
        <v>69.139600000000002</v>
      </c>
      <c r="F722" s="14">
        <f>69.1375 * CHOOSE(CONTROL!$C$9, $D$9, 100%, $F$9) + CHOOSE(CONTROL!$C$27, 0.0021, 0)</f>
        <v>69.139600000000002</v>
      </c>
      <c r="G722" s="14">
        <f>69.4089 * CHOOSE(CONTROL!$C$9, $D$9, 100%, $F$9) + CHOOSE(CONTROL!$C$27, 0.0021, 0)</f>
        <v>69.411000000000001</v>
      </c>
      <c r="H722" s="14">
        <f>69.2741 * CHOOSE(CONTROL!$C$9, $D$9, 100%, $F$9) + CHOOSE(CONTROL!$C$27, 0.0021, 0)</f>
        <v>69.276200000000003</v>
      </c>
      <c r="I722" s="14">
        <f>69.2741 * CHOOSE(CONTROL!$C$9, $D$9, 100%, $F$9) + CHOOSE(CONTROL!$C$27, 0.0021, 0)</f>
        <v>69.276200000000003</v>
      </c>
      <c r="J722" s="14">
        <f>69.2741 * CHOOSE(CONTROL!$C$9, $D$9, 100%, $F$9) + CHOOSE(CONTROL!$C$27, 0.0021, 0)</f>
        <v>69.276200000000003</v>
      </c>
      <c r="K722" s="14">
        <f>69.2741 * CHOOSE(CONTROL!$C$9, $D$9, 100%, $F$9) + CHOOSE(CONTROL!$C$27, 0.0021, 0)</f>
        <v>69.276200000000003</v>
      </c>
      <c r="L722" s="14"/>
    </row>
    <row r="723" spans="1:12" ht="15.75" x14ac:dyDescent="0.25">
      <c r="A723" s="32">
        <v>62944</v>
      </c>
      <c r="B723" s="14">
        <f>68.7274 * CHOOSE(CONTROL!$C$9, $D$9, 100%, $F$9) + CHOOSE(CONTROL!$C$27, 0.0021, 0)</f>
        <v>68.729500000000002</v>
      </c>
      <c r="C723" s="14">
        <f>68.2952 * CHOOSE(CONTROL!$C$9, $D$9, 100%, $F$9) + CHOOSE(CONTROL!$C$27, 0.0021, 0)</f>
        <v>68.297299999999993</v>
      </c>
      <c r="D723" s="14">
        <f>68.2952 * CHOOSE(CONTROL!$C$9, $D$9, 100%, $F$9) + CHOOSE(CONTROL!$C$27, 0.0021, 0)</f>
        <v>68.297299999999993</v>
      </c>
      <c r="E723" s="14">
        <f>68.1585 * CHOOSE(CONTROL!$C$9, $D$9, 100%, $F$9) + CHOOSE(CONTROL!$C$27, 0.0021, 0)</f>
        <v>68.160600000000002</v>
      </c>
      <c r="F723" s="14">
        <f>68.1585 * CHOOSE(CONTROL!$C$9, $D$9, 100%, $F$9) + CHOOSE(CONTROL!$C$27, 0.0021, 0)</f>
        <v>68.160600000000002</v>
      </c>
      <c r="G723" s="14">
        <f>68.4299 * CHOOSE(CONTROL!$C$9, $D$9, 100%, $F$9) + CHOOSE(CONTROL!$C$27, 0.0021, 0)</f>
        <v>68.432000000000002</v>
      </c>
      <c r="H723" s="14">
        <f>68.2952 * CHOOSE(CONTROL!$C$9, $D$9, 100%, $F$9) + CHOOSE(CONTROL!$C$27, 0.0021, 0)</f>
        <v>68.297299999999993</v>
      </c>
      <c r="I723" s="14">
        <f>68.2952 * CHOOSE(CONTROL!$C$9, $D$9, 100%, $F$9) + CHOOSE(CONTROL!$C$27, 0.0021, 0)</f>
        <v>68.297299999999993</v>
      </c>
      <c r="J723" s="14">
        <f>68.2952 * CHOOSE(CONTROL!$C$9, $D$9, 100%, $F$9) + CHOOSE(CONTROL!$C$27, 0.0021, 0)</f>
        <v>68.297299999999993</v>
      </c>
      <c r="K723" s="14">
        <f>68.2952 * CHOOSE(CONTROL!$C$9, $D$9, 100%, $F$9) + CHOOSE(CONTROL!$C$27, 0.0021, 0)</f>
        <v>68.297299999999993</v>
      </c>
      <c r="L723" s="14"/>
    </row>
    <row r="724" spans="1:12" ht="15.75" x14ac:dyDescent="0.25">
      <c r="A724" s="32">
        <v>62975</v>
      </c>
      <c r="B724" s="14">
        <f>70.1226 * CHOOSE(CONTROL!$C$9, $D$9, 100%, $F$9) + CHOOSE(CONTROL!$C$27, 0.0021, 0)</f>
        <v>70.124700000000004</v>
      </c>
      <c r="C724" s="14">
        <f>69.6903 * CHOOSE(CONTROL!$C$9, $D$9, 100%, $F$9) + CHOOSE(CONTROL!$C$27, 0.0021, 0)</f>
        <v>69.692399999999992</v>
      </c>
      <c r="D724" s="14">
        <f>69.6903 * CHOOSE(CONTROL!$C$9, $D$9, 100%, $F$9) + CHOOSE(CONTROL!$C$27, 0.0021, 0)</f>
        <v>69.692399999999992</v>
      </c>
      <c r="E724" s="14">
        <f>69.5537 * CHOOSE(CONTROL!$C$9, $D$9, 100%, $F$9) + CHOOSE(CONTROL!$C$27, 0.0021, 0)</f>
        <v>69.555800000000005</v>
      </c>
      <c r="F724" s="14">
        <f>69.5537 * CHOOSE(CONTROL!$C$9, $D$9, 100%, $F$9) + CHOOSE(CONTROL!$C$27, 0.0021, 0)</f>
        <v>69.555800000000005</v>
      </c>
      <c r="G724" s="14">
        <f>69.825 * CHOOSE(CONTROL!$C$9, $D$9, 100%, $F$9) + CHOOSE(CONTROL!$C$27, 0.0021, 0)</f>
        <v>69.827100000000002</v>
      </c>
      <c r="H724" s="14">
        <f>69.6903 * CHOOSE(CONTROL!$C$9, $D$9, 100%, $F$9) + CHOOSE(CONTROL!$C$27, 0.0021, 0)</f>
        <v>69.692399999999992</v>
      </c>
      <c r="I724" s="14">
        <f>69.6903 * CHOOSE(CONTROL!$C$9, $D$9, 100%, $F$9) + CHOOSE(CONTROL!$C$27, 0.0021, 0)</f>
        <v>69.692399999999992</v>
      </c>
      <c r="J724" s="14">
        <f>69.6903 * CHOOSE(CONTROL!$C$9, $D$9, 100%, $F$9) + CHOOSE(CONTROL!$C$27, 0.0021, 0)</f>
        <v>69.692399999999992</v>
      </c>
      <c r="K724" s="14">
        <f>69.6903 * CHOOSE(CONTROL!$C$9, $D$9, 100%, $F$9) + CHOOSE(CONTROL!$C$27, 0.0021, 0)</f>
        <v>69.692399999999992</v>
      </c>
      <c r="L724" s="14"/>
    </row>
    <row r="725" spans="1:12" ht="15.75" x14ac:dyDescent="0.25">
      <c r="A725" s="32">
        <v>63005</v>
      </c>
      <c r="B725" s="14">
        <f>70.9582 * CHOOSE(CONTROL!$C$9, $D$9, 100%, $F$9) + CHOOSE(CONTROL!$C$27, 0.0021, 0)</f>
        <v>70.960300000000004</v>
      </c>
      <c r="C725" s="14">
        <f>70.526 * CHOOSE(CONTROL!$C$9, $D$9, 100%, $F$9) + CHOOSE(CONTROL!$C$27, 0.0021, 0)</f>
        <v>70.528099999999995</v>
      </c>
      <c r="D725" s="14">
        <f>70.526 * CHOOSE(CONTROL!$C$9, $D$9, 100%, $F$9) + CHOOSE(CONTROL!$C$27, 0.0021, 0)</f>
        <v>70.528099999999995</v>
      </c>
      <c r="E725" s="14">
        <f>70.3893 * CHOOSE(CONTROL!$C$9, $D$9, 100%, $F$9) + CHOOSE(CONTROL!$C$27, 0.0021, 0)</f>
        <v>70.391400000000004</v>
      </c>
      <c r="F725" s="14">
        <f>70.3893 * CHOOSE(CONTROL!$C$9, $D$9, 100%, $F$9) + CHOOSE(CONTROL!$C$27, 0.0021, 0)</f>
        <v>70.391400000000004</v>
      </c>
      <c r="G725" s="14">
        <f>70.6607 * CHOOSE(CONTROL!$C$9, $D$9, 100%, $F$9) + CHOOSE(CONTROL!$C$27, 0.0021, 0)</f>
        <v>70.662800000000004</v>
      </c>
      <c r="H725" s="14">
        <f>70.526 * CHOOSE(CONTROL!$C$9, $D$9, 100%, $F$9) + CHOOSE(CONTROL!$C$27, 0.0021, 0)</f>
        <v>70.528099999999995</v>
      </c>
      <c r="I725" s="14">
        <f>70.526 * CHOOSE(CONTROL!$C$9, $D$9, 100%, $F$9) + CHOOSE(CONTROL!$C$27, 0.0021, 0)</f>
        <v>70.528099999999995</v>
      </c>
      <c r="J725" s="14">
        <f>70.526 * CHOOSE(CONTROL!$C$9, $D$9, 100%, $F$9) + CHOOSE(CONTROL!$C$27, 0.0021, 0)</f>
        <v>70.528099999999995</v>
      </c>
      <c r="K725" s="14">
        <f>70.526 * CHOOSE(CONTROL!$C$9, $D$9, 100%, $F$9) + CHOOSE(CONTROL!$C$27, 0.0021, 0)</f>
        <v>70.528099999999995</v>
      </c>
      <c r="L725" s="14"/>
    </row>
    <row r="726" spans="1:12" ht="15.75" x14ac:dyDescent="0.25">
      <c r="A726" s="32">
        <v>63036</v>
      </c>
      <c r="B726" s="14">
        <f>72.3367 * CHOOSE(CONTROL!$C$9, $D$9, 100%, $F$9) + CHOOSE(CONTROL!$C$27, 0.0021, 0)</f>
        <v>72.338799999999992</v>
      </c>
      <c r="C726" s="14">
        <f>71.9045 * CHOOSE(CONTROL!$C$9, $D$9, 100%, $F$9) + CHOOSE(CONTROL!$C$27, 0.0021, 0)</f>
        <v>71.906599999999997</v>
      </c>
      <c r="D726" s="14">
        <f>71.9045 * CHOOSE(CONTROL!$C$9, $D$9, 100%, $F$9) + CHOOSE(CONTROL!$C$27, 0.0021, 0)</f>
        <v>71.906599999999997</v>
      </c>
      <c r="E726" s="14">
        <f>71.7678 * CHOOSE(CONTROL!$C$9, $D$9, 100%, $F$9) + CHOOSE(CONTROL!$C$27, 0.0021, 0)</f>
        <v>71.769899999999993</v>
      </c>
      <c r="F726" s="14">
        <f>71.7678 * CHOOSE(CONTROL!$C$9, $D$9, 100%, $F$9) + CHOOSE(CONTROL!$C$27, 0.0021, 0)</f>
        <v>71.769899999999993</v>
      </c>
      <c r="G726" s="14">
        <f>72.0392 * CHOOSE(CONTROL!$C$9, $D$9, 100%, $F$9) + CHOOSE(CONTROL!$C$27, 0.0021, 0)</f>
        <v>72.041299999999993</v>
      </c>
      <c r="H726" s="14">
        <f>71.9045 * CHOOSE(CONTROL!$C$9, $D$9, 100%, $F$9) + CHOOSE(CONTROL!$C$27, 0.0021, 0)</f>
        <v>71.906599999999997</v>
      </c>
      <c r="I726" s="14">
        <f>71.9045 * CHOOSE(CONTROL!$C$9, $D$9, 100%, $F$9) + CHOOSE(CONTROL!$C$27, 0.0021, 0)</f>
        <v>71.906599999999997</v>
      </c>
      <c r="J726" s="14">
        <f>71.9045 * CHOOSE(CONTROL!$C$9, $D$9, 100%, $F$9) + CHOOSE(CONTROL!$C$27, 0.0021, 0)</f>
        <v>71.906599999999997</v>
      </c>
      <c r="K726" s="14">
        <f>71.9045 * CHOOSE(CONTROL!$C$9, $D$9, 100%, $F$9) + CHOOSE(CONTROL!$C$27, 0.0021, 0)</f>
        <v>71.906599999999997</v>
      </c>
      <c r="L726" s="14"/>
    </row>
    <row r="727" spans="1:12" ht="15.75" x14ac:dyDescent="0.25">
      <c r="A727" s="32">
        <v>63067</v>
      </c>
      <c r="B727" s="14">
        <f>72.7575 * CHOOSE(CONTROL!$C$9, $D$9, 100%, $F$9) + CHOOSE(CONTROL!$C$27, 0.0021, 0)</f>
        <v>72.759599999999992</v>
      </c>
      <c r="C727" s="14">
        <f>72.3252 * CHOOSE(CONTROL!$C$9, $D$9, 100%, $F$9) + CHOOSE(CONTROL!$C$27, 0.0021, 0)</f>
        <v>72.327299999999994</v>
      </c>
      <c r="D727" s="14">
        <f>72.3252 * CHOOSE(CONTROL!$C$9, $D$9, 100%, $F$9) + CHOOSE(CONTROL!$C$27, 0.0021, 0)</f>
        <v>72.327299999999994</v>
      </c>
      <c r="E727" s="14">
        <f>72.1886 * CHOOSE(CONTROL!$C$9, $D$9, 100%, $F$9) + CHOOSE(CONTROL!$C$27, 0.0021, 0)</f>
        <v>72.190699999999993</v>
      </c>
      <c r="F727" s="14">
        <f>72.1886 * CHOOSE(CONTROL!$C$9, $D$9, 100%, $F$9) + CHOOSE(CONTROL!$C$27, 0.0021, 0)</f>
        <v>72.190699999999993</v>
      </c>
      <c r="G727" s="14">
        <f>72.46 * CHOOSE(CONTROL!$C$9, $D$9, 100%, $F$9) + CHOOSE(CONTROL!$C$27, 0.0021, 0)</f>
        <v>72.462099999999992</v>
      </c>
      <c r="H727" s="14">
        <f>72.3252 * CHOOSE(CONTROL!$C$9, $D$9, 100%, $F$9) + CHOOSE(CONTROL!$C$27, 0.0021, 0)</f>
        <v>72.327299999999994</v>
      </c>
      <c r="I727" s="14">
        <f>72.3252 * CHOOSE(CONTROL!$C$9, $D$9, 100%, $F$9) + CHOOSE(CONTROL!$C$27, 0.0021, 0)</f>
        <v>72.327299999999994</v>
      </c>
      <c r="J727" s="14">
        <f>72.3252 * CHOOSE(CONTROL!$C$9, $D$9, 100%, $F$9) + CHOOSE(CONTROL!$C$27, 0.0021, 0)</f>
        <v>72.327299999999994</v>
      </c>
      <c r="K727" s="14">
        <f>72.3252 * CHOOSE(CONTROL!$C$9, $D$9, 100%, $F$9) + CHOOSE(CONTROL!$C$27, 0.0021, 0)</f>
        <v>72.327299999999994</v>
      </c>
      <c r="L727" s="14"/>
    </row>
    <row r="728" spans="1:12" ht="15.75" x14ac:dyDescent="0.25">
      <c r="A728" s="32">
        <v>63097</v>
      </c>
      <c r="B728" s="14">
        <f>74.1904 * CHOOSE(CONTROL!$C$9, $D$9, 100%, $F$9) + CHOOSE(CONTROL!$C$27, 0.0021, 0)</f>
        <v>74.192499999999995</v>
      </c>
      <c r="C728" s="14">
        <f>73.7582 * CHOOSE(CONTROL!$C$9, $D$9, 100%, $F$9) + CHOOSE(CONTROL!$C$27, 0.0021, 0)</f>
        <v>73.760300000000001</v>
      </c>
      <c r="D728" s="14">
        <f>73.7582 * CHOOSE(CONTROL!$C$9, $D$9, 100%, $F$9) + CHOOSE(CONTROL!$C$27, 0.0021, 0)</f>
        <v>73.760300000000001</v>
      </c>
      <c r="E728" s="14">
        <f>73.6215 * CHOOSE(CONTROL!$C$9, $D$9, 100%, $F$9) + CHOOSE(CONTROL!$C$27, 0.0021, 0)</f>
        <v>73.623599999999996</v>
      </c>
      <c r="F728" s="14">
        <f>73.6215 * CHOOSE(CONTROL!$C$9, $D$9, 100%, $F$9) + CHOOSE(CONTROL!$C$27, 0.0021, 0)</f>
        <v>73.623599999999996</v>
      </c>
      <c r="G728" s="14">
        <f>73.8929 * CHOOSE(CONTROL!$C$9, $D$9, 100%, $F$9) + CHOOSE(CONTROL!$C$27, 0.0021, 0)</f>
        <v>73.894999999999996</v>
      </c>
      <c r="H728" s="14">
        <f>73.7582 * CHOOSE(CONTROL!$C$9, $D$9, 100%, $F$9) + CHOOSE(CONTROL!$C$27, 0.0021, 0)</f>
        <v>73.760300000000001</v>
      </c>
      <c r="I728" s="14">
        <f>73.7582 * CHOOSE(CONTROL!$C$9, $D$9, 100%, $F$9) + CHOOSE(CONTROL!$C$27, 0.0021, 0)</f>
        <v>73.760300000000001</v>
      </c>
      <c r="J728" s="14">
        <f>73.7582 * CHOOSE(CONTROL!$C$9, $D$9, 100%, $F$9) + CHOOSE(CONTROL!$C$27, 0.0021, 0)</f>
        <v>73.760300000000001</v>
      </c>
      <c r="K728" s="14">
        <f>73.7582 * CHOOSE(CONTROL!$C$9, $D$9, 100%, $F$9) + CHOOSE(CONTROL!$C$27, 0.0021, 0)</f>
        <v>73.760300000000001</v>
      </c>
      <c r="L728" s="14"/>
    </row>
    <row r="729" spans="1:12" ht="15.75" x14ac:dyDescent="0.25">
      <c r="A729" s="32">
        <v>63128</v>
      </c>
      <c r="B729" s="14">
        <f>76.0042 * CHOOSE(CONTROL!$C$9, $D$9, 100%, $F$9) + CHOOSE(CONTROL!$C$27, 0.0021, 0)</f>
        <v>76.006299999999996</v>
      </c>
      <c r="C729" s="14">
        <f>75.572 * CHOOSE(CONTROL!$C$9, $D$9, 100%, $F$9) + CHOOSE(CONTROL!$C$27, 0.0021, 0)</f>
        <v>75.574100000000001</v>
      </c>
      <c r="D729" s="14">
        <f>75.572 * CHOOSE(CONTROL!$C$9, $D$9, 100%, $F$9) + CHOOSE(CONTROL!$C$27, 0.0021, 0)</f>
        <v>75.574100000000001</v>
      </c>
      <c r="E729" s="14">
        <f>75.4353 * CHOOSE(CONTROL!$C$9, $D$9, 100%, $F$9) + CHOOSE(CONTROL!$C$27, 0.0021, 0)</f>
        <v>75.437399999999997</v>
      </c>
      <c r="F729" s="14">
        <f>75.4353 * CHOOSE(CONTROL!$C$9, $D$9, 100%, $F$9) + CHOOSE(CONTROL!$C$27, 0.0021, 0)</f>
        <v>75.437399999999997</v>
      </c>
      <c r="G729" s="14">
        <f>75.7067 * CHOOSE(CONTROL!$C$9, $D$9, 100%, $F$9) + CHOOSE(CONTROL!$C$27, 0.0021, 0)</f>
        <v>75.708799999999997</v>
      </c>
      <c r="H729" s="14">
        <f>75.572 * CHOOSE(CONTROL!$C$9, $D$9, 100%, $F$9) + CHOOSE(CONTROL!$C$27, 0.0021, 0)</f>
        <v>75.574100000000001</v>
      </c>
      <c r="I729" s="14">
        <f>75.572 * CHOOSE(CONTROL!$C$9, $D$9, 100%, $F$9) + CHOOSE(CONTROL!$C$27, 0.0021, 0)</f>
        <v>75.574100000000001</v>
      </c>
      <c r="J729" s="14">
        <f>75.572 * CHOOSE(CONTROL!$C$9, $D$9, 100%, $F$9) + CHOOSE(CONTROL!$C$27, 0.0021, 0)</f>
        <v>75.574100000000001</v>
      </c>
      <c r="K729" s="14">
        <f>75.572 * CHOOSE(CONTROL!$C$9, $D$9, 100%, $F$9) + CHOOSE(CONTROL!$C$27, 0.0021, 0)</f>
        <v>75.574100000000001</v>
      </c>
      <c r="L729" s="14"/>
    </row>
    <row r="730" spans="1:12" ht="15.75" x14ac:dyDescent="0.25">
      <c r="A730" s="32">
        <v>63158</v>
      </c>
      <c r="B730" s="14">
        <f>76.1745 * CHOOSE(CONTROL!$C$9, $D$9, 100%, $F$9) + CHOOSE(CONTROL!$C$27, 0.0021, 0)</f>
        <v>76.176599999999993</v>
      </c>
      <c r="C730" s="14">
        <f>75.7422 * CHOOSE(CONTROL!$C$9, $D$9, 100%, $F$9) + CHOOSE(CONTROL!$C$27, 0.0021, 0)</f>
        <v>75.744299999999996</v>
      </c>
      <c r="D730" s="14">
        <f>75.7422 * CHOOSE(CONTROL!$C$9, $D$9, 100%, $F$9) + CHOOSE(CONTROL!$C$27, 0.0021, 0)</f>
        <v>75.744299999999996</v>
      </c>
      <c r="E730" s="14">
        <f>75.6056 * CHOOSE(CONTROL!$C$9, $D$9, 100%, $F$9) + CHOOSE(CONTROL!$C$27, 0.0021, 0)</f>
        <v>75.607699999999994</v>
      </c>
      <c r="F730" s="14">
        <f>75.6056 * CHOOSE(CONTROL!$C$9, $D$9, 100%, $F$9) + CHOOSE(CONTROL!$C$27, 0.0021, 0)</f>
        <v>75.607699999999994</v>
      </c>
      <c r="G730" s="14">
        <f>75.877 * CHOOSE(CONTROL!$C$9, $D$9, 100%, $F$9) + CHOOSE(CONTROL!$C$27, 0.0021, 0)</f>
        <v>75.879099999999994</v>
      </c>
      <c r="H730" s="14">
        <f>75.7422 * CHOOSE(CONTROL!$C$9, $D$9, 100%, $F$9) + CHOOSE(CONTROL!$C$27, 0.0021, 0)</f>
        <v>75.744299999999996</v>
      </c>
      <c r="I730" s="14">
        <f>75.7422 * CHOOSE(CONTROL!$C$9, $D$9, 100%, $F$9) + CHOOSE(CONTROL!$C$27, 0.0021, 0)</f>
        <v>75.744299999999996</v>
      </c>
      <c r="J730" s="14">
        <f>75.7422 * CHOOSE(CONTROL!$C$9, $D$9, 100%, $F$9) + CHOOSE(CONTROL!$C$27, 0.0021, 0)</f>
        <v>75.744299999999996</v>
      </c>
      <c r="K730" s="14">
        <f>75.7422 * CHOOSE(CONTROL!$C$9, $D$9, 100%, $F$9) + CHOOSE(CONTROL!$C$27, 0.0021, 0)</f>
        <v>75.744299999999996</v>
      </c>
      <c r="L730" s="14"/>
    </row>
    <row r="731" spans="1:12" ht="15.75" x14ac:dyDescent="0.25">
      <c r="A731" s="32">
        <v>63189</v>
      </c>
      <c r="B731" s="14">
        <f>74.7258 * CHOOSE(CONTROL!$C$9, $D$9, 100%, $F$9) + CHOOSE(CONTROL!$C$27, 0.0021, 0)</f>
        <v>74.727900000000005</v>
      </c>
      <c r="C731" s="14">
        <f>74.2936 * CHOOSE(CONTROL!$C$9, $D$9, 100%, $F$9) + CHOOSE(CONTROL!$C$27, 0.0021, 0)</f>
        <v>74.295699999999997</v>
      </c>
      <c r="D731" s="14">
        <f>74.2936 * CHOOSE(CONTROL!$C$9, $D$9, 100%, $F$9) + CHOOSE(CONTROL!$C$27, 0.0021, 0)</f>
        <v>74.295699999999997</v>
      </c>
      <c r="E731" s="14">
        <f>74.1569 * CHOOSE(CONTROL!$C$9, $D$9, 100%, $F$9) + CHOOSE(CONTROL!$C$27, 0.0021, 0)</f>
        <v>74.158999999999992</v>
      </c>
      <c r="F731" s="14">
        <f>74.1569 * CHOOSE(CONTROL!$C$9, $D$9, 100%, $F$9) + CHOOSE(CONTROL!$C$27, 0.0021, 0)</f>
        <v>74.158999999999992</v>
      </c>
      <c r="G731" s="14">
        <f>74.4283 * CHOOSE(CONTROL!$C$9, $D$9, 100%, $F$9) + CHOOSE(CONTROL!$C$27, 0.0021, 0)</f>
        <v>74.430399999999992</v>
      </c>
      <c r="H731" s="14">
        <f>74.2936 * CHOOSE(CONTROL!$C$9, $D$9, 100%, $F$9) + CHOOSE(CONTROL!$C$27, 0.0021, 0)</f>
        <v>74.295699999999997</v>
      </c>
      <c r="I731" s="14">
        <f>74.2936 * CHOOSE(CONTROL!$C$9, $D$9, 100%, $F$9) + CHOOSE(CONTROL!$C$27, 0.0021, 0)</f>
        <v>74.295699999999997</v>
      </c>
      <c r="J731" s="14">
        <f>74.2936 * CHOOSE(CONTROL!$C$9, $D$9, 100%, $F$9) + CHOOSE(CONTROL!$C$27, 0.0021, 0)</f>
        <v>74.295699999999997</v>
      </c>
      <c r="K731" s="14">
        <f>74.2936 * CHOOSE(CONTROL!$C$9, $D$9, 100%, $F$9) + CHOOSE(CONTROL!$C$27, 0.0021, 0)</f>
        <v>74.295699999999997</v>
      </c>
      <c r="L731" s="14"/>
    </row>
    <row r="732" spans="1:12" ht="15.75" x14ac:dyDescent="0.25">
      <c r="A732" s="32">
        <v>63220</v>
      </c>
      <c r="B732" s="14">
        <f>73.7768 * CHOOSE(CONTROL!$C$9, $D$9, 100%, $F$9) + CHOOSE(CONTROL!$C$27, 0.0021, 0)</f>
        <v>73.778899999999993</v>
      </c>
      <c r="C732" s="14">
        <f>73.3445 * CHOOSE(CONTROL!$C$9, $D$9, 100%, $F$9) + CHOOSE(CONTROL!$C$27, 0.0021, 0)</f>
        <v>73.346599999999995</v>
      </c>
      <c r="D732" s="14">
        <f>73.3445 * CHOOSE(CONTROL!$C$9, $D$9, 100%, $F$9) + CHOOSE(CONTROL!$C$27, 0.0021, 0)</f>
        <v>73.346599999999995</v>
      </c>
      <c r="E732" s="14">
        <f>73.2079 * CHOOSE(CONTROL!$C$9, $D$9, 100%, $F$9) + CHOOSE(CONTROL!$C$27, 0.0021, 0)</f>
        <v>73.209999999999994</v>
      </c>
      <c r="F732" s="14">
        <f>73.2079 * CHOOSE(CONTROL!$C$9, $D$9, 100%, $F$9) + CHOOSE(CONTROL!$C$27, 0.0021, 0)</f>
        <v>73.209999999999994</v>
      </c>
      <c r="G732" s="14">
        <f>73.4793 * CHOOSE(CONTROL!$C$9, $D$9, 100%, $F$9) + CHOOSE(CONTROL!$C$27, 0.0021, 0)</f>
        <v>73.481399999999994</v>
      </c>
      <c r="H732" s="14">
        <f>73.3445 * CHOOSE(CONTROL!$C$9, $D$9, 100%, $F$9) + CHOOSE(CONTROL!$C$27, 0.0021, 0)</f>
        <v>73.346599999999995</v>
      </c>
      <c r="I732" s="14">
        <f>73.3445 * CHOOSE(CONTROL!$C$9, $D$9, 100%, $F$9) + CHOOSE(CONTROL!$C$27, 0.0021, 0)</f>
        <v>73.346599999999995</v>
      </c>
      <c r="J732" s="14">
        <f>73.3445 * CHOOSE(CONTROL!$C$9, $D$9, 100%, $F$9) + CHOOSE(CONTROL!$C$27, 0.0021, 0)</f>
        <v>73.346599999999995</v>
      </c>
      <c r="K732" s="14">
        <f>73.3445 * CHOOSE(CONTROL!$C$9, $D$9, 100%, $F$9) + CHOOSE(CONTROL!$C$27, 0.0021, 0)</f>
        <v>73.346599999999995</v>
      </c>
      <c r="L732" s="14"/>
    </row>
    <row r="733" spans="1:12" ht="15.75" x14ac:dyDescent="0.25">
      <c r="A733" s="32">
        <v>63248</v>
      </c>
      <c r="B733" s="14">
        <f>71.7548 * CHOOSE(CONTROL!$C$9, $D$9, 100%, $F$9) + CHOOSE(CONTROL!$C$27, 0.0021, 0)</f>
        <v>71.756900000000002</v>
      </c>
      <c r="C733" s="14">
        <f>71.3226 * CHOOSE(CONTROL!$C$9, $D$9, 100%, $F$9) + CHOOSE(CONTROL!$C$27, 0.0021, 0)</f>
        <v>71.324699999999993</v>
      </c>
      <c r="D733" s="14">
        <f>71.3226 * CHOOSE(CONTROL!$C$9, $D$9, 100%, $F$9) + CHOOSE(CONTROL!$C$27, 0.0021, 0)</f>
        <v>71.324699999999993</v>
      </c>
      <c r="E733" s="14">
        <f>71.1859 * CHOOSE(CONTROL!$C$9, $D$9, 100%, $F$9) + CHOOSE(CONTROL!$C$27, 0.0021, 0)</f>
        <v>71.188000000000002</v>
      </c>
      <c r="F733" s="14">
        <f>71.1859 * CHOOSE(CONTROL!$C$9, $D$9, 100%, $F$9) + CHOOSE(CONTROL!$C$27, 0.0021, 0)</f>
        <v>71.188000000000002</v>
      </c>
      <c r="G733" s="14">
        <f>71.4573 * CHOOSE(CONTROL!$C$9, $D$9, 100%, $F$9) + CHOOSE(CONTROL!$C$27, 0.0021, 0)</f>
        <v>71.459400000000002</v>
      </c>
      <c r="H733" s="14">
        <f>71.3226 * CHOOSE(CONTROL!$C$9, $D$9, 100%, $F$9) + CHOOSE(CONTROL!$C$27, 0.0021, 0)</f>
        <v>71.324699999999993</v>
      </c>
      <c r="I733" s="14">
        <f>71.3226 * CHOOSE(CONTROL!$C$9, $D$9, 100%, $F$9) + CHOOSE(CONTROL!$C$27, 0.0021, 0)</f>
        <v>71.324699999999993</v>
      </c>
      <c r="J733" s="14">
        <f>71.3226 * CHOOSE(CONTROL!$C$9, $D$9, 100%, $F$9) + CHOOSE(CONTROL!$C$27, 0.0021, 0)</f>
        <v>71.324699999999993</v>
      </c>
      <c r="K733" s="14">
        <f>71.3226 * CHOOSE(CONTROL!$C$9, $D$9, 100%, $F$9) + CHOOSE(CONTROL!$C$27, 0.0021, 0)</f>
        <v>71.324699999999993</v>
      </c>
      <c r="L733" s="14"/>
    </row>
    <row r="734" spans="1:12" ht="15.75" x14ac:dyDescent="0.25">
      <c r="A734" s="32">
        <v>63279</v>
      </c>
      <c r="B734" s="14">
        <f>70.9202 * CHOOSE(CONTROL!$C$9, $D$9, 100%, $F$9) + CHOOSE(CONTROL!$C$27, 0.0021, 0)</f>
        <v>70.922299999999993</v>
      </c>
      <c r="C734" s="14">
        <f>70.4879 * CHOOSE(CONTROL!$C$9, $D$9, 100%, $F$9) + CHOOSE(CONTROL!$C$27, 0.0021, 0)</f>
        <v>70.489999999999995</v>
      </c>
      <c r="D734" s="14">
        <f>70.4879 * CHOOSE(CONTROL!$C$9, $D$9, 100%, $F$9) + CHOOSE(CONTROL!$C$27, 0.0021, 0)</f>
        <v>70.489999999999995</v>
      </c>
      <c r="E734" s="14">
        <f>70.3513 * CHOOSE(CONTROL!$C$9, $D$9, 100%, $F$9) + CHOOSE(CONTROL!$C$27, 0.0021, 0)</f>
        <v>70.353399999999993</v>
      </c>
      <c r="F734" s="14">
        <f>70.3513 * CHOOSE(CONTROL!$C$9, $D$9, 100%, $F$9) + CHOOSE(CONTROL!$C$27, 0.0021, 0)</f>
        <v>70.353399999999993</v>
      </c>
      <c r="G734" s="14">
        <f>70.6226 * CHOOSE(CONTROL!$C$9, $D$9, 100%, $F$9) + CHOOSE(CONTROL!$C$27, 0.0021, 0)</f>
        <v>70.624700000000004</v>
      </c>
      <c r="H734" s="14">
        <f>70.4879 * CHOOSE(CONTROL!$C$9, $D$9, 100%, $F$9) + CHOOSE(CONTROL!$C$27, 0.0021, 0)</f>
        <v>70.489999999999995</v>
      </c>
      <c r="I734" s="14">
        <f>70.4879 * CHOOSE(CONTROL!$C$9, $D$9, 100%, $F$9) + CHOOSE(CONTROL!$C$27, 0.0021, 0)</f>
        <v>70.489999999999995</v>
      </c>
      <c r="J734" s="14">
        <f>70.4879 * CHOOSE(CONTROL!$C$9, $D$9, 100%, $F$9) + CHOOSE(CONTROL!$C$27, 0.0021, 0)</f>
        <v>70.489999999999995</v>
      </c>
      <c r="K734" s="14">
        <f>70.4879 * CHOOSE(CONTROL!$C$9, $D$9, 100%, $F$9) + CHOOSE(CONTROL!$C$27, 0.0021, 0)</f>
        <v>70.489999999999995</v>
      </c>
      <c r="L734" s="14"/>
    </row>
    <row r="735" spans="1:12" ht="15.75" x14ac:dyDescent="0.25">
      <c r="A735" s="32">
        <v>63309</v>
      </c>
      <c r="B735" s="14">
        <f>69.9236 * CHOOSE(CONTROL!$C$9, $D$9, 100%, $F$9) + CHOOSE(CONTROL!$C$27, 0.0021, 0)</f>
        <v>69.925699999999992</v>
      </c>
      <c r="C735" s="14">
        <f>69.4913 * CHOOSE(CONTROL!$C$9, $D$9, 100%, $F$9) + CHOOSE(CONTROL!$C$27, 0.0021, 0)</f>
        <v>69.493399999999994</v>
      </c>
      <c r="D735" s="14">
        <f>69.4913 * CHOOSE(CONTROL!$C$9, $D$9, 100%, $F$9) + CHOOSE(CONTROL!$C$27, 0.0021, 0)</f>
        <v>69.493399999999994</v>
      </c>
      <c r="E735" s="14">
        <f>69.3546 * CHOOSE(CONTROL!$C$9, $D$9, 100%, $F$9) + CHOOSE(CONTROL!$C$27, 0.0021, 0)</f>
        <v>69.356700000000004</v>
      </c>
      <c r="F735" s="14">
        <f>69.3546 * CHOOSE(CONTROL!$C$9, $D$9, 100%, $F$9) + CHOOSE(CONTROL!$C$27, 0.0021, 0)</f>
        <v>69.356700000000004</v>
      </c>
      <c r="G735" s="14">
        <f>69.626 * CHOOSE(CONTROL!$C$9, $D$9, 100%, $F$9) + CHOOSE(CONTROL!$C$27, 0.0021, 0)</f>
        <v>69.628100000000003</v>
      </c>
      <c r="H735" s="14">
        <f>69.4913 * CHOOSE(CONTROL!$C$9, $D$9, 100%, $F$9) + CHOOSE(CONTROL!$C$27, 0.0021, 0)</f>
        <v>69.493399999999994</v>
      </c>
      <c r="I735" s="14">
        <f>69.4913 * CHOOSE(CONTROL!$C$9, $D$9, 100%, $F$9) + CHOOSE(CONTROL!$C$27, 0.0021, 0)</f>
        <v>69.493399999999994</v>
      </c>
      <c r="J735" s="14">
        <f>69.4913 * CHOOSE(CONTROL!$C$9, $D$9, 100%, $F$9) + CHOOSE(CONTROL!$C$27, 0.0021, 0)</f>
        <v>69.493399999999994</v>
      </c>
      <c r="K735" s="14">
        <f>69.4913 * CHOOSE(CONTROL!$C$9, $D$9, 100%, $F$9) + CHOOSE(CONTROL!$C$27, 0.0021, 0)</f>
        <v>69.493399999999994</v>
      </c>
      <c r="L735" s="14"/>
    </row>
    <row r="736" spans="1:12" ht="15.75" x14ac:dyDescent="0.25">
      <c r="A736" s="32">
        <v>63340</v>
      </c>
      <c r="B736" s="14">
        <f>71.3438 * CHOOSE(CONTROL!$C$9, $D$9, 100%, $F$9) + CHOOSE(CONTROL!$C$27, 0.0021, 0)</f>
        <v>71.3459</v>
      </c>
      <c r="C736" s="14">
        <f>70.9116 * CHOOSE(CONTROL!$C$9, $D$9, 100%, $F$9) + CHOOSE(CONTROL!$C$27, 0.0021, 0)</f>
        <v>70.913700000000006</v>
      </c>
      <c r="D736" s="14">
        <f>70.9116 * CHOOSE(CONTROL!$C$9, $D$9, 100%, $F$9) + CHOOSE(CONTROL!$C$27, 0.0021, 0)</f>
        <v>70.913700000000006</v>
      </c>
      <c r="E736" s="14">
        <f>70.7749 * CHOOSE(CONTROL!$C$9, $D$9, 100%, $F$9) + CHOOSE(CONTROL!$C$27, 0.0021, 0)</f>
        <v>70.777000000000001</v>
      </c>
      <c r="F736" s="14">
        <f>70.7749 * CHOOSE(CONTROL!$C$9, $D$9, 100%, $F$9) + CHOOSE(CONTROL!$C$27, 0.0021, 0)</f>
        <v>70.777000000000001</v>
      </c>
      <c r="G736" s="14">
        <f>71.0463 * CHOOSE(CONTROL!$C$9, $D$9, 100%, $F$9) + CHOOSE(CONTROL!$C$27, 0.0021, 0)</f>
        <v>71.048400000000001</v>
      </c>
      <c r="H736" s="14">
        <f>70.9116 * CHOOSE(CONTROL!$C$9, $D$9, 100%, $F$9) + CHOOSE(CONTROL!$C$27, 0.0021, 0)</f>
        <v>70.913700000000006</v>
      </c>
      <c r="I736" s="14">
        <f>70.9116 * CHOOSE(CONTROL!$C$9, $D$9, 100%, $F$9) + CHOOSE(CONTROL!$C$27, 0.0021, 0)</f>
        <v>70.913700000000006</v>
      </c>
      <c r="J736" s="14">
        <f>70.9116 * CHOOSE(CONTROL!$C$9, $D$9, 100%, $F$9) + CHOOSE(CONTROL!$C$27, 0.0021, 0)</f>
        <v>70.913700000000006</v>
      </c>
      <c r="K736" s="14">
        <f>70.9116 * CHOOSE(CONTROL!$C$9, $D$9, 100%, $F$9) + CHOOSE(CONTROL!$C$27, 0.0021, 0)</f>
        <v>70.913700000000006</v>
      </c>
      <c r="L736" s="14"/>
    </row>
    <row r="737" spans="1:12" ht="15.75" x14ac:dyDescent="0.25">
      <c r="A737" s="32">
        <v>63370</v>
      </c>
      <c r="B737" s="14">
        <f>72.1945 * CHOOSE(CONTROL!$C$9, $D$9, 100%, $F$9) + CHOOSE(CONTROL!$C$27, 0.0021, 0)</f>
        <v>72.196600000000004</v>
      </c>
      <c r="C737" s="14">
        <f>71.7623 * CHOOSE(CONTROL!$C$9, $D$9, 100%, $F$9) + CHOOSE(CONTROL!$C$27, 0.0021, 0)</f>
        <v>71.764399999999995</v>
      </c>
      <c r="D737" s="14">
        <f>71.7623 * CHOOSE(CONTROL!$C$9, $D$9, 100%, $F$9) + CHOOSE(CONTROL!$C$27, 0.0021, 0)</f>
        <v>71.764399999999995</v>
      </c>
      <c r="E737" s="14">
        <f>71.6256 * CHOOSE(CONTROL!$C$9, $D$9, 100%, $F$9) + CHOOSE(CONTROL!$C$27, 0.0021, 0)</f>
        <v>71.627700000000004</v>
      </c>
      <c r="F737" s="14">
        <f>71.6256 * CHOOSE(CONTROL!$C$9, $D$9, 100%, $F$9) + CHOOSE(CONTROL!$C$27, 0.0021, 0)</f>
        <v>71.627700000000004</v>
      </c>
      <c r="G737" s="14">
        <f>71.897 * CHOOSE(CONTROL!$C$9, $D$9, 100%, $F$9) + CHOOSE(CONTROL!$C$27, 0.0021, 0)</f>
        <v>71.899100000000004</v>
      </c>
      <c r="H737" s="14">
        <f>71.7623 * CHOOSE(CONTROL!$C$9, $D$9, 100%, $F$9) + CHOOSE(CONTROL!$C$27, 0.0021, 0)</f>
        <v>71.764399999999995</v>
      </c>
      <c r="I737" s="14">
        <f>71.7623 * CHOOSE(CONTROL!$C$9, $D$9, 100%, $F$9) + CHOOSE(CONTROL!$C$27, 0.0021, 0)</f>
        <v>71.764399999999995</v>
      </c>
      <c r="J737" s="14">
        <f>71.7623 * CHOOSE(CONTROL!$C$9, $D$9, 100%, $F$9) + CHOOSE(CONTROL!$C$27, 0.0021, 0)</f>
        <v>71.764399999999995</v>
      </c>
      <c r="K737" s="14">
        <f>71.7623 * CHOOSE(CONTROL!$C$9, $D$9, 100%, $F$9) + CHOOSE(CONTROL!$C$27, 0.0021, 0)</f>
        <v>71.764399999999995</v>
      </c>
      <c r="L737" s="14"/>
    </row>
    <row r="738" spans="1:12" ht="15.75" x14ac:dyDescent="0.25">
      <c r="A738" s="32">
        <v>63401</v>
      </c>
      <c r="B738" s="14">
        <f>73.5979 * CHOOSE(CONTROL!$C$9, $D$9, 100%, $F$9) + CHOOSE(CONTROL!$C$27, 0.0021, 0)</f>
        <v>73.599999999999994</v>
      </c>
      <c r="C738" s="14">
        <f>73.1656 * CHOOSE(CONTROL!$C$9, $D$9, 100%, $F$9) + CHOOSE(CONTROL!$C$27, 0.0021, 0)</f>
        <v>73.167699999999996</v>
      </c>
      <c r="D738" s="14">
        <f>73.1656 * CHOOSE(CONTROL!$C$9, $D$9, 100%, $F$9) + CHOOSE(CONTROL!$C$27, 0.0021, 0)</f>
        <v>73.167699999999996</v>
      </c>
      <c r="E738" s="14">
        <f>73.029 * CHOOSE(CONTROL!$C$9, $D$9, 100%, $F$9) + CHOOSE(CONTROL!$C$27, 0.0021, 0)</f>
        <v>73.031099999999995</v>
      </c>
      <c r="F738" s="14">
        <f>73.029 * CHOOSE(CONTROL!$C$9, $D$9, 100%, $F$9) + CHOOSE(CONTROL!$C$27, 0.0021, 0)</f>
        <v>73.031099999999995</v>
      </c>
      <c r="G738" s="14">
        <f>73.3003 * CHOOSE(CONTROL!$C$9, $D$9, 100%, $F$9) + CHOOSE(CONTROL!$C$27, 0.0021, 0)</f>
        <v>73.302399999999992</v>
      </c>
      <c r="H738" s="14">
        <f>73.1656 * CHOOSE(CONTROL!$C$9, $D$9, 100%, $F$9) + CHOOSE(CONTROL!$C$27, 0.0021, 0)</f>
        <v>73.167699999999996</v>
      </c>
      <c r="I738" s="14">
        <f>73.1656 * CHOOSE(CONTROL!$C$9, $D$9, 100%, $F$9) + CHOOSE(CONTROL!$C$27, 0.0021, 0)</f>
        <v>73.167699999999996</v>
      </c>
      <c r="J738" s="14">
        <f>73.1656 * CHOOSE(CONTROL!$C$9, $D$9, 100%, $F$9) + CHOOSE(CONTROL!$C$27, 0.0021, 0)</f>
        <v>73.167699999999996</v>
      </c>
      <c r="K738" s="14">
        <f>73.1656 * CHOOSE(CONTROL!$C$9, $D$9, 100%, $F$9) + CHOOSE(CONTROL!$C$27, 0.0021, 0)</f>
        <v>73.167699999999996</v>
      </c>
      <c r="L738" s="14"/>
    </row>
    <row r="739" spans="1:12" ht="15.75" x14ac:dyDescent="0.25">
      <c r="A739" s="32">
        <v>63432</v>
      </c>
      <c r="B739" s="14">
        <f>74.0262 * CHOOSE(CONTROL!$C$9, $D$9, 100%, $F$9) + CHOOSE(CONTROL!$C$27, 0.0021, 0)</f>
        <v>74.028300000000002</v>
      </c>
      <c r="C739" s="14">
        <f>73.594 * CHOOSE(CONTROL!$C$9, $D$9, 100%, $F$9) + CHOOSE(CONTROL!$C$27, 0.0021, 0)</f>
        <v>73.596099999999993</v>
      </c>
      <c r="D739" s="14">
        <f>73.594 * CHOOSE(CONTROL!$C$9, $D$9, 100%, $F$9) + CHOOSE(CONTROL!$C$27, 0.0021, 0)</f>
        <v>73.596099999999993</v>
      </c>
      <c r="E739" s="14">
        <f>73.4573 * CHOOSE(CONTROL!$C$9, $D$9, 100%, $F$9) + CHOOSE(CONTROL!$C$27, 0.0021, 0)</f>
        <v>73.459400000000002</v>
      </c>
      <c r="F739" s="14">
        <f>73.4573 * CHOOSE(CONTROL!$C$9, $D$9, 100%, $F$9) + CHOOSE(CONTROL!$C$27, 0.0021, 0)</f>
        <v>73.459400000000002</v>
      </c>
      <c r="G739" s="14">
        <f>73.7287 * CHOOSE(CONTROL!$C$9, $D$9, 100%, $F$9) + CHOOSE(CONTROL!$C$27, 0.0021, 0)</f>
        <v>73.730800000000002</v>
      </c>
      <c r="H739" s="14">
        <f>73.594 * CHOOSE(CONTROL!$C$9, $D$9, 100%, $F$9) + CHOOSE(CONTROL!$C$27, 0.0021, 0)</f>
        <v>73.596099999999993</v>
      </c>
      <c r="I739" s="14">
        <f>73.594 * CHOOSE(CONTROL!$C$9, $D$9, 100%, $F$9) + CHOOSE(CONTROL!$C$27, 0.0021, 0)</f>
        <v>73.596099999999993</v>
      </c>
      <c r="J739" s="14">
        <f>73.594 * CHOOSE(CONTROL!$C$9, $D$9, 100%, $F$9) + CHOOSE(CONTROL!$C$27, 0.0021, 0)</f>
        <v>73.596099999999993</v>
      </c>
      <c r="K739" s="14">
        <f>73.594 * CHOOSE(CONTROL!$C$9, $D$9, 100%, $F$9) + CHOOSE(CONTROL!$C$27, 0.0021, 0)</f>
        <v>73.596099999999993</v>
      </c>
      <c r="L739" s="14"/>
    </row>
    <row r="740" spans="1:12" ht="15.75" x14ac:dyDescent="0.25">
      <c r="A740" s="32">
        <v>63462</v>
      </c>
      <c r="B740" s="14">
        <f>75.4849 * CHOOSE(CONTROL!$C$9, $D$9, 100%, $F$9) + CHOOSE(CONTROL!$C$27, 0.0021, 0)</f>
        <v>75.486999999999995</v>
      </c>
      <c r="C740" s="14">
        <f>75.0527 * CHOOSE(CONTROL!$C$9, $D$9, 100%, $F$9) + CHOOSE(CONTROL!$C$27, 0.0021, 0)</f>
        <v>75.0548</v>
      </c>
      <c r="D740" s="14">
        <f>75.0527 * CHOOSE(CONTROL!$C$9, $D$9, 100%, $F$9) + CHOOSE(CONTROL!$C$27, 0.0021, 0)</f>
        <v>75.0548</v>
      </c>
      <c r="E740" s="14">
        <f>74.916 * CHOOSE(CONTROL!$C$9, $D$9, 100%, $F$9) + CHOOSE(CONTROL!$C$27, 0.0021, 0)</f>
        <v>74.918099999999995</v>
      </c>
      <c r="F740" s="14">
        <f>74.916 * CHOOSE(CONTROL!$C$9, $D$9, 100%, $F$9) + CHOOSE(CONTROL!$C$27, 0.0021, 0)</f>
        <v>74.918099999999995</v>
      </c>
      <c r="G740" s="14">
        <f>75.1874 * CHOOSE(CONTROL!$C$9, $D$9, 100%, $F$9) + CHOOSE(CONTROL!$C$27, 0.0021, 0)</f>
        <v>75.189499999999995</v>
      </c>
      <c r="H740" s="14">
        <f>75.0527 * CHOOSE(CONTROL!$C$9, $D$9, 100%, $F$9) + CHOOSE(CONTROL!$C$27, 0.0021, 0)</f>
        <v>75.0548</v>
      </c>
      <c r="I740" s="14">
        <f>75.0527 * CHOOSE(CONTROL!$C$9, $D$9, 100%, $F$9) + CHOOSE(CONTROL!$C$27, 0.0021, 0)</f>
        <v>75.0548</v>
      </c>
      <c r="J740" s="14">
        <f>75.0527 * CHOOSE(CONTROL!$C$9, $D$9, 100%, $F$9) + CHOOSE(CONTROL!$C$27, 0.0021, 0)</f>
        <v>75.0548</v>
      </c>
      <c r="K740" s="14">
        <f>75.0527 * CHOOSE(CONTROL!$C$9, $D$9, 100%, $F$9) + CHOOSE(CONTROL!$C$27, 0.0021, 0)</f>
        <v>75.0548</v>
      </c>
      <c r="L740" s="14"/>
    </row>
    <row r="741" spans="1:12" ht="15.75" x14ac:dyDescent="0.25">
      <c r="A741" s="32">
        <v>63493</v>
      </c>
      <c r="B741" s="14">
        <f>77.3314 * CHOOSE(CONTROL!$C$9, $D$9, 100%, $F$9) + CHOOSE(CONTROL!$C$27, 0.0021, 0)</f>
        <v>77.333500000000001</v>
      </c>
      <c r="C741" s="14">
        <f>76.8991 * CHOOSE(CONTROL!$C$9, $D$9, 100%, $F$9) + CHOOSE(CONTROL!$C$27, 0.0021, 0)</f>
        <v>76.901200000000003</v>
      </c>
      <c r="D741" s="14">
        <f>76.8991 * CHOOSE(CONTROL!$C$9, $D$9, 100%, $F$9) + CHOOSE(CONTROL!$C$27, 0.0021, 0)</f>
        <v>76.901200000000003</v>
      </c>
      <c r="E741" s="14">
        <f>76.7625 * CHOOSE(CONTROL!$C$9, $D$9, 100%, $F$9) + CHOOSE(CONTROL!$C$27, 0.0021, 0)</f>
        <v>76.764600000000002</v>
      </c>
      <c r="F741" s="14">
        <f>76.7625 * CHOOSE(CONTROL!$C$9, $D$9, 100%, $F$9) + CHOOSE(CONTROL!$C$27, 0.0021, 0)</f>
        <v>76.764600000000002</v>
      </c>
      <c r="G741" s="14">
        <f>77.0339 * CHOOSE(CONTROL!$C$9, $D$9, 100%, $F$9) + CHOOSE(CONTROL!$C$27, 0.0021, 0)</f>
        <v>77.036000000000001</v>
      </c>
      <c r="H741" s="14">
        <f>76.8991 * CHOOSE(CONTROL!$C$9, $D$9, 100%, $F$9) + CHOOSE(CONTROL!$C$27, 0.0021, 0)</f>
        <v>76.901200000000003</v>
      </c>
      <c r="I741" s="14">
        <f>76.8991 * CHOOSE(CONTROL!$C$9, $D$9, 100%, $F$9) + CHOOSE(CONTROL!$C$27, 0.0021, 0)</f>
        <v>76.901200000000003</v>
      </c>
      <c r="J741" s="14">
        <f>76.8991 * CHOOSE(CONTROL!$C$9, $D$9, 100%, $F$9) + CHOOSE(CONTROL!$C$27, 0.0021, 0)</f>
        <v>76.901200000000003</v>
      </c>
      <c r="K741" s="14">
        <f>76.8991 * CHOOSE(CONTROL!$C$9, $D$9, 100%, $F$9) + CHOOSE(CONTROL!$C$27, 0.0021, 0)</f>
        <v>76.901200000000003</v>
      </c>
      <c r="L741" s="14"/>
    </row>
    <row r="742" spans="1:12" ht="15.75" x14ac:dyDescent="0.25">
      <c r="A742" s="32">
        <v>63523</v>
      </c>
      <c r="B742" s="14">
        <f>77.5047 * CHOOSE(CONTROL!$C$9, $D$9, 100%, $F$9) + CHOOSE(CONTROL!$C$27, 0.0021, 0)</f>
        <v>77.506799999999998</v>
      </c>
      <c r="C742" s="14">
        <f>77.0725 * CHOOSE(CONTROL!$C$9, $D$9, 100%, $F$9) + CHOOSE(CONTROL!$C$27, 0.0021, 0)</f>
        <v>77.074600000000004</v>
      </c>
      <c r="D742" s="14">
        <f>77.0725 * CHOOSE(CONTROL!$C$9, $D$9, 100%, $F$9) + CHOOSE(CONTROL!$C$27, 0.0021, 0)</f>
        <v>77.074600000000004</v>
      </c>
      <c r="E742" s="14">
        <f>76.9358 * CHOOSE(CONTROL!$C$9, $D$9, 100%, $F$9) + CHOOSE(CONTROL!$C$27, 0.0021, 0)</f>
        <v>76.937899999999999</v>
      </c>
      <c r="F742" s="14">
        <f>76.9358 * CHOOSE(CONTROL!$C$9, $D$9, 100%, $F$9) + CHOOSE(CONTROL!$C$27, 0.0021, 0)</f>
        <v>76.937899999999999</v>
      </c>
      <c r="G742" s="14">
        <f>77.2072 * CHOOSE(CONTROL!$C$9, $D$9, 100%, $F$9) + CHOOSE(CONTROL!$C$27, 0.0021, 0)</f>
        <v>77.209299999999999</v>
      </c>
      <c r="H742" s="14">
        <f>77.0725 * CHOOSE(CONTROL!$C$9, $D$9, 100%, $F$9) + CHOOSE(CONTROL!$C$27, 0.0021, 0)</f>
        <v>77.074600000000004</v>
      </c>
      <c r="I742" s="14">
        <f>77.0725 * CHOOSE(CONTROL!$C$9, $D$9, 100%, $F$9) + CHOOSE(CONTROL!$C$27, 0.0021, 0)</f>
        <v>77.074600000000004</v>
      </c>
      <c r="J742" s="14">
        <f>77.0725 * CHOOSE(CONTROL!$C$9, $D$9, 100%, $F$9) + CHOOSE(CONTROL!$C$27, 0.0021, 0)</f>
        <v>77.074600000000004</v>
      </c>
      <c r="K742" s="14">
        <f>77.0725 * CHOOSE(CONTROL!$C$9, $D$9, 100%, $F$9) + CHOOSE(CONTROL!$C$27, 0.0021, 0)</f>
        <v>77.074600000000004</v>
      </c>
      <c r="L742" s="14"/>
    </row>
    <row r="743" spans="1:12" ht="15.75" x14ac:dyDescent="0.25">
      <c r="A743" s="32">
        <v>63554</v>
      </c>
      <c r="B743" s="14">
        <f>76.03 * CHOOSE(CONTROL!$C$9, $D$9, 100%, $F$9) + CHOOSE(CONTROL!$C$27, 0.0021, 0)</f>
        <v>76.0321</v>
      </c>
      <c r="C743" s="14">
        <f>75.5977 * CHOOSE(CONTROL!$C$9, $D$9, 100%, $F$9) + CHOOSE(CONTROL!$C$27, 0.0021, 0)</f>
        <v>75.599800000000002</v>
      </c>
      <c r="D743" s="14">
        <f>75.5977 * CHOOSE(CONTROL!$C$9, $D$9, 100%, $F$9) + CHOOSE(CONTROL!$C$27, 0.0021, 0)</f>
        <v>75.599800000000002</v>
      </c>
      <c r="E743" s="14">
        <f>75.4611 * CHOOSE(CONTROL!$C$9, $D$9, 100%, $F$9) + CHOOSE(CONTROL!$C$27, 0.0021, 0)</f>
        <v>75.463200000000001</v>
      </c>
      <c r="F743" s="14">
        <f>75.4611 * CHOOSE(CONTROL!$C$9, $D$9, 100%, $F$9) + CHOOSE(CONTROL!$C$27, 0.0021, 0)</f>
        <v>75.463200000000001</v>
      </c>
      <c r="G743" s="14">
        <f>75.7325 * CHOOSE(CONTROL!$C$9, $D$9, 100%, $F$9) + CHOOSE(CONTROL!$C$27, 0.0021, 0)</f>
        <v>75.7346</v>
      </c>
      <c r="H743" s="14">
        <f>75.5977 * CHOOSE(CONTROL!$C$9, $D$9, 100%, $F$9) + CHOOSE(CONTROL!$C$27, 0.0021, 0)</f>
        <v>75.599800000000002</v>
      </c>
      <c r="I743" s="14">
        <f>75.5977 * CHOOSE(CONTROL!$C$9, $D$9, 100%, $F$9) + CHOOSE(CONTROL!$C$27, 0.0021, 0)</f>
        <v>75.599800000000002</v>
      </c>
      <c r="J743" s="14">
        <f>75.5977 * CHOOSE(CONTROL!$C$9, $D$9, 100%, $F$9) + CHOOSE(CONTROL!$C$27, 0.0021, 0)</f>
        <v>75.599800000000002</v>
      </c>
      <c r="K743" s="14">
        <f>75.5977 * CHOOSE(CONTROL!$C$9, $D$9, 100%, $F$9) + CHOOSE(CONTROL!$C$27, 0.0021, 0)</f>
        <v>75.599800000000002</v>
      </c>
      <c r="L743" s="14"/>
    </row>
    <row r="744" spans="1:12" ht="15.75" x14ac:dyDescent="0.25">
      <c r="A744" s="32">
        <v>63585</v>
      </c>
      <c r="B744" s="14">
        <f>75.0639 * CHOOSE(CONTROL!$C$9, $D$9, 100%, $F$9) + CHOOSE(CONTROL!$C$27, 0.0021, 0)</f>
        <v>75.066000000000003</v>
      </c>
      <c r="C744" s="14">
        <f>74.6316 * CHOOSE(CONTROL!$C$9, $D$9, 100%, $F$9) + CHOOSE(CONTROL!$C$27, 0.0021, 0)</f>
        <v>74.633700000000005</v>
      </c>
      <c r="D744" s="14">
        <f>74.6316 * CHOOSE(CONTROL!$C$9, $D$9, 100%, $F$9) + CHOOSE(CONTROL!$C$27, 0.0021, 0)</f>
        <v>74.633700000000005</v>
      </c>
      <c r="E744" s="14">
        <f>74.495 * CHOOSE(CONTROL!$C$9, $D$9, 100%, $F$9) + CHOOSE(CONTROL!$C$27, 0.0021, 0)</f>
        <v>74.497100000000003</v>
      </c>
      <c r="F744" s="14">
        <f>74.495 * CHOOSE(CONTROL!$C$9, $D$9, 100%, $F$9) + CHOOSE(CONTROL!$C$27, 0.0021, 0)</f>
        <v>74.497100000000003</v>
      </c>
      <c r="G744" s="14">
        <f>74.7663 * CHOOSE(CONTROL!$C$9, $D$9, 100%, $F$9) + CHOOSE(CONTROL!$C$27, 0.0021, 0)</f>
        <v>74.7684</v>
      </c>
      <c r="H744" s="14">
        <f>74.6316 * CHOOSE(CONTROL!$C$9, $D$9, 100%, $F$9) + CHOOSE(CONTROL!$C$27, 0.0021, 0)</f>
        <v>74.633700000000005</v>
      </c>
      <c r="I744" s="14">
        <f>74.6316 * CHOOSE(CONTROL!$C$9, $D$9, 100%, $F$9) + CHOOSE(CONTROL!$C$27, 0.0021, 0)</f>
        <v>74.633700000000005</v>
      </c>
      <c r="J744" s="14">
        <f>74.6316 * CHOOSE(CONTROL!$C$9, $D$9, 100%, $F$9) + CHOOSE(CONTROL!$C$27, 0.0021, 0)</f>
        <v>74.633700000000005</v>
      </c>
      <c r="K744" s="14">
        <f>74.6316 * CHOOSE(CONTROL!$C$9, $D$9, 100%, $F$9) + CHOOSE(CONTROL!$C$27, 0.0021, 0)</f>
        <v>74.633700000000005</v>
      </c>
      <c r="L744" s="14"/>
    </row>
    <row r="745" spans="1:12" ht="15.75" x14ac:dyDescent="0.25">
      <c r="A745" s="32">
        <v>63613</v>
      </c>
      <c r="B745" s="14">
        <f>73.0055 * CHOOSE(CONTROL!$C$9, $D$9, 100%, $F$9) + CHOOSE(CONTROL!$C$27, 0.0021, 0)</f>
        <v>73.007599999999996</v>
      </c>
      <c r="C745" s="14">
        <f>72.5732 * CHOOSE(CONTROL!$C$9, $D$9, 100%, $F$9) + CHOOSE(CONTROL!$C$27, 0.0021, 0)</f>
        <v>72.575299999999999</v>
      </c>
      <c r="D745" s="14">
        <f>72.5732 * CHOOSE(CONTROL!$C$9, $D$9, 100%, $F$9) + CHOOSE(CONTROL!$C$27, 0.0021, 0)</f>
        <v>72.575299999999999</v>
      </c>
      <c r="E745" s="14">
        <f>72.4366 * CHOOSE(CONTROL!$C$9, $D$9, 100%, $F$9) + CHOOSE(CONTROL!$C$27, 0.0021, 0)</f>
        <v>72.438699999999997</v>
      </c>
      <c r="F745" s="14">
        <f>72.4366 * CHOOSE(CONTROL!$C$9, $D$9, 100%, $F$9) + CHOOSE(CONTROL!$C$27, 0.0021, 0)</f>
        <v>72.438699999999997</v>
      </c>
      <c r="G745" s="14">
        <f>72.708 * CHOOSE(CONTROL!$C$9, $D$9, 100%, $F$9) + CHOOSE(CONTROL!$C$27, 0.0021, 0)</f>
        <v>72.710099999999997</v>
      </c>
      <c r="H745" s="14">
        <f>72.5732 * CHOOSE(CONTROL!$C$9, $D$9, 100%, $F$9) + CHOOSE(CONTROL!$C$27, 0.0021, 0)</f>
        <v>72.575299999999999</v>
      </c>
      <c r="I745" s="14">
        <f>72.5732 * CHOOSE(CONTROL!$C$9, $D$9, 100%, $F$9) + CHOOSE(CONTROL!$C$27, 0.0021, 0)</f>
        <v>72.575299999999999</v>
      </c>
      <c r="J745" s="14">
        <f>72.5732 * CHOOSE(CONTROL!$C$9, $D$9, 100%, $F$9) + CHOOSE(CONTROL!$C$27, 0.0021, 0)</f>
        <v>72.575299999999999</v>
      </c>
      <c r="K745" s="14">
        <f>72.5732 * CHOOSE(CONTROL!$C$9, $D$9, 100%, $F$9) + CHOOSE(CONTROL!$C$27, 0.0021, 0)</f>
        <v>72.575299999999999</v>
      </c>
      <c r="L745" s="14"/>
    </row>
    <row r="746" spans="1:12" ht="15.75" x14ac:dyDescent="0.25">
      <c r="A746" s="32">
        <v>63644</v>
      </c>
      <c r="B746" s="14">
        <f>72.1558 * CHOOSE(CONTROL!$C$9, $D$9, 100%, $F$9) + CHOOSE(CONTROL!$C$27, 0.0021, 0)</f>
        <v>72.157899999999998</v>
      </c>
      <c r="C746" s="14">
        <f>71.7235 * CHOOSE(CONTROL!$C$9, $D$9, 100%, $F$9) + CHOOSE(CONTROL!$C$27, 0.0021, 0)</f>
        <v>71.7256</v>
      </c>
      <c r="D746" s="14">
        <f>71.7235 * CHOOSE(CONTROL!$C$9, $D$9, 100%, $F$9) + CHOOSE(CONTROL!$C$27, 0.0021, 0)</f>
        <v>71.7256</v>
      </c>
      <c r="E746" s="14">
        <f>71.5869 * CHOOSE(CONTROL!$C$9, $D$9, 100%, $F$9) + CHOOSE(CONTROL!$C$27, 0.0021, 0)</f>
        <v>71.588999999999999</v>
      </c>
      <c r="F746" s="14">
        <f>71.5869 * CHOOSE(CONTROL!$C$9, $D$9, 100%, $F$9) + CHOOSE(CONTROL!$C$27, 0.0021, 0)</f>
        <v>71.588999999999999</v>
      </c>
      <c r="G746" s="14">
        <f>71.8583 * CHOOSE(CONTROL!$C$9, $D$9, 100%, $F$9) + CHOOSE(CONTROL!$C$27, 0.0021, 0)</f>
        <v>71.860399999999998</v>
      </c>
      <c r="H746" s="14">
        <f>71.7235 * CHOOSE(CONTROL!$C$9, $D$9, 100%, $F$9) + CHOOSE(CONTROL!$C$27, 0.0021, 0)</f>
        <v>71.7256</v>
      </c>
      <c r="I746" s="14">
        <f>71.7235 * CHOOSE(CONTROL!$C$9, $D$9, 100%, $F$9) + CHOOSE(CONTROL!$C$27, 0.0021, 0)</f>
        <v>71.7256</v>
      </c>
      <c r="J746" s="14">
        <f>71.7235 * CHOOSE(CONTROL!$C$9, $D$9, 100%, $F$9) + CHOOSE(CONTROL!$C$27, 0.0021, 0)</f>
        <v>71.7256</v>
      </c>
      <c r="K746" s="14">
        <f>71.7235 * CHOOSE(CONTROL!$C$9, $D$9, 100%, $F$9) + CHOOSE(CONTROL!$C$27, 0.0021, 0)</f>
        <v>71.7256</v>
      </c>
      <c r="L746" s="14"/>
    </row>
    <row r="747" spans="1:12" ht="15.75" x14ac:dyDescent="0.25">
      <c r="A747" s="32">
        <v>63674</v>
      </c>
      <c r="B747" s="14">
        <f>71.1412 * CHOOSE(CONTROL!$C$9, $D$9, 100%, $F$9) + CHOOSE(CONTROL!$C$27, 0.0021, 0)</f>
        <v>71.143299999999996</v>
      </c>
      <c r="C747" s="14">
        <f>70.709 * CHOOSE(CONTROL!$C$9, $D$9, 100%, $F$9) + CHOOSE(CONTROL!$C$27, 0.0021, 0)</f>
        <v>70.711100000000002</v>
      </c>
      <c r="D747" s="14">
        <f>70.709 * CHOOSE(CONTROL!$C$9, $D$9, 100%, $F$9) + CHOOSE(CONTROL!$C$27, 0.0021, 0)</f>
        <v>70.711100000000002</v>
      </c>
      <c r="E747" s="14">
        <f>70.5723 * CHOOSE(CONTROL!$C$9, $D$9, 100%, $F$9) + CHOOSE(CONTROL!$C$27, 0.0021, 0)</f>
        <v>70.574399999999997</v>
      </c>
      <c r="F747" s="14">
        <f>70.5723 * CHOOSE(CONTROL!$C$9, $D$9, 100%, $F$9) + CHOOSE(CONTROL!$C$27, 0.0021, 0)</f>
        <v>70.574399999999997</v>
      </c>
      <c r="G747" s="14">
        <f>70.8437 * CHOOSE(CONTROL!$C$9, $D$9, 100%, $F$9) + CHOOSE(CONTROL!$C$27, 0.0021, 0)</f>
        <v>70.845799999999997</v>
      </c>
      <c r="H747" s="14">
        <f>70.709 * CHOOSE(CONTROL!$C$9, $D$9, 100%, $F$9) + CHOOSE(CONTROL!$C$27, 0.0021, 0)</f>
        <v>70.711100000000002</v>
      </c>
      <c r="I747" s="14">
        <f>70.709 * CHOOSE(CONTROL!$C$9, $D$9, 100%, $F$9) + CHOOSE(CONTROL!$C$27, 0.0021, 0)</f>
        <v>70.711100000000002</v>
      </c>
      <c r="J747" s="14">
        <f>70.709 * CHOOSE(CONTROL!$C$9, $D$9, 100%, $F$9) + CHOOSE(CONTROL!$C$27, 0.0021, 0)</f>
        <v>70.711100000000002</v>
      </c>
      <c r="K747" s="14">
        <f>70.709 * CHOOSE(CONTROL!$C$9, $D$9, 100%, $F$9) + CHOOSE(CONTROL!$C$27, 0.0021, 0)</f>
        <v>70.711100000000002</v>
      </c>
      <c r="L747" s="14"/>
    </row>
    <row r="748" spans="1:12" ht="15.75" x14ac:dyDescent="0.25">
      <c r="A748" s="32">
        <v>63705</v>
      </c>
      <c r="B748" s="14">
        <f>72.5871 * CHOOSE(CONTROL!$C$9, $D$9, 100%, $F$9) + CHOOSE(CONTROL!$C$27, 0.0021, 0)</f>
        <v>72.589200000000005</v>
      </c>
      <c r="C748" s="14">
        <f>72.1549 * CHOOSE(CONTROL!$C$9, $D$9, 100%, $F$9) + CHOOSE(CONTROL!$C$27, 0.0021, 0)</f>
        <v>72.156999999999996</v>
      </c>
      <c r="D748" s="14">
        <f>72.1549 * CHOOSE(CONTROL!$C$9, $D$9, 100%, $F$9) + CHOOSE(CONTROL!$C$27, 0.0021, 0)</f>
        <v>72.156999999999996</v>
      </c>
      <c r="E748" s="14">
        <f>72.0182 * CHOOSE(CONTROL!$C$9, $D$9, 100%, $F$9) + CHOOSE(CONTROL!$C$27, 0.0021, 0)</f>
        <v>72.020299999999992</v>
      </c>
      <c r="F748" s="14">
        <f>72.0182 * CHOOSE(CONTROL!$C$9, $D$9, 100%, $F$9) + CHOOSE(CONTROL!$C$27, 0.0021, 0)</f>
        <v>72.020299999999992</v>
      </c>
      <c r="G748" s="14">
        <f>72.2896 * CHOOSE(CONTROL!$C$9, $D$9, 100%, $F$9) + CHOOSE(CONTROL!$C$27, 0.0021, 0)</f>
        <v>72.291699999999992</v>
      </c>
      <c r="H748" s="14">
        <f>72.1549 * CHOOSE(CONTROL!$C$9, $D$9, 100%, $F$9) + CHOOSE(CONTROL!$C$27, 0.0021, 0)</f>
        <v>72.156999999999996</v>
      </c>
      <c r="I748" s="14">
        <f>72.1549 * CHOOSE(CONTROL!$C$9, $D$9, 100%, $F$9) + CHOOSE(CONTROL!$C$27, 0.0021, 0)</f>
        <v>72.156999999999996</v>
      </c>
      <c r="J748" s="14">
        <f>72.1549 * CHOOSE(CONTROL!$C$9, $D$9, 100%, $F$9) + CHOOSE(CONTROL!$C$27, 0.0021, 0)</f>
        <v>72.156999999999996</v>
      </c>
      <c r="K748" s="14">
        <f>72.1549 * CHOOSE(CONTROL!$C$9, $D$9, 100%, $F$9) + CHOOSE(CONTROL!$C$27, 0.0021, 0)</f>
        <v>72.156999999999996</v>
      </c>
      <c r="L748" s="14"/>
    </row>
    <row r="749" spans="1:12" ht="15.75" x14ac:dyDescent="0.25">
      <c r="A749" s="32">
        <v>63735</v>
      </c>
      <c r="B749" s="14">
        <f>73.4531 * CHOOSE(CONTROL!$C$9, $D$9, 100%, $F$9) + CHOOSE(CONTROL!$C$27, 0.0021, 0)</f>
        <v>73.455200000000005</v>
      </c>
      <c r="C749" s="14">
        <f>73.0209 * CHOOSE(CONTROL!$C$9, $D$9, 100%, $F$9) + CHOOSE(CONTROL!$C$27, 0.0021, 0)</f>
        <v>73.022999999999996</v>
      </c>
      <c r="D749" s="14">
        <f>73.0209 * CHOOSE(CONTROL!$C$9, $D$9, 100%, $F$9) + CHOOSE(CONTROL!$C$27, 0.0021, 0)</f>
        <v>73.022999999999996</v>
      </c>
      <c r="E749" s="14">
        <f>72.8842 * CHOOSE(CONTROL!$C$9, $D$9, 100%, $F$9) + CHOOSE(CONTROL!$C$27, 0.0021, 0)</f>
        <v>72.886300000000006</v>
      </c>
      <c r="F749" s="14">
        <f>72.8842 * CHOOSE(CONTROL!$C$9, $D$9, 100%, $F$9) + CHOOSE(CONTROL!$C$27, 0.0021, 0)</f>
        <v>72.886300000000006</v>
      </c>
      <c r="G749" s="14">
        <f>73.1556 * CHOOSE(CONTROL!$C$9, $D$9, 100%, $F$9) + CHOOSE(CONTROL!$C$27, 0.0021, 0)</f>
        <v>73.157700000000006</v>
      </c>
      <c r="H749" s="14">
        <f>73.0209 * CHOOSE(CONTROL!$C$9, $D$9, 100%, $F$9) + CHOOSE(CONTROL!$C$27, 0.0021, 0)</f>
        <v>73.022999999999996</v>
      </c>
      <c r="I749" s="14">
        <f>73.0209 * CHOOSE(CONTROL!$C$9, $D$9, 100%, $F$9) + CHOOSE(CONTROL!$C$27, 0.0021, 0)</f>
        <v>73.022999999999996</v>
      </c>
      <c r="J749" s="14">
        <f>73.0209 * CHOOSE(CONTROL!$C$9, $D$9, 100%, $F$9) + CHOOSE(CONTROL!$C$27, 0.0021, 0)</f>
        <v>73.022999999999996</v>
      </c>
      <c r="K749" s="14">
        <f>73.0209 * CHOOSE(CONTROL!$C$9, $D$9, 100%, $F$9) + CHOOSE(CONTROL!$C$27, 0.0021, 0)</f>
        <v>73.022999999999996</v>
      </c>
      <c r="L749" s="14"/>
    </row>
    <row r="750" spans="1:12" ht="15.75" x14ac:dyDescent="0.25">
      <c r="A750" s="32">
        <v>63766</v>
      </c>
      <c r="B750" s="14">
        <f>74.8817 * CHOOSE(CONTROL!$C$9, $D$9, 100%, $F$9) + CHOOSE(CONTROL!$C$27, 0.0021, 0)</f>
        <v>74.883799999999994</v>
      </c>
      <c r="C750" s="14">
        <f>74.4495 * CHOOSE(CONTROL!$C$9, $D$9, 100%, $F$9) + CHOOSE(CONTROL!$C$27, 0.0021, 0)</f>
        <v>74.451599999999999</v>
      </c>
      <c r="D750" s="14">
        <f>74.4495 * CHOOSE(CONTROL!$C$9, $D$9, 100%, $F$9) + CHOOSE(CONTROL!$C$27, 0.0021, 0)</f>
        <v>74.451599999999999</v>
      </c>
      <c r="E750" s="14">
        <f>74.3128 * CHOOSE(CONTROL!$C$9, $D$9, 100%, $F$9) + CHOOSE(CONTROL!$C$27, 0.0021, 0)</f>
        <v>74.314899999999994</v>
      </c>
      <c r="F750" s="14">
        <f>74.3128 * CHOOSE(CONTROL!$C$9, $D$9, 100%, $F$9) + CHOOSE(CONTROL!$C$27, 0.0021, 0)</f>
        <v>74.314899999999994</v>
      </c>
      <c r="G750" s="14">
        <f>74.5842 * CHOOSE(CONTROL!$C$9, $D$9, 100%, $F$9) + CHOOSE(CONTROL!$C$27, 0.0021, 0)</f>
        <v>74.586299999999994</v>
      </c>
      <c r="H750" s="14">
        <f>74.4495 * CHOOSE(CONTROL!$C$9, $D$9, 100%, $F$9) + CHOOSE(CONTROL!$C$27, 0.0021, 0)</f>
        <v>74.451599999999999</v>
      </c>
      <c r="I750" s="14">
        <f>74.4495 * CHOOSE(CONTROL!$C$9, $D$9, 100%, $F$9) + CHOOSE(CONTROL!$C$27, 0.0021, 0)</f>
        <v>74.451599999999999</v>
      </c>
      <c r="J750" s="14">
        <f>74.4495 * CHOOSE(CONTROL!$C$9, $D$9, 100%, $F$9) + CHOOSE(CONTROL!$C$27, 0.0021, 0)</f>
        <v>74.451599999999999</v>
      </c>
      <c r="K750" s="14">
        <f>74.4495 * CHOOSE(CONTROL!$C$9, $D$9, 100%, $F$9) + CHOOSE(CONTROL!$C$27, 0.0021, 0)</f>
        <v>74.451599999999999</v>
      </c>
      <c r="L750" s="14"/>
    </row>
    <row r="751" spans="1:12" ht="15.75" x14ac:dyDescent="0.25">
      <c r="A751" s="32">
        <v>63797</v>
      </c>
      <c r="B751" s="14">
        <f>75.3178 * CHOOSE(CONTROL!$C$9, $D$9, 100%, $F$9) + CHOOSE(CONTROL!$C$27, 0.0021, 0)</f>
        <v>75.319900000000004</v>
      </c>
      <c r="C751" s="14">
        <f>74.8855 * CHOOSE(CONTROL!$C$9, $D$9, 100%, $F$9) + CHOOSE(CONTROL!$C$27, 0.0021, 0)</f>
        <v>74.887599999999992</v>
      </c>
      <c r="D751" s="14">
        <f>74.8855 * CHOOSE(CONTROL!$C$9, $D$9, 100%, $F$9) + CHOOSE(CONTROL!$C$27, 0.0021, 0)</f>
        <v>74.887599999999992</v>
      </c>
      <c r="E751" s="14">
        <f>74.7489 * CHOOSE(CONTROL!$C$9, $D$9, 100%, $F$9) + CHOOSE(CONTROL!$C$27, 0.0021, 0)</f>
        <v>74.751000000000005</v>
      </c>
      <c r="F751" s="14">
        <f>74.7489 * CHOOSE(CONTROL!$C$9, $D$9, 100%, $F$9) + CHOOSE(CONTROL!$C$27, 0.0021, 0)</f>
        <v>74.751000000000005</v>
      </c>
      <c r="G751" s="14">
        <f>75.0202 * CHOOSE(CONTROL!$C$9, $D$9, 100%, $F$9) + CHOOSE(CONTROL!$C$27, 0.0021, 0)</f>
        <v>75.022300000000001</v>
      </c>
      <c r="H751" s="14">
        <f>74.8855 * CHOOSE(CONTROL!$C$9, $D$9, 100%, $F$9) + CHOOSE(CONTROL!$C$27, 0.0021, 0)</f>
        <v>74.887599999999992</v>
      </c>
      <c r="I751" s="14">
        <f>74.8855 * CHOOSE(CONTROL!$C$9, $D$9, 100%, $F$9) + CHOOSE(CONTROL!$C$27, 0.0021, 0)</f>
        <v>74.887599999999992</v>
      </c>
      <c r="J751" s="14">
        <f>74.8855 * CHOOSE(CONTROL!$C$9, $D$9, 100%, $F$9) + CHOOSE(CONTROL!$C$27, 0.0021, 0)</f>
        <v>74.887599999999992</v>
      </c>
      <c r="K751" s="14">
        <f>74.8855 * CHOOSE(CONTROL!$C$9, $D$9, 100%, $F$9) + CHOOSE(CONTROL!$C$27, 0.0021, 0)</f>
        <v>74.887599999999992</v>
      </c>
      <c r="L751" s="14"/>
    </row>
    <row r="752" spans="1:12" ht="15.75" x14ac:dyDescent="0.25">
      <c r="A752" s="32">
        <v>63827</v>
      </c>
      <c r="B752" s="14">
        <f>76.8027 * CHOOSE(CONTROL!$C$9, $D$9, 100%, $F$9) + CHOOSE(CONTROL!$C$27, 0.0021, 0)</f>
        <v>76.8048</v>
      </c>
      <c r="C752" s="14">
        <f>76.3705 * CHOOSE(CONTROL!$C$9, $D$9, 100%, $F$9) + CHOOSE(CONTROL!$C$27, 0.0021, 0)</f>
        <v>76.372600000000006</v>
      </c>
      <c r="D752" s="14">
        <f>76.3705 * CHOOSE(CONTROL!$C$9, $D$9, 100%, $F$9) + CHOOSE(CONTROL!$C$27, 0.0021, 0)</f>
        <v>76.372600000000006</v>
      </c>
      <c r="E752" s="14">
        <f>76.2338 * CHOOSE(CONTROL!$C$9, $D$9, 100%, $F$9) + CHOOSE(CONTROL!$C$27, 0.0021, 0)</f>
        <v>76.235900000000001</v>
      </c>
      <c r="F752" s="14">
        <f>76.2338 * CHOOSE(CONTROL!$C$9, $D$9, 100%, $F$9) + CHOOSE(CONTROL!$C$27, 0.0021, 0)</f>
        <v>76.235900000000001</v>
      </c>
      <c r="G752" s="14">
        <f>76.5052 * CHOOSE(CONTROL!$C$9, $D$9, 100%, $F$9) + CHOOSE(CONTROL!$C$27, 0.0021, 0)</f>
        <v>76.507300000000001</v>
      </c>
      <c r="H752" s="14">
        <f>76.3705 * CHOOSE(CONTROL!$C$9, $D$9, 100%, $F$9) + CHOOSE(CONTROL!$C$27, 0.0021, 0)</f>
        <v>76.372600000000006</v>
      </c>
      <c r="I752" s="14">
        <f>76.3705 * CHOOSE(CONTROL!$C$9, $D$9, 100%, $F$9) + CHOOSE(CONTROL!$C$27, 0.0021, 0)</f>
        <v>76.372600000000006</v>
      </c>
      <c r="J752" s="14">
        <f>76.3705 * CHOOSE(CONTROL!$C$9, $D$9, 100%, $F$9) + CHOOSE(CONTROL!$C$27, 0.0021, 0)</f>
        <v>76.372600000000006</v>
      </c>
      <c r="K752" s="14">
        <f>76.3705 * CHOOSE(CONTROL!$C$9, $D$9, 100%, $F$9) + CHOOSE(CONTROL!$C$27, 0.0021, 0)</f>
        <v>76.372600000000006</v>
      </c>
      <c r="L752" s="14"/>
    </row>
    <row r="753" spans="1:12" ht="15.75" x14ac:dyDescent="0.25">
      <c r="A753" s="32">
        <v>63858</v>
      </c>
      <c r="B753" s="14">
        <f>78.6824 * CHOOSE(CONTROL!$C$9, $D$9, 100%, $F$9) + CHOOSE(CONTROL!$C$27, 0.0021, 0)</f>
        <v>78.6845</v>
      </c>
      <c r="C753" s="14">
        <f>78.2502 * CHOOSE(CONTROL!$C$9, $D$9, 100%, $F$9) + CHOOSE(CONTROL!$C$27, 0.0021, 0)</f>
        <v>78.252300000000005</v>
      </c>
      <c r="D753" s="14">
        <f>78.2502 * CHOOSE(CONTROL!$C$9, $D$9, 100%, $F$9) + CHOOSE(CONTROL!$C$27, 0.0021, 0)</f>
        <v>78.252300000000005</v>
      </c>
      <c r="E753" s="14">
        <f>78.1135 * CHOOSE(CONTROL!$C$9, $D$9, 100%, $F$9) + CHOOSE(CONTROL!$C$27, 0.0021, 0)</f>
        <v>78.115600000000001</v>
      </c>
      <c r="F753" s="14">
        <f>78.1135 * CHOOSE(CONTROL!$C$9, $D$9, 100%, $F$9) + CHOOSE(CONTROL!$C$27, 0.0021, 0)</f>
        <v>78.115600000000001</v>
      </c>
      <c r="G753" s="14">
        <f>78.3849 * CHOOSE(CONTROL!$C$9, $D$9, 100%, $F$9) + CHOOSE(CONTROL!$C$27, 0.0021, 0)</f>
        <v>78.387</v>
      </c>
      <c r="H753" s="14">
        <f>78.2502 * CHOOSE(CONTROL!$C$9, $D$9, 100%, $F$9) + CHOOSE(CONTROL!$C$27, 0.0021, 0)</f>
        <v>78.252300000000005</v>
      </c>
      <c r="I753" s="14">
        <f>78.2502 * CHOOSE(CONTROL!$C$9, $D$9, 100%, $F$9) + CHOOSE(CONTROL!$C$27, 0.0021, 0)</f>
        <v>78.252300000000005</v>
      </c>
      <c r="J753" s="14">
        <f>78.2502 * CHOOSE(CONTROL!$C$9, $D$9, 100%, $F$9) + CHOOSE(CONTROL!$C$27, 0.0021, 0)</f>
        <v>78.252300000000005</v>
      </c>
      <c r="K753" s="14">
        <f>78.2502 * CHOOSE(CONTROL!$C$9, $D$9, 100%, $F$9) + CHOOSE(CONTROL!$C$27, 0.0021, 0)</f>
        <v>78.252300000000005</v>
      </c>
      <c r="L753" s="14"/>
    </row>
    <row r="754" spans="1:12" ht="15.75" x14ac:dyDescent="0.25">
      <c r="A754" s="32">
        <v>63888</v>
      </c>
      <c r="B754" s="14">
        <f>78.8589 * CHOOSE(CONTROL!$C$9, $D$9, 100%, $F$9) + CHOOSE(CONTROL!$C$27, 0.0021, 0)</f>
        <v>78.861000000000004</v>
      </c>
      <c r="C754" s="14">
        <f>78.4267 * CHOOSE(CONTROL!$C$9, $D$9, 100%, $F$9) + CHOOSE(CONTROL!$C$27, 0.0021, 0)</f>
        <v>78.428799999999995</v>
      </c>
      <c r="D754" s="14">
        <f>78.4267 * CHOOSE(CONTROL!$C$9, $D$9, 100%, $F$9) + CHOOSE(CONTROL!$C$27, 0.0021, 0)</f>
        <v>78.428799999999995</v>
      </c>
      <c r="E754" s="14">
        <f>78.29 * CHOOSE(CONTROL!$C$9, $D$9, 100%, $F$9) + CHOOSE(CONTROL!$C$27, 0.0021, 0)</f>
        <v>78.292100000000005</v>
      </c>
      <c r="F754" s="14">
        <f>78.29 * CHOOSE(CONTROL!$C$9, $D$9, 100%, $F$9) + CHOOSE(CONTROL!$C$27, 0.0021, 0)</f>
        <v>78.292100000000005</v>
      </c>
      <c r="G754" s="14">
        <f>78.5614 * CHOOSE(CONTROL!$C$9, $D$9, 100%, $F$9) + CHOOSE(CONTROL!$C$27, 0.0021, 0)</f>
        <v>78.563500000000005</v>
      </c>
      <c r="H754" s="14">
        <f>78.4267 * CHOOSE(CONTROL!$C$9, $D$9, 100%, $F$9) + CHOOSE(CONTROL!$C$27, 0.0021, 0)</f>
        <v>78.428799999999995</v>
      </c>
      <c r="I754" s="14">
        <f>78.4267 * CHOOSE(CONTROL!$C$9, $D$9, 100%, $F$9) + CHOOSE(CONTROL!$C$27, 0.0021, 0)</f>
        <v>78.428799999999995</v>
      </c>
      <c r="J754" s="14">
        <f>78.4267 * CHOOSE(CONTROL!$C$9, $D$9, 100%, $F$9) + CHOOSE(CONTROL!$C$27, 0.0021, 0)</f>
        <v>78.428799999999995</v>
      </c>
      <c r="K754" s="14">
        <f>78.4267 * CHOOSE(CONTROL!$C$9, $D$9, 100%, $F$9) + CHOOSE(CONTROL!$C$27, 0.0021, 0)</f>
        <v>78.428799999999995</v>
      </c>
      <c r="L754" s="14"/>
    </row>
    <row r="755" spans="1:12" ht="15.75" x14ac:dyDescent="0.25">
      <c r="A755" s="32">
        <v>63919</v>
      </c>
      <c r="B755" s="14">
        <f>77.3576 * CHOOSE(CONTROL!$C$9, $D$9, 100%, $F$9) + CHOOSE(CONTROL!$C$27, 0.0021, 0)</f>
        <v>77.359700000000004</v>
      </c>
      <c r="C755" s="14">
        <f>76.9254 * CHOOSE(CONTROL!$C$9, $D$9, 100%, $F$9) + CHOOSE(CONTROL!$C$27, 0.0021, 0)</f>
        <v>76.927499999999995</v>
      </c>
      <c r="D755" s="14">
        <f>76.9254 * CHOOSE(CONTROL!$C$9, $D$9, 100%, $F$9) + CHOOSE(CONTROL!$C$27, 0.0021, 0)</f>
        <v>76.927499999999995</v>
      </c>
      <c r="E755" s="14">
        <f>76.7887 * CHOOSE(CONTROL!$C$9, $D$9, 100%, $F$9) + CHOOSE(CONTROL!$C$27, 0.0021, 0)</f>
        <v>76.790800000000004</v>
      </c>
      <c r="F755" s="14">
        <f>76.7887 * CHOOSE(CONTROL!$C$9, $D$9, 100%, $F$9) + CHOOSE(CONTROL!$C$27, 0.0021, 0)</f>
        <v>76.790800000000004</v>
      </c>
      <c r="G755" s="14">
        <f>77.0601 * CHOOSE(CONTROL!$C$9, $D$9, 100%, $F$9) + CHOOSE(CONTROL!$C$27, 0.0021, 0)</f>
        <v>77.062200000000004</v>
      </c>
      <c r="H755" s="14">
        <f>76.9254 * CHOOSE(CONTROL!$C$9, $D$9, 100%, $F$9) + CHOOSE(CONTROL!$C$27, 0.0021, 0)</f>
        <v>76.927499999999995</v>
      </c>
      <c r="I755" s="14">
        <f>76.9254 * CHOOSE(CONTROL!$C$9, $D$9, 100%, $F$9) + CHOOSE(CONTROL!$C$27, 0.0021, 0)</f>
        <v>76.927499999999995</v>
      </c>
      <c r="J755" s="14">
        <f>76.9254 * CHOOSE(CONTROL!$C$9, $D$9, 100%, $F$9) + CHOOSE(CONTROL!$C$27, 0.0021, 0)</f>
        <v>76.927499999999995</v>
      </c>
      <c r="K755" s="14">
        <f>76.9254 * CHOOSE(CONTROL!$C$9, $D$9, 100%, $F$9) + CHOOSE(CONTROL!$C$27, 0.0021, 0)</f>
        <v>76.927499999999995</v>
      </c>
      <c r="L755" s="14"/>
    </row>
    <row r="756" spans="1:12" ht="15.75" x14ac:dyDescent="0.25">
      <c r="A756" s="32">
        <v>63950</v>
      </c>
      <c r="B756" s="14">
        <f>76.3741 * CHOOSE(CONTROL!$C$9, $D$9, 100%, $F$9) + CHOOSE(CONTROL!$C$27, 0.0021, 0)</f>
        <v>76.376199999999997</v>
      </c>
      <c r="C756" s="14">
        <f>75.9418 * CHOOSE(CONTROL!$C$9, $D$9, 100%, $F$9) + CHOOSE(CONTROL!$C$27, 0.0021, 0)</f>
        <v>75.943899999999999</v>
      </c>
      <c r="D756" s="14">
        <f>75.9418 * CHOOSE(CONTROL!$C$9, $D$9, 100%, $F$9) + CHOOSE(CONTROL!$C$27, 0.0021, 0)</f>
        <v>75.943899999999999</v>
      </c>
      <c r="E756" s="14">
        <f>75.8052 * CHOOSE(CONTROL!$C$9, $D$9, 100%, $F$9) + CHOOSE(CONTROL!$C$27, 0.0021, 0)</f>
        <v>75.807299999999998</v>
      </c>
      <c r="F756" s="14">
        <f>75.8052 * CHOOSE(CONTROL!$C$9, $D$9, 100%, $F$9) + CHOOSE(CONTROL!$C$27, 0.0021, 0)</f>
        <v>75.807299999999998</v>
      </c>
      <c r="G756" s="14">
        <f>76.0766 * CHOOSE(CONTROL!$C$9, $D$9, 100%, $F$9) + CHOOSE(CONTROL!$C$27, 0.0021, 0)</f>
        <v>76.078699999999998</v>
      </c>
      <c r="H756" s="14">
        <f>75.9418 * CHOOSE(CONTROL!$C$9, $D$9, 100%, $F$9) + CHOOSE(CONTROL!$C$27, 0.0021, 0)</f>
        <v>75.943899999999999</v>
      </c>
      <c r="I756" s="14">
        <f>75.9418 * CHOOSE(CONTROL!$C$9, $D$9, 100%, $F$9) + CHOOSE(CONTROL!$C$27, 0.0021, 0)</f>
        <v>75.943899999999999</v>
      </c>
      <c r="J756" s="14">
        <f>75.9418 * CHOOSE(CONTROL!$C$9, $D$9, 100%, $F$9) + CHOOSE(CONTROL!$C$27, 0.0021, 0)</f>
        <v>75.943899999999999</v>
      </c>
      <c r="K756" s="14">
        <f>75.9418 * CHOOSE(CONTROL!$C$9, $D$9, 100%, $F$9) + CHOOSE(CONTROL!$C$27, 0.0021, 0)</f>
        <v>75.943899999999999</v>
      </c>
      <c r="L756" s="14"/>
    </row>
    <row r="757" spans="1:12" ht="15.75" x14ac:dyDescent="0.25">
      <c r="A757" s="32">
        <v>63978</v>
      </c>
      <c r="B757" s="14">
        <f>74.2787 * CHOOSE(CONTROL!$C$9, $D$9, 100%, $F$9) + CHOOSE(CONTROL!$C$27, 0.0021, 0)</f>
        <v>74.280799999999999</v>
      </c>
      <c r="C757" s="14">
        <f>73.8464 * CHOOSE(CONTROL!$C$9, $D$9, 100%, $F$9) + CHOOSE(CONTROL!$C$27, 0.0021, 0)</f>
        <v>73.848500000000001</v>
      </c>
      <c r="D757" s="14">
        <f>73.8464 * CHOOSE(CONTROL!$C$9, $D$9, 100%, $F$9) + CHOOSE(CONTROL!$C$27, 0.0021, 0)</f>
        <v>73.848500000000001</v>
      </c>
      <c r="E757" s="14">
        <f>73.7098 * CHOOSE(CONTROL!$C$9, $D$9, 100%, $F$9) + CHOOSE(CONTROL!$C$27, 0.0021, 0)</f>
        <v>73.7119</v>
      </c>
      <c r="F757" s="14">
        <f>73.7098 * CHOOSE(CONTROL!$C$9, $D$9, 100%, $F$9) + CHOOSE(CONTROL!$C$27, 0.0021, 0)</f>
        <v>73.7119</v>
      </c>
      <c r="G757" s="14">
        <f>73.9811 * CHOOSE(CONTROL!$C$9, $D$9, 100%, $F$9) + CHOOSE(CONTROL!$C$27, 0.0021, 0)</f>
        <v>73.983199999999997</v>
      </c>
      <c r="H757" s="14">
        <f>73.8464 * CHOOSE(CONTROL!$C$9, $D$9, 100%, $F$9) + CHOOSE(CONTROL!$C$27, 0.0021, 0)</f>
        <v>73.848500000000001</v>
      </c>
      <c r="I757" s="14">
        <f>73.8464 * CHOOSE(CONTROL!$C$9, $D$9, 100%, $F$9) + CHOOSE(CONTROL!$C$27, 0.0021, 0)</f>
        <v>73.848500000000001</v>
      </c>
      <c r="J757" s="14">
        <f>73.8464 * CHOOSE(CONTROL!$C$9, $D$9, 100%, $F$9) + CHOOSE(CONTROL!$C$27, 0.0021, 0)</f>
        <v>73.848500000000001</v>
      </c>
      <c r="K757" s="14">
        <f>73.8464 * CHOOSE(CONTROL!$C$9, $D$9, 100%, $F$9) + CHOOSE(CONTROL!$C$27, 0.0021, 0)</f>
        <v>73.848500000000001</v>
      </c>
      <c r="L757" s="14"/>
    </row>
    <row r="758" spans="1:12" ht="15.75" x14ac:dyDescent="0.25">
      <c r="A758" s="32">
        <v>64009</v>
      </c>
      <c r="B758" s="14">
        <f>73.4137 * CHOOSE(CONTROL!$C$9, $D$9, 100%, $F$9) + CHOOSE(CONTROL!$C$27, 0.0021, 0)</f>
        <v>73.415800000000004</v>
      </c>
      <c r="C758" s="14">
        <f>72.9814 * CHOOSE(CONTROL!$C$9, $D$9, 100%, $F$9) + CHOOSE(CONTROL!$C$27, 0.0021, 0)</f>
        <v>72.983499999999992</v>
      </c>
      <c r="D758" s="14">
        <f>72.9814 * CHOOSE(CONTROL!$C$9, $D$9, 100%, $F$9) + CHOOSE(CONTROL!$C$27, 0.0021, 0)</f>
        <v>72.983499999999992</v>
      </c>
      <c r="E758" s="14">
        <f>72.8448 * CHOOSE(CONTROL!$C$9, $D$9, 100%, $F$9) + CHOOSE(CONTROL!$C$27, 0.0021, 0)</f>
        <v>72.846900000000005</v>
      </c>
      <c r="F758" s="14">
        <f>72.8448 * CHOOSE(CONTROL!$C$9, $D$9, 100%, $F$9) + CHOOSE(CONTROL!$C$27, 0.0021, 0)</f>
        <v>72.846900000000005</v>
      </c>
      <c r="G758" s="14">
        <f>73.1161 * CHOOSE(CONTROL!$C$9, $D$9, 100%, $F$9) + CHOOSE(CONTROL!$C$27, 0.0021, 0)</f>
        <v>73.118200000000002</v>
      </c>
      <c r="H758" s="14">
        <f>72.9814 * CHOOSE(CONTROL!$C$9, $D$9, 100%, $F$9) + CHOOSE(CONTROL!$C$27, 0.0021, 0)</f>
        <v>72.983499999999992</v>
      </c>
      <c r="I758" s="14">
        <f>72.9814 * CHOOSE(CONTROL!$C$9, $D$9, 100%, $F$9) + CHOOSE(CONTROL!$C$27, 0.0021, 0)</f>
        <v>72.983499999999992</v>
      </c>
      <c r="J758" s="14">
        <f>72.9814 * CHOOSE(CONTROL!$C$9, $D$9, 100%, $F$9) + CHOOSE(CONTROL!$C$27, 0.0021, 0)</f>
        <v>72.983499999999992</v>
      </c>
      <c r="K758" s="14">
        <f>72.9814 * CHOOSE(CONTROL!$C$9, $D$9, 100%, $F$9) + CHOOSE(CONTROL!$C$27, 0.0021, 0)</f>
        <v>72.983499999999992</v>
      </c>
      <c r="L758" s="14"/>
    </row>
    <row r="759" spans="1:12" ht="15.75" x14ac:dyDescent="0.25">
      <c r="A759" s="32">
        <v>64039</v>
      </c>
      <c r="B759" s="14">
        <f>72.3809 * CHOOSE(CONTROL!$C$9, $D$9, 100%, $F$9) + CHOOSE(CONTROL!$C$27, 0.0021, 0)</f>
        <v>72.382999999999996</v>
      </c>
      <c r="C759" s="14">
        <f>71.9486 * CHOOSE(CONTROL!$C$9, $D$9, 100%, $F$9) + CHOOSE(CONTROL!$C$27, 0.0021, 0)</f>
        <v>71.950699999999998</v>
      </c>
      <c r="D759" s="14">
        <f>71.9486 * CHOOSE(CONTROL!$C$9, $D$9, 100%, $F$9) + CHOOSE(CONTROL!$C$27, 0.0021, 0)</f>
        <v>71.950699999999998</v>
      </c>
      <c r="E759" s="14">
        <f>71.8119 * CHOOSE(CONTROL!$C$9, $D$9, 100%, $F$9) + CHOOSE(CONTROL!$C$27, 0.0021, 0)</f>
        <v>71.813999999999993</v>
      </c>
      <c r="F759" s="14">
        <f>71.8119 * CHOOSE(CONTROL!$C$9, $D$9, 100%, $F$9) + CHOOSE(CONTROL!$C$27, 0.0021, 0)</f>
        <v>71.813999999999993</v>
      </c>
      <c r="G759" s="14">
        <f>72.0833 * CHOOSE(CONTROL!$C$9, $D$9, 100%, $F$9) + CHOOSE(CONTROL!$C$27, 0.0021, 0)</f>
        <v>72.085399999999993</v>
      </c>
      <c r="H759" s="14">
        <f>71.9486 * CHOOSE(CONTROL!$C$9, $D$9, 100%, $F$9) + CHOOSE(CONTROL!$C$27, 0.0021, 0)</f>
        <v>71.950699999999998</v>
      </c>
      <c r="I759" s="14">
        <f>71.9486 * CHOOSE(CONTROL!$C$9, $D$9, 100%, $F$9) + CHOOSE(CONTROL!$C$27, 0.0021, 0)</f>
        <v>71.950699999999998</v>
      </c>
      <c r="J759" s="14">
        <f>71.9486 * CHOOSE(CONTROL!$C$9, $D$9, 100%, $F$9) + CHOOSE(CONTROL!$C$27, 0.0021, 0)</f>
        <v>71.950699999999998</v>
      </c>
      <c r="K759" s="14">
        <f>71.9486 * CHOOSE(CONTROL!$C$9, $D$9, 100%, $F$9) + CHOOSE(CONTROL!$C$27, 0.0021, 0)</f>
        <v>71.950699999999998</v>
      </c>
      <c r="L759" s="14"/>
    </row>
    <row r="760" spans="1:12" ht="15.75" x14ac:dyDescent="0.25">
      <c r="A760" s="32">
        <v>64070</v>
      </c>
      <c r="B760" s="14">
        <f>73.8527 * CHOOSE(CONTROL!$C$9, $D$9, 100%, $F$9) + CHOOSE(CONTROL!$C$27, 0.0021, 0)</f>
        <v>73.854799999999997</v>
      </c>
      <c r="C760" s="14">
        <f>73.4205 * CHOOSE(CONTROL!$C$9, $D$9, 100%, $F$9) + CHOOSE(CONTROL!$C$27, 0.0021, 0)</f>
        <v>73.422600000000003</v>
      </c>
      <c r="D760" s="14">
        <f>73.4205 * CHOOSE(CONTROL!$C$9, $D$9, 100%, $F$9) + CHOOSE(CONTROL!$C$27, 0.0021, 0)</f>
        <v>73.422600000000003</v>
      </c>
      <c r="E760" s="14">
        <f>73.2838 * CHOOSE(CONTROL!$C$9, $D$9, 100%, $F$9) + CHOOSE(CONTROL!$C$27, 0.0021, 0)</f>
        <v>73.285899999999998</v>
      </c>
      <c r="F760" s="14">
        <f>73.2838 * CHOOSE(CONTROL!$C$9, $D$9, 100%, $F$9) + CHOOSE(CONTROL!$C$27, 0.0021, 0)</f>
        <v>73.285899999999998</v>
      </c>
      <c r="G760" s="14">
        <f>73.5552 * CHOOSE(CONTROL!$C$9, $D$9, 100%, $F$9) + CHOOSE(CONTROL!$C$27, 0.0021, 0)</f>
        <v>73.557299999999998</v>
      </c>
      <c r="H760" s="14">
        <f>73.4205 * CHOOSE(CONTROL!$C$9, $D$9, 100%, $F$9) + CHOOSE(CONTROL!$C$27, 0.0021, 0)</f>
        <v>73.422600000000003</v>
      </c>
      <c r="I760" s="14">
        <f>73.4205 * CHOOSE(CONTROL!$C$9, $D$9, 100%, $F$9) + CHOOSE(CONTROL!$C$27, 0.0021, 0)</f>
        <v>73.422600000000003</v>
      </c>
      <c r="J760" s="14">
        <f>73.4205 * CHOOSE(CONTROL!$C$9, $D$9, 100%, $F$9) + CHOOSE(CONTROL!$C$27, 0.0021, 0)</f>
        <v>73.422600000000003</v>
      </c>
      <c r="K760" s="14">
        <f>73.4205 * CHOOSE(CONTROL!$C$9, $D$9, 100%, $F$9) + CHOOSE(CONTROL!$C$27, 0.0021, 0)</f>
        <v>73.422600000000003</v>
      </c>
      <c r="L760" s="14"/>
    </row>
    <row r="761" spans="1:12" ht="15.75" x14ac:dyDescent="0.25">
      <c r="A761" s="32">
        <v>64100</v>
      </c>
      <c r="B761" s="14">
        <f>74.7343 * CHOOSE(CONTROL!$C$9, $D$9, 100%, $F$9) + CHOOSE(CONTROL!$C$27, 0.0021, 0)</f>
        <v>74.736400000000003</v>
      </c>
      <c r="C761" s="14">
        <f>74.3021 * CHOOSE(CONTROL!$C$9, $D$9, 100%, $F$9) + CHOOSE(CONTROL!$C$27, 0.0021, 0)</f>
        <v>74.304199999999994</v>
      </c>
      <c r="D761" s="14">
        <f>74.3021 * CHOOSE(CONTROL!$C$9, $D$9, 100%, $F$9) + CHOOSE(CONTROL!$C$27, 0.0021, 0)</f>
        <v>74.304199999999994</v>
      </c>
      <c r="E761" s="14">
        <f>74.1654 * CHOOSE(CONTROL!$C$9, $D$9, 100%, $F$9) + CHOOSE(CONTROL!$C$27, 0.0021, 0)</f>
        <v>74.167500000000004</v>
      </c>
      <c r="F761" s="14">
        <f>74.1654 * CHOOSE(CONTROL!$C$9, $D$9, 100%, $F$9) + CHOOSE(CONTROL!$C$27, 0.0021, 0)</f>
        <v>74.167500000000004</v>
      </c>
      <c r="G761" s="14">
        <f>74.4368 * CHOOSE(CONTROL!$C$9, $D$9, 100%, $F$9) + CHOOSE(CONTROL!$C$27, 0.0021, 0)</f>
        <v>74.438900000000004</v>
      </c>
      <c r="H761" s="14">
        <f>74.3021 * CHOOSE(CONTROL!$C$9, $D$9, 100%, $F$9) + CHOOSE(CONTROL!$C$27, 0.0021, 0)</f>
        <v>74.304199999999994</v>
      </c>
      <c r="I761" s="14">
        <f>74.3021 * CHOOSE(CONTROL!$C$9, $D$9, 100%, $F$9) + CHOOSE(CONTROL!$C$27, 0.0021, 0)</f>
        <v>74.304199999999994</v>
      </c>
      <c r="J761" s="14">
        <f>74.3021 * CHOOSE(CONTROL!$C$9, $D$9, 100%, $F$9) + CHOOSE(CONTROL!$C$27, 0.0021, 0)</f>
        <v>74.304199999999994</v>
      </c>
      <c r="K761" s="14">
        <f>74.3021 * CHOOSE(CONTROL!$C$9, $D$9, 100%, $F$9) + CHOOSE(CONTROL!$C$27, 0.0021, 0)</f>
        <v>74.304199999999994</v>
      </c>
      <c r="L761" s="14"/>
    </row>
    <row r="762" spans="1:12" ht="15.75" x14ac:dyDescent="0.25">
      <c r="A762" s="32">
        <v>64131</v>
      </c>
      <c r="B762" s="14">
        <f>76.1887 * CHOOSE(CONTROL!$C$9, $D$9, 100%, $F$9) + CHOOSE(CONTROL!$C$27, 0.0021, 0)</f>
        <v>76.190799999999996</v>
      </c>
      <c r="C762" s="14">
        <f>75.7564 * CHOOSE(CONTROL!$C$9, $D$9, 100%, $F$9) + CHOOSE(CONTROL!$C$27, 0.0021, 0)</f>
        <v>75.758499999999998</v>
      </c>
      <c r="D762" s="14">
        <f>75.7564 * CHOOSE(CONTROL!$C$9, $D$9, 100%, $F$9) + CHOOSE(CONTROL!$C$27, 0.0021, 0)</f>
        <v>75.758499999999998</v>
      </c>
      <c r="E762" s="14">
        <f>75.6198 * CHOOSE(CONTROL!$C$9, $D$9, 100%, $F$9) + CHOOSE(CONTROL!$C$27, 0.0021, 0)</f>
        <v>75.621899999999997</v>
      </c>
      <c r="F762" s="14">
        <f>75.6198 * CHOOSE(CONTROL!$C$9, $D$9, 100%, $F$9) + CHOOSE(CONTROL!$C$27, 0.0021, 0)</f>
        <v>75.621899999999997</v>
      </c>
      <c r="G762" s="14">
        <f>75.8911 * CHOOSE(CONTROL!$C$9, $D$9, 100%, $F$9) + CHOOSE(CONTROL!$C$27, 0.0021, 0)</f>
        <v>75.893199999999993</v>
      </c>
      <c r="H762" s="14">
        <f>75.7564 * CHOOSE(CONTROL!$C$9, $D$9, 100%, $F$9) + CHOOSE(CONTROL!$C$27, 0.0021, 0)</f>
        <v>75.758499999999998</v>
      </c>
      <c r="I762" s="14">
        <f>75.7564 * CHOOSE(CONTROL!$C$9, $D$9, 100%, $F$9) + CHOOSE(CONTROL!$C$27, 0.0021, 0)</f>
        <v>75.758499999999998</v>
      </c>
      <c r="J762" s="14">
        <f>75.7564 * CHOOSE(CONTROL!$C$9, $D$9, 100%, $F$9) + CHOOSE(CONTROL!$C$27, 0.0021, 0)</f>
        <v>75.758499999999998</v>
      </c>
      <c r="K762" s="14">
        <f>75.7564 * CHOOSE(CONTROL!$C$9, $D$9, 100%, $F$9) + CHOOSE(CONTROL!$C$27, 0.0021, 0)</f>
        <v>75.758499999999998</v>
      </c>
      <c r="L762" s="14"/>
    </row>
    <row r="763" spans="1:12" ht="15.75" x14ac:dyDescent="0.25">
      <c r="A763" s="32">
        <v>64162</v>
      </c>
      <c r="B763" s="14">
        <f>76.6326 * CHOOSE(CONTROL!$C$9, $D$9, 100%, $F$9) + CHOOSE(CONTROL!$C$27, 0.0021, 0)</f>
        <v>76.634699999999995</v>
      </c>
      <c r="C763" s="14">
        <f>76.2003 * CHOOSE(CONTROL!$C$9, $D$9, 100%, $F$9) + CHOOSE(CONTROL!$C$27, 0.0021, 0)</f>
        <v>76.202399999999997</v>
      </c>
      <c r="D763" s="14">
        <f>76.2003 * CHOOSE(CONTROL!$C$9, $D$9, 100%, $F$9) + CHOOSE(CONTROL!$C$27, 0.0021, 0)</f>
        <v>76.202399999999997</v>
      </c>
      <c r="E763" s="14">
        <f>76.0637 * CHOOSE(CONTROL!$C$9, $D$9, 100%, $F$9) + CHOOSE(CONTROL!$C$27, 0.0021, 0)</f>
        <v>76.065799999999996</v>
      </c>
      <c r="F763" s="14">
        <f>76.0637 * CHOOSE(CONTROL!$C$9, $D$9, 100%, $F$9) + CHOOSE(CONTROL!$C$27, 0.0021, 0)</f>
        <v>76.065799999999996</v>
      </c>
      <c r="G763" s="14">
        <f>76.335 * CHOOSE(CONTROL!$C$9, $D$9, 100%, $F$9) + CHOOSE(CONTROL!$C$27, 0.0021, 0)</f>
        <v>76.337099999999992</v>
      </c>
      <c r="H763" s="14">
        <f>76.2003 * CHOOSE(CONTROL!$C$9, $D$9, 100%, $F$9) + CHOOSE(CONTROL!$C$27, 0.0021, 0)</f>
        <v>76.202399999999997</v>
      </c>
      <c r="I763" s="14">
        <f>76.2003 * CHOOSE(CONTROL!$C$9, $D$9, 100%, $F$9) + CHOOSE(CONTROL!$C$27, 0.0021, 0)</f>
        <v>76.202399999999997</v>
      </c>
      <c r="J763" s="14">
        <f>76.2003 * CHOOSE(CONTROL!$C$9, $D$9, 100%, $F$9) + CHOOSE(CONTROL!$C$27, 0.0021, 0)</f>
        <v>76.202399999999997</v>
      </c>
      <c r="K763" s="14">
        <f>76.2003 * CHOOSE(CONTROL!$C$9, $D$9, 100%, $F$9) + CHOOSE(CONTROL!$C$27, 0.0021, 0)</f>
        <v>76.202399999999997</v>
      </c>
      <c r="L763" s="14"/>
    </row>
    <row r="764" spans="1:12" ht="15.75" x14ac:dyDescent="0.25">
      <c r="A764" s="32">
        <v>64192</v>
      </c>
      <c r="B764" s="14">
        <f>78.1443 * CHOOSE(CONTROL!$C$9, $D$9, 100%, $F$9) + CHOOSE(CONTROL!$C$27, 0.0021, 0)</f>
        <v>78.1464</v>
      </c>
      <c r="C764" s="14">
        <f>77.712 * CHOOSE(CONTROL!$C$9, $D$9, 100%, $F$9) + CHOOSE(CONTROL!$C$27, 0.0021, 0)</f>
        <v>77.714100000000002</v>
      </c>
      <c r="D764" s="14">
        <f>77.712 * CHOOSE(CONTROL!$C$9, $D$9, 100%, $F$9) + CHOOSE(CONTROL!$C$27, 0.0021, 0)</f>
        <v>77.714100000000002</v>
      </c>
      <c r="E764" s="14">
        <f>77.5754 * CHOOSE(CONTROL!$C$9, $D$9, 100%, $F$9) + CHOOSE(CONTROL!$C$27, 0.0021, 0)</f>
        <v>77.577500000000001</v>
      </c>
      <c r="F764" s="14">
        <f>77.5754 * CHOOSE(CONTROL!$C$9, $D$9, 100%, $F$9) + CHOOSE(CONTROL!$C$27, 0.0021, 0)</f>
        <v>77.577500000000001</v>
      </c>
      <c r="G764" s="14">
        <f>77.8467 * CHOOSE(CONTROL!$C$9, $D$9, 100%, $F$9) + CHOOSE(CONTROL!$C$27, 0.0021, 0)</f>
        <v>77.848799999999997</v>
      </c>
      <c r="H764" s="14">
        <f>77.712 * CHOOSE(CONTROL!$C$9, $D$9, 100%, $F$9) + CHOOSE(CONTROL!$C$27, 0.0021, 0)</f>
        <v>77.714100000000002</v>
      </c>
      <c r="I764" s="14">
        <f>77.712 * CHOOSE(CONTROL!$C$9, $D$9, 100%, $F$9) + CHOOSE(CONTROL!$C$27, 0.0021, 0)</f>
        <v>77.714100000000002</v>
      </c>
      <c r="J764" s="14">
        <f>77.712 * CHOOSE(CONTROL!$C$9, $D$9, 100%, $F$9) + CHOOSE(CONTROL!$C$27, 0.0021, 0)</f>
        <v>77.714100000000002</v>
      </c>
      <c r="K764" s="14">
        <f>77.712 * CHOOSE(CONTROL!$C$9, $D$9, 100%, $F$9) + CHOOSE(CONTROL!$C$27, 0.0021, 0)</f>
        <v>77.714100000000002</v>
      </c>
      <c r="L764" s="14"/>
    </row>
    <row r="765" spans="1:12" ht="15.75" x14ac:dyDescent="0.25">
      <c r="A765" s="32">
        <v>64223</v>
      </c>
      <c r="B765" s="14">
        <f>80.0578 * CHOOSE(CONTROL!$C$9, $D$9, 100%, $F$9) + CHOOSE(CONTROL!$C$27, 0.0021, 0)</f>
        <v>80.059899999999999</v>
      </c>
      <c r="C765" s="14">
        <f>79.6256 * CHOOSE(CONTROL!$C$9, $D$9, 100%, $F$9) + CHOOSE(CONTROL!$C$27, 0.0021, 0)</f>
        <v>79.627700000000004</v>
      </c>
      <c r="D765" s="14">
        <f>79.6256 * CHOOSE(CONTROL!$C$9, $D$9, 100%, $F$9) + CHOOSE(CONTROL!$C$27, 0.0021, 0)</f>
        <v>79.627700000000004</v>
      </c>
      <c r="E765" s="14">
        <f>79.4889 * CHOOSE(CONTROL!$C$9, $D$9, 100%, $F$9) + CHOOSE(CONTROL!$C$27, 0.0021, 0)</f>
        <v>79.491</v>
      </c>
      <c r="F765" s="14">
        <f>79.4889 * CHOOSE(CONTROL!$C$9, $D$9, 100%, $F$9) + CHOOSE(CONTROL!$C$27, 0.0021, 0)</f>
        <v>79.491</v>
      </c>
      <c r="G765" s="14">
        <f>79.7603 * CHOOSE(CONTROL!$C$9, $D$9, 100%, $F$9) + CHOOSE(CONTROL!$C$27, 0.0021, 0)</f>
        <v>79.7624</v>
      </c>
      <c r="H765" s="14">
        <f>79.6256 * CHOOSE(CONTROL!$C$9, $D$9, 100%, $F$9) + CHOOSE(CONTROL!$C$27, 0.0021, 0)</f>
        <v>79.627700000000004</v>
      </c>
      <c r="I765" s="14">
        <f>79.6256 * CHOOSE(CONTROL!$C$9, $D$9, 100%, $F$9) + CHOOSE(CONTROL!$C$27, 0.0021, 0)</f>
        <v>79.627700000000004</v>
      </c>
      <c r="J765" s="14">
        <f>79.6256 * CHOOSE(CONTROL!$C$9, $D$9, 100%, $F$9) + CHOOSE(CONTROL!$C$27, 0.0021, 0)</f>
        <v>79.627700000000004</v>
      </c>
      <c r="K765" s="14">
        <f>79.6256 * CHOOSE(CONTROL!$C$9, $D$9, 100%, $F$9) + CHOOSE(CONTROL!$C$27, 0.0021, 0)</f>
        <v>79.627700000000004</v>
      </c>
      <c r="L765" s="14"/>
    </row>
    <row r="766" spans="1:12" ht="15.75" x14ac:dyDescent="0.25">
      <c r="A766" s="32">
        <v>64253</v>
      </c>
      <c r="B766" s="14">
        <f>80.2375 * CHOOSE(CONTROL!$C$9, $D$9, 100%, $F$9) + CHOOSE(CONTROL!$C$27, 0.0021, 0)</f>
        <v>80.239599999999996</v>
      </c>
      <c r="C766" s="14">
        <f>79.8052 * CHOOSE(CONTROL!$C$9, $D$9, 100%, $F$9) + CHOOSE(CONTROL!$C$27, 0.0021, 0)</f>
        <v>79.807299999999998</v>
      </c>
      <c r="D766" s="14">
        <f>79.8052 * CHOOSE(CONTROL!$C$9, $D$9, 100%, $F$9) + CHOOSE(CONTROL!$C$27, 0.0021, 0)</f>
        <v>79.807299999999998</v>
      </c>
      <c r="E766" s="14">
        <f>79.6686 * CHOOSE(CONTROL!$C$9, $D$9, 100%, $F$9) + CHOOSE(CONTROL!$C$27, 0.0021, 0)</f>
        <v>79.670699999999997</v>
      </c>
      <c r="F766" s="14">
        <f>79.6686 * CHOOSE(CONTROL!$C$9, $D$9, 100%, $F$9) + CHOOSE(CONTROL!$C$27, 0.0021, 0)</f>
        <v>79.670699999999997</v>
      </c>
      <c r="G766" s="14">
        <f>79.9399 * CHOOSE(CONTROL!$C$9, $D$9, 100%, $F$9) + CHOOSE(CONTROL!$C$27, 0.0021, 0)</f>
        <v>79.941999999999993</v>
      </c>
      <c r="H766" s="14">
        <f>79.8052 * CHOOSE(CONTROL!$C$9, $D$9, 100%, $F$9) + CHOOSE(CONTROL!$C$27, 0.0021, 0)</f>
        <v>79.807299999999998</v>
      </c>
      <c r="I766" s="14">
        <f>79.8052 * CHOOSE(CONTROL!$C$9, $D$9, 100%, $F$9) + CHOOSE(CONTROL!$C$27, 0.0021, 0)</f>
        <v>79.807299999999998</v>
      </c>
      <c r="J766" s="14">
        <f>79.8052 * CHOOSE(CONTROL!$C$9, $D$9, 100%, $F$9) + CHOOSE(CONTROL!$C$27, 0.0021, 0)</f>
        <v>79.807299999999998</v>
      </c>
      <c r="K766" s="14">
        <f>79.8052 * CHOOSE(CONTROL!$C$9, $D$9, 100%, $F$9) + CHOOSE(CONTROL!$C$27, 0.0021, 0)</f>
        <v>79.807299999999998</v>
      </c>
      <c r="L766" s="14"/>
    </row>
    <row r="767" spans="1:12" ht="15.75" x14ac:dyDescent="0.25">
      <c r="A767" s="32">
        <v>64284</v>
      </c>
      <c r="B767" s="14">
        <f>78.7092 * CHOOSE(CONTROL!$C$9, $D$9, 100%, $F$9) + CHOOSE(CONTROL!$C$27, 0.0021, 0)</f>
        <v>78.711299999999994</v>
      </c>
      <c r="C767" s="14">
        <f>78.2769 * CHOOSE(CONTROL!$C$9, $D$9, 100%, $F$9) + CHOOSE(CONTROL!$C$27, 0.0021, 0)</f>
        <v>78.278999999999996</v>
      </c>
      <c r="D767" s="14">
        <f>78.2769 * CHOOSE(CONTROL!$C$9, $D$9, 100%, $F$9) + CHOOSE(CONTROL!$C$27, 0.0021, 0)</f>
        <v>78.278999999999996</v>
      </c>
      <c r="E767" s="14">
        <f>78.1403 * CHOOSE(CONTROL!$C$9, $D$9, 100%, $F$9) + CHOOSE(CONTROL!$C$27, 0.0021, 0)</f>
        <v>78.142399999999995</v>
      </c>
      <c r="F767" s="14">
        <f>78.1403 * CHOOSE(CONTROL!$C$9, $D$9, 100%, $F$9) + CHOOSE(CONTROL!$C$27, 0.0021, 0)</f>
        <v>78.142399999999995</v>
      </c>
      <c r="G767" s="14">
        <f>78.4116 * CHOOSE(CONTROL!$C$9, $D$9, 100%, $F$9) + CHOOSE(CONTROL!$C$27, 0.0021, 0)</f>
        <v>78.413700000000006</v>
      </c>
      <c r="H767" s="14">
        <f>78.2769 * CHOOSE(CONTROL!$C$9, $D$9, 100%, $F$9) + CHOOSE(CONTROL!$C$27, 0.0021, 0)</f>
        <v>78.278999999999996</v>
      </c>
      <c r="I767" s="14">
        <f>78.2769 * CHOOSE(CONTROL!$C$9, $D$9, 100%, $F$9) + CHOOSE(CONTROL!$C$27, 0.0021, 0)</f>
        <v>78.278999999999996</v>
      </c>
      <c r="J767" s="14">
        <f>78.2769 * CHOOSE(CONTROL!$C$9, $D$9, 100%, $F$9) + CHOOSE(CONTROL!$C$27, 0.0021, 0)</f>
        <v>78.278999999999996</v>
      </c>
      <c r="K767" s="14">
        <f>78.2769 * CHOOSE(CONTROL!$C$9, $D$9, 100%, $F$9) + CHOOSE(CONTROL!$C$27, 0.0021, 0)</f>
        <v>78.278999999999996</v>
      </c>
      <c r="L767" s="14"/>
    </row>
    <row r="768" spans="1:12" ht="15.75" x14ac:dyDescent="0.25">
      <c r="A768" s="32">
        <v>64315</v>
      </c>
      <c r="B768" s="14">
        <f>77.7079 * CHOOSE(CONTROL!$C$9, $D$9, 100%, $F$9) + CHOOSE(CONTROL!$C$27, 0.0021, 0)</f>
        <v>77.709999999999994</v>
      </c>
      <c r="C768" s="14">
        <f>77.2757 * CHOOSE(CONTROL!$C$9, $D$9, 100%, $F$9) + CHOOSE(CONTROL!$C$27, 0.0021, 0)</f>
        <v>77.277799999999999</v>
      </c>
      <c r="D768" s="14">
        <f>77.2757 * CHOOSE(CONTROL!$C$9, $D$9, 100%, $F$9) + CHOOSE(CONTROL!$C$27, 0.0021, 0)</f>
        <v>77.277799999999999</v>
      </c>
      <c r="E768" s="14">
        <f>77.139 * CHOOSE(CONTROL!$C$9, $D$9, 100%, $F$9) + CHOOSE(CONTROL!$C$27, 0.0021, 0)</f>
        <v>77.141099999999994</v>
      </c>
      <c r="F768" s="14">
        <f>77.139 * CHOOSE(CONTROL!$C$9, $D$9, 100%, $F$9) + CHOOSE(CONTROL!$C$27, 0.0021, 0)</f>
        <v>77.141099999999994</v>
      </c>
      <c r="G768" s="14">
        <f>77.4104 * CHOOSE(CONTROL!$C$9, $D$9, 100%, $F$9) + CHOOSE(CONTROL!$C$27, 0.0021, 0)</f>
        <v>77.412499999999994</v>
      </c>
      <c r="H768" s="14">
        <f>77.2757 * CHOOSE(CONTROL!$C$9, $D$9, 100%, $F$9) + CHOOSE(CONTROL!$C$27, 0.0021, 0)</f>
        <v>77.277799999999999</v>
      </c>
      <c r="I768" s="14">
        <f>77.2757 * CHOOSE(CONTROL!$C$9, $D$9, 100%, $F$9) + CHOOSE(CONTROL!$C$27, 0.0021, 0)</f>
        <v>77.277799999999999</v>
      </c>
      <c r="J768" s="14">
        <f>77.2757 * CHOOSE(CONTROL!$C$9, $D$9, 100%, $F$9) + CHOOSE(CONTROL!$C$27, 0.0021, 0)</f>
        <v>77.277799999999999</v>
      </c>
      <c r="K768" s="14">
        <f>77.2757 * CHOOSE(CONTROL!$C$9, $D$9, 100%, $F$9) + CHOOSE(CONTROL!$C$27, 0.0021, 0)</f>
        <v>77.277799999999999</v>
      </c>
      <c r="L768" s="14"/>
    </row>
    <row r="769" spans="1:12" ht="15.75" x14ac:dyDescent="0.25">
      <c r="A769" s="32">
        <v>64344</v>
      </c>
      <c r="B769" s="14">
        <f>75.5748 * CHOOSE(CONTROL!$C$9, $D$9, 100%, $F$9) + CHOOSE(CONTROL!$C$27, 0.0021, 0)</f>
        <v>75.576899999999995</v>
      </c>
      <c r="C769" s="14">
        <f>75.1425 * CHOOSE(CONTROL!$C$9, $D$9, 100%, $F$9) + CHOOSE(CONTROL!$C$27, 0.0021, 0)</f>
        <v>75.144599999999997</v>
      </c>
      <c r="D769" s="14">
        <f>75.1425 * CHOOSE(CONTROL!$C$9, $D$9, 100%, $F$9) + CHOOSE(CONTROL!$C$27, 0.0021, 0)</f>
        <v>75.144599999999997</v>
      </c>
      <c r="E769" s="14">
        <f>75.0059 * CHOOSE(CONTROL!$C$9, $D$9, 100%, $F$9) + CHOOSE(CONTROL!$C$27, 0.0021, 0)</f>
        <v>75.007999999999996</v>
      </c>
      <c r="F769" s="14">
        <f>75.0059 * CHOOSE(CONTROL!$C$9, $D$9, 100%, $F$9) + CHOOSE(CONTROL!$C$27, 0.0021, 0)</f>
        <v>75.007999999999996</v>
      </c>
      <c r="G769" s="14">
        <f>75.2772 * CHOOSE(CONTROL!$C$9, $D$9, 100%, $F$9) + CHOOSE(CONTROL!$C$27, 0.0021, 0)</f>
        <v>75.279299999999992</v>
      </c>
      <c r="H769" s="14">
        <f>75.1425 * CHOOSE(CONTROL!$C$9, $D$9, 100%, $F$9) + CHOOSE(CONTROL!$C$27, 0.0021, 0)</f>
        <v>75.144599999999997</v>
      </c>
      <c r="I769" s="14">
        <f>75.1425 * CHOOSE(CONTROL!$C$9, $D$9, 100%, $F$9) + CHOOSE(CONTROL!$C$27, 0.0021, 0)</f>
        <v>75.144599999999997</v>
      </c>
      <c r="J769" s="14">
        <f>75.1425 * CHOOSE(CONTROL!$C$9, $D$9, 100%, $F$9) + CHOOSE(CONTROL!$C$27, 0.0021, 0)</f>
        <v>75.144599999999997</v>
      </c>
      <c r="K769" s="14">
        <f>75.1425 * CHOOSE(CONTROL!$C$9, $D$9, 100%, $F$9) + CHOOSE(CONTROL!$C$27, 0.0021, 0)</f>
        <v>75.144599999999997</v>
      </c>
      <c r="L769" s="14"/>
    </row>
    <row r="770" spans="1:12" ht="15.75" x14ac:dyDescent="0.25">
      <c r="A770" s="32">
        <v>64375</v>
      </c>
      <c r="B770" s="14">
        <f>74.6942 * CHOOSE(CONTROL!$C$9, $D$9, 100%, $F$9) + CHOOSE(CONTROL!$C$27, 0.0021, 0)</f>
        <v>74.696299999999994</v>
      </c>
      <c r="C770" s="14">
        <f>74.262 * CHOOSE(CONTROL!$C$9, $D$9, 100%, $F$9) + CHOOSE(CONTROL!$C$27, 0.0021, 0)</f>
        <v>74.264099999999999</v>
      </c>
      <c r="D770" s="14">
        <f>74.262 * CHOOSE(CONTROL!$C$9, $D$9, 100%, $F$9) + CHOOSE(CONTROL!$C$27, 0.0021, 0)</f>
        <v>74.264099999999999</v>
      </c>
      <c r="E770" s="14">
        <f>74.1253 * CHOOSE(CONTROL!$C$9, $D$9, 100%, $F$9) + CHOOSE(CONTROL!$C$27, 0.0021, 0)</f>
        <v>74.127399999999994</v>
      </c>
      <c r="F770" s="14">
        <f>74.1253 * CHOOSE(CONTROL!$C$9, $D$9, 100%, $F$9) + CHOOSE(CONTROL!$C$27, 0.0021, 0)</f>
        <v>74.127399999999994</v>
      </c>
      <c r="G770" s="14">
        <f>74.3967 * CHOOSE(CONTROL!$C$9, $D$9, 100%, $F$9) + CHOOSE(CONTROL!$C$27, 0.0021, 0)</f>
        <v>74.398799999999994</v>
      </c>
      <c r="H770" s="14">
        <f>74.262 * CHOOSE(CONTROL!$C$9, $D$9, 100%, $F$9) + CHOOSE(CONTROL!$C$27, 0.0021, 0)</f>
        <v>74.264099999999999</v>
      </c>
      <c r="I770" s="14">
        <f>74.262 * CHOOSE(CONTROL!$C$9, $D$9, 100%, $F$9) + CHOOSE(CONTROL!$C$27, 0.0021, 0)</f>
        <v>74.264099999999999</v>
      </c>
      <c r="J770" s="14">
        <f>74.262 * CHOOSE(CONTROL!$C$9, $D$9, 100%, $F$9) + CHOOSE(CONTROL!$C$27, 0.0021, 0)</f>
        <v>74.264099999999999</v>
      </c>
      <c r="K770" s="14">
        <f>74.262 * CHOOSE(CONTROL!$C$9, $D$9, 100%, $F$9) + CHOOSE(CONTROL!$C$27, 0.0021, 0)</f>
        <v>74.264099999999999</v>
      </c>
      <c r="L770" s="14"/>
    </row>
    <row r="771" spans="1:12" ht="15.75" x14ac:dyDescent="0.25">
      <c r="A771" s="32">
        <v>64405</v>
      </c>
      <c r="B771" s="14">
        <f>73.6428 * CHOOSE(CONTROL!$C$9, $D$9, 100%, $F$9) + CHOOSE(CONTROL!$C$27, 0.0021, 0)</f>
        <v>73.644899999999993</v>
      </c>
      <c r="C771" s="14">
        <f>73.2105 * CHOOSE(CONTROL!$C$9, $D$9, 100%, $F$9) + CHOOSE(CONTROL!$C$27, 0.0021, 0)</f>
        <v>73.212599999999995</v>
      </c>
      <c r="D771" s="14">
        <f>73.2105 * CHOOSE(CONTROL!$C$9, $D$9, 100%, $F$9) + CHOOSE(CONTROL!$C$27, 0.0021, 0)</f>
        <v>73.212599999999995</v>
      </c>
      <c r="E771" s="14">
        <f>73.0739 * CHOOSE(CONTROL!$C$9, $D$9, 100%, $F$9) + CHOOSE(CONTROL!$C$27, 0.0021, 0)</f>
        <v>73.075999999999993</v>
      </c>
      <c r="F771" s="14">
        <f>73.0739 * CHOOSE(CONTROL!$C$9, $D$9, 100%, $F$9) + CHOOSE(CONTROL!$C$27, 0.0021, 0)</f>
        <v>73.075999999999993</v>
      </c>
      <c r="G771" s="14">
        <f>73.3453 * CHOOSE(CONTROL!$C$9, $D$9, 100%, $F$9) + CHOOSE(CONTROL!$C$27, 0.0021, 0)</f>
        <v>73.347399999999993</v>
      </c>
      <c r="H771" s="14">
        <f>73.2105 * CHOOSE(CONTROL!$C$9, $D$9, 100%, $F$9) + CHOOSE(CONTROL!$C$27, 0.0021, 0)</f>
        <v>73.212599999999995</v>
      </c>
      <c r="I771" s="14">
        <f>73.2105 * CHOOSE(CONTROL!$C$9, $D$9, 100%, $F$9) + CHOOSE(CONTROL!$C$27, 0.0021, 0)</f>
        <v>73.212599999999995</v>
      </c>
      <c r="J771" s="14">
        <f>73.2105 * CHOOSE(CONTROL!$C$9, $D$9, 100%, $F$9) + CHOOSE(CONTROL!$C$27, 0.0021, 0)</f>
        <v>73.212599999999995</v>
      </c>
      <c r="K771" s="14">
        <f>73.2105 * CHOOSE(CONTROL!$C$9, $D$9, 100%, $F$9) + CHOOSE(CONTROL!$C$27, 0.0021, 0)</f>
        <v>73.212599999999995</v>
      </c>
      <c r="L771" s="14"/>
    </row>
    <row r="772" spans="1:12" ht="15.75" x14ac:dyDescent="0.25">
      <c r="A772" s="32">
        <v>64436</v>
      </c>
      <c r="B772" s="14">
        <f>75.1412 * CHOOSE(CONTROL!$C$9, $D$9, 100%, $F$9) + CHOOSE(CONTROL!$C$27, 0.0021, 0)</f>
        <v>75.143299999999996</v>
      </c>
      <c r="C772" s="14">
        <f>74.7089 * CHOOSE(CONTROL!$C$9, $D$9, 100%, $F$9) + CHOOSE(CONTROL!$C$27, 0.0021, 0)</f>
        <v>74.710999999999999</v>
      </c>
      <c r="D772" s="14">
        <f>74.7089 * CHOOSE(CONTROL!$C$9, $D$9, 100%, $F$9) + CHOOSE(CONTROL!$C$27, 0.0021, 0)</f>
        <v>74.710999999999999</v>
      </c>
      <c r="E772" s="14">
        <f>74.5723 * CHOOSE(CONTROL!$C$9, $D$9, 100%, $F$9) + CHOOSE(CONTROL!$C$27, 0.0021, 0)</f>
        <v>74.574399999999997</v>
      </c>
      <c r="F772" s="14">
        <f>74.5723 * CHOOSE(CONTROL!$C$9, $D$9, 100%, $F$9) + CHOOSE(CONTROL!$C$27, 0.0021, 0)</f>
        <v>74.574399999999997</v>
      </c>
      <c r="G772" s="14">
        <f>74.8436 * CHOOSE(CONTROL!$C$9, $D$9, 100%, $F$9) + CHOOSE(CONTROL!$C$27, 0.0021, 0)</f>
        <v>74.845699999999994</v>
      </c>
      <c r="H772" s="14">
        <f>74.7089 * CHOOSE(CONTROL!$C$9, $D$9, 100%, $F$9) + CHOOSE(CONTROL!$C$27, 0.0021, 0)</f>
        <v>74.710999999999999</v>
      </c>
      <c r="I772" s="14">
        <f>74.7089 * CHOOSE(CONTROL!$C$9, $D$9, 100%, $F$9) + CHOOSE(CONTROL!$C$27, 0.0021, 0)</f>
        <v>74.710999999999999</v>
      </c>
      <c r="J772" s="14">
        <f>74.7089 * CHOOSE(CONTROL!$C$9, $D$9, 100%, $F$9) + CHOOSE(CONTROL!$C$27, 0.0021, 0)</f>
        <v>74.710999999999999</v>
      </c>
      <c r="K772" s="14">
        <f>74.7089 * CHOOSE(CONTROL!$C$9, $D$9, 100%, $F$9) + CHOOSE(CONTROL!$C$27, 0.0021, 0)</f>
        <v>74.710999999999999</v>
      </c>
      <c r="L772" s="14"/>
    </row>
    <row r="773" spans="1:12" ht="15.75" x14ac:dyDescent="0.25">
      <c r="A773" s="32">
        <v>64466</v>
      </c>
      <c r="B773" s="14">
        <f>76.0387 * CHOOSE(CONTROL!$C$9, $D$9, 100%, $F$9) + CHOOSE(CONTROL!$C$27, 0.0021, 0)</f>
        <v>76.040800000000004</v>
      </c>
      <c r="C773" s="14">
        <f>75.6064 * CHOOSE(CONTROL!$C$9, $D$9, 100%, $F$9) + CHOOSE(CONTROL!$C$27, 0.0021, 0)</f>
        <v>75.608499999999992</v>
      </c>
      <c r="D773" s="14">
        <f>75.6064 * CHOOSE(CONTROL!$C$9, $D$9, 100%, $F$9) + CHOOSE(CONTROL!$C$27, 0.0021, 0)</f>
        <v>75.608499999999992</v>
      </c>
      <c r="E773" s="14">
        <f>75.4697 * CHOOSE(CONTROL!$C$9, $D$9, 100%, $F$9) + CHOOSE(CONTROL!$C$27, 0.0021, 0)</f>
        <v>75.471800000000002</v>
      </c>
      <c r="F773" s="14">
        <f>75.4697 * CHOOSE(CONTROL!$C$9, $D$9, 100%, $F$9) + CHOOSE(CONTROL!$C$27, 0.0021, 0)</f>
        <v>75.471800000000002</v>
      </c>
      <c r="G773" s="14">
        <f>75.7411 * CHOOSE(CONTROL!$C$9, $D$9, 100%, $F$9) + CHOOSE(CONTROL!$C$27, 0.0021, 0)</f>
        <v>75.743200000000002</v>
      </c>
      <c r="H773" s="14">
        <f>75.6064 * CHOOSE(CONTROL!$C$9, $D$9, 100%, $F$9) + CHOOSE(CONTROL!$C$27, 0.0021, 0)</f>
        <v>75.608499999999992</v>
      </c>
      <c r="I773" s="14">
        <f>75.6064 * CHOOSE(CONTROL!$C$9, $D$9, 100%, $F$9) + CHOOSE(CONTROL!$C$27, 0.0021, 0)</f>
        <v>75.608499999999992</v>
      </c>
      <c r="J773" s="14">
        <f>75.6064 * CHOOSE(CONTROL!$C$9, $D$9, 100%, $F$9) + CHOOSE(CONTROL!$C$27, 0.0021, 0)</f>
        <v>75.608499999999992</v>
      </c>
      <c r="K773" s="14">
        <f>75.6064 * CHOOSE(CONTROL!$C$9, $D$9, 100%, $F$9) + CHOOSE(CONTROL!$C$27, 0.0021, 0)</f>
        <v>75.608499999999992</v>
      </c>
      <c r="L773" s="14"/>
    </row>
    <row r="774" spans="1:12" ht="15.75" x14ac:dyDescent="0.25">
      <c r="A774" s="32">
        <v>64497</v>
      </c>
      <c r="B774" s="14">
        <f>77.5192 * CHOOSE(CONTROL!$C$9, $D$9, 100%, $F$9) + CHOOSE(CONTROL!$C$27, 0.0021, 0)</f>
        <v>77.521299999999997</v>
      </c>
      <c r="C774" s="14">
        <f>77.0869 * CHOOSE(CONTROL!$C$9, $D$9, 100%, $F$9) + CHOOSE(CONTROL!$C$27, 0.0021, 0)</f>
        <v>77.088999999999999</v>
      </c>
      <c r="D774" s="14">
        <f>77.0869 * CHOOSE(CONTROL!$C$9, $D$9, 100%, $F$9) + CHOOSE(CONTROL!$C$27, 0.0021, 0)</f>
        <v>77.088999999999999</v>
      </c>
      <c r="E774" s="14">
        <f>76.9503 * CHOOSE(CONTROL!$C$9, $D$9, 100%, $F$9) + CHOOSE(CONTROL!$C$27, 0.0021, 0)</f>
        <v>76.952399999999997</v>
      </c>
      <c r="F774" s="14">
        <f>76.9503 * CHOOSE(CONTROL!$C$9, $D$9, 100%, $F$9) + CHOOSE(CONTROL!$C$27, 0.0021, 0)</f>
        <v>76.952399999999997</v>
      </c>
      <c r="G774" s="14">
        <f>77.2216 * CHOOSE(CONTROL!$C$9, $D$9, 100%, $F$9) + CHOOSE(CONTROL!$C$27, 0.0021, 0)</f>
        <v>77.223699999999994</v>
      </c>
      <c r="H774" s="14">
        <f>77.0869 * CHOOSE(CONTROL!$C$9, $D$9, 100%, $F$9) + CHOOSE(CONTROL!$C$27, 0.0021, 0)</f>
        <v>77.088999999999999</v>
      </c>
      <c r="I774" s="14">
        <f>77.0869 * CHOOSE(CONTROL!$C$9, $D$9, 100%, $F$9) + CHOOSE(CONTROL!$C$27, 0.0021, 0)</f>
        <v>77.088999999999999</v>
      </c>
      <c r="J774" s="14">
        <f>77.0869 * CHOOSE(CONTROL!$C$9, $D$9, 100%, $F$9) + CHOOSE(CONTROL!$C$27, 0.0021, 0)</f>
        <v>77.088999999999999</v>
      </c>
      <c r="K774" s="14">
        <f>77.0869 * CHOOSE(CONTROL!$C$9, $D$9, 100%, $F$9) + CHOOSE(CONTROL!$C$27, 0.0021, 0)</f>
        <v>77.088999999999999</v>
      </c>
      <c r="L774" s="14"/>
    </row>
    <row r="775" spans="1:12" ht="15.75" x14ac:dyDescent="0.25">
      <c r="A775" s="32">
        <v>64528</v>
      </c>
      <c r="B775" s="14">
        <f>77.9711 * CHOOSE(CONTROL!$C$9, $D$9, 100%, $F$9) + CHOOSE(CONTROL!$C$27, 0.0021, 0)</f>
        <v>77.973200000000006</v>
      </c>
      <c r="C775" s="14">
        <f>77.5388 * CHOOSE(CONTROL!$C$9, $D$9, 100%, $F$9) + CHOOSE(CONTROL!$C$27, 0.0021, 0)</f>
        <v>77.540899999999993</v>
      </c>
      <c r="D775" s="14">
        <f>77.5388 * CHOOSE(CONTROL!$C$9, $D$9, 100%, $F$9) + CHOOSE(CONTROL!$C$27, 0.0021, 0)</f>
        <v>77.540899999999993</v>
      </c>
      <c r="E775" s="14">
        <f>77.4021 * CHOOSE(CONTROL!$C$9, $D$9, 100%, $F$9) + CHOOSE(CONTROL!$C$27, 0.0021, 0)</f>
        <v>77.404200000000003</v>
      </c>
      <c r="F775" s="14">
        <f>77.4021 * CHOOSE(CONTROL!$C$9, $D$9, 100%, $F$9) + CHOOSE(CONTROL!$C$27, 0.0021, 0)</f>
        <v>77.404200000000003</v>
      </c>
      <c r="G775" s="14">
        <f>77.6735 * CHOOSE(CONTROL!$C$9, $D$9, 100%, $F$9) + CHOOSE(CONTROL!$C$27, 0.0021, 0)</f>
        <v>77.675600000000003</v>
      </c>
      <c r="H775" s="14">
        <f>77.5388 * CHOOSE(CONTROL!$C$9, $D$9, 100%, $F$9) + CHOOSE(CONTROL!$C$27, 0.0021, 0)</f>
        <v>77.540899999999993</v>
      </c>
      <c r="I775" s="14">
        <f>77.5388 * CHOOSE(CONTROL!$C$9, $D$9, 100%, $F$9) + CHOOSE(CONTROL!$C$27, 0.0021, 0)</f>
        <v>77.540899999999993</v>
      </c>
      <c r="J775" s="14">
        <f>77.5388 * CHOOSE(CONTROL!$C$9, $D$9, 100%, $F$9) + CHOOSE(CONTROL!$C$27, 0.0021, 0)</f>
        <v>77.540899999999993</v>
      </c>
      <c r="K775" s="14">
        <f>77.5388 * CHOOSE(CONTROL!$C$9, $D$9, 100%, $F$9) + CHOOSE(CONTROL!$C$27, 0.0021, 0)</f>
        <v>77.540899999999993</v>
      </c>
      <c r="L775" s="14"/>
    </row>
    <row r="776" spans="1:12" ht="15.75" x14ac:dyDescent="0.25">
      <c r="A776" s="32">
        <v>64558</v>
      </c>
      <c r="B776" s="14">
        <f>79.51 * CHOOSE(CONTROL!$C$9, $D$9, 100%, $F$9) + CHOOSE(CONTROL!$C$27, 0.0021, 0)</f>
        <v>79.512100000000004</v>
      </c>
      <c r="C776" s="14">
        <f>79.0777 * CHOOSE(CONTROL!$C$9, $D$9, 100%, $F$9) + CHOOSE(CONTROL!$C$27, 0.0021, 0)</f>
        <v>79.079799999999992</v>
      </c>
      <c r="D776" s="14">
        <f>79.0777 * CHOOSE(CONTROL!$C$9, $D$9, 100%, $F$9) + CHOOSE(CONTROL!$C$27, 0.0021, 0)</f>
        <v>79.079799999999992</v>
      </c>
      <c r="E776" s="14">
        <f>78.9411 * CHOOSE(CONTROL!$C$9, $D$9, 100%, $F$9) + CHOOSE(CONTROL!$C$27, 0.0021, 0)</f>
        <v>78.943200000000004</v>
      </c>
      <c r="F776" s="14">
        <f>78.9411 * CHOOSE(CONTROL!$C$9, $D$9, 100%, $F$9) + CHOOSE(CONTROL!$C$27, 0.0021, 0)</f>
        <v>78.943200000000004</v>
      </c>
      <c r="G776" s="14">
        <f>79.2125 * CHOOSE(CONTROL!$C$9, $D$9, 100%, $F$9) + CHOOSE(CONTROL!$C$27, 0.0021, 0)</f>
        <v>79.214600000000004</v>
      </c>
      <c r="H776" s="14">
        <f>79.0777 * CHOOSE(CONTROL!$C$9, $D$9, 100%, $F$9) + CHOOSE(CONTROL!$C$27, 0.0021, 0)</f>
        <v>79.079799999999992</v>
      </c>
      <c r="I776" s="14">
        <f>79.0777 * CHOOSE(CONTROL!$C$9, $D$9, 100%, $F$9) + CHOOSE(CONTROL!$C$27, 0.0021, 0)</f>
        <v>79.079799999999992</v>
      </c>
      <c r="J776" s="14">
        <f>79.0777 * CHOOSE(CONTROL!$C$9, $D$9, 100%, $F$9) + CHOOSE(CONTROL!$C$27, 0.0021, 0)</f>
        <v>79.079799999999992</v>
      </c>
      <c r="K776" s="14">
        <f>79.0777 * CHOOSE(CONTROL!$C$9, $D$9, 100%, $F$9) + CHOOSE(CONTROL!$C$27, 0.0021, 0)</f>
        <v>79.079799999999992</v>
      </c>
      <c r="L776" s="14"/>
    </row>
    <row r="777" spans="1:12" ht="15.75" x14ac:dyDescent="0.25">
      <c r="A777" s="32">
        <v>64589</v>
      </c>
      <c r="B777" s="14">
        <f>81.458 * CHOOSE(CONTROL!$C$9, $D$9, 100%, $F$9) + CHOOSE(CONTROL!$C$27, 0.0021, 0)</f>
        <v>81.460099999999997</v>
      </c>
      <c r="C777" s="14">
        <f>81.0257 * CHOOSE(CONTROL!$C$9, $D$9, 100%, $F$9) + CHOOSE(CONTROL!$C$27, 0.0021, 0)</f>
        <v>81.027799999999999</v>
      </c>
      <c r="D777" s="14">
        <f>81.0257 * CHOOSE(CONTROL!$C$9, $D$9, 100%, $F$9) + CHOOSE(CONTROL!$C$27, 0.0021, 0)</f>
        <v>81.027799999999999</v>
      </c>
      <c r="E777" s="14">
        <f>80.8891 * CHOOSE(CONTROL!$C$9, $D$9, 100%, $F$9) + CHOOSE(CONTROL!$C$27, 0.0021, 0)</f>
        <v>80.891199999999998</v>
      </c>
      <c r="F777" s="14">
        <f>80.8891 * CHOOSE(CONTROL!$C$9, $D$9, 100%, $F$9) + CHOOSE(CONTROL!$C$27, 0.0021, 0)</f>
        <v>80.891199999999998</v>
      </c>
      <c r="G777" s="14">
        <f>81.1605 * CHOOSE(CONTROL!$C$9, $D$9, 100%, $F$9) + CHOOSE(CONTROL!$C$27, 0.0021, 0)</f>
        <v>81.162599999999998</v>
      </c>
      <c r="H777" s="14">
        <f>81.0257 * CHOOSE(CONTROL!$C$9, $D$9, 100%, $F$9) + CHOOSE(CONTROL!$C$27, 0.0021, 0)</f>
        <v>81.027799999999999</v>
      </c>
      <c r="I777" s="14">
        <f>81.0257 * CHOOSE(CONTROL!$C$9, $D$9, 100%, $F$9) + CHOOSE(CONTROL!$C$27, 0.0021, 0)</f>
        <v>81.027799999999999</v>
      </c>
      <c r="J777" s="14">
        <f>81.0257 * CHOOSE(CONTROL!$C$9, $D$9, 100%, $F$9) + CHOOSE(CONTROL!$C$27, 0.0021, 0)</f>
        <v>81.027799999999999</v>
      </c>
      <c r="K777" s="14">
        <f>81.0257 * CHOOSE(CONTROL!$C$9, $D$9, 100%, $F$9) + CHOOSE(CONTROL!$C$27, 0.0021, 0)</f>
        <v>81.027799999999999</v>
      </c>
      <c r="L777" s="14"/>
    </row>
    <row r="778" spans="1:12" ht="15.75" x14ac:dyDescent="0.25">
      <c r="A778" s="32">
        <v>64619</v>
      </c>
      <c r="B778" s="14">
        <f>81.6409 * CHOOSE(CONTROL!$C$9, $D$9, 100%, $F$9) + CHOOSE(CONTROL!$C$27, 0.0021, 0)</f>
        <v>81.643000000000001</v>
      </c>
      <c r="C778" s="14">
        <f>81.2086 * CHOOSE(CONTROL!$C$9, $D$9, 100%, $F$9) + CHOOSE(CONTROL!$C$27, 0.0021, 0)</f>
        <v>81.210700000000003</v>
      </c>
      <c r="D778" s="14">
        <f>81.2086 * CHOOSE(CONTROL!$C$9, $D$9, 100%, $F$9) + CHOOSE(CONTROL!$C$27, 0.0021, 0)</f>
        <v>81.210700000000003</v>
      </c>
      <c r="E778" s="14">
        <f>81.072 * CHOOSE(CONTROL!$C$9, $D$9, 100%, $F$9) + CHOOSE(CONTROL!$C$27, 0.0021, 0)</f>
        <v>81.074100000000001</v>
      </c>
      <c r="F778" s="14">
        <f>81.072 * CHOOSE(CONTROL!$C$9, $D$9, 100%, $F$9) + CHOOSE(CONTROL!$C$27, 0.0021, 0)</f>
        <v>81.074100000000001</v>
      </c>
      <c r="G778" s="14">
        <f>81.3433 * CHOOSE(CONTROL!$C$9, $D$9, 100%, $F$9) + CHOOSE(CONTROL!$C$27, 0.0021, 0)</f>
        <v>81.345399999999998</v>
      </c>
      <c r="H778" s="14">
        <f>81.2086 * CHOOSE(CONTROL!$C$9, $D$9, 100%, $F$9) + CHOOSE(CONTROL!$C$27, 0.0021, 0)</f>
        <v>81.210700000000003</v>
      </c>
      <c r="I778" s="14">
        <f>81.2086 * CHOOSE(CONTROL!$C$9, $D$9, 100%, $F$9) + CHOOSE(CONTROL!$C$27, 0.0021, 0)</f>
        <v>81.210700000000003</v>
      </c>
      <c r="J778" s="14">
        <f>81.2086 * CHOOSE(CONTROL!$C$9, $D$9, 100%, $F$9) + CHOOSE(CONTROL!$C$27, 0.0021, 0)</f>
        <v>81.210700000000003</v>
      </c>
      <c r="K778" s="14">
        <f>81.2086 * CHOOSE(CONTROL!$C$9, $D$9, 100%, $F$9) + CHOOSE(CONTROL!$C$27, 0.0021, 0)</f>
        <v>81.210700000000003</v>
      </c>
      <c r="L778" s="14"/>
    </row>
    <row r="779" spans="1:12" ht="15.75" x14ac:dyDescent="0.25">
      <c r="A779" s="32">
        <v>64650</v>
      </c>
      <c r="B779" s="14">
        <f>80.085 * CHOOSE(CONTROL!$C$9, $D$9, 100%, $F$9) + CHOOSE(CONTROL!$C$27, 0.0021, 0)</f>
        <v>80.087099999999992</v>
      </c>
      <c r="C779" s="14">
        <f>79.6528 * CHOOSE(CONTROL!$C$9, $D$9, 100%, $F$9) + CHOOSE(CONTROL!$C$27, 0.0021, 0)</f>
        <v>79.654899999999998</v>
      </c>
      <c r="D779" s="14">
        <f>79.6528 * CHOOSE(CONTROL!$C$9, $D$9, 100%, $F$9) + CHOOSE(CONTROL!$C$27, 0.0021, 0)</f>
        <v>79.654899999999998</v>
      </c>
      <c r="E779" s="14">
        <f>79.5161 * CHOOSE(CONTROL!$C$9, $D$9, 100%, $F$9) + CHOOSE(CONTROL!$C$27, 0.0021, 0)</f>
        <v>79.518199999999993</v>
      </c>
      <c r="F779" s="14">
        <f>79.5161 * CHOOSE(CONTROL!$C$9, $D$9, 100%, $F$9) + CHOOSE(CONTROL!$C$27, 0.0021, 0)</f>
        <v>79.518199999999993</v>
      </c>
      <c r="G779" s="14">
        <f>79.7875 * CHOOSE(CONTROL!$C$9, $D$9, 100%, $F$9) + CHOOSE(CONTROL!$C$27, 0.0021, 0)</f>
        <v>79.789599999999993</v>
      </c>
      <c r="H779" s="14">
        <f>79.6528 * CHOOSE(CONTROL!$C$9, $D$9, 100%, $F$9) + CHOOSE(CONTROL!$C$27, 0.0021, 0)</f>
        <v>79.654899999999998</v>
      </c>
      <c r="I779" s="14">
        <f>79.6528 * CHOOSE(CONTROL!$C$9, $D$9, 100%, $F$9) + CHOOSE(CONTROL!$C$27, 0.0021, 0)</f>
        <v>79.654899999999998</v>
      </c>
      <c r="J779" s="14">
        <f>79.6528 * CHOOSE(CONTROL!$C$9, $D$9, 100%, $F$9) + CHOOSE(CONTROL!$C$27, 0.0021, 0)</f>
        <v>79.654899999999998</v>
      </c>
      <c r="K779" s="14">
        <f>79.6528 * CHOOSE(CONTROL!$C$9, $D$9, 100%, $F$9) + CHOOSE(CONTROL!$C$27, 0.0021, 0)</f>
        <v>79.654899999999998</v>
      </c>
      <c r="L779" s="14"/>
    </row>
    <row r="780" spans="1:12" ht="15.75" x14ac:dyDescent="0.25">
      <c r="A780" s="32">
        <v>64681</v>
      </c>
      <c r="B780" s="14">
        <f>79.0658 * CHOOSE(CONTROL!$C$9, $D$9, 100%, $F$9) + CHOOSE(CONTROL!$C$27, 0.0021, 0)</f>
        <v>79.067899999999995</v>
      </c>
      <c r="C780" s="14">
        <f>78.6335 * CHOOSE(CONTROL!$C$9, $D$9, 100%, $F$9) + CHOOSE(CONTROL!$C$27, 0.0021, 0)</f>
        <v>78.635599999999997</v>
      </c>
      <c r="D780" s="14">
        <f>78.6335 * CHOOSE(CONTROL!$C$9, $D$9, 100%, $F$9) + CHOOSE(CONTROL!$C$27, 0.0021, 0)</f>
        <v>78.635599999999997</v>
      </c>
      <c r="E780" s="14">
        <f>78.4969 * CHOOSE(CONTROL!$C$9, $D$9, 100%, $F$9) + CHOOSE(CONTROL!$C$27, 0.0021, 0)</f>
        <v>78.498999999999995</v>
      </c>
      <c r="F780" s="14">
        <f>78.4969 * CHOOSE(CONTROL!$C$9, $D$9, 100%, $F$9) + CHOOSE(CONTROL!$C$27, 0.0021, 0)</f>
        <v>78.498999999999995</v>
      </c>
      <c r="G780" s="14">
        <f>78.7682 * CHOOSE(CONTROL!$C$9, $D$9, 100%, $F$9) + CHOOSE(CONTROL!$C$27, 0.0021, 0)</f>
        <v>78.770299999999992</v>
      </c>
      <c r="H780" s="14">
        <f>78.6335 * CHOOSE(CONTROL!$C$9, $D$9, 100%, $F$9) + CHOOSE(CONTROL!$C$27, 0.0021, 0)</f>
        <v>78.635599999999997</v>
      </c>
      <c r="I780" s="14">
        <f>78.6335 * CHOOSE(CONTROL!$C$9, $D$9, 100%, $F$9) + CHOOSE(CONTROL!$C$27, 0.0021, 0)</f>
        <v>78.635599999999997</v>
      </c>
      <c r="J780" s="14">
        <f>78.6335 * CHOOSE(CONTROL!$C$9, $D$9, 100%, $F$9) + CHOOSE(CONTROL!$C$27, 0.0021, 0)</f>
        <v>78.635599999999997</v>
      </c>
      <c r="K780" s="14">
        <f>78.6335 * CHOOSE(CONTROL!$C$9, $D$9, 100%, $F$9) + CHOOSE(CONTROL!$C$27, 0.0021, 0)</f>
        <v>78.635599999999997</v>
      </c>
      <c r="L780" s="14"/>
    </row>
    <row r="781" spans="1:12" ht="15.75" x14ac:dyDescent="0.25">
      <c r="A781" s="32">
        <v>64709</v>
      </c>
      <c r="B781" s="14">
        <f>76.8942 * CHOOSE(CONTROL!$C$9, $D$9, 100%, $F$9) + CHOOSE(CONTROL!$C$27, 0.0021, 0)</f>
        <v>76.896299999999997</v>
      </c>
      <c r="C781" s="14">
        <f>76.462 * CHOOSE(CONTROL!$C$9, $D$9, 100%, $F$9) + CHOOSE(CONTROL!$C$27, 0.0021, 0)</f>
        <v>76.464100000000002</v>
      </c>
      <c r="D781" s="14">
        <f>76.462 * CHOOSE(CONTROL!$C$9, $D$9, 100%, $F$9) + CHOOSE(CONTROL!$C$27, 0.0021, 0)</f>
        <v>76.464100000000002</v>
      </c>
      <c r="E781" s="14">
        <f>76.3253 * CHOOSE(CONTROL!$C$9, $D$9, 100%, $F$9) + CHOOSE(CONTROL!$C$27, 0.0021, 0)</f>
        <v>76.327399999999997</v>
      </c>
      <c r="F781" s="14">
        <f>76.3253 * CHOOSE(CONTROL!$C$9, $D$9, 100%, $F$9) + CHOOSE(CONTROL!$C$27, 0.0021, 0)</f>
        <v>76.327399999999997</v>
      </c>
      <c r="G781" s="14">
        <f>76.5967 * CHOOSE(CONTROL!$C$9, $D$9, 100%, $F$9) + CHOOSE(CONTROL!$C$27, 0.0021, 0)</f>
        <v>76.598799999999997</v>
      </c>
      <c r="H781" s="14">
        <f>76.462 * CHOOSE(CONTROL!$C$9, $D$9, 100%, $F$9) + CHOOSE(CONTROL!$C$27, 0.0021, 0)</f>
        <v>76.464100000000002</v>
      </c>
      <c r="I781" s="14">
        <f>76.462 * CHOOSE(CONTROL!$C$9, $D$9, 100%, $F$9) + CHOOSE(CONTROL!$C$27, 0.0021, 0)</f>
        <v>76.464100000000002</v>
      </c>
      <c r="J781" s="14">
        <f>76.462 * CHOOSE(CONTROL!$C$9, $D$9, 100%, $F$9) + CHOOSE(CONTROL!$C$27, 0.0021, 0)</f>
        <v>76.464100000000002</v>
      </c>
      <c r="K781" s="14">
        <f>76.462 * CHOOSE(CONTROL!$C$9, $D$9, 100%, $F$9) + CHOOSE(CONTROL!$C$27, 0.0021, 0)</f>
        <v>76.464100000000002</v>
      </c>
      <c r="L781" s="14"/>
    </row>
    <row r="782" spans="1:12" ht="15.75" x14ac:dyDescent="0.25">
      <c r="A782" s="32">
        <v>64740</v>
      </c>
      <c r="B782" s="14">
        <f>75.9978 * CHOOSE(CONTROL!$C$9, $D$9, 100%, $F$9) + CHOOSE(CONTROL!$C$27, 0.0021, 0)</f>
        <v>75.999899999999997</v>
      </c>
      <c r="C782" s="14">
        <f>75.5655 * CHOOSE(CONTROL!$C$9, $D$9, 100%, $F$9) + CHOOSE(CONTROL!$C$27, 0.0021, 0)</f>
        <v>75.567599999999999</v>
      </c>
      <c r="D782" s="14">
        <f>75.5655 * CHOOSE(CONTROL!$C$9, $D$9, 100%, $F$9) + CHOOSE(CONTROL!$C$27, 0.0021, 0)</f>
        <v>75.567599999999999</v>
      </c>
      <c r="E782" s="14">
        <f>75.4289 * CHOOSE(CONTROL!$C$9, $D$9, 100%, $F$9) + CHOOSE(CONTROL!$C$27, 0.0021, 0)</f>
        <v>75.430999999999997</v>
      </c>
      <c r="F782" s="14">
        <f>75.4289 * CHOOSE(CONTROL!$C$9, $D$9, 100%, $F$9) + CHOOSE(CONTROL!$C$27, 0.0021, 0)</f>
        <v>75.430999999999997</v>
      </c>
      <c r="G782" s="14">
        <f>75.7003 * CHOOSE(CONTROL!$C$9, $D$9, 100%, $F$9) + CHOOSE(CONTROL!$C$27, 0.0021, 0)</f>
        <v>75.702399999999997</v>
      </c>
      <c r="H782" s="14">
        <f>75.5655 * CHOOSE(CONTROL!$C$9, $D$9, 100%, $F$9) + CHOOSE(CONTROL!$C$27, 0.0021, 0)</f>
        <v>75.567599999999999</v>
      </c>
      <c r="I782" s="14">
        <f>75.5655 * CHOOSE(CONTROL!$C$9, $D$9, 100%, $F$9) + CHOOSE(CONTROL!$C$27, 0.0021, 0)</f>
        <v>75.567599999999999</v>
      </c>
      <c r="J782" s="14">
        <f>75.5655 * CHOOSE(CONTROL!$C$9, $D$9, 100%, $F$9) + CHOOSE(CONTROL!$C$27, 0.0021, 0)</f>
        <v>75.567599999999999</v>
      </c>
      <c r="K782" s="14">
        <f>75.5655 * CHOOSE(CONTROL!$C$9, $D$9, 100%, $F$9) + CHOOSE(CONTROL!$C$27, 0.0021, 0)</f>
        <v>75.567599999999999</v>
      </c>
      <c r="L782" s="14"/>
    </row>
    <row r="783" spans="1:12" ht="15.75" x14ac:dyDescent="0.25">
      <c r="A783" s="32">
        <v>64770</v>
      </c>
      <c r="B783" s="14">
        <f>74.9274 * CHOOSE(CONTROL!$C$9, $D$9, 100%, $F$9) + CHOOSE(CONTROL!$C$27, 0.0021, 0)</f>
        <v>74.929500000000004</v>
      </c>
      <c r="C783" s="14">
        <f>74.4952 * CHOOSE(CONTROL!$C$9, $D$9, 100%, $F$9) + CHOOSE(CONTROL!$C$27, 0.0021, 0)</f>
        <v>74.497299999999996</v>
      </c>
      <c r="D783" s="14">
        <f>74.4952 * CHOOSE(CONTROL!$C$9, $D$9, 100%, $F$9) + CHOOSE(CONTROL!$C$27, 0.0021, 0)</f>
        <v>74.497299999999996</v>
      </c>
      <c r="E783" s="14">
        <f>74.3585 * CHOOSE(CONTROL!$C$9, $D$9, 100%, $F$9) + CHOOSE(CONTROL!$C$27, 0.0021, 0)</f>
        <v>74.360600000000005</v>
      </c>
      <c r="F783" s="14">
        <f>74.3585 * CHOOSE(CONTROL!$C$9, $D$9, 100%, $F$9) + CHOOSE(CONTROL!$C$27, 0.0021, 0)</f>
        <v>74.360600000000005</v>
      </c>
      <c r="G783" s="14">
        <f>74.6299 * CHOOSE(CONTROL!$C$9, $D$9, 100%, $F$9) + CHOOSE(CONTROL!$C$27, 0.0021, 0)</f>
        <v>74.632000000000005</v>
      </c>
      <c r="H783" s="14">
        <f>74.4952 * CHOOSE(CONTROL!$C$9, $D$9, 100%, $F$9) + CHOOSE(CONTROL!$C$27, 0.0021, 0)</f>
        <v>74.497299999999996</v>
      </c>
      <c r="I783" s="14">
        <f>74.4952 * CHOOSE(CONTROL!$C$9, $D$9, 100%, $F$9) + CHOOSE(CONTROL!$C$27, 0.0021, 0)</f>
        <v>74.497299999999996</v>
      </c>
      <c r="J783" s="14">
        <f>74.4952 * CHOOSE(CONTROL!$C$9, $D$9, 100%, $F$9) + CHOOSE(CONTROL!$C$27, 0.0021, 0)</f>
        <v>74.497299999999996</v>
      </c>
      <c r="K783" s="14">
        <f>74.4952 * CHOOSE(CONTROL!$C$9, $D$9, 100%, $F$9) + CHOOSE(CONTROL!$C$27, 0.0021, 0)</f>
        <v>74.497299999999996</v>
      </c>
      <c r="L783" s="14"/>
    </row>
    <row r="784" spans="1:12" ht="15.75" x14ac:dyDescent="0.25">
      <c r="A784" s="32">
        <v>64801</v>
      </c>
      <c r="B784" s="14">
        <f>76.4528 * CHOOSE(CONTROL!$C$9, $D$9, 100%, $F$9) + CHOOSE(CONTROL!$C$27, 0.0021, 0)</f>
        <v>76.454899999999995</v>
      </c>
      <c r="C784" s="14">
        <f>76.0206 * CHOOSE(CONTROL!$C$9, $D$9, 100%, $F$9) + CHOOSE(CONTROL!$C$27, 0.0021, 0)</f>
        <v>76.0227</v>
      </c>
      <c r="D784" s="14">
        <f>76.0206 * CHOOSE(CONTROL!$C$9, $D$9, 100%, $F$9) + CHOOSE(CONTROL!$C$27, 0.0021, 0)</f>
        <v>76.0227</v>
      </c>
      <c r="E784" s="14">
        <f>75.8839 * CHOOSE(CONTROL!$C$9, $D$9, 100%, $F$9) + CHOOSE(CONTROL!$C$27, 0.0021, 0)</f>
        <v>75.885999999999996</v>
      </c>
      <c r="F784" s="14">
        <f>75.8839 * CHOOSE(CONTROL!$C$9, $D$9, 100%, $F$9) + CHOOSE(CONTROL!$C$27, 0.0021, 0)</f>
        <v>75.885999999999996</v>
      </c>
      <c r="G784" s="14">
        <f>76.1553 * CHOOSE(CONTROL!$C$9, $D$9, 100%, $F$9) + CHOOSE(CONTROL!$C$27, 0.0021, 0)</f>
        <v>76.157399999999996</v>
      </c>
      <c r="H784" s="14">
        <f>76.0206 * CHOOSE(CONTROL!$C$9, $D$9, 100%, $F$9) + CHOOSE(CONTROL!$C$27, 0.0021, 0)</f>
        <v>76.0227</v>
      </c>
      <c r="I784" s="14">
        <f>76.0206 * CHOOSE(CONTROL!$C$9, $D$9, 100%, $F$9) + CHOOSE(CONTROL!$C$27, 0.0021, 0)</f>
        <v>76.0227</v>
      </c>
      <c r="J784" s="14">
        <f>76.0206 * CHOOSE(CONTROL!$C$9, $D$9, 100%, $F$9) + CHOOSE(CONTROL!$C$27, 0.0021, 0)</f>
        <v>76.0227</v>
      </c>
      <c r="K784" s="14">
        <f>76.0206 * CHOOSE(CONTROL!$C$9, $D$9, 100%, $F$9) + CHOOSE(CONTROL!$C$27, 0.0021, 0)</f>
        <v>76.0227</v>
      </c>
      <c r="L784" s="14"/>
    </row>
    <row r="785" spans="1:12" ht="15.75" x14ac:dyDescent="0.25">
      <c r="A785" s="32">
        <v>64831</v>
      </c>
      <c r="B785" s="14">
        <f>77.3664 * CHOOSE(CONTROL!$C$9, $D$9, 100%, $F$9) + CHOOSE(CONTROL!$C$27, 0.0021, 0)</f>
        <v>77.368499999999997</v>
      </c>
      <c r="C785" s="14">
        <f>76.9342 * CHOOSE(CONTROL!$C$9, $D$9, 100%, $F$9) + CHOOSE(CONTROL!$C$27, 0.0021, 0)</f>
        <v>76.936300000000003</v>
      </c>
      <c r="D785" s="14">
        <f>76.9342 * CHOOSE(CONTROL!$C$9, $D$9, 100%, $F$9) + CHOOSE(CONTROL!$C$27, 0.0021, 0)</f>
        <v>76.936300000000003</v>
      </c>
      <c r="E785" s="14">
        <f>76.7975 * CHOOSE(CONTROL!$C$9, $D$9, 100%, $F$9) + CHOOSE(CONTROL!$C$27, 0.0021, 0)</f>
        <v>76.799599999999998</v>
      </c>
      <c r="F785" s="14">
        <f>76.7975 * CHOOSE(CONTROL!$C$9, $D$9, 100%, $F$9) + CHOOSE(CONTROL!$C$27, 0.0021, 0)</f>
        <v>76.799599999999998</v>
      </c>
      <c r="G785" s="14">
        <f>77.0689 * CHOOSE(CONTROL!$C$9, $D$9, 100%, $F$9) + CHOOSE(CONTROL!$C$27, 0.0021, 0)</f>
        <v>77.070999999999998</v>
      </c>
      <c r="H785" s="14">
        <f>76.9342 * CHOOSE(CONTROL!$C$9, $D$9, 100%, $F$9) + CHOOSE(CONTROL!$C$27, 0.0021, 0)</f>
        <v>76.936300000000003</v>
      </c>
      <c r="I785" s="14">
        <f>76.9342 * CHOOSE(CONTROL!$C$9, $D$9, 100%, $F$9) + CHOOSE(CONTROL!$C$27, 0.0021, 0)</f>
        <v>76.936300000000003</v>
      </c>
      <c r="J785" s="14">
        <f>76.9342 * CHOOSE(CONTROL!$C$9, $D$9, 100%, $F$9) + CHOOSE(CONTROL!$C$27, 0.0021, 0)</f>
        <v>76.936300000000003</v>
      </c>
      <c r="K785" s="14">
        <f>76.9342 * CHOOSE(CONTROL!$C$9, $D$9, 100%, $F$9) + CHOOSE(CONTROL!$C$27, 0.0021, 0)</f>
        <v>76.936300000000003</v>
      </c>
      <c r="L785" s="14"/>
    </row>
    <row r="786" spans="1:12" ht="15.75" x14ac:dyDescent="0.25">
      <c r="A786" s="32">
        <v>64862</v>
      </c>
      <c r="B786" s="14">
        <f>78.8736 * CHOOSE(CONTROL!$C$9, $D$9, 100%, $F$9) + CHOOSE(CONTROL!$C$27, 0.0021, 0)</f>
        <v>78.875699999999995</v>
      </c>
      <c r="C786" s="14">
        <f>78.4414 * CHOOSE(CONTROL!$C$9, $D$9, 100%, $F$9) + CHOOSE(CONTROL!$C$27, 0.0021, 0)</f>
        <v>78.4435</v>
      </c>
      <c r="D786" s="14">
        <f>78.4414 * CHOOSE(CONTROL!$C$9, $D$9, 100%, $F$9) + CHOOSE(CONTROL!$C$27, 0.0021, 0)</f>
        <v>78.4435</v>
      </c>
      <c r="E786" s="14">
        <f>78.3047 * CHOOSE(CONTROL!$C$9, $D$9, 100%, $F$9) + CHOOSE(CONTROL!$C$27, 0.0021, 0)</f>
        <v>78.306799999999996</v>
      </c>
      <c r="F786" s="14">
        <f>78.3047 * CHOOSE(CONTROL!$C$9, $D$9, 100%, $F$9) + CHOOSE(CONTROL!$C$27, 0.0021, 0)</f>
        <v>78.306799999999996</v>
      </c>
      <c r="G786" s="14">
        <f>78.5761 * CHOOSE(CONTROL!$C$9, $D$9, 100%, $F$9) + CHOOSE(CONTROL!$C$27, 0.0021, 0)</f>
        <v>78.578199999999995</v>
      </c>
      <c r="H786" s="14">
        <f>78.4414 * CHOOSE(CONTROL!$C$9, $D$9, 100%, $F$9) + CHOOSE(CONTROL!$C$27, 0.0021, 0)</f>
        <v>78.4435</v>
      </c>
      <c r="I786" s="14">
        <f>78.4414 * CHOOSE(CONTROL!$C$9, $D$9, 100%, $F$9) + CHOOSE(CONTROL!$C$27, 0.0021, 0)</f>
        <v>78.4435</v>
      </c>
      <c r="J786" s="14">
        <f>78.4414 * CHOOSE(CONTROL!$C$9, $D$9, 100%, $F$9) + CHOOSE(CONTROL!$C$27, 0.0021, 0)</f>
        <v>78.4435</v>
      </c>
      <c r="K786" s="14">
        <f>78.4414 * CHOOSE(CONTROL!$C$9, $D$9, 100%, $F$9) + CHOOSE(CONTROL!$C$27, 0.0021, 0)</f>
        <v>78.4435</v>
      </c>
      <c r="L786" s="14"/>
    </row>
    <row r="787" spans="1:12" ht="15.75" x14ac:dyDescent="0.25">
      <c r="A787" s="32">
        <v>64893</v>
      </c>
      <c r="B787" s="14">
        <f>79.3336 * CHOOSE(CONTROL!$C$9, $D$9, 100%, $F$9) + CHOOSE(CONTROL!$C$27, 0.0021, 0)</f>
        <v>79.335700000000003</v>
      </c>
      <c r="C787" s="14">
        <f>78.9014 * CHOOSE(CONTROL!$C$9, $D$9, 100%, $F$9) + CHOOSE(CONTROL!$C$27, 0.0021, 0)</f>
        <v>78.903499999999994</v>
      </c>
      <c r="D787" s="14">
        <f>78.9014 * CHOOSE(CONTROL!$C$9, $D$9, 100%, $F$9) + CHOOSE(CONTROL!$C$27, 0.0021, 0)</f>
        <v>78.903499999999994</v>
      </c>
      <c r="E787" s="14">
        <f>78.7647 * CHOOSE(CONTROL!$C$9, $D$9, 100%, $F$9) + CHOOSE(CONTROL!$C$27, 0.0021, 0)</f>
        <v>78.766800000000003</v>
      </c>
      <c r="F787" s="14">
        <f>78.7647 * CHOOSE(CONTROL!$C$9, $D$9, 100%, $F$9) + CHOOSE(CONTROL!$C$27, 0.0021, 0)</f>
        <v>78.766800000000003</v>
      </c>
      <c r="G787" s="14">
        <f>79.0361 * CHOOSE(CONTROL!$C$9, $D$9, 100%, $F$9) + CHOOSE(CONTROL!$C$27, 0.0021, 0)</f>
        <v>79.038200000000003</v>
      </c>
      <c r="H787" s="14">
        <f>78.9014 * CHOOSE(CONTROL!$C$9, $D$9, 100%, $F$9) + CHOOSE(CONTROL!$C$27, 0.0021, 0)</f>
        <v>78.903499999999994</v>
      </c>
      <c r="I787" s="14">
        <f>78.9014 * CHOOSE(CONTROL!$C$9, $D$9, 100%, $F$9) + CHOOSE(CONTROL!$C$27, 0.0021, 0)</f>
        <v>78.903499999999994</v>
      </c>
      <c r="J787" s="14">
        <f>78.9014 * CHOOSE(CONTROL!$C$9, $D$9, 100%, $F$9) + CHOOSE(CONTROL!$C$27, 0.0021, 0)</f>
        <v>78.903499999999994</v>
      </c>
      <c r="K787" s="14">
        <f>78.9014 * CHOOSE(CONTROL!$C$9, $D$9, 100%, $F$9) + CHOOSE(CONTROL!$C$27, 0.0021, 0)</f>
        <v>78.903499999999994</v>
      </c>
      <c r="L787" s="14"/>
    </row>
    <row r="788" spans="1:12" ht="15.75" x14ac:dyDescent="0.25">
      <c r="A788" s="32">
        <v>64923</v>
      </c>
      <c r="B788" s="14">
        <f>80.9003 * CHOOSE(CONTROL!$C$9, $D$9, 100%, $F$9) + CHOOSE(CONTROL!$C$27, 0.0021, 0)</f>
        <v>80.9024</v>
      </c>
      <c r="C788" s="14">
        <f>80.468 * CHOOSE(CONTROL!$C$9, $D$9, 100%, $F$9) + CHOOSE(CONTROL!$C$27, 0.0021, 0)</f>
        <v>80.470100000000002</v>
      </c>
      <c r="D788" s="14">
        <f>80.468 * CHOOSE(CONTROL!$C$9, $D$9, 100%, $F$9) + CHOOSE(CONTROL!$C$27, 0.0021, 0)</f>
        <v>80.470100000000002</v>
      </c>
      <c r="E788" s="14">
        <f>80.3314 * CHOOSE(CONTROL!$C$9, $D$9, 100%, $F$9) + CHOOSE(CONTROL!$C$27, 0.0021, 0)</f>
        <v>80.333500000000001</v>
      </c>
      <c r="F788" s="14">
        <f>80.3314 * CHOOSE(CONTROL!$C$9, $D$9, 100%, $F$9) + CHOOSE(CONTROL!$C$27, 0.0021, 0)</f>
        <v>80.333500000000001</v>
      </c>
      <c r="G788" s="14">
        <f>80.6027 * CHOOSE(CONTROL!$C$9, $D$9, 100%, $F$9) + CHOOSE(CONTROL!$C$27, 0.0021, 0)</f>
        <v>80.604799999999997</v>
      </c>
      <c r="H788" s="14">
        <f>80.468 * CHOOSE(CONTROL!$C$9, $D$9, 100%, $F$9) + CHOOSE(CONTROL!$C$27, 0.0021, 0)</f>
        <v>80.470100000000002</v>
      </c>
      <c r="I788" s="14">
        <f>80.468 * CHOOSE(CONTROL!$C$9, $D$9, 100%, $F$9) + CHOOSE(CONTROL!$C$27, 0.0021, 0)</f>
        <v>80.470100000000002</v>
      </c>
      <c r="J788" s="14">
        <f>80.468 * CHOOSE(CONTROL!$C$9, $D$9, 100%, $F$9) + CHOOSE(CONTROL!$C$27, 0.0021, 0)</f>
        <v>80.470100000000002</v>
      </c>
      <c r="K788" s="14">
        <f>80.468 * CHOOSE(CONTROL!$C$9, $D$9, 100%, $F$9) + CHOOSE(CONTROL!$C$27, 0.0021, 0)</f>
        <v>80.470100000000002</v>
      </c>
      <c r="L788" s="14"/>
    </row>
    <row r="789" spans="1:12" ht="15.75" x14ac:dyDescent="0.25">
      <c r="A789" s="32">
        <v>64954</v>
      </c>
      <c r="B789" s="14">
        <f>82.8834 * CHOOSE(CONTROL!$C$9, $D$9, 100%, $F$9) + CHOOSE(CONTROL!$C$27, 0.0021, 0)</f>
        <v>82.885499999999993</v>
      </c>
      <c r="C789" s="14">
        <f>82.4511 * CHOOSE(CONTROL!$C$9, $D$9, 100%, $F$9) + CHOOSE(CONTROL!$C$27, 0.0021, 0)</f>
        <v>82.453199999999995</v>
      </c>
      <c r="D789" s="14">
        <f>82.4511 * CHOOSE(CONTROL!$C$9, $D$9, 100%, $F$9) + CHOOSE(CONTROL!$C$27, 0.0021, 0)</f>
        <v>82.453199999999995</v>
      </c>
      <c r="E789" s="14">
        <f>82.3145 * CHOOSE(CONTROL!$C$9, $D$9, 100%, $F$9) + CHOOSE(CONTROL!$C$27, 0.0021, 0)</f>
        <v>82.316599999999994</v>
      </c>
      <c r="F789" s="14">
        <f>82.3145 * CHOOSE(CONTROL!$C$9, $D$9, 100%, $F$9) + CHOOSE(CONTROL!$C$27, 0.0021, 0)</f>
        <v>82.316599999999994</v>
      </c>
      <c r="G789" s="14">
        <f>82.5858 * CHOOSE(CONTROL!$C$9, $D$9, 100%, $F$9) + CHOOSE(CONTROL!$C$27, 0.0021, 0)</f>
        <v>82.587900000000005</v>
      </c>
      <c r="H789" s="14">
        <f>82.4511 * CHOOSE(CONTROL!$C$9, $D$9, 100%, $F$9) + CHOOSE(CONTROL!$C$27, 0.0021, 0)</f>
        <v>82.453199999999995</v>
      </c>
      <c r="I789" s="14">
        <f>82.4511 * CHOOSE(CONTROL!$C$9, $D$9, 100%, $F$9) + CHOOSE(CONTROL!$C$27, 0.0021, 0)</f>
        <v>82.453199999999995</v>
      </c>
      <c r="J789" s="14">
        <f>82.4511 * CHOOSE(CONTROL!$C$9, $D$9, 100%, $F$9) + CHOOSE(CONTROL!$C$27, 0.0021, 0)</f>
        <v>82.453199999999995</v>
      </c>
      <c r="K789" s="14">
        <f>82.4511 * CHOOSE(CONTROL!$C$9, $D$9, 100%, $F$9) + CHOOSE(CONTROL!$C$27, 0.0021, 0)</f>
        <v>82.453199999999995</v>
      </c>
      <c r="L789" s="14"/>
    </row>
    <row r="790" spans="1:12" ht="15.75" x14ac:dyDescent="0.25">
      <c r="A790" s="32">
        <v>64984</v>
      </c>
      <c r="B790" s="14">
        <f>83.0695 * CHOOSE(CONTROL!$C$9, $D$9, 100%, $F$9) + CHOOSE(CONTROL!$C$27, 0.0021, 0)</f>
        <v>83.071600000000004</v>
      </c>
      <c r="C790" s="14">
        <f>82.6373 * CHOOSE(CONTROL!$C$9, $D$9, 100%, $F$9) + CHOOSE(CONTROL!$C$27, 0.0021, 0)</f>
        <v>82.639399999999995</v>
      </c>
      <c r="D790" s="14">
        <f>82.6373 * CHOOSE(CONTROL!$C$9, $D$9, 100%, $F$9) + CHOOSE(CONTROL!$C$27, 0.0021, 0)</f>
        <v>82.639399999999995</v>
      </c>
      <c r="E790" s="14">
        <f>82.5006 * CHOOSE(CONTROL!$C$9, $D$9, 100%, $F$9) + CHOOSE(CONTROL!$C$27, 0.0021, 0)</f>
        <v>82.502700000000004</v>
      </c>
      <c r="F790" s="14">
        <f>82.5006 * CHOOSE(CONTROL!$C$9, $D$9, 100%, $F$9) + CHOOSE(CONTROL!$C$27, 0.0021, 0)</f>
        <v>82.502700000000004</v>
      </c>
      <c r="G790" s="14">
        <f>82.772 * CHOOSE(CONTROL!$C$9, $D$9, 100%, $F$9) + CHOOSE(CONTROL!$C$27, 0.0021, 0)</f>
        <v>82.774100000000004</v>
      </c>
      <c r="H790" s="14">
        <f>82.6373 * CHOOSE(CONTROL!$C$9, $D$9, 100%, $F$9) + CHOOSE(CONTROL!$C$27, 0.0021, 0)</f>
        <v>82.639399999999995</v>
      </c>
      <c r="I790" s="14">
        <f>82.6373 * CHOOSE(CONTROL!$C$9, $D$9, 100%, $F$9) + CHOOSE(CONTROL!$C$27, 0.0021, 0)</f>
        <v>82.639399999999995</v>
      </c>
      <c r="J790" s="14">
        <f>82.6373 * CHOOSE(CONTROL!$C$9, $D$9, 100%, $F$9) + CHOOSE(CONTROL!$C$27, 0.0021, 0)</f>
        <v>82.639399999999995</v>
      </c>
      <c r="K790" s="14">
        <f>82.6373 * CHOOSE(CONTROL!$C$9, $D$9, 100%, $F$9) + CHOOSE(CONTROL!$C$27, 0.0021, 0)</f>
        <v>82.639399999999995</v>
      </c>
      <c r="L790" s="14"/>
    </row>
    <row r="791" spans="1:12" ht="15.75" x14ac:dyDescent="0.25">
      <c r="A791" s="32">
        <v>65015</v>
      </c>
      <c r="B791" s="14">
        <f>81.4857 * CHOOSE(CONTROL!$C$9, $D$9, 100%, $F$9) + CHOOSE(CONTROL!$C$27, 0.0021, 0)</f>
        <v>81.487799999999993</v>
      </c>
      <c r="C791" s="14">
        <f>81.0534 * CHOOSE(CONTROL!$C$9, $D$9, 100%, $F$9) + CHOOSE(CONTROL!$C$27, 0.0021, 0)</f>
        <v>81.055499999999995</v>
      </c>
      <c r="D791" s="14">
        <f>81.0534 * CHOOSE(CONTROL!$C$9, $D$9, 100%, $F$9) + CHOOSE(CONTROL!$C$27, 0.0021, 0)</f>
        <v>81.055499999999995</v>
      </c>
      <c r="E791" s="14">
        <f>80.9168 * CHOOSE(CONTROL!$C$9, $D$9, 100%, $F$9) + CHOOSE(CONTROL!$C$27, 0.0021, 0)</f>
        <v>80.918899999999994</v>
      </c>
      <c r="F791" s="14">
        <f>80.9168 * CHOOSE(CONTROL!$C$9, $D$9, 100%, $F$9) + CHOOSE(CONTROL!$C$27, 0.0021, 0)</f>
        <v>80.918899999999994</v>
      </c>
      <c r="G791" s="14">
        <f>81.1881 * CHOOSE(CONTROL!$C$9, $D$9, 100%, $F$9) + CHOOSE(CONTROL!$C$27, 0.0021, 0)</f>
        <v>81.190200000000004</v>
      </c>
      <c r="H791" s="14">
        <f>81.0534 * CHOOSE(CONTROL!$C$9, $D$9, 100%, $F$9) + CHOOSE(CONTROL!$C$27, 0.0021, 0)</f>
        <v>81.055499999999995</v>
      </c>
      <c r="I791" s="14">
        <f>81.0534 * CHOOSE(CONTROL!$C$9, $D$9, 100%, $F$9) + CHOOSE(CONTROL!$C$27, 0.0021, 0)</f>
        <v>81.055499999999995</v>
      </c>
      <c r="J791" s="14">
        <f>81.0534 * CHOOSE(CONTROL!$C$9, $D$9, 100%, $F$9) + CHOOSE(CONTROL!$C$27, 0.0021, 0)</f>
        <v>81.055499999999995</v>
      </c>
      <c r="K791" s="14">
        <f>81.0534 * CHOOSE(CONTROL!$C$9, $D$9, 100%, $F$9) + CHOOSE(CONTROL!$C$27, 0.0021, 0)</f>
        <v>81.055499999999995</v>
      </c>
      <c r="L791" s="14"/>
    </row>
    <row r="792" spans="1:12" ht="15.75" x14ac:dyDescent="0.25">
      <c r="A792" s="32">
        <v>65046</v>
      </c>
      <c r="B792" s="14">
        <f>80.4481 * CHOOSE(CONTROL!$C$9, $D$9, 100%, $F$9) + CHOOSE(CONTROL!$C$27, 0.0021, 0)</f>
        <v>80.450199999999995</v>
      </c>
      <c r="C792" s="14">
        <f>80.0158 * CHOOSE(CONTROL!$C$9, $D$9, 100%, $F$9) + CHOOSE(CONTROL!$C$27, 0.0021, 0)</f>
        <v>80.017899999999997</v>
      </c>
      <c r="D792" s="14">
        <f>80.0158 * CHOOSE(CONTROL!$C$9, $D$9, 100%, $F$9) + CHOOSE(CONTROL!$C$27, 0.0021, 0)</f>
        <v>80.017899999999997</v>
      </c>
      <c r="E792" s="14">
        <f>79.8792 * CHOOSE(CONTROL!$C$9, $D$9, 100%, $F$9) + CHOOSE(CONTROL!$C$27, 0.0021, 0)</f>
        <v>79.881299999999996</v>
      </c>
      <c r="F792" s="14">
        <f>79.8792 * CHOOSE(CONTROL!$C$9, $D$9, 100%, $F$9) + CHOOSE(CONTROL!$C$27, 0.0021, 0)</f>
        <v>79.881299999999996</v>
      </c>
      <c r="G792" s="14">
        <f>80.1505 * CHOOSE(CONTROL!$C$9, $D$9, 100%, $F$9) + CHOOSE(CONTROL!$C$27, 0.0021, 0)</f>
        <v>80.152599999999993</v>
      </c>
      <c r="H792" s="14">
        <f>80.0158 * CHOOSE(CONTROL!$C$9, $D$9, 100%, $F$9) + CHOOSE(CONTROL!$C$27, 0.0021, 0)</f>
        <v>80.017899999999997</v>
      </c>
      <c r="I792" s="14">
        <f>80.0158 * CHOOSE(CONTROL!$C$9, $D$9, 100%, $F$9) + CHOOSE(CONTROL!$C$27, 0.0021, 0)</f>
        <v>80.017899999999997</v>
      </c>
      <c r="J792" s="14">
        <f>80.0158 * CHOOSE(CONTROL!$C$9, $D$9, 100%, $F$9) + CHOOSE(CONTROL!$C$27, 0.0021, 0)</f>
        <v>80.017899999999997</v>
      </c>
      <c r="K792" s="14">
        <f>80.0158 * CHOOSE(CONTROL!$C$9, $D$9, 100%, $F$9) + CHOOSE(CONTROL!$C$27, 0.0021, 0)</f>
        <v>80.017899999999997</v>
      </c>
      <c r="L792" s="14"/>
    </row>
    <row r="793" spans="1:12" ht="15.75" x14ac:dyDescent="0.25">
      <c r="A793" s="32">
        <v>65074</v>
      </c>
      <c r="B793" s="14">
        <f>78.2374 * CHOOSE(CONTROL!$C$9, $D$9, 100%, $F$9) + CHOOSE(CONTROL!$C$27, 0.0021, 0)</f>
        <v>78.239499999999992</v>
      </c>
      <c r="C793" s="14">
        <f>77.8051 * CHOOSE(CONTROL!$C$9, $D$9, 100%, $F$9) + CHOOSE(CONTROL!$C$27, 0.0021, 0)</f>
        <v>77.807199999999995</v>
      </c>
      <c r="D793" s="14">
        <f>77.8051 * CHOOSE(CONTROL!$C$9, $D$9, 100%, $F$9) + CHOOSE(CONTROL!$C$27, 0.0021, 0)</f>
        <v>77.807199999999995</v>
      </c>
      <c r="E793" s="14">
        <f>77.6685 * CHOOSE(CONTROL!$C$9, $D$9, 100%, $F$9) + CHOOSE(CONTROL!$C$27, 0.0021, 0)</f>
        <v>77.670599999999993</v>
      </c>
      <c r="F793" s="14">
        <f>77.6685 * CHOOSE(CONTROL!$C$9, $D$9, 100%, $F$9) + CHOOSE(CONTROL!$C$27, 0.0021, 0)</f>
        <v>77.670599999999993</v>
      </c>
      <c r="G793" s="14">
        <f>77.9399 * CHOOSE(CONTROL!$C$9, $D$9, 100%, $F$9) + CHOOSE(CONTROL!$C$27, 0.0021, 0)</f>
        <v>77.941999999999993</v>
      </c>
      <c r="H793" s="14">
        <f>77.8051 * CHOOSE(CONTROL!$C$9, $D$9, 100%, $F$9) + CHOOSE(CONTROL!$C$27, 0.0021, 0)</f>
        <v>77.807199999999995</v>
      </c>
      <c r="I793" s="14">
        <f>77.8051 * CHOOSE(CONTROL!$C$9, $D$9, 100%, $F$9) + CHOOSE(CONTROL!$C$27, 0.0021, 0)</f>
        <v>77.807199999999995</v>
      </c>
      <c r="J793" s="14">
        <f>77.8051 * CHOOSE(CONTROL!$C$9, $D$9, 100%, $F$9) + CHOOSE(CONTROL!$C$27, 0.0021, 0)</f>
        <v>77.807199999999995</v>
      </c>
      <c r="K793" s="14">
        <f>77.8051 * CHOOSE(CONTROL!$C$9, $D$9, 100%, $F$9) + CHOOSE(CONTROL!$C$27, 0.0021, 0)</f>
        <v>77.807199999999995</v>
      </c>
      <c r="L793" s="14"/>
    </row>
    <row r="794" spans="1:12" ht="15.75" x14ac:dyDescent="0.25">
      <c r="A794" s="32">
        <v>65105</v>
      </c>
      <c r="B794" s="14">
        <f>77.3248 * CHOOSE(CONTROL!$C$9, $D$9, 100%, $F$9) + CHOOSE(CONTROL!$C$27, 0.0021, 0)</f>
        <v>77.326899999999995</v>
      </c>
      <c r="C794" s="14">
        <f>76.8926 * CHOOSE(CONTROL!$C$9, $D$9, 100%, $F$9) + CHOOSE(CONTROL!$C$27, 0.0021, 0)</f>
        <v>76.8947</v>
      </c>
      <c r="D794" s="14">
        <f>76.8926 * CHOOSE(CONTROL!$C$9, $D$9, 100%, $F$9) + CHOOSE(CONTROL!$C$27, 0.0021, 0)</f>
        <v>76.8947</v>
      </c>
      <c r="E794" s="14">
        <f>76.7559 * CHOOSE(CONTROL!$C$9, $D$9, 100%, $F$9) + CHOOSE(CONTROL!$C$27, 0.0021, 0)</f>
        <v>76.757999999999996</v>
      </c>
      <c r="F794" s="14">
        <f>76.7559 * CHOOSE(CONTROL!$C$9, $D$9, 100%, $F$9) + CHOOSE(CONTROL!$C$27, 0.0021, 0)</f>
        <v>76.757999999999996</v>
      </c>
      <c r="G794" s="14">
        <f>77.0273 * CHOOSE(CONTROL!$C$9, $D$9, 100%, $F$9) + CHOOSE(CONTROL!$C$27, 0.0021, 0)</f>
        <v>77.029399999999995</v>
      </c>
      <c r="H794" s="14">
        <f>76.8926 * CHOOSE(CONTROL!$C$9, $D$9, 100%, $F$9) + CHOOSE(CONTROL!$C$27, 0.0021, 0)</f>
        <v>76.8947</v>
      </c>
      <c r="I794" s="14">
        <f>76.8926 * CHOOSE(CONTROL!$C$9, $D$9, 100%, $F$9) + CHOOSE(CONTROL!$C$27, 0.0021, 0)</f>
        <v>76.8947</v>
      </c>
      <c r="J794" s="14">
        <f>76.8926 * CHOOSE(CONTROL!$C$9, $D$9, 100%, $F$9) + CHOOSE(CONTROL!$C$27, 0.0021, 0)</f>
        <v>76.8947</v>
      </c>
      <c r="K794" s="14">
        <f>76.8926 * CHOOSE(CONTROL!$C$9, $D$9, 100%, $F$9) + CHOOSE(CONTROL!$C$27, 0.0021, 0)</f>
        <v>76.8947</v>
      </c>
      <c r="L794" s="14"/>
    </row>
    <row r="795" spans="1:12" ht="15.75" x14ac:dyDescent="0.25">
      <c r="A795" s="32">
        <v>65135</v>
      </c>
      <c r="B795" s="14">
        <f>76.2352 * CHOOSE(CONTROL!$C$9, $D$9, 100%, $F$9) + CHOOSE(CONTROL!$C$27, 0.0021, 0)</f>
        <v>76.237300000000005</v>
      </c>
      <c r="C795" s="14">
        <f>75.803 * CHOOSE(CONTROL!$C$9, $D$9, 100%, $F$9) + CHOOSE(CONTROL!$C$27, 0.0021, 0)</f>
        <v>75.805099999999996</v>
      </c>
      <c r="D795" s="14">
        <f>75.803 * CHOOSE(CONTROL!$C$9, $D$9, 100%, $F$9) + CHOOSE(CONTROL!$C$27, 0.0021, 0)</f>
        <v>75.805099999999996</v>
      </c>
      <c r="E795" s="14">
        <f>75.6663 * CHOOSE(CONTROL!$C$9, $D$9, 100%, $F$9) + CHOOSE(CONTROL!$C$27, 0.0021, 0)</f>
        <v>75.668400000000005</v>
      </c>
      <c r="F795" s="14">
        <f>75.6663 * CHOOSE(CONTROL!$C$9, $D$9, 100%, $F$9) + CHOOSE(CONTROL!$C$27, 0.0021, 0)</f>
        <v>75.668400000000005</v>
      </c>
      <c r="G795" s="14">
        <f>75.9377 * CHOOSE(CONTROL!$C$9, $D$9, 100%, $F$9) + CHOOSE(CONTROL!$C$27, 0.0021, 0)</f>
        <v>75.939800000000005</v>
      </c>
      <c r="H795" s="14">
        <f>75.803 * CHOOSE(CONTROL!$C$9, $D$9, 100%, $F$9) + CHOOSE(CONTROL!$C$27, 0.0021, 0)</f>
        <v>75.805099999999996</v>
      </c>
      <c r="I795" s="14">
        <f>75.803 * CHOOSE(CONTROL!$C$9, $D$9, 100%, $F$9) + CHOOSE(CONTROL!$C$27, 0.0021, 0)</f>
        <v>75.805099999999996</v>
      </c>
      <c r="J795" s="14">
        <f>75.803 * CHOOSE(CONTROL!$C$9, $D$9, 100%, $F$9) + CHOOSE(CONTROL!$C$27, 0.0021, 0)</f>
        <v>75.805099999999996</v>
      </c>
      <c r="K795" s="14">
        <f>75.803 * CHOOSE(CONTROL!$C$9, $D$9, 100%, $F$9) + CHOOSE(CONTROL!$C$27, 0.0021, 0)</f>
        <v>75.805099999999996</v>
      </c>
      <c r="L795" s="14"/>
    </row>
    <row r="796" spans="1:12" ht="15.75" x14ac:dyDescent="0.25">
      <c r="A796" s="32">
        <v>65166</v>
      </c>
      <c r="B796" s="14">
        <f>77.7881 * CHOOSE(CONTROL!$C$9, $D$9, 100%, $F$9) + CHOOSE(CONTROL!$C$27, 0.0021, 0)</f>
        <v>77.790199999999999</v>
      </c>
      <c r="C796" s="14">
        <f>77.3558 * CHOOSE(CONTROL!$C$9, $D$9, 100%, $F$9) + CHOOSE(CONTROL!$C$27, 0.0021, 0)</f>
        <v>77.357900000000001</v>
      </c>
      <c r="D796" s="14">
        <f>77.3558 * CHOOSE(CONTROL!$C$9, $D$9, 100%, $F$9) + CHOOSE(CONTROL!$C$27, 0.0021, 0)</f>
        <v>77.357900000000001</v>
      </c>
      <c r="E796" s="14">
        <f>77.2192 * CHOOSE(CONTROL!$C$9, $D$9, 100%, $F$9) + CHOOSE(CONTROL!$C$27, 0.0021, 0)</f>
        <v>77.221299999999999</v>
      </c>
      <c r="F796" s="14">
        <f>77.2192 * CHOOSE(CONTROL!$C$9, $D$9, 100%, $F$9) + CHOOSE(CONTROL!$C$27, 0.0021, 0)</f>
        <v>77.221299999999999</v>
      </c>
      <c r="G796" s="14">
        <f>77.4905 * CHOOSE(CONTROL!$C$9, $D$9, 100%, $F$9) + CHOOSE(CONTROL!$C$27, 0.0021, 0)</f>
        <v>77.492599999999996</v>
      </c>
      <c r="H796" s="14">
        <f>77.3558 * CHOOSE(CONTROL!$C$9, $D$9, 100%, $F$9) + CHOOSE(CONTROL!$C$27, 0.0021, 0)</f>
        <v>77.357900000000001</v>
      </c>
      <c r="I796" s="14">
        <f>77.3558 * CHOOSE(CONTROL!$C$9, $D$9, 100%, $F$9) + CHOOSE(CONTROL!$C$27, 0.0021, 0)</f>
        <v>77.357900000000001</v>
      </c>
      <c r="J796" s="14">
        <f>77.3558 * CHOOSE(CONTROL!$C$9, $D$9, 100%, $F$9) + CHOOSE(CONTROL!$C$27, 0.0021, 0)</f>
        <v>77.357900000000001</v>
      </c>
      <c r="K796" s="14">
        <f>77.3558 * CHOOSE(CONTROL!$C$9, $D$9, 100%, $F$9) + CHOOSE(CONTROL!$C$27, 0.0021, 0)</f>
        <v>77.357900000000001</v>
      </c>
      <c r="L796" s="14"/>
    </row>
    <row r="797" spans="1:12" ht="15.75" x14ac:dyDescent="0.25">
      <c r="A797" s="32">
        <v>65196</v>
      </c>
      <c r="B797" s="14">
        <f>78.7181 * CHOOSE(CONTROL!$C$9, $D$9, 100%, $F$9) + CHOOSE(CONTROL!$C$27, 0.0021, 0)</f>
        <v>78.720200000000006</v>
      </c>
      <c r="C797" s="14">
        <f>78.2859 * CHOOSE(CONTROL!$C$9, $D$9, 100%, $F$9) + CHOOSE(CONTROL!$C$27, 0.0021, 0)</f>
        <v>78.287999999999997</v>
      </c>
      <c r="D797" s="14">
        <f>78.2859 * CHOOSE(CONTROL!$C$9, $D$9, 100%, $F$9) + CHOOSE(CONTROL!$C$27, 0.0021, 0)</f>
        <v>78.287999999999997</v>
      </c>
      <c r="E797" s="14">
        <f>78.1492 * CHOOSE(CONTROL!$C$9, $D$9, 100%, $F$9) + CHOOSE(CONTROL!$C$27, 0.0021, 0)</f>
        <v>78.151299999999992</v>
      </c>
      <c r="F797" s="14">
        <f>78.1492 * CHOOSE(CONTROL!$C$9, $D$9, 100%, $F$9) + CHOOSE(CONTROL!$C$27, 0.0021, 0)</f>
        <v>78.151299999999992</v>
      </c>
      <c r="G797" s="14">
        <f>78.4206 * CHOOSE(CONTROL!$C$9, $D$9, 100%, $F$9) + CHOOSE(CONTROL!$C$27, 0.0021, 0)</f>
        <v>78.422699999999992</v>
      </c>
      <c r="H797" s="14">
        <f>78.2859 * CHOOSE(CONTROL!$C$9, $D$9, 100%, $F$9) + CHOOSE(CONTROL!$C$27, 0.0021, 0)</f>
        <v>78.287999999999997</v>
      </c>
      <c r="I797" s="14">
        <f>78.2859 * CHOOSE(CONTROL!$C$9, $D$9, 100%, $F$9) + CHOOSE(CONTROL!$C$27, 0.0021, 0)</f>
        <v>78.287999999999997</v>
      </c>
      <c r="J797" s="14">
        <f>78.2859 * CHOOSE(CONTROL!$C$9, $D$9, 100%, $F$9) + CHOOSE(CONTROL!$C$27, 0.0021, 0)</f>
        <v>78.287999999999997</v>
      </c>
      <c r="K797" s="14">
        <f>78.2859 * CHOOSE(CONTROL!$C$9, $D$9, 100%, $F$9) + CHOOSE(CONTROL!$C$27, 0.0021, 0)</f>
        <v>78.287999999999997</v>
      </c>
      <c r="L797" s="14"/>
    </row>
    <row r="798" spans="1:12" ht="15.75" x14ac:dyDescent="0.25">
      <c r="A798" s="32">
        <v>65227</v>
      </c>
      <c r="B798" s="14">
        <f>80.2524 * CHOOSE(CONTROL!$C$9, $D$9, 100%, $F$9) + CHOOSE(CONTROL!$C$27, 0.0021, 0)</f>
        <v>80.254499999999993</v>
      </c>
      <c r="C798" s="14">
        <f>79.8202 * CHOOSE(CONTROL!$C$9, $D$9, 100%, $F$9) + CHOOSE(CONTROL!$C$27, 0.0021, 0)</f>
        <v>79.822299999999998</v>
      </c>
      <c r="D798" s="14">
        <f>79.8202 * CHOOSE(CONTROL!$C$9, $D$9, 100%, $F$9) + CHOOSE(CONTROL!$C$27, 0.0021, 0)</f>
        <v>79.822299999999998</v>
      </c>
      <c r="E798" s="14">
        <f>79.6835 * CHOOSE(CONTROL!$C$9, $D$9, 100%, $F$9) + CHOOSE(CONTROL!$C$27, 0.0021, 0)</f>
        <v>79.685599999999994</v>
      </c>
      <c r="F798" s="14">
        <f>79.6835 * CHOOSE(CONTROL!$C$9, $D$9, 100%, $F$9) + CHOOSE(CONTROL!$C$27, 0.0021, 0)</f>
        <v>79.685599999999994</v>
      </c>
      <c r="G798" s="14">
        <f>79.9549 * CHOOSE(CONTROL!$C$9, $D$9, 100%, $F$9) + CHOOSE(CONTROL!$C$27, 0.0021, 0)</f>
        <v>79.956999999999994</v>
      </c>
      <c r="H798" s="14">
        <f>79.8202 * CHOOSE(CONTROL!$C$9, $D$9, 100%, $F$9) + CHOOSE(CONTROL!$C$27, 0.0021, 0)</f>
        <v>79.822299999999998</v>
      </c>
      <c r="I798" s="14">
        <f>79.8202 * CHOOSE(CONTROL!$C$9, $D$9, 100%, $F$9) + CHOOSE(CONTROL!$C$27, 0.0021, 0)</f>
        <v>79.822299999999998</v>
      </c>
      <c r="J798" s="14">
        <f>79.8202 * CHOOSE(CONTROL!$C$9, $D$9, 100%, $F$9) + CHOOSE(CONTROL!$C$27, 0.0021, 0)</f>
        <v>79.822299999999998</v>
      </c>
      <c r="K798" s="14">
        <f>79.8202 * CHOOSE(CONTROL!$C$9, $D$9, 100%, $F$9) + CHOOSE(CONTROL!$C$27, 0.0021, 0)</f>
        <v>79.822299999999998</v>
      </c>
      <c r="L798" s="14"/>
    </row>
    <row r="799" spans="1:12" ht="15.75" x14ac:dyDescent="0.25">
      <c r="A799" s="32">
        <v>65258</v>
      </c>
      <c r="B799" s="14">
        <f>80.7208 * CHOOSE(CONTROL!$C$9, $D$9, 100%, $F$9) + CHOOSE(CONTROL!$C$27, 0.0021, 0)</f>
        <v>80.722899999999996</v>
      </c>
      <c r="C799" s="14">
        <f>80.2885 * CHOOSE(CONTROL!$C$9, $D$9, 100%, $F$9) + CHOOSE(CONTROL!$C$27, 0.0021, 0)</f>
        <v>80.290599999999998</v>
      </c>
      <c r="D799" s="14">
        <f>80.2885 * CHOOSE(CONTROL!$C$9, $D$9, 100%, $F$9) + CHOOSE(CONTROL!$C$27, 0.0021, 0)</f>
        <v>80.290599999999998</v>
      </c>
      <c r="E799" s="14">
        <f>80.1518 * CHOOSE(CONTROL!$C$9, $D$9, 100%, $F$9) + CHOOSE(CONTROL!$C$27, 0.0021, 0)</f>
        <v>80.153899999999993</v>
      </c>
      <c r="F799" s="14">
        <f>80.1518 * CHOOSE(CONTROL!$C$9, $D$9, 100%, $F$9) + CHOOSE(CONTROL!$C$27, 0.0021, 0)</f>
        <v>80.153899999999993</v>
      </c>
      <c r="G799" s="14">
        <f>80.4232 * CHOOSE(CONTROL!$C$9, $D$9, 100%, $F$9) + CHOOSE(CONTROL!$C$27, 0.0021, 0)</f>
        <v>80.425299999999993</v>
      </c>
      <c r="H799" s="14">
        <f>80.2885 * CHOOSE(CONTROL!$C$9, $D$9, 100%, $F$9) + CHOOSE(CONTROL!$C$27, 0.0021, 0)</f>
        <v>80.290599999999998</v>
      </c>
      <c r="I799" s="14">
        <f>80.2885 * CHOOSE(CONTROL!$C$9, $D$9, 100%, $F$9) + CHOOSE(CONTROL!$C$27, 0.0021, 0)</f>
        <v>80.290599999999998</v>
      </c>
      <c r="J799" s="14">
        <f>80.2885 * CHOOSE(CONTROL!$C$9, $D$9, 100%, $F$9) + CHOOSE(CONTROL!$C$27, 0.0021, 0)</f>
        <v>80.290599999999998</v>
      </c>
      <c r="K799" s="14">
        <f>80.2885 * CHOOSE(CONTROL!$C$9, $D$9, 100%, $F$9) + CHOOSE(CONTROL!$C$27, 0.0021, 0)</f>
        <v>80.290599999999998</v>
      </c>
      <c r="L799" s="14"/>
    </row>
    <row r="800" spans="1:12" ht="15.75" x14ac:dyDescent="0.25">
      <c r="A800" s="32">
        <v>65288</v>
      </c>
      <c r="B800" s="14">
        <f>82.3156 * CHOOSE(CONTROL!$C$9, $D$9, 100%, $F$9) + CHOOSE(CONTROL!$C$27, 0.0021, 0)</f>
        <v>82.317700000000002</v>
      </c>
      <c r="C800" s="14">
        <f>81.8833 * CHOOSE(CONTROL!$C$9, $D$9, 100%, $F$9) + CHOOSE(CONTROL!$C$27, 0.0021, 0)</f>
        <v>81.885400000000004</v>
      </c>
      <c r="D800" s="14">
        <f>81.8833 * CHOOSE(CONTROL!$C$9, $D$9, 100%, $F$9) + CHOOSE(CONTROL!$C$27, 0.0021, 0)</f>
        <v>81.885400000000004</v>
      </c>
      <c r="E800" s="14">
        <f>81.7467 * CHOOSE(CONTROL!$C$9, $D$9, 100%, $F$9) + CHOOSE(CONTROL!$C$27, 0.0021, 0)</f>
        <v>81.748800000000003</v>
      </c>
      <c r="F800" s="14">
        <f>81.7467 * CHOOSE(CONTROL!$C$9, $D$9, 100%, $F$9) + CHOOSE(CONTROL!$C$27, 0.0021, 0)</f>
        <v>81.748800000000003</v>
      </c>
      <c r="G800" s="14">
        <f>82.0181 * CHOOSE(CONTROL!$C$9, $D$9, 100%, $F$9) + CHOOSE(CONTROL!$C$27, 0.0021, 0)</f>
        <v>82.020200000000003</v>
      </c>
      <c r="H800" s="14">
        <f>81.8833 * CHOOSE(CONTROL!$C$9, $D$9, 100%, $F$9) + CHOOSE(CONTROL!$C$27, 0.0021, 0)</f>
        <v>81.885400000000004</v>
      </c>
      <c r="I800" s="14">
        <f>81.8833 * CHOOSE(CONTROL!$C$9, $D$9, 100%, $F$9) + CHOOSE(CONTROL!$C$27, 0.0021, 0)</f>
        <v>81.885400000000004</v>
      </c>
      <c r="J800" s="14">
        <f>81.8833 * CHOOSE(CONTROL!$C$9, $D$9, 100%, $F$9) + CHOOSE(CONTROL!$C$27, 0.0021, 0)</f>
        <v>81.885400000000004</v>
      </c>
      <c r="K800" s="14">
        <f>81.8833 * CHOOSE(CONTROL!$C$9, $D$9, 100%, $F$9) + CHOOSE(CONTROL!$C$27, 0.0021, 0)</f>
        <v>81.885400000000004</v>
      </c>
      <c r="L800" s="14"/>
    </row>
    <row r="801" spans="1:12" ht="15.75" x14ac:dyDescent="0.25">
      <c r="A801" s="32">
        <v>65319</v>
      </c>
      <c r="B801" s="14">
        <f>84.3344 * CHOOSE(CONTROL!$C$9, $D$9, 100%, $F$9) + CHOOSE(CONTROL!$C$27, 0.0021, 0)</f>
        <v>84.336500000000001</v>
      </c>
      <c r="C801" s="14">
        <f>83.9021 * CHOOSE(CONTROL!$C$9, $D$9, 100%, $F$9) + CHOOSE(CONTROL!$C$27, 0.0021, 0)</f>
        <v>83.904200000000003</v>
      </c>
      <c r="D801" s="14">
        <f>83.9021 * CHOOSE(CONTROL!$C$9, $D$9, 100%, $F$9) + CHOOSE(CONTROL!$C$27, 0.0021, 0)</f>
        <v>83.904200000000003</v>
      </c>
      <c r="E801" s="14">
        <f>83.7655 * CHOOSE(CONTROL!$C$9, $D$9, 100%, $F$9) + CHOOSE(CONTROL!$C$27, 0.0021, 0)</f>
        <v>83.767600000000002</v>
      </c>
      <c r="F801" s="14">
        <f>83.7655 * CHOOSE(CONTROL!$C$9, $D$9, 100%, $F$9) + CHOOSE(CONTROL!$C$27, 0.0021, 0)</f>
        <v>83.767600000000002</v>
      </c>
      <c r="G801" s="14">
        <f>84.0369 * CHOOSE(CONTROL!$C$9, $D$9, 100%, $F$9) + CHOOSE(CONTROL!$C$27, 0.0021, 0)</f>
        <v>84.039000000000001</v>
      </c>
      <c r="H801" s="14">
        <f>83.9021 * CHOOSE(CONTROL!$C$9, $D$9, 100%, $F$9) + CHOOSE(CONTROL!$C$27, 0.0021, 0)</f>
        <v>83.904200000000003</v>
      </c>
      <c r="I801" s="14">
        <f>83.9021 * CHOOSE(CONTROL!$C$9, $D$9, 100%, $F$9) + CHOOSE(CONTROL!$C$27, 0.0021, 0)</f>
        <v>83.904200000000003</v>
      </c>
      <c r="J801" s="14">
        <f>83.9021 * CHOOSE(CONTROL!$C$9, $D$9, 100%, $F$9) + CHOOSE(CONTROL!$C$27, 0.0021, 0)</f>
        <v>83.904200000000003</v>
      </c>
      <c r="K801" s="14">
        <f>83.9021 * CHOOSE(CONTROL!$C$9, $D$9, 100%, $F$9) + CHOOSE(CONTROL!$C$27, 0.0021, 0)</f>
        <v>83.904200000000003</v>
      </c>
      <c r="L801" s="14"/>
    </row>
    <row r="802" spans="1:12" ht="15.75" x14ac:dyDescent="0.25">
      <c r="A802" s="32">
        <v>65349</v>
      </c>
      <c r="B802" s="14">
        <f>84.5239 * CHOOSE(CONTROL!$C$9, $D$9, 100%, $F$9) + CHOOSE(CONTROL!$C$27, 0.0021, 0)</f>
        <v>84.525999999999996</v>
      </c>
      <c r="C802" s="14">
        <f>84.0917 * CHOOSE(CONTROL!$C$9, $D$9, 100%, $F$9) + CHOOSE(CONTROL!$C$27, 0.0021, 0)</f>
        <v>84.093800000000002</v>
      </c>
      <c r="D802" s="14">
        <f>84.0917 * CHOOSE(CONTROL!$C$9, $D$9, 100%, $F$9) + CHOOSE(CONTROL!$C$27, 0.0021, 0)</f>
        <v>84.093800000000002</v>
      </c>
      <c r="E802" s="14">
        <f>83.955 * CHOOSE(CONTROL!$C$9, $D$9, 100%, $F$9) + CHOOSE(CONTROL!$C$27, 0.0021, 0)</f>
        <v>83.957099999999997</v>
      </c>
      <c r="F802" s="14">
        <f>83.955 * CHOOSE(CONTROL!$C$9, $D$9, 100%, $F$9) + CHOOSE(CONTROL!$C$27, 0.0021, 0)</f>
        <v>83.957099999999997</v>
      </c>
      <c r="G802" s="14">
        <f>84.2264 * CHOOSE(CONTROL!$C$9, $D$9, 100%, $F$9) + CHOOSE(CONTROL!$C$27, 0.0021, 0)</f>
        <v>84.228499999999997</v>
      </c>
      <c r="H802" s="14">
        <f>84.0917 * CHOOSE(CONTROL!$C$9, $D$9, 100%, $F$9) + CHOOSE(CONTROL!$C$27, 0.0021, 0)</f>
        <v>84.093800000000002</v>
      </c>
      <c r="I802" s="14">
        <f>84.0917 * CHOOSE(CONTROL!$C$9, $D$9, 100%, $F$9) + CHOOSE(CONTROL!$C$27, 0.0021, 0)</f>
        <v>84.093800000000002</v>
      </c>
      <c r="J802" s="14">
        <f>84.0917 * CHOOSE(CONTROL!$C$9, $D$9, 100%, $F$9) + CHOOSE(CONTROL!$C$27, 0.0021, 0)</f>
        <v>84.093800000000002</v>
      </c>
      <c r="K802" s="14">
        <f>84.0917 * CHOOSE(CONTROL!$C$9, $D$9, 100%, $F$9) + CHOOSE(CONTROL!$C$27, 0.0021, 0)</f>
        <v>84.093800000000002</v>
      </c>
      <c r="L802" s="14"/>
    </row>
    <row r="803" spans="1:12" ht="15.75" x14ac:dyDescent="0.25">
      <c r="A803" s="32">
        <v>65380</v>
      </c>
      <c r="B803" s="14">
        <f>82.9115 * CHOOSE(CONTROL!$C$9, $D$9, 100%, $F$9) + CHOOSE(CONTROL!$C$27, 0.0021, 0)</f>
        <v>82.913600000000002</v>
      </c>
      <c r="C803" s="14">
        <f>82.4793 * CHOOSE(CONTROL!$C$9, $D$9, 100%, $F$9) + CHOOSE(CONTROL!$C$27, 0.0021, 0)</f>
        <v>82.481399999999994</v>
      </c>
      <c r="D803" s="14">
        <f>82.4793 * CHOOSE(CONTROL!$C$9, $D$9, 100%, $F$9) + CHOOSE(CONTROL!$C$27, 0.0021, 0)</f>
        <v>82.481399999999994</v>
      </c>
      <c r="E803" s="14">
        <f>82.3426 * CHOOSE(CONTROL!$C$9, $D$9, 100%, $F$9) + CHOOSE(CONTROL!$C$27, 0.0021, 0)</f>
        <v>82.344700000000003</v>
      </c>
      <c r="F803" s="14">
        <f>82.3426 * CHOOSE(CONTROL!$C$9, $D$9, 100%, $F$9) + CHOOSE(CONTROL!$C$27, 0.0021, 0)</f>
        <v>82.344700000000003</v>
      </c>
      <c r="G803" s="14">
        <f>82.614 * CHOOSE(CONTROL!$C$9, $D$9, 100%, $F$9) + CHOOSE(CONTROL!$C$27, 0.0021, 0)</f>
        <v>82.616100000000003</v>
      </c>
      <c r="H803" s="14">
        <f>82.4793 * CHOOSE(CONTROL!$C$9, $D$9, 100%, $F$9) + CHOOSE(CONTROL!$C$27, 0.0021, 0)</f>
        <v>82.481399999999994</v>
      </c>
      <c r="I803" s="14">
        <f>82.4793 * CHOOSE(CONTROL!$C$9, $D$9, 100%, $F$9) + CHOOSE(CONTROL!$C$27, 0.0021, 0)</f>
        <v>82.481399999999994</v>
      </c>
      <c r="J803" s="14">
        <f>82.4793 * CHOOSE(CONTROL!$C$9, $D$9, 100%, $F$9) + CHOOSE(CONTROL!$C$27, 0.0021, 0)</f>
        <v>82.481399999999994</v>
      </c>
      <c r="K803" s="14">
        <f>82.4793 * CHOOSE(CONTROL!$C$9, $D$9, 100%, $F$9) + CHOOSE(CONTROL!$C$27, 0.0021, 0)</f>
        <v>82.481399999999994</v>
      </c>
      <c r="L803" s="14"/>
    </row>
    <row r="804" spans="1:12" ht="15.75" x14ac:dyDescent="0.25">
      <c r="A804" s="32">
        <v>65411</v>
      </c>
      <c r="B804" s="14">
        <f>81.8552 * CHOOSE(CONTROL!$C$9, $D$9, 100%, $F$9) + CHOOSE(CONTROL!$C$27, 0.0021, 0)</f>
        <v>81.857299999999995</v>
      </c>
      <c r="C804" s="14">
        <f>81.423 * CHOOSE(CONTROL!$C$9, $D$9, 100%, $F$9) + CHOOSE(CONTROL!$C$27, 0.0021, 0)</f>
        <v>81.4251</v>
      </c>
      <c r="D804" s="14">
        <f>81.423 * CHOOSE(CONTROL!$C$9, $D$9, 100%, $F$9) + CHOOSE(CONTROL!$C$27, 0.0021, 0)</f>
        <v>81.4251</v>
      </c>
      <c r="E804" s="14">
        <f>81.2863 * CHOOSE(CONTROL!$C$9, $D$9, 100%, $F$9) + CHOOSE(CONTROL!$C$27, 0.0021, 0)</f>
        <v>81.288399999999996</v>
      </c>
      <c r="F804" s="14">
        <f>81.2863 * CHOOSE(CONTROL!$C$9, $D$9, 100%, $F$9) + CHOOSE(CONTROL!$C$27, 0.0021, 0)</f>
        <v>81.288399999999996</v>
      </c>
      <c r="G804" s="14">
        <f>81.5577 * CHOOSE(CONTROL!$C$9, $D$9, 100%, $F$9) + CHOOSE(CONTROL!$C$27, 0.0021, 0)</f>
        <v>81.559799999999996</v>
      </c>
      <c r="H804" s="14">
        <f>81.423 * CHOOSE(CONTROL!$C$9, $D$9, 100%, $F$9) + CHOOSE(CONTROL!$C$27, 0.0021, 0)</f>
        <v>81.4251</v>
      </c>
      <c r="I804" s="14">
        <f>81.423 * CHOOSE(CONTROL!$C$9, $D$9, 100%, $F$9) + CHOOSE(CONTROL!$C$27, 0.0021, 0)</f>
        <v>81.4251</v>
      </c>
      <c r="J804" s="14">
        <f>81.423 * CHOOSE(CONTROL!$C$9, $D$9, 100%, $F$9) + CHOOSE(CONTROL!$C$27, 0.0021, 0)</f>
        <v>81.4251</v>
      </c>
      <c r="K804" s="14">
        <f>81.423 * CHOOSE(CONTROL!$C$9, $D$9, 100%, $F$9) + CHOOSE(CONTROL!$C$27, 0.0021, 0)</f>
        <v>81.4251</v>
      </c>
      <c r="L804" s="14"/>
    </row>
    <row r="805" spans="1:12" ht="15.75" x14ac:dyDescent="0.25">
      <c r="A805" s="32">
        <v>65439</v>
      </c>
      <c r="B805" s="14">
        <f>79.6048 * CHOOSE(CONTROL!$C$9, $D$9, 100%, $F$9) + CHOOSE(CONTROL!$C$27, 0.0021, 0)</f>
        <v>79.606899999999996</v>
      </c>
      <c r="C805" s="14">
        <f>79.1725 * CHOOSE(CONTROL!$C$9, $D$9, 100%, $F$9) + CHOOSE(CONTROL!$C$27, 0.0021, 0)</f>
        <v>79.174599999999998</v>
      </c>
      <c r="D805" s="14">
        <f>79.1725 * CHOOSE(CONTROL!$C$9, $D$9, 100%, $F$9) + CHOOSE(CONTROL!$C$27, 0.0021, 0)</f>
        <v>79.174599999999998</v>
      </c>
      <c r="E805" s="14">
        <f>79.0359 * CHOOSE(CONTROL!$C$9, $D$9, 100%, $F$9) + CHOOSE(CONTROL!$C$27, 0.0021, 0)</f>
        <v>79.037999999999997</v>
      </c>
      <c r="F805" s="14">
        <f>79.0359 * CHOOSE(CONTROL!$C$9, $D$9, 100%, $F$9) + CHOOSE(CONTROL!$C$27, 0.0021, 0)</f>
        <v>79.037999999999997</v>
      </c>
      <c r="G805" s="14">
        <f>79.3072 * CHOOSE(CONTROL!$C$9, $D$9, 100%, $F$9) + CHOOSE(CONTROL!$C$27, 0.0021, 0)</f>
        <v>79.309299999999993</v>
      </c>
      <c r="H805" s="14">
        <f>79.1725 * CHOOSE(CONTROL!$C$9, $D$9, 100%, $F$9) + CHOOSE(CONTROL!$C$27, 0.0021, 0)</f>
        <v>79.174599999999998</v>
      </c>
      <c r="I805" s="14">
        <f>79.1725 * CHOOSE(CONTROL!$C$9, $D$9, 100%, $F$9) + CHOOSE(CONTROL!$C$27, 0.0021, 0)</f>
        <v>79.174599999999998</v>
      </c>
      <c r="J805" s="14">
        <f>79.1725 * CHOOSE(CONTROL!$C$9, $D$9, 100%, $F$9) + CHOOSE(CONTROL!$C$27, 0.0021, 0)</f>
        <v>79.174599999999998</v>
      </c>
      <c r="K805" s="14">
        <f>79.1725 * CHOOSE(CONTROL!$C$9, $D$9, 100%, $F$9) + CHOOSE(CONTROL!$C$27, 0.0021, 0)</f>
        <v>79.174599999999998</v>
      </c>
      <c r="L805" s="14"/>
    </row>
    <row r="806" spans="1:12" ht="15.75" x14ac:dyDescent="0.25">
      <c r="A806" s="32">
        <v>65470</v>
      </c>
      <c r="B806" s="14">
        <f>78.6758 * CHOOSE(CONTROL!$C$9, $D$9, 100%, $F$9) + CHOOSE(CONTROL!$C$27, 0.0021, 0)</f>
        <v>78.677899999999994</v>
      </c>
      <c r="C806" s="14">
        <f>78.2435 * CHOOSE(CONTROL!$C$9, $D$9, 100%, $F$9) + CHOOSE(CONTROL!$C$27, 0.0021, 0)</f>
        <v>78.245599999999996</v>
      </c>
      <c r="D806" s="14">
        <f>78.2435 * CHOOSE(CONTROL!$C$9, $D$9, 100%, $F$9) + CHOOSE(CONTROL!$C$27, 0.0021, 0)</f>
        <v>78.245599999999996</v>
      </c>
      <c r="E806" s="14">
        <f>78.1069 * CHOOSE(CONTROL!$C$9, $D$9, 100%, $F$9) + CHOOSE(CONTROL!$C$27, 0.0021, 0)</f>
        <v>78.108999999999995</v>
      </c>
      <c r="F806" s="14">
        <f>78.1069 * CHOOSE(CONTROL!$C$9, $D$9, 100%, $F$9) + CHOOSE(CONTROL!$C$27, 0.0021, 0)</f>
        <v>78.108999999999995</v>
      </c>
      <c r="G806" s="14">
        <f>78.3783 * CHOOSE(CONTROL!$C$9, $D$9, 100%, $F$9) + CHOOSE(CONTROL!$C$27, 0.0021, 0)</f>
        <v>78.380399999999995</v>
      </c>
      <c r="H806" s="14">
        <f>78.2435 * CHOOSE(CONTROL!$C$9, $D$9, 100%, $F$9) + CHOOSE(CONTROL!$C$27, 0.0021, 0)</f>
        <v>78.245599999999996</v>
      </c>
      <c r="I806" s="14">
        <f>78.2435 * CHOOSE(CONTROL!$C$9, $D$9, 100%, $F$9) + CHOOSE(CONTROL!$C$27, 0.0021, 0)</f>
        <v>78.245599999999996</v>
      </c>
      <c r="J806" s="14">
        <f>78.2435 * CHOOSE(CONTROL!$C$9, $D$9, 100%, $F$9) + CHOOSE(CONTROL!$C$27, 0.0021, 0)</f>
        <v>78.245599999999996</v>
      </c>
      <c r="K806" s="14">
        <f>78.2435 * CHOOSE(CONTROL!$C$9, $D$9, 100%, $F$9) + CHOOSE(CONTROL!$C$27, 0.0021, 0)</f>
        <v>78.245599999999996</v>
      </c>
      <c r="L806" s="14"/>
    </row>
    <row r="807" spans="1:12" ht="15.75" x14ac:dyDescent="0.25">
      <c r="A807" s="32">
        <v>65500</v>
      </c>
      <c r="B807" s="14">
        <f>77.5666 * CHOOSE(CONTROL!$C$9, $D$9, 100%, $F$9) + CHOOSE(CONTROL!$C$27, 0.0021, 0)</f>
        <v>77.568699999999993</v>
      </c>
      <c r="C807" s="14">
        <f>77.1343 * CHOOSE(CONTROL!$C$9, $D$9, 100%, $F$9) + CHOOSE(CONTROL!$C$27, 0.0021, 0)</f>
        <v>77.136399999999995</v>
      </c>
      <c r="D807" s="14">
        <f>77.1343 * CHOOSE(CONTROL!$C$9, $D$9, 100%, $F$9) + CHOOSE(CONTROL!$C$27, 0.0021, 0)</f>
        <v>77.136399999999995</v>
      </c>
      <c r="E807" s="14">
        <f>76.9976 * CHOOSE(CONTROL!$C$9, $D$9, 100%, $F$9) + CHOOSE(CONTROL!$C$27, 0.0021, 0)</f>
        <v>76.999700000000004</v>
      </c>
      <c r="F807" s="14">
        <f>76.9976 * CHOOSE(CONTROL!$C$9, $D$9, 100%, $F$9) + CHOOSE(CONTROL!$C$27, 0.0021, 0)</f>
        <v>76.999700000000004</v>
      </c>
      <c r="G807" s="14">
        <f>77.269 * CHOOSE(CONTROL!$C$9, $D$9, 100%, $F$9) + CHOOSE(CONTROL!$C$27, 0.0021, 0)</f>
        <v>77.271100000000004</v>
      </c>
      <c r="H807" s="14">
        <f>77.1343 * CHOOSE(CONTROL!$C$9, $D$9, 100%, $F$9) + CHOOSE(CONTROL!$C$27, 0.0021, 0)</f>
        <v>77.136399999999995</v>
      </c>
      <c r="I807" s="14">
        <f>77.1343 * CHOOSE(CONTROL!$C$9, $D$9, 100%, $F$9) + CHOOSE(CONTROL!$C$27, 0.0021, 0)</f>
        <v>77.136399999999995</v>
      </c>
      <c r="J807" s="14">
        <f>77.1343 * CHOOSE(CONTROL!$C$9, $D$9, 100%, $F$9) + CHOOSE(CONTROL!$C$27, 0.0021, 0)</f>
        <v>77.136399999999995</v>
      </c>
      <c r="K807" s="14">
        <f>77.1343 * CHOOSE(CONTROL!$C$9, $D$9, 100%, $F$9) + CHOOSE(CONTROL!$C$27, 0.0021, 0)</f>
        <v>77.136399999999995</v>
      </c>
      <c r="L807" s="14"/>
    </row>
    <row r="808" spans="1:12" ht="15.75" x14ac:dyDescent="0.25">
      <c r="A808" s="32">
        <v>65531</v>
      </c>
      <c r="B808" s="14">
        <f>79.1473 * CHOOSE(CONTROL!$C$9, $D$9, 100%, $F$9) + CHOOSE(CONTROL!$C$27, 0.0021, 0)</f>
        <v>79.1494</v>
      </c>
      <c r="C808" s="14">
        <f>78.7151 * CHOOSE(CONTROL!$C$9, $D$9, 100%, $F$9) + CHOOSE(CONTROL!$C$27, 0.0021, 0)</f>
        <v>78.717200000000005</v>
      </c>
      <c r="D808" s="14">
        <f>78.7151 * CHOOSE(CONTROL!$C$9, $D$9, 100%, $F$9) + CHOOSE(CONTROL!$C$27, 0.0021, 0)</f>
        <v>78.717200000000005</v>
      </c>
      <c r="E808" s="14">
        <f>78.5784 * CHOOSE(CONTROL!$C$9, $D$9, 100%, $F$9) + CHOOSE(CONTROL!$C$27, 0.0021, 0)</f>
        <v>78.580500000000001</v>
      </c>
      <c r="F808" s="14">
        <f>78.5784 * CHOOSE(CONTROL!$C$9, $D$9, 100%, $F$9) + CHOOSE(CONTROL!$C$27, 0.0021, 0)</f>
        <v>78.580500000000001</v>
      </c>
      <c r="G808" s="14">
        <f>78.8498 * CHOOSE(CONTROL!$C$9, $D$9, 100%, $F$9) + CHOOSE(CONTROL!$C$27, 0.0021, 0)</f>
        <v>78.851900000000001</v>
      </c>
      <c r="H808" s="14">
        <f>78.7151 * CHOOSE(CONTROL!$C$9, $D$9, 100%, $F$9) + CHOOSE(CONTROL!$C$27, 0.0021, 0)</f>
        <v>78.717200000000005</v>
      </c>
      <c r="I808" s="14">
        <f>78.7151 * CHOOSE(CONTROL!$C$9, $D$9, 100%, $F$9) + CHOOSE(CONTROL!$C$27, 0.0021, 0)</f>
        <v>78.717200000000005</v>
      </c>
      <c r="J808" s="14">
        <f>78.7151 * CHOOSE(CONTROL!$C$9, $D$9, 100%, $F$9) + CHOOSE(CONTROL!$C$27, 0.0021, 0)</f>
        <v>78.717200000000005</v>
      </c>
      <c r="K808" s="14">
        <f>78.7151 * CHOOSE(CONTROL!$C$9, $D$9, 100%, $F$9) + CHOOSE(CONTROL!$C$27, 0.0021, 0)</f>
        <v>78.717200000000005</v>
      </c>
      <c r="L808" s="14"/>
    </row>
    <row r="809" spans="1:12" ht="15.75" x14ac:dyDescent="0.25">
      <c r="A809" s="32">
        <v>65561</v>
      </c>
      <c r="B809" s="14">
        <f>80.0942 * CHOOSE(CONTROL!$C$9, $D$9, 100%, $F$9) + CHOOSE(CONTROL!$C$27, 0.0021, 0)</f>
        <v>80.096299999999999</v>
      </c>
      <c r="C809" s="14">
        <f>79.6619 * CHOOSE(CONTROL!$C$9, $D$9, 100%, $F$9) + CHOOSE(CONTROL!$C$27, 0.0021, 0)</f>
        <v>79.664000000000001</v>
      </c>
      <c r="D809" s="14">
        <f>79.6619 * CHOOSE(CONTROL!$C$9, $D$9, 100%, $F$9) + CHOOSE(CONTROL!$C$27, 0.0021, 0)</f>
        <v>79.664000000000001</v>
      </c>
      <c r="E809" s="14">
        <f>79.5253 * CHOOSE(CONTROL!$C$9, $D$9, 100%, $F$9) + CHOOSE(CONTROL!$C$27, 0.0021, 0)</f>
        <v>79.5274</v>
      </c>
      <c r="F809" s="14">
        <f>79.5253 * CHOOSE(CONTROL!$C$9, $D$9, 100%, $F$9) + CHOOSE(CONTROL!$C$27, 0.0021, 0)</f>
        <v>79.5274</v>
      </c>
      <c r="G809" s="14">
        <f>79.7966 * CHOOSE(CONTROL!$C$9, $D$9, 100%, $F$9) + CHOOSE(CONTROL!$C$27, 0.0021, 0)</f>
        <v>79.798699999999997</v>
      </c>
      <c r="H809" s="14">
        <f>79.6619 * CHOOSE(CONTROL!$C$9, $D$9, 100%, $F$9) + CHOOSE(CONTROL!$C$27, 0.0021, 0)</f>
        <v>79.664000000000001</v>
      </c>
      <c r="I809" s="14">
        <f>79.6619 * CHOOSE(CONTROL!$C$9, $D$9, 100%, $F$9) + CHOOSE(CONTROL!$C$27, 0.0021, 0)</f>
        <v>79.664000000000001</v>
      </c>
      <c r="J809" s="14">
        <f>79.6619 * CHOOSE(CONTROL!$C$9, $D$9, 100%, $F$9) + CHOOSE(CONTROL!$C$27, 0.0021, 0)</f>
        <v>79.664000000000001</v>
      </c>
      <c r="K809" s="14">
        <f>79.6619 * CHOOSE(CONTROL!$C$9, $D$9, 100%, $F$9) + CHOOSE(CONTROL!$C$27, 0.0021, 0)</f>
        <v>79.664000000000001</v>
      </c>
      <c r="L809" s="14"/>
    </row>
    <row r="810" spans="1:12" ht="15.75" x14ac:dyDescent="0.25">
      <c r="A810" s="32">
        <v>65592</v>
      </c>
      <c r="B810" s="14">
        <f>81.6561 * CHOOSE(CONTROL!$C$9, $D$9, 100%, $F$9) + CHOOSE(CONTROL!$C$27, 0.0021, 0)</f>
        <v>81.658199999999994</v>
      </c>
      <c r="C810" s="14">
        <f>81.2239 * CHOOSE(CONTROL!$C$9, $D$9, 100%, $F$9) + CHOOSE(CONTROL!$C$27, 0.0021, 0)</f>
        <v>81.225999999999999</v>
      </c>
      <c r="D810" s="14">
        <f>81.2239 * CHOOSE(CONTROL!$C$9, $D$9, 100%, $F$9) + CHOOSE(CONTROL!$C$27, 0.0021, 0)</f>
        <v>81.225999999999999</v>
      </c>
      <c r="E810" s="14">
        <f>81.0872 * CHOOSE(CONTROL!$C$9, $D$9, 100%, $F$9) + CHOOSE(CONTROL!$C$27, 0.0021, 0)</f>
        <v>81.089299999999994</v>
      </c>
      <c r="F810" s="14">
        <f>81.0872 * CHOOSE(CONTROL!$C$9, $D$9, 100%, $F$9) + CHOOSE(CONTROL!$C$27, 0.0021, 0)</f>
        <v>81.089299999999994</v>
      </c>
      <c r="G810" s="14">
        <f>81.3586 * CHOOSE(CONTROL!$C$9, $D$9, 100%, $F$9) + CHOOSE(CONTROL!$C$27, 0.0021, 0)</f>
        <v>81.360699999999994</v>
      </c>
      <c r="H810" s="14">
        <f>81.2239 * CHOOSE(CONTROL!$C$9, $D$9, 100%, $F$9) + CHOOSE(CONTROL!$C$27, 0.0021, 0)</f>
        <v>81.225999999999999</v>
      </c>
      <c r="I810" s="14">
        <f>81.2239 * CHOOSE(CONTROL!$C$9, $D$9, 100%, $F$9) + CHOOSE(CONTROL!$C$27, 0.0021, 0)</f>
        <v>81.225999999999999</v>
      </c>
      <c r="J810" s="14">
        <f>81.2239 * CHOOSE(CONTROL!$C$9, $D$9, 100%, $F$9) + CHOOSE(CONTROL!$C$27, 0.0021, 0)</f>
        <v>81.225999999999999</v>
      </c>
      <c r="K810" s="14">
        <f>81.2239 * CHOOSE(CONTROL!$C$9, $D$9, 100%, $F$9) + CHOOSE(CONTROL!$C$27, 0.0021, 0)</f>
        <v>81.225999999999999</v>
      </c>
      <c r="L810" s="14"/>
    </row>
    <row r="811" spans="1:12" ht="15.75" x14ac:dyDescent="0.25">
      <c r="A811" s="32">
        <v>65623</v>
      </c>
      <c r="B811" s="14">
        <f>82.1328 * CHOOSE(CONTROL!$C$9, $D$9, 100%, $F$9) + CHOOSE(CONTROL!$C$27, 0.0021, 0)</f>
        <v>82.134900000000002</v>
      </c>
      <c r="C811" s="14">
        <f>81.7006 * CHOOSE(CONTROL!$C$9, $D$9, 100%, $F$9) + CHOOSE(CONTROL!$C$27, 0.0021, 0)</f>
        <v>81.702699999999993</v>
      </c>
      <c r="D811" s="14">
        <f>81.7006 * CHOOSE(CONTROL!$C$9, $D$9, 100%, $F$9) + CHOOSE(CONTROL!$C$27, 0.0021, 0)</f>
        <v>81.702699999999993</v>
      </c>
      <c r="E811" s="14">
        <f>81.5639 * CHOOSE(CONTROL!$C$9, $D$9, 100%, $F$9) + CHOOSE(CONTROL!$C$27, 0.0021, 0)</f>
        <v>81.566000000000003</v>
      </c>
      <c r="F811" s="14">
        <f>81.5639 * CHOOSE(CONTROL!$C$9, $D$9, 100%, $F$9) + CHOOSE(CONTROL!$C$27, 0.0021, 0)</f>
        <v>81.566000000000003</v>
      </c>
      <c r="G811" s="14">
        <f>81.8353 * CHOOSE(CONTROL!$C$9, $D$9, 100%, $F$9) + CHOOSE(CONTROL!$C$27, 0.0021, 0)</f>
        <v>81.837400000000002</v>
      </c>
      <c r="H811" s="14">
        <f>81.7006 * CHOOSE(CONTROL!$C$9, $D$9, 100%, $F$9) + CHOOSE(CONTROL!$C$27, 0.0021, 0)</f>
        <v>81.702699999999993</v>
      </c>
      <c r="I811" s="14">
        <f>81.7006 * CHOOSE(CONTROL!$C$9, $D$9, 100%, $F$9) + CHOOSE(CONTROL!$C$27, 0.0021, 0)</f>
        <v>81.702699999999993</v>
      </c>
      <c r="J811" s="14">
        <f>81.7006 * CHOOSE(CONTROL!$C$9, $D$9, 100%, $F$9) + CHOOSE(CONTROL!$C$27, 0.0021, 0)</f>
        <v>81.702699999999993</v>
      </c>
      <c r="K811" s="14">
        <f>81.7006 * CHOOSE(CONTROL!$C$9, $D$9, 100%, $F$9) + CHOOSE(CONTROL!$C$27, 0.0021, 0)</f>
        <v>81.702699999999993</v>
      </c>
      <c r="L811" s="14"/>
    </row>
    <row r="812" spans="1:12" ht="15.75" x14ac:dyDescent="0.25">
      <c r="A812" s="32">
        <v>65653</v>
      </c>
      <c r="B812" s="14">
        <f>83.7564 * CHOOSE(CONTROL!$C$9, $D$9, 100%, $F$9) + CHOOSE(CONTROL!$C$27, 0.0021, 0)</f>
        <v>83.758499999999998</v>
      </c>
      <c r="C812" s="14">
        <f>83.3242 * CHOOSE(CONTROL!$C$9, $D$9, 100%, $F$9) + CHOOSE(CONTROL!$C$27, 0.0021, 0)</f>
        <v>83.326300000000003</v>
      </c>
      <c r="D812" s="14">
        <f>83.3242 * CHOOSE(CONTROL!$C$9, $D$9, 100%, $F$9) + CHOOSE(CONTROL!$C$27, 0.0021, 0)</f>
        <v>83.326300000000003</v>
      </c>
      <c r="E812" s="14">
        <f>83.1875 * CHOOSE(CONTROL!$C$9, $D$9, 100%, $F$9) + CHOOSE(CONTROL!$C$27, 0.0021, 0)</f>
        <v>83.189599999999999</v>
      </c>
      <c r="F812" s="14">
        <f>83.1875 * CHOOSE(CONTROL!$C$9, $D$9, 100%, $F$9) + CHOOSE(CONTROL!$C$27, 0.0021, 0)</f>
        <v>83.189599999999999</v>
      </c>
      <c r="G812" s="14">
        <f>83.4589 * CHOOSE(CONTROL!$C$9, $D$9, 100%, $F$9) + CHOOSE(CONTROL!$C$27, 0.0021, 0)</f>
        <v>83.460999999999999</v>
      </c>
      <c r="H812" s="14">
        <f>83.3242 * CHOOSE(CONTROL!$C$9, $D$9, 100%, $F$9) + CHOOSE(CONTROL!$C$27, 0.0021, 0)</f>
        <v>83.326300000000003</v>
      </c>
      <c r="I812" s="14">
        <f>83.3242 * CHOOSE(CONTROL!$C$9, $D$9, 100%, $F$9) + CHOOSE(CONTROL!$C$27, 0.0021, 0)</f>
        <v>83.326300000000003</v>
      </c>
      <c r="J812" s="14">
        <f>83.3242 * CHOOSE(CONTROL!$C$9, $D$9, 100%, $F$9) + CHOOSE(CONTROL!$C$27, 0.0021, 0)</f>
        <v>83.326300000000003</v>
      </c>
      <c r="K812" s="14">
        <f>83.3242 * CHOOSE(CONTROL!$C$9, $D$9, 100%, $F$9) + CHOOSE(CONTROL!$C$27, 0.0021, 0)</f>
        <v>83.326300000000003</v>
      </c>
      <c r="L812" s="14"/>
    </row>
    <row r="813" spans="1:12" ht="15.75" x14ac:dyDescent="0.25">
      <c r="A813" s="32">
        <v>65684</v>
      </c>
      <c r="B813" s="14">
        <f>85.8115 * CHOOSE(CONTROL!$C$9, $D$9, 100%, $F$9) + CHOOSE(CONTROL!$C$27, 0.0021, 0)</f>
        <v>85.813599999999994</v>
      </c>
      <c r="C813" s="14">
        <f>85.3793 * CHOOSE(CONTROL!$C$9, $D$9, 100%, $F$9) + CHOOSE(CONTROL!$C$27, 0.0021, 0)</f>
        <v>85.381399999999999</v>
      </c>
      <c r="D813" s="14">
        <f>85.3793 * CHOOSE(CONTROL!$C$9, $D$9, 100%, $F$9) + CHOOSE(CONTROL!$C$27, 0.0021, 0)</f>
        <v>85.381399999999999</v>
      </c>
      <c r="E813" s="14">
        <f>85.2426 * CHOOSE(CONTROL!$C$9, $D$9, 100%, $F$9) + CHOOSE(CONTROL!$C$27, 0.0021, 0)</f>
        <v>85.244699999999995</v>
      </c>
      <c r="F813" s="14">
        <f>85.2426 * CHOOSE(CONTROL!$C$9, $D$9, 100%, $F$9) + CHOOSE(CONTROL!$C$27, 0.0021, 0)</f>
        <v>85.244699999999995</v>
      </c>
      <c r="G813" s="14">
        <f>85.514 * CHOOSE(CONTROL!$C$9, $D$9, 100%, $F$9) + CHOOSE(CONTROL!$C$27, 0.0021, 0)</f>
        <v>85.516099999999994</v>
      </c>
      <c r="H813" s="14">
        <f>85.3793 * CHOOSE(CONTROL!$C$9, $D$9, 100%, $F$9) + CHOOSE(CONTROL!$C$27, 0.0021, 0)</f>
        <v>85.381399999999999</v>
      </c>
      <c r="I813" s="14">
        <f>85.3793 * CHOOSE(CONTROL!$C$9, $D$9, 100%, $F$9) + CHOOSE(CONTROL!$C$27, 0.0021, 0)</f>
        <v>85.381399999999999</v>
      </c>
      <c r="J813" s="14">
        <f>85.3793 * CHOOSE(CONTROL!$C$9, $D$9, 100%, $F$9) + CHOOSE(CONTROL!$C$27, 0.0021, 0)</f>
        <v>85.381399999999999</v>
      </c>
      <c r="K813" s="14">
        <f>85.3793 * CHOOSE(CONTROL!$C$9, $D$9, 100%, $F$9) + CHOOSE(CONTROL!$C$27, 0.0021, 0)</f>
        <v>85.381399999999999</v>
      </c>
      <c r="L813" s="14"/>
    </row>
    <row r="814" spans="1:12" ht="15.75" x14ac:dyDescent="0.25">
      <c r="A814" s="32">
        <v>65714</v>
      </c>
      <c r="B814" s="14">
        <f>86.0045 * CHOOSE(CONTROL!$C$9, $D$9, 100%, $F$9) + CHOOSE(CONTROL!$C$27, 0.0021, 0)</f>
        <v>86.006599999999992</v>
      </c>
      <c r="C814" s="14">
        <f>85.5722 * CHOOSE(CONTROL!$C$9, $D$9, 100%, $F$9) + CHOOSE(CONTROL!$C$27, 0.0021, 0)</f>
        <v>85.574299999999994</v>
      </c>
      <c r="D814" s="14">
        <f>85.5722 * CHOOSE(CONTROL!$C$9, $D$9, 100%, $F$9) + CHOOSE(CONTROL!$C$27, 0.0021, 0)</f>
        <v>85.574299999999994</v>
      </c>
      <c r="E814" s="14">
        <f>85.4356 * CHOOSE(CONTROL!$C$9, $D$9, 100%, $F$9) + CHOOSE(CONTROL!$C$27, 0.0021, 0)</f>
        <v>85.437699999999992</v>
      </c>
      <c r="F814" s="14">
        <f>85.4356 * CHOOSE(CONTROL!$C$9, $D$9, 100%, $F$9) + CHOOSE(CONTROL!$C$27, 0.0021, 0)</f>
        <v>85.437699999999992</v>
      </c>
      <c r="G814" s="14">
        <f>85.7069 * CHOOSE(CONTROL!$C$9, $D$9, 100%, $F$9) + CHOOSE(CONTROL!$C$27, 0.0021, 0)</f>
        <v>85.709000000000003</v>
      </c>
      <c r="H814" s="14">
        <f>85.5722 * CHOOSE(CONTROL!$C$9, $D$9, 100%, $F$9) + CHOOSE(CONTROL!$C$27, 0.0021, 0)</f>
        <v>85.574299999999994</v>
      </c>
      <c r="I814" s="14">
        <f>85.5722 * CHOOSE(CONTROL!$C$9, $D$9, 100%, $F$9) + CHOOSE(CONTROL!$C$27, 0.0021, 0)</f>
        <v>85.574299999999994</v>
      </c>
      <c r="J814" s="14">
        <f>85.5722 * CHOOSE(CONTROL!$C$9, $D$9, 100%, $F$9) + CHOOSE(CONTROL!$C$27, 0.0021, 0)</f>
        <v>85.574299999999994</v>
      </c>
      <c r="K814" s="14">
        <f>85.5722 * CHOOSE(CONTROL!$C$9, $D$9, 100%, $F$9) + CHOOSE(CONTROL!$C$27, 0.0021, 0)</f>
        <v>85.574299999999994</v>
      </c>
      <c r="L814" s="14"/>
    </row>
    <row r="815" spans="1:12" ht="15.75" x14ac:dyDescent="0.25">
      <c r="A815" s="32">
        <v>65745</v>
      </c>
      <c r="B815" s="14">
        <f>84.3631 * CHOOSE(CONTROL!$C$9, $D$9, 100%, $F$9) + CHOOSE(CONTROL!$C$27, 0.0021, 0)</f>
        <v>84.365200000000002</v>
      </c>
      <c r="C815" s="14">
        <f>83.9308 * CHOOSE(CONTROL!$C$9, $D$9, 100%, $F$9) + CHOOSE(CONTROL!$C$27, 0.0021, 0)</f>
        <v>83.932900000000004</v>
      </c>
      <c r="D815" s="14">
        <f>83.9308 * CHOOSE(CONTROL!$C$9, $D$9, 100%, $F$9) + CHOOSE(CONTROL!$C$27, 0.0021, 0)</f>
        <v>83.932900000000004</v>
      </c>
      <c r="E815" s="14">
        <f>83.7942 * CHOOSE(CONTROL!$C$9, $D$9, 100%, $F$9) + CHOOSE(CONTROL!$C$27, 0.0021, 0)</f>
        <v>83.796300000000002</v>
      </c>
      <c r="F815" s="14">
        <f>83.7942 * CHOOSE(CONTROL!$C$9, $D$9, 100%, $F$9) + CHOOSE(CONTROL!$C$27, 0.0021, 0)</f>
        <v>83.796300000000002</v>
      </c>
      <c r="G815" s="14">
        <f>84.0655 * CHOOSE(CONTROL!$C$9, $D$9, 100%, $F$9) + CHOOSE(CONTROL!$C$27, 0.0021, 0)</f>
        <v>84.067599999999999</v>
      </c>
      <c r="H815" s="14">
        <f>83.9308 * CHOOSE(CONTROL!$C$9, $D$9, 100%, $F$9) + CHOOSE(CONTROL!$C$27, 0.0021, 0)</f>
        <v>83.932900000000004</v>
      </c>
      <c r="I815" s="14">
        <f>83.9308 * CHOOSE(CONTROL!$C$9, $D$9, 100%, $F$9) + CHOOSE(CONTROL!$C$27, 0.0021, 0)</f>
        <v>83.932900000000004</v>
      </c>
      <c r="J815" s="14">
        <f>83.9308 * CHOOSE(CONTROL!$C$9, $D$9, 100%, $F$9) + CHOOSE(CONTROL!$C$27, 0.0021, 0)</f>
        <v>83.932900000000004</v>
      </c>
      <c r="K815" s="14">
        <f>83.9308 * CHOOSE(CONTROL!$C$9, $D$9, 100%, $F$9) + CHOOSE(CONTROL!$C$27, 0.0021, 0)</f>
        <v>83.932900000000004</v>
      </c>
      <c r="L815" s="14"/>
    </row>
    <row r="816" spans="1:12" ht="15.75" x14ac:dyDescent="0.25">
      <c r="A816" s="32">
        <v>65776</v>
      </c>
      <c r="B816" s="14">
        <f>83.2878 * CHOOSE(CONTROL!$C$9, $D$9, 100%, $F$9) + CHOOSE(CONTROL!$C$27, 0.0021, 0)</f>
        <v>83.289900000000003</v>
      </c>
      <c r="C816" s="14">
        <f>82.8555 * CHOOSE(CONTROL!$C$9, $D$9, 100%, $F$9) + CHOOSE(CONTROL!$C$27, 0.0021, 0)</f>
        <v>82.857600000000005</v>
      </c>
      <c r="D816" s="14">
        <f>82.8555 * CHOOSE(CONTROL!$C$9, $D$9, 100%, $F$9) + CHOOSE(CONTROL!$C$27, 0.0021, 0)</f>
        <v>82.857600000000005</v>
      </c>
      <c r="E816" s="14">
        <f>82.7189 * CHOOSE(CONTROL!$C$9, $D$9, 100%, $F$9) + CHOOSE(CONTROL!$C$27, 0.0021, 0)</f>
        <v>82.721000000000004</v>
      </c>
      <c r="F816" s="14">
        <f>82.7189 * CHOOSE(CONTROL!$C$9, $D$9, 100%, $F$9) + CHOOSE(CONTROL!$C$27, 0.0021, 0)</f>
        <v>82.721000000000004</v>
      </c>
      <c r="G816" s="14">
        <f>82.9902 * CHOOSE(CONTROL!$C$9, $D$9, 100%, $F$9) + CHOOSE(CONTROL!$C$27, 0.0021, 0)</f>
        <v>82.9923</v>
      </c>
      <c r="H816" s="14">
        <f>82.8555 * CHOOSE(CONTROL!$C$9, $D$9, 100%, $F$9) + CHOOSE(CONTROL!$C$27, 0.0021, 0)</f>
        <v>82.857600000000005</v>
      </c>
      <c r="I816" s="14">
        <f>82.8555 * CHOOSE(CONTROL!$C$9, $D$9, 100%, $F$9) + CHOOSE(CONTROL!$C$27, 0.0021, 0)</f>
        <v>82.857600000000005</v>
      </c>
      <c r="J816" s="14">
        <f>82.8555 * CHOOSE(CONTROL!$C$9, $D$9, 100%, $F$9) + CHOOSE(CONTROL!$C$27, 0.0021, 0)</f>
        <v>82.857600000000005</v>
      </c>
      <c r="K816" s="14">
        <f>82.8555 * CHOOSE(CONTROL!$C$9, $D$9, 100%, $F$9) + CHOOSE(CONTROL!$C$27, 0.0021, 0)</f>
        <v>82.857600000000005</v>
      </c>
      <c r="L816" s="14"/>
    </row>
    <row r="817" spans="1:12" ht="15.75" x14ac:dyDescent="0.25">
      <c r="A817" s="32">
        <v>65805</v>
      </c>
      <c r="B817" s="14">
        <f>80.9968 * CHOOSE(CONTROL!$C$9, $D$9, 100%, $F$9) + CHOOSE(CONTROL!$C$27, 0.0021, 0)</f>
        <v>80.998899999999992</v>
      </c>
      <c r="C817" s="14">
        <f>80.5645 * CHOOSE(CONTROL!$C$9, $D$9, 100%, $F$9) + CHOOSE(CONTROL!$C$27, 0.0021, 0)</f>
        <v>80.566599999999994</v>
      </c>
      <c r="D817" s="14">
        <f>80.5645 * CHOOSE(CONTROL!$C$9, $D$9, 100%, $F$9) + CHOOSE(CONTROL!$C$27, 0.0021, 0)</f>
        <v>80.566599999999994</v>
      </c>
      <c r="E817" s="14">
        <f>80.4279 * CHOOSE(CONTROL!$C$9, $D$9, 100%, $F$9) + CHOOSE(CONTROL!$C$27, 0.0021, 0)</f>
        <v>80.429999999999993</v>
      </c>
      <c r="F817" s="14">
        <f>80.4279 * CHOOSE(CONTROL!$C$9, $D$9, 100%, $F$9) + CHOOSE(CONTROL!$C$27, 0.0021, 0)</f>
        <v>80.429999999999993</v>
      </c>
      <c r="G817" s="14">
        <f>80.6992 * CHOOSE(CONTROL!$C$9, $D$9, 100%, $F$9) + CHOOSE(CONTROL!$C$27, 0.0021, 0)</f>
        <v>80.701300000000003</v>
      </c>
      <c r="H817" s="14">
        <f>80.5645 * CHOOSE(CONTROL!$C$9, $D$9, 100%, $F$9) + CHOOSE(CONTROL!$C$27, 0.0021, 0)</f>
        <v>80.566599999999994</v>
      </c>
      <c r="I817" s="14">
        <f>80.5645 * CHOOSE(CONTROL!$C$9, $D$9, 100%, $F$9) + CHOOSE(CONTROL!$C$27, 0.0021, 0)</f>
        <v>80.566599999999994</v>
      </c>
      <c r="J817" s="14">
        <f>80.5645 * CHOOSE(CONTROL!$C$9, $D$9, 100%, $F$9) + CHOOSE(CONTROL!$C$27, 0.0021, 0)</f>
        <v>80.566599999999994</v>
      </c>
      <c r="K817" s="14">
        <f>80.5645 * CHOOSE(CONTROL!$C$9, $D$9, 100%, $F$9) + CHOOSE(CONTROL!$C$27, 0.0021, 0)</f>
        <v>80.566599999999994</v>
      </c>
      <c r="L817" s="14"/>
    </row>
    <row r="818" spans="1:12" ht="15.75" x14ac:dyDescent="0.25">
      <c r="A818" s="32">
        <v>65836</v>
      </c>
      <c r="B818" s="14">
        <f>80.0511 * CHOOSE(CONTROL!$C$9, $D$9, 100%, $F$9) + CHOOSE(CONTROL!$C$27, 0.0021, 0)</f>
        <v>80.053200000000004</v>
      </c>
      <c r="C818" s="14">
        <f>79.6188 * CHOOSE(CONTROL!$C$9, $D$9, 100%, $F$9) + CHOOSE(CONTROL!$C$27, 0.0021, 0)</f>
        <v>79.620899999999992</v>
      </c>
      <c r="D818" s="14">
        <f>79.6188 * CHOOSE(CONTROL!$C$9, $D$9, 100%, $F$9) + CHOOSE(CONTROL!$C$27, 0.0021, 0)</f>
        <v>79.620899999999992</v>
      </c>
      <c r="E818" s="14">
        <f>79.4822 * CHOOSE(CONTROL!$C$9, $D$9, 100%, $F$9) + CHOOSE(CONTROL!$C$27, 0.0021, 0)</f>
        <v>79.484300000000005</v>
      </c>
      <c r="F818" s="14">
        <f>79.4822 * CHOOSE(CONTROL!$C$9, $D$9, 100%, $F$9) + CHOOSE(CONTROL!$C$27, 0.0021, 0)</f>
        <v>79.484300000000005</v>
      </c>
      <c r="G818" s="14">
        <f>79.7535 * CHOOSE(CONTROL!$C$9, $D$9, 100%, $F$9) + CHOOSE(CONTROL!$C$27, 0.0021, 0)</f>
        <v>79.755600000000001</v>
      </c>
      <c r="H818" s="14">
        <f>79.6188 * CHOOSE(CONTROL!$C$9, $D$9, 100%, $F$9) + CHOOSE(CONTROL!$C$27, 0.0021, 0)</f>
        <v>79.620899999999992</v>
      </c>
      <c r="I818" s="14">
        <f>79.6188 * CHOOSE(CONTROL!$C$9, $D$9, 100%, $F$9) + CHOOSE(CONTROL!$C$27, 0.0021, 0)</f>
        <v>79.620899999999992</v>
      </c>
      <c r="J818" s="14">
        <f>79.6188 * CHOOSE(CONTROL!$C$9, $D$9, 100%, $F$9) + CHOOSE(CONTROL!$C$27, 0.0021, 0)</f>
        <v>79.620899999999992</v>
      </c>
      <c r="K818" s="14">
        <f>79.6188 * CHOOSE(CONTROL!$C$9, $D$9, 100%, $F$9) + CHOOSE(CONTROL!$C$27, 0.0021, 0)</f>
        <v>79.620899999999992</v>
      </c>
      <c r="L818" s="14"/>
    </row>
    <row r="819" spans="1:12" ht="15.75" x14ac:dyDescent="0.25">
      <c r="A819" s="32">
        <v>65866</v>
      </c>
      <c r="B819" s="14">
        <f>78.9219 * CHOOSE(CONTROL!$C$9, $D$9, 100%, $F$9) + CHOOSE(CONTROL!$C$27, 0.0021, 0)</f>
        <v>78.923999999999992</v>
      </c>
      <c r="C819" s="14">
        <f>78.4896 * CHOOSE(CONTROL!$C$9, $D$9, 100%, $F$9) + CHOOSE(CONTROL!$C$27, 0.0021, 0)</f>
        <v>78.491699999999994</v>
      </c>
      <c r="D819" s="14">
        <f>78.4896 * CHOOSE(CONTROL!$C$9, $D$9, 100%, $F$9) + CHOOSE(CONTROL!$C$27, 0.0021, 0)</f>
        <v>78.491699999999994</v>
      </c>
      <c r="E819" s="14">
        <f>78.3529 * CHOOSE(CONTROL!$C$9, $D$9, 100%, $F$9) + CHOOSE(CONTROL!$C$27, 0.0021, 0)</f>
        <v>78.355000000000004</v>
      </c>
      <c r="F819" s="14">
        <f>78.3529 * CHOOSE(CONTROL!$C$9, $D$9, 100%, $F$9) + CHOOSE(CONTROL!$C$27, 0.0021, 0)</f>
        <v>78.355000000000004</v>
      </c>
      <c r="G819" s="14">
        <f>78.6243 * CHOOSE(CONTROL!$C$9, $D$9, 100%, $F$9) + CHOOSE(CONTROL!$C$27, 0.0021, 0)</f>
        <v>78.626400000000004</v>
      </c>
      <c r="H819" s="14">
        <f>78.4896 * CHOOSE(CONTROL!$C$9, $D$9, 100%, $F$9) + CHOOSE(CONTROL!$C$27, 0.0021, 0)</f>
        <v>78.491699999999994</v>
      </c>
      <c r="I819" s="14">
        <f>78.4896 * CHOOSE(CONTROL!$C$9, $D$9, 100%, $F$9) + CHOOSE(CONTROL!$C$27, 0.0021, 0)</f>
        <v>78.491699999999994</v>
      </c>
      <c r="J819" s="14">
        <f>78.4896 * CHOOSE(CONTROL!$C$9, $D$9, 100%, $F$9) + CHOOSE(CONTROL!$C$27, 0.0021, 0)</f>
        <v>78.491699999999994</v>
      </c>
      <c r="K819" s="14">
        <f>78.4896 * CHOOSE(CONTROL!$C$9, $D$9, 100%, $F$9) + CHOOSE(CONTROL!$C$27, 0.0021, 0)</f>
        <v>78.491699999999994</v>
      </c>
      <c r="L819" s="14"/>
    </row>
    <row r="820" spans="1:12" ht="15.75" x14ac:dyDescent="0.25">
      <c r="A820" s="32">
        <v>65897</v>
      </c>
      <c r="B820" s="14">
        <f>80.5311 * CHOOSE(CONTROL!$C$9, $D$9, 100%, $F$9) + CHOOSE(CONTROL!$C$27, 0.0021, 0)</f>
        <v>80.533199999999994</v>
      </c>
      <c r="C820" s="14">
        <f>80.0989 * CHOOSE(CONTROL!$C$9, $D$9, 100%, $F$9) + CHOOSE(CONTROL!$C$27, 0.0021, 0)</f>
        <v>80.100999999999999</v>
      </c>
      <c r="D820" s="14">
        <f>80.0989 * CHOOSE(CONTROL!$C$9, $D$9, 100%, $F$9) + CHOOSE(CONTROL!$C$27, 0.0021, 0)</f>
        <v>80.100999999999999</v>
      </c>
      <c r="E820" s="14">
        <f>79.9622 * CHOOSE(CONTROL!$C$9, $D$9, 100%, $F$9) + CHOOSE(CONTROL!$C$27, 0.0021, 0)</f>
        <v>79.964299999999994</v>
      </c>
      <c r="F820" s="14">
        <f>79.9622 * CHOOSE(CONTROL!$C$9, $D$9, 100%, $F$9) + CHOOSE(CONTROL!$C$27, 0.0021, 0)</f>
        <v>79.964299999999994</v>
      </c>
      <c r="G820" s="14">
        <f>80.2336 * CHOOSE(CONTROL!$C$9, $D$9, 100%, $F$9) + CHOOSE(CONTROL!$C$27, 0.0021, 0)</f>
        <v>80.235699999999994</v>
      </c>
      <c r="H820" s="14">
        <f>80.0989 * CHOOSE(CONTROL!$C$9, $D$9, 100%, $F$9) + CHOOSE(CONTROL!$C$27, 0.0021, 0)</f>
        <v>80.100999999999999</v>
      </c>
      <c r="I820" s="14">
        <f>80.0989 * CHOOSE(CONTROL!$C$9, $D$9, 100%, $F$9) + CHOOSE(CONTROL!$C$27, 0.0021, 0)</f>
        <v>80.100999999999999</v>
      </c>
      <c r="J820" s="14">
        <f>80.0989 * CHOOSE(CONTROL!$C$9, $D$9, 100%, $F$9) + CHOOSE(CONTROL!$C$27, 0.0021, 0)</f>
        <v>80.100999999999999</v>
      </c>
      <c r="K820" s="14">
        <f>80.0989 * CHOOSE(CONTROL!$C$9, $D$9, 100%, $F$9) + CHOOSE(CONTROL!$C$27, 0.0021, 0)</f>
        <v>80.100999999999999</v>
      </c>
      <c r="L820" s="14"/>
    </row>
    <row r="821" spans="1:12" ht="15.75" x14ac:dyDescent="0.25">
      <c r="A821" s="32">
        <v>65927</v>
      </c>
      <c r="B821" s="14">
        <f>81.495 * CHOOSE(CONTROL!$C$9, $D$9, 100%, $F$9) + CHOOSE(CONTROL!$C$27, 0.0021, 0)</f>
        <v>81.497100000000003</v>
      </c>
      <c r="C821" s="14">
        <f>81.0627 * CHOOSE(CONTROL!$C$9, $D$9, 100%, $F$9) + CHOOSE(CONTROL!$C$27, 0.0021, 0)</f>
        <v>81.064800000000005</v>
      </c>
      <c r="D821" s="14">
        <f>81.0627 * CHOOSE(CONTROL!$C$9, $D$9, 100%, $F$9) + CHOOSE(CONTROL!$C$27, 0.0021, 0)</f>
        <v>81.064800000000005</v>
      </c>
      <c r="E821" s="14">
        <f>80.9261 * CHOOSE(CONTROL!$C$9, $D$9, 100%, $F$9) + CHOOSE(CONTROL!$C$27, 0.0021, 0)</f>
        <v>80.928200000000004</v>
      </c>
      <c r="F821" s="14">
        <f>80.9261 * CHOOSE(CONTROL!$C$9, $D$9, 100%, $F$9) + CHOOSE(CONTROL!$C$27, 0.0021, 0)</f>
        <v>80.928200000000004</v>
      </c>
      <c r="G821" s="14">
        <f>81.1975 * CHOOSE(CONTROL!$C$9, $D$9, 100%, $F$9) + CHOOSE(CONTROL!$C$27, 0.0021, 0)</f>
        <v>81.199600000000004</v>
      </c>
      <c r="H821" s="14">
        <f>81.0627 * CHOOSE(CONTROL!$C$9, $D$9, 100%, $F$9) + CHOOSE(CONTROL!$C$27, 0.0021, 0)</f>
        <v>81.064800000000005</v>
      </c>
      <c r="I821" s="14">
        <f>81.0627 * CHOOSE(CONTROL!$C$9, $D$9, 100%, $F$9) + CHOOSE(CONTROL!$C$27, 0.0021, 0)</f>
        <v>81.064800000000005</v>
      </c>
      <c r="J821" s="14">
        <f>81.0627 * CHOOSE(CONTROL!$C$9, $D$9, 100%, $F$9) + CHOOSE(CONTROL!$C$27, 0.0021, 0)</f>
        <v>81.064800000000005</v>
      </c>
      <c r="K821" s="14">
        <f>81.0627 * CHOOSE(CONTROL!$C$9, $D$9, 100%, $F$9) + CHOOSE(CONTROL!$C$27, 0.0021, 0)</f>
        <v>81.064800000000005</v>
      </c>
      <c r="L821" s="14"/>
    </row>
    <row r="822" spans="1:12" ht="15.75" x14ac:dyDescent="0.25">
      <c r="A822" s="32">
        <v>65958</v>
      </c>
      <c r="B822" s="14">
        <f>83.085 * CHOOSE(CONTROL!$C$9, $D$9, 100%, $F$9) + CHOOSE(CONTROL!$C$27, 0.0021, 0)</f>
        <v>83.087099999999992</v>
      </c>
      <c r="C822" s="14">
        <f>82.6528 * CHOOSE(CONTROL!$C$9, $D$9, 100%, $F$9) + CHOOSE(CONTROL!$C$27, 0.0021, 0)</f>
        <v>82.654899999999998</v>
      </c>
      <c r="D822" s="14">
        <f>82.6528 * CHOOSE(CONTROL!$C$9, $D$9, 100%, $F$9) + CHOOSE(CONTROL!$C$27, 0.0021, 0)</f>
        <v>82.654899999999998</v>
      </c>
      <c r="E822" s="14">
        <f>82.5161 * CHOOSE(CONTROL!$C$9, $D$9, 100%, $F$9) + CHOOSE(CONTROL!$C$27, 0.0021, 0)</f>
        <v>82.518199999999993</v>
      </c>
      <c r="F822" s="14">
        <f>82.5161 * CHOOSE(CONTROL!$C$9, $D$9, 100%, $F$9) + CHOOSE(CONTROL!$C$27, 0.0021, 0)</f>
        <v>82.518199999999993</v>
      </c>
      <c r="G822" s="14">
        <f>82.7875 * CHOOSE(CONTROL!$C$9, $D$9, 100%, $F$9) + CHOOSE(CONTROL!$C$27, 0.0021, 0)</f>
        <v>82.789599999999993</v>
      </c>
      <c r="H822" s="14">
        <f>82.6528 * CHOOSE(CONTROL!$C$9, $D$9, 100%, $F$9) + CHOOSE(CONTROL!$C$27, 0.0021, 0)</f>
        <v>82.654899999999998</v>
      </c>
      <c r="I822" s="14">
        <f>82.6528 * CHOOSE(CONTROL!$C$9, $D$9, 100%, $F$9) + CHOOSE(CONTROL!$C$27, 0.0021, 0)</f>
        <v>82.654899999999998</v>
      </c>
      <c r="J822" s="14">
        <f>82.6528 * CHOOSE(CONTROL!$C$9, $D$9, 100%, $F$9) + CHOOSE(CONTROL!$C$27, 0.0021, 0)</f>
        <v>82.654899999999998</v>
      </c>
      <c r="K822" s="14">
        <f>82.6528 * CHOOSE(CONTROL!$C$9, $D$9, 100%, $F$9) + CHOOSE(CONTROL!$C$27, 0.0021, 0)</f>
        <v>82.654899999999998</v>
      </c>
      <c r="L822" s="14"/>
    </row>
    <row r="823" spans="1:12" ht="15.75" x14ac:dyDescent="0.25">
      <c r="A823" s="32">
        <v>65989</v>
      </c>
      <c r="B823" s="14">
        <f>83.5704 * CHOOSE(CONTROL!$C$9, $D$9, 100%, $F$9) + CHOOSE(CONTROL!$C$27, 0.0021, 0)</f>
        <v>83.572500000000005</v>
      </c>
      <c r="C823" s="14">
        <f>83.1381 * CHOOSE(CONTROL!$C$9, $D$9, 100%, $F$9) + CHOOSE(CONTROL!$C$27, 0.0021, 0)</f>
        <v>83.140199999999993</v>
      </c>
      <c r="D823" s="14">
        <f>83.1381 * CHOOSE(CONTROL!$C$9, $D$9, 100%, $F$9) + CHOOSE(CONTROL!$C$27, 0.0021, 0)</f>
        <v>83.140199999999993</v>
      </c>
      <c r="E823" s="14">
        <f>83.0015 * CHOOSE(CONTROL!$C$9, $D$9, 100%, $F$9) + CHOOSE(CONTROL!$C$27, 0.0021, 0)</f>
        <v>83.003599999999992</v>
      </c>
      <c r="F823" s="14">
        <f>83.0015 * CHOOSE(CONTROL!$C$9, $D$9, 100%, $F$9) + CHOOSE(CONTROL!$C$27, 0.0021, 0)</f>
        <v>83.003599999999992</v>
      </c>
      <c r="G823" s="14">
        <f>83.2728 * CHOOSE(CONTROL!$C$9, $D$9, 100%, $F$9) + CHOOSE(CONTROL!$C$27, 0.0021, 0)</f>
        <v>83.274900000000002</v>
      </c>
      <c r="H823" s="14">
        <f>83.1381 * CHOOSE(CONTROL!$C$9, $D$9, 100%, $F$9) + CHOOSE(CONTROL!$C$27, 0.0021, 0)</f>
        <v>83.140199999999993</v>
      </c>
      <c r="I823" s="14">
        <f>83.1381 * CHOOSE(CONTROL!$C$9, $D$9, 100%, $F$9) + CHOOSE(CONTROL!$C$27, 0.0021, 0)</f>
        <v>83.140199999999993</v>
      </c>
      <c r="J823" s="14">
        <f>83.1381 * CHOOSE(CONTROL!$C$9, $D$9, 100%, $F$9) + CHOOSE(CONTROL!$C$27, 0.0021, 0)</f>
        <v>83.140199999999993</v>
      </c>
      <c r="K823" s="14">
        <f>83.1381 * CHOOSE(CONTROL!$C$9, $D$9, 100%, $F$9) + CHOOSE(CONTROL!$C$27, 0.0021, 0)</f>
        <v>83.140199999999993</v>
      </c>
      <c r="L823" s="14"/>
    </row>
    <row r="824" spans="1:12" ht="15.75" x14ac:dyDescent="0.25">
      <c r="A824" s="32">
        <v>66019</v>
      </c>
      <c r="B824" s="14">
        <f>85.2231 * CHOOSE(CONTROL!$C$9, $D$9, 100%, $F$9) + CHOOSE(CONTROL!$C$27, 0.0021, 0)</f>
        <v>85.225200000000001</v>
      </c>
      <c r="C824" s="14">
        <f>84.7909 * CHOOSE(CONTROL!$C$9, $D$9, 100%, $F$9) + CHOOSE(CONTROL!$C$27, 0.0021, 0)</f>
        <v>84.792999999999992</v>
      </c>
      <c r="D824" s="14">
        <f>84.7909 * CHOOSE(CONTROL!$C$9, $D$9, 100%, $F$9) + CHOOSE(CONTROL!$C$27, 0.0021, 0)</f>
        <v>84.792999999999992</v>
      </c>
      <c r="E824" s="14">
        <f>84.6542 * CHOOSE(CONTROL!$C$9, $D$9, 100%, $F$9) + CHOOSE(CONTROL!$C$27, 0.0021, 0)</f>
        <v>84.656300000000002</v>
      </c>
      <c r="F824" s="14">
        <f>84.6542 * CHOOSE(CONTROL!$C$9, $D$9, 100%, $F$9) + CHOOSE(CONTROL!$C$27, 0.0021, 0)</f>
        <v>84.656300000000002</v>
      </c>
      <c r="G824" s="14">
        <f>84.9256 * CHOOSE(CONTROL!$C$9, $D$9, 100%, $F$9) + CHOOSE(CONTROL!$C$27, 0.0021, 0)</f>
        <v>84.927700000000002</v>
      </c>
      <c r="H824" s="14">
        <f>84.7909 * CHOOSE(CONTROL!$C$9, $D$9, 100%, $F$9) + CHOOSE(CONTROL!$C$27, 0.0021, 0)</f>
        <v>84.792999999999992</v>
      </c>
      <c r="I824" s="14">
        <f>84.7909 * CHOOSE(CONTROL!$C$9, $D$9, 100%, $F$9) + CHOOSE(CONTROL!$C$27, 0.0021, 0)</f>
        <v>84.792999999999992</v>
      </c>
      <c r="J824" s="14">
        <f>84.7909 * CHOOSE(CONTROL!$C$9, $D$9, 100%, $F$9) + CHOOSE(CONTROL!$C$27, 0.0021, 0)</f>
        <v>84.792999999999992</v>
      </c>
      <c r="K824" s="14">
        <f>84.7909 * CHOOSE(CONTROL!$C$9, $D$9, 100%, $F$9) + CHOOSE(CONTROL!$C$27, 0.0021, 0)</f>
        <v>84.792999999999992</v>
      </c>
      <c r="L824" s="14"/>
    </row>
    <row r="825" spans="1:12" ht="15.75" x14ac:dyDescent="0.25">
      <c r="A825" s="32">
        <v>66050</v>
      </c>
      <c r="B825" s="14">
        <f>87.3153 * CHOOSE(CONTROL!$C$9, $D$9, 100%, $F$9) + CHOOSE(CONTROL!$C$27, 0.0021, 0)</f>
        <v>87.317399999999992</v>
      </c>
      <c r="C825" s="14">
        <f>86.883 * CHOOSE(CONTROL!$C$9, $D$9, 100%, $F$9) + CHOOSE(CONTROL!$C$27, 0.0021, 0)</f>
        <v>86.885099999999994</v>
      </c>
      <c r="D825" s="14">
        <f>86.883 * CHOOSE(CONTROL!$C$9, $D$9, 100%, $F$9) + CHOOSE(CONTROL!$C$27, 0.0021, 0)</f>
        <v>86.885099999999994</v>
      </c>
      <c r="E825" s="14">
        <f>86.7464 * CHOOSE(CONTROL!$C$9, $D$9, 100%, $F$9) + CHOOSE(CONTROL!$C$27, 0.0021, 0)</f>
        <v>86.748499999999993</v>
      </c>
      <c r="F825" s="14">
        <f>86.7464 * CHOOSE(CONTROL!$C$9, $D$9, 100%, $F$9) + CHOOSE(CONTROL!$C$27, 0.0021, 0)</f>
        <v>86.748499999999993</v>
      </c>
      <c r="G825" s="14">
        <f>87.0178 * CHOOSE(CONTROL!$C$9, $D$9, 100%, $F$9) + CHOOSE(CONTROL!$C$27, 0.0021, 0)</f>
        <v>87.019899999999993</v>
      </c>
      <c r="H825" s="14">
        <f>86.883 * CHOOSE(CONTROL!$C$9, $D$9, 100%, $F$9) + CHOOSE(CONTROL!$C$27, 0.0021, 0)</f>
        <v>86.885099999999994</v>
      </c>
      <c r="I825" s="14">
        <f>86.883 * CHOOSE(CONTROL!$C$9, $D$9, 100%, $F$9) + CHOOSE(CONTROL!$C$27, 0.0021, 0)</f>
        <v>86.885099999999994</v>
      </c>
      <c r="J825" s="14">
        <f>86.883 * CHOOSE(CONTROL!$C$9, $D$9, 100%, $F$9) + CHOOSE(CONTROL!$C$27, 0.0021, 0)</f>
        <v>86.885099999999994</v>
      </c>
      <c r="K825" s="14">
        <f>86.883 * CHOOSE(CONTROL!$C$9, $D$9, 100%, $F$9) + CHOOSE(CONTROL!$C$27, 0.0021, 0)</f>
        <v>86.885099999999994</v>
      </c>
      <c r="L825" s="14"/>
    </row>
    <row r="826" spans="1:12" ht="15.75" x14ac:dyDescent="0.25">
      <c r="A826" s="32">
        <v>66080</v>
      </c>
      <c r="B826" s="14">
        <f>87.5117 * CHOOSE(CONTROL!$C$9, $D$9, 100%, $F$9) + CHOOSE(CONTROL!$C$27, 0.0021, 0)</f>
        <v>87.513800000000003</v>
      </c>
      <c r="C826" s="14">
        <f>87.0794 * CHOOSE(CONTROL!$C$9, $D$9, 100%, $F$9) + CHOOSE(CONTROL!$C$27, 0.0021, 0)</f>
        <v>87.081500000000005</v>
      </c>
      <c r="D826" s="14">
        <f>87.0794 * CHOOSE(CONTROL!$C$9, $D$9, 100%, $F$9) + CHOOSE(CONTROL!$C$27, 0.0021, 0)</f>
        <v>87.081500000000005</v>
      </c>
      <c r="E826" s="14">
        <f>86.9428 * CHOOSE(CONTROL!$C$9, $D$9, 100%, $F$9) + CHOOSE(CONTROL!$C$27, 0.0021, 0)</f>
        <v>86.944900000000004</v>
      </c>
      <c r="F826" s="14">
        <f>86.9428 * CHOOSE(CONTROL!$C$9, $D$9, 100%, $F$9) + CHOOSE(CONTROL!$C$27, 0.0021, 0)</f>
        <v>86.944900000000004</v>
      </c>
      <c r="G826" s="14">
        <f>87.2142 * CHOOSE(CONTROL!$C$9, $D$9, 100%, $F$9) + CHOOSE(CONTROL!$C$27, 0.0021, 0)</f>
        <v>87.216300000000004</v>
      </c>
      <c r="H826" s="14">
        <f>87.0794 * CHOOSE(CONTROL!$C$9, $D$9, 100%, $F$9) + CHOOSE(CONTROL!$C$27, 0.0021, 0)</f>
        <v>87.081500000000005</v>
      </c>
      <c r="I826" s="14">
        <f>87.0794 * CHOOSE(CONTROL!$C$9, $D$9, 100%, $F$9) + CHOOSE(CONTROL!$C$27, 0.0021, 0)</f>
        <v>87.081500000000005</v>
      </c>
      <c r="J826" s="14">
        <f>87.0794 * CHOOSE(CONTROL!$C$9, $D$9, 100%, $F$9) + CHOOSE(CONTROL!$C$27, 0.0021, 0)</f>
        <v>87.081500000000005</v>
      </c>
      <c r="K826" s="14">
        <f>87.0794 * CHOOSE(CONTROL!$C$9, $D$9, 100%, $F$9) + CHOOSE(CONTROL!$C$27, 0.0021, 0)</f>
        <v>87.081500000000005</v>
      </c>
      <c r="L826" s="14"/>
    </row>
    <row r="827" spans="1:12" ht="15.75" x14ac:dyDescent="0.25">
      <c r="A827" s="32">
        <v>66111</v>
      </c>
      <c r="B827" s="14">
        <f>85.8407 * CHOOSE(CONTROL!$C$9, $D$9, 100%, $F$9) + CHOOSE(CONTROL!$C$27, 0.0021, 0)</f>
        <v>85.842799999999997</v>
      </c>
      <c r="C827" s="14">
        <f>85.4085 * CHOOSE(CONTROL!$C$9, $D$9, 100%, $F$9) + CHOOSE(CONTROL!$C$27, 0.0021, 0)</f>
        <v>85.410600000000002</v>
      </c>
      <c r="D827" s="14">
        <f>85.4085 * CHOOSE(CONTROL!$C$9, $D$9, 100%, $F$9) + CHOOSE(CONTROL!$C$27, 0.0021, 0)</f>
        <v>85.410600000000002</v>
      </c>
      <c r="E827" s="14">
        <f>85.2718 * CHOOSE(CONTROL!$C$9, $D$9, 100%, $F$9) + CHOOSE(CONTROL!$C$27, 0.0021, 0)</f>
        <v>85.273899999999998</v>
      </c>
      <c r="F827" s="14">
        <f>85.2718 * CHOOSE(CONTROL!$C$9, $D$9, 100%, $F$9) + CHOOSE(CONTROL!$C$27, 0.0021, 0)</f>
        <v>85.273899999999998</v>
      </c>
      <c r="G827" s="14">
        <f>85.5432 * CHOOSE(CONTROL!$C$9, $D$9, 100%, $F$9) + CHOOSE(CONTROL!$C$27, 0.0021, 0)</f>
        <v>85.545299999999997</v>
      </c>
      <c r="H827" s="14">
        <f>85.4085 * CHOOSE(CONTROL!$C$9, $D$9, 100%, $F$9) + CHOOSE(CONTROL!$C$27, 0.0021, 0)</f>
        <v>85.410600000000002</v>
      </c>
      <c r="I827" s="14">
        <f>85.4085 * CHOOSE(CONTROL!$C$9, $D$9, 100%, $F$9) + CHOOSE(CONTROL!$C$27, 0.0021, 0)</f>
        <v>85.410600000000002</v>
      </c>
      <c r="J827" s="14">
        <f>85.4085 * CHOOSE(CONTROL!$C$9, $D$9, 100%, $F$9) + CHOOSE(CONTROL!$C$27, 0.0021, 0)</f>
        <v>85.410600000000002</v>
      </c>
      <c r="K827" s="14">
        <f>85.4085 * CHOOSE(CONTROL!$C$9, $D$9, 100%, $F$9) + CHOOSE(CONTROL!$C$27, 0.0021, 0)</f>
        <v>85.410600000000002</v>
      </c>
      <c r="L827" s="14"/>
    </row>
    <row r="828" spans="1:12" ht="15.75" x14ac:dyDescent="0.25">
      <c r="A828" s="32">
        <v>66142</v>
      </c>
      <c r="B828" s="14">
        <f>84.7461 * CHOOSE(CONTROL!$C$9, $D$9, 100%, $F$9) + CHOOSE(CONTROL!$C$27, 0.0021, 0)</f>
        <v>84.748199999999997</v>
      </c>
      <c r="C828" s="14">
        <f>84.3138 * CHOOSE(CONTROL!$C$9, $D$9, 100%, $F$9) + CHOOSE(CONTROL!$C$27, 0.0021, 0)</f>
        <v>84.315899999999999</v>
      </c>
      <c r="D828" s="14">
        <f>84.3138 * CHOOSE(CONTROL!$C$9, $D$9, 100%, $F$9) + CHOOSE(CONTROL!$C$27, 0.0021, 0)</f>
        <v>84.315899999999999</v>
      </c>
      <c r="E828" s="14">
        <f>84.1772 * CHOOSE(CONTROL!$C$9, $D$9, 100%, $F$9) + CHOOSE(CONTROL!$C$27, 0.0021, 0)</f>
        <v>84.179299999999998</v>
      </c>
      <c r="F828" s="14">
        <f>84.1772 * CHOOSE(CONTROL!$C$9, $D$9, 100%, $F$9) + CHOOSE(CONTROL!$C$27, 0.0021, 0)</f>
        <v>84.179299999999998</v>
      </c>
      <c r="G828" s="14">
        <f>84.4485 * CHOOSE(CONTROL!$C$9, $D$9, 100%, $F$9) + CHOOSE(CONTROL!$C$27, 0.0021, 0)</f>
        <v>84.450599999999994</v>
      </c>
      <c r="H828" s="14">
        <f>84.3138 * CHOOSE(CONTROL!$C$9, $D$9, 100%, $F$9) + CHOOSE(CONTROL!$C$27, 0.0021, 0)</f>
        <v>84.315899999999999</v>
      </c>
      <c r="I828" s="14">
        <f>84.3138 * CHOOSE(CONTROL!$C$9, $D$9, 100%, $F$9) + CHOOSE(CONTROL!$C$27, 0.0021, 0)</f>
        <v>84.315899999999999</v>
      </c>
      <c r="J828" s="14">
        <f>84.3138 * CHOOSE(CONTROL!$C$9, $D$9, 100%, $F$9) + CHOOSE(CONTROL!$C$27, 0.0021, 0)</f>
        <v>84.315899999999999</v>
      </c>
      <c r="K828" s="14">
        <f>84.3138 * CHOOSE(CONTROL!$C$9, $D$9, 100%, $F$9) + CHOOSE(CONTROL!$C$27, 0.0021, 0)</f>
        <v>84.315899999999999</v>
      </c>
      <c r="L828" s="14"/>
    </row>
    <row r="829" spans="1:12" ht="15.75" x14ac:dyDescent="0.25">
      <c r="A829" s="32">
        <v>66170</v>
      </c>
      <c r="B829" s="14">
        <f>82.4138 * CHOOSE(CONTROL!$C$9, $D$9, 100%, $F$9) + CHOOSE(CONTROL!$C$27, 0.0021, 0)</f>
        <v>82.415899999999993</v>
      </c>
      <c r="C829" s="14">
        <f>81.9816 * CHOOSE(CONTROL!$C$9, $D$9, 100%, $F$9) + CHOOSE(CONTROL!$C$27, 0.0021, 0)</f>
        <v>81.983699999999999</v>
      </c>
      <c r="D829" s="14">
        <f>81.9816 * CHOOSE(CONTROL!$C$9, $D$9, 100%, $F$9) + CHOOSE(CONTROL!$C$27, 0.0021, 0)</f>
        <v>81.983699999999999</v>
      </c>
      <c r="E829" s="14">
        <f>81.8449 * CHOOSE(CONTROL!$C$9, $D$9, 100%, $F$9) + CHOOSE(CONTROL!$C$27, 0.0021, 0)</f>
        <v>81.846999999999994</v>
      </c>
      <c r="F829" s="14">
        <f>81.8449 * CHOOSE(CONTROL!$C$9, $D$9, 100%, $F$9) + CHOOSE(CONTROL!$C$27, 0.0021, 0)</f>
        <v>81.846999999999994</v>
      </c>
      <c r="G829" s="14">
        <f>82.1163 * CHOOSE(CONTROL!$C$9, $D$9, 100%, $F$9) + CHOOSE(CONTROL!$C$27, 0.0021, 0)</f>
        <v>82.118399999999994</v>
      </c>
      <c r="H829" s="14">
        <f>81.9816 * CHOOSE(CONTROL!$C$9, $D$9, 100%, $F$9) + CHOOSE(CONTROL!$C$27, 0.0021, 0)</f>
        <v>81.983699999999999</v>
      </c>
      <c r="I829" s="14">
        <f>81.9816 * CHOOSE(CONTROL!$C$9, $D$9, 100%, $F$9) + CHOOSE(CONTROL!$C$27, 0.0021, 0)</f>
        <v>81.983699999999999</v>
      </c>
      <c r="J829" s="14">
        <f>81.9816 * CHOOSE(CONTROL!$C$9, $D$9, 100%, $F$9) + CHOOSE(CONTROL!$C$27, 0.0021, 0)</f>
        <v>81.983699999999999</v>
      </c>
      <c r="K829" s="14">
        <f>81.9816 * CHOOSE(CONTROL!$C$9, $D$9, 100%, $F$9) + CHOOSE(CONTROL!$C$27, 0.0021, 0)</f>
        <v>81.983699999999999</v>
      </c>
      <c r="L829" s="14"/>
    </row>
    <row r="830" spans="1:12" ht="15.75" x14ac:dyDescent="0.25">
      <c r="A830" s="32">
        <v>66201</v>
      </c>
      <c r="B830" s="14">
        <f>81.4511 * CHOOSE(CONTROL!$C$9, $D$9, 100%, $F$9) + CHOOSE(CONTROL!$C$27, 0.0021, 0)</f>
        <v>81.453199999999995</v>
      </c>
      <c r="C830" s="14">
        <f>81.0188 * CHOOSE(CONTROL!$C$9, $D$9, 100%, $F$9) + CHOOSE(CONTROL!$C$27, 0.0021, 0)</f>
        <v>81.020899999999997</v>
      </c>
      <c r="D830" s="14">
        <f>81.0188 * CHOOSE(CONTROL!$C$9, $D$9, 100%, $F$9) + CHOOSE(CONTROL!$C$27, 0.0021, 0)</f>
        <v>81.020899999999997</v>
      </c>
      <c r="E830" s="14">
        <f>80.8822 * CHOOSE(CONTROL!$C$9, $D$9, 100%, $F$9) + CHOOSE(CONTROL!$C$27, 0.0021, 0)</f>
        <v>80.884299999999996</v>
      </c>
      <c r="F830" s="14">
        <f>80.8822 * CHOOSE(CONTROL!$C$9, $D$9, 100%, $F$9) + CHOOSE(CONTROL!$C$27, 0.0021, 0)</f>
        <v>80.884299999999996</v>
      </c>
      <c r="G830" s="14">
        <f>81.1536 * CHOOSE(CONTROL!$C$9, $D$9, 100%, $F$9) + CHOOSE(CONTROL!$C$27, 0.0021, 0)</f>
        <v>81.155699999999996</v>
      </c>
      <c r="H830" s="14">
        <f>81.0188 * CHOOSE(CONTROL!$C$9, $D$9, 100%, $F$9) + CHOOSE(CONTROL!$C$27, 0.0021, 0)</f>
        <v>81.020899999999997</v>
      </c>
      <c r="I830" s="14">
        <f>81.0188 * CHOOSE(CONTROL!$C$9, $D$9, 100%, $F$9) + CHOOSE(CONTROL!$C$27, 0.0021, 0)</f>
        <v>81.020899999999997</v>
      </c>
      <c r="J830" s="14">
        <f>81.0188 * CHOOSE(CONTROL!$C$9, $D$9, 100%, $F$9) + CHOOSE(CONTROL!$C$27, 0.0021, 0)</f>
        <v>81.020899999999997</v>
      </c>
      <c r="K830" s="14">
        <f>81.0188 * CHOOSE(CONTROL!$C$9, $D$9, 100%, $F$9) + CHOOSE(CONTROL!$C$27, 0.0021, 0)</f>
        <v>81.020899999999997</v>
      </c>
      <c r="L830" s="14"/>
    </row>
    <row r="831" spans="1:12" ht="15.75" x14ac:dyDescent="0.25">
      <c r="A831" s="32">
        <v>66231</v>
      </c>
      <c r="B831" s="14">
        <f>80.3016 * CHOOSE(CONTROL!$C$9, $D$9, 100%, $F$9) + CHOOSE(CONTROL!$C$27, 0.0021, 0)</f>
        <v>80.303699999999992</v>
      </c>
      <c r="C831" s="14">
        <f>79.8693 * CHOOSE(CONTROL!$C$9, $D$9, 100%, $F$9) + CHOOSE(CONTROL!$C$27, 0.0021, 0)</f>
        <v>79.871399999999994</v>
      </c>
      <c r="D831" s="14">
        <f>79.8693 * CHOOSE(CONTROL!$C$9, $D$9, 100%, $F$9) + CHOOSE(CONTROL!$C$27, 0.0021, 0)</f>
        <v>79.871399999999994</v>
      </c>
      <c r="E831" s="14">
        <f>79.7326 * CHOOSE(CONTROL!$C$9, $D$9, 100%, $F$9) + CHOOSE(CONTROL!$C$27, 0.0021, 0)</f>
        <v>79.734700000000004</v>
      </c>
      <c r="F831" s="14">
        <f>79.7326 * CHOOSE(CONTROL!$C$9, $D$9, 100%, $F$9) + CHOOSE(CONTROL!$C$27, 0.0021, 0)</f>
        <v>79.734700000000004</v>
      </c>
      <c r="G831" s="14">
        <f>80.004 * CHOOSE(CONTROL!$C$9, $D$9, 100%, $F$9) + CHOOSE(CONTROL!$C$27, 0.0021, 0)</f>
        <v>80.006100000000004</v>
      </c>
      <c r="H831" s="14">
        <f>79.8693 * CHOOSE(CONTROL!$C$9, $D$9, 100%, $F$9) + CHOOSE(CONTROL!$C$27, 0.0021, 0)</f>
        <v>79.871399999999994</v>
      </c>
      <c r="I831" s="14">
        <f>79.8693 * CHOOSE(CONTROL!$C$9, $D$9, 100%, $F$9) + CHOOSE(CONTROL!$C$27, 0.0021, 0)</f>
        <v>79.871399999999994</v>
      </c>
      <c r="J831" s="14">
        <f>79.8693 * CHOOSE(CONTROL!$C$9, $D$9, 100%, $F$9) + CHOOSE(CONTROL!$C$27, 0.0021, 0)</f>
        <v>79.871399999999994</v>
      </c>
      <c r="K831" s="14">
        <f>79.8693 * CHOOSE(CONTROL!$C$9, $D$9, 100%, $F$9) + CHOOSE(CONTROL!$C$27, 0.0021, 0)</f>
        <v>79.871399999999994</v>
      </c>
      <c r="L831" s="14"/>
    </row>
    <row r="832" spans="1:12" ht="15.75" x14ac:dyDescent="0.25">
      <c r="A832" s="32">
        <v>66262</v>
      </c>
      <c r="B832" s="14">
        <f>81.9398 * CHOOSE(CONTROL!$C$9, $D$9, 100%, $F$9) + CHOOSE(CONTROL!$C$27, 0.0021, 0)</f>
        <v>81.941900000000004</v>
      </c>
      <c r="C832" s="14">
        <f>81.5075 * CHOOSE(CONTROL!$C$9, $D$9, 100%, $F$9) + CHOOSE(CONTROL!$C$27, 0.0021, 0)</f>
        <v>81.509599999999992</v>
      </c>
      <c r="D832" s="14">
        <f>81.5075 * CHOOSE(CONTROL!$C$9, $D$9, 100%, $F$9) + CHOOSE(CONTROL!$C$27, 0.0021, 0)</f>
        <v>81.509599999999992</v>
      </c>
      <c r="E832" s="14">
        <f>81.3709 * CHOOSE(CONTROL!$C$9, $D$9, 100%, $F$9) + CHOOSE(CONTROL!$C$27, 0.0021, 0)</f>
        <v>81.373000000000005</v>
      </c>
      <c r="F832" s="14">
        <f>81.3709 * CHOOSE(CONTROL!$C$9, $D$9, 100%, $F$9) + CHOOSE(CONTROL!$C$27, 0.0021, 0)</f>
        <v>81.373000000000005</v>
      </c>
      <c r="G832" s="14">
        <f>81.6423 * CHOOSE(CONTROL!$C$9, $D$9, 100%, $F$9) + CHOOSE(CONTROL!$C$27, 0.0021, 0)</f>
        <v>81.644400000000005</v>
      </c>
      <c r="H832" s="14">
        <f>81.5075 * CHOOSE(CONTROL!$C$9, $D$9, 100%, $F$9) + CHOOSE(CONTROL!$C$27, 0.0021, 0)</f>
        <v>81.509599999999992</v>
      </c>
      <c r="I832" s="14">
        <f>81.5075 * CHOOSE(CONTROL!$C$9, $D$9, 100%, $F$9) + CHOOSE(CONTROL!$C$27, 0.0021, 0)</f>
        <v>81.509599999999992</v>
      </c>
      <c r="J832" s="14">
        <f>81.5075 * CHOOSE(CONTROL!$C$9, $D$9, 100%, $F$9) + CHOOSE(CONTROL!$C$27, 0.0021, 0)</f>
        <v>81.509599999999992</v>
      </c>
      <c r="K832" s="14">
        <f>81.5075 * CHOOSE(CONTROL!$C$9, $D$9, 100%, $F$9) + CHOOSE(CONTROL!$C$27, 0.0021, 0)</f>
        <v>81.509599999999992</v>
      </c>
      <c r="L832" s="14"/>
    </row>
    <row r="833" spans="1:12" ht="15.75" x14ac:dyDescent="0.25">
      <c r="A833" s="32">
        <v>66292</v>
      </c>
      <c r="B833" s="14">
        <f>82.921 * CHOOSE(CONTROL!$C$9, $D$9, 100%, $F$9) + CHOOSE(CONTROL!$C$27, 0.0021, 0)</f>
        <v>82.923100000000005</v>
      </c>
      <c r="C833" s="14">
        <f>82.4888 * CHOOSE(CONTROL!$C$9, $D$9, 100%, $F$9) + CHOOSE(CONTROL!$C$27, 0.0021, 0)</f>
        <v>82.490899999999996</v>
      </c>
      <c r="D833" s="14">
        <f>82.4888 * CHOOSE(CONTROL!$C$9, $D$9, 100%, $F$9) + CHOOSE(CONTROL!$C$27, 0.0021, 0)</f>
        <v>82.490899999999996</v>
      </c>
      <c r="E833" s="14">
        <f>82.3521 * CHOOSE(CONTROL!$C$9, $D$9, 100%, $F$9) + CHOOSE(CONTROL!$C$27, 0.0021, 0)</f>
        <v>82.354199999999992</v>
      </c>
      <c r="F833" s="14">
        <f>82.3521 * CHOOSE(CONTROL!$C$9, $D$9, 100%, $F$9) + CHOOSE(CONTROL!$C$27, 0.0021, 0)</f>
        <v>82.354199999999992</v>
      </c>
      <c r="G833" s="14">
        <f>82.6235 * CHOOSE(CONTROL!$C$9, $D$9, 100%, $F$9) + CHOOSE(CONTROL!$C$27, 0.0021, 0)</f>
        <v>82.625600000000006</v>
      </c>
      <c r="H833" s="14">
        <f>82.4888 * CHOOSE(CONTROL!$C$9, $D$9, 100%, $F$9) + CHOOSE(CONTROL!$C$27, 0.0021, 0)</f>
        <v>82.490899999999996</v>
      </c>
      <c r="I833" s="14">
        <f>82.4888 * CHOOSE(CONTROL!$C$9, $D$9, 100%, $F$9) + CHOOSE(CONTROL!$C$27, 0.0021, 0)</f>
        <v>82.490899999999996</v>
      </c>
      <c r="J833" s="14">
        <f>82.4888 * CHOOSE(CONTROL!$C$9, $D$9, 100%, $F$9) + CHOOSE(CONTROL!$C$27, 0.0021, 0)</f>
        <v>82.490899999999996</v>
      </c>
      <c r="K833" s="14">
        <f>82.4888 * CHOOSE(CONTROL!$C$9, $D$9, 100%, $F$9) + CHOOSE(CONTROL!$C$27, 0.0021, 0)</f>
        <v>82.490899999999996</v>
      </c>
      <c r="L833" s="14"/>
    </row>
    <row r="834" spans="1:12" ht="15.75" x14ac:dyDescent="0.25">
      <c r="A834" s="32">
        <v>66323</v>
      </c>
      <c r="B834" s="14">
        <f>84.5397 * CHOOSE(CONTROL!$C$9, $D$9, 100%, $F$9) + CHOOSE(CONTROL!$C$27, 0.0021, 0)</f>
        <v>84.541799999999995</v>
      </c>
      <c r="C834" s="14">
        <f>84.1074 * CHOOSE(CONTROL!$C$9, $D$9, 100%, $F$9) + CHOOSE(CONTROL!$C$27, 0.0021, 0)</f>
        <v>84.109499999999997</v>
      </c>
      <c r="D834" s="14">
        <f>84.1074 * CHOOSE(CONTROL!$C$9, $D$9, 100%, $F$9) + CHOOSE(CONTROL!$C$27, 0.0021, 0)</f>
        <v>84.109499999999997</v>
      </c>
      <c r="E834" s="14">
        <f>83.9708 * CHOOSE(CONTROL!$C$9, $D$9, 100%, $F$9) + CHOOSE(CONTROL!$C$27, 0.0021, 0)</f>
        <v>83.972899999999996</v>
      </c>
      <c r="F834" s="14">
        <f>83.9708 * CHOOSE(CONTROL!$C$9, $D$9, 100%, $F$9) + CHOOSE(CONTROL!$C$27, 0.0021, 0)</f>
        <v>83.972899999999996</v>
      </c>
      <c r="G834" s="14">
        <f>84.2422 * CHOOSE(CONTROL!$C$9, $D$9, 100%, $F$9) + CHOOSE(CONTROL!$C$27, 0.0021, 0)</f>
        <v>84.244299999999996</v>
      </c>
      <c r="H834" s="14">
        <f>84.1074 * CHOOSE(CONTROL!$C$9, $D$9, 100%, $F$9) + CHOOSE(CONTROL!$C$27, 0.0021, 0)</f>
        <v>84.109499999999997</v>
      </c>
      <c r="I834" s="14">
        <f>84.1074 * CHOOSE(CONTROL!$C$9, $D$9, 100%, $F$9) + CHOOSE(CONTROL!$C$27, 0.0021, 0)</f>
        <v>84.109499999999997</v>
      </c>
      <c r="J834" s="14">
        <f>84.1074 * CHOOSE(CONTROL!$C$9, $D$9, 100%, $F$9) + CHOOSE(CONTROL!$C$27, 0.0021, 0)</f>
        <v>84.109499999999997</v>
      </c>
      <c r="K834" s="14">
        <f>84.1074 * CHOOSE(CONTROL!$C$9, $D$9, 100%, $F$9) + CHOOSE(CONTROL!$C$27, 0.0021, 0)</f>
        <v>84.109499999999997</v>
      </c>
      <c r="L834" s="14"/>
    </row>
    <row r="835" spans="1:12" ht="15.75" x14ac:dyDescent="0.25">
      <c r="A835" s="32">
        <v>66354</v>
      </c>
      <c r="B835" s="14">
        <f>85.0338 * CHOOSE(CONTROL!$C$9, $D$9, 100%, $F$9) + CHOOSE(CONTROL!$C$27, 0.0021, 0)</f>
        <v>85.035899999999998</v>
      </c>
      <c r="C835" s="14">
        <f>84.6015 * CHOOSE(CONTROL!$C$9, $D$9, 100%, $F$9) + CHOOSE(CONTROL!$C$27, 0.0021, 0)</f>
        <v>84.6036</v>
      </c>
      <c r="D835" s="14">
        <f>84.6015 * CHOOSE(CONTROL!$C$9, $D$9, 100%, $F$9) + CHOOSE(CONTROL!$C$27, 0.0021, 0)</f>
        <v>84.6036</v>
      </c>
      <c r="E835" s="14">
        <f>84.4649 * CHOOSE(CONTROL!$C$9, $D$9, 100%, $F$9) + CHOOSE(CONTROL!$C$27, 0.0021, 0)</f>
        <v>84.466999999999999</v>
      </c>
      <c r="F835" s="14">
        <f>84.4649 * CHOOSE(CONTROL!$C$9, $D$9, 100%, $F$9) + CHOOSE(CONTROL!$C$27, 0.0021, 0)</f>
        <v>84.466999999999999</v>
      </c>
      <c r="G835" s="14">
        <f>84.7362 * CHOOSE(CONTROL!$C$9, $D$9, 100%, $F$9) + CHOOSE(CONTROL!$C$27, 0.0021, 0)</f>
        <v>84.738299999999995</v>
      </c>
      <c r="H835" s="14">
        <f>84.6015 * CHOOSE(CONTROL!$C$9, $D$9, 100%, $F$9) + CHOOSE(CONTROL!$C$27, 0.0021, 0)</f>
        <v>84.6036</v>
      </c>
      <c r="I835" s="14">
        <f>84.6015 * CHOOSE(CONTROL!$C$9, $D$9, 100%, $F$9) + CHOOSE(CONTROL!$C$27, 0.0021, 0)</f>
        <v>84.6036</v>
      </c>
      <c r="J835" s="14">
        <f>84.6015 * CHOOSE(CONTROL!$C$9, $D$9, 100%, $F$9) + CHOOSE(CONTROL!$C$27, 0.0021, 0)</f>
        <v>84.6036</v>
      </c>
      <c r="K835" s="14">
        <f>84.6015 * CHOOSE(CONTROL!$C$9, $D$9, 100%, $F$9) + CHOOSE(CONTROL!$C$27, 0.0021, 0)</f>
        <v>84.6036</v>
      </c>
      <c r="L835" s="14"/>
    </row>
    <row r="836" spans="1:12" ht="15.75" x14ac:dyDescent="0.25">
      <c r="A836" s="32">
        <v>66384</v>
      </c>
      <c r="B836" s="14">
        <f>86.7163 * CHOOSE(CONTROL!$C$9, $D$9, 100%, $F$9) + CHOOSE(CONTROL!$C$27, 0.0021, 0)</f>
        <v>86.718400000000003</v>
      </c>
      <c r="C836" s="14">
        <f>86.2841 * CHOOSE(CONTROL!$C$9, $D$9, 100%, $F$9) + CHOOSE(CONTROL!$C$27, 0.0021, 0)</f>
        <v>86.286199999999994</v>
      </c>
      <c r="D836" s="14">
        <f>86.2841 * CHOOSE(CONTROL!$C$9, $D$9, 100%, $F$9) + CHOOSE(CONTROL!$C$27, 0.0021, 0)</f>
        <v>86.286199999999994</v>
      </c>
      <c r="E836" s="14">
        <f>86.1474 * CHOOSE(CONTROL!$C$9, $D$9, 100%, $F$9) + CHOOSE(CONTROL!$C$27, 0.0021, 0)</f>
        <v>86.149500000000003</v>
      </c>
      <c r="F836" s="14">
        <f>86.1474 * CHOOSE(CONTROL!$C$9, $D$9, 100%, $F$9) + CHOOSE(CONTROL!$C$27, 0.0021, 0)</f>
        <v>86.149500000000003</v>
      </c>
      <c r="G836" s="14">
        <f>86.4188 * CHOOSE(CONTROL!$C$9, $D$9, 100%, $F$9) + CHOOSE(CONTROL!$C$27, 0.0021, 0)</f>
        <v>86.420900000000003</v>
      </c>
      <c r="H836" s="14">
        <f>86.2841 * CHOOSE(CONTROL!$C$9, $D$9, 100%, $F$9) + CHOOSE(CONTROL!$C$27, 0.0021, 0)</f>
        <v>86.286199999999994</v>
      </c>
      <c r="I836" s="14">
        <f>86.2841 * CHOOSE(CONTROL!$C$9, $D$9, 100%, $F$9) + CHOOSE(CONTROL!$C$27, 0.0021, 0)</f>
        <v>86.286199999999994</v>
      </c>
      <c r="J836" s="14">
        <f>86.2841 * CHOOSE(CONTROL!$C$9, $D$9, 100%, $F$9) + CHOOSE(CONTROL!$C$27, 0.0021, 0)</f>
        <v>86.286199999999994</v>
      </c>
      <c r="K836" s="14">
        <f>86.2841 * CHOOSE(CONTROL!$C$9, $D$9, 100%, $F$9) + CHOOSE(CONTROL!$C$27, 0.0021, 0)</f>
        <v>86.286199999999994</v>
      </c>
      <c r="L836" s="14"/>
    </row>
    <row r="837" spans="1:12" ht="15.75" x14ac:dyDescent="0.25">
      <c r="A837" s="32">
        <v>66415</v>
      </c>
      <c r="B837" s="14">
        <f>88.8461 * CHOOSE(CONTROL!$C$9, $D$9, 100%, $F$9) + CHOOSE(CONTROL!$C$27, 0.0021, 0)</f>
        <v>88.848200000000006</v>
      </c>
      <c r="C837" s="14">
        <f>88.4139 * CHOOSE(CONTROL!$C$9, $D$9, 100%, $F$9) + CHOOSE(CONTROL!$C$27, 0.0021, 0)</f>
        <v>88.415999999999997</v>
      </c>
      <c r="D837" s="14">
        <f>88.4139 * CHOOSE(CONTROL!$C$9, $D$9, 100%, $F$9) + CHOOSE(CONTROL!$C$27, 0.0021, 0)</f>
        <v>88.415999999999997</v>
      </c>
      <c r="E837" s="14">
        <f>88.2772 * CHOOSE(CONTROL!$C$9, $D$9, 100%, $F$9) + CHOOSE(CONTROL!$C$27, 0.0021, 0)</f>
        <v>88.279299999999992</v>
      </c>
      <c r="F837" s="14">
        <f>88.2772 * CHOOSE(CONTROL!$C$9, $D$9, 100%, $F$9) + CHOOSE(CONTROL!$C$27, 0.0021, 0)</f>
        <v>88.279299999999992</v>
      </c>
      <c r="G837" s="14">
        <f>88.5486 * CHOOSE(CONTROL!$C$9, $D$9, 100%, $F$9) + CHOOSE(CONTROL!$C$27, 0.0021, 0)</f>
        <v>88.550699999999992</v>
      </c>
      <c r="H837" s="14">
        <f>88.4139 * CHOOSE(CONTROL!$C$9, $D$9, 100%, $F$9) + CHOOSE(CONTROL!$C$27, 0.0021, 0)</f>
        <v>88.415999999999997</v>
      </c>
      <c r="I837" s="14">
        <f>88.4139 * CHOOSE(CONTROL!$C$9, $D$9, 100%, $F$9) + CHOOSE(CONTROL!$C$27, 0.0021, 0)</f>
        <v>88.415999999999997</v>
      </c>
      <c r="J837" s="14">
        <f>88.4139 * CHOOSE(CONTROL!$C$9, $D$9, 100%, $F$9) + CHOOSE(CONTROL!$C$27, 0.0021, 0)</f>
        <v>88.415999999999997</v>
      </c>
      <c r="K837" s="14">
        <f>88.4139 * CHOOSE(CONTROL!$C$9, $D$9, 100%, $F$9) + CHOOSE(CONTROL!$C$27, 0.0021, 0)</f>
        <v>88.415999999999997</v>
      </c>
      <c r="L837" s="14"/>
    </row>
    <row r="838" spans="1:12" ht="15.75" x14ac:dyDescent="0.25">
      <c r="A838" s="32">
        <v>66445</v>
      </c>
      <c r="B838" s="14">
        <f>89.0461 * CHOOSE(CONTROL!$C$9, $D$9, 100%, $F$9) + CHOOSE(CONTROL!$C$27, 0.0021, 0)</f>
        <v>89.048199999999994</v>
      </c>
      <c r="C838" s="14">
        <f>88.6138 * CHOOSE(CONTROL!$C$9, $D$9, 100%, $F$9) + CHOOSE(CONTROL!$C$27, 0.0021, 0)</f>
        <v>88.615899999999996</v>
      </c>
      <c r="D838" s="14">
        <f>88.6138 * CHOOSE(CONTROL!$C$9, $D$9, 100%, $F$9) + CHOOSE(CONTROL!$C$27, 0.0021, 0)</f>
        <v>88.615899999999996</v>
      </c>
      <c r="E838" s="14">
        <f>88.4771 * CHOOSE(CONTROL!$C$9, $D$9, 100%, $F$9) + CHOOSE(CONTROL!$C$27, 0.0021, 0)</f>
        <v>88.479199999999992</v>
      </c>
      <c r="F838" s="14">
        <f>88.4771 * CHOOSE(CONTROL!$C$9, $D$9, 100%, $F$9) + CHOOSE(CONTROL!$C$27, 0.0021, 0)</f>
        <v>88.479199999999992</v>
      </c>
      <c r="G838" s="14">
        <f>88.7485 * CHOOSE(CONTROL!$C$9, $D$9, 100%, $F$9) + CHOOSE(CONTROL!$C$27, 0.0021, 0)</f>
        <v>88.750600000000006</v>
      </c>
      <c r="H838" s="14">
        <f>88.6138 * CHOOSE(CONTROL!$C$9, $D$9, 100%, $F$9) + CHOOSE(CONTROL!$C$27, 0.0021, 0)</f>
        <v>88.615899999999996</v>
      </c>
      <c r="I838" s="14">
        <f>88.6138 * CHOOSE(CONTROL!$C$9, $D$9, 100%, $F$9) + CHOOSE(CONTROL!$C$27, 0.0021, 0)</f>
        <v>88.615899999999996</v>
      </c>
      <c r="J838" s="14">
        <f>88.6138 * CHOOSE(CONTROL!$C$9, $D$9, 100%, $F$9) + CHOOSE(CONTROL!$C$27, 0.0021, 0)</f>
        <v>88.615899999999996</v>
      </c>
      <c r="K838" s="14">
        <f>88.6138 * CHOOSE(CONTROL!$C$9, $D$9, 100%, $F$9) + CHOOSE(CONTROL!$C$27, 0.0021, 0)</f>
        <v>88.615899999999996</v>
      </c>
      <c r="L838" s="14"/>
    </row>
    <row r="839" spans="1:12" ht="15.75" x14ac:dyDescent="0.25">
      <c r="A839" s="32">
        <v>66476</v>
      </c>
      <c r="B839" s="14">
        <f>87.345 * CHOOSE(CONTROL!$C$9, $D$9, 100%, $F$9) + CHOOSE(CONTROL!$C$27, 0.0021, 0)</f>
        <v>87.347099999999998</v>
      </c>
      <c r="C839" s="14">
        <f>86.9128 * CHOOSE(CONTROL!$C$9, $D$9, 100%, $F$9) + CHOOSE(CONTROL!$C$27, 0.0021, 0)</f>
        <v>86.914900000000003</v>
      </c>
      <c r="D839" s="14">
        <f>86.9128 * CHOOSE(CONTROL!$C$9, $D$9, 100%, $F$9) + CHOOSE(CONTROL!$C$27, 0.0021, 0)</f>
        <v>86.914900000000003</v>
      </c>
      <c r="E839" s="14">
        <f>86.7761 * CHOOSE(CONTROL!$C$9, $D$9, 100%, $F$9) + CHOOSE(CONTROL!$C$27, 0.0021, 0)</f>
        <v>86.778199999999998</v>
      </c>
      <c r="F839" s="14">
        <f>86.7761 * CHOOSE(CONTROL!$C$9, $D$9, 100%, $F$9) + CHOOSE(CONTROL!$C$27, 0.0021, 0)</f>
        <v>86.778199999999998</v>
      </c>
      <c r="G839" s="14">
        <f>87.0475 * CHOOSE(CONTROL!$C$9, $D$9, 100%, $F$9) + CHOOSE(CONTROL!$C$27, 0.0021, 0)</f>
        <v>87.049599999999998</v>
      </c>
      <c r="H839" s="14">
        <f>86.9128 * CHOOSE(CONTROL!$C$9, $D$9, 100%, $F$9) + CHOOSE(CONTROL!$C$27, 0.0021, 0)</f>
        <v>86.914900000000003</v>
      </c>
      <c r="I839" s="14">
        <f>86.9128 * CHOOSE(CONTROL!$C$9, $D$9, 100%, $F$9) + CHOOSE(CONTROL!$C$27, 0.0021, 0)</f>
        <v>86.914900000000003</v>
      </c>
      <c r="J839" s="14">
        <f>86.9128 * CHOOSE(CONTROL!$C$9, $D$9, 100%, $F$9) + CHOOSE(CONTROL!$C$27, 0.0021, 0)</f>
        <v>86.914900000000003</v>
      </c>
      <c r="K839" s="14">
        <f>86.9128 * CHOOSE(CONTROL!$C$9, $D$9, 100%, $F$9) + CHOOSE(CONTROL!$C$27, 0.0021, 0)</f>
        <v>86.914900000000003</v>
      </c>
      <c r="L839" s="14"/>
    </row>
    <row r="840" spans="1:12" ht="15.75" x14ac:dyDescent="0.25">
      <c r="A840" s="32">
        <v>66507</v>
      </c>
      <c r="B840" s="14">
        <f>86.2306 * CHOOSE(CONTROL!$C$9, $D$9, 100%, $F$9) + CHOOSE(CONTROL!$C$27, 0.0021, 0)</f>
        <v>86.232699999999994</v>
      </c>
      <c r="C840" s="14">
        <f>85.7984 * CHOOSE(CONTROL!$C$9, $D$9, 100%, $F$9) + CHOOSE(CONTROL!$C$27, 0.0021, 0)</f>
        <v>85.8005</v>
      </c>
      <c r="D840" s="14">
        <f>85.7984 * CHOOSE(CONTROL!$C$9, $D$9, 100%, $F$9) + CHOOSE(CONTROL!$C$27, 0.0021, 0)</f>
        <v>85.8005</v>
      </c>
      <c r="E840" s="14">
        <f>85.6617 * CHOOSE(CONTROL!$C$9, $D$9, 100%, $F$9) + CHOOSE(CONTROL!$C$27, 0.0021, 0)</f>
        <v>85.663799999999995</v>
      </c>
      <c r="F840" s="14">
        <f>85.6617 * CHOOSE(CONTROL!$C$9, $D$9, 100%, $F$9) + CHOOSE(CONTROL!$C$27, 0.0021, 0)</f>
        <v>85.663799999999995</v>
      </c>
      <c r="G840" s="14">
        <f>85.9331 * CHOOSE(CONTROL!$C$9, $D$9, 100%, $F$9) + CHOOSE(CONTROL!$C$27, 0.0021, 0)</f>
        <v>85.935199999999995</v>
      </c>
      <c r="H840" s="14">
        <f>85.7984 * CHOOSE(CONTROL!$C$9, $D$9, 100%, $F$9) + CHOOSE(CONTROL!$C$27, 0.0021, 0)</f>
        <v>85.8005</v>
      </c>
      <c r="I840" s="14">
        <f>85.7984 * CHOOSE(CONTROL!$C$9, $D$9, 100%, $F$9) + CHOOSE(CONTROL!$C$27, 0.0021, 0)</f>
        <v>85.8005</v>
      </c>
      <c r="J840" s="14">
        <f>85.7984 * CHOOSE(CONTROL!$C$9, $D$9, 100%, $F$9) + CHOOSE(CONTROL!$C$27, 0.0021, 0)</f>
        <v>85.8005</v>
      </c>
      <c r="K840" s="14">
        <f>85.7984 * CHOOSE(CONTROL!$C$9, $D$9, 100%, $F$9) + CHOOSE(CONTROL!$C$27, 0.0021, 0)</f>
        <v>85.8005</v>
      </c>
      <c r="L840" s="14"/>
    </row>
    <row r="841" spans="1:12" ht="15.75" x14ac:dyDescent="0.25">
      <c r="A841" s="32">
        <v>66535</v>
      </c>
      <c r="B841" s="14">
        <f>83.8564 * CHOOSE(CONTROL!$C$9, $D$9, 100%, $F$9) + CHOOSE(CONTROL!$C$27, 0.0021, 0)</f>
        <v>83.858499999999992</v>
      </c>
      <c r="C841" s="14">
        <f>83.4242 * CHOOSE(CONTROL!$C$9, $D$9, 100%, $F$9) + CHOOSE(CONTROL!$C$27, 0.0021, 0)</f>
        <v>83.426299999999998</v>
      </c>
      <c r="D841" s="14">
        <f>83.4242 * CHOOSE(CONTROL!$C$9, $D$9, 100%, $F$9) + CHOOSE(CONTROL!$C$27, 0.0021, 0)</f>
        <v>83.426299999999998</v>
      </c>
      <c r="E841" s="14">
        <f>83.2875 * CHOOSE(CONTROL!$C$9, $D$9, 100%, $F$9) + CHOOSE(CONTROL!$C$27, 0.0021, 0)</f>
        <v>83.289599999999993</v>
      </c>
      <c r="F841" s="14">
        <f>83.2875 * CHOOSE(CONTROL!$C$9, $D$9, 100%, $F$9) + CHOOSE(CONTROL!$C$27, 0.0021, 0)</f>
        <v>83.289599999999993</v>
      </c>
      <c r="G841" s="14">
        <f>83.5589 * CHOOSE(CONTROL!$C$9, $D$9, 100%, $F$9) + CHOOSE(CONTROL!$C$27, 0.0021, 0)</f>
        <v>83.560999999999993</v>
      </c>
      <c r="H841" s="14">
        <f>83.4242 * CHOOSE(CONTROL!$C$9, $D$9, 100%, $F$9) + CHOOSE(CONTROL!$C$27, 0.0021, 0)</f>
        <v>83.426299999999998</v>
      </c>
      <c r="I841" s="14">
        <f>83.4242 * CHOOSE(CONTROL!$C$9, $D$9, 100%, $F$9) + CHOOSE(CONTROL!$C$27, 0.0021, 0)</f>
        <v>83.426299999999998</v>
      </c>
      <c r="J841" s="14">
        <f>83.4242 * CHOOSE(CONTROL!$C$9, $D$9, 100%, $F$9) + CHOOSE(CONTROL!$C$27, 0.0021, 0)</f>
        <v>83.426299999999998</v>
      </c>
      <c r="K841" s="14">
        <f>83.4242 * CHOOSE(CONTROL!$C$9, $D$9, 100%, $F$9) + CHOOSE(CONTROL!$C$27, 0.0021, 0)</f>
        <v>83.426299999999998</v>
      </c>
      <c r="L841" s="14"/>
    </row>
    <row r="842" spans="1:12" ht="15.75" x14ac:dyDescent="0.25">
      <c r="A842" s="32">
        <v>66566</v>
      </c>
      <c r="B842" s="14">
        <f>82.8763 * CHOOSE(CONTROL!$C$9, $D$9, 100%, $F$9) + CHOOSE(CONTROL!$C$27, 0.0021, 0)</f>
        <v>82.878399999999999</v>
      </c>
      <c r="C842" s="14">
        <f>82.4441 * CHOOSE(CONTROL!$C$9, $D$9, 100%, $F$9) + CHOOSE(CONTROL!$C$27, 0.0021, 0)</f>
        <v>82.446200000000005</v>
      </c>
      <c r="D842" s="14">
        <f>82.4441 * CHOOSE(CONTROL!$C$9, $D$9, 100%, $F$9) + CHOOSE(CONTROL!$C$27, 0.0021, 0)</f>
        <v>82.446200000000005</v>
      </c>
      <c r="E842" s="14">
        <f>82.3074 * CHOOSE(CONTROL!$C$9, $D$9, 100%, $F$9) + CHOOSE(CONTROL!$C$27, 0.0021, 0)</f>
        <v>82.3095</v>
      </c>
      <c r="F842" s="14">
        <f>82.3074 * CHOOSE(CONTROL!$C$9, $D$9, 100%, $F$9) + CHOOSE(CONTROL!$C$27, 0.0021, 0)</f>
        <v>82.3095</v>
      </c>
      <c r="G842" s="14">
        <f>82.5788 * CHOOSE(CONTROL!$C$9, $D$9, 100%, $F$9) + CHOOSE(CONTROL!$C$27, 0.0021, 0)</f>
        <v>82.5809</v>
      </c>
      <c r="H842" s="14">
        <f>82.4441 * CHOOSE(CONTROL!$C$9, $D$9, 100%, $F$9) + CHOOSE(CONTROL!$C$27, 0.0021, 0)</f>
        <v>82.446200000000005</v>
      </c>
      <c r="I842" s="14">
        <f>82.4441 * CHOOSE(CONTROL!$C$9, $D$9, 100%, $F$9) + CHOOSE(CONTROL!$C$27, 0.0021, 0)</f>
        <v>82.446200000000005</v>
      </c>
      <c r="J842" s="14">
        <f>82.4441 * CHOOSE(CONTROL!$C$9, $D$9, 100%, $F$9) + CHOOSE(CONTROL!$C$27, 0.0021, 0)</f>
        <v>82.446200000000005</v>
      </c>
      <c r="K842" s="14">
        <f>82.4441 * CHOOSE(CONTROL!$C$9, $D$9, 100%, $F$9) + CHOOSE(CONTROL!$C$27, 0.0021, 0)</f>
        <v>82.446200000000005</v>
      </c>
      <c r="L842" s="14"/>
    </row>
    <row r="843" spans="1:12" ht="15.75" x14ac:dyDescent="0.25">
      <c r="A843" s="32">
        <v>66596</v>
      </c>
      <c r="B843" s="14">
        <f>81.7061 * CHOOSE(CONTROL!$C$9, $D$9, 100%, $F$9) + CHOOSE(CONTROL!$C$27, 0.0021, 0)</f>
        <v>81.708200000000005</v>
      </c>
      <c r="C843" s="14">
        <f>81.2738 * CHOOSE(CONTROL!$C$9, $D$9, 100%, $F$9) + CHOOSE(CONTROL!$C$27, 0.0021, 0)</f>
        <v>81.275899999999993</v>
      </c>
      <c r="D843" s="14">
        <f>81.2738 * CHOOSE(CONTROL!$C$9, $D$9, 100%, $F$9) + CHOOSE(CONTROL!$C$27, 0.0021, 0)</f>
        <v>81.275899999999993</v>
      </c>
      <c r="E843" s="14">
        <f>81.1372 * CHOOSE(CONTROL!$C$9, $D$9, 100%, $F$9) + CHOOSE(CONTROL!$C$27, 0.0021, 0)</f>
        <v>81.139300000000006</v>
      </c>
      <c r="F843" s="14">
        <f>81.1372 * CHOOSE(CONTROL!$C$9, $D$9, 100%, $F$9) + CHOOSE(CONTROL!$C$27, 0.0021, 0)</f>
        <v>81.139300000000006</v>
      </c>
      <c r="G843" s="14">
        <f>81.4086 * CHOOSE(CONTROL!$C$9, $D$9, 100%, $F$9) + CHOOSE(CONTROL!$C$27, 0.0021, 0)</f>
        <v>81.410700000000006</v>
      </c>
      <c r="H843" s="14">
        <f>81.2738 * CHOOSE(CONTROL!$C$9, $D$9, 100%, $F$9) + CHOOSE(CONTROL!$C$27, 0.0021, 0)</f>
        <v>81.275899999999993</v>
      </c>
      <c r="I843" s="14">
        <f>81.2738 * CHOOSE(CONTROL!$C$9, $D$9, 100%, $F$9) + CHOOSE(CONTROL!$C$27, 0.0021, 0)</f>
        <v>81.275899999999993</v>
      </c>
      <c r="J843" s="14">
        <f>81.2738 * CHOOSE(CONTROL!$C$9, $D$9, 100%, $F$9) + CHOOSE(CONTROL!$C$27, 0.0021, 0)</f>
        <v>81.275899999999993</v>
      </c>
      <c r="K843" s="14">
        <f>81.2738 * CHOOSE(CONTROL!$C$9, $D$9, 100%, $F$9) + CHOOSE(CONTROL!$C$27, 0.0021, 0)</f>
        <v>81.275899999999993</v>
      </c>
      <c r="L843" s="14"/>
    </row>
    <row r="844" spans="1:12" ht="15.75" x14ac:dyDescent="0.25">
      <c r="A844" s="32">
        <v>66627</v>
      </c>
      <c r="B844" s="14">
        <f>83.3738 * CHOOSE(CONTROL!$C$9, $D$9, 100%, $F$9) + CHOOSE(CONTROL!$C$27, 0.0021, 0)</f>
        <v>83.375900000000001</v>
      </c>
      <c r="C844" s="14">
        <f>82.9416 * CHOOSE(CONTROL!$C$9, $D$9, 100%, $F$9) + CHOOSE(CONTROL!$C$27, 0.0021, 0)</f>
        <v>82.943699999999993</v>
      </c>
      <c r="D844" s="14">
        <f>82.9416 * CHOOSE(CONTROL!$C$9, $D$9, 100%, $F$9) + CHOOSE(CONTROL!$C$27, 0.0021, 0)</f>
        <v>82.943699999999993</v>
      </c>
      <c r="E844" s="14">
        <f>82.8049 * CHOOSE(CONTROL!$C$9, $D$9, 100%, $F$9) + CHOOSE(CONTROL!$C$27, 0.0021, 0)</f>
        <v>82.807000000000002</v>
      </c>
      <c r="F844" s="14">
        <f>82.8049 * CHOOSE(CONTROL!$C$9, $D$9, 100%, $F$9) + CHOOSE(CONTROL!$C$27, 0.0021, 0)</f>
        <v>82.807000000000002</v>
      </c>
      <c r="G844" s="14">
        <f>83.0763 * CHOOSE(CONTROL!$C$9, $D$9, 100%, $F$9) + CHOOSE(CONTROL!$C$27, 0.0021, 0)</f>
        <v>83.078400000000002</v>
      </c>
      <c r="H844" s="14">
        <f>82.9416 * CHOOSE(CONTROL!$C$9, $D$9, 100%, $F$9) + CHOOSE(CONTROL!$C$27, 0.0021, 0)</f>
        <v>82.943699999999993</v>
      </c>
      <c r="I844" s="14">
        <f>82.9416 * CHOOSE(CONTROL!$C$9, $D$9, 100%, $F$9) + CHOOSE(CONTROL!$C$27, 0.0021, 0)</f>
        <v>82.943699999999993</v>
      </c>
      <c r="J844" s="14">
        <f>82.9416 * CHOOSE(CONTROL!$C$9, $D$9, 100%, $F$9) + CHOOSE(CONTROL!$C$27, 0.0021, 0)</f>
        <v>82.943699999999993</v>
      </c>
      <c r="K844" s="14">
        <f>82.9416 * CHOOSE(CONTROL!$C$9, $D$9, 100%, $F$9) + CHOOSE(CONTROL!$C$27, 0.0021, 0)</f>
        <v>82.943699999999993</v>
      </c>
      <c r="L844" s="14"/>
    </row>
    <row r="845" spans="1:12" ht="15.75" x14ac:dyDescent="0.25">
      <c r="A845" s="32">
        <v>66657</v>
      </c>
      <c r="B845" s="14">
        <f>84.3727 * CHOOSE(CONTROL!$C$9, $D$9, 100%, $F$9) + CHOOSE(CONTROL!$C$27, 0.0021, 0)</f>
        <v>84.374799999999993</v>
      </c>
      <c r="C845" s="14">
        <f>83.9405 * CHOOSE(CONTROL!$C$9, $D$9, 100%, $F$9) + CHOOSE(CONTROL!$C$27, 0.0021, 0)</f>
        <v>83.942599999999999</v>
      </c>
      <c r="D845" s="14">
        <f>83.9405 * CHOOSE(CONTROL!$C$9, $D$9, 100%, $F$9) + CHOOSE(CONTROL!$C$27, 0.0021, 0)</f>
        <v>83.942599999999999</v>
      </c>
      <c r="E845" s="14">
        <f>83.8038 * CHOOSE(CONTROL!$C$9, $D$9, 100%, $F$9) + CHOOSE(CONTROL!$C$27, 0.0021, 0)</f>
        <v>83.805899999999994</v>
      </c>
      <c r="F845" s="14">
        <f>83.8038 * CHOOSE(CONTROL!$C$9, $D$9, 100%, $F$9) + CHOOSE(CONTROL!$C$27, 0.0021, 0)</f>
        <v>83.805899999999994</v>
      </c>
      <c r="G845" s="14">
        <f>84.0752 * CHOOSE(CONTROL!$C$9, $D$9, 100%, $F$9) + CHOOSE(CONTROL!$C$27, 0.0021, 0)</f>
        <v>84.077299999999994</v>
      </c>
      <c r="H845" s="14">
        <f>83.9405 * CHOOSE(CONTROL!$C$9, $D$9, 100%, $F$9) + CHOOSE(CONTROL!$C$27, 0.0021, 0)</f>
        <v>83.942599999999999</v>
      </c>
      <c r="I845" s="14">
        <f>83.9405 * CHOOSE(CONTROL!$C$9, $D$9, 100%, $F$9) + CHOOSE(CONTROL!$C$27, 0.0021, 0)</f>
        <v>83.942599999999999</v>
      </c>
      <c r="J845" s="14">
        <f>83.9405 * CHOOSE(CONTROL!$C$9, $D$9, 100%, $F$9) + CHOOSE(CONTROL!$C$27, 0.0021, 0)</f>
        <v>83.942599999999999</v>
      </c>
      <c r="K845" s="14">
        <f>83.9405 * CHOOSE(CONTROL!$C$9, $D$9, 100%, $F$9) + CHOOSE(CONTROL!$C$27, 0.0021, 0)</f>
        <v>83.942599999999999</v>
      </c>
      <c r="L845" s="14"/>
    </row>
    <row r="846" spans="1:12" ht="15.75" x14ac:dyDescent="0.25">
      <c r="A846" s="32">
        <v>66688</v>
      </c>
      <c r="B846" s="14">
        <f>86.0205 * CHOOSE(CONTROL!$C$9, $D$9, 100%, $F$9) + CHOOSE(CONTROL!$C$27, 0.0021, 0)</f>
        <v>86.022599999999997</v>
      </c>
      <c r="C846" s="14">
        <f>85.5883 * CHOOSE(CONTROL!$C$9, $D$9, 100%, $F$9) + CHOOSE(CONTROL!$C$27, 0.0021, 0)</f>
        <v>85.590400000000002</v>
      </c>
      <c r="D846" s="14">
        <f>85.5883 * CHOOSE(CONTROL!$C$9, $D$9, 100%, $F$9) + CHOOSE(CONTROL!$C$27, 0.0021, 0)</f>
        <v>85.590400000000002</v>
      </c>
      <c r="E846" s="14">
        <f>85.4516 * CHOOSE(CONTROL!$C$9, $D$9, 100%, $F$9) + CHOOSE(CONTROL!$C$27, 0.0021, 0)</f>
        <v>85.453699999999998</v>
      </c>
      <c r="F846" s="14">
        <f>85.4516 * CHOOSE(CONTROL!$C$9, $D$9, 100%, $F$9) + CHOOSE(CONTROL!$C$27, 0.0021, 0)</f>
        <v>85.453699999999998</v>
      </c>
      <c r="G846" s="14">
        <f>85.723 * CHOOSE(CONTROL!$C$9, $D$9, 100%, $F$9) + CHOOSE(CONTROL!$C$27, 0.0021, 0)</f>
        <v>85.725099999999998</v>
      </c>
      <c r="H846" s="14">
        <f>85.5883 * CHOOSE(CONTROL!$C$9, $D$9, 100%, $F$9) + CHOOSE(CONTROL!$C$27, 0.0021, 0)</f>
        <v>85.590400000000002</v>
      </c>
      <c r="I846" s="14">
        <f>85.5883 * CHOOSE(CONTROL!$C$9, $D$9, 100%, $F$9) + CHOOSE(CONTROL!$C$27, 0.0021, 0)</f>
        <v>85.590400000000002</v>
      </c>
      <c r="J846" s="14">
        <f>85.5883 * CHOOSE(CONTROL!$C$9, $D$9, 100%, $F$9) + CHOOSE(CONTROL!$C$27, 0.0021, 0)</f>
        <v>85.590400000000002</v>
      </c>
      <c r="K846" s="14">
        <f>85.5883 * CHOOSE(CONTROL!$C$9, $D$9, 100%, $F$9) + CHOOSE(CONTROL!$C$27, 0.0021, 0)</f>
        <v>85.590400000000002</v>
      </c>
      <c r="L846" s="14"/>
    </row>
    <row r="847" spans="1:12" ht="15.75" x14ac:dyDescent="0.25">
      <c r="A847" s="32">
        <v>66719</v>
      </c>
      <c r="B847" s="14">
        <f>86.5235 * CHOOSE(CONTROL!$C$9, $D$9, 100%, $F$9) + CHOOSE(CONTROL!$C$27, 0.0021, 0)</f>
        <v>86.525599999999997</v>
      </c>
      <c r="C847" s="14">
        <f>86.0913 * CHOOSE(CONTROL!$C$9, $D$9, 100%, $F$9) + CHOOSE(CONTROL!$C$27, 0.0021, 0)</f>
        <v>86.093400000000003</v>
      </c>
      <c r="D847" s="14">
        <f>86.0913 * CHOOSE(CONTROL!$C$9, $D$9, 100%, $F$9) + CHOOSE(CONTROL!$C$27, 0.0021, 0)</f>
        <v>86.093400000000003</v>
      </c>
      <c r="E847" s="14">
        <f>85.9546 * CHOOSE(CONTROL!$C$9, $D$9, 100%, $F$9) + CHOOSE(CONTROL!$C$27, 0.0021, 0)</f>
        <v>85.956699999999998</v>
      </c>
      <c r="F847" s="14">
        <f>85.9546 * CHOOSE(CONTROL!$C$9, $D$9, 100%, $F$9) + CHOOSE(CONTROL!$C$27, 0.0021, 0)</f>
        <v>85.956699999999998</v>
      </c>
      <c r="G847" s="14">
        <f>86.226 * CHOOSE(CONTROL!$C$9, $D$9, 100%, $F$9) + CHOOSE(CONTROL!$C$27, 0.0021, 0)</f>
        <v>86.228099999999998</v>
      </c>
      <c r="H847" s="14">
        <f>86.0913 * CHOOSE(CONTROL!$C$9, $D$9, 100%, $F$9) + CHOOSE(CONTROL!$C$27, 0.0021, 0)</f>
        <v>86.093400000000003</v>
      </c>
      <c r="I847" s="14">
        <f>86.0913 * CHOOSE(CONTROL!$C$9, $D$9, 100%, $F$9) + CHOOSE(CONTROL!$C$27, 0.0021, 0)</f>
        <v>86.093400000000003</v>
      </c>
      <c r="J847" s="14">
        <f>86.0913 * CHOOSE(CONTROL!$C$9, $D$9, 100%, $F$9) + CHOOSE(CONTROL!$C$27, 0.0021, 0)</f>
        <v>86.093400000000003</v>
      </c>
      <c r="K847" s="14">
        <f>86.0913 * CHOOSE(CONTROL!$C$9, $D$9, 100%, $F$9) + CHOOSE(CONTROL!$C$27, 0.0021, 0)</f>
        <v>86.093400000000003</v>
      </c>
      <c r="L847" s="14"/>
    </row>
    <row r="848" spans="1:12" ht="15.75" x14ac:dyDescent="0.25">
      <c r="A848" s="32">
        <v>66749</v>
      </c>
      <c r="B848" s="14">
        <f>88.2363 * CHOOSE(CONTROL!$C$9, $D$9, 100%, $F$9) + CHOOSE(CONTROL!$C$27, 0.0021, 0)</f>
        <v>88.238399999999999</v>
      </c>
      <c r="C848" s="14">
        <f>87.8041 * CHOOSE(CONTROL!$C$9, $D$9, 100%, $F$9) + CHOOSE(CONTROL!$C$27, 0.0021, 0)</f>
        <v>87.806200000000004</v>
      </c>
      <c r="D848" s="14">
        <f>87.8041 * CHOOSE(CONTROL!$C$9, $D$9, 100%, $F$9) + CHOOSE(CONTROL!$C$27, 0.0021, 0)</f>
        <v>87.806200000000004</v>
      </c>
      <c r="E848" s="14">
        <f>87.6674 * CHOOSE(CONTROL!$C$9, $D$9, 100%, $F$9) + CHOOSE(CONTROL!$C$27, 0.0021, 0)</f>
        <v>87.669499999999999</v>
      </c>
      <c r="F848" s="14">
        <f>87.6674 * CHOOSE(CONTROL!$C$9, $D$9, 100%, $F$9) + CHOOSE(CONTROL!$C$27, 0.0021, 0)</f>
        <v>87.669499999999999</v>
      </c>
      <c r="G848" s="14">
        <f>87.9388 * CHOOSE(CONTROL!$C$9, $D$9, 100%, $F$9) + CHOOSE(CONTROL!$C$27, 0.0021, 0)</f>
        <v>87.940899999999999</v>
      </c>
      <c r="H848" s="14">
        <f>87.8041 * CHOOSE(CONTROL!$C$9, $D$9, 100%, $F$9) + CHOOSE(CONTROL!$C$27, 0.0021, 0)</f>
        <v>87.806200000000004</v>
      </c>
      <c r="I848" s="14">
        <f>87.8041 * CHOOSE(CONTROL!$C$9, $D$9, 100%, $F$9) + CHOOSE(CONTROL!$C$27, 0.0021, 0)</f>
        <v>87.806200000000004</v>
      </c>
      <c r="J848" s="14">
        <f>87.8041 * CHOOSE(CONTROL!$C$9, $D$9, 100%, $F$9) + CHOOSE(CONTROL!$C$27, 0.0021, 0)</f>
        <v>87.806200000000004</v>
      </c>
      <c r="K848" s="14">
        <f>87.8041 * CHOOSE(CONTROL!$C$9, $D$9, 100%, $F$9) + CHOOSE(CONTROL!$C$27, 0.0021, 0)</f>
        <v>87.806200000000004</v>
      </c>
      <c r="L848" s="14"/>
    </row>
    <row r="849" spans="1:12" ht="15.75" x14ac:dyDescent="0.25">
      <c r="A849" s="32">
        <v>66780</v>
      </c>
      <c r="B849" s="14">
        <f>90.4045 * CHOOSE(CONTROL!$C$9, $D$9, 100%, $F$9) + CHOOSE(CONTROL!$C$27, 0.0021, 0)</f>
        <v>90.406599999999997</v>
      </c>
      <c r="C849" s="14">
        <f>89.9723 * CHOOSE(CONTROL!$C$9, $D$9, 100%, $F$9) + CHOOSE(CONTROL!$C$27, 0.0021, 0)</f>
        <v>89.974400000000003</v>
      </c>
      <c r="D849" s="14">
        <f>89.9723 * CHOOSE(CONTROL!$C$9, $D$9, 100%, $F$9) + CHOOSE(CONTROL!$C$27, 0.0021, 0)</f>
        <v>89.974400000000003</v>
      </c>
      <c r="E849" s="14">
        <f>89.8356 * CHOOSE(CONTROL!$C$9, $D$9, 100%, $F$9) + CHOOSE(CONTROL!$C$27, 0.0021, 0)</f>
        <v>89.837699999999998</v>
      </c>
      <c r="F849" s="14">
        <f>89.8356 * CHOOSE(CONTROL!$C$9, $D$9, 100%, $F$9) + CHOOSE(CONTROL!$C$27, 0.0021, 0)</f>
        <v>89.837699999999998</v>
      </c>
      <c r="G849" s="14">
        <f>90.107 * CHOOSE(CONTROL!$C$9, $D$9, 100%, $F$9) + CHOOSE(CONTROL!$C$27, 0.0021, 0)</f>
        <v>90.109099999999998</v>
      </c>
      <c r="H849" s="14">
        <f>89.9723 * CHOOSE(CONTROL!$C$9, $D$9, 100%, $F$9) + CHOOSE(CONTROL!$C$27, 0.0021, 0)</f>
        <v>89.974400000000003</v>
      </c>
      <c r="I849" s="14">
        <f>89.9723 * CHOOSE(CONTROL!$C$9, $D$9, 100%, $F$9) + CHOOSE(CONTROL!$C$27, 0.0021, 0)</f>
        <v>89.974400000000003</v>
      </c>
      <c r="J849" s="14">
        <f>89.9723 * CHOOSE(CONTROL!$C$9, $D$9, 100%, $F$9) + CHOOSE(CONTROL!$C$27, 0.0021, 0)</f>
        <v>89.974400000000003</v>
      </c>
      <c r="K849" s="14">
        <f>89.9723 * CHOOSE(CONTROL!$C$9, $D$9, 100%, $F$9) + CHOOSE(CONTROL!$C$27, 0.0021, 0)</f>
        <v>89.974400000000003</v>
      </c>
      <c r="L849" s="14"/>
    </row>
    <row r="850" spans="1:12" ht="15.75" x14ac:dyDescent="0.25">
      <c r="A850" s="32">
        <v>66810</v>
      </c>
      <c r="B850" s="14">
        <f>90.608 * CHOOSE(CONTROL!$C$9, $D$9, 100%, $F$9) + CHOOSE(CONTROL!$C$27, 0.0021, 0)</f>
        <v>90.610100000000003</v>
      </c>
      <c r="C850" s="14">
        <f>90.1758 * CHOOSE(CONTROL!$C$9, $D$9, 100%, $F$9) + CHOOSE(CONTROL!$C$27, 0.0021, 0)</f>
        <v>90.177899999999994</v>
      </c>
      <c r="D850" s="14">
        <f>90.1758 * CHOOSE(CONTROL!$C$9, $D$9, 100%, $F$9) + CHOOSE(CONTROL!$C$27, 0.0021, 0)</f>
        <v>90.177899999999994</v>
      </c>
      <c r="E850" s="14">
        <f>90.0391 * CHOOSE(CONTROL!$C$9, $D$9, 100%, $F$9) + CHOOSE(CONTROL!$C$27, 0.0021, 0)</f>
        <v>90.041200000000003</v>
      </c>
      <c r="F850" s="14">
        <f>90.0391 * CHOOSE(CONTROL!$C$9, $D$9, 100%, $F$9) + CHOOSE(CONTROL!$C$27, 0.0021, 0)</f>
        <v>90.041200000000003</v>
      </c>
      <c r="G850" s="14">
        <f>90.3105 * CHOOSE(CONTROL!$C$9, $D$9, 100%, $F$9) + CHOOSE(CONTROL!$C$27, 0.0021, 0)</f>
        <v>90.312600000000003</v>
      </c>
      <c r="H850" s="14">
        <f>90.1758 * CHOOSE(CONTROL!$C$9, $D$9, 100%, $F$9) + CHOOSE(CONTROL!$C$27, 0.0021, 0)</f>
        <v>90.177899999999994</v>
      </c>
      <c r="I850" s="14">
        <f>90.1758 * CHOOSE(CONTROL!$C$9, $D$9, 100%, $F$9) + CHOOSE(CONTROL!$C$27, 0.0021, 0)</f>
        <v>90.177899999999994</v>
      </c>
      <c r="J850" s="14">
        <f>90.1758 * CHOOSE(CONTROL!$C$9, $D$9, 100%, $F$9) + CHOOSE(CONTROL!$C$27, 0.0021, 0)</f>
        <v>90.177899999999994</v>
      </c>
      <c r="K850" s="14">
        <f>90.1758 * CHOOSE(CONTROL!$C$9, $D$9, 100%, $F$9) + CHOOSE(CONTROL!$C$27, 0.0021, 0)</f>
        <v>90.177899999999994</v>
      </c>
      <c r="L850" s="14"/>
    </row>
    <row r="851" spans="1:12" ht="15.75" x14ac:dyDescent="0.25">
      <c r="A851" s="32">
        <v>66841</v>
      </c>
      <c r="B851" s="14">
        <f>88.8764 * CHOOSE(CONTROL!$C$9, $D$9, 100%, $F$9) + CHOOSE(CONTROL!$C$27, 0.0021, 0)</f>
        <v>88.878500000000003</v>
      </c>
      <c r="C851" s="14">
        <f>88.4441 * CHOOSE(CONTROL!$C$9, $D$9, 100%, $F$9) + CHOOSE(CONTROL!$C$27, 0.0021, 0)</f>
        <v>88.446200000000005</v>
      </c>
      <c r="D851" s="14">
        <f>88.4441 * CHOOSE(CONTROL!$C$9, $D$9, 100%, $F$9) + CHOOSE(CONTROL!$C$27, 0.0021, 0)</f>
        <v>88.446200000000005</v>
      </c>
      <c r="E851" s="14">
        <f>88.3075 * CHOOSE(CONTROL!$C$9, $D$9, 100%, $F$9) + CHOOSE(CONTROL!$C$27, 0.0021, 0)</f>
        <v>88.309600000000003</v>
      </c>
      <c r="F851" s="14">
        <f>88.3075 * CHOOSE(CONTROL!$C$9, $D$9, 100%, $F$9) + CHOOSE(CONTROL!$C$27, 0.0021, 0)</f>
        <v>88.309600000000003</v>
      </c>
      <c r="G851" s="14">
        <f>88.5788 * CHOOSE(CONTROL!$C$9, $D$9, 100%, $F$9) + CHOOSE(CONTROL!$C$27, 0.0021, 0)</f>
        <v>88.5809</v>
      </c>
      <c r="H851" s="14">
        <f>88.4441 * CHOOSE(CONTROL!$C$9, $D$9, 100%, $F$9) + CHOOSE(CONTROL!$C$27, 0.0021, 0)</f>
        <v>88.446200000000005</v>
      </c>
      <c r="I851" s="14">
        <f>88.4441 * CHOOSE(CONTROL!$C$9, $D$9, 100%, $F$9) + CHOOSE(CONTROL!$C$27, 0.0021, 0)</f>
        <v>88.446200000000005</v>
      </c>
      <c r="J851" s="14">
        <f>88.4441 * CHOOSE(CONTROL!$C$9, $D$9, 100%, $F$9) + CHOOSE(CONTROL!$C$27, 0.0021, 0)</f>
        <v>88.446200000000005</v>
      </c>
      <c r="K851" s="14">
        <f>88.4441 * CHOOSE(CONTROL!$C$9, $D$9, 100%, $F$9) + CHOOSE(CONTROL!$C$27, 0.0021, 0)</f>
        <v>88.446200000000005</v>
      </c>
      <c r="L851" s="14"/>
    </row>
    <row r="852" spans="1:12" ht="15.75" x14ac:dyDescent="0.25">
      <c r="A852" s="32">
        <v>66872</v>
      </c>
      <c r="B852" s="14">
        <f>87.7419 * CHOOSE(CONTROL!$C$9, $D$9, 100%, $F$9) + CHOOSE(CONTROL!$C$27, 0.0021, 0)</f>
        <v>87.744</v>
      </c>
      <c r="C852" s="14">
        <f>87.3097 * CHOOSE(CONTROL!$C$9, $D$9, 100%, $F$9) + CHOOSE(CONTROL!$C$27, 0.0021, 0)</f>
        <v>87.311800000000005</v>
      </c>
      <c r="D852" s="14">
        <f>87.3097 * CHOOSE(CONTROL!$C$9, $D$9, 100%, $F$9) + CHOOSE(CONTROL!$C$27, 0.0021, 0)</f>
        <v>87.311800000000005</v>
      </c>
      <c r="E852" s="14">
        <f>87.173 * CHOOSE(CONTROL!$C$9, $D$9, 100%, $F$9) + CHOOSE(CONTROL!$C$27, 0.0021, 0)</f>
        <v>87.1751</v>
      </c>
      <c r="F852" s="14">
        <f>87.173 * CHOOSE(CONTROL!$C$9, $D$9, 100%, $F$9) + CHOOSE(CONTROL!$C$27, 0.0021, 0)</f>
        <v>87.1751</v>
      </c>
      <c r="G852" s="14">
        <f>87.4444 * CHOOSE(CONTROL!$C$9, $D$9, 100%, $F$9) + CHOOSE(CONTROL!$C$27, 0.0021, 0)</f>
        <v>87.4465</v>
      </c>
      <c r="H852" s="14">
        <f>87.3097 * CHOOSE(CONTROL!$C$9, $D$9, 100%, $F$9) + CHOOSE(CONTROL!$C$27, 0.0021, 0)</f>
        <v>87.311800000000005</v>
      </c>
      <c r="I852" s="14">
        <f>87.3097 * CHOOSE(CONTROL!$C$9, $D$9, 100%, $F$9) + CHOOSE(CONTROL!$C$27, 0.0021, 0)</f>
        <v>87.311800000000005</v>
      </c>
      <c r="J852" s="14">
        <f>87.3097 * CHOOSE(CONTROL!$C$9, $D$9, 100%, $F$9) + CHOOSE(CONTROL!$C$27, 0.0021, 0)</f>
        <v>87.311800000000005</v>
      </c>
      <c r="K852" s="14">
        <f>87.3097 * CHOOSE(CONTROL!$C$9, $D$9, 100%, $F$9) + CHOOSE(CONTROL!$C$27, 0.0021, 0)</f>
        <v>87.311800000000005</v>
      </c>
      <c r="L852" s="14"/>
    </row>
    <row r="853" spans="1:12" ht="15.75" x14ac:dyDescent="0.25">
      <c r="A853" s="32">
        <v>66900</v>
      </c>
      <c r="B853" s="14">
        <f>85.325 * CHOOSE(CONTROL!$C$9, $D$9, 100%, $F$9) + CHOOSE(CONTROL!$C$27, 0.0021, 0)</f>
        <v>85.327100000000002</v>
      </c>
      <c r="C853" s="14">
        <f>84.8927 * CHOOSE(CONTROL!$C$9, $D$9, 100%, $F$9) + CHOOSE(CONTROL!$C$27, 0.0021, 0)</f>
        <v>84.894800000000004</v>
      </c>
      <c r="D853" s="14">
        <f>84.8927 * CHOOSE(CONTROL!$C$9, $D$9, 100%, $F$9) + CHOOSE(CONTROL!$C$27, 0.0021, 0)</f>
        <v>84.894800000000004</v>
      </c>
      <c r="E853" s="14">
        <f>84.756 * CHOOSE(CONTROL!$C$9, $D$9, 100%, $F$9) + CHOOSE(CONTROL!$C$27, 0.0021, 0)</f>
        <v>84.758099999999999</v>
      </c>
      <c r="F853" s="14">
        <f>84.756 * CHOOSE(CONTROL!$C$9, $D$9, 100%, $F$9) + CHOOSE(CONTROL!$C$27, 0.0021, 0)</f>
        <v>84.758099999999999</v>
      </c>
      <c r="G853" s="14">
        <f>85.0274 * CHOOSE(CONTROL!$C$9, $D$9, 100%, $F$9) + CHOOSE(CONTROL!$C$27, 0.0021, 0)</f>
        <v>85.029499999999999</v>
      </c>
      <c r="H853" s="14">
        <f>84.8927 * CHOOSE(CONTROL!$C$9, $D$9, 100%, $F$9) + CHOOSE(CONTROL!$C$27, 0.0021, 0)</f>
        <v>84.894800000000004</v>
      </c>
      <c r="I853" s="14">
        <f>84.8927 * CHOOSE(CONTROL!$C$9, $D$9, 100%, $F$9) + CHOOSE(CONTROL!$C$27, 0.0021, 0)</f>
        <v>84.894800000000004</v>
      </c>
      <c r="J853" s="14">
        <f>84.8927 * CHOOSE(CONTROL!$C$9, $D$9, 100%, $F$9) + CHOOSE(CONTROL!$C$27, 0.0021, 0)</f>
        <v>84.894800000000004</v>
      </c>
      <c r="K853" s="14">
        <f>84.8927 * CHOOSE(CONTROL!$C$9, $D$9, 100%, $F$9) + CHOOSE(CONTROL!$C$27, 0.0021, 0)</f>
        <v>84.894800000000004</v>
      </c>
      <c r="L853" s="14"/>
    </row>
    <row r="854" spans="1:12" ht="15.75" x14ac:dyDescent="0.25">
      <c r="A854" s="32">
        <v>66931</v>
      </c>
      <c r="B854" s="14">
        <f>84.3272 * CHOOSE(CONTROL!$C$9, $D$9, 100%, $F$9) + CHOOSE(CONTROL!$C$27, 0.0021, 0)</f>
        <v>84.329300000000003</v>
      </c>
      <c r="C854" s="14">
        <f>83.895 * CHOOSE(CONTROL!$C$9, $D$9, 100%, $F$9) + CHOOSE(CONTROL!$C$27, 0.0021, 0)</f>
        <v>83.897099999999995</v>
      </c>
      <c r="D854" s="14">
        <f>83.895 * CHOOSE(CONTROL!$C$9, $D$9, 100%, $F$9) + CHOOSE(CONTROL!$C$27, 0.0021, 0)</f>
        <v>83.897099999999995</v>
      </c>
      <c r="E854" s="14">
        <f>83.7583 * CHOOSE(CONTROL!$C$9, $D$9, 100%, $F$9) + CHOOSE(CONTROL!$C$27, 0.0021, 0)</f>
        <v>83.760400000000004</v>
      </c>
      <c r="F854" s="14">
        <f>83.7583 * CHOOSE(CONTROL!$C$9, $D$9, 100%, $F$9) + CHOOSE(CONTROL!$C$27, 0.0021, 0)</f>
        <v>83.760400000000004</v>
      </c>
      <c r="G854" s="14">
        <f>84.0297 * CHOOSE(CONTROL!$C$9, $D$9, 100%, $F$9) + CHOOSE(CONTROL!$C$27, 0.0021, 0)</f>
        <v>84.031800000000004</v>
      </c>
      <c r="H854" s="14">
        <f>83.895 * CHOOSE(CONTROL!$C$9, $D$9, 100%, $F$9) + CHOOSE(CONTROL!$C$27, 0.0021, 0)</f>
        <v>83.897099999999995</v>
      </c>
      <c r="I854" s="14">
        <f>83.895 * CHOOSE(CONTROL!$C$9, $D$9, 100%, $F$9) + CHOOSE(CONTROL!$C$27, 0.0021, 0)</f>
        <v>83.897099999999995</v>
      </c>
      <c r="J854" s="14">
        <f>83.895 * CHOOSE(CONTROL!$C$9, $D$9, 100%, $F$9) + CHOOSE(CONTROL!$C$27, 0.0021, 0)</f>
        <v>83.897099999999995</v>
      </c>
      <c r="K854" s="14">
        <f>83.895 * CHOOSE(CONTROL!$C$9, $D$9, 100%, $F$9) + CHOOSE(CONTROL!$C$27, 0.0021, 0)</f>
        <v>83.897099999999995</v>
      </c>
      <c r="L854" s="14"/>
    </row>
    <row r="855" spans="1:12" ht="15.75" x14ac:dyDescent="0.25">
      <c r="A855" s="32">
        <v>66961</v>
      </c>
      <c r="B855" s="14">
        <f>83.1359 * CHOOSE(CONTROL!$C$9, $D$9, 100%, $F$9) + CHOOSE(CONTROL!$C$27, 0.0021, 0)</f>
        <v>83.138000000000005</v>
      </c>
      <c r="C855" s="14">
        <f>82.7037 * CHOOSE(CONTROL!$C$9, $D$9, 100%, $F$9) + CHOOSE(CONTROL!$C$27, 0.0021, 0)</f>
        <v>82.705799999999996</v>
      </c>
      <c r="D855" s="14">
        <f>82.7037 * CHOOSE(CONTROL!$C$9, $D$9, 100%, $F$9) + CHOOSE(CONTROL!$C$27, 0.0021, 0)</f>
        <v>82.705799999999996</v>
      </c>
      <c r="E855" s="14">
        <f>82.567 * CHOOSE(CONTROL!$C$9, $D$9, 100%, $F$9) + CHOOSE(CONTROL!$C$27, 0.0021, 0)</f>
        <v>82.569099999999992</v>
      </c>
      <c r="F855" s="14">
        <f>82.567 * CHOOSE(CONTROL!$C$9, $D$9, 100%, $F$9) + CHOOSE(CONTROL!$C$27, 0.0021, 0)</f>
        <v>82.569099999999992</v>
      </c>
      <c r="G855" s="14">
        <f>82.8384 * CHOOSE(CONTROL!$C$9, $D$9, 100%, $F$9) + CHOOSE(CONTROL!$C$27, 0.0021, 0)</f>
        <v>82.840499999999992</v>
      </c>
      <c r="H855" s="14">
        <f>82.7037 * CHOOSE(CONTROL!$C$9, $D$9, 100%, $F$9) + CHOOSE(CONTROL!$C$27, 0.0021, 0)</f>
        <v>82.705799999999996</v>
      </c>
      <c r="I855" s="14">
        <f>82.7037 * CHOOSE(CONTROL!$C$9, $D$9, 100%, $F$9) + CHOOSE(CONTROL!$C$27, 0.0021, 0)</f>
        <v>82.705799999999996</v>
      </c>
      <c r="J855" s="14">
        <f>82.7037 * CHOOSE(CONTROL!$C$9, $D$9, 100%, $F$9) + CHOOSE(CONTROL!$C$27, 0.0021, 0)</f>
        <v>82.705799999999996</v>
      </c>
      <c r="K855" s="14">
        <f>82.7037 * CHOOSE(CONTROL!$C$9, $D$9, 100%, $F$9) + CHOOSE(CONTROL!$C$27, 0.0021, 0)</f>
        <v>82.705799999999996</v>
      </c>
      <c r="L855" s="14"/>
    </row>
    <row r="856" spans="1:12" ht="15.75" x14ac:dyDescent="0.25">
      <c r="A856" s="32">
        <v>66992</v>
      </c>
      <c r="B856" s="14">
        <f>84.8337 * CHOOSE(CONTROL!$C$9, $D$9, 100%, $F$9) + CHOOSE(CONTROL!$C$27, 0.0021, 0)</f>
        <v>84.835799999999992</v>
      </c>
      <c r="C856" s="14">
        <f>84.4014 * CHOOSE(CONTROL!$C$9, $D$9, 100%, $F$9) + CHOOSE(CONTROL!$C$27, 0.0021, 0)</f>
        <v>84.403499999999994</v>
      </c>
      <c r="D856" s="14">
        <f>84.4014 * CHOOSE(CONTROL!$C$9, $D$9, 100%, $F$9) + CHOOSE(CONTROL!$C$27, 0.0021, 0)</f>
        <v>84.403499999999994</v>
      </c>
      <c r="E856" s="14">
        <f>84.2648 * CHOOSE(CONTROL!$C$9, $D$9, 100%, $F$9) + CHOOSE(CONTROL!$C$27, 0.0021, 0)</f>
        <v>84.266899999999993</v>
      </c>
      <c r="F856" s="14">
        <f>84.2648 * CHOOSE(CONTROL!$C$9, $D$9, 100%, $F$9) + CHOOSE(CONTROL!$C$27, 0.0021, 0)</f>
        <v>84.266899999999993</v>
      </c>
      <c r="G856" s="14">
        <f>84.5361 * CHOOSE(CONTROL!$C$9, $D$9, 100%, $F$9) + CHOOSE(CONTROL!$C$27, 0.0021, 0)</f>
        <v>84.538200000000003</v>
      </c>
      <c r="H856" s="14">
        <f>84.4014 * CHOOSE(CONTROL!$C$9, $D$9, 100%, $F$9) + CHOOSE(CONTROL!$C$27, 0.0021, 0)</f>
        <v>84.403499999999994</v>
      </c>
      <c r="I856" s="14">
        <f>84.4014 * CHOOSE(CONTROL!$C$9, $D$9, 100%, $F$9) + CHOOSE(CONTROL!$C$27, 0.0021, 0)</f>
        <v>84.403499999999994</v>
      </c>
      <c r="J856" s="14">
        <f>84.4014 * CHOOSE(CONTROL!$C$9, $D$9, 100%, $F$9) + CHOOSE(CONTROL!$C$27, 0.0021, 0)</f>
        <v>84.403499999999994</v>
      </c>
      <c r="K856" s="14">
        <f>84.4014 * CHOOSE(CONTROL!$C$9, $D$9, 100%, $F$9) + CHOOSE(CONTROL!$C$27, 0.0021, 0)</f>
        <v>84.403499999999994</v>
      </c>
      <c r="L856" s="14"/>
    </row>
    <row r="857" spans="1:12" ht="15.75" x14ac:dyDescent="0.25">
      <c r="A857" s="32">
        <v>67022</v>
      </c>
      <c r="B857" s="14">
        <f>85.8506 * CHOOSE(CONTROL!$C$9, $D$9, 100%, $F$9) + CHOOSE(CONTROL!$C$27, 0.0021, 0)</f>
        <v>85.852699999999999</v>
      </c>
      <c r="C857" s="14">
        <f>85.4183 * CHOOSE(CONTROL!$C$9, $D$9, 100%, $F$9) + CHOOSE(CONTROL!$C$27, 0.0021, 0)</f>
        <v>85.420400000000001</v>
      </c>
      <c r="D857" s="14">
        <f>85.4183 * CHOOSE(CONTROL!$C$9, $D$9, 100%, $F$9) + CHOOSE(CONTROL!$C$27, 0.0021, 0)</f>
        <v>85.420400000000001</v>
      </c>
      <c r="E857" s="14">
        <f>85.2817 * CHOOSE(CONTROL!$C$9, $D$9, 100%, $F$9) + CHOOSE(CONTROL!$C$27, 0.0021, 0)</f>
        <v>85.283799999999999</v>
      </c>
      <c r="F857" s="14">
        <f>85.2817 * CHOOSE(CONTROL!$C$9, $D$9, 100%, $F$9) + CHOOSE(CONTROL!$C$27, 0.0021, 0)</f>
        <v>85.283799999999999</v>
      </c>
      <c r="G857" s="14">
        <f>85.553 * CHOOSE(CONTROL!$C$9, $D$9, 100%, $F$9) + CHOOSE(CONTROL!$C$27, 0.0021, 0)</f>
        <v>85.555099999999996</v>
      </c>
      <c r="H857" s="14">
        <f>85.4183 * CHOOSE(CONTROL!$C$9, $D$9, 100%, $F$9) + CHOOSE(CONTROL!$C$27, 0.0021, 0)</f>
        <v>85.420400000000001</v>
      </c>
      <c r="I857" s="14">
        <f>85.4183 * CHOOSE(CONTROL!$C$9, $D$9, 100%, $F$9) + CHOOSE(CONTROL!$C$27, 0.0021, 0)</f>
        <v>85.420400000000001</v>
      </c>
      <c r="J857" s="14">
        <f>85.4183 * CHOOSE(CONTROL!$C$9, $D$9, 100%, $F$9) + CHOOSE(CONTROL!$C$27, 0.0021, 0)</f>
        <v>85.420400000000001</v>
      </c>
      <c r="K857" s="14">
        <f>85.4183 * CHOOSE(CONTROL!$C$9, $D$9, 100%, $F$9) + CHOOSE(CONTROL!$C$27, 0.0021, 0)</f>
        <v>85.420400000000001</v>
      </c>
      <c r="L857" s="14"/>
    </row>
    <row r="858" spans="1:12" ht="15.75" x14ac:dyDescent="0.25">
      <c r="A858" s="32">
        <v>67053</v>
      </c>
      <c r="B858" s="14">
        <f>87.5281 * CHOOSE(CONTROL!$C$9, $D$9, 100%, $F$9) + CHOOSE(CONTROL!$C$27, 0.0021, 0)</f>
        <v>87.530199999999994</v>
      </c>
      <c r="C858" s="14">
        <f>87.0958 * CHOOSE(CONTROL!$C$9, $D$9, 100%, $F$9) + CHOOSE(CONTROL!$C$27, 0.0021, 0)</f>
        <v>87.097899999999996</v>
      </c>
      <c r="D858" s="14">
        <f>87.0958 * CHOOSE(CONTROL!$C$9, $D$9, 100%, $F$9) + CHOOSE(CONTROL!$C$27, 0.0021, 0)</f>
        <v>87.097899999999996</v>
      </c>
      <c r="E858" s="14">
        <f>86.9591 * CHOOSE(CONTROL!$C$9, $D$9, 100%, $F$9) + CHOOSE(CONTROL!$C$27, 0.0021, 0)</f>
        <v>86.961200000000005</v>
      </c>
      <c r="F858" s="14">
        <f>86.9591 * CHOOSE(CONTROL!$C$9, $D$9, 100%, $F$9) + CHOOSE(CONTROL!$C$27, 0.0021, 0)</f>
        <v>86.961200000000005</v>
      </c>
      <c r="G858" s="14">
        <f>87.2305 * CHOOSE(CONTROL!$C$9, $D$9, 100%, $F$9) + CHOOSE(CONTROL!$C$27, 0.0021, 0)</f>
        <v>87.232600000000005</v>
      </c>
      <c r="H858" s="14">
        <f>87.0958 * CHOOSE(CONTROL!$C$9, $D$9, 100%, $F$9) + CHOOSE(CONTROL!$C$27, 0.0021, 0)</f>
        <v>87.097899999999996</v>
      </c>
      <c r="I858" s="14">
        <f>87.0958 * CHOOSE(CONTROL!$C$9, $D$9, 100%, $F$9) + CHOOSE(CONTROL!$C$27, 0.0021, 0)</f>
        <v>87.097899999999996</v>
      </c>
      <c r="J858" s="14">
        <f>87.0958 * CHOOSE(CONTROL!$C$9, $D$9, 100%, $F$9) + CHOOSE(CONTROL!$C$27, 0.0021, 0)</f>
        <v>87.097899999999996</v>
      </c>
      <c r="K858" s="14">
        <f>87.0958 * CHOOSE(CONTROL!$C$9, $D$9, 100%, $F$9) + CHOOSE(CONTROL!$C$27, 0.0021, 0)</f>
        <v>87.097899999999996</v>
      </c>
      <c r="L858" s="14"/>
    </row>
    <row r="859" spans="1:12" ht="15.75" x14ac:dyDescent="0.25">
      <c r="A859" s="32">
        <v>67084</v>
      </c>
      <c r="B859" s="14">
        <f>88.0401 * CHOOSE(CONTROL!$C$9, $D$9, 100%, $F$9) + CHOOSE(CONTROL!$C$27, 0.0021, 0)</f>
        <v>88.042199999999994</v>
      </c>
      <c r="C859" s="14">
        <f>87.6078 * CHOOSE(CONTROL!$C$9, $D$9, 100%, $F$9) + CHOOSE(CONTROL!$C$27, 0.0021, 0)</f>
        <v>87.609899999999996</v>
      </c>
      <c r="D859" s="14">
        <f>87.6078 * CHOOSE(CONTROL!$C$9, $D$9, 100%, $F$9) + CHOOSE(CONTROL!$C$27, 0.0021, 0)</f>
        <v>87.609899999999996</v>
      </c>
      <c r="E859" s="14">
        <f>87.4712 * CHOOSE(CONTROL!$C$9, $D$9, 100%, $F$9) + CHOOSE(CONTROL!$C$27, 0.0021, 0)</f>
        <v>87.473299999999995</v>
      </c>
      <c r="F859" s="14">
        <f>87.4712 * CHOOSE(CONTROL!$C$9, $D$9, 100%, $F$9) + CHOOSE(CONTROL!$C$27, 0.0021, 0)</f>
        <v>87.473299999999995</v>
      </c>
      <c r="G859" s="14">
        <f>87.7425 * CHOOSE(CONTROL!$C$9, $D$9, 100%, $F$9) + CHOOSE(CONTROL!$C$27, 0.0021, 0)</f>
        <v>87.744600000000005</v>
      </c>
      <c r="H859" s="14">
        <f>87.6078 * CHOOSE(CONTROL!$C$9, $D$9, 100%, $F$9) + CHOOSE(CONTROL!$C$27, 0.0021, 0)</f>
        <v>87.609899999999996</v>
      </c>
      <c r="I859" s="14">
        <f>87.6078 * CHOOSE(CONTROL!$C$9, $D$9, 100%, $F$9) + CHOOSE(CONTROL!$C$27, 0.0021, 0)</f>
        <v>87.609899999999996</v>
      </c>
      <c r="J859" s="14">
        <f>87.6078 * CHOOSE(CONTROL!$C$9, $D$9, 100%, $F$9) + CHOOSE(CONTROL!$C$27, 0.0021, 0)</f>
        <v>87.609899999999996</v>
      </c>
      <c r="K859" s="14">
        <f>87.6078 * CHOOSE(CONTROL!$C$9, $D$9, 100%, $F$9) + CHOOSE(CONTROL!$C$27, 0.0021, 0)</f>
        <v>87.609899999999996</v>
      </c>
      <c r="L859" s="14"/>
    </row>
    <row r="860" spans="1:12" ht="15.75" x14ac:dyDescent="0.25">
      <c r="A860" s="32">
        <v>67114</v>
      </c>
      <c r="B860" s="14">
        <f>89.7837 * CHOOSE(CONTROL!$C$9, $D$9, 100%, $F$9) + CHOOSE(CONTROL!$C$27, 0.0021, 0)</f>
        <v>89.785799999999995</v>
      </c>
      <c r="C860" s="14">
        <f>89.3515 * CHOOSE(CONTROL!$C$9, $D$9, 100%, $F$9) + CHOOSE(CONTROL!$C$27, 0.0021, 0)</f>
        <v>89.3536</v>
      </c>
      <c r="D860" s="14">
        <f>89.3515 * CHOOSE(CONTROL!$C$9, $D$9, 100%, $F$9) + CHOOSE(CONTROL!$C$27, 0.0021, 0)</f>
        <v>89.3536</v>
      </c>
      <c r="E860" s="14">
        <f>89.2148 * CHOOSE(CONTROL!$C$9, $D$9, 100%, $F$9) + CHOOSE(CONTROL!$C$27, 0.0021, 0)</f>
        <v>89.216899999999995</v>
      </c>
      <c r="F860" s="14">
        <f>89.2148 * CHOOSE(CONTROL!$C$9, $D$9, 100%, $F$9) + CHOOSE(CONTROL!$C$27, 0.0021, 0)</f>
        <v>89.216899999999995</v>
      </c>
      <c r="G860" s="14">
        <f>89.4862 * CHOOSE(CONTROL!$C$9, $D$9, 100%, $F$9) + CHOOSE(CONTROL!$C$27, 0.0021, 0)</f>
        <v>89.488299999999995</v>
      </c>
      <c r="H860" s="14">
        <f>89.3515 * CHOOSE(CONTROL!$C$9, $D$9, 100%, $F$9) + CHOOSE(CONTROL!$C$27, 0.0021, 0)</f>
        <v>89.3536</v>
      </c>
      <c r="I860" s="14">
        <f>89.3515 * CHOOSE(CONTROL!$C$9, $D$9, 100%, $F$9) + CHOOSE(CONTROL!$C$27, 0.0021, 0)</f>
        <v>89.3536</v>
      </c>
      <c r="J860" s="14">
        <f>89.3515 * CHOOSE(CONTROL!$C$9, $D$9, 100%, $F$9) + CHOOSE(CONTROL!$C$27, 0.0021, 0)</f>
        <v>89.3536</v>
      </c>
      <c r="K860" s="14">
        <f>89.3515 * CHOOSE(CONTROL!$C$9, $D$9, 100%, $F$9) + CHOOSE(CONTROL!$C$27, 0.0021, 0)</f>
        <v>89.3536</v>
      </c>
      <c r="L860" s="14"/>
    </row>
    <row r="861" spans="1:12" ht="15.75" x14ac:dyDescent="0.25">
      <c r="A861" s="32">
        <v>67145</v>
      </c>
      <c r="B861" s="14">
        <f>91.9909 * CHOOSE(CONTROL!$C$9, $D$9, 100%, $F$9) + CHOOSE(CONTROL!$C$27, 0.0021, 0)</f>
        <v>91.992999999999995</v>
      </c>
      <c r="C861" s="14">
        <f>91.5587 * CHOOSE(CONTROL!$C$9, $D$9, 100%, $F$9) + CHOOSE(CONTROL!$C$27, 0.0021, 0)</f>
        <v>91.5608</v>
      </c>
      <c r="D861" s="14">
        <f>91.5587 * CHOOSE(CONTROL!$C$9, $D$9, 100%, $F$9) + CHOOSE(CONTROL!$C$27, 0.0021, 0)</f>
        <v>91.5608</v>
      </c>
      <c r="E861" s="14">
        <f>91.422 * CHOOSE(CONTROL!$C$9, $D$9, 100%, $F$9) + CHOOSE(CONTROL!$C$27, 0.0021, 0)</f>
        <v>91.424099999999996</v>
      </c>
      <c r="F861" s="14">
        <f>91.422 * CHOOSE(CONTROL!$C$9, $D$9, 100%, $F$9) + CHOOSE(CONTROL!$C$27, 0.0021, 0)</f>
        <v>91.424099999999996</v>
      </c>
      <c r="G861" s="14">
        <f>91.6934 * CHOOSE(CONTROL!$C$9, $D$9, 100%, $F$9) + CHOOSE(CONTROL!$C$27, 0.0021, 0)</f>
        <v>91.695499999999996</v>
      </c>
      <c r="H861" s="14">
        <f>91.5587 * CHOOSE(CONTROL!$C$9, $D$9, 100%, $F$9) + CHOOSE(CONTROL!$C$27, 0.0021, 0)</f>
        <v>91.5608</v>
      </c>
      <c r="I861" s="14">
        <f>91.5587 * CHOOSE(CONTROL!$C$9, $D$9, 100%, $F$9) + CHOOSE(CONTROL!$C$27, 0.0021, 0)</f>
        <v>91.5608</v>
      </c>
      <c r="J861" s="14">
        <f>91.5587 * CHOOSE(CONTROL!$C$9, $D$9, 100%, $F$9) + CHOOSE(CONTROL!$C$27, 0.0021, 0)</f>
        <v>91.5608</v>
      </c>
      <c r="K861" s="14">
        <f>91.5587 * CHOOSE(CONTROL!$C$9, $D$9, 100%, $F$9) + CHOOSE(CONTROL!$C$27, 0.0021, 0)</f>
        <v>91.5608</v>
      </c>
      <c r="L861" s="14"/>
    </row>
    <row r="862" spans="1:12" ht="15.75" x14ac:dyDescent="0.25">
      <c r="A862" s="32">
        <v>67175</v>
      </c>
      <c r="B862" s="14">
        <f>92.1982 * CHOOSE(CONTROL!$C$9, $D$9, 100%, $F$9) + CHOOSE(CONTROL!$C$27, 0.0021, 0)</f>
        <v>92.200299999999999</v>
      </c>
      <c r="C862" s="14">
        <f>91.7659 * CHOOSE(CONTROL!$C$9, $D$9, 100%, $F$9) + CHOOSE(CONTROL!$C$27, 0.0021, 0)</f>
        <v>91.768000000000001</v>
      </c>
      <c r="D862" s="14">
        <f>91.7659 * CHOOSE(CONTROL!$C$9, $D$9, 100%, $F$9) + CHOOSE(CONTROL!$C$27, 0.0021, 0)</f>
        <v>91.768000000000001</v>
      </c>
      <c r="E862" s="14">
        <f>91.6292 * CHOOSE(CONTROL!$C$9, $D$9, 100%, $F$9) + CHOOSE(CONTROL!$C$27, 0.0021, 0)</f>
        <v>91.631299999999996</v>
      </c>
      <c r="F862" s="14">
        <f>91.6292 * CHOOSE(CONTROL!$C$9, $D$9, 100%, $F$9) + CHOOSE(CONTROL!$C$27, 0.0021, 0)</f>
        <v>91.631299999999996</v>
      </c>
      <c r="G862" s="14">
        <f>91.9006 * CHOOSE(CONTROL!$C$9, $D$9, 100%, $F$9) + CHOOSE(CONTROL!$C$27, 0.0021, 0)</f>
        <v>91.902699999999996</v>
      </c>
      <c r="H862" s="14">
        <f>91.7659 * CHOOSE(CONTROL!$C$9, $D$9, 100%, $F$9) + CHOOSE(CONTROL!$C$27, 0.0021, 0)</f>
        <v>91.768000000000001</v>
      </c>
      <c r="I862" s="14">
        <f>91.7659 * CHOOSE(CONTROL!$C$9, $D$9, 100%, $F$9) + CHOOSE(CONTROL!$C$27, 0.0021, 0)</f>
        <v>91.768000000000001</v>
      </c>
      <c r="J862" s="14">
        <f>91.7659 * CHOOSE(CONTROL!$C$9, $D$9, 100%, $F$9) + CHOOSE(CONTROL!$C$27, 0.0021, 0)</f>
        <v>91.768000000000001</v>
      </c>
      <c r="K862" s="14">
        <f>91.7659 * CHOOSE(CONTROL!$C$9, $D$9, 100%, $F$9) + CHOOSE(CONTROL!$C$27, 0.0021, 0)</f>
        <v>91.768000000000001</v>
      </c>
      <c r="L862" s="14"/>
    </row>
    <row r="863" spans="1:12" ht="15.75" x14ac:dyDescent="0.25">
      <c r="A863" s="32">
        <v>67206</v>
      </c>
      <c r="B863" s="14">
        <f>90.4353 * CHOOSE(CONTROL!$C$9, $D$9, 100%, $F$9) + CHOOSE(CONTROL!$C$27, 0.0021, 0)</f>
        <v>90.437399999999997</v>
      </c>
      <c r="C863" s="14">
        <f>90.0031 * CHOOSE(CONTROL!$C$9, $D$9, 100%, $F$9) + CHOOSE(CONTROL!$C$27, 0.0021, 0)</f>
        <v>90.005200000000002</v>
      </c>
      <c r="D863" s="14">
        <f>90.0031 * CHOOSE(CONTROL!$C$9, $D$9, 100%, $F$9) + CHOOSE(CONTROL!$C$27, 0.0021, 0)</f>
        <v>90.005200000000002</v>
      </c>
      <c r="E863" s="14">
        <f>89.8664 * CHOOSE(CONTROL!$C$9, $D$9, 100%, $F$9) + CHOOSE(CONTROL!$C$27, 0.0021, 0)</f>
        <v>89.868499999999997</v>
      </c>
      <c r="F863" s="14">
        <f>89.8664 * CHOOSE(CONTROL!$C$9, $D$9, 100%, $F$9) + CHOOSE(CONTROL!$C$27, 0.0021, 0)</f>
        <v>89.868499999999997</v>
      </c>
      <c r="G863" s="14">
        <f>90.1378 * CHOOSE(CONTROL!$C$9, $D$9, 100%, $F$9) + CHOOSE(CONTROL!$C$27, 0.0021, 0)</f>
        <v>90.139899999999997</v>
      </c>
      <c r="H863" s="14">
        <f>90.0031 * CHOOSE(CONTROL!$C$9, $D$9, 100%, $F$9) + CHOOSE(CONTROL!$C$27, 0.0021, 0)</f>
        <v>90.005200000000002</v>
      </c>
      <c r="I863" s="14">
        <f>90.0031 * CHOOSE(CONTROL!$C$9, $D$9, 100%, $F$9) + CHOOSE(CONTROL!$C$27, 0.0021, 0)</f>
        <v>90.005200000000002</v>
      </c>
      <c r="J863" s="14">
        <f>90.0031 * CHOOSE(CONTROL!$C$9, $D$9, 100%, $F$9) + CHOOSE(CONTROL!$C$27, 0.0021, 0)</f>
        <v>90.005200000000002</v>
      </c>
      <c r="K863" s="14">
        <f>90.0031 * CHOOSE(CONTROL!$C$9, $D$9, 100%, $F$9) + CHOOSE(CONTROL!$C$27, 0.0021, 0)</f>
        <v>90.005200000000002</v>
      </c>
      <c r="L863" s="14"/>
    </row>
    <row r="864" spans="1:12" ht="15.75" x14ac:dyDescent="0.25">
      <c r="A864" s="32">
        <v>67237</v>
      </c>
      <c r="B864" s="14">
        <f>89.2804 * CHOOSE(CONTROL!$C$9, $D$9, 100%, $F$9) + CHOOSE(CONTROL!$C$27, 0.0021, 0)</f>
        <v>89.282499999999999</v>
      </c>
      <c r="C864" s="14">
        <f>88.8482 * CHOOSE(CONTROL!$C$9, $D$9, 100%, $F$9) + CHOOSE(CONTROL!$C$27, 0.0021, 0)</f>
        <v>88.850300000000004</v>
      </c>
      <c r="D864" s="14">
        <f>88.8482 * CHOOSE(CONTROL!$C$9, $D$9, 100%, $F$9) + CHOOSE(CONTROL!$C$27, 0.0021, 0)</f>
        <v>88.850300000000004</v>
      </c>
      <c r="E864" s="14">
        <f>88.7115 * CHOOSE(CONTROL!$C$9, $D$9, 100%, $F$9) + CHOOSE(CONTROL!$C$27, 0.0021, 0)</f>
        <v>88.7136</v>
      </c>
      <c r="F864" s="14">
        <f>88.7115 * CHOOSE(CONTROL!$C$9, $D$9, 100%, $F$9) + CHOOSE(CONTROL!$C$27, 0.0021, 0)</f>
        <v>88.7136</v>
      </c>
      <c r="G864" s="14">
        <f>88.9829 * CHOOSE(CONTROL!$C$9, $D$9, 100%, $F$9) + CHOOSE(CONTROL!$C$27, 0.0021, 0)</f>
        <v>88.984999999999999</v>
      </c>
      <c r="H864" s="14">
        <f>88.8482 * CHOOSE(CONTROL!$C$9, $D$9, 100%, $F$9) + CHOOSE(CONTROL!$C$27, 0.0021, 0)</f>
        <v>88.850300000000004</v>
      </c>
      <c r="I864" s="14">
        <f>88.8482 * CHOOSE(CONTROL!$C$9, $D$9, 100%, $F$9) + CHOOSE(CONTROL!$C$27, 0.0021, 0)</f>
        <v>88.850300000000004</v>
      </c>
      <c r="J864" s="14">
        <f>88.8482 * CHOOSE(CONTROL!$C$9, $D$9, 100%, $F$9) + CHOOSE(CONTROL!$C$27, 0.0021, 0)</f>
        <v>88.850300000000004</v>
      </c>
      <c r="K864" s="14">
        <f>88.8482 * CHOOSE(CONTROL!$C$9, $D$9, 100%, $F$9) + CHOOSE(CONTROL!$C$27, 0.0021, 0)</f>
        <v>88.850300000000004</v>
      </c>
      <c r="L864" s="14"/>
    </row>
    <row r="865" spans="1:12" ht="15.75" x14ac:dyDescent="0.25">
      <c r="A865" s="32">
        <v>67266</v>
      </c>
      <c r="B865" s="14">
        <f>86.8199 * CHOOSE(CONTROL!$C$9, $D$9, 100%, $F$9) + CHOOSE(CONTROL!$C$27, 0.0021, 0)</f>
        <v>86.822000000000003</v>
      </c>
      <c r="C865" s="14">
        <f>86.3877 * CHOOSE(CONTROL!$C$9, $D$9, 100%, $F$9) + CHOOSE(CONTROL!$C$27, 0.0021, 0)</f>
        <v>86.389799999999994</v>
      </c>
      <c r="D865" s="14">
        <f>86.3877 * CHOOSE(CONTROL!$C$9, $D$9, 100%, $F$9) + CHOOSE(CONTROL!$C$27, 0.0021, 0)</f>
        <v>86.389799999999994</v>
      </c>
      <c r="E865" s="14">
        <f>86.251 * CHOOSE(CONTROL!$C$9, $D$9, 100%, $F$9) + CHOOSE(CONTROL!$C$27, 0.0021, 0)</f>
        <v>86.253100000000003</v>
      </c>
      <c r="F865" s="14">
        <f>86.251 * CHOOSE(CONTROL!$C$9, $D$9, 100%, $F$9) + CHOOSE(CONTROL!$C$27, 0.0021, 0)</f>
        <v>86.253100000000003</v>
      </c>
      <c r="G865" s="14">
        <f>86.5224 * CHOOSE(CONTROL!$C$9, $D$9, 100%, $F$9) + CHOOSE(CONTROL!$C$27, 0.0021, 0)</f>
        <v>86.524500000000003</v>
      </c>
      <c r="H865" s="14">
        <f>86.3877 * CHOOSE(CONTROL!$C$9, $D$9, 100%, $F$9) + CHOOSE(CONTROL!$C$27, 0.0021, 0)</f>
        <v>86.389799999999994</v>
      </c>
      <c r="I865" s="14">
        <f>86.3877 * CHOOSE(CONTROL!$C$9, $D$9, 100%, $F$9) + CHOOSE(CONTROL!$C$27, 0.0021, 0)</f>
        <v>86.389799999999994</v>
      </c>
      <c r="J865" s="14">
        <f>86.3877 * CHOOSE(CONTROL!$C$9, $D$9, 100%, $F$9) + CHOOSE(CONTROL!$C$27, 0.0021, 0)</f>
        <v>86.389799999999994</v>
      </c>
      <c r="K865" s="14">
        <f>86.3877 * CHOOSE(CONTROL!$C$9, $D$9, 100%, $F$9) + CHOOSE(CONTROL!$C$27, 0.0021, 0)</f>
        <v>86.389799999999994</v>
      </c>
      <c r="L865" s="14"/>
    </row>
    <row r="866" spans="1:12" ht="15.75" x14ac:dyDescent="0.25">
      <c r="A866" s="32">
        <v>67297</v>
      </c>
      <c r="B866" s="14">
        <f>85.8043 * CHOOSE(CONTROL!$C$9, $D$9, 100%, $F$9) + CHOOSE(CONTROL!$C$27, 0.0021, 0)</f>
        <v>85.806399999999996</v>
      </c>
      <c r="C866" s="14">
        <f>85.372 * CHOOSE(CONTROL!$C$9, $D$9, 100%, $F$9) + CHOOSE(CONTROL!$C$27, 0.0021, 0)</f>
        <v>85.374099999999999</v>
      </c>
      <c r="D866" s="14">
        <f>85.372 * CHOOSE(CONTROL!$C$9, $D$9, 100%, $F$9) + CHOOSE(CONTROL!$C$27, 0.0021, 0)</f>
        <v>85.374099999999999</v>
      </c>
      <c r="E866" s="14">
        <f>85.2354 * CHOOSE(CONTROL!$C$9, $D$9, 100%, $F$9) + CHOOSE(CONTROL!$C$27, 0.0021, 0)</f>
        <v>85.237499999999997</v>
      </c>
      <c r="F866" s="14">
        <f>85.2354 * CHOOSE(CONTROL!$C$9, $D$9, 100%, $F$9) + CHOOSE(CONTROL!$C$27, 0.0021, 0)</f>
        <v>85.237499999999997</v>
      </c>
      <c r="G866" s="14">
        <f>85.5067 * CHOOSE(CONTROL!$C$9, $D$9, 100%, $F$9) + CHOOSE(CONTROL!$C$27, 0.0021, 0)</f>
        <v>85.508799999999994</v>
      </c>
      <c r="H866" s="14">
        <f>85.372 * CHOOSE(CONTROL!$C$9, $D$9, 100%, $F$9) + CHOOSE(CONTROL!$C$27, 0.0021, 0)</f>
        <v>85.374099999999999</v>
      </c>
      <c r="I866" s="14">
        <f>85.372 * CHOOSE(CONTROL!$C$9, $D$9, 100%, $F$9) + CHOOSE(CONTROL!$C$27, 0.0021, 0)</f>
        <v>85.374099999999999</v>
      </c>
      <c r="J866" s="14">
        <f>85.372 * CHOOSE(CONTROL!$C$9, $D$9, 100%, $F$9) + CHOOSE(CONTROL!$C$27, 0.0021, 0)</f>
        <v>85.374099999999999</v>
      </c>
      <c r="K866" s="14">
        <f>85.372 * CHOOSE(CONTROL!$C$9, $D$9, 100%, $F$9) + CHOOSE(CONTROL!$C$27, 0.0021, 0)</f>
        <v>85.374099999999999</v>
      </c>
      <c r="L866" s="14"/>
    </row>
    <row r="867" spans="1:12" ht="15.75" x14ac:dyDescent="0.25">
      <c r="A867" s="32">
        <v>67327</v>
      </c>
      <c r="B867" s="14">
        <f>84.5915 * CHOOSE(CONTROL!$C$9, $D$9, 100%, $F$9) + CHOOSE(CONTROL!$C$27, 0.0021, 0)</f>
        <v>84.593599999999995</v>
      </c>
      <c r="C867" s="14">
        <f>84.1593 * CHOOSE(CONTROL!$C$9, $D$9, 100%, $F$9) + CHOOSE(CONTROL!$C$27, 0.0021, 0)</f>
        <v>84.1614</v>
      </c>
      <c r="D867" s="14">
        <f>84.1593 * CHOOSE(CONTROL!$C$9, $D$9, 100%, $F$9) + CHOOSE(CONTROL!$C$27, 0.0021, 0)</f>
        <v>84.1614</v>
      </c>
      <c r="E867" s="14">
        <f>84.0226 * CHOOSE(CONTROL!$C$9, $D$9, 100%, $F$9) + CHOOSE(CONTROL!$C$27, 0.0021, 0)</f>
        <v>84.024699999999996</v>
      </c>
      <c r="F867" s="14">
        <f>84.0226 * CHOOSE(CONTROL!$C$9, $D$9, 100%, $F$9) + CHOOSE(CONTROL!$C$27, 0.0021, 0)</f>
        <v>84.024699999999996</v>
      </c>
      <c r="G867" s="14">
        <f>84.294 * CHOOSE(CONTROL!$C$9, $D$9, 100%, $F$9) + CHOOSE(CONTROL!$C$27, 0.0021, 0)</f>
        <v>84.296099999999996</v>
      </c>
      <c r="H867" s="14">
        <f>84.1593 * CHOOSE(CONTROL!$C$9, $D$9, 100%, $F$9) + CHOOSE(CONTROL!$C$27, 0.0021, 0)</f>
        <v>84.1614</v>
      </c>
      <c r="I867" s="14">
        <f>84.1593 * CHOOSE(CONTROL!$C$9, $D$9, 100%, $F$9) + CHOOSE(CONTROL!$C$27, 0.0021, 0)</f>
        <v>84.1614</v>
      </c>
      <c r="J867" s="14">
        <f>84.1593 * CHOOSE(CONTROL!$C$9, $D$9, 100%, $F$9) + CHOOSE(CONTROL!$C$27, 0.0021, 0)</f>
        <v>84.1614</v>
      </c>
      <c r="K867" s="14">
        <f>84.1593 * CHOOSE(CONTROL!$C$9, $D$9, 100%, $F$9) + CHOOSE(CONTROL!$C$27, 0.0021, 0)</f>
        <v>84.1614</v>
      </c>
      <c r="L867" s="14"/>
    </row>
    <row r="868" spans="1:12" ht="15.75" x14ac:dyDescent="0.25">
      <c r="A868" s="32">
        <v>67358</v>
      </c>
      <c r="B868" s="14">
        <f>86.3198 * CHOOSE(CONTROL!$C$9, $D$9, 100%, $F$9) + CHOOSE(CONTROL!$C$27, 0.0021, 0)</f>
        <v>86.321899999999999</v>
      </c>
      <c r="C868" s="14">
        <f>85.8876 * CHOOSE(CONTROL!$C$9, $D$9, 100%, $F$9) + CHOOSE(CONTROL!$C$27, 0.0021, 0)</f>
        <v>85.889700000000005</v>
      </c>
      <c r="D868" s="14">
        <f>85.8876 * CHOOSE(CONTROL!$C$9, $D$9, 100%, $F$9) + CHOOSE(CONTROL!$C$27, 0.0021, 0)</f>
        <v>85.889700000000005</v>
      </c>
      <c r="E868" s="14">
        <f>85.7509 * CHOOSE(CONTROL!$C$9, $D$9, 100%, $F$9) + CHOOSE(CONTROL!$C$27, 0.0021, 0)</f>
        <v>85.753</v>
      </c>
      <c r="F868" s="14">
        <f>85.7509 * CHOOSE(CONTROL!$C$9, $D$9, 100%, $F$9) + CHOOSE(CONTROL!$C$27, 0.0021, 0)</f>
        <v>85.753</v>
      </c>
      <c r="G868" s="14">
        <f>86.0223 * CHOOSE(CONTROL!$C$9, $D$9, 100%, $F$9) + CHOOSE(CONTROL!$C$27, 0.0021, 0)</f>
        <v>86.0244</v>
      </c>
      <c r="H868" s="14">
        <f>85.8876 * CHOOSE(CONTROL!$C$9, $D$9, 100%, $F$9) + CHOOSE(CONTROL!$C$27, 0.0021, 0)</f>
        <v>85.889700000000005</v>
      </c>
      <c r="I868" s="14">
        <f>85.8876 * CHOOSE(CONTROL!$C$9, $D$9, 100%, $F$9) + CHOOSE(CONTROL!$C$27, 0.0021, 0)</f>
        <v>85.889700000000005</v>
      </c>
      <c r="J868" s="14">
        <f>85.8876 * CHOOSE(CONTROL!$C$9, $D$9, 100%, $F$9) + CHOOSE(CONTROL!$C$27, 0.0021, 0)</f>
        <v>85.889700000000005</v>
      </c>
      <c r="K868" s="14">
        <f>85.8876 * CHOOSE(CONTROL!$C$9, $D$9, 100%, $F$9) + CHOOSE(CONTROL!$C$27, 0.0021, 0)</f>
        <v>85.889700000000005</v>
      </c>
      <c r="L868" s="14"/>
    </row>
    <row r="869" spans="1:12" ht="15.75" x14ac:dyDescent="0.25">
      <c r="A869" s="32">
        <v>67388</v>
      </c>
      <c r="B869" s="14">
        <f>87.355 * CHOOSE(CONTROL!$C$9, $D$9, 100%, $F$9) + CHOOSE(CONTROL!$C$27, 0.0021, 0)</f>
        <v>87.357100000000003</v>
      </c>
      <c r="C869" s="14">
        <f>86.9228 * CHOOSE(CONTROL!$C$9, $D$9, 100%, $F$9) + CHOOSE(CONTROL!$C$27, 0.0021, 0)</f>
        <v>86.924899999999994</v>
      </c>
      <c r="D869" s="14">
        <f>86.9228 * CHOOSE(CONTROL!$C$9, $D$9, 100%, $F$9) + CHOOSE(CONTROL!$C$27, 0.0021, 0)</f>
        <v>86.924899999999994</v>
      </c>
      <c r="E869" s="14">
        <f>86.7861 * CHOOSE(CONTROL!$C$9, $D$9, 100%, $F$9) + CHOOSE(CONTROL!$C$27, 0.0021, 0)</f>
        <v>86.788200000000003</v>
      </c>
      <c r="F869" s="14">
        <f>86.7861 * CHOOSE(CONTROL!$C$9, $D$9, 100%, $F$9) + CHOOSE(CONTROL!$C$27, 0.0021, 0)</f>
        <v>86.788200000000003</v>
      </c>
      <c r="G869" s="14">
        <f>87.0575 * CHOOSE(CONTROL!$C$9, $D$9, 100%, $F$9) + CHOOSE(CONTROL!$C$27, 0.0021, 0)</f>
        <v>87.059600000000003</v>
      </c>
      <c r="H869" s="14">
        <f>86.9228 * CHOOSE(CONTROL!$C$9, $D$9, 100%, $F$9) + CHOOSE(CONTROL!$C$27, 0.0021, 0)</f>
        <v>86.924899999999994</v>
      </c>
      <c r="I869" s="14">
        <f>86.9228 * CHOOSE(CONTROL!$C$9, $D$9, 100%, $F$9) + CHOOSE(CONTROL!$C$27, 0.0021, 0)</f>
        <v>86.924899999999994</v>
      </c>
      <c r="J869" s="14">
        <f>86.9228 * CHOOSE(CONTROL!$C$9, $D$9, 100%, $F$9) + CHOOSE(CONTROL!$C$27, 0.0021, 0)</f>
        <v>86.924899999999994</v>
      </c>
      <c r="K869" s="14">
        <f>86.9228 * CHOOSE(CONTROL!$C$9, $D$9, 100%, $F$9) + CHOOSE(CONTROL!$C$27, 0.0021, 0)</f>
        <v>86.924899999999994</v>
      </c>
      <c r="L869" s="14"/>
    </row>
    <row r="870" spans="1:12" ht="15.75" x14ac:dyDescent="0.25">
      <c r="A870" s="32">
        <v>67419</v>
      </c>
      <c r="B870" s="14">
        <f>89.0627 * CHOOSE(CONTROL!$C$9, $D$9, 100%, $F$9) + CHOOSE(CONTROL!$C$27, 0.0021, 0)</f>
        <v>89.064800000000005</v>
      </c>
      <c r="C870" s="14">
        <f>88.6305 * CHOOSE(CONTROL!$C$9, $D$9, 100%, $F$9) + CHOOSE(CONTROL!$C$27, 0.0021, 0)</f>
        <v>88.632599999999996</v>
      </c>
      <c r="D870" s="14">
        <f>88.6305 * CHOOSE(CONTROL!$C$9, $D$9, 100%, $F$9) + CHOOSE(CONTROL!$C$27, 0.0021, 0)</f>
        <v>88.632599999999996</v>
      </c>
      <c r="E870" s="14">
        <f>88.4938 * CHOOSE(CONTROL!$C$9, $D$9, 100%, $F$9) + CHOOSE(CONTROL!$C$27, 0.0021, 0)</f>
        <v>88.495899999999992</v>
      </c>
      <c r="F870" s="14">
        <f>88.4938 * CHOOSE(CONTROL!$C$9, $D$9, 100%, $F$9) + CHOOSE(CONTROL!$C$27, 0.0021, 0)</f>
        <v>88.495899999999992</v>
      </c>
      <c r="G870" s="14">
        <f>88.7652 * CHOOSE(CONTROL!$C$9, $D$9, 100%, $F$9) + CHOOSE(CONTROL!$C$27, 0.0021, 0)</f>
        <v>88.767299999999992</v>
      </c>
      <c r="H870" s="14">
        <f>88.6305 * CHOOSE(CONTROL!$C$9, $D$9, 100%, $F$9) + CHOOSE(CONTROL!$C$27, 0.0021, 0)</f>
        <v>88.632599999999996</v>
      </c>
      <c r="I870" s="14">
        <f>88.6305 * CHOOSE(CONTROL!$C$9, $D$9, 100%, $F$9) + CHOOSE(CONTROL!$C$27, 0.0021, 0)</f>
        <v>88.632599999999996</v>
      </c>
      <c r="J870" s="14">
        <f>88.6305 * CHOOSE(CONTROL!$C$9, $D$9, 100%, $F$9) + CHOOSE(CONTROL!$C$27, 0.0021, 0)</f>
        <v>88.632599999999996</v>
      </c>
      <c r="K870" s="14">
        <f>88.6305 * CHOOSE(CONTROL!$C$9, $D$9, 100%, $F$9) + CHOOSE(CONTROL!$C$27, 0.0021, 0)</f>
        <v>88.632599999999996</v>
      </c>
      <c r="L870" s="14"/>
    </row>
    <row r="871" spans="1:12" ht="15.75" x14ac:dyDescent="0.25">
      <c r="A871" s="32">
        <v>67450</v>
      </c>
      <c r="B871" s="14">
        <f>89.5839 * CHOOSE(CONTROL!$C$9, $D$9, 100%, $F$9) + CHOOSE(CONTROL!$C$27, 0.0021, 0)</f>
        <v>89.585999999999999</v>
      </c>
      <c r="C871" s="14">
        <f>89.1517 * CHOOSE(CONTROL!$C$9, $D$9, 100%, $F$9) + CHOOSE(CONTROL!$C$27, 0.0021, 0)</f>
        <v>89.153800000000004</v>
      </c>
      <c r="D871" s="14">
        <f>89.1517 * CHOOSE(CONTROL!$C$9, $D$9, 100%, $F$9) + CHOOSE(CONTROL!$C$27, 0.0021, 0)</f>
        <v>89.153800000000004</v>
      </c>
      <c r="E871" s="14">
        <f>89.015 * CHOOSE(CONTROL!$C$9, $D$9, 100%, $F$9) + CHOOSE(CONTROL!$C$27, 0.0021, 0)</f>
        <v>89.017099999999999</v>
      </c>
      <c r="F871" s="14">
        <f>89.015 * CHOOSE(CONTROL!$C$9, $D$9, 100%, $F$9) + CHOOSE(CONTROL!$C$27, 0.0021, 0)</f>
        <v>89.017099999999999</v>
      </c>
      <c r="G871" s="14">
        <f>89.2864 * CHOOSE(CONTROL!$C$9, $D$9, 100%, $F$9) + CHOOSE(CONTROL!$C$27, 0.0021, 0)</f>
        <v>89.288499999999999</v>
      </c>
      <c r="H871" s="14">
        <f>89.1517 * CHOOSE(CONTROL!$C$9, $D$9, 100%, $F$9) + CHOOSE(CONTROL!$C$27, 0.0021, 0)</f>
        <v>89.153800000000004</v>
      </c>
      <c r="I871" s="14">
        <f>89.1517 * CHOOSE(CONTROL!$C$9, $D$9, 100%, $F$9) + CHOOSE(CONTROL!$C$27, 0.0021, 0)</f>
        <v>89.153800000000004</v>
      </c>
      <c r="J871" s="14">
        <f>89.1517 * CHOOSE(CONTROL!$C$9, $D$9, 100%, $F$9) + CHOOSE(CONTROL!$C$27, 0.0021, 0)</f>
        <v>89.153800000000004</v>
      </c>
      <c r="K871" s="14">
        <f>89.1517 * CHOOSE(CONTROL!$C$9, $D$9, 100%, $F$9) + CHOOSE(CONTROL!$C$27, 0.0021, 0)</f>
        <v>89.153800000000004</v>
      </c>
      <c r="L871" s="14"/>
    </row>
    <row r="872" spans="1:12" ht="15.75" x14ac:dyDescent="0.25">
      <c r="A872" s="32">
        <v>67480</v>
      </c>
      <c r="B872" s="14">
        <f>91.359 * CHOOSE(CONTROL!$C$9, $D$9, 100%, $F$9) + CHOOSE(CONTROL!$C$27, 0.0021, 0)</f>
        <v>91.361099999999993</v>
      </c>
      <c r="C872" s="14">
        <f>90.9268 * CHOOSE(CONTROL!$C$9, $D$9, 100%, $F$9) + CHOOSE(CONTROL!$C$27, 0.0021, 0)</f>
        <v>90.928899999999999</v>
      </c>
      <c r="D872" s="14">
        <f>90.9268 * CHOOSE(CONTROL!$C$9, $D$9, 100%, $F$9) + CHOOSE(CONTROL!$C$27, 0.0021, 0)</f>
        <v>90.928899999999999</v>
      </c>
      <c r="E872" s="14">
        <f>90.7901 * CHOOSE(CONTROL!$C$9, $D$9, 100%, $F$9) + CHOOSE(CONTROL!$C$27, 0.0021, 0)</f>
        <v>90.792199999999994</v>
      </c>
      <c r="F872" s="14">
        <f>90.7901 * CHOOSE(CONTROL!$C$9, $D$9, 100%, $F$9) + CHOOSE(CONTROL!$C$27, 0.0021, 0)</f>
        <v>90.792199999999994</v>
      </c>
      <c r="G872" s="14">
        <f>91.0615 * CHOOSE(CONTROL!$C$9, $D$9, 100%, $F$9) + CHOOSE(CONTROL!$C$27, 0.0021, 0)</f>
        <v>91.063599999999994</v>
      </c>
      <c r="H872" s="14">
        <f>90.9268 * CHOOSE(CONTROL!$C$9, $D$9, 100%, $F$9) + CHOOSE(CONTROL!$C$27, 0.0021, 0)</f>
        <v>90.928899999999999</v>
      </c>
      <c r="I872" s="14">
        <f>90.9268 * CHOOSE(CONTROL!$C$9, $D$9, 100%, $F$9) + CHOOSE(CONTROL!$C$27, 0.0021, 0)</f>
        <v>90.928899999999999</v>
      </c>
      <c r="J872" s="14">
        <f>90.9268 * CHOOSE(CONTROL!$C$9, $D$9, 100%, $F$9) + CHOOSE(CONTROL!$C$27, 0.0021, 0)</f>
        <v>90.928899999999999</v>
      </c>
      <c r="K872" s="14">
        <f>90.9268 * CHOOSE(CONTROL!$C$9, $D$9, 100%, $F$9) + CHOOSE(CONTROL!$C$27, 0.0021, 0)</f>
        <v>90.928899999999999</v>
      </c>
      <c r="L872" s="14"/>
    </row>
    <row r="873" spans="1:12" ht="15.75" x14ac:dyDescent="0.25">
      <c r="A873" s="32">
        <v>67511</v>
      </c>
      <c r="B873" s="14">
        <f>93.606 * CHOOSE(CONTROL!$C$9, $D$9, 100%, $F$9) + CHOOSE(CONTROL!$C$27, 0.0021, 0)</f>
        <v>93.608099999999993</v>
      </c>
      <c r="C873" s="14">
        <f>93.1737 * CHOOSE(CONTROL!$C$9, $D$9, 100%, $F$9) + CHOOSE(CONTROL!$C$27, 0.0021, 0)</f>
        <v>93.175799999999995</v>
      </c>
      <c r="D873" s="14">
        <f>93.1737 * CHOOSE(CONTROL!$C$9, $D$9, 100%, $F$9) + CHOOSE(CONTROL!$C$27, 0.0021, 0)</f>
        <v>93.175799999999995</v>
      </c>
      <c r="E873" s="14">
        <f>93.037 * CHOOSE(CONTROL!$C$9, $D$9, 100%, $F$9) + CHOOSE(CONTROL!$C$27, 0.0021, 0)</f>
        <v>93.039100000000005</v>
      </c>
      <c r="F873" s="14">
        <f>93.037 * CHOOSE(CONTROL!$C$9, $D$9, 100%, $F$9) + CHOOSE(CONTROL!$C$27, 0.0021, 0)</f>
        <v>93.039100000000005</v>
      </c>
      <c r="G873" s="14">
        <f>93.3084 * CHOOSE(CONTROL!$C$9, $D$9, 100%, $F$9) + CHOOSE(CONTROL!$C$27, 0.0021, 0)</f>
        <v>93.310500000000005</v>
      </c>
      <c r="H873" s="14">
        <f>93.1737 * CHOOSE(CONTROL!$C$9, $D$9, 100%, $F$9) + CHOOSE(CONTROL!$C$27, 0.0021, 0)</f>
        <v>93.175799999999995</v>
      </c>
      <c r="I873" s="14">
        <f>93.1737 * CHOOSE(CONTROL!$C$9, $D$9, 100%, $F$9) + CHOOSE(CONTROL!$C$27, 0.0021, 0)</f>
        <v>93.175799999999995</v>
      </c>
      <c r="J873" s="14">
        <f>93.1737 * CHOOSE(CONTROL!$C$9, $D$9, 100%, $F$9) + CHOOSE(CONTROL!$C$27, 0.0021, 0)</f>
        <v>93.175799999999995</v>
      </c>
      <c r="K873" s="14">
        <f>93.1737 * CHOOSE(CONTROL!$C$9, $D$9, 100%, $F$9) + CHOOSE(CONTROL!$C$27, 0.0021, 0)</f>
        <v>93.175799999999995</v>
      </c>
      <c r="L873" s="14"/>
    </row>
    <row r="874" spans="1:12" ht="15.75" x14ac:dyDescent="0.25">
      <c r="A874" s="32">
        <v>67541</v>
      </c>
      <c r="B874" s="14">
        <f>93.8169 * CHOOSE(CONTROL!$C$9, $D$9, 100%, $F$9) + CHOOSE(CONTROL!$C$27, 0.0021, 0)</f>
        <v>93.819000000000003</v>
      </c>
      <c r="C874" s="14">
        <f>93.3846 * CHOOSE(CONTROL!$C$9, $D$9, 100%, $F$9) + CHOOSE(CONTROL!$C$27, 0.0021, 0)</f>
        <v>93.386700000000005</v>
      </c>
      <c r="D874" s="14">
        <f>93.3846 * CHOOSE(CONTROL!$C$9, $D$9, 100%, $F$9) + CHOOSE(CONTROL!$C$27, 0.0021, 0)</f>
        <v>93.386700000000005</v>
      </c>
      <c r="E874" s="14">
        <f>93.248 * CHOOSE(CONTROL!$C$9, $D$9, 100%, $F$9) + CHOOSE(CONTROL!$C$27, 0.0021, 0)</f>
        <v>93.250100000000003</v>
      </c>
      <c r="F874" s="14">
        <f>93.248 * CHOOSE(CONTROL!$C$9, $D$9, 100%, $F$9) + CHOOSE(CONTROL!$C$27, 0.0021, 0)</f>
        <v>93.250100000000003</v>
      </c>
      <c r="G874" s="14">
        <f>93.5194 * CHOOSE(CONTROL!$C$9, $D$9, 100%, $F$9) + CHOOSE(CONTROL!$C$27, 0.0021, 0)</f>
        <v>93.521500000000003</v>
      </c>
      <c r="H874" s="14">
        <f>93.3846 * CHOOSE(CONTROL!$C$9, $D$9, 100%, $F$9) + CHOOSE(CONTROL!$C$27, 0.0021, 0)</f>
        <v>93.386700000000005</v>
      </c>
      <c r="I874" s="14">
        <f>93.3846 * CHOOSE(CONTROL!$C$9, $D$9, 100%, $F$9) + CHOOSE(CONTROL!$C$27, 0.0021, 0)</f>
        <v>93.386700000000005</v>
      </c>
      <c r="J874" s="14">
        <f>93.3846 * CHOOSE(CONTROL!$C$9, $D$9, 100%, $F$9) + CHOOSE(CONTROL!$C$27, 0.0021, 0)</f>
        <v>93.386700000000005</v>
      </c>
      <c r="K874" s="14">
        <f>93.3846 * CHOOSE(CONTROL!$C$9, $D$9, 100%, $F$9) + CHOOSE(CONTROL!$C$27, 0.0021, 0)</f>
        <v>93.386700000000005</v>
      </c>
      <c r="L874" s="14"/>
    </row>
    <row r="875" spans="1:12" ht="15.75" x14ac:dyDescent="0.25">
      <c r="A875" s="32">
        <v>67572</v>
      </c>
      <c r="B875" s="14">
        <f>92.0223 * CHOOSE(CONTROL!$C$9, $D$9, 100%, $F$9) + CHOOSE(CONTROL!$C$27, 0.0021, 0)</f>
        <v>92.0244</v>
      </c>
      <c r="C875" s="14">
        <f>91.5901 * CHOOSE(CONTROL!$C$9, $D$9, 100%, $F$9) + CHOOSE(CONTROL!$C$27, 0.0021, 0)</f>
        <v>91.592200000000005</v>
      </c>
      <c r="D875" s="14">
        <f>91.5901 * CHOOSE(CONTROL!$C$9, $D$9, 100%, $F$9) + CHOOSE(CONTROL!$C$27, 0.0021, 0)</f>
        <v>91.592200000000005</v>
      </c>
      <c r="E875" s="14">
        <f>91.4534 * CHOOSE(CONTROL!$C$9, $D$9, 100%, $F$9) + CHOOSE(CONTROL!$C$27, 0.0021, 0)</f>
        <v>91.455500000000001</v>
      </c>
      <c r="F875" s="14">
        <f>91.4534 * CHOOSE(CONTROL!$C$9, $D$9, 100%, $F$9) + CHOOSE(CONTROL!$C$27, 0.0021, 0)</f>
        <v>91.455500000000001</v>
      </c>
      <c r="G875" s="14">
        <f>91.7248 * CHOOSE(CONTROL!$C$9, $D$9, 100%, $F$9) + CHOOSE(CONTROL!$C$27, 0.0021, 0)</f>
        <v>91.726900000000001</v>
      </c>
      <c r="H875" s="14">
        <f>91.5901 * CHOOSE(CONTROL!$C$9, $D$9, 100%, $F$9) + CHOOSE(CONTROL!$C$27, 0.0021, 0)</f>
        <v>91.592200000000005</v>
      </c>
      <c r="I875" s="14">
        <f>91.5901 * CHOOSE(CONTROL!$C$9, $D$9, 100%, $F$9) + CHOOSE(CONTROL!$C$27, 0.0021, 0)</f>
        <v>91.592200000000005</v>
      </c>
      <c r="J875" s="14">
        <f>91.5901 * CHOOSE(CONTROL!$C$9, $D$9, 100%, $F$9) + CHOOSE(CONTROL!$C$27, 0.0021, 0)</f>
        <v>91.592200000000005</v>
      </c>
      <c r="K875" s="14">
        <f>91.5901 * CHOOSE(CONTROL!$C$9, $D$9, 100%, $F$9) + CHOOSE(CONTROL!$C$27, 0.0021, 0)</f>
        <v>91.592200000000005</v>
      </c>
      <c r="L875" s="14"/>
    </row>
    <row r="876" spans="1:12" ht="15.75" x14ac:dyDescent="0.25">
      <c r="A876" s="32">
        <v>67603</v>
      </c>
      <c r="B876" s="14">
        <f>90.8466 * CHOOSE(CONTROL!$C$9, $D$9, 100%, $F$9) + CHOOSE(CONTROL!$C$27, 0.0021, 0)</f>
        <v>90.848699999999994</v>
      </c>
      <c r="C876" s="14">
        <f>90.4144 * CHOOSE(CONTROL!$C$9, $D$9, 100%, $F$9) + CHOOSE(CONTROL!$C$27, 0.0021, 0)</f>
        <v>90.416499999999999</v>
      </c>
      <c r="D876" s="14">
        <f>90.4144 * CHOOSE(CONTROL!$C$9, $D$9, 100%, $F$9) + CHOOSE(CONTROL!$C$27, 0.0021, 0)</f>
        <v>90.416499999999999</v>
      </c>
      <c r="E876" s="14">
        <f>90.2777 * CHOOSE(CONTROL!$C$9, $D$9, 100%, $F$9) + CHOOSE(CONTROL!$C$27, 0.0021, 0)</f>
        <v>90.279799999999994</v>
      </c>
      <c r="F876" s="14">
        <f>90.2777 * CHOOSE(CONTROL!$C$9, $D$9, 100%, $F$9) + CHOOSE(CONTROL!$C$27, 0.0021, 0)</f>
        <v>90.279799999999994</v>
      </c>
      <c r="G876" s="14">
        <f>90.5491 * CHOOSE(CONTROL!$C$9, $D$9, 100%, $F$9) + CHOOSE(CONTROL!$C$27, 0.0021, 0)</f>
        <v>90.551199999999994</v>
      </c>
      <c r="H876" s="14">
        <f>90.4144 * CHOOSE(CONTROL!$C$9, $D$9, 100%, $F$9) + CHOOSE(CONTROL!$C$27, 0.0021, 0)</f>
        <v>90.416499999999999</v>
      </c>
      <c r="I876" s="14">
        <f>90.4144 * CHOOSE(CONTROL!$C$9, $D$9, 100%, $F$9) + CHOOSE(CONTROL!$C$27, 0.0021, 0)</f>
        <v>90.416499999999999</v>
      </c>
      <c r="J876" s="14">
        <f>90.4144 * CHOOSE(CONTROL!$C$9, $D$9, 100%, $F$9) + CHOOSE(CONTROL!$C$27, 0.0021, 0)</f>
        <v>90.416499999999999</v>
      </c>
      <c r="K876" s="14">
        <f>90.4144 * CHOOSE(CONTROL!$C$9, $D$9, 100%, $F$9) + CHOOSE(CONTROL!$C$27, 0.0021, 0)</f>
        <v>90.416499999999999</v>
      </c>
      <c r="L876" s="14"/>
    </row>
    <row r="877" spans="1:12" ht="15.75" x14ac:dyDescent="0.25">
      <c r="A877" s="32">
        <v>67631</v>
      </c>
      <c r="B877" s="14">
        <f>88.3418 * CHOOSE(CONTROL!$C$9, $D$9, 100%, $F$9) + CHOOSE(CONTROL!$C$27, 0.0021, 0)</f>
        <v>88.343900000000005</v>
      </c>
      <c r="C877" s="14">
        <f>87.9096 * CHOOSE(CONTROL!$C$9, $D$9, 100%, $F$9) + CHOOSE(CONTROL!$C$27, 0.0021, 0)</f>
        <v>87.911699999999996</v>
      </c>
      <c r="D877" s="14">
        <f>87.9096 * CHOOSE(CONTROL!$C$9, $D$9, 100%, $F$9) + CHOOSE(CONTROL!$C$27, 0.0021, 0)</f>
        <v>87.911699999999996</v>
      </c>
      <c r="E877" s="14">
        <f>87.7729 * CHOOSE(CONTROL!$C$9, $D$9, 100%, $F$9) + CHOOSE(CONTROL!$C$27, 0.0021, 0)</f>
        <v>87.775000000000006</v>
      </c>
      <c r="F877" s="14">
        <f>87.7729 * CHOOSE(CONTROL!$C$9, $D$9, 100%, $F$9) + CHOOSE(CONTROL!$C$27, 0.0021, 0)</f>
        <v>87.775000000000006</v>
      </c>
      <c r="G877" s="14">
        <f>88.0443 * CHOOSE(CONTROL!$C$9, $D$9, 100%, $F$9) + CHOOSE(CONTROL!$C$27, 0.0021, 0)</f>
        <v>88.046400000000006</v>
      </c>
      <c r="H877" s="14">
        <f>87.9096 * CHOOSE(CONTROL!$C$9, $D$9, 100%, $F$9) + CHOOSE(CONTROL!$C$27, 0.0021, 0)</f>
        <v>87.911699999999996</v>
      </c>
      <c r="I877" s="14">
        <f>87.9096 * CHOOSE(CONTROL!$C$9, $D$9, 100%, $F$9) + CHOOSE(CONTROL!$C$27, 0.0021, 0)</f>
        <v>87.911699999999996</v>
      </c>
      <c r="J877" s="14">
        <f>87.9096 * CHOOSE(CONTROL!$C$9, $D$9, 100%, $F$9) + CHOOSE(CONTROL!$C$27, 0.0021, 0)</f>
        <v>87.911699999999996</v>
      </c>
      <c r="K877" s="14">
        <f>87.9096 * CHOOSE(CONTROL!$C$9, $D$9, 100%, $F$9) + CHOOSE(CONTROL!$C$27, 0.0021, 0)</f>
        <v>87.911699999999996</v>
      </c>
      <c r="L877" s="14"/>
    </row>
    <row r="878" spans="1:12" ht="15.75" x14ac:dyDescent="0.25">
      <c r="A878" s="32">
        <v>67662</v>
      </c>
      <c r="B878" s="14">
        <f>87.3079 * CHOOSE(CONTROL!$C$9, $D$9, 100%, $F$9) + CHOOSE(CONTROL!$C$27, 0.0021, 0)</f>
        <v>87.31</v>
      </c>
      <c r="C878" s="14">
        <f>86.8756 * CHOOSE(CONTROL!$C$9, $D$9, 100%, $F$9) + CHOOSE(CONTROL!$C$27, 0.0021, 0)</f>
        <v>86.877700000000004</v>
      </c>
      <c r="D878" s="14">
        <f>86.8756 * CHOOSE(CONTROL!$C$9, $D$9, 100%, $F$9) + CHOOSE(CONTROL!$C$27, 0.0021, 0)</f>
        <v>86.877700000000004</v>
      </c>
      <c r="E878" s="14">
        <f>86.739 * CHOOSE(CONTROL!$C$9, $D$9, 100%, $F$9) + CHOOSE(CONTROL!$C$27, 0.0021, 0)</f>
        <v>86.741100000000003</v>
      </c>
      <c r="F878" s="14">
        <f>86.739 * CHOOSE(CONTROL!$C$9, $D$9, 100%, $F$9) + CHOOSE(CONTROL!$C$27, 0.0021, 0)</f>
        <v>86.741100000000003</v>
      </c>
      <c r="G878" s="14">
        <f>87.0103 * CHOOSE(CONTROL!$C$9, $D$9, 100%, $F$9) + CHOOSE(CONTROL!$C$27, 0.0021, 0)</f>
        <v>87.0124</v>
      </c>
      <c r="H878" s="14">
        <f>86.8756 * CHOOSE(CONTROL!$C$9, $D$9, 100%, $F$9) + CHOOSE(CONTROL!$C$27, 0.0021, 0)</f>
        <v>86.877700000000004</v>
      </c>
      <c r="I878" s="14">
        <f>86.8756 * CHOOSE(CONTROL!$C$9, $D$9, 100%, $F$9) + CHOOSE(CONTROL!$C$27, 0.0021, 0)</f>
        <v>86.877700000000004</v>
      </c>
      <c r="J878" s="14">
        <f>86.8756 * CHOOSE(CONTROL!$C$9, $D$9, 100%, $F$9) + CHOOSE(CONTROL!$C$27, 0.0021, 0)</f>
        <v>86.877700000000004</v>
      </c>
      <c r="K878" s="14">
        <f>86.8756 * CHOOSE(CONTROL!$C$9, $D$9, 100%, $F$9) + CHOOSE(CONTROL!$C$27, 0.0021, 0)</f>
        <v>86.877700000000004</v>
      </c>
      <c r="L878" s="14"/>
    </row>
    <row r="879" spans="1:12" ht="15.75" x14ac:dyDescent="0.25">
      <c r="A879" s="32">
        <v>67692</v>
      </c>
      <c r="B879" s="14">
        <f>86.0733 * CHOOSE(CONTROL!$C$9, $D$9, 100%, $F$9) + CHOOSE(CONTROL!$C$27, 0.0021, 0)</f>
        <v>86.075400000000002</v>
      </c>
      <c r="C879" s="14">
        <f>85.641 * CHOOSE(CONTROL!$C$9, $D$9, 100%, $F$9) + CHOOSE(CONTROL!$C$27, 0.0021, 0)</f>
        <v>85.643100000000004</v>
      </c>
      <c r="D879" s="14">
        <f>85.641 * CHOOSE(CONTROL!$C$9, $D$9, 100%, $F$9) + CHOOSE(CONTROL!$C$27, 0.0021, 0)</f>
        <v>85.643100000000004</v>
      </c>
      <c r="E879" s="14">
        <f>85.5044 * CHOOSE(CONTROL!$C$9, $D$9, 100%, $F$9) + CHOOSE(CONTROL!$C$27, 0.0021, 0)</f>
        <v>85.506500000000003</v>
      </c>
      <c r="F879" s="14">
        <f>85.5044 * CHOOSE(CONTROL!$C$9, $D$9, 100%, $F$9) + CHOOSE(CONTROL!$C$27, 0.0021, 0)</f>
        <v>85.506500000000003</v>
      </c>
      <c r="G879" s="14">
        <f>85.7758 * CHOOSE(CONTROL!$C$9, $D$9, 100%, $F$9) + CHOOSE(CONTROL!$C$27, 0.0021, 0)</f>
        <v>85.777900000000002</v>
      </c>
      <c r="H879" s="14">
        <f>85.641 * CHOOSE(CONTROL!$C$9, $D$9, 100%, $F$9) + CHOOSE(CONTROL!$C$27, 0.0021, 0)</f>
        <v>85.643100000000004</v>
      </c>
      <c r="I879" s="14">
        <f>85.641 * CHOOSE(CONTROL!$C$9, $D$9, 100%, $F$9) + CHOOSE(CONTROL!$C$27, 0.0021, 0)</f>
        <v>85.643100000000004</v>
      </c>
      <c r="J879" s="14">
        <f>85.641 * CHOOSE(CONTROL!$C$9, $D$9, 100%, $F$9) + CHOOSE(CONTROL!$C$27, 0.0021, 0)</f>
        <v>85.643100000000004</v>
      </c>
      <c r="K879" s="14">
        <f>85.641 * CHOOSE(CONTROL!$C$9, $D$9, 100%, $F$9) + CHOOSE(CONTROL!$C$27, 0.0021, 0)</f>
        <v>85.643100000000004</v>
      </c>
      <c r="L879" s="14"/>
    </row>
    <row r="880" spans="1:12" ht="15.75" x14ac:dyDescent="0.25">
      <c r="A880" s="32">
        <v>67723</v>
      </c>
      <c r="B880" s="14">
        <f>87.8327 * CHOOSE(CONTROL!$C$9, $D$9, 100%, $F$9) + CHOOSE(CONTROL!$C$27, 0.0021, 0)</f>
        <v>87.834800000000001</v>
      </c>
      <c r="C880" s="14">
        <f>87.4005 * CHOOSE(CONTROL!$C$9, $D$9, 100%, $F$9) + CHOOSE(CONTROL!$C$27, 0.0021, 0)</f>
        <v>87.402599999999993</v>
      </c>
      <c r="D880" s="14">
        <f>87.4005 * CHOOSE(CONTROL!$C$9, $D$9, 100%, $F$9) + CHOOSE(CONTROL!$C$27, 0.0021, 0)</f>
        <v>87.402599999999993</v>
      </c>
      <c r="E880" s="14">
        <f>87.2638 * CHOOSE(CONTROL!$C$9, $D$9, 100%, $F$9) + CHOOSE(CONTROL!$C$27, 0.0021, 0)</f>
        <v>87.265900000000002</v>
      </c>
      <c r="F880" s="14">
        <f>87.2638 * CHOOSE(CONTROL!$C$9, $D$9, 100%, $F$9) + CHOOSE(CONTROL!$C$27, 0.0021, 0)</f>
        <v>87.265900000000002</v>
      </c>
      <c r="G880" s="14">
        <f>87.5352 * CHOOSE(CONTROL!$C$9, $D$9, 100%, $F$9) + CHOOSE(CONTROL!$C$27, 0.0021, 0)</f>
        <v>87.537300000000002</v>
      </c>
      <c r="H880" s="14">
        <f>87.4005 * CHOOSE(CONTROL!$C$9, $D$9, 100%, $F$9) + CHOOSE(CONTROL!$C$27, 0.0021, 0)</f>
        <v>87.402599999999993</v>
      </c>
      <c r="I880" s="14">
        <f>87.4005 * CHOOSE(CONTROL!$C$9, $D$9, 100%, $F$9) + CHOOSE(CONTROL!$C$27, 0.0021, 0)</f>
        <v>87.402599999999993</v>
      </c>
      <c r="J880" s="14">
        <f>87.4005 * CHOOSE(CONTROL!$C$9, $D$9, 100%, $F$9) + CHOOSE(CONTROL!$C$27, 0.0021, 0)</f>
        <v>87.402599999999993</v>
      </c>
      <c r="K880" s="14">
        <f>87.4005 * CHOOSE(CONTROL!$C$9, $D$9, 100%, $F$9) + CHOOSE(CONTROL!$C$27, 0.0021, 0)</f>
        <v>87.402599999999993</v>
      </c>
      <c r="L880" s="14"/>
    </row>
    <row r="881" spans="1:12" ht="15.75" x14ac:dyDescent="0.25">
      <c r="A881" s="32">
        <v>67753</v>
      </c>
      <c r="B881" s="14">
        <f>88.8866 * CHOOSE(CONTROL!$C$9, $D$9, 100%, $F$9) + CHOOSE(CONTROL!$C$27, 0.0021, 0)</f>
        <v>88.8887</v>
      </c>
      <c r="C881" s="14">
        <f>88.4543 * CHOOSE(CONTROL!$C$9, $D$9, 100%, $F$9) + CHOOSE(CONTROL!$C$27, 0.0021, 0)</f>
        <v>88.456400000000002</v>
      </c>
      <c r="D881" s="14">
        <f>88.4543 * CHOOSE(CONTROL!$C$9, $D$9, 100%, $F$9) + CHOOSE(CONTROL!$C$27, 0.0021, 0)</f>
        <v>88.456400000000002</v>
      </c>
      <c r="E881" s="14">
        <f>88.3177 * CHOOSE(CONTROL!$C$9, $D$9, 100%, $F$9) + CHOOSE(CONTROL!$C$27, 0.0021, 0)</f>
        <v>88.319800000000001</v>
      </c>
      <c r="F881" s="14">
        <f>88.3177 * CHOOSE(CONTROL!$C$9, $D$9, 100%, $F$9) + CHOOSE(CONTROL!$C$27, 0.0021, 0)</f>
        <v>88.319800000000001</v>
      </c>
      <c r="G881" s="14">
        <f>88.589 * CHOOSE(CONTROL!$C$9, $D$9, 100%, $F$9) + CHOOSE(CONTROL!$C$27, 0.0021, 0)</f>
        <v>88.591099999999997</v>
      </c>
      <c r="H881" s="14">
        <f>88.4543 * CHOOSE(CONTROL!$C$9, $D$9, 100%, $F$9) + CHOOSE(CONTROL!$C$27, 0.0021, 0)</f>
        <v>88.456400000000002</v>
      </c>
      <c r="I881" s="14">
        <f>88.4543 * CHOOSE(CONTROL!$C$9, $D$9, 100%, $F$9) + CHOOSE(CONTROL!$C$27, 0.0021, 0)</f>
        <v>88.456400000000002</v>
      </c>
      <c r="J881" s="14">
        <f>88.4543 * CHOOSE(CONTROL!$C$9, $D$9, 100%, $F$9) + CHOOSE(CONTROL!$C$27, 0.0021, 0)</f>
        <v>88.456400000000002</v>
      </c>
      <c r="K881" s="14">
        <f>88.4543 * CHOOSE(CONTROL!$C$9, $D$9, 100%, $F$9) + CHOOSE(CONTROL!$C$27, 0.0021, 0)</f>
        <v>88.456400000000002</v>
      </c>
      <c r="L881" s="14"/>
    </row>
    <row r="882" spans="1:12" ht="15.75" x14ac:dyDescent="0.25">
      <c r="A882" s="32">
        <v>67784</v>
      </c>
      <c r="B882" s="14">
        <f>90.625 * CHOOSE(CONTROL!$C$9, $D$9, 100%, $F$9) + CHOOSE(CONTROL!$C$27, 0.0021, 0)</f>
        <v>90.627099999999999</v>
      </c>
      <c r="C882" s="14">
        <f>90.1927 * CHOOSE(CONTROL!$C$9, $D$9, 100%, $F$9) + CHOOSE(CONTROL!$C$27, 0.0021, 0)</f>
        <v>90.194800000000001</v>
      </c>
      <c r="D882" s="14">
        <f>90.1927 * CHOOSE(CONTROL!$C$9, $D$9, 100%, $F$9) + CHOOSE(CONTROL!$C$27, 0.0021, 0)</f>
        <v>90.194800000000001</v>
      </c>
      <c r="E882" s="14">
        <f>90.0561 * CHOOSE(CONTROL!$C$9, $D$9, 100%, $F$9) + CHOOSE(CONTROL!$C$27, 0.0021, 0)</f>
        <v>90.058199999999999</v>
      </c>
      <c r="F882" s="14">
        <f>90.0561 * CHOOSE(CONTROL!$C$9, $D$9, 100%, $F$9) + CHOOSE(CONTROL!$C$27, 0.0021, 0)</f>
        <v>90.058199999999999</v>
      </c>
      <c r="G882" s="14">
        <f>90.3275 * CHOOSE(CONTROL!$C$9, $D$9, 100%, $F$9) + CHOOSE(CONTROL!$C$27, 0.0021, 0)</f>
        <v>90.329599999999999</v>
      </c>
      <c r="H882" s="14">
        <f>90.1927 * CHOOSE(CONTROL!$C$9, $D$9, 100%, $F$9) + CHOOSE(CONTROL!$C$27, 0.0021, 0)</f>
        <v>90.194800000000001</v>
      </c>
      <c r="I882" s="14">
        <f>90.1927 * CHOOSE(CONTROL!$C$9, $D$9, 100%, $F$9) + CHOOSE(CONTROL!$C$27, 0.0021, 0)</f>
        <v>90.194800000000001</v>
      </c>
      <c r="J882" s="14">
        <f>90.1927 * CHOOSE(CONTROL!$C$9, $D$9, 100%, $F$9) + CHOOSE(CONTROL!$C$27, 0.0021, 0)</f>
        <v>90.194800000000001</v>
      </c>
      <c r="K882" s="14">
        <f>90.1927 * CHOOSE(CONTROL!$C$9, $D$9, 100%, $F$9) + CHOOSE(CONTROL!$C$27, 0.0021, 0)</f>
        <v>90.194800000000001</v>
      </c>
      <c r="L882" s="14"/>
    </row>
    <row r="883" spans="1:12" ht="15.75" x14ac:dyDescent="0.25">
      <c r="A883" s="32">
        <v>67815</v>
      </c>
      <c r="B883" s="14">
        <f>91.1556 * CHOOSE(CONTROL!$C$9, $D$9, 100%, $F$9) + CHOOSE(CONTROL!$C$27, 0.0021, 0)</f>
        <v>91.157700000000006</v>
      </c>
      <c r="C883" s="14">
        <f>90.7234 * CHOOSE(CONTROL!$C$9, $D$9, 100%, $F$9) + CHOOSE(CONTROL!$C$27, 0.0021, 0)</f>
        <v>90.725499999999997</v>
      </c>
      <c r="D883" s="14">
        <f>90.7234 * CHOOSE(CONTROL!$C$9, $D$9, 100%, $F$9) + CHOOSE(CONTROL!$C$27, 0.0021, 0)</f>
        <v>90.725499999999997</v>
      </c>
      <c r="E883" s="14">
        <f>90.5867 * CHOOSE(CONTROL!$C$9, $D$9, 100%, $F$9) + CHOOSE(CONTROL!$C$27, 0.0021, 0)</f>
        <v>90.588799999999992</v>
      </c>
      <c r="F883" s="14">
        <f>90.5867 * CHOOSE(CONTROL!$C$9, $D$9, 100%, $F$9) + CHOOSE(CONTROL!$C$27, 0.0021, 0)</f>
        <v>90.588799999999992</v>
      </c>
      <c r="G883" s="14">
        <f>90.8581 * CHOOSE(CONTROL!$C$9, $D$9, 100%, $F$9) + CHOOSE(CONTROL!$C$27, 0.0021, 0)</f>
        <v>90.860199999999992</v>
      </c>
      <c r="H883" s="14">
        <f>90.7234 * CHOOSE(CONTROL!$C$9, $D$9, 100%, $F$9) + CHOOSE(CONTROL!$C$27, 0.0021, 0)</f>
        <v>90.725499999999997</v>
      </c>
      <c r="I883" s="14">
        <f>90.7234 * CHOOSE(CONTROL!$C$9, $D$9, 100%, $F$9) + CHOOSE(CONTROL!$C$27, 0.0021, 0)</f>
        <v>90.725499999999997</v>
      </c>
      <c r="J883" s="14">
        <f>90.7234 * CHOOSE(CONTROL!$C$9, $D$9, 100%, $F$9) + CHOOSE(CONTROL!$C$27, 0.0021, 0)</f>
        <v>90.725499999999997</v>
      </c>
      <c r="K883" s="14">
        <f>90.7234 * CHOOSE(CONTROL!$C$9, $D$9, 100%, $F$9) + CHOOSE(CONTROL!$C$27, 0.0021, 0)</f>
        <v>90.725499999999997</v>
      </c>
      <c r="L883" s="14"/>
    </row>
    <row r="884" spans="1:12" ht="15.75" x14ac:dyDescent="0.25">
      <c r="A884" s="32">
        <v>67845</v>
      </c>
      <c r="B884" s="14">
        <f>92.9626 * CHOOSE(CONTROL!$C$9, $D$9, 100%, $F$9) + CHOOSE(CONTROL!$C$27, 0.0021, 0)</f>
        <v>92.964699999999993</v>
      </c>
      <c r="C884" s="14">
        <f>92.5304 * CHOOSE(CONTROL!$C$9, $D$9, 100%, $F$9) + CHOOSE(CONTROL!$C$27, 0.0021, 0)</f>
        <v>92.532499999999999</v>
      </c>
      <c r="D884" s="14">
        <f>92.5304 * CHOOSE(CONTROL!$C$9, $D$9, 100%, $F$9) + CHOOSE(CONTROL!$C$27, 0.0021, 0)</f>
        <v>92.532499999999999</v>
      </c>
      <c r="E884" s="14">
        <f>92.3937 * CHOOSE(CONTROL!$C$9, $D$9, 100%, $F$9) + CHOOSE(CONTROL!$C$27, 0.0021, 0)</f>
        <v>92.395799999999994</v>
      </c>
      <c r="F884" s="14">
        <f>92.3937 * CHOOSE(CONTROL!$C$9, $D$9, 100%, $F$9) + CHOOSE(CONTROL!$C$27, 0.0021, 0)</f>
        <v>92.395799999999994</v>
      </c>
      <c r="G884" s="14">
        <f>92.6651 * CHOOSE(CONTROL!$C$9, $D$9, 100%, $F$9) + CHOOSE(CONTROL!$C$27, 0.0021, 0)</f>
        <v>92.667199999999994</v>
      </c>
      <c r="H884" s="14">
        <f>92.5304 * CHOOSE(CONTROL!$C$9, $D$9, 100%, $F$9) + CHOOSE(CONTROL!$C$27, 0.0021, 0)</f>
        <v>92.532499999999999</v>
      </c>
      <c r="I884" s="14">
        <f>92.5304 * CHOOSE(CONTROL!$C$9, $D$9, 100%, $F$9) + CHOOSE(CONTROL!$C$27, 0.0021, 0)</f>
        <v>92.532499999999999</v>
      </c>
      <c r="J884" s="14">
        <f>92.5304 * CHOOSE(CONTROL!$C$9, $D$9, 100%, $F$9) + CHOOSE(CONTROL!$C$27, 0.0021, 0)</f>
        <v>92.532499999999999</v>
      </c>
      <c r="K884" s="14">
        <f>92.5304 * CHOOSE(CONTROL!$C$9, $D$9, 100%, $F$9) + CHOOSE(CONTROL!$C$27, 0.0021, 0)</f>
        <v>92.532499999999999</v>
      </c>
      <c r="L884" s="14"/>
    </row>
    <row r="885" spans="1:12" ht="15.75" x14ac:dyDescent="0.25">
      <c r="A885" s="32">
        <v>67876</v>
      </c>
      <c r="B885" s="14">
        <f>95.25 * CHOOSE(CONTROL!$C$9, $D$9, 100%, $F$9) + CHOOSE(CONTROL!$C$27, 0.0021, 0)</f>
        <v>95.252099999999999</v>
      </c>
      <c r="C885" s="14">
        <f>94.8178 * CHOOSE(CONTROL!$C$9, $D$9, 100%, $F$9) + CHOOSE(CONTROL!$C$27, 0.0021, 0)</f>
        <v>94.819900000000004</v>
      </c>
      <c r="D885" s="14">
        <f>94.8178 * CHOOSE(CONTROL!$C$9, $D$9, 100%, $F$9) + CHOOSE(CONTROL!$C$27, 0.0021, 0)</f>
        <v>94.819900000000004</v>
      </c>
      <c r="E885" s="14">
        <f>94.6811 * CHOOSE(CONTROL!$C$9, $D$9, 100%, $F$9) + CHOOSE(CONTROL!$C$27, 0.0021, 0)</f>
        <v>94.683199999999999</v>
      </c>
      <c r="F885" s="14">
        <f>94.6811 * CHOOSE(CONTROL!$C$9, $D$9, 100%, $F$9) + CHOOSE(CONTROL!$C$27, 0.0021, 0)</f>
        <v>94.683199999999999</v>
      </c>
      <c r="G885" s="14">
        <f>94.9525 * CHOOSE(CONTROL!$C$9, $D$9, 100%, $F$9) + CHOOSE(CONTROL!$C$27, 0.0021, 0)</f>
        <v>94.954599999999999</v>
      </c>
      <c r="H885" s="14">
        <f>94.8178 * CHOOSE(CONTROL!$C$9, $D$9, 100%, $F$9) + CHOOSE(CONTROL!$C$27, 0.0021, 0)</f>
        <v>94.819900000000004</v>
      </c>
      <c r="I885" s="14">
        <f>94.8178 * CHOOSE(CONTROL!$C$9, $D$9, 100%, $F$9) + CHOOSE(CONTROL!$C$27, 0.0021, 0)</f>
        <v>94.819900000000004</v>
      </c>
      <c r="J885" s="14">
        <f>94.8178 * CHOOSE(CONTROL!$C$9, $D$9, 100%, $F$9) + CHOOSE(CONTROL!$C$27, 0.0021, 0)</f>
        <v>94.819900000000004</v>
      </c>
      <c r="K885" s="14">
        <f>94.8178 * CHOOSE(CONTROL!$C$9, $D$9, 100%, $F$9) + CHOOSE(CONTROL!$C$27, 0.0021, 0)</f>
        <v>94.819900000000004</v>
      </c>
      <c r="L885" s="14"/>
    </row>
    <row r="886" spans="1:12" ht="15.75" x14ac:dyDescent="0.25">
      <c r="A886" s="32">
        <v>67906</v>
      </c>
      <c r="B886" s="14">
        <f>95.4648 * CHOOSE(CONTROL!$C$9, $D$9, 100%, $F$9) + CHOOSE(CONTROL!$C$27, 0.0021, 0)</f>
        <v>95.466899999999995</v>
      </c>
      <c r="C886" s="14">
        <f>95.0325 * CHOOSE(CONTROL!$C$9, $D$9, 100%, $F$9) + CHOOSE(CONTROL!$C$27, 0.0021, 0)</f>
        <v>95.034599999999998</v>
      </c>
      <c r="D886" s="14">
        <f>95.0325 * CHOOSE(CONTROL!$C$9, $D$9, 100%, $F$9) + CHOOSE(CONTROL!$C$27, 0.0021, 0)</f>
        <v>95.034599999999998</v>
      </c>
      <c r="E886" s="14">
        <f>94.8959 * CHOOSE(CONTROL!$C$9, $D$9, 100%, $F$9) + CHOOSE(CONTROL!$C$27, 0.0021, 0)</f>
        <v>94.897999999999996</v>
      </c>
      <c r="F886" s="14">
        <f>94.8959 * CHOOSE(CONTROL!$C$9, $D$9, 100%, $F$9) + CHOOSE(CONTROL!$C$27, 0.0021, 0)</f>
        <v>94.897999999999996</v>
      </c>
      <c r="G886" s="14">
        <f>95.1672 * CHOOSE(CONTROL!$C$9, $D$9, 100%, $F$9) + CHOOSE(CONTROL!$C$27, 0.0021, 0)</f>
        <v>95.169299999999993</v>
      </c>
      <c r="H886" s="14">
        <f>95.0325 * CHOOSE(CONTROL!$C$9, $D$9, 100%, $F$9) + CHOOSE(CONTROL!$C$27, 0.0021, 0)</f>
        <v>95.034599999999998</v>
      </c>
      <c r="I886" s="14">
        <f>95.0325 * CHOOSE(CONTROL!$C$9, $D$9, 100%, $F$9) + CHOOSE(CONTROL!$C$27, 0.0021, 0)</f>
        <v>95.034599999999998</v>
      </c>
      <c r="J886" s="14">
        <f>95.0325 * CHOOSE(CONTROL!$C$9, $D$9, 100%, $F$9) + CHOOSE(CONTROL!$C$27, 0.0021, 0)</f>
        <v>95.034599999999998</v>
      </c>
      <c r="K886" s="14">
        <f>95.0325 * CHOOSE(CONTROL!$C$9, $D$9, 100%, $F$9) + CHOOSE(CONTROL!$C$27, 0.0021, 0)</f>
        <v>95.034599999999998</v>
      </c>
      <c r="L886" s="14"/>
    </row>
    <row r="887" spans="1:12" ht="15.75" x14ac:dyDescent="0.25">
      <c r="A887" s="32">
        <v>67937</v>
      </c>
      <c r="B887" s="14">
        <f>93.6379 * CHOOSE(CONTROL!$C$9, $D$9, 100%, $F$9) + CHOOSE(CONTROL!$C$27, 0.0021, 0)</f>
        <v>93.64</v>
      </c>
      <c r="C887" s="14">
        <f>93.2056 * CHOOSE(CONTROL!$C$9, $D$9, 100%, $F$9) + CHOOSE(CONTROL!$C$27, 0.0021, 0)</f>
        <v>93.207700000000003</v>
      </c>
      <c r="D887" s="14">
        <f>93.2056 * CHOOSE(CONTROL!$C$9, $D$9, 100%, $F$9) + CHOOSE(CONTROL!$C$27, 0.0021, 0)</f>
        <v>93.207700000000003</v>
      </c>
      <c r="E887" s="14">
        <f>93.069 * CHOOSE(CONTROL!$C$9, $D$9, 100%, $F$9) + CHOOSE(CONTROL!$C$27, 0.0021, 0)</f>
        <v>93.071100000000001</v>
      </c>
      <c r="F887" s="14">
        <f>93.069 * CHOOSE(CONTROL!$C$9, $D$9, 100%, $F$9) + CHOOSE(CONTROL!$C$27, 0.0021, 0)</f>
        <v>93.071100000000001</v>
      </c>
      <c r="G887" s="14">
        <f>93.3404 * CHOOSE(CONTROL!$C$9, $D$9, 100%, $F$9) + CHOOSE(CONTROL!$C$27, 0.0021, 0)</f>
        <v>93.342500000000001</v>
      </c>
      <c r="H887" s="14">
        <f>93.2056 * CHOOSE(CONTROL!$C$9, $D$9, 100%, $F$9) + CHOOSE(CONTROL!$C$27, 0.0021, 0)</f>
        <v>93.207700000000003</v>
      </c>
      <c r="I887" s="14">
        <f>93.2056 * CHOOSE(CONTROL!$C$9, $D$9, 100%, $F$9) + CHOOSE(CONTROL!$C$27, 0.0021, 0)</f>
        <v>93.207700000000003</v>
      </c>
      <c r="J887" s="14">
        <f>93.2056 * CHOOSE(CONTROL!$C$9, $D$9, 100%, $F$9) + CHOOSE(CONTROL!$C$27, 0.0021, 0)</f>
        <v>93.207700000000003</v>
      </c>
      <c r="K887" s="14">
        <f>93.2056 * CHOOSE(CONTROL!$C$9, $D$9, 100%, $F$9) + CHOOSE(CONTROL!$C$27, 0.0021, 0)</f>
        <v>93.207700000000003</v>
      </c>
      <c r="L887" s="14"/>
    </row>
    <row r="888" spans="1:12" ht="15.75" x14ac:dyDescent="0.25">
      <c r="A888" s="32">
        <v>67968</v>
      </c>
      <c r="B888" s="14">
        <f>92.441 * CHOOSE(CONTROL!$C$9, $D$9, 100%, $F$9) + CHOOSE(CONTROL!$C$27, 0.0021, 0)</f>
        <v>92.443100000000001</v>
      </c>
      <c r="C888" s="14">
        <f>92.0088 * CHOOSE(CONTROL!$C$9, $D$9, 100%, $F$9) + CHOOSE(CONTROL!$C$27, 0.0021, 0)</f>
        <v>92.010899999999992</v>
      </c>
      <c r="D888" s="14">
        <f>92.0088 * CHOOSE(CONTROL!$C$9, $D$9, 100%, $F$9) + CHOOSE(CONTROL!$C$27, 0.0021, 0)</f>
        <v>92.010899999999992</v>
      </c>
      <c r="E888" s="14">
        <f>91.8721 * CHOOSE(CONTROL!$C$9, $D$9, 100%, $F$9) + CHOOSE(CONTROL!$C$27, 0.0021, 0)</f>
        <v>91.874200000000002</v>
      </c>
      <c r="F888" s="14">
        <f>91.8721 * CHOOSE(CONTROL!$C$9, $D$9, 100%, $F$9) + CHOOSE(CONTROL!$C$27, 0.0021, 0)</f>
        <v>91.874200000000002</v>
      </c>
      <c r="G888" s="14">
        <f>92.1435 * CHOOSE(CONTROL!$C$9, $D$9, 100%, $F$9) + CHOOSE(CONTROL!$C$27, 0.0021, 0)</f>
        <v>92.145600000000002</v>
      </c>
      <c r="H888" s="14">
        <f>92.0088 * CHOOSE(CONTROL!$C$9, $D$9, 100%, $F$9) + CHOOSE(CONTROL!$C$27, 0.0021, 0)</f>
        <v>92.010899999999992</v>
      </c>
      <c r="I888" s="14">
        <f>92.0088 * CHOOSE(CONTROL!$C$9, $D$9, 100%, $F$9) + CHOOSE(CONTROL!$C$27, 0.0021, 0)</f>
        <v>92.010899999999992</v>
      </c>
      <c r="J888" s="14">
        <f>92.0088 * CHOOSE(CONTROL!$C$9, $D$9, 100%, $F$9) + CHOOSE(CONTROL!$C$27, 0.0021, 0)</f>
        <v>92.010899999999992</v>
      </c>
      <c r="K888" s="14">
        <f>92.0088 * CHOOSE(CONTROL!$C$9, $D$9, 100%, $F$9) + CHOOSE(CONTROL!$C$27, 0.0021, 0)</f>
        <v>92.010899999999992</v>
      </c>
      <c r="L888" s="14"/>
    </row>
    <row r="889" spans="1:12" ht="15.75" x14ac:dyDescent="0.25">
      <c r="A889" s="32">
        <v>67996</v>
      </c>
      <c r="B889" s="14">
        <f>89.8912 * CHOOSE(CONTROL!$C$9, $D$9, 100%, $F$9) + CHOOSE(CONTROL!$C$27, 0.0021, 0)</f>
        <v>89.893299999999996</v>
      </c>
      <c r="C889" s="14">
        <f>89.4589 * CHOOSE(CONTROL!$C$9, $D$9, 100%, $F$9) + CHOOSE(CONTROL!$C$27, 0.0021, 0)</f>
        <v>89.460999999999999</v>
      </c>
      <c r="D889" s="14">
        <f>89.4589 * CHOOSE(CONTROL!$C$9, $D$9, 100%, $F$9) + CHOOSE(CONTROL!$C$27, 0.0021, 0)</f>
        <v>89.460999999999999</v>
      </c>
      <c r="E889" s="14">
        <f>89.3223 * CHOOSE(CONTROL!$C$9, $D$9, 100%, $F$9) + CHOOSE(CONTROL!$C$27, 0.0021, 0)</f>
        <v>89.324399999999997</v>
      </c>
      <c r="F889" s="14">
        <f>89.3223 * CHOOSE(CONTROL!$C$9, $D$9, 100%, $F$9) + CHOOSE(CONTROL!$C$27, 0.0021, 0)</f>
        <v>89.324399999999997</v>
      </c>
      <c r="G889" s="14">
        <f>89.5936 * CHOOSE(CONTROL!$C$9, $D$9, 100%, $F$9) + CHOOSE(CONTROL!$C$27, 0.0021, 0)</f>
        <v>89.595699999999994</v>
      </c>
      <c r="H889" s="14">
        <f>89.4589 * CHOOSE(CONTROL!$C$9, $D$9, 100%, $F$9) + CHOOSE(CONTROL!$C$27, 0.0021, 0)</f>
        <v>89.460999999999999</v>
      </c>
      <c r="I889" s="14">
        <f>89.4589 * CHOOSE(CONTROL!$C$9, $D$9, 100%, $F$9) + CHOOSE(CONTROL!$C$27, 0.0021, 0)</f>
        <v>89.460999999999999</v>
      </c>
      <c r="J889" s="14">
        <f>89.4589 * CHOOSE(CONTROL!$C$9, $D$9, 100%, $F$9) + CHOOSE(CONTROL!$C$27, 0.0021, 0)</f>
        <v>89.460999999999999</v>
      </c>
      <c r="K889" s="14">
        <f>89.4589 * CHOOSE(CONTROL!$C$9, $D$9, 100%, $F$9) + CHOOSE(CONTROL!$C$27, 0.0021, 0)</f>
        <v>89.460999999999999</v>
      </c>
      <c r="L889" s="14"/>
    </row>
    <row r="890" spans="1:12" ht="15.75" x14ac:dyDescent="0.25">
      <c r="A890" s="32">
        <v>68027</v>
      </c>
      <c r="B890" s="14">
        <f>88.8386 * CHOOSE(CONTROL!$C$9, $D$9, 100%, $F$9) + CHOOSE(CONTROL!$C$27, 0.0021, 0)</f>
        <v>88.840699999999998</v>
      </c>
      <c r="C890" s="14">
        <f>88.4063 * CHOOSE(CONTROL!$C$9, $D$9, 100%, $F$9) + CHOOSE(CONTROL!$C$27, 0.0021, 0)</f>
        <v>88.4084</v>
      </c>
      <c r="D890" s="14">
        <f>88.4063 * CHOOSE(CONTROL!$C$9, $D$9, 100%, $F$9) + CHOOSE(CONTROL!$C$27, 0.0021, 0)</f>
        <v>88.4084</v>
      </c>
      <c r="E890" s="14">
        <f>88.2697 * CHOOSE(CONTROL!$C$9, $D$9, 100%, $F$9) + CHOOSE(CONTROL!$C$27, 0.0021, 0)</f>
        <v>88.271799999999999</v>
      </c>
      <c r="F890" s="14">
        <f>88.2697 * CHOOSE(CONTROL!$C$9, $D$9, 100%, $F$9) + CHOOSE(CONTROL!$C$27, 0.0021, 0)</f>
        <v>88.271799999999999</v>
      </c>
      <c r="G890" s="14">
        <f>88.541 * CHOOSE(CONTROL!$C$9, $D$9, 100%, $F$9) + CHOOSE(CONTROL!$C$27, 0.0021, 0)</f>
        <v>88.543099999999995</v>
      </c>
      <c r="H890" s="14">
        <f>88.4063 * CHOOSE(CONTROL!$C$9, $D$9, 100%, $F$9) + CHOOSE(CONTROL!$C$27, 0.0021, 0)</f>
        <v>88.4084</v>
      </c>
      <c r="I890" s="14">
        <f>88.4063 * CHOOSE(CONTROL!$C$9, $D$9, 100%, $F$9) + CHOOSE(CONTROL!$C$27, 0.0021, 0)</f>
        <v>88.4084</v>
      </c>
      <c r="J890" s="14">
        <f>88.4063 * CHOOSE(CONTROL!$C$9, $D$9, 100%, $F$9) + CHOOSE(CONTROL!$C$27, 0.0021, 0)</f>
        <v>88.4084</v>
      </c>
      <c r="K890" s="14">
        <f>88.4063 * CHOOSE(CONTROL!$C$9, $D$9, 100%, $F$9) + CHOOSE(CONTROL!$C$27, 0.0021, 0)</f>
        <v>88.4084</v>
      </c>
      <c r="L890" s="14"/>
    </row>
    <row r="891" spans="1:12" ht="15.75" x14ac:dyDescent="0.25">
      <c r="A891" s="32">
        <v>68057</v>
      </c>
      <c r="B891" s="14">
        <f>87.5817 * CHOOSE(CONTROL!$C$9, $D$9, 100%, $F$9) + CHOOSE(CONTROL!$C$27, 0.0021, 0)</f>
        <v>87.583799999999997</v>
      </c>
      <c r="C891" s="14">
        <f>87.1495 * CHOOSE(CONTROL!$C$9, $D$9, 100%, $F$9) + CHOOSE(CONTROL!$C$27, 0.0021, 0)</f>
        <v>87.151600000000002</v>
      </c>
      <c r="D891" s="14">
        <f>87.1495 * CHOOSE(CONTROL!$C$9, $D$9, 100%, $F$9) + CHOOSE(CONTROL!$C$27, 0.0021, 0)</f>
        <v>87.151600000000002</v>
      </c>
      <c r="E891" s="14">
        <f>87.0128 * CHOOSE(CONTROL!$C$9, $D$9, 100%, $F$9) + CHOOSE(CONTROL!$C$27, 0.0021, 0)</f>
        <v>87.014899999999997</v>
      </c>
      <c r="F891" s="14">
        <f>87.0128 * CHOOSE(CONTROL!$C$9, $D$9, 100%, $F$9) + CHOOSE(CONTROL!$C$27, 0.0021, 0)</f>
        <v>87.014899999999997</v>
      </c>
      <c r="G891" s="14">
        <f>87.2842 * CHOOSE(CONTROL!$C$9, $D$9, 100%, $F$9) + CHOOSE(CONTROL!$C$27, 0.0021, 0)</f>
        <v>87.286299999999997</v>
      </c>
      <c r="H891" s="14">
        <f>87.1495 * CHOOSE(CONTROL!$C$9, $D$9, 100%, $F$9) + CHOOSE(CONTROL!$C$27, 0.0021, 0)</f>
        <v>87.151600000000002</v>
      </c>
      <c r="I891" s="14">
        <f>87.1495 * CHOOSE(CONTROL!$C$9, $D$9, 100%, $F$9) + CHOOSE(CONTROL!$C$27, 0.0021, 0)</f>
        <v>87.151600000000002</v>
      </c>
      <c r="J891" s="14">
        <f>87.1495 * CHOOSE(CONTROL!$C$9, $D$9, 100%, $F$9) + CHOOSE(CONTROL!$C$27, 0.0021, 0)</f>
        <v>87.151600000000002</v>
      </c>
      <c r="K891" s="14">
        <f>87.1495 * CHOOSE(CONTROL!$C$9, $D$9, 100%, $F$9) + CHOOSE(CONTROL!$C$27, 0.0021, 0)</f>
        <v>87.151600000000002</v>
      </c>
      <c r="L891" s="14"/>
    </row>
    <row r="892" spans="1:12" ht="15.75" x14ac:dyDescent="0.25">
      <c r="A892" s="32">
        <v>68088</v>
      </c>
      <c r="B892" s="14">
        <f>89.3729 * CHOOSE(CONTROL!$C$9, $D$9, 100%, $F$9) + CHOOSE(CONTROL!$C$27, 0.0021, 0)</f>
        <v>89.375</v>
      </c>
      <c r="C892" s="14">
        <f>88.9406 * CHOOSE(CONTROL!$C$9, $D$9, 100%, $F$9) + CHOOSE(CONTROL!$C$27, 0.0021, 0)</f>
        <v>88.942700000000002</v>
      </c>
      <c r="D892" s="14">
        <f>88.9406 * CHOOSE(CONTROL!$C$9, $D$9, 100%, $F$9) + CHOOSE(CONTROL!$C$27, 0.0021, 0)</f>
        <v>88.942700000000002</v>
      </c>
      <c r="E892" s="14">
        <f>88.804 * CHOOSE(CONTROL!$C$9, $D$9, 100%, $F$9) + CHOOSE(CONTROL!$C$27, 0.0021, 0)</f>
        <v>88.806100000000001</v>
      </c>
      <c r="F892" s="14">
        <f>88.804 * CHOOSE(CONTROL!$C$9, $D$9, 100%, $F$9) + CHOOSE(CONTROL!$C$27, 0.0021, 0)</f>
        <v>88.806100000000001</v>
      </c>
      <c r="G892" s="14">
        <f>89.0753 * CHOOSE(CONTROL!$C$9, $D$9, 100%, $F$9) + CHOOSE(CONTROL!$C$27, 0.0021, 0)</f>
        <v>89.077399999999997</v>
      </c>
      <c r="H892" s="14">
        <f>88.9406 * CHOOSE(CONTROL!$C$9, $D$9, 100%, $F$9) + CHOOSE(CONTROL!$C$27, 0.0021, 0)</f>
        <v>88.942700000000002</v>
      </c>
      <c r="I892" s="14">
        <f>88.9406 * CHOOSE(CONTROL!$C$9, $D$9, 100%, $F$9) + CHOOSE(CONTROL!$C$27, 0.0021, 0)</f>
        <v>88.942700000000002</v>
      </c>
      <c r="J892" s="14">
        <f>88.9406 * CHOOSE(CONTROL!$C$9, $D$9, 100%, $F$9) + CHOOSE(CONTROL!$C$27, 0.0021, 0)</f>
        <v>88.942700000000002</v>
      </c>
      <c r="K892" s="14">
        <f>88.9406 * CHOOSE(CONTROL!$C$9, $D$9, 100%, $F$9) + CHOOSE(CONTROL!$C$27, 0.0021, 0)</f>
        <v>88.942700000000002</v>
      </c>
      <c r="L892" s="14"/>
    </row>
    <row r="893" spans="1:12" ht="15.75" x14ac:dyDescent="0.25">
      <c r="A893" s="32">
        <v>68118</v>
      </c>
      <c r="B893" s="14">
        <f>90.4457 * CHOOSE(CONTROL!$C$9, $D$9, 100%, $F$9) + CHOOSE(CONTROL!$C$27, 0.0021, 0)</f>
        <v>90.447800000000001</v>
      </c>
      <c r="C893" s="14">
        <f>90.0134 * CHOOSE(CONTROL!$C$9, $D$9, 100%, $F$9) + CHOOSE(CONTROL!$C$27, 0.0021, 0)</f>
        <v>90.015500000000003</v>
      </c>
      <c r="D893" s="14">
        <f>90.0134 * CHOOSE(CONTROL!$C$9, $D$9, 100%, $F$9) + CHOOSE(CONTROL!$C$27, 0.0021, 0)</f>
        <v>90.015500000000003</v>
      </c>
      <c r="E893" s="14">
        <f>89.8768 * CHOOSE(CONTROL!$C$9, $D$9, 100%, $F$9) + CHOOSE(CONTROL!$C$27, 0.0021, 0)</f>
        <v>89.878900000000002</v>
      </c>
      <c r="F893" s="14">
        <f>89.8768 * CHOOSE(CONTROL!$C$9, $D$9, 100%, $F$9) + CHOOSE(CONTROL!$C$27, 0.0021, 0)</f>
        <v>89.878900000000002</v>
      </c>
      <c r="G893" s="14">
        <f>90.1481 * CHOOSE(CONTROL!$C$9, $D$9, 100%, $F$9) + CHOOSE(CONTROL!$C$27, 0.0021, 0)</f>
        <v>90.150199999999998</v>
      </c>
      <c r="H893" s="14">
        <f>90.0134 * CHOOSE(CONTROL!$C$9, $D$9, 100%, $F$9) + CHOOSE(CONTROL!$C$27, 0.0021, 0)</f>
        <v>90.015500000000003</v>
      </c>
      <c r="I893" s="14">
        <f>90.0134 * CHOOSE(CONTROL!$C$9, $D$9, 100%, $F$9) + CHOOSE(CONTROL!$C$27, 0.0021, 0)</f>
        <v>90.015500000000003</v>
      </c>
      <c r="J893" s="14">
        <f>90.0134 * CHOOSE(CONTROL!$C$9, $D$9, 100%, $F$9) + CHOOSE(CONTROL!$C$27, 0.0021, 0)</f>
        <v>90.015500000000003</v>
      </c>
      <c r="K893" s="14">
        <f>90.0134 * CHOOSE(CONTROL!$C$9, $D$9, 100%, $F$9) + CHOOSE(CONTROL!$C$27, 0.0021, 0)</f>
        <v>90.015500000000003</v>
      </c>
      <c r="L893" s="14"/>
    </row>
    <row r="894" spans="1:12" ht="15.75" x14ac:dyDescent="0.25">
      <c r="A894" s="32">
        <v>68149</v>
      </c>
      <c r="B894" s="14">
        <f>92.2154 * CHOOSE(CONTROL!$C$9, $D$9, 100%, $F$9) + CHOOSE(CONTROL!$C$27, 0.0021, 0)</f>
        <v>92.217500000000001</v>
      </c>
      <c r="C894" s="14">
        <f>91.7832 * CHOOSE(CONTROL!$C$9, $D$9, 100%, $F$9) + CHOOSE(CONTROL!$C$27, 0.0021, 0)</f>
        <v>91.785299999999992</v>
      </c>
      <c r="D894" s="14">
        <f>91.7832 * CHOOSE(CONTROL!$C$9, $D$9, 100%, $F$9) + CHOOSE(CONTROL!$C$27, 0.0021, 0)</f>
        <v>91.785299999999992</v>
      </c>
      <c r="E894" s="14">
        <f>91.6465 * CHOOSE(CONTROL!$C$9, $D$9, 100%, $F$9) + CHOOSE(CONTROL!$C$27, 0.0021, 0)</f>
        <v>91.648600000000002</v>
      </c>
      <c r="F894" s="14">
        <f>91.6465 * CHOOSE(CONTROL!$C$9, $D$9, 100%, $F$9) + CHOOSE(CONTROL!$C$27, 0.0021, 0)</f>
        <v>91.648600000000002</v>
      </c>
      <c r="G894" s="14">
        <f>91.9179 * CHOOSE(CONTROL!$C$9, $D$9, 100%, $F$9) + CHOOSE(CONTROL!$C$27, 0.0021, 0)</f>
        <v>91.92</v>
      </c>
      <c r="H894" s="14">
        <f>91.7832 * CHOOSE(CONTROL!$C$9, $D$9, 100%, $F$9) + CHOOSE(CONTROL!$C$27, 0.0021, 0)</f>
        <v>91.785299999999992</v>
      </c>
      <c r="I894" s="14">
        <f>91.7832 * CHOOSE(CONTROL!$C$9, $D$9, 100%, $F$9) + CHOOSE(CONTROL!$C$27, 0.0021, 0)</f>
        <v>91.785299999999992</v>
      </c>
      <c r="J894" s="14">
        <f>91.7832 * CHOOSE(CONTROL!$C$9, $D$9, 100%, $F$9) + CHOOSE(CONTROL!$C$27, 0.0021, 0)</f>
        <v>91.785299999999992</v>
      </c>
      <c r="K894" s="14">
        <f>91.7832 * CHOOSE(CONTROL!$C$9, $D$9, 100%, $F$9) + CHOOSE(CONTROL!$C$27, 0.0021, 0)</f>
        <v>91.785299999999992</v>
      </c>
      <c r="L894" s="14"/>
    </row>
    <row r="895" spans="1:12" ht="15.75" x14ac:dyDescent="0.25">
      <c r="A895" s="32">
        <v>68180</v>
      </c>
      <c r="B895" s="14">
        <f>92.7556 * CHOOSE(CONTROL!$C$9, $D$9, 100%, $F$9) + CHOOSE(CONTROL!$C$27, 0.0021, 0)</f>
        <v>92.7577</v>
      </c>
      <c r="C895" s="14">
        <f>92.3233 * CHOOSE(CONTROL!$C$9, $D$9, 100%, $F$9) + CHOOSE(CONTROL!$C$27, 0.0021, 0)</f>
        <v>92.325400000000002</v>
      </c>
      <c r="D895" s="14">
        <f>92.3233 * CHOOSE(CONTROL!$C$9, $D$9, 100%, $F$9) + CHOOSE(CONTROL!$C$27, 0.0021, 0)</f>
        <v>92.325400000000002</v>
      </c>
      <c r="E895" s="14">
        <f>92.1867 * CHOOSE(CONTROL!$C$9, $D$9, 100%, $F$9) + CHOOSE(CONTROL!$C$27, 0.0021, 0)</f>
        <v>92.188800000000001</v>
      </c>
      <c r="F895" s="14">
        <f>92.1867 * CHOOSE(CONTROL!$C$9, $D$9, 100%, $F$9) + CHOOSE(CONTROL!$C$27, 0.0021, 0)</f>
        <v>92.188800000000001</v>
      </c>
      <c r="G895" s="14">
        <f>92.4581 * CHOOSE(CONTROL!$C$9, $D$9, 100%, $F$9) + CHOOSE(CONTROL!$C$27, 0.0021, 0)</f>
        <v>92.4602</v>
      </c>
      <c r="H895" s="14">
        <f>92.3233 * CHOOSE(CONTROL!$C$9, $D$9, 100%, $F$9) + CHOOSE(CONTROL!$C$27, 0.0021, 0)</f>
        <v>92.325400000000002</v>
      </c>
      <c r="I895" s="14">
        <f>92.3233 * CHOOSE(CONTROL!$C$9, $D$9, 100%, $F$9) + CHOOSE(CONTROL!$C$27, 0.0021, 0)</f>
        <v>92.325400000000002</v>
      </c>
      <c r="J895" s="14">
        <f>92.3233 * CHOOSE(CONTROL!$C$9, $D$9, 100%, $F$9) + CHOOSE(CONTROL!$C$27, 0.0021, 0)</f>
        <v>92.325400000000002</v>
      </c>
      <c r="K895" s="14">
        <f>92.3233 * CHOOSE(CONTROL!$C$9, $D$9, 100%, $F$9) + CHOOSE(CONTROL!$C$27, 0.0021, 0)</f>
        <v>92.325400000000002</v>
      </c>
      <c r="L895" s="14"/>
    </row>
    <row r="896" spans="1:12" ht="15.75" x14ac:dyDescent="0.25">
      <c r="A896" s="32">
        <v>68210</v>
      </c>
      <c r="B896" s="14">
        <f>94.5952 * CHOOSE(CONTROL!$C$9, $D$9, 100%, $F$9) + CHOOSE(CONTROL!$C$27, 0.0021, 0)</f>
        <v>94.597300000000004</v>
      </c>
      <c r="C896" s="14">
        <f>94.1629 * CHOOSE(CONTROL!$C$9, $D$9, 100%, $F$9) + CHOOSE(CONTROL!$C$27, 0.0021, 0)</f>
        <v>94.164999999999992</v>
      </c>
      <c r="D896" s="14">
        <f>94.1629 * CHOOSE(CONTROL!$C$9, $D$9, 100%, $F$9) + CHOOSE(CONTROL!$C$27, 0.0021, 0)</f>
        <v>94.164999999999992</v>
      </c>
      <c r="E896" s="14">
        <f>94.0262 * CHOOSE(CONTROL!$C$9, $D$9, 100%, $F$9) + CHOOSE(CONTROL!$C$27, 0.0021, 0)</f>
        <v>94.028300000000002</v>
      </c>
      <c r="F896" s="14">
        <f>94.0262 * CHOOSE(CONTROL!$C$9, $D$9, 100%, $F$9) + CHOOSE(CONTROL!$C$27, 0.0021, 0)</f>
        <v>94.028300000000002</v>
      </c>
      <c r="G896" s="14">
        <f>94.2976 * CHOOSE(CONTROL!$C$9, $D$9, 100%, $F$9) + CHOOSE(CONTROL!$C$27, 0.0021, 0)</f>
        <v>94.299700000000001</v>
      </c>
      <c r="H896" s="14">
        <f>94.1629 * CHOOSE(CONTROL!$C$9, $D$9, 100%, $F$9) + CHOOSE(CONTROL!$C$27, 0.0021, 0)</f>
        <v>94.164999999999992</v>
      </c>
      <c r="I896" s="14">
        <f>94.1629 * CHOOSE(CONTROL!$C$9, $D$9, 100%, $F$9) + CHOOSE(CONTROL!$C$27, 0.0021, 0)</f>
        <v>94.164999999999992</v>
      </c>
      <c r="J896" s="14">
        <f>94.1629 * CHOOSE(CONTROL!$C$9, $D$9, 100%, $F$9) + CHOOSE(CONTROL!$C$27, 0.0021, 0)</f>
        <v>94.164999999999992</v>
      </c>
      <c r="K896" s="14">
        <f>94.1629 * CHOOSE(CONTROL!$C$9, $D$9, 100%, $F$9) + CHOOSE(CONTROL!$C$27, 0.0021, 0)</f>
        <v>94.164999999999992</v>
      </c>
      <c r="L896" s="14"/>
    </row>
    <row r="897" spans="1:12" ht="15.75" x14ac:dyDescent="0.25">
      <c r="A897" s="32">
        <v>68241</v>
      </c>
      <c r="B897" s="14">
        <f>96.9237 * CHOOSE(CONTROL!$C$9, $D$9, 100%, $F$9) + CHOOSE(CONTROL!$C$27, 0.0021, 0)</f>
        <v>96.925799999999995</v>
      </c>
      <c r="C897" s="14">
        <f>96.4915 * CHOOSE(CONTROL!$C$9, $D$9, 100%, $F$9) + CHOOSE(CONTROL!$C$27, 0.0021, 0)</f>
        <v>96.493600000000001</v>
      </c>
      <c r="D897" s="14">
        <f>96.4915 * CHOOSE(CONTROL!$C$9, $D$9, 100%, $F$9) + CHOOSE(CONTROL!$C$27, 0.0021, 0)</f>
        <v>96.493600000000001</v>
      </c>
      <c r="E897" s="14">
        <f>96.3548 * CHOOSE(CONTROL!$C$9, $D$9, 100%, $F$9) + CHOOSE(CONTROL!$C$27, 0.0021, 0)</f>
        <v>96.356899999999996</v>
      </c>
      <c r="F897" s="14">
        <f>96.3548 * CHOOSE(CONTROL!$C$9, $D$9, 100%, $F$9) + CHOOSE(CONTROL!$C$27, 0.0021, 0)</f>
        <v>96.356899999999996</v>
      </c>
      <c r="G897" s="14">
        <f>96.6262 * CHOOSE(CONTROL!$C$9, $D$9, 100%, $F$9) + CHOOSE(CONTROL!$C$27, 0.0021, 0)</f>
        <v>96.628299999999996</v>
      </c>
      <c r="H897" s="14">
        <f>96.4915 * CHOOSE(CONTROL!$C$9, $D$9, 100%, $F$9) + CHOOSE(CONTROL!$C$27, 0.0021, 0)</f>
        <v>96.493600000000001</v>
      </c>
      <c r="I897" s="14">
        <f>96.4915 * CHOOSE(CONTROL!$C$9, $D$9, 100%, $F$9) + CHOOSE(CONTROL!$C$27, 0.0021, 0)</f>
        <v>96.493600000000001</v>
      </c>
      <c r="J897" s="14">
        <f>96.4915 * CHOOSE(CONTROL!$C$9, $D$9, 100%, $F$9) + CHOOSE(CONTROL!$C$27, 0.0021, 0)</f>
        <v>96.493600000000001</v>
      </c>
      <c r="K897" s="14">
        <f>96.4915 * CHOOSE(CONTROL!$C$9, $D$9, 100%, $F$9) + CHOOSE(CONTROL!$C$27, 0.0021, 0)</f>
        <v>96.493600000000001</v>
      </c>
      <c r="L897" s="14"/>
    </row>
    <row r="898" spans="1:12" ht="15.75" x14ac:dyDescent="0.25">
      <c r="A898" s="32">
        <v>68271</v>
      </c>
      <c r="B898" s="14">
        <f>97.1423 * CHOOSE(CONTROL!$C$9, $D$9, 100%, $F$9) + CHOOSE(CONTROL!$C$27, 0.0021, 0)</f>
        <v>97.144400000000005</v>
      </c>
      <c r="C898" s="14">
        <f>96.7101 * CHOOSE(CONTROL!$C$9, $D$9, 100%, $F$9) + CHOOSE(CONTROL!$C$27, 0.0021, 0)</f>
        <v>96.712199999999996</v>
      </c>
      <c r="D898" s="14">
        <f>96.7101 * CHOOSE(CONTROL!$C$9, $D$9, 100%, $F$9) + CHOOSE(CONTROL!$C$27, 0.0021, 0)</f>
        <v>96.712199999999996</v>
      </c>
      <c r="E898" s="14">
        <f>96.5734 * CHOOSE(CONTROL!$C$9, $D$9, 100%, $F$9) + CHOOSE(CONTROL!$C$27, 0.0021, 0)</f>
        <v>96.575500000000005</v>
      </c>
      <c r="F898" s="14">
        <f>96.5734 * CHOOSE(CONTROL!$C$9, $D$9, 100%, $F$9) + CHOOSE(CONTROL!$C$27, 0.0021, 0)</f>
        <v>96.575500000000005</v>
      </c>
      <c r="G898" s="14">
        <f>96.8448 * CHOOSE(CONTROL!$C$9, $D$9, 100%, $F$9) + CHOOSE(CONTROL!$C$27, 0.0021, 0)</f>
        <v>96.846900000000005</v>
      </c>
      <c r="H898" s="14">
        <f>96.7101 * CHOOSE(CONTROL!$C$9, $D$9, 100%, $F$9) + CHOOSE(CONTROL!$C$27, 0.0021, 0)</f>
        <v>96.712199999999996</v>
      </c>
      <c r="I898" s="14">
        <f>96.7101 * CHOOSE(CONTROL!$C$9, $D$9, 100%, $F$9) + CHOOSE(CONTROL!$C$27, 0.0021, 0)</f>
        <v>96.712199999999996</v>
      </c>
      <c r="J898" s="14">
        <f>96.7101 * CHOOSE(CONTROL!$C$9, $D$9, 100%, $F$9) + CHOOSE(CONTROL!$C$27, 0.0021, 0)</f>
        <v>96.712199999999996</v>
      </c>
      <c r="K898" s="14">
        <f>96.7101 * CHOOSE(CONTROL!$C$9, $D$9, 100%, $F$9) + CHOOSE(CONTROL!$C$27, 0.0021, 0)</f>
        <v>96.712199999999996</v>
      </c>
      <c r="L898" s="14"/>
    </row>
    <row r="899" spans="1:12" ht="15.75" x14ac:dyDescent="0.25">
      <c r="A899" s="32">
        <v>68302</v>
      </c>
      <c r="B899" s="14">
        <f>95.2825 * CHOOSE(CONTROL!$C$9, $D$9, 100%, $F$9) + CHOOSE(CONTROL!$C$27, 0.0021, 0)</f>
        <v>95.284599999999998</v>
      </c>
      <c r="C899" s="14">
        <f>94.8503 * CHOOSE(CONTROL!$C$9, $D$9, 100%, $F$9) + CHOOSE(CONTROL!$C$27, 0.0021, 0)</f>
        <v>94.852400000000003</v>
      </c>
      <c r="D899" s="14">
        <f>94.8503 * CHOOSE(CONTROL!$C$9, $D$9, 100%, $F$9) + CHOOSE(CONTROL!$C$27, 0.0021, 0)</f>
        <v>94.852400000000003</v>
      </c>
      <c r="E899" s="14">
        <f>94.7136 * CHOOSE(CONTROL!$C$9, $D$9, 100%, $F$9) + CHOOSE(CONTROL!$C$27, 0.0021, 0)</f>
        <v>94.715699999999998</v>
      </c>
      <c r="F899" s="14">
        <f>94.7136 * CHOOSE(CONTROL!$C$9, $D$9, 100%, $F$9) + CHOOSE(CONTROL!$C$27, 0.0021, 0)</f>
        <v>94.715699999999998</v>
      </c>
      <c r="G899" s="14">
        <f>94.985 * CHOOSE(CONTROL!$C$9, $D$9, 100%, $F$9) + CHOOSE(CONTROL!$C$27, 0.0021, 0)</f>
        <v>94.987099999999998</v>
      </c>
      <c r="H899" s="14">
        <f>94.8503 * CHOOSE(CONTROL!$C$9, $D$9, 100%, $F$9) + CHOOSE(CONTROL!$C$27, 0.0021, 0)</f>
        <v>94.852400000000003</v>
      </c>
      <c r="I899" s="14">
        <f>94.8503 * CHOOSE(CONTROL!$C$9, $D$9, 100%, $F$9) + CHOOSE(CONTROL!$C$27, 0.0021, 0)</f>
        <v>94.852400000000003</v>
      </c>
      <c r="J899" s="14">
        <f>94.8503 * CHOOSE(CONTROL!$C$9, $D$9, 100%, $F$9) + CHOOSE(CONTROL!$C$27, 0.0021, 0)</f>
        <v>94.852400000000003</v>
      </c>
      <c r="K899" s="14">
        <f>94.8503 * CHOOSE(CONTROL!$C$9, $D$9, 100%, $F$9) + CHOOSE(CONTROL!$C$27, 0.0021, 0)</f>
        <v>94.852400000000003</v>
      </c>
      <c r="L899" s="14"/>
    </row>
    <row r="900" spans="1:12" ht="15.75" x14ac:dyDescent="0.25">
      <c r="A900" s="32">
        <v>68333</v>
      </c>
      <c r="B900" s="14">
        <f>94.0642 * CHOOSE(CONTROL!$C$9, $D$9, 100%, $F$9) + CHOOSE(CONTROL!$C$27, 0.0021, 0)</f>
        <v>94.066299999999998</v>
      </c>
      <c r="C900" s="14">
        <f>93.6319 * CHOOSE(CONTROL!$C$9, $D$9, 100%, $F$9) + CHOOSE(CONTROL!$C$27, 0.0021, 0)</f>
        <v>93.634</v>
      </c>
      <c r="D900" s="14">
        <f>93.6319 * CHOOSE(CONTROL!$C$9, $D$9, 100%, $F$9) + CHOOSE(CONTROL!$C$27, 0.0021, 0)</f>
        <v>93.634</v>
      </c>
      <c r="E900" s="14">
        <f>93.4953 * CHOOSE(CONTROL!$C$9, $D$9, 100%, $F$9) + CHOOSE(CONTROL!$C$27, 0.0021, 0)</f>
        <v>93.497399999999999</v>
      </c>
      <c r="F900" s="14">
        <f>93.4953 * CHOOSE(CONTROL!$C$9, $D$9, 100%, $F$9) + CHOOSE(CONTROL!$C$27, 0.0021, 0)</f>
        <v>93.497399999999999</v>
      </c>
      <c r="G900" s="14">
        <f>93.7666 * CHOOSE(CONTROL!$C$9, $D$9, 100%, $F$9) + CHOOSE(CONTROL!$C$27, 0.0021, 0)</f>
        <v>93.768699999999995</v>
      </c>
      <c r="H900" s="14">
        <f>93.6319 * CHOOSE(CONTROL!$C$9, $D$9, 100%, $F$9) + CHOOSE(CONTROL!$C$27, 0.0021, 0)</f>
        <v>93.634</v>
      </c>
      <c r="I900" s="14">
        <f>93.6319 * CHOOSE(CONTROL!$C$9, $D$9, 100%, $F$9) + CHOOSE(CONTROL!$C$27, 0.0021, 0)</f>
        <v>93.634</v>
      </c>
      <c r="J900" s="14">
        <f>93.6319 * CHOOSE(CONTROL!$C$9, $D$9, 100%, $F$9) + CHOOSE(CONTROL!$C$27, 0.0021, 0)</f>
        <v>93.634</v>
      </c>
      <c r="K900" s="14">
        <f>93.6319 * CHOOSE(CONTROL!$C$9, $D$9, 100%, $F$9) + CHOOSE(CONTROL!$C$27, 0.0021, 0)</f>
        <v>93.634</v>
      </c>
      <c r="L900" s="14"/>
    </row>
    <row r="901" spans="1:12" ht="15.75" x14ac:dyDescent="0.25">
      <c r="A901" s="32">
        <v>68361</v>
      </c>
      <c r="B901" s="14">
        <f>91.4684 * CHOOSE(CONTROL!$C$9, $D$9, 100%, $F$9) + CHOOSE(CONTROL!$C$27, 0.0021, 0)</f>
        <v>91.470500000000001</v>
      </c>
      <c r="C901" s="14">
        <f>91.0361 * CHOOSE(CONTROL!$C$9, $D$9, 100%, $F$9) + CHOOSE(CONTROL!$C$27, 0.0021, 0)</f>
        <v>91.038200000000003</v>
      </c>
      <c r="D901" s="14">
        <f>91.0361 * CHOOSE(CONTROL!$C$9, $D$9, 100%, $F$9) + CHOOSE(CONTROL!$C$27, 0.0021, 0)</f>
        <v>91.038200000000003</v>
      </c>
      <c r="E901" s="14">
        <f>90.8995 * CHOOSE(CONTROL!$C$9, $D$9, 100%, $F$9) + CHOOSE(CONTROL!$C$27, 0.0021, 0)</f>
        <v>90.901600000000002</v>
      </c>
      <c r="F901" s="14">
        <f>90.8995 * CHOOSE(CONTROL!$C$9, $D$9, 100%, $F$9) + CHOOSE(CONTROL!$C$27, 0.0021, 0)</f>
        <v>90.901600000000002</v>
      </c>
      <c r="G901" s="14">
        <f>91.1708 * CHOOSE(CONTROL!$C$9, $D$9, 100%, $F$9) + CHOOSE(CONTROL!$C$27, 0.0021, 0)</f>
        <v>91.172899999999998</v>
      </c>
      <c r="H901" s="14">
        <f>91.0361 * CHOOSE(CONTROL!$C$9, $D$9, 100%, $F$9) + CHOOSE(CONTROL!$C$27, 0.0021, 0)</f>
        <v>91.038200000000003</v>
      </c>
      <c r="I901" s="14">
        <f>91.0361 * CHOOSE(CONTROL!$C$9, $D$9, 100%, $F$9) + CHOOSE(CONTROL!$C$27, 0.0021, 0)</f>
        <v>91.038200000000003</v>
      </c>
      <c r="J901" s="14">
        <f>91.0361 * CHOOSE(CONTROL!$C$9, $D$9, 100%, $F$9) + CHOOSE(CONTROL!$C$27, 0.0021, 0)</f>
        <v>91.038200000000003</v>
      </c>
      <c r="K901" s="14">
        <f>91.0361 * CHOOSE(CONTROL!$C$9, $D$9, 100%, $F$9) + CHOOSE(CONTROL!$C$27, 0.0021, 0)</f>
        <v>91.038200000000003</v>
      </c>
      <c r="L901" s="14"/>
    </row>
    <row r="902" spans="1:12" ht="15.75" x14ac:dyDescent="0.25">
      <c r="A902" s="32">
        <v>68392</v>
      </c>
      <c r="B902" s="14">
        <f>90.3968 * CHOOSE(CONTROL!$C$9, $D$9, 100%, $F$9) + CHOOSE(CONTROL!$C$27, 0.0021, 0)</f>
        <v>90.398899999999998</v>
      </c>
      <c r="C902" s="14">
        <f>89.9646 * CHOOSE(CONTROL!$C$9, $D$9, 100%, $F$9) + CHOOSE(CONTROL!$C$27, 0.0021, 0)</f>
        <v>89.966700000000003</v>
      </c>
      <c r="D902" s="14">
        <f>89.9646 * CHOOSE(CONTROL!$C$9, $D$9, 100%, $F$9) + CHOOSE(CONTROL!$C$27, 0.0021, 0)</f>
        <v>89.966700000000003</v>
      </c>
      <c r="E902" s="14">
        <f>89.8279 * CHOOSE(CONTROL!$C$9, $D$9, 100%, $F$9) + CHOOSE(CONTROL!$C$27, 0.0021, 0)</f>
        <v>89.83</v>
      </c>
      <c r="F902" s="14">
        <f>89.8279 * CHOOSE(CONTROL!$C$9, $D$9, 100%, $F$9) + CHOOSE(CONTROL!$C$27, 0.0021, 0)</f>
        <v>89.83</v>
      </c>
      <c r="G902" s="14">
        <f>90.0993 * CHOOSE(CONTROL!$C$9, $D$9, 100%, $F$9) + CHOOSE(CONTROL!$C$27, 0.0021, 0)</f>
        <v>90.101399999999998</v>
      </c>
      <c r="H902" s="14">
        <f>89.9646 * CHOOSE(CONTROL!$C$9, $D$9, 100%, $F$9) + CHOOSE(CONTROL!$C$27, 0.0021, 0)</f>
        <v>89.966700000000003</v>
      </c>
      <c r="I902" s="14">
        <f>89.9646 * CHOOSE(CONTROL!$C$9, $D$9, 100%, $F$9) + CHOOSE(CONTROL!$C$27, 0.0021, 0)</f>
        <v>89.966700000000003</v>
      </c>
      <c r="J902" s="14">
        <f>89.9646 * CHOOSE(CONTROL!$C$9, $D$9, 100%, $F$9) + CHOOSE(CONTROL!$C$27, 0.0021, 0)</f>
        <v>89.966700000000003</v>
      </c>
      <c r="K902" s="14">
        <f>89.9646 * CHOOSE(CONTROL!$C$9, $D$9, 100%, $F$9) + CHOOSE(CONTROL!$C$27, 0.0021, 0)</f>
        <v>89.966700000000003</v>
      </c>
      <c r="L902" s="14"/>
    </row>
    <row r="903" spans="1:12" ht="15.75" x14ac:dyDescent="0.25">
      <c r="A903" s="32">
        <v>68422</v>
      </c>
      <c r="B903" s="14">
        <f>89.1174 * CHOOSE(CONTROL!$C$9, $D$9, 100%, $F$9) + CHOOSE(CONTROL!$C$27, 0.0021, 0)</f>
        <v>89.119500000000002</v>
      </c>
      <c r="C903" s="14">
        <f>88.6851 * CHOOSE(CONTROL!$C$9, $D$9, 100%, $F$9) + CHOOSE(CONTROL!$C$27, 0.0021, 0)</f>
        <v>88.687200000000004</v>
      </c>
      <c r="D903" s="14">
        <f>88.6851 * CHOOSE(CONTROL!$C$9, $D$9, 100%, $F$9) + CHOOSE(CONTROL!$C$27, 0.0021, 0)</f>
        <v>88.687200000000004</v>
      </c>
      <c r="E903" s="14">
        <f>88.5485 * CHOOSE(CONTROL!$C$9, $D$9, 100%, $F$9) + CHOOSE(CONTROL!$C$27, 0.0021, 0)</f>
        <v>88.550600000000003</v>
      </c>
      <c r="F903" s="14">
        <f>88.5485 * CHOOSE(CONTROL!$C$9, $D$9, 100%, $F$9) + CHOOSE(CONTROL!$C$27, 0.0021, 0)</f>
        <v>88.550600000000003</v>
      </c>
      <c r="G903" s="14">
        <f>88.8198 * CHOOSE(CONTROL!$C$9, $D$9, 100%, $F$9) + CHOOSE(CONTROL!$C$27, 0.0021, 0)</f>
        <v>88.821899999999999</v>
      </c>
      <c r="H903" s="14">
        <f>88.6851 * CHOOSE(CONTROL!$C$9, $D$9, 100%, $F$9) + CHOOSE(CONTROL!$C$27, 0.0021, 0)</f>
        <v>88.687200000000004</v>
      </c>
      <c r="I903" s="14">
        <f>88.6851 * CHOOSE(CONTROL!$C$9, $D$9, 100%, $F$9) + CHOOSE(CONTROL!$C$27, 0.0021, 0)</f>
        <v>88.687200000000004</v>
      </c>
      <c r="J903" s="14">
        <f>88.6851 * CHOOSE(CONTROL!$C$9, $D$9, 100%, $F$9) + CHOOSE(CONTROL!$C$27, 0.0021, 0)</f>
        <v>88.687200000000004</v>
      </c>
      <c r="K903" s="14">
        <f>88.6851 * CHOOSE(CONTROL!$C$9, $D$9, 100%, $F$9) + CHOOSE(CONTROL!$C$27, 0.0021, 0)</f>
        <v>88.687200000000004</v>
      </c>
      <c r="L903" s="14"/>
    </row>
    <row r="904" spans="1:12" ht="15.75" x14ac:dyDescent="0.25">
      <c r="A904" s="32">
        <v>68453</v>
      </c>
      <c r="B904" s="14">
        <f>90.9407 * CHOOSE(CONTROL!$C$9, $D$9, 100%, $F$9) + CHOOSE(CONTROL!$C$27, 0.0021, 0)</f>
        <v>90.942800000000005</v>
      </c>
      <c r="C904" s="14">
        <f>90.5085 * CHOOSE(CONTROL!$C$9, $D$9, 100%, $F$9) + CHOOSE(CONTROL!$C$27, 0.0021, 0)</f>
        <v>90.510599999999997</v>
      </c>
      <c r="D904" s="14">
        <f>90.5085 * CHOOSE(CONTROL!$C$9, $D$9, 100%, $F$9) + CHOOSE(CONTROL!$C$27, 0.0021, 0)</f>
        <v>90.510599999999997</v>
      </c>
      <c r="E904" s="14">
        <f>90.3718 * CHOOSE(CONTROL!$C$9, $D$9, 100%, $F$9) + CHOOSE(CONTROL!$C$27, 0.0021, 0)</f>
        <v>90.373899999999992</v>
      </c>
      <c r="F904" s="14">
        <f>90.3718 * CHOOSE(CONTROL!$C$9, $D$9, 100%, $F$9) + CHOOSE(CONTROL!$C$27, 0.0021, 0)</f>
        <v>90.373899999999992</v>
      </c>
      <c r="G904" s="14">
        <f>90.6432 * CHOOSE(CONTROL!$C$9, $D$9, 100%, $F$9) + CHOOSE(CONTROL!$C$27, 0.0021, 0)</f>
        <v>90.645299999999992</v>
      </c>
      <c r="H904" s="14">
        <f>90.5085 * CHOOSE(CONTROL!$C$9, $D$9, 100%, $F$9) + CHOOSE(CONTROL!$C$27, 0.0021, 0)</f>
        <v>90.510599999999997</v>
      </c>
      <c r="I904" s="14">
        <f>90.5085 * CHOOSE(CONTROL!$C$9, $D$9, 100%, $F$9) + CHOOSE(CONTROL!$C$27, 0.0021, 0)</f>
        <v>90.510599999999997</v>
      </c>
      <c r="J904" s="14">
        <f>90.5085 * CHOOSE(CONTROL!$C$9, $D$9, 100%, $F$9) + CHOOSE(CONTROL!$C$27, 0.0021, 0)</f>
        <v>90.510599999999997</v>
      </c>
      <c r="K904" s="14">
        <f>90.5085 * CHOOSE(CONTROL!$C$9, $D$9, 100%, $F$9) + CHOOSE(CONTROL!$C$27, 0.0021, 0)</f>
        <v>90.510599999999997</v>
      </c>
      <c r="L904" s="14"/>
    </row>
    <row r="905" spans="1:12" ht="15.75" x14ac:dyDescent="0.25">
      <c r="A905" s="32">
        <v>68483</v>
      </c>
      <c r="B905" s="14">
        <f>92.0329 * CHOOSE(CONTROL!$C$9, $D$9, 100%, $F$9) + CHOOSE(CONTROL!$C$27, 0.0021, 0)</f>
        <v>92.034999999999997</v>
      </c>
      <c r="C905" s="14">
        <f>91.6006 * CHOOSE(CONTROL!$C$9, $D$9, 100%, $F$9) + CHOOSE(CONTROL!$C$27, 0.0021, 0)</f>
        <v>91.602699999999999</v>
      </c>
      <c r="D905" s="14">
        <f>91.6006 * CHOOSE(CONTROL!$C$9, $D$9, 100%, $F$9) + CHOOSE(CONTROL!$C$27, 0.0021, 0)</f>
        <v>91.602699999999999</v>
      </c>
      <c r="E905" s="14">
        <f>91.464 * CHOOSE(CONTROL!$C$9, $D$9, 100%, $F$9) + CHOOSE(CONTROL!$C$27, 0.0021, 0)</f>
        <v>91.466099999999997</v>
      </c>
      <c r="F905" s="14">
        <f>91.464 * CHOOSE(CONTROL!$C$9, $D$9, 100%, $F$9) + CHOOSE(CONTROL!$C$27, 0.0021, 0)</f>
        <v>91.466099999999997</v>
      </c>
      <c r="G905" s="14">
        <f>91.7353 * CHOOSE(CONTROL!$C$9, $D$9, 100%, $F$9) + CHOOSE(CONTROL!$C$27, 0.0021, 0)</f>
        <v>91.737399999999994</v>
      </c>
      <c r="H905" s="14">
        <f>91.6006 * CHOOSE(CONTROL!$C$9, $D$9, 100%, $F$9) + CHOOSE(CONTROL!$C$27, 0.0021, 0)</f>
        <v>91.602699999999999</v>
      </c>
      <c r="I905" s="14">
        <f>91.6006 * CHOOSE(CONTROL!$C$9, $D$9, 100%, $F$9) + CHOOSE(CONTROL!$C$27, 0.0021, 0)</f>
        <v>91.602699999999999</v>
      </c>
      <c r="J905" s="14">
        <f>91.6006 * CHOOSE(CONTROL!$C$9, $D$9, 100%, $F$9) + CHOOSE(CONTROL!$C$27, 0.0021, 0)</f>
        <v>91.602699999999999</v>
      </c>
      <c r="K905" s="14">
        <f>91.6006 * CHOOSE(CONTROL!$C$9, $D$9, 100%, $F$9) + CHOOSE(CONTROL!$C$27, 0.0021, 0)</f>
        <v>91.602699999999999</v>
      </c>
      <c r="L905" s="14"/>
    </row>
    <row r="906" spans="1:12" ht="15.75" x14ac:dyDescent="0.25">
      <c r="A906" s="32">
        <v>68514</v>
      </c>
      <c r="B906" s="14">
        <f>93.8345 * CHOOSE(CONTROL!$C$9, $D$9, 100%, $F$9) + CHOOSE(CONTROL!$C$27, 0.0021, 0)</f>
        <v>93.836600000000004</v>
      </c>
      <c r="C906" s="14">
        <f>93.4022 * CHOOSE(CONTROL!$C$9, $D$9, 100%, $F$9) + CHOOSE(CONTROL!$C$27, 0.0021, 0)</f>
        <v>93.404299999999992</v>
      </c>
      <c r="D906" s="14">
        <f>93.4022 * CHOOSE(CONTROL!$C$9, $D$9, 100%, $F$9) + CHOOSE(CONTROL!$C$27, 0.0021, 0)</f>
        <v>93.404299999999992</v>
      </c>
      <c r="E906" s="14">
        <f>93.2656 * CHOOSE(CONTROL!$C$9, $D$9, 100%, $F$9) + CHOOSE(CONTROL!$C$27, 0.0021, 0)</f>
        <v>93.267700000000005</v>
      </c>
      <c r="F906" s="14">
        <f>93.2656 * CHOOSE(CONTROL!$C$9, $D$9, 100%, $F$9) + CHOOSE(CONTROL!$C$27, 0.0021, 0)</f>
        <v>93.267700000000005</v>
      </c>
      <c r="G906" s="14">
        <f>93.5369 * CHOOSE(CONTROL!$C$9, $D$9, 100%, $F$9) + CHOOSE(CONTROL!$C$27, 0.0021, 0)</f>
        <v>93.539000000000001</v>
      </c>
      <c r="H906" s="14">
        <f>93.4022 * CHOOSE(CONTROL!$C$9, $D$9, 100%, $F$9) + CHOOSE(CONTROL!$C$27, 0.0021, 0)</f>
        <v>93.404299999999992</v>
      </c>
      <c r="I906" s="14">
        <f>93.4022 * CHOOSE(CONTROL!$C$9, $D$9, 100%, $F$9) + CHOOSE(CONTROL!$C$27, 0.0021, 0)</f>
        <v>93.404299999999992</v>
      </c>
      <c r="J906" s="14">
        <f>93.4022 * CHOOSE(CONTROL!$C$9, $D$9, 100%, $F$9) + CHOOSE(CONTROL!$C$27, 0.0021, 0)</f>
        <v>93.404299999999992</v>
      </c>
      <c r="K906" s="14">
        <f>93.4022 * CHOOSE(CONTROL!$C$9, $D$9, 100%, $F$9) + CHOOSE(CONTROL!$C$27, 0.0021, 0)</f>
        <v>93.404299999999992</v>
      </c>
      <c r="L906" s="14"/>
    </row>
    <row r="907" spans="1:12" ht="15.75" x14ac:dyDescent="0.25">
      <c r="A907" s="32">
        <v>68545</v>
      </c>
      <c r="B907" s="14">
        <f>94.3844 * CHOOSE(CONTROL!$C$9, $D$9, 100%, $F$9) + CHOOSE(CONTROL!$C$27, 0.0021, 0)</f>
        <v>94.386499999999998</v>
      </c>
      <c r="C907" s="14">
        <f>93.9521 * CHOOSE(CONTROL!$C$9, $D$9, 100%, $F$9) + CHOOSE(CONTROL!$C$27, 0.0021, 0)</f>
        <v>93.9542</v>
      </c>
      <c r="D907" s="14">
        <f>93.9521 * CHOOSE(CONTROL!$C$9, $D$9, 100%, $F$9) + CHOOSE(CONTROL!$C$27, 0.0021, 0)</f>
        <v>93.9542</v>
      </c>
      <c r="E907" s="14">
        <f>93.8155 * CHOOSE(CONTROL!$C$9, $D$9, 100%, $F$9) + CHOOSE(CONTROL!$C$27, 0.0021, 0)</f>
        <v>93.817599999999999</v>
      </c>
      <c r="F907" s="14">
        <f>93.8155 * CHOOSE(CONTROL!$C$9, $D$9, 100%, $F$9) + CHOOSE(CONTROL!$C$27, 0.0021, 0)</f>
        <v>93.817599999999999</v>
      </c>
      <c r="G907" s="14">
        <f>94.0868 * CHOOSE(CONTROL!$C$9, $D$9, 100%, $F$9) + CHOOSE(CONTROL!$C$27, 0.0021, 0)</f>
        <v>94.088899999999995</v>
      </c>
      <c r="H907" s="14">
        <f>93.9521 * CHOOSE(CONTROL!$C$9, $D$9, 100%, $F$9) + CHOOSE(CONTROL!$C$27, 0.0021, 0)</f>
        <v>93.9542</v>
      </c>
      <c r="I907" s="14">
        <f>93.9521 * CHOOSE(CONTROL!$C$9, $D$9, 100%, $F$9) + CHOOSE(CONTROL!$C$27, 0.0021, 0)</f>
        <v>93.9542</v>
      </c>
      <c r="J907" s="14">
        <f>93.9521 * CHOOSE(CONTROL!$C$9, $D$9, 100%, $F$9) + CHOOSE(CONTROL!$C$27, 0.0021, 0)</f>
        <v>93.9542</v>
      </c>
      <c r="K907" s="14">
        <f>93.9521 * CHOOSE(CONTROL!$C$9, $D$9, 100%, $F$9) + CHOOSE(CONTROL!$C$27, 0.0021, 0)</f>
        <v>93.9542</v>
      </c>
      <c r="L907" s="14"/>
    </row>
    <row r="908" spans="1:12" ht="15.75" x14ac:dyDescent="0.25">
      <c r="A908" s="32">
        <v>68575</v>
      </c>
      <c r="B908" s="14">
        <f>96.257 * CHOOSE(CONTROL!$C$9, $D$9, 100%, $F$9) + CHOOSE(CONTROL!$C$27, 0.0021, 0)</f>
        <v>96.259100000000004</v>
      </c>
      <c r="C908" s="14">
        <f>95.8248 * CHOOSE(CONTROL!$C$9, $D$9, 100%, $F$9) + CHOOSE(CONTROL!$C$27, 0.0021, 0)</f>
        <v>95.826899999999995</v>
      </c>
      <c r="D908" s="14">
        <f>95.8248 * CHOOSE(CONTROL!$C$9, $D$9, 100%, $F$9) + CHOOSE(CONTROL!$C$27, 0.0021, 0)</f>
        <v>95.826899999999995</v>
      </c>
      <c r="E908" s="14">
        <f>95.6881 * CHOOSE(CONTROL!$C$9, $D$9, 100%, $F$9) + CHOOSE(CONTROL!$C$27, 0.0021, 0)</f>
        <v>95.690200000000004</v>
      </c>
      <c r="F908" s="14">
        <f>95.6881 * CHOOSE(CONTROL!$C$9, $D$9, 100%, $F$9) + CHOOSE(CONTROL!$C$27, 0.0021, 0)</f>
        <v>95.690200000000004</v>
      </c>
      <c r="G908" s="14">
        <f>95.9595 * CHOOSE(CONTROL!$C$9, $D$9, 100%, $F$9) + CHOOSE(CONTROL!$C$27, 0.0021, 0)</f>
        <v>95.961600000000004</v>
      </c>
      <c r="H908" s="14">
        <f>95.8248 * CHOOSE(CONTROL!$C$9, $D$9, 100%, $F$9) + CHOOSE(CONTROL!$C$27, 0.0021, 0)</f>
        <v>95.826899999999995</v>
      </c>
      <c r="I908" s="14">
        <f>95.8248 * CHOOSE(CONTROL!$C$9, $D$9, 100%, $F$9) + CHOOSE(CONTROL!$C$27, 0.0021, 0)</f>
        <v>95.826899999999995</v>
      </c>
      <c r="J908" s="14">
        <f>95.8248 * CHOOSE(CONTROL!$C$9, $D$9, 100%, $F$9) + CHOOSE(CONTROL!$C$27, 0.0021, 0)</f>
        <v>95.826899999999995</v>
      </c>
      <c r="K908" s="14">
        <f>95.8248 * CHOOSE(CONTROL!$C$9, $D$9, 100%, $F$9) + CHOOSE(CONTROL!$C$27, 0.0021, 0)</f>
        <v>95.826899999999995</v>
      </c>
      <c r="L908" s="14"/>
    </row>
    <row r="909" spans="1:12" ht="15.75" x14ac:dyDescent="0.25">
      <c r="A909" s="32">
        <v>68606</v>
      </c>
      <c r="B909" s="14">
        <f>98.6275 * CHOOSE(CONTROL!$C$9, $D$9, 100%, $F$9) + CHOOSE(CONTROL!$C$27, 0.0021, 0)</f>
        <v>98.629599999999996</v>
      </c>
      <c r="C909" s="14">
        <f>98.1953 * CHOOSE(CONTROL!$C$9, $D$9, 100%, $F$9) + CHOOSE(CONTROL!$C$27, 0.0021, 0)</f>
        <v>98.197400000000002</v>
      </c>
      <c r="D909" s="14">
        <f>98.1953 * CHOOSE(CONTROL!$C$9, $D$9, 100%, $F$9) + CHOOSE(CONTROL!$C$27, 0.0021, 0)</f>
        <v>98.197400000000002</v>
      </c>
      <c r="E909" s="14">
        <f>98.0586 * CHOOSE(CONTROL!$C$9, $D$9, 100%, $F$9) + CHOOSE(CONTROL!$C$27, 0.0021, 0)</f>
        <v>98.060699999999997</v>
      </c>
      <c r="F909" s="14">
        <f>98.0586 * CHOOSE(CONTROL!$C$9, $D$9, 100%, $F$9) + CHOOSE(CONTROL!$C$27, 0.0021, 0)</f>
        <v>98.060699999999997</v>
      </c>
      <c r="G909" s="14">
        <f>98.33 * CHOOSE(CONTROL!$C$9, $D$9, 100%, $F$9) + CHOOSE(CONTROL!$C$27, 0.0021, 0)</f>
        <v>98.332099999999997</v>
      </c>
      <c r="H909" s="14">
        <f>98.1953 * CHOOSE(CONTROL!$C$9, $D$9, 100%, $F$9) + CHOOSE(CONTROL!$C$27, 0.0021, 0)</f>
        <v>98.197400000000002</v>
      </c>
      <c r="I909" s="14">
        <f>98.1953 * CHOOSE(CONTROL!$C$9, $D$9, 100%, $F$9) + CHOOSE(CONTROL!$C$27, 0.0021, 0)</f>
        <v>98.197400000000002</v>
      </c>
      <c r="J909" s="14">
        <f>98.1953 * CHOOSE(CONTROL!$C$9, $D$9, 100%, $F$9) + CHOOSE(CONTROL!$C$27, 0.0021, 0)</f>
        <v>98.197400000000002</v>
      </c>
      <c r="K909" s="14">
        <f>98.1953 * CHOOSE(CONTROL!$C$9, $D$9, 100%, $F$9) + CHOOSE(CONTROL!$C$27, 0.0021, 0)</f>
        <v>98.197400000000002</v>
      </c>
      <c r="L909" s="14"/>
    </row>
    <row r="910" spans="1:12" ht="15.75" x14ac:dyDescent="0.25">
      <c r="A910" s="32">
        <v>68636</v>
      </c>
      <c r="B910" s="14">
        <f>98.8501 * CHOOSE(CONTROL!$C$9, $D$9, 100%, $F$9) + CHOOSE(CONTROL!$C$27, 0.0021, 0)</f>
        <v>98.852199999999996</v>
      </c>
      <c r="C910" s="14">
        <f>98.4178 * CHOOSE(CONTROL!$C$9, $D$9, 100%, $F$9) + CHOOSE(CONTROL!$C$27, 0.0021, 0)</f>
        <v>98.419899999999998</v>
      </c>
      <c r="D910" s="14">
        <f>98.4178 * CHOOSE(CONTROL!$C$9, $D$9, 100%, $F$9) + CHOOSE(CONTROL!$C$27, 0.0021, 0)</f>
        <v>98.419899999999998</v>
      </c>
      <c r="E910" s="14">
        <f>98.2812 * CHOOSE(CONTROL!$C$9, $D$9, 100%, $F$9) + CHOOSE(CONTROL!$C$27, 0.0021, 0)</f>
        <v>98.283299999999997</v>
      </c>
      <c r="F910" s="14">
        <f>98.2812 * CHOOSE(CONTROL!$C$9, $D$9, 100%, $F$9) + CHOOSE(CONTROL!$C$27, 0.0021, 0)</f>
        <v>98.283299999999997</v>
      </c>
      <c r="G910" s="14">
        <f>98.5526 * CHOOSE(CONTROL!$C$9, $D$9, 100%, $F$9) + CHOOSE(CONTROL!$C$27, 0.0021, 0)</f>
        <v>98.554699999999997</v>
      </c>
      <c r="H910" s="14">
        <f>98.4178 * CHOOSE(CONTROL!$C$9, $D$9, 100%, $F$9) + CHOOSE(CONTROL!$C$27, 0.0021, 0)</f>
        <v>98.419899999999998</v>
      </c>
      <c r="I910" s="14">
        <f>98.4178 * CHOOSE(CONTROL!$C$9, $D$9, 100%, $F$9) + CHOOSE(CONTROL!$C$27, 0.0021, 0)</f>
        <v>98.419899999999998</v>
      </c>
      <c r="J910" s="14">
        <f>98.4178 * CHOOSE(CONTROL!$C$9, $D$9, 100%, $F$9) + CHOOSE(CONTROL!$C$27, 0.0021, 0)</f>
        <v>98.419899999999998</v>
      </c>
      <c r="K910" s="14">
        <f>98.4178 * CHOOSE(CONTROL!$C$9, $D$9, 100%, $F$9) + CHOOSE(CONTROL!$C$27, 0.0021, 0)</f>
        <v>98.419899999999998</v>
      </c>
      <c r="L910" s="14"/>
    </row>
    <row r="911" spans="1:12" ht="15.75" x14ac:dyDescent="0.25">
      <c r="A911" s="32">
        <v>68667</v>
      </c>
      <c r="B911" s="14">
        <f>96.9568 * CHOOSE(CONTROL!$C$9, $D$9, 100%, $F$9) + CHOOSE(CONTROL!$C$27, 0.0021, 0)</f>
        <v>96.9589</v>
      </c>
      <c r="C911" s="14">
        <f>96.5246 * CHOOSE(CONTROL!$C$9, $D$9, 100%, $F$9) + CHOOSE(CONTROL!$C$27, 0.0021, 0)</f>
        <v>96.526700000000005</v>
      </c>
      <c r="D911" s="14">
        <f>96.5246 * CHOOSE(CONTROL!$C$9, $D$9, 100%, $F$9) + CHOOSE(CONTROL!$C$27, 0.0021, 0)</f>
        <v>96.526700000000005</v>
      </c>
      <c r="E911" s="14">
        <f>96.3879 * CHOOSE(CONTROL!$C$9, $D$9, 100%, $F$9) + CHOOSE(CONTROL!$C$27, 0.0021, 0)</f>
        <v>96.39</v>
      </c>
      <c r="F911" s="14">
        <f>96.3879 * CHOOSE(CONTROL!$C$9, $D$9, 100%, $F$9) + CHOOSE(CONTROL!$C$27, 0.0021, 0)</f>
        <v>96.39</v>
      </c>
      <c r="G911" s="14">
        <f>96.6593 * CHOOSE(CONTROL!$C$9, $D$9, 100%, $F$9) + CHOOSE(CONTROL!$C$27, 0.0021, 0)</f>
        <v>96.6614</v>
      </c>
      <c r="H911" s="14">
        <f>96.5246 * CHOOSE(CONTROL!$C$9, $D$9, 100%, $F$9) + CHOOSE(CONTROL!$C$27, 0.0021, 0)</f>
        <v>96.526700000000005</v>
      </c>
      <c r="I911" s="14">
        <f>96.5246 * CHOOSE(CONTROL!$C$9, $D$9, 100%, $F$9) + CHOOSE(CONTROL!$C$27, 0.0021, 0)</f>
        <v>96.526700000000005</v>
      </c>
      <c r="J911" s="14">
        <f>96.5246 * CHOOSE(CONTROL!$C$9, $D$9, 100%, $F$9) + CHOOSE(CONTROL!$C$27, 0.0021, 0)</f>
        <v>96.526700000000005</v>
      </c>
      <c r="K911" s="14">
        <f>96.5246 * CHOOSE(CONTROL!$C$9, $D$9, 100%, $F$9) + CHOOSE(CONTROL!$C$27, 0.0021, 0)</f>
        <v>96.526700000000005</v>
      </c>
      <c r="L911" s="14"/>
    </row>
    <row r="912" spans="1:12" ht="15.75" x14ac:dyDescent="0.25">
      <c r="A912" s="32">
        <v>68698</v>
      </c>
      <c r="B912" s="14">
        <f>95.7165 * CHOOSE(CONTROL!$C$9, $D$9, 100%, $F$9) + CHOOSE(CONTROL!$C$27, 0.0021, 0)</f>
        <v>95.718599999999995</v>
      </c>
      <c r="C912" s="14">
        <f>95.2843 * CHOOSE(CONTROL!$C$9, $D$9, 100%, $F$9) + CHOOSE(CONTROL!$C$27, 0.0021, 0)</f>
        <v>95.2864</v>
      </c>
      <c r="D912" s="14">
        <f>95.2843 * CHOOSE(CONTROL!$C$9, $D$9, 100%, $F$9) + CHOOSE(CONTROL!$C$27, 0.0021, 0)</f>
        <v>95.2864</v>
      </c>
      <c r="E912" s="14">
        <f>95.1476 * CHOOSE(CONTROL!$C$9, $D$9, 100%, $F$9) + CHOOSE(CONTROL!$C$27, 0.0021, 0)</f>
        <v>95.149699999999996</v>
      </c>
      <c r="F912" s="14">
        <f>95.1476 * CHOOSE(CONTROL!$C$9, $D$9, 100%, $F$9) + CHOOSE(CONTROL!$C$27, 0.0021, 0)</f>
        <v>95.149699999999996</v>
      </c>
      <c r="G912" s="14">
        <f>95.419 * CHOOSE(CONTROL!$C$9, $D$9, 100%, $F$9) + CHOOSE(CONTROL!$C$27, 0.0021, 0)</f>
        <v>95.421099999999996</v>
      </c>
      <c r="H912" s="14">
        <f>95.2843 * CHOOSE(CONTROL!$C$9, $D$9, 100%, $F$9) + CHOOSE(CONTROL!$C$27, 0.0021, 0)</f>
        <v>95.2864</v>
      </c>
      <c r="I912" s="14">
        <f>95.2843 * CHOOSE(CONTROL!$C$9, $D$9, 100%, $F$9) + CHOOSE(CONTROL!$C$27, 0.0021, 0)</f>
        <v>95.2864</v>
      </c>
      <c r="J912" s="14">
        <f>95.2843 * CHOOSE(CONTROL!$C$9, $D$9, 100%, $F$9) + CHOOSE(CONTROL!$C$27, 0.0021, 0)</f>
        <v>95.2864</v>
      </c>
      <c r="K912" s="14">
        <f>95.2843 * CHOOSE(CONTROL!$C$9, $D$9, 100%, $F$9) + CHOOSE(CONTROL!$C$27, 0.0021, 0)</f>
        <v>95.2864</v>
      </c>
      <c r="L912" s="14"/>
    </row>
    <row r="913" spans="1:12" ht="15.75" x14ac:dyDescent="0.25">
      <c r="A913" s="32">
        <v>68727</v>
      </c>
      <c r="B913" s="14">
        <f>93.074 * CHOOSE(CONTROL!$C$9, $D$9, 100%, $F$9) + CHOOSE(CONTROL!$C$27, 0.0021, 0)</f>
        <v>93.076099999999997</v>
      </c>
      <c r="C913" s="14">
        <f>92.6417 * CHOOSE(CONTROL!$C$9, $D$9, 100%, $F$9) + CHOOSE(CONTROL!$C$27, 0.0021, 0)</f>
        <v>92.643799999999999</v>
      </c>
      <c r="D913" s="14">
        <f>92.6417 * CHOOSE(CONTROL!$C$9, $D$9, 100%, $F$9) + CHOOSE(CONTROL!$C$27, 0.0021, 0)</f>
        <v>92.643799999999999</v>
      </c>
      <c r="E913" s="14">
        <f>92.5051 * CHOOSE(CONTROL!$C$9, $D$9, 100%, $F$9) + CHOOSE(CONTROL!$C$27, 0.0021, 0)</f>
        <v>92.507199999999997</v>
      </c>
      <c r="F913" s="14">
        <f>92.5051 * CHOOSE(CONTROL!$C$9, $D$9, 100%, $F$9) + CHOOSE(CONTROL!$C$27, 0.0021, 0)</f>
        <v>92.507199999999997</v>
      </c>
      <c r="G913" s="14">
        <f>92.7764 * CHOOSE(CONTROL!$C$9, $D$9, 100%, $F$9) + CHOOSE(CONTROL!$C$27, 0.0021, 0)</f>
        <v>92.778499999999994</v>
      </c>
      <c r="H913" s="14">
        <f>92.6417 * CHOOSE(CONTROL!$C$9, $D$9, 100%, $F$9) + CHOOSE(CONTROL!$C$27, 0.0021, 0)</f>
        <v>92.643799999999999</v>
      </c>
      <c r="I913" s="14">
        <f>92.6417 * CHOOSE(CONTROL!$C$9, $D$9, 100%, $F$9) + CHOOSE(CONTROL!$C$27, 0.0021, 0)</f>
        <v>92.643799999999999</v>
      </c>
      <c r="J913" s="14">
        <f>92.6417 * CHOOSE(CONTROL!$C$9, $D$9, 100%, $F$9) + CHOOSE(CONTROL!$C$27, 0.0021, 0)</f>
        <v>92.643799999999999</v>
      </c>
      <c r="K913" s="14">
        <f>92.6417 * CHOOSE(CONTROL!$C$9, $D$9, 100%, $F$9) + CHOOSE(CONTROL!$C$27, 0.0021, 0)</f>
        <v>92.643799999999999</v>
      </c>
      <c r="L913" s="14"/>
    </row>
    <row r="914" spans="1:12" ht="15.75" x14ac:dyDescent="0.25">
      <c r="A914" s="32">
        <v>68758</v>
      </c>
      <c r="B914" s="14">
        <f>91.9831 * CHOOSE(CONTROL!$C$9, $D$9, 100%, $F$9) + CHOOSE(CONTROL!$C$27, 0.0021, 0)</f>
        <v>91.985199999999992</v>
      </c>
      <c r="C914" s="14">
        <f>91.5509 * CHOOSE(CONTROL!$C$9, $D$9, 100%, $F$9) + CHOOSE(CONTROL!$C$27, 0.0021, 0)</f>
        <v>91.552999999999997</v>
      </c>
      <c r="D914" s="14">
        <f>91.5509 * CHOOSE(CONTROL!$C$9, $D$9, 100%, $F$9) + CHOOSE(CONTROL!$C$27, 0.0021, 0)</f>
        <v>91.552999999999997</v>
      </c>
      <c r="E914" s="14">
        <f>91.4142 * CHOOSE(CONTROL!$C$9, $D$9, 100%, $F$9) + CHOOSE(CONTROL!$C$27, 0.0021, 0)</f>
        <v>91.416299999999993</v>
      </c>
      <c r="F914" s="14">
        <f>91.4142 * CHOOSE(CONTROL!$C$9, $D$9, 100%, $F$9) + CHOOSE(CONTROL!$C$27, 0.0021, 0)</f>
        <v>91.416299999999993</v>
      </c>
      <c r="G914" s="14">
        <f>91.6856 * CHOOSE(CONTROL!$C$9, $D$9, 100%, $F$9) + CHOOSE(CONTROL!$C$27, 0.0021, 0)</f>
        <v>91.687699999999992</v>
      </c>
      <c r="H914" s="14">
        <f>91.5509 * CHOOSE(CONTROL!$C$9, $D$9, 100%, $F$9) + CHOOSE(CONTROL!$C$27, 0.0021, 0)</f>
        <v>91.552999999999997</v>
      </c>
      <c r="I914" s="14">
        <f>91.5509 * CHOOSE(CONTROL!$C$9, $D$9, 100%, $F$9) + CHOOSE(CONTROL!$C$27, 0.0021, 0)</f>
        <v>91.552999999999997</v>
      </c>
      <c r="J914" s="14">
        <f>91.5509 * CHOOSE(CONTROL!$C$9, $D$9, 100%, $F$9) + CHOOSE(CONTROL!$C$27, 0.0021, 0)</f>
        <v>91.552999999999997</v>
      </c>
      <c r="K914" s="14">
        <f>91.5509 * CHOOSE(CONTROL!$C$9, $D$9, 100%, $F$9) + CHOOSE(CONTROL!$C$27, 0.0021, 0)</f>
        <v>91.552999999999997</v>
      </c>
      <c r="L914" s="14"/>
    </row>
    <row r="915" spans="1:12" ht="15.75" x14ac:dyDescent="0.25">
      <c r="A915" s="32">
        <v>68788</v>
      </c>
      <c r="B915" s="14">
        <f>90.6806 * CHOOSE(CONTROL!$C$9, $D$9, 100%, $F$9) + CHOOSE(CONTROL!$C$27, 0.0021, 0)</f>
        <v>90.682699999999997</v>
      </c>
      <c r="C915" s="14">
        <f>90.2484 * CHOOSE(CONTROL!$C$9, $D$9, 100%, $F$9) + CHOOSE(CONTROL!$C$27, 0.0021, 0)</f>
        <v>90.250500000000002</v>
      </c>
      <c r="D915" s="14">
        <f>90.2484 * CHOOSE(CONTROL!$C$9, $D$9, 100%, $F$9) + CHOOSE(CONTROL!$C$27, 0.0021, 0)</f>
        <v>90.250500000000002</v>
      </c>
      <c r="E915" s="14">
        <f>90.1117 * CHOOSE(CONTROL!$C$9, $D$9, 100%, $F$9) + CHOOSE(CONTROL!$C$27, 0.0021, 0)</f>
        <v>90.113799999999998</v>
      </c>
      <c r="F915" s="14">
        <f>90.1117 * CHOOSE(CONTROL!$C$9, $D$9, 100%, $F$9) + CHOOSE(CONTROL!$C$27, 0.0021, 0)</f>
        <v>90.113799999999998</v>
      </c>
      <c r="G915" s="14">
        <f>90.3831 * CHOOSE(CONTROL!$C$9, $D$9, 100%, $F$9) + CHOOSE(CONTROL!$C$27, 0.0021, 0)</f>
        <v>90.385199999999998</v>
      </c>
      <c r="H915" s="14">
        <f>90.2484 * CHOOSE(CONTROL!$C$9, $D$9, 100%, $F$9) + CHOOSE(CONTROL!$C$27, 0.0021, 0)</f>
        <v>90.250500000000002</v>
      </c>
      <c r="I915" s="14">
        <f>90.2484 * CHOOSE(CONTROL!$C$9, $D$9, 100%, $F$9) + CHOOSE(CONTROL!$C$27, 0.0021, 0)</f>
        <v>90.250500000000002</v>
      </c>
      <c r="J915" s="14">
        <f>90.2484 * CHOOSE(CONTROL!$C$9, $D$9, 100%, $F$9) + CHOOSE(CONTROL!$C$27, 0.0021, 0)</f>
        <v>90.250500000000002</v>
      </c>
      <c r="K915" s="14">
        <f>90.2484 * CHOOSE(CONTROL!$C$9, $D$9, 100%, $F$9) + CHOOSE(CONTROL!$C$27, 0.0021, 0)</f>
        <v>90.250500000000002</v>
      </c>
      <c r="L915" s="14"/>
    </row>
    <row r="916" spans="1:12" ht="15.75" x14ac:dyDescent="0.25">
      <c r="A916" s="32">
        <v>68819</v>
      </c>
      <c r="B916" s="14">
        <f>92.5368 * CHOOSE(CONTROL!$C$9, $D$9, 100%, $F$9) + CHOOSE(CONTROL!$C$27, 0.0021, 0)</f>
        <v>92.538899999999998</v>
      </c>
      <c r="C916" s="14">
        <f>92.1046 * CHOOSE(CONTROL!$C$9, $D$9, 100%, $F$9) + CHOOSE(CONTROL!$C$27, 0.0021, 0)</f>
        <v>92.106700000000004</v>
      </c>
      <c r="D916" s="14">
        <f>92.1046 * CHOOSE(CONTROL!$C$9, $D$9, 100%, $F$9) + CHOOSE(CONTROL!$C$27, 0.0021, 0)</f>
        <v>92.106700000000004</v>
      </c>
      <c r="E916" s="14">
        <f>91.9679 * CHOOSE(CONTROL!$C$9, $D$9, 100%, $F$9) + CHOOSE(CONTROL!$C$27, 0.0021, 0)</f>
        <v>91.97</v>
      </c>
      <c r="F916" s="14">
        <f>91.9679 * CHOOSE(CONTROL!$C$9, $D$9, 100%, $F$9) + CHOOSE(CONTROL!$C$27, 0.0021, 0)</f>
        <v>91.97</v>
      </c>
      <c r="G916" s="14">
        <f>92.2393 * CHOOSE(CONTROL!$C$9, $D$9, 100%, $F$9) + CHOOSE(CONTROL!$C$27, 0.0021, 0)</f>
        <v>92.241399999999999</v>
      </c>
      <c r="H916" s="14">
        <f>92.1046 * CHOOSE(CONTROL!$C$9, $D$9, 100%, $F$9) + CHOOSE(CONTROL!$C$27, 0.0021, 0)</f>
        <v>92.106700000000004</v>
      </c>
      <c r="I916" s="14">
        <f>92.1046 * CHOOSE(CONTROL!$C$9, $D$9, 100%, $F$9) + CHOOSE(CONTROL!$C$27, 0.0021, 0)</f>
        <v>92.106700000000004</v>
      </c>
      <c r="J916" s="14">
        <f>92.1046 * CHOOSE(CONTROL!$C$9, $D$9, 100%, $F$9) + CHOOSE(CONTROL!$C$27, 0.0021, 0)</f>
        <v>92.106700000000004</v>
      </c>
      <c r="K916" s="14">
        <f>92.1046 * CHOOSE(CONTROL!$C$9, $D$9, 100%, $F$9) + CHOOSE(CONTROL!$C$27, 0.0021, 0)</f>
        <v>92.106700000000004</v>
      </c>
      <c r="L916" s="14"/>
    </row>
    <row r="917" spans="1:12" ht="15.75" x14ac:dyDescent="0.25">
      <c r="A917" s="32">
        <v>68849</v>
      </c>
      <c r="B917" s="14">
        <f>93.6486 * CHOOSE(CONTROL!$C$9, $D$9, 100%, $F$9) + CHOOSE(CONTROL!$C$27, 0.0021, 0)</f>
        <v>93.650700000000001</v>
      </c>
      <c r="C917" s="14">
        <f>93.2164 * CHOOSE(CONTROL!$C$9, $D$9, 100%, $F$9) + CHOOSE(CONTROL!$C$27, 0.0021, 0)</f>
        <v>93.218499999999992</v>
      </c>
      <c r="D917" s="14">
        <f>93.2164 * CHOOSE(CONTROL!$C$9, $D$9, 100%, $F$9) + CHOOSE(CONTROL!$C$27, 0.0021, 0)</f>
        <v>93.218499999999992</v>
      </c>
      <c r="E917" s="14">
        <f>93.0797 * CHOOSE(CONTROL!$C$9, $D$9, 100%, $F$9) + CHOOSE(CONTROL!$C$27, 0.0021, 0)</f>
        <v>93.081800000000001</v>
      </c>
      <c r="F917" s="14">
        <f>93.0797 * CHOOSE(CONTROL!$C$9, $D$9, 100%, $F$9) + CHOOSE(CONTROL!$C$27, 0.0021, 0)</f>
        <v>93.081800000000001</v>
      </c>
      <c r="G917" s="14">
        <f>93.3511 * CHOOSE(CONTROL!$C$9, $D$9, 100%, $F$9) + CHOOSE(CONTROL!$C$27, 0.0021, 0)</f>
        <v>93.353200000000001</v>
      </c>
      <c r="H917" s="14">
        <f>93.2164 * CHOOSE(CONTROL!$C$9, $D$9, 100%, $F$9) + CHOOSE(CONTROL!$C$27, 0.0021, 0)</f>
        <v>93.218499999999992</v>
      </c>
      <c r="I917" s="14">
        <f>93.2164 * CHOOSE(CONTROL!$C$9, $D$9, 100%, $F$9) + CHOOSE(CONTROL!$C$27, 0.0021, 0)</f>
        <v>93.218499999999992</v>
      </c>
      <c r="J917" s="14">
        <f>93.2164 * CHOOSE(CONTROL!$C$9, $D$9, 100%, $F$9) + CHOOSE(CONTROL!$C$27, 0.0021, 0)</f>
        <v>93.218499999999992</v>
      </c>
      <c r="K917" s="14">
        <f>93.2164 * CHOOSE(CONTROL!$C$9, $D$9, 100%, $F$9) + CHOOSE(CONTROL!$C$27, 0.0021, 0)</f>
        <v>93.218499999999992</v>
      </c>
      <c r="L917" s="14"/>
    </row>
    <row r="918" spans="1:12" ht="15.75" x14ac:dyDescent="0.25">
      <c r="A918" s="32">
        <v>68880</v>
      </c>
      <c r="B918" s="14">
        <f>95.4827 * CHOOSE(CONTROL!$C$9, $D$9, 100%, $F$9) + CHOOSE(CONTROL!$C$27, 0.0021, 0)</f>
        <v>95.484799999999993</v>
      </c>
      <c r="C918" s="14">
        <f>95.0504 * CHOOSE(CONTROL!$C$9, $D$9, 100%, $F$9) + CHOOSE(CONTROL!$C$27, 0.0021, 0)</f>
        <v>95.052499999999995</v>
      </c>
      <c r="D918" s="14">
        <f>95.0504 * CHOOSE(CONTROL!$C$9, $D$9, 100%, $F$9) + CHOOSE(CONTROL!$C$27, 0.0021, 0)</f>
        <v>95.052499999999995</v>
      </c>
      <c r="E918" s="14">
        <f>94.9138 * CHOOSE(CONTROL!$C$9, $D$9, 100%, $F$9) + CHOOSE(CONTROL!$C$27, 0.0021, 0)</f>
        <v>94.915899999999993</v>
      </c>
      <c r="F918" s="14">
        <f>94.9138 * CHOOSE(CONTROL!$C$9, $D$9, 100%, $F$9) + CHOOSE(CONTROL!$C$27, 0.0021, 0)</f>
        <v>94.915899999999993</v>
      </c>
      <c r="G918" s="14">
        <f>95.1851 * CHOOSE(CONTROL!$C$9, $D$9, 100%, $F$9) + CHOOSE(CONTROL!$C$27, 0.0021, 0)</f>
        <v>95.187200000000004</v>
      </c>
      <c r="H918" s="14">
        <f>95.0504 * CHOOSE(CONTROL!$C$9, $D$9, 100%, $F$9) + CHOOSE(CONTROL!$C$27, 0.0021, 0)</f>
        <v>95.052499999999995</v>
      </c>
      <c r="I918" s="14">
        <f>95.0504 * CHOOSE(CONTROL!$C$9, $D$9, 100%, $F$9) + CHOOSE(CONTROL!$C$27, 0.0021, 0)</f>
        <v>95.052499999999995</v>
      </c>
      <c r="J918" s="14">
        <f>95.0504 * CHOOSE(CONTROL!$C$9, $D$9, 100%, $F$9) + CHOOSE(CONTROL!$C$27, 0.0021, 0)</f>
        <v>95.052499999999995</v>
      </c>
      <c r="K918" s="14">
        <f>95.0504 * CHOOSE(CONTROL!$C$9, $D$9, 100%, $F$9) + CHOOSE(CONTROL!$C$27, 0.0021, 0)</f>
        <v>95.052499999999995</v>
      </c>
      <c r="L918" s="14"/>
    </row>
    <row r="919" spans="1:12" ht="15.75" x14ac:dyDescent="0.25">
      <c r="A919" s="32">
        <v>68911</v>
      </c>
      <c r="B919" s="14">
        <f>96.0425 * CHOOSE(CONTROL!$C$9, $D$9, 100%, $F$9) + CHOOSE(CONTROL!$C$27, 0.0021, 0)</f>
        <v>96.044600000000003</v>
      </c>
      <c r="C919" s="14">
        <f>95.6102 * CHOOSE(CONTROL!$C$9, $D$9, 100%, $F$9) + CHOOSE(CONTROL!$C$27, 0.0021, 0)</f>
        <v>95.612300000000005</v>
      </c>
      <c r="D919" s="14">
        <f>95.6102 * CHOOSE(CONTROL!$C$9, $D$9, 100%, $F$9) + CHOOSE(CONTROL!$C$27, 0.0021, 0)</f>
        <v>95.612300000000005</v>
      </c>
      <c r="E919" s="14">
        <f>95.4736 * CHOOSE(CONTROL!$C$9, $D$9, 100%, $F$9) + CHOOSE(CONTROL!$C$27, 0.0021, 0)</f>
        <v>95.475700000000003</v>
      </c>
      <c r="F919" s="14">
        <f>95.4736 * CHOOSE(CONTROL!$C$9, $D$9, 100%, $F$9) + CHOOSE(CONTROL!$C$27, 0.0021, 0)</f>
        <v>95.475700000000003</v>
      </c>
      <c r="G919" s="14">
        <f>95.7449 * CHOOSE(CONTROL!$C$9, $D$9, 100%, $F$9) + CHOOSE(CONTROL!$C$27, 0.0021, 0)</f>
        <v>95.747</v>
      </c>
      <c r="H919" s="14">
        <f>95.6102 * CHOOSE(CONTROL!$C$9, $D$9, 100%, $F$9) + CHOOSE(CONTROL!$C$27, 0.0021, 0)</f>
        <v>95.612300000000005</v>
      </c>
      <c r="I919" s="14">
        <f>95.6102 * CHOOSE(CONTROL!$C$9, $D$9, 100%, $F$9) + CHOOSE(CONTROL!$C$27, 0.0021, 0)</f>
        <v>95.612300000000005</v>
      </c>
      <c r="J919" s="14">
        <f>95.6102 * CHOOSE(CONTROL!$C$9, $D$9, 100%, $F$9) + CHOOSE(CONTROL!$C$27, 0.0021, 0)</f>
        <v>95.612300000000005</v>
      </c>
      <c r="K919" s="14">
        <f>95.6102 * CHOOSE(CONTROL!$C$9, $D$9, 100%, $F$9) + CHOOSE(CONTROL!$C$27, 0.0021, 0)</f>
        <v>95.612300000000005</v>
      </c>
      <c r="L919" s="14"/>
    </row>
    <row r="920" spans="1:12" ht="15.75" x14ac:dyDescent="0.25">
      <c r="A920" s="32">
        <v>68941</v>
      </c>
      <c r="B920" s="14">
        <f>97.9489 * CHOOSE(CONTROL!$C$9, $D$9, 100%, $F$9) + CHOOSE(CONTROL!$C$27, 0.0021, 0)</f>
        <v>97.950999999999993</v>
      </c>
      <c r="C920" s="14">
        <f>97.5166 * CHOOSE(CONTROL!$C$9, $D$9, 100%, $F$9) + CHOOSE(CONTROL!$C$27, 0.0021, 0)</f>
        <v>97.518699999999995</v>
      </c>
      <c r="D920" s="14">
        <f>97.5166 * CHOOSE(CONTROL!$C$9, $D$9, 100%, $F$9) + CHOOSE(CONTROL!$C$27, 0.0021, 0)</f>
        <v>97.518699999999995</v>
      </c>
      <c r="E920" s="14">
        <f>97.38 * CHOOSE(CONTROL!$C$9, $D$9, 100%, $F$9) + CHOOSE(CONTROL!$C$27, 0.0021, 0)</f>
        <v>97.382099999999994</v>
      </c>
      <c r="F920" s="14">
        <f>97.38 * CHOOSE(CONTROL!$C$9, $D$9, 100%, $F$9) + CHOOSE(CONTROL!$C$27, 0.0021, 0)</f>
        <v>97.382099999999994</v>
      </c>
      <c r="G920" s="14">
        <f>97.6513 * CHOOSE(CONTROL!$C$9, $D$9, 100%, $F$9) + CHOOSE(CONTROL!$C$27, 0.0021, 0)</f>
        <v>97.653400000000005</v>
      </c>
      <c r="H920" s="14">
        <f>97.5166 * CHOOSE(CONTROL!$C$9, $D$9, 100%, $F$9) + CHOOSE(CONTROL!$C$27, 0.0021, 0)</f>
        <v>97.518699999999995</v>
      </c>
      <c r="I920" s="14">
        <f>97.5166 * CHOOSE(CONTROL!$C$9, $D$9, 100%, $F$9) + CHOOSE(CONTROL!$C$27, 0.0021, 0)</f>
        <v>97.518699999999995</v>
      </c>
      <c r="J920" s="14">
        <f>97.5166 * CHOOSE(CONTROL!$C$9, $D$9, 100%, $F$9) + CHOOSE(CONTROL!$C$27, 0.0021, 0)</f>
        <v>97.518699999999995</v>
      </c>
      <c r="K920" s="14">
        <f>97.5166 * CHOOSE(CONTROL!$C$9, $D$9, 100%, $F$9) + CHOOSE(CONTROL!$C$27, 0.0021, 0)</f>
        <v>97.518699999999995</v>
      </c>
      <c r="L920" s="14"/>
    </row>
    <row r="921" spans="1:12" ht="15.75" x14ac:dyDescent="0.25">
      <c r="A921" s="32">
        <v>68972</v>
      </c>
      <c r="B921" s="14">
        <f>100.362 * CHOOSE(CONTROL!$C$9, $D$9, 100%, $F$9) + CHOOSE(CONTROL!$C$27, 0.0021, 0)</f>
        <v>100.36409999999999</v>
      </c>
      <c r="C921" s="14">
        <f>99.9298 * CHOOSE(CONTROL!$C$9, $D$9, 100%, $F$9) + CHOOSE(CONTROL!$C$27, 0.0021, 0)</f>
        <v>99.931899999999999</v>
      </c>
      <c r="D921" s="14">
        <f>99.9298 * CHOOSE(CONTROL!$C$9, $D$9, 100%, $F$9) + CHOOSE(CONTROL!$C$27, 0.0021, 0)</f>
        <v>99.931899999999999</v>
      </c>
      <c r="E921" s="14">
        <f>99.7931 * CHOOSE(CONTROL!$C$9, $D$9, 100%, $F$9) + CHOOSE(CONTROL!$C$27, 0.0021, 0)</f>
        <v>99.795199999999994</v>
      </c>
      <c r="F921" s="14">
        <f>99.7931 * CHOOSE(CONTROL!$C$9, $D$9, 100%, $F$9) + CHOOSE(CONTROL!$C$27, 0.0021, 0)</f>
        <v>99.795199999999994</v>
      </c>
      <c r="G921" s="14">
        <f>100.0645 * CHOOSE(CONTROL!$C$9, $D$9, 100%, $F$9) + CHOOSE(CONTROL!$C$27, 0.0021, 0)</f>
        <v>100.06659999999999</v>
      </c>
      <c r="H921" s="14">
        <f>99.9298 * CHOOSE(CONTROL!$C$9, $D$9, 100%, $F$9) + CHOOSE(CONTROL!$C$27, 0.0021, 0)</f>
        <v>99.931899999999999</v>
      </c>
      <c r="I921" s="14">
        <f>99.9298 * CHOOSE(CONTROL!$C$9, $D$9, 100%, $F$9) + CHOOSE(CONTROL!$C$27, 0.0021, 0)</f>
        <v>99.931899999999999</v>
      </c>
      <c r="J921" s="14">
        <f>99.9298 * CHOOSE(CONTROL!$C$9, $D$9, 100%, $F$9) + CHOOSE(CONTROL!$C$27, 0.0021, 0)</f>
        <v>99.931899999999999</v>
      </c>
      <c r="K921" s="14">
        <f>99.9298 * CHOOSE(CONTROL!$C$9, $D$9, 100%, $F$9) + CHOOSE(CONTROL!$C$27, 0.0021, 0)</f>
        <v>99.931899999999999</v>
      </c>
      <c r="L921" s="14"/>
    </row>
    <row r="922" spans="1:12" ht="15.75" x14ac:dyDescent="0.25">
      <c r="A922" s="32">
        <v>69002</v>
      </c>
      <c r="B922" s="14">
        <f>100.5886 * CHOOSE(CONTROL!$C$9, $D$9, 100%, $F$9) + CHOOSE(CONTROL!$C$27, 0.0021, 0)</f>
        <v>100.5907</v>
      </c>
      <c r="C922" s="14">
        <f>100.1563 * CHOOSE(CONTROL!$C$9, $D$9, 100%, $F$9) + CHOOSE(CONTROL!$C$27, 0.0021, 0)</f>
        <v>100.1584</v>
      </c>
      <c r="D922" s="14">
        <f>100.1563 * CHOOSE(CONTROL!$C$9, $D$9, 100%, $F$9) + CHOOSE(CONTROL!$C$27, 0.0021, 0)</f>
        <v>100.1584</v>
      </c>
      <c r="E922" s="14">
        <f>100.0197 * CHOOSE(CONTROL!$C$9, $D$9, 100%, $F$9) + CHOOSE(CONTROL!$C$27, 0.0021, 0)</f>
        <v>100.0218</v>
      </c>
      <c r="F922" s="14">
        <f>100.0197 * CHOOSE(CONTROL!$C$9, $D$9, 100%, $F$9) + CHOOSE(CONTROL!$C$27, 0.0021, 0)</f>
        <v>100.0218</v>
      </c>
      <c r="G922" s="14">
        <f>100.2911 * CHOOSE(CONTROL!$C$9, $D$9, 100%, $F$9) + CHOOSE(CONTROL!$C$27, 0.0021, 0)</f>
        <v>100.2932</v>
      </c>
      <c r="H922" s="14">
        <f>100.1563 * CHOOSE(CONTROL!$C$9, $D$9, 100%, $F$9) + CHOOSE(CONTROL!$C$27, 0.0021, 0)</f>
        <v>100.1584</v>
      </c>
      <c r="I922" s="14">
        <f>100.1563 * CHOOSE(CONTROL!$C$9, $D$9, 100%, $F$9) + CHOOSE(CONTROL!$C$27, 0.0021, 0)</f>
        <v>100.1584</v>
      </c>
      <c r="J922" s="14">
        <f>100.1563 * CHOOSE(CONTROL!$C$9, $D$9, 100%, $F$9) + CHOOSE(CONTROL!$C$27, 0.0021, 0)</f>
        <v>100.1584</v>
      </c>
      <c r="K922" s="14">
        <f>100.1563 * CHOOSE(CONTROL!$C$9, $D$9, 100%, $F$9) + CHOOSE(CONTROL!$C$27, 0.0021, 0)</f>
        <v>100.1584</v>
      </c>
      <c r="L922" s="14"/>
    </row>
    <row r="923" spans="1:12" ht="15.75" x14ac:dyDescent="0.25">
      <c r="A923" s="32">
        <v>69033</v>
      </c>
      <c r="B923" s="14">
        <f>98.6612 * CHOOSE(CONTROL!$C$9, $D$9, 100%, $F$9) + CHOOSE(CONTROL!$C$27, 0.0021, 0)</f>
        <v>98.663299999999992</v>
      </c>
      <c r="C923" s="14">
        <f>98.229 * CHOOSE(CONTROL!$C$9, $D$9, 100%, $F$9) + CHOOSE(CONTROL!$C$27, 0.0021, 0)</f>
        <v>98.231099999999998</v>
      </c>
      <c r="D923" s="14">
        <f>98.229 * CHOOSE(CONTROL!$C$9, $D$9, 100%, $F$9) + CHOOSE(CONTROL!$C$27, 0.0021, 0)</f>
        <v>98.231099999999998</v>
      </c>
      <c r="E923" s="14">
        <f>98.0923 * CHOOSE(CONTROL!$C$9, $D$9, 100%, $F$9) + CHOOSE(CONTROL!$C$27, 0.0021, 0)</f>
        <v>98.094399999999993</v>
      </c>
      <c r="F923" s="14">
        <f>98.0923 * CHOOSE(CONTROL!$C$9, $D$9, 100%, $F$9) + CHOOSE(CONTROL!$C$27, 0.0021, 0)</f>
        <v>98.094399999999993</v>
      </c>
      <c r="G923" s="14">
        <f>98.3637 * CHOOSE(CONTROL!$C$9, $D$9, 100%, $F$9) + CHOOSE(CONTROL!$C$27, 0.0021, 0)</f>
        <v>98.365799999999993</v>
      </c>
      <c r="H923" s="14">
        <f>98.229 * CHOOSE(CONTROL!$C$9, $D$9, 100%, $F$9) + CHOOSE(CONTROL!$C$27, 0.0021, 0)</f>
        <v>98.231099999999998</v>
      </c>
      <c r="I923" s="14">
        <f>98.229 * CHOOSE(CONTROL!$C$9, $D$9, 100%, $F$9) + CHOOSE(CONTROL!$C$27, 0.0021, 0)</f>
        <v>98.231099999999998</v>
      </c>
      <c r="J923" s="14">
        <f>98.229 * CHOOSE(CONTROL!$C$9, $D$9, 100%, $F$9) + CHOOSE(CONTROL!$C$27, 0.0021, 0)</f>
        <v>98.231099999999998</v>
      </c>
      <c r="K923" s="14">
        <f>98.229 * CHOOSE(CONTROL!$C$9, $D$9, 100%, $F$9) + CHOOSE(CONTROL!$C$27, 0.0021, 0)</f>
        <v>98.231099999999998</v>
      </c>
      <c r="L923" s="14"/>
    </row>
    <row r="924" spans="1:12" ht="15.75" x14ac:dyDescent="0.25">
      <c r="A924" s="32">
        <v>69064</v>
      </c>
      <c r="B924" s="14">
        <f>97.3986 * CHOOSE(CONTROL!$C$9, $D$9, 100%, $F$9) + CHOOSE(CONTROL!$C$27, 0.0021, 0)</f>
        <v>97.400700000000001</v>
      </c>
      <c r="C924" s="14">
        <f>96.9663 * CHOOSE(CONTROL!$C$9, $D$9, 100%, $F$9) + CHOOSE(CONTROL!$C$27, 0.0021, 0)</f>
        <v>96.968400000000003</v>
      </c>
      <c r="D924" s="14">
        <f>96.9663 * CHOOSE(CONTROL!$C$9, $D$9, 100%, $F$9) + CHOOSE(CONTROL!$C$27, 0.0021, 0)</f>
        <v>96.968400000000003</v>
      </c>
      <c r="E924" s="14">
        <f>96.8297 * CHOOSE(CONTROL!$C$9, $D$9, 100%, $F$9) + CHOOSE(CONTROL!$C$27, 0.0021, 0)</f>
        <v>96.831800000000001</v>
      </c>
      <c r="F924" s="14">
        <f>96.8297 * CHOOSE(CONTROL!$C$9, $D$9, 100%, $F$9) + CHOOSE(CONTROL!$C$27, 0.0021, 0)</f>
        <v>96.831800000000001</v>
      </c>
      <c r="G924" s="14">
        <f>97.1011 * CHOOSE(CONTROL!$C$9, $D$9, 100%, $F$9) + CHOOSE(CONTROL!$C$27, 0.0021, 0)</f>
        <v>97.103200000000001</v>
      </c>
      <c r="H924" s="14">
        <f>96.9663 * CHOOSE(CONTROL!$C$9, $D$9, 100%, $F$9) + CHOOSE(CONTROL!$C$27, 0.0021, 0)</f>
        <v>96.968400000000003</v>
      </c>
      <c r="I924" s="14">
        <f>96.9663 * CHOOSE(CONTROL!$C$9, $D$9, 100%, $F$9) + CHOOSE(CONTROL!$C$27, 0.0021, 0)</f>
        <v>96.968400000000003</v>
      </c>
      <c r="J924" s="14">
        <f>96.9663 * CHOOSE(CONTROL!$C$9, $D$9, 100%, $F$9) + CHOOSE(CONTROL!$C$27, 0.0021, 0)</f>
        <v>96.968400000000003</v>
      </c>
      <c r="K924" s="14">
        <f>96.9663 * CHOOSE(CONTROL!$C$9, $D$9, 100%, $F$9) + CHOOSE(CONTROL!$C$27, 0.0021, 0)</f>
        <v>96.968400000000003</v>
      </c>
      <c r="L924" s="14"/>
    </row>
    <row r="925" spans="1:12" ht="15.75" x14ac:dyDescent="0.25">
      <c r="A925" s="32">
        <v>69092</v>
      </c>
      <c r="B925" s="14">
        <f>94.7085 * CHOOSE(CONTROL!$C$9, $D$9, 100%, $F$9) + CHOOSE(CONTROL!$C$27, 0.0021, 0)</f>
        <v>94.710599999999999</v>
      </c>
      <c r="C925" s="14">
        <f>94.2762 * CHOOSE(CONTROL!$C$9, $D$9, 100%, $F$9) + CHOOSE(CONTROL!$C$27, 0.0021, 0)</f>
        <v>94.278300000000002</v>
      </c>
      <c r="D925" s="14">
        <f>94.2762 * CHOOSE(CONTROL!$C$9, $D$9, 100%, $F$9) + CHOOSE(CONTROL!$C$27, 0.0021, 0)</f>
        <v>94.278300000000002</v>
      </c>
      <c r="E925" s="14">
        <f>94.1396 * CHOOSE(CONTROL!$C$9, $D$9, 100%, $F$9) + CHOOSE(CONTROL!$C$27, 0.0021, 0)</f>
        <v>94.1417</v>
      </c>
      <c r="F925" s="14">
        <f>94.1396 * CHOOSE(CONTROL!$C$9, $D$9, 100%, $F$9) + CHOOSE(CONTROL!$C$27, 0.0021, 0)</f>
        <v>94.1417</v>
      </c>
      <c r="G925" s="14">
        <f>94.4109 * CHOOSE(CONTROL!$C$9, $D$9, 100%, $F$9) + CHOOSE(CONTROL!$C$27, 0.0021, 0)</f>
        <v>94.412999999999997</v>
      </c>
      <c r="H925" s="14">
        <f>94.2762 * CHOOSE(CONTROL!$C$9, $D$9, 100%, $F$9) + CHOOSE(CONTROL!$C$27, 0.0021, 0)</f>
        <v>94.278300000000002</v>
      </c>
      <c r="I925" s="14">
        <f>94.2762 * CHOOSE(CONTROL!$C$9, $D$9, 100%, $F$9) + CHOOSE(CONTROL!$C$27, 0.0021, 0)</f>
        <v>94.278300000000002</v>
      </c>
      <c r="J925" s="14">
        <f>94.2762 * CHOOSE(CONTROL!$C$9, $D$9, 100%, $F$9) + CHOOSE(CONTROL!$C$27, 0.0021, 0)</f>
        <v>94.278300000000002</v>
      </c>
      <c r="K925" s="14">
        <f>94.2762 * CHOOSE(CONTROL!$C$9, $D$9, 100%, $F$9) + CHOOSE(CONTROL!$C$27, 0.0021, 0)</f>
        <v>94.278300000000002</v>
      </c>
      <c r="L925" s="14"/>
    </row>
    <row r="926" spans="1:12" ht="15.75" x14ac:dyDescent="0.25">
      <c r="A926" s="32">
        <v>69123</v>
      </c>
      <c r="B926" s="14">
        <f>93.598 * CHOOSE(CONTROL!$C$9, $D$9, 100%, $F$9) + CHOOSE(CONTROL!$C$27, 0.0021, 0)</f>
        <v>93.600099999999998</v>
      </c>
      <c r="C926" s="14">
        <f>93.1657 * CHOOSE(CONTROL!$C$9, $D$9, 100%, $F$9) + CHOOSE(CONTROL!$C$27, 0.0021, 0)</f>
        <v>93.1678</v>
      </c>
      <c r="D926" s="14">
        <f>93.1657 * CHOOSE(CONTROL!$C$9, $D$9, 100%, $F$9) + CHOOSE(CONTROL!$C$27, 0.0021, 0)</f>
        <v>93.1678</v>
      </c>
      <c r="E926" s="14">
        <f>93.0291 * CHOOSE(CONTROL!$C$9, $D$9, 100%, $F$9) + CHOOSE(CONTROL!$C$27, 0.0021, 0)</f>
        <v>93.031199999999998</v>
      </c>
      <c r="F926" s="14">
        <f>93.0291 * CHOOSE(CONTROL!$C$9, $D$9, 100%, $F$9) + CHOOSE(CONTROL!$C$27, 0.0021, 0)</f>
        <v>93.031199999999998</v>
      </c>
      <c r="G926" s="14">
        <f>93.3005 * CHOOSE(CONTROL!$C$9, $D$9, 100%, $F$9) + CHOOSE(CONTROL!$C$27, 0.0021, 0)</f>
        <v>93.302599999999998</v>
      </c>
      <c r="H926" s="14">
        <f>93.1657 * CHOOSE(CONTROL!$C$9, $D$9, 100%, $F$9) + CHOOSE(CONTROL!$C$27, 0.0021, 0)</f>
        <v>93.1678</v>
      </c>
      <c r="I926" s="14">
        <f>93.1657 * CHOOSE(CONTROL!$C$9, $D$9, 100%, $F$9) + CHOOSE(CONTROL!$C$27, 0.0021, 0)</f>
        <v>93.1678</v>
      </c>
      <c r="J926" s="14">
        <f>93.1657 * CHOOSE(CONTROL!$C$9, $D$9, 100%, $F$9) + CHOOSE(CONTROL!$C$27, 0.0021, 0)</f>
        <v>93.1678</v>
      </c>
      <c r="K926" s="14">
        <f>93.1657 * CHOOSE(CONTROL!$C$9, $D$9, 100%, $F$9) + CHOOSE(CONTROL!$C$27, 0.0021, 0)</f>
        <v>93.1678</v>
      </c>
      <c r="L926" s="14"/>
    </row>
    <row r="927" spans="1:12" ht="15.75" x14ac:dyDescent="0.25">
      <c r="A927" s="32">
        <v>69153</v>
      </c>
      <c r="B927" s="14">
        <f>92.2721 * CHOOSE(CONTROL!$C$9, $D$9, 100%, $F$9) + CHOOSE(CONTROL!$C$27, 0.0021, 0)</f>
        <v>92.274199999999993</v>
      </c>
      <c r="C927" s="14">
        <f>91.8398 * CHOOSE(CONTROL!$C$9, $D$9, 100%, $F$9) + CHOOSE(CONTROL!$C$27, 0.0021, 0)</f>
        <v>91.841899999999995</v>
      </c>
      <c r="D927" s="14">
        <f>91.8398 * CHOOSE(CONTROL!$C$9, $D$9, 100%, $F$9) + CHOOSE(CONTROL!$C$27, 0.0021, 0)</f>
        <v>91.841899999999995</v>
      </c>
      <c r="E927" s="14">
        <f>91.7032 * CHOOSE(CONTROL!$C$9, $D$9, 100%, $F$9) + CHOOSE(CONTROL!$C$27, 0.0021, 0)</f>
        <v>91.705299999999994</v>
      </c>
      <c r="F927" s="14">
        <f>91.7032 * CHOOSE(CONTROL!$C$9, $D$9, 100%, $F$9) + CHOOSE(CONTROL!$C$27, 0.0021, 0)</f>
        <v>91.705299999999994</v>
      </c>
      <c r="G927" s="14">
        <f>91.9745 * CHOOSE(CONTROL!$C$9, $D$9, 100%, $F$9) + CHOOSE(CONTROL!$C$27, 0.0021, 0)</f>
        <v>91.976600000000005</v>
      </c>
      <c r="H927" s="14">
        <f>91.8398 * CHOOSE(CONTROL!$C$9, $D$9, 100%, $F$9) + CHOOSE(CONTROL!$C$27, 0.0021, 0)</f>
        <v>91.841899999999995</v>
      </c>
      <c r="I927" s="14">
        <f>91.8398 * CHOOSE(CONTROL!$C$9, $D$9, 100%, $F$9) + CHOOSE(CONTROL!$C$27, 0.0021, 0)</f>
        <v>91.841899999999995</v>
      </c>
      <c r="J927" s="14">
        <f>91.8398 * CHOOSE(CONTROL!$C$9, $D$9, 100%, $F$9) + CHOOSE(CONTROL!$C$27, 0.0021, 0)</f>
        <v>91.841899999999995</v>
      </c>
      <c r="K927" s="14">
        <f>91.8398 * CHOOSE(CONTROL!$C$9, $D$9, 100%, $F$9) + CHOOSE(CONTROL!$C$27, 0.0021, 0)</f>
        <v>91.841899999999995</v>
      </c>
      <c r="L927" s="14"/>
    </row>
    <row r="928" spans="1:12" ht="15.75" x14ac:dyDescent="0.25">
      <c r="A928" s="32">
        <v>69184</v>
      </c>
      <c r="B928" s="14">
        <f>94.1617 * CHOOSE(CONTROL!$C$9, $D$9, 100%, $F$9) + CHOOSE(CONTROL!$C$27, 0.0021, 0)</f>
        <v>94.163799999999995</v>
      </c>
      <c r="C928" s="14">
        <f>93.7294 * CHOOSE(CONTROL!$C$9, $D$9, 100%, $F$9) + CHOOSE(CONTROL!$C$27, 0.0021, 0)</f>
        <v>93.731499999999997</v>
      </c>
      <c r="D928" s="14">
        <f>93.7294 * CHOOSE(CONTROL!$C$9, $D$9, 100%, $F$9) + CHOOSE(CONTROL!$C$27, 0.0021, 0)</f>
        <v>93.731499999999997</v>
      </c>
      <c r="E928" s="14">
        <f>93.5928 * CHOOSE(CONTROL!$C$9, $D$9, 100%, $F$9) + CHOOSE(CONTROL!$C$27, 0.0021, 0)</f>
        <v>93.594899999999996</v>
      </c>
      <c r="F928" s="14">
        <f>93.5928 * CHOOSE(CONTROL!$C$9, $D$9, 100%, $F$9) + CHOOSE(CONTROL!$C$27, 0.0021, 0)</f>
        <v>93.594899999999996</v>
      </c>
      <c r="G928" s="14">
        <f>93.8641 * CHOOSE(CONTROL!$C$9, $D$9, 100%, $F$9) + CHOOSE(CONTROL!$C$27, 0.0021, 0)</f>
        <v>93.866199999999992</v>
      </c>
      <c r="H928" s="14">
        <f>93.7294 * CHOOSE(CONTROL!$C$9, $D$9, 100%, $F$9) + CHOOSE(CONTROL!$C$27, 0.0021, 0)</f>
        <v>93.731499999999997</v>
      </c>
      <c r="I928" s="14">
        <f>93.7294 * CHOOSE(CONTROL!$C$9, $D$9, 100%, $F$9) + CHOOSE(CONTROL!$C$27, 0.0021, 0)</f>
        <v>93.731499999999997</v>
      </c>
      <c r="J928" s="14">
        <f>93.7294 * CHOOSE(CONTROL!$C$9, $D$9, 100%, $F$9) + CHOOSE(CONTROL!$C$27, 0.0021, 0)</f>
        <v>93.731499999999997</v>
      </c>
      <c r="K928" s="14">
        <f>93.7294 * CHOOSE(CONTROL!$C$9, $D$9, 100%, $F$9) + CHOOSE(CONTROL!$C$27, 0.0021, 0)</f>
        <v>93.731499999999997</v>
      </c>
      <c r="L928" s="14"/>
    </row>
    <row r="929" spans="1:12" ht="15.75" x14ac:dyDescent="0.25">
      <c r="A929" s="32">
        <v>69214</v>
      </c>
      <c r="B929" s="14">
        <f>95.2935 * CHOOSE(CONTROL!$C$9, $D$9, 100%, $F$9) + CHOOSE(CONTROL!$C$27, 0.0021, 0)</f>
        <v>95.295599999999993</v>
      </c>
      <c r="C929" s="14">
        <f>94.8612 * CHOOSE(CONTROL!$C$9, $D$9, 100%, $F$9) + CHOOSE(CONTROL!$C$27, 0.0021, 0)</f>
        <v>94.863299999999995</v>
      </c>
      <c r="D929" s="14">
        <f>94.8612 * CHOOSE(CONTROL!$C$9, $D$9, 100%, $F$9) + CHOOSE(CONTROL!$C$27, 0.0021, 0)</f>
        <v>94.863299999999995</v>
      </c>
      <c r="E929" s="14">
        <f>94.7246 * CHOOSE(CONTROL!$C$9, $D$9, 100%, $F$9) + CHOOSE(CONTROL!$C$27, 0.0021, 0)</f>
        <v>94.726699999999994</v>
      </c>
      <c r="F929" s="14">
        <f>94.7246 * CHOOSE(CONTROL!$C$9, $D$9, 100%, $F$9) + CHOOSE(CONTROL!$C$27, 0.0021, 0)</f>
        <v>94.726699999999994</v>
      </c>
      <c r="G929" s="14">
        <f>94.9959 * CHOOSE(CONTROL!$C$9, $D$9, 100%, $F$9) + CHOOSE(CONTROL!$C$27, 0.0021, 0)</f>
        <v>94.998000000000005</v>
      </c>
      <c r="H929" s="14">
        <f>94.8612 * CHOOSE(CONTROL!$C$9, $D$9, 100%, $F$9) + CHOOSE(CONTROL!$C$27, 0.0021, 0)</f>
        <v>94.863299999999995</v>
      </c>
      <c r="I929" s="14">
        <f>94.8612 * CHOOSE(CONTROL!$C$9, $D$9, 100%, $F$9) + CHOOSE(CONTROL!$C$27, 0.0021, 0)</f>
        <v>94.863299999999995</v>
      </c>
      <c r="J929" s="14">
        <f>94.8612 * CHOOSE(CONTROL!$C$9, $D$9, 100%, $F$9) + CHOOSE(CONTROL!$C$27, 0.0021, 0)</f>
        <v>94.863299999999995</v>
      </c>
      <c r="K929" s="14">
        <f>94.8612 * CHOOSE(CONTROL!$C$9, $D$9, 100%, $F$9) + CHOOSE(CONTROL!$C$27, 0.0021, 0)</f>
        <v>94.863299999999995</v>
      </c>
      <c r="L929" s="14"/>
    </row>
    <row r="930" spans="1:12" ht="15.75" x14ac:dyDescent="0.25">
      <c r="A930" s="32">
        <v>69245</v>
      </c>
      <c r="B930" s="14">
        <f>97.1605 * CHOOSE(CONTROL!$C$9, $D$9, 100%, $F$9) + CHOOSE(CONTROL!$C$27, 0.0021, 0)</f>
        <v>97.162599999999998</v>
      </c>
      <c r="C930" s="14">
        <f>96.7283 * CHOOSE(CONTROL!$C$9, $D$9, 100%, $F$9) + CHOOSE(CONTROL!$C$27, 0.0021, 0)</f>
        <v>96.730400000000003</v>
      </c>
      <c r="D930" s="14">
        <f>96.7283 * CHOOSE(CONTROL!$C$9, $D$9, 100%, $F$9) + CHOOSE(CONTROL!$C$27, 0.0021, 0)</f>
        <v>96.730400000000003</v>
      </c>
      <c r="E930" s="14">
        <f>96.5916 * CHOOSE(CONTROL!$C$9, $D$9, 100%, $F$9) + CHOOSE(CONTROL!$C$27, 0.0021, 0)</f>
        <v>96.593699999999998</v>
      </c>
      <c r="F930" s="14">
        <f>96.5916 * CHOOSE(CONTROL!$C$9, $D$9, 100%, $F$9) + CHOOSE(CONTROL!$C$27, 0.0021, 0)</f>
        <v>96.593699999999998</v>
      </c>
      <c r="G930" s="14">
        <f>96.863 * CHOOSE(CONTROL!$C$9, $D$9, 100%, $F$9) + CHOOSE(CONTROL!$C$27, 0.0021, 0)</f>
        <v>96.865099999999998</v>
      </c>
      <c r="H930" s="14">
        <f>96.7283 * CHOOSE(CONTROL!$C$9, $D$9, 100%, $F$9) + CHOOSE(CONTROL!$C$27, 0.0021, 0)</f>
        <v>96.730400000000003</v>
      </c>
      <c r="I930" s="14">
        <f>96.7283 * CHOOSE(CONTROL!$C$9, $D$9, 100%, $F$9) + CHOOSE(CONTROL!$C$27, 0.0021, 0)</f>
        <v>96.730400000000003</v>
      </c>
      <c r="J930" s="14">
        <f>96.7283 * CHOOSE(CONTROL!$C$9, $D$9, 100%, $F$9) + CHOOSE(CONTROL!$C$27, 0.0021, 0)</f>
        <v>96.730400000000003</v>
      </c>
      <c r="K930" s="14">
        <f>96.7283 * CHOOSE(CONTROL!$C$9, $D$9, 100%, $F$9) + CHOOSE(CONTROL!$C$27, 0.0021, 0)</f>
        <v>96.730400000000003</v>
      </c>
      <c r="L930" s="14"/>
    </row>
    <row r="931" spans="1:12" ht="15.75" x14ac:dyDescent="0.25">
      <c r="A931" s="32">
        <v>69276</v>
      </c>
      <c r="B931" s="14">
        <f>97.7304 * CHOOSE(CONTROL!$C$9, $D$9, 100%, $F$9) + CHOOSE(CONTROL!$C$27, 0.0021, 0)</f>
        <v>97.732500000000002</v>
      </c>
      <c r="C931" s="14">
        <f>97.2982 * CHOOSE(CONTROL!$C$9, $D$9, 100%, $F$9) + CHOOSE(CONTROL!$C$27, 0.0021, 0)</f>
        <v>97.300299999999993</v>
      </c>
      <c r="D931" s="14">
        <f>97.2982 * CHOOSE(CONTROL!$C$9, $D$9, 100%, $F$9) + CHOOSE(CONTROL!$C$27, 0.0021, 0)</f>
        <v>97.300299999999993</v>
      </c>
      <c r="E931" s="14">
        <f>97.1615 * CHOOSE(CONTROL!$C$9, $D$9, 100%, $F$9) + CHOOSE(CONTROL!$C$27, 0.0021, 0)</f>
        <v>97.163600000000002</v>
      </c>
      <c r="F931" s="14">
        <f>97.1615 * CHOOSE(CONTROL!$C$9, $D$9, 100%, $F$9) + CHOOSE(CONTROL!$C$27, 0.0021, 0)</f>
        <v>97.163600000000002</v>
      </c>
      <c r="G931" s="14">
        <f>97.4329 * CHOOSE(CONTROL!$C$9, $D$9, 100%, $F$9) + CHOOSE(CONTROL!$C$27, 0.0021, 0)</f>
        <v>97.435000000000002</v>
      </c>
      <c r="H931" s="14">
        <f>97.2982 * CHOOSE(CONTROL!$C$9, $D$9, 100%, $F$9) + CHOOSE(CONTROL!$C$27, 0.0021, 0)</f>
        <v>97.300299999999993</v>
      </c>
      <c r="I931" s="14">
        <f>97.2982 * CHOOSE(CONTROL!$C$9, $D$9, 100%, $F$9) + CHOOSE(CONTROL!$C$27, 0.0021, 0)</f>
        <v>97.300299999999993</v>
      </c>
      <c r="J931" s="14">
        <f>97.2982 * CHOOSE(CONTROL!$C$9, $D$9, 100%, $F$9) + CHOOSE(CONTROL!$C$27, 0.0021, 0)</f>
        <v>97.300299999999993</v>
      </c>
      <c r="K931" s="14">
        <f>97.2982 * CHOOSE(CONTROL!$C$9, $D$9, 100%, $F$9) + CHOOSE(CONTROL!$C$27, 0.0021, 0)</f>
        <v>97.300299999999993</v>
      </c>
      <c r="L931" s="14"/>
    </row>
    <row r="932" spans="1:12" ht="15.75" x14ac:dyDescent="0.25">
      <c r="A932" s="32">
        <v>69306</v>
      </c>
      <c r="B932" s="14">
        <f>99.6711 * CHOOSE(CONTROL!$C$9, $D$9, 100%, $F$9) + CHOOSE(CONTROL!$C$27, 0.0021, 0)</f>
        <v>99.673199999999994</v>
      </c>
      <c r="C932" s="14">
        <f>99.2389 * CHOOSE(CONTROL!$C$9, $D$9, 100%, $F$9) + CHOOSE(CONTROL!$C$27, 0.0021, 0)</f>
        <v>99.241</v>
      </c>
      <c r="D932" s="14">
        <f>99.2389 * CHOOSE(CONTROL!$C$9, $D$9, 100%, $F$9) + CHOOSE(CONTROL!$C$27, 0.0021, 0)</f>
        <v>99.241</v>
      </c>
      <c r="E932" s="14">
        <f>99.1022 * CHOOSE(CONTROL!$C$9, $D$9, 100%, $F$9) + CHOOSE(CONTROL!$C$27, 0.0021, 0)</f>
        <v>99.104299999999995</v>
      </c>
      <c r="F932" s="14">
        <f>99.1022 * CHOOSE(CONTROL!$C$9, $D$9, 100%, $F$9) + CHOOSE(CONTROL!$C$27, 0.0021, 0)</f>
        <v>99.104299999999995</v>
      </c>
      <c r="G932" s="14">
        <f>99.3736 * CHOOSE(CONTROL!$C$9, $D$9, 100%, $F$9) + CHOOSE(CONTROL!$C$27, 0.0021, 0)</f>
        <v>99.375699999999995</v>
      </c>
      <c r="H932" s="14">
        <f>99.2389 * CHOOSE(CONTROL!$C$9, $D$9, 100%, $F$9) + CHOOSE(CONTROL!$C$27, 0.0021, 0)</f>
        <v>99.241</v>
      </c>
      <c r="I932" s="14">
        <f>99.2389 * CHOOSE(CONTROL!$C$9, $D$9, 100%, $F$9) + CHOOSE(CONTROL!$C$27, 0.0021, 0)</f>
        <v>99.241</v>
      </c>
      <c r="J932" s="14">
        <f>99.2389 * CHOOSE(CONTROL!$C$9, $D$9, 100%, $F$9) + CHOOSE(CONTROL!$C$27, 0.0021, 0)</f>
        <v>99.241</v>
      </c>
      <c r="K932" s="14">
        <f>99.2389 * CHOOSE(CONTROL!$C$9, $D$9, 100%, $F$9) + CHOOSE(CONTROL!$C$27, 0.0021, 0)</f>
        <v>99.241</v>
      </c>
      <c r="L932" s="14"/>
    </row>
    <row r="933" spans="1:12" ht="15.75" x14ac:dyDescent="0.25">
      <c r="A933" s="32">
        <v>69337</v>
      </c>
      <c r="B933" s="14">
        <f>102.1278 * CHOOSE(CONTROL!$C$9, $D$9, 100%, $F$9) + CHOOSE(CONTROL!$C$27, 0.0021, 0)</f>
        <v>102.12989999999999</v>
      </c>
      <c r="C933" s="14">
        <f>101.6955 * CHOOSE(CONTROL!$C$9, $D$9, 100%, $F$9) + CHOOSE(CONTROL!$C$27, 0.0021, 0)</f>
        <v>101.69759999999999</v>
      </c>
      <c r="D933" s="14">
        <f>101.6955 * CHOOSE(CONTROL!$C$9, $D$9, 100%, $F$9) + CHOOSE(CONTROL!$C$27, 0.0021, 0)</f>
        <v>101.69759999999999</v>
      </c>
      <c r="E933" s="14">
        <f>101.5589 * CHOOSE(CONTROL!$C$9, $D$9, 100%, $F$9) + CHOOSE(CONTROL!$C$27, 0.0021, 0)</f>
        <v>101.56099999999999</v>
      </c>
      <c r="F933" s="14">
        <f>101.5589 * CHOOSE(CONTROL!$C$9, $D$9, 100%, $F$9) + CHOOSE(CONTROL!$C$27, 0.0021, 0)</f>
        <v>101.56099999999999</v>
      </c>
      <c r="G933" s="14">
        <f>101.8302 * CHOOSE(CONTROL!$C$9, $D$9, 100%, $F$9) + CHOOSE(CONTROL!$C$27, 0.0021, 0)</f>
        <v>101.8323</v>
      </c>
      <c r="H933" s="14">
        <f>101.6955 * CHOOSE(CONTROL!$C$9, $D$9, 100%, $F$9) + CHOOSE(CONTROL!$C$27, 0.0021, 0)</f>
        <v>101.69759999999999</v>
      </c>
      <c r="I933" s="14">
        <f>101.6955 * CHOOSE(CONTROL!$C$9, $D$9, 100%, $F$9) + CHOOSE(CONTROL!$C$27, 0.0021, 0)</f>
        <v>101.69759999999999</v>
      </c>
      <c r="J933" s="14">
        <f>101.6955 * CHOOSE(CONTROL!$C$9, $D$9, 100%, $F$9) + CHOOSE(CONTROL!$C$27, 0.0021, 0)</f>
        <v>101.69759999999999</v>
      </c>
      <c r="K933" s="14">
        <f>101.6955 * CHOOSE(CONTROL!$C$9, $D$9, 100%, $F$9) + CHOOSE(CONTROL!$C$27, 0.0021, 0)</f>
        <v>101.69759999999999</v>
      </c>
      <c r="L933" s="14"/>
    </row>
    <row r="934" spans="1:12" ht="15.75" x14ac:dyDescent="0.25">
      <c r="A934" s="32">
        <v>69367</v>
      </c>
      <c r="B934" s="14">
        <f>102.3584 * CHOOSE(CONTROL!$C$9, $D$9, 100%, $F$9) + CHOOSE(CONTROL!$C$27, 0.0021, 0)</f>
        <v>102.3605</v>
      </c>
      <c r="C934" s="14">
        <f>101.9262 * CHOOSE(CONTROL!$C$9, $D$9, 100%, $F$9) + CHOOSE(CONTROL!$C$27, 0.0021, 0)</f>
        <v>101.92829999999999</v>
      </c>
      <c r="D934" s="14">
        <f>101.9262 * CHOOSE(CONTROL!$C$9, $D$9, 100%, $F$9) + CHOOSE(CONTROL!$C$27, 0.0021, 0)</f>
        <v>101.92829999999999</v>
      </c>
      <c r="E934" s="14">
        <f>101.7895 * CHOOSE(CONTROL!$C$9, $D$9, 100%, $F$9) + CHOOSE(CONTROL!$C$27, 0.0021, 0)</f>
        <v>101.7916</v>
      </c>
      <c r="F934" s="14">
        <f>101.7895 * CHOOSE(CONTROL!$C$9, $D$9, 100%, $F$9) + CHOOSE(CONTROL!$C$27, 0.0021, 0)</f>
        <v>101.7916</v>
      </c>
      <c r="G934" s="14">
        <f>102.0609 * CHOOSE(CONTROL!$C$9, $D$9, 100%, $F$9) + CHOOSE(CONTROL!$C$27, 0.0021, 0)</f>
        <v>102.063</v>
      </c>
      <c r="H934" s="14">
        <f>101.9262 * CHOOSE(CONTROL!$C$9, $D$9, 100%, $F$9) + CHOOSE(CONTROL!$C$27, 0.0021, 0)</f>
        <v>101.92829999999999</v>
      </c>
      <c r="I934" s="14">
        <f>101.9262 * CHOOSE(CONTROL!$C$9, $D$9, 100%, $F$9) + CHOOSE(CONTROL!$C$27, 0.0021, 0)</f>
        <v>101.92829999999999</v>
      </c>
      <c r="J934" s="14">
        <f>101.9262 * CHOOSE(CONTROL!$C$9, $D$9, 100%, $F$9) + CHOOSE(CONTROL!$C$27, 0.0021, 0)</f>
        <v>101.92829999999999</v>
      </c>
      <c r="K934" s="14">
        <f>101.9262 * CHOOSE(CONTROL!$C$9, $D$9, 100%, $F$9) + CHOOSE(CONTROL!$C$27, 0.0021, 0)</f>
        <v>101.92829999999999</v>
      </c>
      <c r="L934" s="14"/>
    </row>
    <row r="935" spans="1:12" ht="15.75" x14ac:dyDescent="0.25">
      <c r="A935" s="32">
        <v>69398</v>
      </c>
      <c r="B935" s="14">
        <f>100.3963 * CHOOSE(CONTROL!$C$9, $D$9, 100%, $F$9) + CHOOSE(CONTROL!$C$27, 0.0021, 0)</f>
        <v>100.3984</v>
      </c>
      <c r="C935" s="14">
        <f>99.9641 * CHOOSE(CONTROL!$C$9, $D$9, 100%, $F$9) + CHOOSE(CONTROL!$C$27, 0.0021, 0)</f>
        <v>99.966200000000001</v>
      </c>
      <c r="D935" s="14">
        <f>99.9641 * CHOOSE(CONTROL!$C$9, $D$9, 100%, $F$9) + CHOOSE(CONTROL!$C$27, 0.0021, 0)</f>
        <v>99.966200000000001</v>
      </c>
      <c r="E935" s="14">
        <f>99.8274 * CHOOSE(CONTROL!$C$9, $D$9, 100%, $F$9) + CHOOSE(CONTROL!$C$27, 0.0021, 0)</f>
        <v>99.829499999999996</v>
      </c>
      <c r="F935" s="14">
        <f>99.8274 * CHOOSE(CONTROL!$C$9, $D$9, 100%, $F$9) + CHOOSE(CONTROL!$C$27, 0.0021, 0)</f>
        <v>99.829499999999996</v>
      </c>
      <c r="G935" s="14">
        <f>100.0988 * CHOOSE(CONTROL!$C$9, $D$9, 100%, $F$9) + CHOOSE(CONTROL!$C$27, 0.0021, 0)</f>
        <v>100.1009</v>
      </c>
      <c r="H935" s="14">
        <f>99.9641 * CHOOSE(CONTROL!$C$9, $D$9, 100%, $F$9) + CHOOSE(CONTROL!$C$27, 0.0021, 0)</f>
        <v>99.966200000000001</v>
      </c>
      <c r="I935" s="14">
        <f>99.9641 * CHOOSE(CONTROL!$C$9, $D$9, 100%, $F$9) + CHOOSE(CONTROL!$C$27, 0.0021, 0)</f>
        <v>99.966200000000001</v>
      </c>
      <c r="J935" s="14">
        <f>99.9641 * CHOOSE(CONTROL!$C$9, $D$9, 100%, $F$9) + CHOOSE(CONTROL!$C$27, 0.0021, 0)</f>
        <v>99.966200000000001</v>
      </c>
      <c r="K935" s="14">
        <f>99.9641 * CHOOSE(CONTROL!$C$9, $D$9, 100%, $F$9) + CHOOSE(CONTROL!$C$27, 0.0021, 0)</f>
        <v>99.966200000000001</v>
      </c>
      <c r="L935" s="14"/>
    </row>
    <row r="936" spans="1:12" ht="15.75" x14ac:dyDescent="0.25">
      <c r="A936" s="32">
        <v>69429</v>
      </c>
      <c r="B936" s="14">
        <f>99.111 * CHOOSE(CONTROL!$C$9, $D$9, 100%, $F$9) + CHOOSE(CONTROL!$C$27, 0.0021, 0)</f>
        <v>99.113100000000003</v>
      </c>
      <c r="C936" s="14">
        <f>98.6787 * CHOOSE(CONTROL!$C$9, $D$9, 100%, $F$9) + CHOOSE(CONTROL!$C$27, 0.0021, 0)</f>
        <v>98.680800000000005</v>
      </c>
      <c r="D936" s="14">
        <f>98.6787 * CHOOSE(CONTROL!$C$9, $D$9, 100%, $F$9) + CHOOSE(CONTROL!$C$27, 0.0021, 0)</f>
        <v>98.680800000000005</v>
      </c>
      <c r="E936" s="14">
        <f>98.5421 * CHOOSE(CONTROL!$C$9, $D$9, 100%, $F$9) + CHOOSE(CONTROL!$C$27, 0.0021, 0)</f>
        <v>98.544200000000004</v>
      </c>
      <c r="F936" s="14">
        <f>98.5421 * CHOOSE(CONTROL!$C$9, $D$9, 100%, $F$9) + CHOOSE(CONTROL!$C$27, 0.0021, 0)</f>
        <v>98.544200000000004</v>
      </c>
      <c r="G936" s="14">
        <f>98.8134 * CHOOSE(CONTROL!$C$9, $D$9, 100%, $F$9) + CHOOSE(CONTROL!$C$27, 0.0021, 0)</f>
        <v>98.8155</v>
      </c>
      <c r="H936" s="14">
        <f>98.6787 * CHOOSE(CONTROL!$C$9, $D$9, 100%, $F$9) + CHOOSE(CONTROL!$C$27, 0.0021, 0)</f>
        <v>98.680800000000005</v>
      </c>
      <c r="I936" s="14">
        <f>98.6787 * CHOOSE(CONTROL!$C$9, $D$9, 100%, $F$9) + CHOOSE(CONTROL!$C$27, 0.0021, 0)</f>
        <v>98.680800000000005</v>
      </c>
      <c r="J936" s="14">
        <f>98.6787 * CHOOSE(CONTROL!$C$9, $D$9, 100%, $F$9) + CHOOSE(CONTROL!$C$27, 0.0021, 0)</f>
        <v>98.680800000000005</v>
      </c>
      <c r="K936" s="14">
        <f>98.6787 * CHOOSE(CONTROL!$C$9, $D$9, 100%, $F$9) + CHOOSE(CONTROL!$C$27, 0.0021, 0)</f>
        <v>98.680800000000005</v>
      </c>
      <c r="L936" s="14"/>
    </row>
    <row r="937" spans="1:12" ht="15.75" x14ac:dyDescent="0.25">
      <c r="A937" s="32">
        <v>69457</v>
      </c>
      <c r="B937" s="14">
        <f>96.3724 * CHOOSE(CONTROL!$C$9, $D$9, 100%, $F$9) + CHOOSE(CONTROL!$C$27, 0.0021, 0)</f>
        <v>96.374499999999998</v>
      </c>
      <c r="C937" s="14">
        <f>95.9402 * CHOOSE(CONTROL!$C$9, $D$9, 100%, $F$9) + CHOOSE(CONTROL!$C$27, 0.0021, 0)</f>
        <v>95.942300000000003</v>
      </c>
      <c r="D937" s="14">
        <f>95.9402 * CHOOSE(CONTROL!$C$9, $D$9, 100%, $F$9) + CHOOSE(CONTROL!$C$27, 0.0021, 0)</f>
        <v>95.942300000000003</v>
      </c>
      <c r="E937" s="14">
        <f>95.8035 * CHOOSE(CONTROL!$C$9, $D$9, 100%, $F$9) + CHOOSE(CONTROL!$C$27, 0.0021, 0)</f>
        <v>95.805599999999998</v>
      </c>
      <c r="F937" s="14">
        <f>95.8035 * CHOOSE(CONTROL!$C$9, $D$9, 100%, $F$9) + CHOOSE(CONTROL!$C$27, 0.0021, 0)</f>
        <v>95.805599999999998</v>
      </c>
      <c r="G937" s="14">
        <f>96.0749 * CHOOSE(CONTROL!$C$9, $D$9, 100%, $F$9) + CHOOSE(CONTROL!$C$27, 0.0021, 0)</f>
        <v>96.076999999999998</v>
      </c>
      <c r="H937" s="14">
        <f>95.9402 * CHOOSE(CONTROL!$C$9, $D$9, 100%, $F$9) + CHOOSE(CONTROL!$C$27, 0.0021, 0)</f>
        <v>95.942300000000003</v>
      </c>
      <c r="I937" s="14">
        <f>95.9402 * CHOOSE(CONTROL!$C$9, $D$9, 100%, $F$9) + CHOOSE(CONTROL!$C$27, 0.0021, 0)</f>
        <v>95.942300000000003</v>
      </c>
      <c r="J937" s="14">
        <f>95.9402 * CHOOSE(CONTROL!$C$9, $D$9, 100%, $F$9) + CHOOSE(CONTROL!$C$27, 0.0021, 0)</f>
        <v>95.942300000000003</v>
      </c>
      <c r="K937" s="14">
        <f>95.9402 * CHOOSE(CONTROL!$C$9, $D$9, 100%, $F$9) + CHOOSE(CONTROL!$C$27, 0.0021, 0)</f>
        <v>95.942300000000003</v>
      </c>
      <c r="L937" s="14"/>
    </row>
    <row r="938" spans="1:12" ht="15.75" x14ac:dyDescent="0.25">
      <c r="A938" s="32">
        <v>69488</v>
      </c>
      <c r="B938" s="14">
        <f>95.2419 * CHOOSE(CONTROL!$C$9, $D$9, 100%, $F$9) + CHOOSE(CONTROL!$C$27, 0.0021, 0)</f>
        <v>95.244</v>
      </c>
      <c r="C938" s="14">
        <f>94.8097 * CHOOSE(CONTROL!$C$9, $D$9, 100%, $F$9) + CHOOSE(CONTROL!$C$27, 0.0021, 0)</f>
        <v>94.811800000000005</v>
      </c>
      <c r="D938" s="14">
        <f>94.8097 * CHOOSE(CONTROL!$C$9, $D$9, 100%, $F$9) + CHOOSE(CONTROL!$C$27, 0.0021, 0)</f>
        <v>94.811800000000005</v>
      </c>
      <c r="E938" s="14">
        <f>94.673 * CHOOSE(CONTROL!$C$9, $D$9, 100%, $F$9) + CHOOSE(CONTROL!$C$27, 0.0021, 0)</f>
        <v>94.6751</v>
      </c>
      <c r="F938" s="14">
        <f>94.673 * CHOOSE(CONTROL!$C$9, $D$9, 100%, $F$9) + CHOOSE(CONTROL!$C$27, 0.0021, 0)</f>
        <v>94.6751</v>
      </c>
      <c r="G938" s="14">
        <f>94.9444 * CHOOSE(CONTROL!$C$9, $D$9, 100%, $F$9) + CHOOSE(CONTROL!$C$27, 0.0021, 0)</f>
        <v>94.9465</v>
      </c>
      <c r="H938" s="14">
        <f>94.8097 * CHOOSE(CONTROL!$C$9, $D$9, 100%, $F$9) + CHOOSE(CONTROL!$C$27, 0.0021, 0)</f>
        <v>94.811800000000005</v>
      </c>
      <c r="I938" s="14">
        <f>94.8097 * CHOOSE(CONTROL!$C$9, $D$9, 100%, $F$9) + CHOOSE(CONTROL!$C$27, 0.0021, 0)</f>
        <v>94.811800000000005</v>
      </c>
      <c r="J938" s="14">
        <f>94.8097 * CHOOSE(CONTROL!$C$9, $D$9, 100%, $F$9) + CHOOSE(CONTROL!$C$27, 0.0021, 0)</f>
        <v>94.811800000000005</v>
      </c>
      <c r="K938" s="14">
        <f>94.8097 * CHOOSE(CONTROL!$C$9, $D$9, 100%, $F$9) + CHOOSE(CONTROL!$C$27, 0.0021, 0)</f>
        <v>94.811800000000005</v>
      </c>
      <c r="L938" s="14"/>
    </row>
    <row r="939" spans="1:12" ht="15.75" x14ac:dyDescent="0.25">
      <c r="A939" s="32">
        <v>69518</v>
      </c>
      <c r="B939" s="14">
        <f>93.8921 * CHOOSE(CONTROL!$C$9, $D$9, 100%, $F$9) + CHOOSE(CONTROL!$C$27, 0.0021, 0)</f>
        <v>93.894199999999998</v>
      </c>
      <c r="C939" s="14">
        <f>93.4599 * CHOOSE(CONTROL!$C$9, $D$9, 100%, $F$9) + CHOOSE(CONTROL!$C$27, 0.0021, 0)</f>
        <v>93.462000000000003</v>
      </c>
      <c r="D939" s="14">
        <f>93.4599 * CHOOSE(CONTROL!$C$9, $D$9, 100%, $F$9) + CHOOSE(CONTROL!$C$27, 0.0021, 0)</f>
        <v>93.462000000000003</v>
      </c>
      <c r="E939" s="14">
        <f>93.3232 * CHOOSE(CONTROL!$C$9, $D$9, 100%, $F$9) + CHOOSE(CONTROL!$C$27, 0.0021, 0)</f>
        <v>93.325299999999999</v>
      </c>
      <c r="F939" s="14">
        <f>93.3232 * CHOOSE(CONTROL!$C$9, $D$9, 100%, $F$9) + CHOOSE(CONTROL!$C$27, 0.0021, 0)</f>
        <v>93.325299999999999</v>
      </c>
      <c r="G939" s="14">
        <f>93.5946 * CHOOSE(CONTROL!$C$9, $D$9, 100%, $F$9) + CHOOSE(CONTROL!$C$27, 0.0021, 0)</f>
        <v>93.596699999999998</v>
      </c>
      <c r="H939" s="14">
        <f>93.4599 * CHOOSE(CONTROL!$C$9, $D$9, 100%, $F$9) + CHOOSE(CONTROL!$C$27, 0.0021, 0)</f>
        <v>93.462000000000003</v>
      </c>
      <c r="I939" s="14">
        <f>93.4599 * CHOOSE(CONTROL!$C$9, $D$9, 100%, $F$9) + CHOOSE(CONTROL!$C$27, 0.0021, 0)</f>
        <v>93.462000000000003</v>
      </c>
      <c r="J939" s="14">
        <f>93.4599 * CHOOSE(CONTROL!$C$9, $D$9, 100%, $F$9) + CHOOSE(CONTROL!$C$27, 0.0021, 0)</f>
        <v>93.462000000000003</v>
      </c>
      <c r="K939" s="14">
        <f>93.4599 * CHOOSE(CONTROL!$C$9, $D$9, 100%, $F$9) + CHOOSE(CONTROL!$C$27, 0.0021, 0)</f>
        <v>93.462000000000003</v>
      </c>
      <c r="L939" s="14"/>
    </row>
    <row r="940" spans="1:12" ht="15.75" x14ac:dyDescent="0.25">
      <c r="A940" s="32">
        <v>69549</v>
      </c>
      <c r="B940" s="14">
        <f>95.8158 * CHOOSE(CONTROL!$C$9, $D$9, 100%, $F$9) + CHOOSE(CONTROL!$C$27, 0.0021, 0)</f>
        <v>95.817899999999995</v>
      </c>
      <c r="C940" s="14">
        <f>95.3835 * CHOOSE(CONTROL!$C$9, $D$9, 100%, $F$9) + CHOOSE(CONTROL!$C$27, 0.0021, 0)</f>
        <v>95.385599999999997</v>
      </c>
      <c r="D940" s="14">
        <f>95.3835 * CHOOSE(CONTROL!$C$9, $D$9, 100%, $F$9) + CHOOSE(CONTROL!$C$27, 0.0021, 0)</f>
        <v>95.385599999999997</v>
      </c>
      <c r="E940" s="14">
        <f>95.2469 * CHOOSE(CONTROL!$C$9, $D$9, 100%, $F$9) + CHOOSE(CONTROL!$C$27, 0.0021, 0)</f>
        <v>95.248999999999995</v>
      </c>
      <c r="F940" s="14">
        <f>95.2469 * CHOOSE(CONTROL!$C$9, $D$9, 100%, $F$9) + CHOOSE(CONTROL!$C$27, 0.0021, 0)</f>
        <v>95.248999999999995</v>
      </c>
      <c r="G940" s="14">
        <f>95.5182 * CHOOSE(CONTROL!$C$9, $D$9, 100%, $F$9) + CHOOSE(CONTROL!$C$27, 0.0021, 0)</f>
        <v>95.520299999999992</v>
      </c>
      <c r="H940" s="14">
        <f>95.3835 * CHOOSE(CONTROL!$C$9, $D$9, 100%, $F$9) + CHOOSE(CONTROL!$C$27, 0.0021, 0)</f>
        <v>95.385599999999997</v>
      </c>
      <c r="I940" s="14">
        <f>95.3835 * CHOOSE(CONTROL!$C$9, $D$9, 100%, $F$9) + CHOOSE(CONTROL!$C$27, 0.0021, 0)</f>
        <v>95.385599999999997</v>
      </c>
      <c r="J940" s="14">
        <f>95.3835 * CHOOSE(CONTROL!$C$9, $D$9, 100%, $F$9) + CHOOSE(CONTROL!$C$27, 0.0021, 0)</f>
        <v>95.385599999999997</v>
      </c>
      <c r="K940" s="14">
        <f>95.3835 * CHOOSE(CONTROL!$C$9, $D$9, 100%, $F$9) + CHOOSE(CONTROL!$C$27, 0.0021, 0)</f>
        <v>95.385599999999997</v>
      </c>
      <c r="L940" s="14"/>
    </row>
    <row r="941" spans="1:12" ht="15.75" x14ac:dyDescent="0.25">
      <c r="A941" s="32">
        <v>69579</v>
      </c>
      <c r="B941" s="14">
        <f>96.9679 * CHOOSE(CONTROL!$C$9, $D$9, 100%, $F$9) + CHOOSE(CONTROL!$C$27, 0.0021, 0)</f>
        <v>96.97</v>
      </c>
      <c r="C941" s="14">
        <f>96.5357 * CHOOSE(CONTROL!$C$9, $D$9, 100%, $F$9) + CHOOSE(CONTROL!$C$27, 0.0021, 0)</f>
        <v>96.537800000000004</v>
      </c>
      <c r="D941" s="14">
        <f>96.5357 * CHOOSE(CONTROL!$C$9, $D$9, 100%, $F$9) + CHOOSE(CONTROL!$C$27, 0.0021, 0)</f>
        <v>96.537800000000004</v>
      </c>
      <c r="E941" s="14">
        <f>96.399 * CHOOSE(CONTROL!$C$9, $D$9, 100%, $F$9) + CHOOSE(CONTROL!$C$27, 0.0021, 0)</f>
        <v>96.4011</v>
      </c>
      <c r="F941" s="14">
        <f>96.399 * CHOOSE(CONTROL!$C$9, $D$9, 100%, $F$9) + CHOOSE(CONTROL!$C$27, 0.0021, 0)</f>
        <v>96.4011</v>
      </c>
      <c r="G941" s="14">
        <f>96.6704 * CHOOSE(CONTROL!$C$9, $D$9, 100%, $F$9) + CHOOSE(CONTROL!$C$27, 0.0021, 0)</f>
        <v>96.672499999999999</v>
      </c>
      <c r="H941" s="14">
        <f>96.5357 * CHOOSE(CONTROL!$C$9, $D$9, 100%, $F$9) + CHOOSE(CONTROL!$C$27, 0.0021, 0)</f>
        <v>96.537800000000004</v>
      </c>
      <c r="I941" s="14">
        <f>96.5357 * CHOOSE(CONTROL!$C$9, $D$9, 100%, $F$9) + CHOOSE(CONTROL!$C$27, 0.0021, 0)</f>
        <v>96.537800000000004</v>
      </c>
      <c r="J941" s="14">
        <f>96.5357 * CHOOSE(CONTROL!$C$9, $D$9, 100%, $F$9) + CHOOSE(CONTROL!$C$27, 0.0021, 0)</f>
        <v>96.537800000000004</v>
      </c>
      <c r="K941" s="14">
        <f>96.5357 * CHOOSE(CONTROL!$C$9, $D$9, 100%, $F$9) + CHOOSE(CONTROL!$C$27, 0.0021, 0)</f>
        <v>96.537800000000004</v>
      </c>
      <c r="L941" s="14"/>
    </row>
    <row r="942" spans="1:12" ht="15.75" x14ac:dyDescent="0.25">
      <c r="A942" s="32">
        <v>69610</v>
      </c>
      <c r="B942" s="14">
        <f>98.8686 * CHOOSE(CONTROL!$C$9, $D$9, 100%, $F$9) + CHOOSE(CONTROL!$C$27, 0.0021, 0)</f>
        <v>98.870699999999999</v>
      </c>
      <c r="C942" s="14">
        <f>98.4364 * CHOOSE(CONTROL!$C$9, $D$9, 100%, $F$9) + CHOOSE(CONTROL!$C$27, 0.0021, 0)</f>
        <v>98.438500000000005</v>
      </c>
      <c r="D942" s="14">
        <f>98.4364 * CHOOSE(CONTROL!$C$9, $D$9, 100%, $F$9) + CHOOSE(CONTROL!$C$27, 0.0021, 0)</f>
        <v>98.438500000000005</v>
      </c>
      <c r="E942" s="14">
        <f>98.2997 * CHOOSE(CONTROL!$C$9, $D$9, 100%, $F$9) + CHOOSE(CONTROL!$C$27, 0.0021, 0)</f>
        <v>98.3018</v>
      </c>
      <c r="F942" s="14">
        <f>98.2997 * CHOOSE(CONTROL!$C$9, $D$9, 100%, $F$9) + CHOOSE(CONTROL!$C$27, 0.0021, 0)</f>
        <v>98.3018</v>
      </c>
      <c r="G942" s="14">
        <f>98.5711 * CHOOSE(CONTROL!$C$9, $D$9, 100%, $F$9) + CHOOSE(CONTROL!$C$27, 0.0021, 0)</f>
        <v>98.5732</v>
      </c>
      <c r="H942" s="14">
        <f>98.4364 * CHOOSE(CONTROL!$C$9, $D$9, 100%, $F$9) + CHOOSE(CONTROL!$C$27, 0.0021, 0)</f>
        <v>98.438500000000005</v>
      </c>
      <c r="I942" s="14">
        <f>98.4364 * CHOOSE(CONTROL!$C$9, $D$9, 100%, $F$9) + CHOOSE(CONTROL!$C$27, 0.0021, 0)</f>
        <v>98.438500000000005</v>
      </c>
      <c r="J942" s="14">
        <f>98.4364 * CHOOSE(CONTROL!$C$9, $D$9, 100%, $F$9) + CHOOSE(CONTROL!$C$27, 0.0021, 0)</f>
        <v>98.438500000000005</v>
      </c>
      <c r="K942" s="14">
        <f>98.4364 * CHOOSE(CONTROL!$C$9, $D$9, 100%, $F$9) + CHOOSE(CONTROL!$C$27, 0.0021, 0)</f>
        <v>98.438500000000005</v>
      </c>
      <c r="L942" s="14"/>
    </row>
    <row r="943" spans="1:12" ht="15.75" x14ac:dyDescent="0.25">
      <c r="A943" s="32">
        <v>69641</v>
      </c>
      <c r="B943" s="14">
        <f>99.4488 * CHOOSE(CONTROL!$C$9, $D$9, 100%, $F$9) + CHOOSE(CONTROL!$C$27, 0.0021, 0)</f>
        <v>99.450900000000004</v>
      </c>
      <c r="C943" s="14">
        <f>99.0165 * CHOOSE(CONTROL!$C$9, $D$9, 100%, $F$9) + CHOOSE(CONTROL!$C$27, 0.0021, 0)</f>
        <v>99.018599999999992</v>
      </c>
      <c r="D943" s="14">
        <f>99.0165 * CHOOSE(CONTROL!$C$9, $D$9, 100%, $F$9) + CHOOSE(CONTROL!$C$27, 0.0021, 0)</f>
        <v>99.018599999999992</v>
      </c>
      <c r="E943" s="14">
        <f>98.8799 * CHOOSE(CONTROL!$C$9, $D$9, 100%, $F$9) + CHOOSE(CONTROL!$C$27, 0.0021, 0)</f>
        <v>98.882000000000005</v>
      </c>
      <c r="F943" s="14">
        <f>98.8799 * CHOOSE(CONTROL!$C$9, $D$9, 100%, $F$9) + CHOOSE(CONTROL!$C$27, 0.0021, 0)</f>
        <v>98.882000000000005</v>
      </c>
      <c r="G943" s="14">
        <f>99.1512 * CHOOSE(CONTROL!$C$9, $D$9, 100%, $F$9) + CHOOSE(CONTROL!$C$27, 0.0021, 0)</f>
        <v>99.153300000000002</v>
      </c>
      <c r="H943" s="14">
        <f>99.0165 * CHOOSE(CONTROL!$C$9, $D$9, 100%, $F$9) + CHOOSE(CONTROL!$C$27, 0.0021, 0)</f>
        <v>99.018599999999992</v>
      </c>
      <c r="I943" s="14">
        <f>99.0165 * CHOOSE(CONTROL!$C$9, $D$9, 100%, $F$9) + CHOOSE(CONTROL!$C$27, 0.0021, 0)</f>
        <v>99.018599999999992</v>
      </c>
      <c r="J943" s="14">
        <f>99.0165 * CHOOSE(CONTROL!$C$9, $D$9, 100%, $F$9) + CHOOSE(CONTROL!$C$27, 0.0021, 0)</f>
        <v>99.018599999999992</v>
      </c>
      <c r="K943" s="14">
        <f>99.0165 * CHOOSE(CONTROL!$C$9, $D$9, 100%, $F$9) + CHOOSE(CONTROL!$C$27, 0.0021, 0)</f>
        <v>99.018599999999992</v>
      </c>
      <c r="L943" s="14"/>
    </row>
    <row r="944" spans="1:12" ht="15.75" x14ac:dyDescent="0.25">
      <c r="A944" s="32">
        <v>69671</v>
      </c>
      <c r="B944" s="14">
        <f>101.4244 * CHOOSE(CONTROL!$C$9, $D$9, 100%, $F$9) + CHOOSE(CONTROL!$C$27, 0.0021, 0)</f>
        <v>101.4265</v>
      </c>
      <c r="C944" s="14">
        <f>100.9922 * CHOOSE(CONTROL!$C$9, $D$9, 100%, $F$9) + CHOOSE(CONTROL!$C$27, 0.0021, 0)</f>
        <v>100.9943</v>
      </c>
      <c r="D944" s="14">
        <f>100.9922 * CHOOSE(CONTROL!$C$9, $D$9, 100%, $F$9) + CHOOSE(CONTROL!$C$27, 0.0021, 0)</f>
        <v>100.9943</v>
      </c>
      <c r="E944" s="14">
        <f>100.8555 * CHOOSE(CONTROL!$C$9, $D$9, 100%, $F$9) + CHOOSE(CONTROL!$C$27, 0.0021, 0)</f>
        <v>100.85760000000001</v>
      </c>
      <c r="F944" s="14">
        <f>100.8555 * CHOOSE(CONTROL!$C$9, $D$9, 100%, $F$9) + CHOOSE(CONTROL!$C$27, 0.0021, 0)</f>
        <v>100.85760000000001</v>
      </c>
      <c r="G944" s="14">
        <f>101.1269 * CHOOSE(CONTROL!$C$9, $D$9, 100%, $F$9) + CHOOSE(CONTROL!$C$27, 0.0021, 0)</f>
        <v>101.129</v>
      </c>
      <c r="H944" s="14">
        <f>100.9922 * CHOOSE(CONTROL!$C$9, $D$9, 100%, $F$9) + CHOOSE(CONTROL!$C$27, 0.0021, 0)</f>
        <v>100.9943</v>
      </c>
      <c r="I944" s="14">
        <f>100.9922 * CHOOSE(CONTROL!$C$9, $D$9, 100%, $F$9) + CHOOSE(CONTROL!$C$27, 0.0021, 0)</f>
        <v>100.9943</v>
      </c>
      <c r="J944" s="14">
        <f>100.9922 * CHOOSE(CONTROL!$C$9, $D$9, 100%, $F$9) + CHOOSE(CONTROL!$C$27, 0.0021, 0)</f>
        <v>100.9943</v>
      </c>
      <c r="K944" s="14">
        <f>100.9922 * CHOOSE(CONTROL!$C$9, $D$9, 100%, $F$9) + CHOOSE(CONTROL!$C$27, 0.0021, 0)</f>
        <v>100.9943</v>
      </c>
      <c r="L944" s="14"/>
    </row>
    <row r="945" spans="1:12" ht="15.75" x14ac:dyDescent="0.25">
      <c r="A945" s="32">
        <v>69702</v>
      </c>
      <c r="B945" s="14">
        <f>103.9253 * CHOOSE(CONTROL!$C$9, $D$9, 100%, $F$9) + CHOOSE(CONTROL!$C$27, 0.0021, 0)</f>
        <v>103.92739999999999</v>
      </c>
      <c r="C945" s="14">
        <f>103.4931 * CHOOSE(CONTROL!$C$9, $D$9, 100%, $F$9) + CHOOSE(CONTROL!$C$27, 0.0021, 0)</f>
        <v>103.4952</v>
      </c>
      <c r="D945" s="14">
        <f>103.4931 * CHOOSE(CONTROL!$C$9, $D$9, 100%, $F$9) + CHOOSE(CONTROL!$C$27, 0.0021, 0)</f>
        <v>103.4952</v>
      </c>
      <c r="E945" s="14">
        <f>103.3564 * CHOOSE(CONTROL!$C$9, $D$9, 100%, $F$9) + CHOOSE(CONTROL!$C$27, 0.0021, 0)</f>
        <v>103.35849999999999</v>
      </c>
      <c r="F945" s="14">
        <f>103.3564 * CHOOSE(CONTROL!$C$9, $D$9, 100%, $F$9) + CHOOSE(CONTROL!$C$27, 0.0021, 0)</f>
        <v>103.35849999999999</v>
      </c>
      <c r="G945" s="14">
        <f>103.6278 * CHOOSE(CONTROL!$C$9, $D$9, 100%, $F$9) + CHOOSE(CONTROL!$C$27, 0.0021, 0)</f>
        <v>103.62989999999999</v>
      </c>
      <c r="H945" s="14">
        <f>103.4931 * CHOOSE(CONTROL!$C$9, $D$9, 100%, $F$9) + CHOOSE(CONTROL!$C$27, 0.0021, 0)</f>
        <v>103.4952</v>
      </c>
      <c r="I945" s="14">
        <f>103.4931 * CHOOSE(CONTROL!$C$9, $D$9, 100%, $F$9) + CHOOSE(CONTROL!$C$27, 0.0021, 0)</f>
        <v>103.4952</v>
      </c>
      <c r="J945" s="14">
        <f>103.4931 * CHOOSE(CONTROL!$C$9, $D$9, 100%, $F$9) + CHOOSE(CONTROL!$C$27, 0.0021, 0)</f>
        <v>103.4952</v>
      </c>
      <c r="K945" s="14">
        <f>103.4931 * CHOOSE(CONTROL!$C$9, $D$9, 100%, $F$9) + CHOOSE(CONTROL!$C$27, 0.0021, 0)</f>
        <v>103.4952</v>
      </c>
      <c r="L945" s="14"/>
    </row>
    <row r="946" spans="1:12" ht="15.75" x14ac:dyDescent="0.25">
      <c r="A946" s="32">
        <v>69732</v>
      </c>
      <c r="B946" s="14">
        <f>104.1601 * CHOOSE(CONTROL!$C$9, $D$9, 100%, $F$9) + CHOOSE(CONTROL!$C$27, 0.0021, 0)</f>
        <v>104.1622</v>
      </c>
      <c r="C946" s="14">
        <f>103.7278 * CHOOSE(CONTROL!$C$9, $D$9, 100%, $F$9) + CHOOSE(CONTROL!$C$27, 0.0021, 0)</f>
        <v>103.7299</v>
      </c>
      <c r="D946" s="14">
        <f>103.7278 * CHOOSE(CONTROL!$C$9, $D$9, 100%, $F$9) + CHOOSE(CONTROL!$C$27, 0.0021, 0)</f>
        <v>103.7299</v>
      </c>
      <c r="E946" s="14">
        <f>103.5912 * CHOOSE(CONTROL!$C$9, $D$9, 100%, $F$9) + CHOOSE(CONTROL!$C$27, 0.0021, 0)</f>
        <v>103.5933</v>
      </c>
      <c r="F946" s="14">
        <f>103.5912 * CHOOSE(CONTROL!$C$9, $D$9, 100%, $F$9) + CHOOSE(CONTROL!$C$27, 0.0021, 0)</f>
        <v>103.5933</v>
      </c>
      <c r="G946" s="14">
        <f>103.8625 * CHOOSE(CONTROL!$C$9, $D$9, 100%, $F$9) + CHOOSE(CONTROL!$C$27, 0.0021, 0)</f>
        <v>103.8646</v>
      </c>
      <c r="H946" s="14">
        <f>103.7278 * CHOOSE(CONTROL!$C$9, $D$9, 100%, $F$9) + CHOOSE(CONTROL!$C$27, 0.0021, 0)</f>
        <v>103.7299</v>
      </c>
      <c r="I946" s="14">
        <f>103.7278 * CHOOSE(CONTROL!$C$9, $D$9, 100%, $F$9) + CHOOSE(CONTROL!$C$27, 0.0021, 0)</f>
        <v>103.7299</v>
      </c>
      <c r="J946" s="14">
        <f>103.7278 * CHOOSE(CONTROL!$C$9, $D$9, 100%, $F$9) + CHOOSE(CONTROL!$C$27, 0.0021, 0)</f>
        <v>103.7299</v>
      </c>
      <c r="K946" s="14">
        <f>103.7278 * CHOOSE(CONTROL!$C$9, $D$9, 100%, $F$9) + CHOOSE(CONTROL!$C$27, 0.0021, 0)</f>
        <v>103.7299</v>
      </c>
      <c r="L946" s="14"/>
    </row>
    <row r="947" spans="1:12" ht="15.75" x14ac:dyDescent="0.25">
      <c r="A947" s="32">
        <v>69763</v>
      </c>
      <c r="B947" s="14">
        <f>102.1627 * CHOOSE(CONTROL!$C$9, $D$9, 100%, $F$9) + CHOOSE(CONTROL!$C$27, 0.0021, 0)</f>
        <v>102.1648</v>
      </c>
      <c r="C947" s="14">
        <f>101.7304 * CHOOSE(CONTROL!$C$9, $D$9, 100%, $F$9) + CHOOSE(CONTROL!$C$27, 0.0021, 0)</f>
        <v>101.7325</v>
      </c>
      <c r="D947" s="14">
        <f>101.7304 * CHOOSE(CONTROL!$C$9, $D$9, 100%, $F$9) + CHOOSE(CONTROL!$C$27, 0.0021, 0)</f>
        <v>101.7325</v>
      </c>
      <c r="E947" s="14">
        <f>101.5938 * CHOOSE(CONTROL!$C$9, $D$9, 100%, $F$9) + CHOOSE(CONTROL!$C$27, 0.0021, 0)</f>
        <v>101.5959</v>
      </c>
      <c r="F947" s="14">
        <f>101.5938 * CHOOSE(CONTROL!$C$9, $D$9, 100%, $F$9) + CHOOSE(CONTROL!$C$27, 0.0021, 0)</f>
        <v>101.5959</v>
      </c>
      <c r="G947" s="14">
        <f>101.8652 * CHOOSE(CONTROL!$C$9, $D$9, 100%, $F$9) + CHOOSE(CONTROL!$C$27, 0.0021, 0)</f>
        <v>101.8673</v>
      </c>
      <c r="H947" s="14">
        <f>101.7304 * CHOOSE(CONTROL!$C$9, $D$9, 100%, $F$9) + CHOOSE(CONTROL!$C$27, 0.0021, 0)</f>
        <v>101.7325</v>
      </c>
      <c r="I947" s="14">
        <f>101.7304 * CHOOSE(CONTROL!$C$9, $D$9, 100%, $F$9) + CHOOSE(CONTROL!$C$27, 0.0021, 0)</f>
        <v>101.7325</v>
      </c>
      <c r="J947" s="14">
        <f>101.7304 * CHOOSE(CONTROL!$C$9, $D$9, 100%, $F$9) + CHOOSE(CONTROL!$C$27, 0.0021, 0)</f>
        <v>101.7325</v>
      </c>
      <c r="K947" s="14">
        <f>101.7304 * CHOOSE(CONTROL!$C$9, $D$9, 100%, $F$9) + CHOOSE(CONTROL!$C$27, 0.0021, 0)</f>
        <v>101.7325</v>
      </c>
      <c r="L947" s="14"/>
    </row>
    <row r="948" spans="1:12" ht="15.75" x14ac:dyDescent="0.25">
      <c r="A948" s="32">
        <v>69794</v>
      </c>
      <c r="B948" s="14">
        <f>100.8542 * CHOOSE(CONTROL!$C$9, $D$9, 100%, $F$9) + CHOOSE(CONTROL!$C$27, 0.0021, 0)</f>
        <v>100.8563</v>
      </c>
      <c r="C948" s="14">
        <f>100.4219 * CHOOSE(CONTROL!$C$9, $D$9, 100%, $F$9) + CHOOSE(CONTROL!$C$27, 0.0021, 0)</f>
        <v>100.42399999999999</v>
      </c>
      <c r="D948" s="14">
        <f>100.4219 * CHOOSE(CONTROL!$C$9, $D$9, 100%, $F$9) + CHOOSE(CONTROL!$C$27, 0.0021, 0)</f>
        <v>100.42399999999999</v>
      </c>
      <c r="E948" s="14">
        <f>100.2853 * CHOOSE(CONTROL!$C$9, $D$9, 100%, $F$9) + CHOOSE(CONTROL!$C$27, 0.0021, 0)</f>
        <v>100.28740000000001</v>
      </c>
      <c r="F948" s="14">
        <f>100.2853 * CHOOSE(CONTROL!$C$9, $D$9, 100%, $F$9) + CHOOSE(CONTROL!$C$27, 0.0021, 0)</f>
        <v>100.28740000000001</v>
      </c>
      <c r="G948" s="14">
        <f>100.5566 * CHOOSE(CONTROL!$C$9, $D$9, 100%, $F$9) + CHOOSE(CONTROL!$C$27, 0.0021, 0)</f>
        <v>100.5587</v>
      </c>
      <c r="H948" s="14">
        <f>100.4219 * CHOOSE(CONTROL!$C$9, $D$9, 100%, $F$9) + CHOOSE(CONTROL!$C$27, 0.0021, 0)</f>
        <v>100.42399999999999</v>
      </c>
      <c r="I948" s="14">
        <f>100.4219 * CHOOSE(CONTROL!$C$9, $D$9, 100%, $F$9) + CHOOSE(CONTROL!$C$27, 0.0021, 0)</f>
        <v>100.42399999999999</v>
      </c>
      <c r="J948" s="14">
        <f>100.4219 * CHOOSE(CONTROL!$C$9, $D$9, 100%, $F$9) + CHOOSE(CONTROL!$C$27, 0.0021, 0)</f>
        <v>100.42399999999999</v>
      </c>
      <c r="K948" s="14">
        <f>100.4219 * CHOOSE(CONTROL!$C$9, $D$9, 100%, $F$9) + CHOOSE(CONTROL!$C$27, 0.0021, 0)</f>
        <v>100.42399999999999</v>
      </c>
      <c r="L948" s="14"/>
    </row>
    <row r="949" spans="1:12" ht="15.75" x14ac:dyDescent="0.25">
      <c r="A949" s="32">
        <v>69822</v>
      </c>
      <c r="B949" s="14">
        <f>98.0663 * CHOOSE(CONTROL!$C$9, $D$9, 100%, $F$9) + CHOOSE(CONTROL!$C$27, 0.0021, 0)</f>
        <v>98.068399999999997</v>
      </c>
      <c r="C949" s="14">
        <f>97.6341 * CHOOSE(CONTROL!$C$9, $D$9, 100%, $F$9) + CHOOSE(CONTROL!$C$27, 0.0021, 0)</f>
        <v>97.636200000000002</v>
      </c>
      <c r="D949" s="14">
        <f>97.6341 * CHOOSE(CONTROL!$C$9, $D$9, 100%, $F$9) + CHOOSE(CONTROL!$C$27, 0.0021, 0)</f>
        <v>97.636200000000002</v>
      </c>
      <c r="E949" s="14">
        <f>97.4974 * CHOOSE(CONTROL!$C$9, $D$9, 100%, $F$9) + CHOOSE(CONTROL!$C$27, 0.0021, 0)</f>
        <v>97.499499999999998</v>
      </c>
      <c r="F949" s="14">
        <f>97.4974 * CHOOSE(CONTROL!$C$9, $D$9, 100%, $F$9) + CHOOSE(CONTROL!$C$27, 0.0021, 0)</f>
        <v>97.499499999999998</v>
      </c>
      <c r="G949" s="14">
        <f>97.7688 * CHOOSE(CONTROL!$C$9, $D$9, 100%, $F$9) + CHOOSE(CONTROL!$C$27, 0.0021, 0)</f>
        <v>97.770899999999997</v>
      </c>
      <c r="H949" s="14">
        <f>97.6341 * CHOOSE(CONTROL!$C$9, $D$9, 100%, $F$9) + CHOOSE(CONTROL!$C$27, 0.0021, 0)</f>
        <v>97.636200000000002</v>
      </c>
      <c r="I949" s="14">
        <f>97.6341 * CHOOSE(CONTROL!$C$9, $D$9, 100%, $F$9) + CHOOSE(CONTROL!$C$27, 0.0021, 0)</f>
        <v>97.636200000000002</v>
      </c>
      <c r="J949" s="14">
        <f>97.6341 * CHOOSE(CONTROL!$C$9, $D$9, 100%, $F$9) + CHOOSE(CONTROL!$C$27, 0.0021, 0)</f>
        <v>97.636200000000002</v>
      </c>
      <c r="K949" s="14">
        <f>97.6341 * CHOOSE(CONTROL!$C$9, $D$9, 100%, $F$9) + CHOOSE(CONTROL!$C$27, 0.0021, 0)</f>
        <v>97.636200000000002</v>
      </c>
      <c r="L949" s="14"/>
    </row>
    <row r="950" spans="1:12" ht="15.75" x14ac:dyDescent="0.25">
      <c r="A950" s="32">
        <v>69853</v>
      </c>
      <c r="B950" s="14">
        <f>96.9155 * CHOOSE(CONTROL!$C$9, $D$9, 100%, $F$9) + CHOOSE(CONTROL!$C$27, 0.0021, 0)</f>
        <v>96.917599999999993</v>
      </c>
      <c r="C950" s="14">
        <f>96.4832 * CHOOSE(CONTROL!$C$9, $D$9, 100%, $F$9) + CHOOSE(CONTROL!$C$27, 0.0021, 0)</f>
        <v>96.485299999999995</v>
      </c>
      <c r="D950" s="14">
        <f>96.4832 * CHOOSE(CONTROL!$C$9, $D$9, 100%, $F$9) + CHOOSE(CONTROL!$C$27, 0.0021, 0)</f>
        <v>96.485299999999995</v>
      </c>
      <c r="E950" s="14">
        <f>96.3466 * CHOOSE(CONTROL!$C$9, $D$9, 100%, $F$9) + CHOOSE(CONTROL!$C$27, 0.0021, 0)</f>
        <v>96.348699999999994</v>
      </c>
      <c r="F950" s="14">
        <f>96.3466 * CHOOSE(CONTROL!$C$9, $D$9, 100%, $F$9) + CHOOSE(CONTROL!$C$27, 0.0021, 0)</f>
        <v>96.348699999999994</v>
      </c>
      <c r="G950" s="14">
        <f>96.6179 * CHOOSE(CONTROL!$C$9, $D$9, 100%, $F$9) + CHOOSE(CONTROL!$C$27, 0.0021, 0)</f>
        <v>96.62</v>
      </c>
      <c r="H950" s="14">
        <f>96.4832 * CHOOSE(CONTROL!$C$9, $D$9, 100%, $F$9) + CHOOSE(CONTROL!$C$27, 0.0021, 0)</f>
        <v>96.485299999999995</v>
      </c>
      <c r="I950" s="14">
        <f>96.4832 * CHOOSE(CONTROL!$C$9, $D$9, 100%, $F$9) + CHOOSE(CONTROL!$C$27, 0.0021, 0)</f>
        <v>96.485299999999995</v>
      </c>
      <c r="J950" s="14">
        <f>96.4832 * CHOOSE(CONTROL!$C$9, $D$9, 100%, $F$9) + CHOOSE(CONTROL!$C$27, 0.0021, 0)</f>
        <v>96.485299999999995</v>
      </c>
      <c r="K950" s="14">
        <f>96.4832 * CHOOSE(CONTROL!$C$9, $D$9, 100%, $F$9) + CHOOSE(CONTROL!$C$27, 0.0021, 0)</f>
        <v>96.485299999999995</v>
      </c>
      <c r="L950" s="14"/>
    </row>
    <row r="951" spans="1:12" ht="15.75" x14ac:dyDescent="0.25">
      <c r="A951" s="32">
        <v>69883</v>
      </c>
      <c r="B951" s="14">
        <f>95.5414 * CHOOSE(CONTROL!$C$9, $D$9, 100%, $F$9) + CHOOSE(CONTROL!$C$27, 0.0021, 0)</f>
        <v>95.543499999999995</v>
      </c>
      <c r="C951" s="14">
        <f>95.1091 * CHOOSE(CONTROL!$C$9, $D$9, 100%, $F$9) + CHOOSE(CONTROL!$C$27, 0.0021, 0)</f>
        <v>95.111199999999997</v>
      </c>
      <c r="D951" s="14">
        <f>95.1091 * CHOOSE(CONTROL!$C$9, $D$9, 100%, $F$9) + CHOOSE(CONTROL!$C$27, 0.0021, 0)</f>
        <v>95.111199999999997</v>
      </c>
      <c r="E951" s="14">
        <f>94.9725 * CHOOSE(CONTROL!$C$9, $D$9, 100%, $F$9) + CHOOSE(CONTROL!$C$27, 0.0021, 0)</f>
        <v>94.974599999999995</v>
      </c>
      <c r="F951" s="14">
        <f>94.9725 * CHOOSE(CONTROL!$C$9, $D$9, 100%, $F$9) + CHOOSE(CONTROL!$C$27, 0.0021, 0)</f>
        <v>94.974599999999995</v>
      </c>
      <c r="G951" s="14">
        <f>95.2438 * CHOOSE(CONTROL!$C$9, $D$9, 100%, $F$9) + CHOOSE(CONTROL!$C$27, 0.0021, 0)</f>
        <v>95.245899999999992</v>
      </c>
      <c r="H951" s="14">
        <f>95.1091 * CHOOSE(CONTROL!$C$9, $D$9, 100%, $F$9) + CHOOSE(CONTROL!$C$27, 0.0021, 0)</f>
        <v>95.111199999999997</v>
      </c>
      <c r="I951" s="14">
        <f>95.1091 * CHOOSE(CONTROL!$C$9, $D$9, 100%, $F$9) + CHOOSE(CONTROL!$C$27, 0.0021, 0)</f>
        <v>95.111199999999997</v>
      </c>
      <c r="J951" s="14">
        <f>95.1091 * CHOOSE(CONTROL!$C$9, $D$9, 100%, $F$9) + CHOOSE(CONTROL!$C$27, 0.0021, 0)</f>
        <v>95.111199999999997</v>
      </c>
      <c r="K951" s="14">
        <f>95.1091 * CHOOSE(CONTROL!$C$9, $D$9, 100%, $F$9) + CHOOSE(CONTROL!$C$27, 0.0021, 0)</f>
        <v>95.111199999999997</v>
      </c>
      <c r="L951" s="14"/>
    </row>
    <row r="952" spans="1:12" ht="15.75" x14ac:dyDescent="0.25">
      <c r="A952" s="32">
        <v>69914</v>
      </c>
      <c r="B952" s="14">
        <f>97.4996 * CHOOSE(CONTROL!$C$9, $D$9, 100%, $F$9) + CHOOSE(CONTROL!$C$27, 0.0021, 0)</f>
        <v>97.5017</v>
      </c>
      <c r="C952" s="14">
        <f>97.0674 * CHOOSE(CONTROL!$C$9, $D$9, 100%, $F$9) + CHOOSE(CONTROL!$C$27, 0.0021, 0)</f>
        <v>97.069500000000005</v>
      </c>
      <c r="D952" s="14">
        <f>97.0674 * CHOOSE(CONTROL!$C$9, $D$9, 100%, $F$9) + CHOOSE(CONTROL!$C$27, 0.0021, 0)</f>
        <v>97.069500000000005</v>
      </c>
      <c r="E952" s="14">
        <f>96.9307 * CHOOSE(CONTROL!$C$9, $D$9, 100%, $F$9) + CHOOSE(CONTROL!$C$27, 0.0021, 0)</f>
        <v>96.9328</v>
      </c>
      <c r="F952" s="14">
        <f>96.9307 * CHOOSE(CONTROL!$C$9, $D$9, 100%, $F$9) + CHOOSE(CONTROL!$C$27, 0.0021, 0)</f>
        <v>96.9328</v>
      </c>
      <c r="G952" s="14">
        <f>97.2021 * CHOOSE(CONTROL!$C$9, $D$9, 100%, $F$9) + CHOOSE(CONTROL!$C$27, 0.0021, 0)</f>
        <v>97.2042</v>
      </c>
      <c r="H952" s="14">
        <f>97.0674 * CHOOSE(CONTROL!$C$9, $D$9, 100%, $F$9) + CHOOSE(CONTROL!$C$27, 0.0021, 0)</f>
        <v>97.069500000000005</v>
      </c>
      <c r="I952" s="14">
        <f>97.0674 * CHOOSE(CONTROL!$C$9, $D$9, 100%, $F$9) + CHOOSE(CONTROL!$C$27, 0.0021, 0)</f>
        <v>97.069500000000005</v>
      </c>
      <c r="J952" s="14">
        <f>97.0674 * CHOOSE(CONTROL!$C$9, $D$9, 100%, $F$9) + CHOOSE(CONTROL!$C$27, 0.0021, 0)</f>
        <v>97.069500000000005</v>
      </c>
      <c r="K952" s="14">
        <f>97.0674 * CHOOSE(CONTROL!$C$9, $D$9, 100%, $F$9) + CHOOSE(CONTROL!$C$27, 0.0021, 0)</f>
        <v>97.069500000000005</v>
      </c>
      <c r="L952" s="14"/>
    </row>
    <row r="953" spans="1:12" ht="15.75" x14ac:dyDescent="0.25">
      <c r="A953" s="32">
        <v>69944</v>
      </c>
      <c r="B953" s="14">
        <f>98.6726 * CHOOSE(CONTROL!$C$9, $D$9, 100%, $F$9) + CHOOSE(CONTROL!$C$27, 0.0021, 0)</f>
        <v>98.674700000000001</v>
      </c>
      <c r="C953" s="14">
        <f>98.2403 * CHOOSE(CONTROL!$C$9, $D$9, 100%, $F$9) + CHOOSE(CONTROL!$C$27, 0.0021, 0)</f>
        <v>98.242400000000004</v>
      </c>
      <c r="D953" s="14">
        <f>98.2403 * CHOOSE(CONTROL!$C$9, $D$9, 100%, $F$9) + CHOOSE(CONTROL!$C$27, 0.0021, 0)</f>
        <v>98.242400000000004</v>
      </c>
      <c r="E953" s="14">
        <f>98.1037 * CHOOSE(CONTROL!$C$9, $D$9, 100%, $F$9) + CHOOSE(CONTROL!$C$27, 0.0021, 0)</f>
        <v>98.105800000000002</v>
      </c>
      <c r="F953" s="14">
        <f>98.1037 * CHOOSE(CONTROL!$C$9, $D$9, 100%, $F$9) + CHOOSE(CONTROL!$C$27, 0.0021, 0)</f>
        <v>98.105800000000002</v>
      </c>
      <c r="G953" s="14">
        <f>98.375 * CHOOSE(CONTROL!$C$9, $D$9, 100%, $F$9) + CHOOSE(CONTROL!$C$27, 0.0021, 0)</f>
        <v>98.377099999999999</v>
      </c>
      <c r="H953" s="14">
        <f>98.2403 * CHOOSE(CONTROL!$C$9, $D$9, 100%, $F$9) + CHOOSE(CONTROL!$C$27, 0.0021, 0)</f>
        <v>98.242400000000004</v>
      </c>
      <c r="I953" s="14">
        <f>98.2403 * CHOOSE(CONTROL!$C$9, $D$9, 100%, $F$9) + CHOOSE(CONTROL!$C$27, 0.0021, 0)</f>
        <v>98.242400000000004</v>
      </c>
      <c r="J953" s="14">
        <f>98.2403 * CHOOSE(CONTROL!$C$9, $D$9, 100%, $F$9) + CHOOSE(CONTROL!$C$27, 0.0021, 0)</f>
        <v>98.242400000000004</v>
      </c>
      <c r="K953" s="14">
        <f>98.2403 * CHOOSE(CONTROL!$C$9, $D$9, 100%, $F$9) + CHOOSE(CONTROL!$C$27, 0.0021, 0)</f>
        <v>98.242400000000004</v>
      </c>
      <c r="L953" s="14"/>
    </row>
    <row r="954" spans="1:12" ht="15.75" x14ac:dyDescent="0.25">
      <c r="A954" s="32">
        <v>69975</v>
      </c>
      <c r="B954" s="14">
        <f>100.6075 * CHOOSE(CONTROL!$C$9, $D$9, 100%, $F$9) + CHOOSE(CONTROL!$C$27, 0.0021, 0)</f>
        <v>100.6096</v>
      </c>
      <c r="C954" s="14">
        <f>100.1752 * CHOOSE(CONTROL!$C$9, $D$9, 100%, $F$9) + CHOOSE(CONTROL!$C$27, 0.0021, 0)</f>
        <v>100.1773</v>
      </c>
      <c r="D954" s="14">
        <f>100.1752 * CHOOSE(CONTROL!$C$9, $D$9, 100%, $F$9) + CHOOSE(CONTROL!$C$27, 0.0021, 0)</f>
        <v>100.1773</v>
      </c>
      <c r="E954" s="14">
        <f>100.0386 * CHOOSE(CONTROL!$C$9, $D$9, 100%, $F$9) + CHOOSE(CONTROL!$C$27, 0.0021, 0)</f>
        <v>100.0407</v>
      </c>
      <c r="F954" s="14">
        <f>100.0386 * CHOOSE(CONTROL!$C$9, $D$9, 100%, $F$9) + CHOOSE(CONTROL!$C$27, 0.0021, 0)</f>
        <v>100.0407</v>
      </c>
      <c r="G954" s="14">
        <f>100.3099 * CHOOSE(CONTROL!$C$9, $D$9, 100%, $F$9) + CHOOSE(CONTROL!$C$27, 0.0021, 0)</f>
        <v>100.312</v>
      </c>
      <c r="H954" s="14">
        <f>100.1752 * CHOOSE(CONTROL!$C$9, $D$9, 100%, $F$9) + CHOOSE(CONTROL!$C$27, 0.0021, 0)</f>
        <v>100.1773</v>
      </c>
      <c r="I954" s="14">
        <f>100.1752 * CHOOSE(CONTROL!$C$9, $D$9, 100%, $F$9) + CHOOSE(CONTROL!$C$27, 0.0021, 0)</f>
        <v>100.1773</v>
      </c>
      <c r="J954" s="14">
        <f>100.1752 * CHOOSE(CONTROL!$C$9, $D$9, 100%, $F$9) + CHOOSE(CONTROL!$C$27, 0.0021, 0)</f>
        <v>100.1773</v>
      </c>
      <c r="K954" s="14">
        <f>100.1752 * CHOOSE(CONTROL!$C$9, $D$9, 100%, $F$9) + CHOOSE(CONTROL!$C$27, 0.0021, 0)</f>
        <v>100.1773</v>
      </c>
      <c r="L954" s="14"/>
    </row>
    <row r="955" spans="1:12" ht="15.75" x14ac:dyDescent="0.25">
      <c r="A955" s="32">
        <v>70006</v>
      </c>
      <c r="B955" s="14">
        <f>101.198 * CHOOSE(CONTROL!$C$9, $D$9, 100%, $F$9) + CHOOSE(CONTROL!$C$27, 0.0021, 0)</f>
        <v>101.20009999999999</v>
      </c>
      <c r="C955" s="14">
        <f>100.7658 * CHOOSE(CONTROL!$C$9, $D$9, 100%, $F$9) + CHOOSE(CONTROL!$C$27, 0.0021, 0)</f>
        <v>100.7679</v>
      </c>
      <c r="D955" s="14">
        <f>100.7658 * CHOOSE(CONTROL!$C$9, $D$9, 100%, $F$9) + CHOOSE(CONTROL!$C$27, 0.0021, 0)</f>
        <v>100.7679</v>
      </c>
      <c r="E955" s="14">
        <f>100.6291 * CHOOSE(CONTROL!$C$9, $D$9, 100%, $F$9) + CHOOSE(CONTROL!$C$27, 0.0021, 0)</f>
        <v>100.63119999999999</v>
      </c>
      <c r="F955" s="14">
        <f>100.6291 * CHOOSE(CONTROL!$C$9, $D$9, 100%, $F$9) + CHOOSE(CONTROL!$C$27, 0.0021, 0)</f>
        <v>100.63119999999999</v>
      </c>
      <c r="G955" s="14">
        <f>100.9005 * CHOOSE(CONTROL!$C$9, $D$9, 100%, $F$9) + CHOOSE(CONTROL!$C$27, 0.0021, 0)</f>
        <v>100.90259999999999</v>
      </c>
      <c r="H955" s="14">
        <f>100.7658 * CHOOSE(CONTROL!$C$9, $D$9, 100%, $F$9) + CHOOSE(CONTROL!$C$27, 0.0021, 0)</f>
        <v>100.7679</v>
      </c>
      <c r="I955" s="14">
        <f>100.7658 * CHOOSE(CONTROL!$C$9, $D$9, 100%, $F$9) + CHOOSE(CONTROL!$C$27, 0.0021, 0)</f>
        <v>100.7679</v>
      </c>
      <c r="J955" s="14">
        <f>100.7658 * CHOOSE(CONTROL!$C$9, $D$9, 100%, $F$9) + CHOOSE(CONTROL!$C$27, 0.0021, 0)</f>
        <v>100.7679</v>
      </c>
      <c r="K955" s="14">
        <f>100.7658 * CHOOSE(CONTROL!$C$9, $D$9, 100%, $F$9) + CHOOSE(CONTROL!$C$27, 0.0021, 0)</f>
        <v>100.7679</v>
      </c>
      <c r="L955" s="14"/>
    </row>
    <row r="956" spans="1:12" ht="15.75" x14ac:dyDescent="0.25">
      <c r="A956" s="32">
        <v>70036</v>
      </c>
      <c r="B956" s="14">
        <f>103.2093 * CHOOSE(CONTROL!$C$9, $D$9, 100%, $F$9) + CHOOSE(CONTROL!$C$27, 0.0021, 0)</f>
        <v>103.2114</v>
      </c>
      <c r="C956" s="14">
        <f>102.777 * CHOOSE(CONTROL!$C$9, $D$9, 100%, $F$9) + CHOOSE(CONTROL!$C$27, 0.0021, 0)</f>
        <v>102.7791</v>
      </c>
      <c r="D956" s="14">
        <f>102.777 * CHOOSE(CONTROL!$C$9, $D$9, 100%, $F$9) + CHOOSE(CONTROL!$C$27, 0.0021, 0)</f>
        <v>102.7791</v>
      </c>
      <c r="E956" s="14">
        <f>102.6404 * CHOOSE(CONTROL!$C$9, $D$9, 100%, $F$9) + CHOOSE(CONTROL!$C$27, 0.0021, 0)</f>
        <v>102.6425</v>
      </c>
      <c r="F956" s="14">
        <f>102.6404 * CHOOSE(CONTROL!$C$9, $D$9, 100%, $F$9) + CHOOSE(CONTROL!$C$27, 0.0021, 0)</f>
        <v>102.6425</v>
      </c>
      <c r="G956" s="14">
        <f>102.9118 * CHOOSE(CONTROL!$C$9, $D$9, 100%, $F$9) + CHOOSE(CONTROL!$C$27, 0.0021, 0)</f>
        <v>102.9139</v>
      </c>
      <c r="H956" s="14">
        <f>102.777 * CHOOSE(CONTROL!$C$9, $D$9, 100%, $F$9) + CHOOSE(CONTROL!$C$27, 0.0021, 0)</f>
        <v>102.7791</v>
      </c>
      <c r="I956" s="14">
        <f>102.777 * CHOOSE(CONTROL!$C$9, $D$9, 100%, $F$9) + CHOOSE(CONTROL!$C$27, 0.0021, 0)</f>
        <v>102.7791</v>
      </c>
      <c r="J956" s="14">
        <f>102.777 * CHOOSE(CONTROL!$C$9, $D$9, 100%, $F$9) + CHOOSE(CONTROL!$C$27, 0.0021, 0)</f>
        <v>102.7791</v>
      </c>
      <c r="K956" s="14">
        <f>102.777 * CHOOSE(CONTROL!$C$9, $D$9, 100%, $F$9) + CHOOSE(CONTROL!$C$27, 0.0021, 0)</f>
        <v>102.7791</v>
      </c>
      <c r="L956" s="14"/>
    </row>
    <row r="957" spans="1:12" ht="15.75" x14ac:dyDescent="0.25">
      <c r="A957" s="32">
        <v>70067</v>
      </c>
      <c r="B957" s="14">
        <f>105.7552 * CHOOSE(CONTROL!$C$9, $D$9, 100%, $F$9) + CHOOSE(CONTROL!$C$27, 0.0021, 0)</f>
        <v>105.7573</v>
      </c>
      <c r="C957" s="14">
        <f>105.3229 * CHOOSE(CONTROL!$C$9, $D$9, 100%, $F$9) + CHOOSE(CONTROL!$C$27, 0.0021, 0)</f>
        <v>105.325</v>
      </c>
      <c r="D957" s="14">
        <f>105.3229 * CHOOSE(CONTROL!$C$9, $D$9, 100%, $F$9) + CHOOSE(CONTROL!$C$27, 0.0021, 0)</f>
        <v>105.325</v>
      </c>
      <c r="E957" s="14">
        <f>105.1863 * CHOOSE(CONTROL!$C$9, $D$9, 100%, $F$9) + CHOOSE(CONTROL!$C$27, 0.0021, 0)</f>
        <v>105.1884</v>
      </c>
      <c r="F957" s="14">
        <f>105.1863 * CHOOSE(CONTROL!$C$9, $D$9, 100%, $F$9) + CHOOSE(CONTROL!$C$27, 0.0021, 0)</f>
        <v>105.1884</v>
      </c>
      <c r="G957" s="14">
        <f>105.4577 * CHOOSE(CONTROL!$C$9, $D$9, 100%, $F$9) + CHOOSE(CONTROL!$C$27, 0.0021, 0)</f>
        <v>105.4598</v>
      </c>
      <c r="H957" s="14">
        <f>105.3229 * CHOOSE(CONTROL!$C$9, $D$9, 100%, $F$9) + CHOOSE(CONTROL!$C$27, 0.0021, 0)</f>
        <v>105.325</v>
      </c>
      <c r="I957" s="14">
        <f>105.3229 * CHOOSE(CONTROL!$C$9, $D$9, 100%, $F$9) + CHOOSE(CONTROL!$C$27, 0.0021, 0)</f>
        <v>105.325</v>
      </c>
      <c r="J957" s="14">
        <f>105.3229 * CHOOSE(CONTROL!$C$9, $D$9, 100%, $F$9) + CHOOSE(CONTROL!$C$27, 0.0021, 0)</f>
        <v>105.325</v>
      </c>
      <c r="K957" s="14">
        <f>105.3229 * CHOOSE(CONTROL!$C$9, $D$9, 100%, $F$9) + CHOOSE(CONTROL!$C$27, 0.0021, 0)</f>
        <v>105.325</v>
      </c>
      <c r="L957" s="14"/>
    </row>
    <row r="958" spans="1:12" ht="15.75" x14ac:dyDescent="0.25">
      <c r="A958" s="32">
        <v>70097</v>
      </c>
      <c r="B958" s="14">
        <f>105.9942 * CHOOSE(CONTROL!$C$9, $D$9, 100%, $F$9) + CHOOSE(CONTROL!$C$27, 0.0021, 0)</f>
        <v>105.99630000000001</v>
      </c>
      <c r="C958" s="14">
        <f>105.5619 * CHOOSE(CONTROL!$C$9, $D$9, 100%, $F$9) + CHOOSE(CONTROL!$C$27, 0.0021, 0)</f>
        <v>105.56399999999999</v>
      </c>
      <c r="D958" s="14">
        <f>105.5619 * CHOOSE(CONTROL!$C$9, $D$9, 100%, $F$9) + CHOOSE(CONTROL!$C$27, 0.0021, 0)</f>
        <v>105.56399999999999</v>
      </c>
      <c r="E958" s="14">
        <f>105.4253 * CHOOSE(CONTROL!$C$9, $D$9, 100%, $F$9) + CHOOSE(CONTROL!$C$27, 0.0021, 0)</f>
        <v>105.42739999999999</v>
      </c>
      <c r="F958" s="14">
        <f>105.4253 * CHOOSE(CONTROL!$C$9, $D$9, 100%, $F$9) + CHOOSE(CONTROL!$C$27, 0.0021, 0)</f>
        <v>105.42739999999999</v>
      </c>
      <c r="G958" s="14">
        <f>105.6967 * CHOOSE(CONTROL!$C$9, $D$9, 100%, $F$9) + CHOOSE(CONTROL!$C$27, 0.0021, 0)</f>
        <v>105.69880000000001</v>
      </c>
      <c r="H958" s="14">
        <f>105.5619 * CHOOSE(CONTROL!$C$9, $D$9, 100%, $F$9) + CHOOSE(CONTROL!$C$27, 0.0021, 0)</f>
        <v>105.56399999999999</v>
      </c>
      <c r="I958" s="14">
        <f>105.5619 * CHOOSE(CONTROL!$C$9, $D$9, 100%, $F$9) + CHOOSE(CONTROL!$C$27, 0.0021, 0)</f>
        <v>105.56399999999999</v>
      </c>
      <c r="J958" s="14">
        <f>105.5619 * CHOOSE(CONTROL!$C$9, $D$9, 100%, $F$9) + CHOOSE(CONTROL!$C$27, 0.0021, 0)</f>
        <v>105.56399999999999</v>
      </c>
      <c r="K958" s="14">
        <f>105.5619 * CHOOSE(CONTROL!$C$9, $D$9, 100%, $F$9) + CHOOSE(CONTROL!$C$27, 0.0021, 0)</f>
        <v>105.56399999999999</v>
      </c>
      <c r="L958" s="14"/>
    </row>
    <row r="959" spans="1:12" ht="15.75" x14ac:dyDescent="0.25">
      <c r="A959" s="32">
        <v>70128</v>
      </c>
      <c r="B959" s="14">
        <f>103.9608 * CHOOSE(CONTROL!$C$9, $D$9, 100%, $F$9) + CHOOSE(CONTROL!$C$27, 0.0021, 0)</f>
        <v>103.9629</v>
      </c>
      <c r="C959" s="14">
        <f>103.5286 * CHOOSE(CONTROL!$C$9, $D$9, 100%, $F$9) + CHOOSE(CONTROL!$C$27, 0.0021, 0)</f>
        <v>103.5307</v>
      </c>
      <c r="D959" s="14">
        <f>103.5286 * CHOOSE(CONTROL!$C$9, $D$9, 100%, $F$9) + CHOOSE(CONTROL!$C$27, 0.0021, 0)</f>
        <v>103.5307</v>
      </c>
      <c r="E959" s="14">
        <f>103.3919 * CHOOSE(CONTROL!$C$9, $D$9, 100%, $F$9) + CHOOSE(CONTROL!$C$27, 0.0021, 0)</f>
        <v>103.39400000000001</v>
      </c>
      <c r="F959" s="14">
        <f>103.3919 * CHOOSE(CONTROL!$C$9, $D$9, 100%, $F$9) + CHOOSE(CONTROL!$C$27, 0.0021, 0)</f>
        <v>103.39400000000001</v>
      </c>
      <c r="G959" s="14">
        <f>103.6633 * CHOOSE(CONTROL!$C$9, $D$9, 100%, $F$9) + CHOOSE(CONTROL!$C$27, 0.0021, 0)</f>
        <v>103.66540000000001</v>
      </c>
      <c r="H959" s="14">
        <f>103.5286 * CHOOSE(CONTROL!$C$9, $D$9, 100%, $F$9) + CHOOSE(CONTROL!$C$27, 0.0021, 0)</f>
        <v>103.5307</v>
      </c>
      <c r="I959" s="14">
        <f>103.5286 * CHOOSE(CONTROL!$C$9, $D$9, 100%, $F$9) + CHOOSE(CONTROL!$C$27, 0.0021, 0)</f>
        <v>103.5307</v>
      </c>
      <c r="J959" s="14">
        <f>103.5286 * CHOOSE(CONTROL!$C$9, $D$9, 100%, $F$9) + CHOOSE(CONTROL!$C$27, 0.0021, 0)</f>
        <v>103.5307</v>
      </c>
      <c r="K959" s="14">
        <f>103.5286 * CHOOSE(CONTROL!$C$9, $D$9, 100%, $F$9) + CHOOSE(CONTROL!$C$27, 0.0021, 0)</f>
        <v>103.5307</v>
      </c>
      <c r="L959" s="14"/>
    </row>
    <row r="960" spans="1:12" ht="15.75" x14ac:dyDescent="0.25">
      <c r="A960" s="32">
        <v>70159</v>
      </c>
      <c r="B960" s="14">
        <f>102.6288 * CHOOSE(CONTROL!$C$9, $D$9, 100%, $F$9) + CHOOSE(CONTROL!$C$27, 0.0021, 0)</f>
        <v>102.6309</v>
      </c>
      <c r="C960" s="14">
        <f>102.1965 * CHOOSE(CONTROL!$C$9, $D$9, 100%, $F$9) + CHOOSE(CONTROL!$C$27, 0.0021, 0)</f>
        <v>102.1986</v>
      </c>
      <c r="D960" s="14">
        <f>102.1965 * CHOOSE(CONTROL!$C$9, $D$9, 100%, $F$9) + CHOOSE(CONTROL!$C$27, 0.0021, 0)</f>
        <v>102.1986</v>
      </c>
      <c r="E960" s="14">
        <f>102.0598 * CHOOSE(CONTROL!$C$9, $D$9, 100%, $F$9) + CHOOSE(CONTROL!$C$27, 0.0021, 0)</f>
        <v>102.06189999999999</v>
      </c>
      <c r="F960" s="14">
        <f>102.0598 * CHOOSE(CONTROL!$C$9, $D$9, 100%, $F$9) + CHOOSE(CONTROL!$C$27, 0.0021, 0)</f>
        <v>102.06189999999999</v>
      </c>
      <c r="G960" s="14">
        <f>102.3312 * CHOOSE(CONTROL!$C$9, $D$9, 100%, $F$9) + CHOOSE(CONTROL!$C$27, 0.0021, 0)</f>
        <v>102.33329999999999</v>
      </c>
      <c r="H960" s="14">
        <f>102.1965 * CHOOSE(CONTROL!$C$9, $D$9, 100%, $F$9) + CHOOSE(CONTROL!$C$27, 0.0021, 0)</f>
        <v>102.1986</v>
      </c>
      <c r="I960" s="14">
        <f>102.1965 * CHOOSE(CONTROL!$C$9, $D$9, 100%, $F$9) + CHOOSE(CONTROL!$C$27, 0.0021, 0)</f>
        <v>102.1986</v>
      </c>
      <c r="J960" s="14">
        <f>102.1965 * CHOOSE(CONTROL!$C$9, $D$9, 100%, $F$9) + CHOOSE(CONTROL!$C$27, 0.0021, 0)</f>
        <v>102.1986</v>
      </c>
      <c r="K960" s="14">
        <f>102.1965 * CHOOSE(CONTROL!$C$9, $D$9, 100%, $F$9) + CHOOSE(CONTROL!$C$27, 0.0021, 0)</f>
        <v>102.1986</v>
      </c>
      <c r="L960" s="14"/>
    </row>
    <row r="961" spans="1:12" ht="15.75" x14ac:dyDescent="0.25">
      <c r="A961" s="32">
        <v>70188</v>
      </c>
      <c r="B961" s="14">
        <f>99.7907 * CHOOSE(CONTROL!$C$9, $D$9, 100%, $F$9) + CHOOSE(CONTROL!$C$27, 0.0021, 0)</f>
        <v>99.7928</v>
      </c>
      <c r="C961" s="14">
        <f>99.3584 * CHOOSE(CONTROL!$C$9, $D$9, 100%, $F$9) + CHOOSE(CONTROL!$C$27, 0.0021, 0)</f>
        <v>99.360500000000002</v>
      </c>
      <c r="D961" s="14">
        <f>99.3584 * CHOOSE(CONTROL!$C$9, $D$9, 100%, $F$9) + CHOOSE(CONTROL!$C$27, 0.0021, 0)</f>
        <v>99.360500000000002</v>
      </c>
      <c r="E961" s="14">
        <f>99.2218 * CHOOSE(CONTROL!$C$9, $D$9, 100%, $F$9) + CHOOSE(CONTROL!$C$27, 0.0021, 0)</f>
        <v>99.2239</v>
      </c>
      <c r="F961" s="14">
        <f>99.2218 * CHOOSE(CONTROL!$C$9, $D$9, 100%, $F$9) + CHOOSE(CONTROL!$C$27, 0.0021, 0)</f>
        <v>99.2239</v>
      </c>
      <c r="G961" s="14">
        <f>99.4932 * CHOOSE(CONTROL!$C$9, $D$9, 100%, $F$9) + CHOOSE(CONTROL!$C$27, 0.0021, 0)</f>
        <v>99.4953</v>
      </c>
      <c r="H961" s="14">
        <f>99.3584 * CHOOSE(CONTROL!$C$9, $D$9, 100%, $F$9) + CHOOSE(CONTROL!$C$27, 0.0021, 0)</f>
        <v>99.360500000000002</v>
      </c>
      <c r="I961" s="14">
        <f>99.3584 * CHOOSE(CONTROL!$C$9, $D$9, 100%, $F$9) + CHOOSE(CONTROL!$C$27, 0.0021, 0)</f>
        <v>99.360500000000002</v>
      </c>
      <c r="J961" s="14">
        <f>99.3584 * CHOOSE(CONTROL!$C$9, $D$9, 100%, $F$9) + CHOOSE(CONTROL!$C$27, 0.0021, 0)</f>
        <v>99.360500000000002</v>
      </c>
      <c r="K961" s="14">
        <f>99.3584 * CHOOSE(CONTROL!$C$9, $D$9, 100%, $F$9) + CHOOSE(CONTROL!$C$27, 0.0021, 0)</f>
        <v>99.360500000000002</v>
      </c>
      <c r="L961" s="14"/>
    </row>
    <row r="962" spans="1:12" ht="15.75" x14ac:dyDescent="0.25">
      <c r="A962" s="32">
        <v>70219</v>
      </c>
      <c r="B962" s="14">
        <f>98.6191 * CHOOSE(CONTROL!$C$9, $D$9, 100%, $F$9) + CHOOSE(CONTROL!$C$27, 0.0021, 0)</f>
        <v>98.621200000000002</v>
      </c>
      <c r="C962" s="14">
        <f>98.1869 * CHOOSE(CONTROL!$C$9, $D$9, 100%, $F$9) + CHOOSE(CONTROL!$C$27, 0.0021, 0)</f>
        <v>98.188999999999993</v>
      </c>
      <c r="D962" s="14">
        <f>98.1869 * CHOOSE(CONTROL!$C$9, $D$9, 100%, $F$9) + CHOOSE(CONTROL!$C$27, 0.0021, 0)</f>
        <v>98.188999999999993</v>
      </c>
      <c r="E962" s="14">
        <f>98.0502 * CHOOSE(CONTROL!$C$9, $D$9, 100%, $F$9) + CHOOSE(CONTROL!$C$27, 0.0021, 0)</f>
        <v>98.052300000000002</v>
      </c>
      <c r="F962" s="14">
        <f>98.0502 * CHOOSE(CONTROL!$C$9, $D$9, 100%, $F$9) + CHOOSE(CONTROL!$C$27, 0.0021, 0)</f>
        <v>98.052300000000002</v>
      </c>
      <c r="G962" s="14">
        <f>98.3216 * CHOOSE(CONTROL!$C$9, $D$9, 100%, $F$9) + CHOOSE(CONTROL!$C$27, 0.0021, 0)</f>
        <v>98.323700000000002</v>
      </c>
      <c r="H962" s="14">
        <f>98.1869 * CHOOSE(CONTROL!$C$9, $D$9, 100%, $F$9) + CHOOSE(CONTROL!$C$27, 0.0021, 0)</f>
        <v>98.188999999999993</v>
      </c>
      <c r="I962" s="14">
        <f>98.1869 * CHOOSE(CONTROL!$C$9, $D$9, 100%, $F$9) + CHOOSE(CONTROL!$C$27, 0.0021, 0)</f>
        <v>98.188999999999993</v>
      </c>
      <c r="J962" s="14">
        <f>98.1869 * CHOOSE(CONTROL!$C$9, $D$9, 100%, $F$9) + CHOOSE(CONTROL!$C$27, 0.0021, 0)</f>
        <v>98.188999999999993</v>
      </c>
      <c r="K962" s="14">
        <f>98.1869 * CHOOSE(CONTROL!$C$9, $D$9, 100%, $F$9) + CHOOSE(CONTROL!$C$27, 0.0021, 0)</f>
        <v>98.188999999999993</v>
      </c>
      <c r="L962" s="14"/>
    </row>
    <row r="963" spans="1:12" ht="15.75" x14ac:dyDescent="0.25">
      <c r="A963" s="32">
        <v>70249</v>
      </c>
      <c r="B963" s="14">
        <f>97.2203 * CHOOSE(CONTROL!$C$9, $D$9, 100%, $F$9) + CHOOSE(CONTROL!$C$27, 0.0021, 0)</f>
        <v>97.222399999999993</v>
      </c>
      <c r="C963" s="14">
        <f>96.7881 * CHOOSE(CONTROL!$C$9, $D$9, 100%, $F$9) + CHOOSE(CONTROL!$C$27, 0.0021, 0)</f>
        <v>96.790199999999999</v>
      </c>
      <c r="D963" s="14">
        <f>96.7881 * CHOOSE(CONTROL!$C$9, $D$9, 100%, $F$9) + CHOOSE(CONTROL!$C$27, 0.0021, 0)</f>
        <v>96.790199999999999</v>
      </c>
      <c r="E963" s="14">
        <f>96.6514 * CHOOSE(CONTROL!$C$9, $D$9, 100%, $F$9) + CHOOSE(CONTROL!$C$27, 0.0021, 0)</f>
        <v>96.653499999999994</v>
      </c>
      <c r="F963" s="14">
        <f>96.6514 * CHOOSE(CONTROL!$C$9, $D$9, 100%, $F$9) + CHOOSE(CONTROL!$C$27, 0.0021, 0)</f>
        <v>96.653499999999994</v>
      </c>
      <c r="G963" s="14">
        <f>96.9228 * CHOOSE(CONTROL!$C$9, $D$9, 100%, $F$9) + CHOOSE(CONTROL!$C$27, 0.0021, 0)</f>
        <v>96.924899999999994</v>
      </c>
      <c r="H963" s="14">
        <f>96.7881 * CHOOSE(CONTROL!$C$9, $D$9, 100%, $F$9) + CHOOSE(CONTROL!$C$27, 0.0021, 0)</f>
        <v>96.790199999999999</v>
      </c>
      <c r="I963" s="14">
        <f>96.7881 * CHOOSE(CONTROL!$C$9, $D$9, 100%, $F$9) + CHOOSE(CONTROL!$C$27, 0.0021, 0)</f>
        <v>96.790199999999999</v>
      </c>
      <c r="J963" s="14">
        <f>96.7881 * CHOOSE(CONTROL!$C$9, $D$9, 100%, $F$9) + CHOOSE(CONTROL!$C$27, 0.0021, 0)</f>
        <v>96.790199999999999</v>
      </c>
      <c r="K963" s="14">
        <f>96.7881 * CHOOSE(CONTROL!$C$9, $D$9, 100%, $F$9) + CHOOSE(CONTROL!$C$27, 0.0021, 0)</f>
        <v>96.790199999999999</v>
      </c>
      <c r="L963" s="14"/>
    </row>
    <row r="964" spans="1:12" ht="15.75" x14ac:dyDescent="0.25">
      <c r="A964" s="32">
        <v>70280</v>
      </c>
      <c r="B964" s="14">
        <f>99.2138 * CHOOSE(CONTROL!$C$9, $D$9, 100%, $F$9) + CHOOSE(CONTROL!$C$27, 0.0021, 0)</f>
        <v>99.215900000000005</v>
      </c>
      <c r="C964" s="14">
        <f>98.7816 * CHOOSE(CONTROL!$C$9, $D$9, 100%, $F$9) + CHOOSE(CONTROL!$C$27, 0.0021, 0)</f>
        <v>98.783699999999996</v>
      </c>
      <c r="D964" s="14">
        <f>98.7816 * CHOOSE(CONTROL!$C$9, $D$9, 100%, $F$9) + CHOOSE(CONTROL!$C$27, 0.0021, 0)</f>
        <v>98.783699999999996</v>
      </c>
      <c r="E964" s="14">
        <f>98.6449 * CHOOSE(CONTROL!$C$9, $D$9, 100%, $F$9) + CHOOSE(CONTROL!$C$27, 0.0021, 0)</f>
        <v>98.647000000000006</v>
      </c>
      <c r="F964" s="14">
        <f>98.6449 * CHOOSE(CONTROL!$C$9, $D$9, 100%, $F$9) + CHOOSE(CONTROL!$C$27, 0.0021, 0)</f>
        <v>98.647000000000006</v>
      </c>
      <c r="G964" s="14">
        <f>98.9163 * CHOOSE(CONTROL!$C$9, $D$9, 100%, $F$9) + CHOOSE(CONTROL!$C$27, 0.0021, 0)</f>
        <v>98.918400000000005</v>
      </c>
      <c r="H964" s="14">
        <f>98.7816 * CHOOSE(CONTROL!$C$9, $D$9, 100%, $F$9) + CHOOSE(CONTROL!$C$27, 0.0021, 0)</f>
        <v>98.783699999999996</v>
      </c>
      <c r="I964" s="14">
        <f>98.7816 * CHOOSE(CONTROL!$C$9, $D$9, 100%, $F$9) + CHOOSE(CONTROL!$C$27, 0.0021, 0)</f>
        <v>98.783699999999996</v>
      </c>
      <c r="J964" s="14">
        <f>98.7816 * CHOOSE(CONTROL!$C$9, $D$9, 100%, $F$9) + CHOOSE(CONTROL!$C$27, 0.0021, 0)</f>
        <v>98.783699999999996</v>
      </c>
      <c r="K964" s="14">
        <f>98.7816 * CHOOSE(CONTROL!$C$9, $D$9, 100%, $F$9) + CHOOSE(CONTROL!$C$27, 0.0021, 0)</f>
        <v>98.783699999999996</v>
      </c>
      <c r="L964" s="14"/>
    </row>
    <row r="965" spans="1:12" ht="15.75" x14ac:dyDescent="0.25">
      <c r="A965" s="32">
        <v>70310</v>
      </c>
      <c r="B965" s="14">
        <f>100.4079 * CHOOSE(CONTROL!$C$9, $D$9, 100%, $F$9) + CHOOSE(CONTROL!$C$27, 0.0021, 0)</f>
        <v>100.41</v>
      </c>
      <c r="C965" s="14">
        <f>99.9756 * CHOOSE(CONTROL!$C$9, $D$9, 100%, $F$9) + CHOOSE(CONTROL!$C$27, 0.0021, 0)</f>
        <v>99.977699999999999</v>
      </c>
      <c r="D965" s="14">
        <f>99.9756 * CHOOSE(CONTROL!$C$9, $D$9, 100%, $F$9) + CHOOSE(CONTROL!$C$27, 0.0021, 0)</f>
        <v>99.977699999999999</v>
      </c>
      <c r="E965" s="14">
        <f>99.839 * CHOOSE(CONTROL!$C$9, $D$9, 100%, $F$9) + CHOOSE(CONTROL!$C$27, 0.0021, 0)</f>
        <v>99.841099999999997</v>
      </c>
      <c r="F965" s="14">
        <f>99.839 * CHOOSE(CONTROL!$C$9, $D$9, 100%, $F$9) + CHOOSE(CONTROL!$C$27, 0.0021, 0)</f>
        <v>99.841099999999997</v>
      </c>
      <c r="G965" s="14">
        <f>100.1103 * CHOOSE(CONTROL!$C$9, $D$9, 100%, $F$9) + CHOOSE(CONTROL!$C$27, 0.0021, 0)</f>
        <v>100.11239999999999</v>
      </c>
      <c r="H965" s="14">
        <f>99.9756 * CHOOSE(CONTROL!$C$9, $D$9, 100%, $F$9) + CHOOSE(CONTROL!$C$27, 0.0021, 0)</f>
        <v>99.977699999999999</v>
      </c>
      <c r="I965" s="14">
        <f>99.9756 * CHOOSE(CONTROL!$C$9, $D$9, 100%, $F$9) + CHOOSE(CONTROL!$C$27, 0.0021, 0)</f>
        <v>99.977699999999999</v>
      </c>
      <c r="J965" s="14">
        <f>99.9756 * CHOOSE(CONTROL!$C$9, $D$9, 100%, $F$9) + CHOOSE(CONTROL!$C$27, 0.0021, 0)</f>
        <v>99.977699999999999</v>
      </c>
      <c r="K965" s="14">
        <f>99.9756 * CHOOSE(CONTROL!$C$9, $D$9, 100%, $F$9) + CHOOSE(CONTROL!$C$27, 0.0021, 0)</f>
        <v>99.977699999999999</v>
      </c>
      <c r="L965" s="14"/>
    </row>
    <row r="966" spans="1:12" ht="15.75" x14ac:dyDescent="0.25">
      <c r="A966" s="32">
        <v>70341</v>
      </c>
      <c r="B966" s="14">
        <f>102.3776 * CHOOSE(CONTROL!$C$9, $D$9, 100%, $F$9) + CHOOSE(CONTROL!$C$27, 0.0021, 0)</f>
        <v>102.3797</v>
      </c>
      <c r="C966" s="14">
        <f>101.9454 * CHOOSE(CONTROL!$C$9, $D$9, 100%, $F$9) + CHOOSE(CONTROL!$C$27, 0.0021, 0)</f>
        <v>101.94750000000001</v>
      </c>
      <c r="D966" s="14">
        <f>101.9454 * CHOOSE(CONTROL!$C$9, $D$9, 100%, $F$9) + CHOOSE(CONTROL!$C$27, 0.0021, 0)</f>
        <v>101.94750000000001</v>
      </c>
      <c r="E966" s="14">
        <f>101.8087 * CHOOSE(CONTROL!$C$9, $D$9, 100%, $F$9) + CHOOSE(CONTROL!$C$27, 0.0021, 0)</f>
        <v>101.8108</v>
      </c>
      <c r="F966" s="14">
        <f>101.8087 * CHOOSE(CONTROL!$C$9, $D$9, 100%, $F$9) + CHOOSE(CONTROL!$C$27, 0.0021, 0)</f>
        <v>101.8108</v>
      </c>
      <c r="G966" s="14">
        <f>102.0801 * CHOOSE(CONTROL!$C$9, $D$9, 100%, $F$9) + CHOOSE(CONTROL!$C$27, 0.0021, 0)</f>
        <v>102.0822</v>
      </c>
      <c r="H966" s="14">
        <f>101.9454 * CHOOSE(CONTROL!$C$9, $D$9, 100%, $F$9) + CHOOSE(CONTROL!$C$27, 0.0021, 0)</f>
        <v>101.94750000000001</v>
      </c>
      <c r="I966" s="14">
        <f>101.9454 * CHOOSE(CONTROL!$C$9, $D$9, 100%, $F$9) + CHOOSE(CONTROL!$C$27, 0.0021, 0)</f>
        <v>101.94750000000001</v>
      </c>
      <c r="J966" s="14">
        <f>101.9454 * CHOOSE(CONTROL!$C$9, $D$9, 100%, $F$9) + CHOOSE(CONTROL!$C$27, 0.0021, 0)</f>
        <v>101.94750000000001</v>
      </c>
      <c r="K966" s="14">
        <f>101.9454 * CHOOSE(CONTROL!$C$9, $D$9, 100%, $F$9) + CHOOSE(CONTROL!$C$27, 0.0021, 0)</f>
        <v>101.94750000000001</v>
      </c>
      <c r="L966" s="14"/>
    </row>
    <row r="967" spans="1:12" ht="15.75" x14ac:dyDescent="0.25">
      <c r="A967" s="32">
        <v>70372</v>
      </c>
      <c r="B967" s="14">
        <f>102.9788 * CHOOSE(CONTROL!$C$9, $D$9, 100%, $F$9) + CHOOSE(CONTROL!$C$27, 0.0021, 0)</f>
        <v>102.98090000000001</v>
      </c>
      <c r="C967" s="14">
        <f>102.5466 * CHOOSE(CONTROL!$C$9, $D$9, 100%, $F$9) + CHOOSE(CONTROL!$C$27, 0.0021, 0)</f>
        <v>102.5487</v>
      </c>
      <c r="D967" s="14">
        <f>102.5466 * CHOOSE(CONTROL!$C$9, $D$9, 100%, $F$9) + CHOOSE(CONTROL!$C$27, 0.0021, 0)</f>
        <v>102.5487</v>
      </c>
      <c r="E967" s="14">
        <f>102.4099 * CHOOSE(CONTROL!$C$9, $D$9, 100%, $F$9) + CHOOSE(CONTROL!$C$27, 0.0021, 0)</f>
        <v>102.41199999999999</v>
      </c>
      <c r="F967" s="14">
        <f>102.4099 * CHOOSE(CONTROL!$C$9, $D$9, 100%, $F$9) + CHOOSE(CONTROL!$C$27, 0.0021, 0)</f>
        <v>102.41199999999999</v>
      </c>
      <c r="G967" s="14">
        <f>102.6813 * CHOOSE(CONTROL!$C$9, $D$9, 100%, $F$9) + CHOOSE(CONTROL!$C$27, 0.0021, 0)</f>
        <v>102.68339999999999</v>
      </c>
      <c r="H967" s="14">
        <f>102.5466 * CHOOSE(CONTROL!$C$9, $D$9, 100%, $F$9) + CHOOSE(CONTROL!$C$27, 0.0021, 0)</f>
        <v>102.5487</v>
      </c>
      <c r="I967" s="14">
        <f>102.5466 * CHOOSE(CONTROL!$C$9, $D$9, 100%, $F$9) + CHOOSE(CONTROL!$C$27, 0.0021, 0)</f>
        <v>102.5487</v>
      </c>
      <c r="J967" s="14">
        <f>102.5466 * CHOOSE(CONTROL!$C$9, $D$9, 100%, $F$9) + CHOOSE(CONTROL!$C$27, 0.0021, 0)</f>
        <v>102.5487</v>
      </c>
      <c r="K967" s="14">
        <f>102.5466 * CHOOSE(CONTROL!$C$9, $D$9, 100%, $F$9) + CHOOSE(CONTROL!$C$27, 0.0021, 0)</f>
        <v>102.5487</v>
      </c>
      <c r="L967" s="14"/>
    </row>
    <row r="968" spans="1:12" ht="15.75" x14ac:dyDescent="0.25">
      <c r="A968" s="32">
        <v>70402</v>
      </c>
      <c r="B968" s="14">
        <f>105.0263 * CHOOSE(CONTROL!$C$9, $D$9, 100%, $F$9) + CHOOSE(CONTROL!$C$27, 0.0021, 0)</f>
        <v>105.0284</v>
      </c>
      <c r="C968" s="14">
        <f>104.594 * CHOOSE(CONTROL!$C$9, $D$9, 100%, $F$9) + CHOOSE(CONTROL!$C$27, 0.0021, 0)</f>
        <v>104.59609999999999</v>
      </c>
      <c r="D968" s="14">
        <f>104.594 * CHOOSE(CONTROL!$C$9, $D$9, 100%, $F$9) + CHOOSE(CONTROL!$C$27, 0.0021, 0)</f>
        <v>104.59609999999999</v>
      </c>
      <c r="E968" s="14">
        <f>104.4574 * CHOOSE(CONTROL!$C$9, $D$9, 100%, $F$9) + CHOOSE(CONTROL!$C$27, 0.0021, 0)</f>
        <v>104.45950000000001</v>
      </c>
      <c r="F968" s="14">
        <f>104.4574 * CHOOSE(CONTROL!$C$9, $D$9, 100%, $F$9) + CHOOSE(CONTROL!$C$27, 0.0021, 0)</f>
        <v>104.45950000000001</v>
      </c>
      <c r="G968" s="14">
        <f>104.7288 * CHOOSE(CONTROL!$C$9, $D$9, 100%, $F$9) + CHOOSE(CONTROL!$C$27, 0.0021, 0)</f>
        <v>104.73090000000001</v>
      </c>
      <c r="H968" s="14">
        <f>104.594 * CHOOSE(CONTROL!$C$9, $D$9, 100%, $F$9) + CHOOSE(CONTROL!$C$27, 0.0021, 0)</f>
        <v>104.59609999999999</v>
      </c>
      <c r="I968" s="14">
        <f>104.594 * CHOOSE(CONTROL!$C$9, $D$9, 100%, $F$9) + CHOOSE(CONTROL!$C$27, 0.0021, 0)</f>
        <v>104.59609999999999</v>
      </c>
      <c r="J968" s="14">
        <f>104.594 * CHOOSE(CONTROL!$C$9, $D$9, 100%, $F$9) + CHOOSE(CONTROL!$C$27, 0.0021, 0)</f>
        <v>104.59609999999999</v>
      </c>
      <c r="K968" s="14">
        <f>104.594 * CHOOSE(CONTROL!$C$9, $D$9, 100%, $F$9) + CHOOSE(CONTROL!$C$27, 0.0021, 0)</f>
        <v>104.59609999999999</v>
      </c>
      <c r="L968" s="14"/>
    </row>
    <row r="969" spans="1:12" ht="15.75" x14ac:dyDescent="0.25">
      <c r="A969" s="32">
        <v>70433</v>
      </c>
      <c r="B969" s="14">
        <f>107.618 * CHOOSE(CONTROL!$C$9, $D$9, 100%, $F$9) + CHOOSE(CONTROL!$C$27, 0.0021, 0)</f>
        <v>107.62009999999999</v>
      </c>
      <c r="C969" s="14">
        <f>107.1858 * CHOOSE(CONTROL!$C$9, $D$9, 100%, $F$9) + CHOOSE(CONTROL!$C$27, 0.0021, 0)</f>
        <v>107.1879</v>
      </c>
      <c r="D969" s="14">
        <f>107.1858 * CHOOSE(CONTROL!$C$9, $D$9, 100%, $F$9) + CHOOSE(CONTROL!$C$27, 0.0021, 0)</f>
        <v>107.1879</v>
      </c>
      <c r="E969" s="14">
        <f>107.0491 * CHOOSE(CONTROL!$C$9, $D$9, 100%, $F$9) + CHOOSE(CONTROL!$C$27, 0.0021, 0)</f>
        <v>107.05119999999999</v>
      </c>
      <c r="F969" s="14">
        <f>107.0491 * CHOOSE(CONTROL!$C$9, $D$9, 100%, $F$9) + CHOOSE(CONTROL!$C$27, 0.0021, 0)</f>
        <v>107.05119999999999</v>
      </c>
      <c r="G969" s="14">
        <f>107.3205 * CHOOSE(CONTROL!$C$9, $D$9, 100%, $F$9) + CHOOSE(CONTROL!$C$27, 0.0021, 0)</f>
        <v>107.32259999999999</v>
      </c>
      <c r="H969" s="14">
        <f>107.1858 * CHOOSE(CONTROL!$C$9, $D$9, 100%, $F$9) + CHOOSE(CONTROL!$C$27, 0.0021, 0)</f>
        <v>107.1879</v>
      </c>
      <c r="I969" s="14">
        <f>107.1858 * CHOOSE(CONTROL!$C$9, $D$9, 100%, $F$9) + CHOOSE(CONTROL!$C$27, 0.0021, 0)</f>
        <v>107.1879</v>
      </c>
      <c r="J969" s="14">
        <f>107.1858 * CHOOSE(CONTROL!$C$9, $D$9, 100%, $F$9) + CHOOSE(CONTROL!$C$27, 0.0021, 0)</f>
        <v>107.1879</v>
      </c>
      <c r="K969" s="14">
        <f>107.1858 * CHOOSE(CONTROL!$C$9, $D$9, 100%, $F$9) + CHOOSE(CONTROL!$C$27, 0.0021, 0)</f>
        <v>107.1879</v>
      </c>
      <c r="L969" s="14"/>
    </row>
    <row r="970" spans="1:12" ht="15.75" x14ac:dyDescent="0.25">
      <c r="A970" s="32">
        <v>70463</v>
      </c>
      <c r="B970" s="14">
        <f>107.8613 * CHOOSE(CONTROL!$C$9, $D$9, 100%, $F$9) + CHOOSE(CONTROL!$C$27, 0.0021, 0)</f>
        <v>107.8634</v>
      </c>
      <c r="C970" s="14">
        <f>107.4291 * CHOOSE(CONTROL!$C$9, $D$9, 100%, $F$9) + CHOOSE(CONTROL!$C$27, 0.0021, 0)</f>
        <v>107.4312</v>
      </c>
      <c r="D970" s="14">
        <f>107.4291 * CHOOSE(CONTROL!$C$9, $D$9, 100%, $F$9) + CHOOSE(CONTROL!$C$27, 0.0021, 0)</f>
        <v>107.4312</v>
      </c>
      <c r="E970" s="14">
        <f>107.2924 * CHOOSE(CONTROL!$C$9, $D$9, 100%, $F$9) + CHOOSE(CONTROL!$C$27, 0.0021, 0)</f>
        <v>107.2945</v>
      </c>
      <c r="F970" s="14">
        <f>107.2924 * CHOOSE(CONTROL!$C$9, $D$9, 100%, $F$9) + CHOOSE(CONTROL!$C$27, 0.0021, 0)</f>
        <v>107.2945</v>
      </c>
      <c r="G970" s="14">
        <f>107.5638 * CHOOSE(CONTROL!$C$9, $D$9, 100%, $F$9) + CHOOSE(CONTROL!$C$27, 0.0021, 0)</f>
        <v>107.5659</v>
      </c>
      <c r="H970" s="14">
        <f>107.4291 * CHOOSE(CONTROL!$C$9, $D$9, 100%, $F$9) + CHOOSE(CONTROL!$C$27, 0.0021, 0)</f>
        <v>107.4312</v>
      </c>
      <c r="I970" s="14">
        <f>107.4291 * CHOOSE(CONTROL!$C$9, $D$9, 100%, $F$9) + CHOOSE(CONTROL!$C$27, 0.0021, 0)</f>
        <v>107.4312</v>
      </c>
      <c r="J970" s="14">
        <f>107.4291 * CHOOSE(CONTROL!$C$9, $D$9, 100%, $F$9) + CHOOSE(CONTROL!$C$27, 0.0021, 0)</f>
        <v>107.4312</v>
      </c>
      <c r="K970" s="14">
        <f>107.4291 * CHOOSE(CONTROL!$C$9, $D$9, 100%, $F$9) + CHOOSE(CONTROL!$C$27, 0.0021, 0)</f>
        <v>107.4312</v>
      </c>
      <c r="L970" s="14"/>
    </row>
    <row r="971" spans="1:12" ht="15.75" x14ac:dyDescent="0.25">
      <c r="A971" s="32">
        <v>70494</v>
      </c>
      <c r="B971" s="14">
        <f>105.7914 * CHOOSE(CONTROL!$C$9, $D$9, 100%, $F$9) + CHOOSE(CONTROL!$C$27, 0.0021, 0)</f>
        <v>105.79349999999999</v>
      </c>
      <c r="C971" s="14">
        <f>105.3591 * CHOOSE(CONTROL!$C$9, $D$9, 100%, $F$9) + CHOOSE(CONTROL!$C$27, 0.0021, 0)</f>
        <v>105.3612</v>
      </c>
      <c r="D971" s="14">
        <f>105.3591 * CHOOSE(CONTROL!$C$9, $D$9, 100%, $F$9) + CHOOSE(CONTROL!$C$27, 0.0021, 0)</f>
        <v>105.3612</v>
      </c>
      <c r="E971" s="14">
        <f>105.2225 * CHOOSE(CONTROL!$C$9, $D$9, 100%, $F$9) + CHOOSE(CONTROL!$C$27, 0.0021, 0)</f>
        <v>105.2246</v>
      </c>
      <c r="F971" s="14">
        <f>105.2225 * CHOOSE(CONTROL!$C$9, $D$9, 100%, $F$9) + CHOOSE(CONTROL!$C$27, 0.0021, 0)</f>
        <v>105.2246</v>
      </c>
      <c r="G971" s="14">
        <f>105.4938 * CHOOSE(CONTROL!$C$9, $D$9, 100%, $F$9) + CHOOSE(CONTROL!$C$27, 0.0021, 0)</f>
        <v>105.49589999999999</v>
      </c>
      <c r="H971" s="14">
        <f>105.3591 * CHOOSE(CONTROL!$C$9, $D$9, 100%, $F$9) + CHOOSE(CONTROL!$C$27, 0.0021, 0)</f>
        <v>105.3612</v>
      </c>
      <c r="I971" s="14">
        <f>105.3591 * CHOOSE(CONTROL!$C$9, $D$9, 100%, $F$9) + CHOOSE(CONTROL!$C$27, 0.0021, 0)</f>
        <v>105.3612</v>
      </c>
      <c r="J971" s="14">
        <f>105.3591 * CHOOSE(CONTROL!$C$9, $D$9, 100%, $F$9) + CHOOSE(CONTROL!$C$27, 0.0021, 0)</f>
        <v>105.3612</v>
      </c>
      <c r="K971" s="14">
        <f>105.3591 * CHOOSE(CONTROL!$C$9, $D$9, 100%, $F$9) + CHOOSE(CONTROL!$C$27, 0.0021, 0)</f>
        <v>105.3612</v>
      </c>
      <c r="L971" s="14"/>
    </row>
    <row r="972" spans="1:12" ht="15.75" x14ac:dyDescent="0.25">
      <c r="A972" s="32">
        <v>70525</v>
      </c>
      <c r="B972" s="14">
        <f>104.4353 * CHOOSE(CONTROL!$C$9, $D$9, 100%, $F$9) + CHOOSE(CONTROL!$C$27, 0.0021, 0)</f>
        <v>104.4374</v>
      </c>
      <c r="C972" s="14">
        <f>104.003 * CHOOSE(CONTROL!$C$9, $D$9, 100%, $F$9) + CHOOSE(CONTROL!$C$27, 0.0021, 0)</f>
        <v>104.0051</v>
      </c>
      <c r="D972" s="14">
        <f>104.003 * CHOOSE(CONTROL!$C$9, $D$9, 100%, $F$9) + CHOOSE(CONTROL!$C$27, 0.0021, 0)</f>
        <v>104.0051</v>
      </c>
      <c r="E972" s="14">
        <f>103.8664 * CHOOSE(CONTROL!$C$9, $D$9, 100%, $F$9) + CHOOSE(CONTROL!$C$27, 0.0021, 0)</f>
        <v>103.8685</v>
      </c>
      <c r="F972" s="14">
        <f>103.8664 * CHOOSE(CONTROL!$C$9, $D$9, 100%, $F$9) + CHOOSE(CONTROL!$C$27, 0.0021, 0)</f>
        <v>103.8685</v>
      </c>
      <c r="G972" s="14">
        <f>104.1378 * CHOOSE(CONTROL!$C$9, $D$9, 100%, $F$9) + CHOOSE(CONTROL!$C$27, 0.0021, 0)</f>
        <v>104.1399</v>
      </c>
      <c r="H972" s="14">
        <f>104.003 * CHOOSE(CONTROL!$C$9, $D$9, 100%, $F$9) + CHOOSE(CONTROL!$C$27, 0.0021, 0)</f>
        <v>104.0051</v>
      </c>
      <c r="I972" s="14">
        <f>104.003 * CHOOSE(CONTROL!$C$9, $D$9, 100%, $F$9) + CHOOSE(CONTROL!$C$27, 0.0021, 0)</f>
        <v>104.0051</v>
      </c>
      <c r="J972" s="14">
        <f>104.003 * CHOOSE(CONTROL!$C$9, $D$9, 100%, $F$9) + CHOOSE(CONTROL!$C$27, 0.0021, 0)</f>
        <v>104.0051</v>
      </c>
      <c r="K972" s="14">
        <f>104.003 * CHOOSE(CONTROL!$C$9, $D$9, 100%, $F$9) + CHOOSE(CONTROL!$C$27, 0.0021, 0)</f>
        <v>104.0051</v>
      </c>
      <c r="L972" s="14"/>
    </row>
    <row r="973" spans="1:12" ht="15.75" x14ac:dyDescent="0.25">
      <c r="A973" s="32">
        <v>70553</v>
      </c>
      <c r="B973" s="14">
        <f>101.5461 * CHOOSE(CONTROL!$C$9, $D$9, 100%, $F$9) + CHOOSE(CONTROL!$C$27, 0.0021, 0)</f>
        <v>101.54819999999999</v>
      </c>
      <c r="C973" s="14">
        <f>101.1139 * CHOOSE(CONTROL!$C$9, $D$9, 100%, $F$9) + CHOOSE(CONTROL!$C$27, 0.0021, 0)</f>
        <v>101.116</v>
      </c>
      <c r="D973" s="14">
        <f>101.1139 * CHOOSE(CONTROL!$C$9, $D$9, 100%, $F$9) + CHOOSE(CONTROL!$C$27, 0.0021, 0)</f>
        <v>101.116</v>
      </c>
      <c r="E973" s="14">
        <f>100.9772 * CHOOSE(CONTROL!$C$9, $D$9, 100%, $F$9) + CHOOSE(CONTROL!$C$27, 0.0021, 0)</f>
        <v>100.97929999999999</v>
      </c>
      <c r="F973" s="14">
        <f>100.9772 * CHOOSE(CONTROL!$C$9, $D$9, 100%, $F$9) + CHOOSE(CONTROL!$C$27, 0.0021, 0)</f>
        <v>100.97929999999999</v>
      </c>
      <c r="G973" s="14">
        <f>101.2486 * CHOOSE(CONTROL!$C$9, $D$9, 100%, $F$9) + CHOOSE(CONTROL!$C$27, 0.0021, 0)</f>
        <v>101.25069999999999</v>
      </c>
      <c r="H973" s="14">
        <f>101.1139 * CHOOSE(CONTROL!$C$9, $D$9, 100%, $F$9) + CHOOSE(CONTROL!$C$27, 0.0021, 0)</f>
        <v>101.116</v>
      </c>
      <c r="I973" s="14">
        <f>101.1139 * CHOOSE(CONTROL!$C$9, $D$9, 100%, $F$9) + CHOOSE(CONTROL!$C$27, 0.0021, 0)</f>
        <v>101.116</v>
      </c>
      <c r="J973" s="14">
        <f>101.1139 * CHOOSE(CONTROL!$C$9, $D$9, 100%, $F$9) + CHOOSE(CONTROL!$C$27, 0.0021, 0)</f>
        <v>101.116</v>
      </c>
      <c r="K973" s="14">
        <f>101.1139 * CHOOSE(CONTROL!$C$9, $D$9, 100%, $F$9) + CHOOSE(CONTROL!$C$27, 0.0021, 0)</f>
        <v>101.116</v>
      </c>
      <c r="L973" s="14"/>
    </row>
    <row r="974" spans="1:12" ht="15.75" x14ac:dyDescent="0.25">
      <c r="A974" s="32">
        <v>70584</v>
      </c>
      <c r="B974" s="14">
        <f>100.3535 * CHOOSE(CONTROL!$C$9, $D$9, 100%, $F$9) + CHOOSE(CONTROL!$C$27, 0.0021, 0)</f>
        <v>100.3556</v>
      </c>
      <c r="C974" s="14">
        <f>99.9213 * CHOOSE(CONTROL!$C$9, $D$9, 100%, $F$9) + CHOOSE(CONTROL!$C$27, 0.0021, 0)</f>
        <v>99.923400000000001</v>
      </c>
      <c r="D974" s="14">
        <f>99.9213 * CHOOSE(CONTROL!$C$9, $D$9, 100%, $F$9) + CHOOSE(CONTROL!$C$27, 0.0021, 0)</f>
        <v>99.923400000000001</v>
      </c>
      <c r="E974" s="14">
        <f>99.7846 * CHOOSE(CONTROL!$C$9, $D$9, 100%, $F$9) + CHOOSE(CONTROL!$C$27, 0.0021, 0)</f>
        <v>99.786699999999996</v>
      </c>
      <c r="F974" s="14">
        <f>99.7846 * CHOOSE(CONTROL!$C$9, $D$9, 100%, $F$9) + CHOOSE(CONTROL!$C$27, 0.0021, 0)</f>
        <v>99.786699999999996</v>
      </c>
      <c r="G974" s="14">
        <f>100.056 * CHOOSE(CONTROL!$C$9, $D$9, 100%, $F$9) + CHOOSE(CONTROL!$C$27, 0.0021, 0)</f>
        <v>100.0581</v>
      </c>
      <c r="H974" s="14">
        <f>99.9213 * CHOOSE(CONTROL!$C$9, $D$9, 100%, $F$9) + CHOOSE(CONTROL!$C$27, 0.0021, 0)</f>
        <v>99.923400000000001</v>
      </c>
      <c r="I974" s="14">
        <f>99.9213 * CHOOSE(CONTROL!$C$9, $D$9, 100%, $F$9) + CHOOSE(CONTROL!$C$27, 0.0021, 0)</f>
        <v>99.923400000000001</v>
      </c>
      <c r="J974" s="14">
        <f>99.9213 * CHOOSE(CONTROL!$C$9, $D$9, 100%, $F$9) + CHOOSE(CONTROL!$C$27, 0.0021, 0)</f>
        <v>99.923400000000001</v>
      </c>
      <c r="K974" s="14">
        <f>99.9213 * CHOOSE(CONTROL!$C$9, $D$9, 100%, $F$9) + CHOOSE(CONTROL!$C$27, 0.0021, 0)</f>
        <v>99.923400000000001</v>
      </c>
      <c r="L974" s="14"/>
    </row>
    <row r="975" spans="1:12" ht="15.75" x14ac:dyDescent="0.25">
      <c r="A975" s="32">
        <v>70614</v>
      </c>
      <c r="B975" s="14">
        <f>98.9295 * CHOOSE(CONTROL!$C$9, $D$9, 100%, $F$9) + CHOOSE(CONTROL!$C$27, 0.0021, 0)</f>
        <v>98.931600000000003</v>
      </c>
      <c r="C975" s="14">
        <f>98.4972 * CHOOSE(CONTROL!$C$9, $D$9, 100%, $F$9) + CHOOSE(CONTROL!$C$27, 0.0021, 0)</f>
        <v>98.499300000000005</v>
      </c>
      <c r="D975" s="14">
        <f>98.4972 * CHOOSE(CONTROL!$C$9, $D$9, 100%, $F$9) + CHOOSE(CONTROL!$C$27, 0.0021, 0)</f>
        <v>98.499300000000005</v>
      </c>
      <c r="E975" s="14">
        <f>98.3606 * CHOOSE(CONTROL!$C$9, $D$9, 100%, $F$9) + CHOOSE(CONTROL!$C$27, 0.0021, 0)</f>
        <v>98.362700000000004</v>
      </c>
      <c r="F975" s="14">
        <f>98.3606 * CHOOSE(CONTROL!$C$9, $D$9, 100%, $F$9) + CHOOSE(CONTROL!$C$27, 0.0021, 0)</f>
        <v>98.362700000000004</v>
      </c>
      <c r="G975" s="14">
        <f>98.6319 * CHOOSE(CONTROL!$C$9, $D$9, 100%, $F$9) + CHOOSE(CONTROL!$C$27, 0.0021, 0)</f>
        <v>98.634</v>
      </c>
      <c r="H975" s="14">
        <f>98.4972 * CHOOSE(CONTROL!$C$9, $D$9, 100%, $F$9) + CHOOSE(CONTROL!$C$27, 0.0021, 0)</f>
        <v>98.499300000000005</v>
      </c>
      <c r="I975" s="14">
        <f>98.4972 * CHOOSE(CONTROL!$C$9, $D$9, 100%, $F$9) + CHOOSE(CONTROL!$C$27, 0.0021, 0)</f>
        <v>98.499300000000005</v>
      </c>
      <c r="J975" s="14">
        <f>98.4972 * CHOOSE(CONTROL!$C$9, $D$9, 100%, $F$9) + CHOOSE(CONTROL!$C$27, 0.0021, 0)</f>
        <v>98.499300000000005</v>
      </c>
      <c r="K975" s="14">
        <f>98.4972 * CHOOSE(CONTROL!$C$9, $D$9, 100%, $F$9) + CHOOSE(CONTROL!$C$27, 0.0021, 0)</f>
        <v>98.499300000000005</v>
      </c>
      <c r="L975" s="14"/>
    </row>
    <row r="976" spans="1:12" ht="15.75" x14ac:dyDescent="0.25">
      <c r="A976" s="32">
        <v>70645</v>
      </c>
      <c r="B976" s="14">
        <f>100.9589 * CHOOSE(CONTROL!$C$9, $D$9, 100%, $F$9) + CHOOSE(CONTROL!$C$27, 0.0021, 0)</f>
        <v>100.961</v>
      </c>
      <c r="C976" s="14">
        <f>100.5266 * CHOOSE(CONTROL!$C$9, $D$9, 100%, $F$9) + CHOOSE(CONTROL!$C$27, 0.0021, 0)</f>
        <v>100.5287</v>
      </c>
      <c r="D976" s="14">
        <f>100.5266 * CHOOSE(CONTROL!$C$9, $D$9, 100%, $F$9) + CHOOSE(CONTROL!$C$27, 0.0021, 0)</f>
        <v>100.5287</v>
      </c>
      <c r="E976" s="14">
        <f>100.39 * CHOOSE(CONTROL!$C$9, $D$9, 100%, $F$9) + CHOOSE(CONTROL!$C$27, 0.0021, 0)</f>
        <v>100.3921</v>
      </c>
      <c r="F976" s="14">
        <f>100.39 * CHOOSE(CONTROL!$C$9, $D$9, 100%, $F$9) + CHOOSE(CONTROL!$C$27, 0.0021, 0)</f>
        <v>100.3921</v>
      </c>
      <c r="G976" s="14">
        <f>100.6614 * CHOOSE(CONTROL!$C$9, $D$9, 100%, $F$9) + CHOOSE(CONTROL!$C$27, 0.0021, 0)</f>
        <v>100.6635</v>
      </c>
      <c r="H976" s="14">
        <f>100.5266 * CHOOSE(CONTROL!$C$9, $D$9, 100%, $F$9) + CHOOSE(CONTROL!$C$27, 0.0021, 0)</f>
        <v>100.5287</v>
      </c>
      <c r="I976" s="14">
        <f>100.5266 * CHOOSE(CONTROL!$C$9, $D$9, 100%, $F$9) + CHOOSE(CONTROL!$C$27, 0.0021, 0)</f>
        <v>100.5287</v>
      </c>
      <c r="J976" s="14">
        <f>100.5266 * CHOOSE(CONTROL!$C$9, $D$9, 100%, $F$9) + CHOOSE(CONTROL!$C$27, 0.0021, 0)</f>
        <v>100.5287</v>
      </c>
      <c r="K976" s="14">
        <f>100.5266 * CHOOSE(CONTROL!$C$9, $D$9, 100%, $F$9) + CHOOSE(CONTROL!$C$27, 0.0021, 0)</f>
        <v>100.5287</v>
      </c>
      <c r="L976" s="14"/>
    </row>
    <row r="977" spans="1:12" ht="15.75" x14ac:dyDescent="0.25">
      <c r="A977" s="32">
        <v>70675</v>
      </c>
      <c r="B977" s="14">
        <f>102.1744 * CHOOSE(CONTROL!$C$9, $D$9, 100%, $F$9) + CHOOSE(CONTROL!$C$27, 0.0021, 0)</f>
        <v>102.1765</v>
      </c>
      <c r="C977" s="14">
        <f>101.7422 * CHOOSE(CONTROL!$C$9, $D$9, 100%, $F$9) + CHOOSE(CONTROL!$C$27, 0.0021, 0)</f>
        <v>101.7443</v>
      </c>
      <c r="D977" s="14">
        <f>101.7422 * CHOOSE(CONTROL!$C$9, $D$9, 100%, $F$9) + CHOOSE(CONTROL!$C$27, 0.0021, 0)</f>
        <v>101.7443</v>
      </c>
      <c r="E977" s="14">
        <f>101.6055 * CHOOSE(CONTROL!$C$9, $D$9, 100%, $F$9) + CHOOSE(CONTROL!$C$27, 0.0021, 0)</f>
        <v>101.60760000000001</v>
      </c>
      <c r="F977" s="14">
        <f>101.6055 * CHOOSE(CONTROL!$C$9, $D$9, 100%, $F$9) + CHOOSE(CONTROL!$C$27, 0.0021, 0)</f>
        <v>101.60760000000001</v>
      </c>
      <c r="G977" s="14">
        <f>101.8769 * CHOOSE(CONTROL!$C$9, $D$9, 100%, $F$9) + CHOOSE(CONTROL!$C$27, 0.0021, 0)</f>
        <v>101.879</v>
      </c>
      <c r="H977" s="14">
        <f>101.7422 * CHOOSE(CONTROL!$C$9, $D$9, 100%, $F$9) + CHOOSE(CONTROL!$C$27, 0.0021, 0)</f>
        <v>101.7443</v>
      </c>
      <c r="I977" s="14">
        <f>101.7422 * CHOOSE(CONTROL!$C$9, $D$9, 100%, $F$9) + CHOOSE(CONTROL!$C$27, 0.0021, 0)</f>
        <v>101.7443</v>
      </c>
      <c r="J977" s="14">
        <f>101.7422 * CHOOSE(CONTROL!$C$9, $D$9, 100%, $F$9) + CHOOSE(CONTROL!$C$27, 0.0021, 0)</f>
        <v>101.7443</v>
      </c>
      <c r="K977" s="14">
        <f>101.7422 * CHOOSE(CONTROL!$C$9, $D$9, 100%, $F$9) + CHOOSE(CONTROL!$C$27, 0.0021, 0)</f>
        <v>101.7443</v>
      </c>
      <c r="L977" s="14"/>
    </row>
    <row r="978" spans="1:12" ht="15.75" x14ac:dyDescent="0.25">
      <c r="A978" s="32">
        <v>70706</v>
      </c>
      <c r="B978" s="14">
        <f>104.1796 * CHOOSE(CONTROL!$C$9, $D$9, 100%, $F$9) + CHOOSE(CONTROL!$C$27, 0.0021, 0)</f>
        <v>104.18169999999999</v>
      </c>
      <c r="C978" s="14">
        <f>103.7474 * CHOOSE(CONTROL!$C$9, $D$9, 100%, $F$9) + CHOOSE(CONTROL!$C$27, 0.0021, 0)</f>
        <v>103.7495</v>
      </c>
      <c r="D978" s="14">
        <f>103.7474 * CHOOSE(CONTROL!$C$9, $D$9, 100%, $F$9) + CHOOSE(CONTROL!$C$27, 0.0021, 0)</f>
        <v>103.7495</v>
      </c>
      <c r="E978" s="14">
        <f>103.6107 * CHOOSE(CONTROL!$C$9, $D$9, 100%, $F$9) + CHOOSE(CONTROL!$C$27, 0.0021, 0)</f>
        <v>103.61279999999999</v>
      </c>
      <c r="F978" s="14">
        <f>103.6107 * CHOOSE(CONTROL!$C$9, $D$9, 100%, $F$9) + CHOOSE(CONTROL!$C$27, 0.0021, 0)</f>
        <v>103.61279999999999</v>
      </c>
      <c r="G978" s="14">
        <f>103.8821 * CHOOSE(CONTROL!$C$9, $D$9, 100%, $F$9) + CHOOSE(CONTROL!$C$27, 0.0021, 0)</f>
        <v>103.88419999999999</v>
      </c>
      <c r="H978" s="14">
        <f>103.7474 * CHOOSE(CONTROL!$C$9, $D$9, 100%, $F$9) + CHOOSE(CONTROL!$C$27, 0.0021, 0)</f>
        <v>103.7495</v>
      </c>
      <c r="I978" s="14">
        <f>103.7474 * CHOOSE(CONTROL!$C$9, $D$9, 100%, $F$9) + CHOOSE(CONTROL!$C$27, 0.0021, 0)</f>
        <v>103.7495</v>
      </c>
      <c r="J978" s="14">
        <f>103.7474 * CHOOSE(CONTROL!$C$9, $D$9, 100%, $F$9) + CHOOSE(CONTROL!$C$27, 0.0021, 0)</f>
        <v>103.7495</v>
      </c>
      <c r="K978" s="14">
        <f>103.7474 * CHOOSE(CONTROL!$C$9, $D$9, 100%, $F$9) + CHOOSE(CONTROL!$C$27, 0.0021, 0)</f>
        <v>103.7495</v>
      </c>
      <c r="L978" s="14"/>
    </row>
    <row r="979" spans="1:12" ht="15.75" x14ac:dyDescent="0.25">
      <c r="A979" s="32">
        <v>70737</v>
      </c>
      <c r="B979" s="14">
        <f>104.7917 * CHOOSE(CONTROL!$C$9, $D$9, 100%, $F$9) + CHOOSE(CONTROL!$C$27, 0.0021, 0)</f>
        <v>104.7938</v>
      </c>
      <c r="C979" s="14">
        <f>104.3594 * CHOOSE(CONTROL!$C$9, $D$9, 100%, $F$9) + CHOOSE(CONTROL!$C$27, 0.0021, 0)</f>
        <v>104.36149999999999</v>
      </c>
      <c r="D979" s="14">
        <f>104.3594 * CHOOSE(CONTROL!$C$9, $D$9, 100%, $F$9) + CHOOSE(CONTROL!$C$27, 0.0021, 0)</f>
        <v>104.36149999999999</v>
      </c>
      <c r="E979" s="14">
        <f>104.2228 * CHOOSE(CONTROL!$C$9, $D$9, 100%, $F$9) + CHOOSE(CONTROL!$C$27, 0.0021, 0)</f>
        <v>104.22490000000001</v>
      </c>
      <c r="F979" s="14">
        <f>104.2228 * CHOOSE(CONTROL!$C$9, $D$9, 100%, $F$9) + CHOOSE(CONTROL!$C$27, 0.0021, 0)</f>
        <v>104.22490000000001</v>
      </c>
      <c r="G979" s="14">
        <f>104.4941 * CHOOSE(CONTROL!$C$9, $D$9, 100%, $F$9) + CHOOSE(CONTROL!$C$27, 0.0021, 0)</f>
        <v>104.4962</v>
      </c>
      <c r="H979" s="14">
        <f>104.3594 * CHOOSE(CONTROL!$C$9, $D$9, 100%, $F$9) + CHOOSE(CONTROL!$C$27, 0.0021, 0)</f>
        <v>104.36149999999999</v>
      </c>
      <c r="I979" s="14">
        <f>104.3594 * CHOOSE(CONTROL!$C$9, $D$9, 100%, $F$9) + CHOOSE(CONTROL!$C$27, 0.0021, 0)</f>
        <v>104.36149999999999</v>
      </c>
      <c r="J979" s="14">
        <f>104.3594 * CHOOSE(CONTROL!$C$9, $D$9, 100%, $F$9) + CHOOSE(CONTROL!$C$27, 0.0021, 0)</f>
        <v>104.36149999999999</v>
      </c>
      <c r="K979" s="14">
        <f>104.3594 * CHOOSE(CONTROL!$C$9, $D$9, 100%, $F$9) + CHOOSE(CONTROL!$C$27, 0.0021, 0)</f>
        <v>104.36149999999999</v>
      </c>
      <c r="L979" s="14"/>
    </row>
    <row r="980" spans="1:12" ht="15.75" x14ac:dyDescent="0.25">
      <c r="A980" s="32">
        <v>70767</v>
      </c>
      <c r="B980" s="14">
        <f>106.876 * CHOOSE(CONTROL!$C$9, $D$9, 100%, $F$9) + CHOOSE(CONTROL!$C$27, 0.0021, 0)</f>
        <v>106.8781</v>
      </c>
      <c r="C980" s="14">
        <f>106.4437 * CHOOSE(CONTROL!$C$9, $D$9, 100%, $F$9) + CHOOSE(CONTROL!$C$27, 0.0021, 0)</f>
        <v>106.44580000000001</v>
      </c>
      <c r="D980" s="14">
        <f>106.4437 * CHOOSE(CONTROL!$C$9, $D$9, 100%, $F$9) + CHOOSE(CONTROL!$C$27, 0.0021, 0)</f>
        <v>106.44580000000001</v>
      </c>
      <c r="E980" s="14">
        <f>106.3071 * CHOOSE(CONTROL!$C$9, $D$9, 100%, $F$9) + CHOOSE(CONTROL!$C$27, 0.0021, 0)</f>
        <v>106.3092</v>
      </c>
      <c r="F980" s="14">
        <f>106.3071 * CHOOSE(CONTROL!$C$9, $D$9, 100%, $F$9) + CHOOSE(CONTROL!$C$27, 0.0021, 0)</f>
        <v>106.3092</v>
      </c>
      <c r="G980" s="14">
        <f>106.5785 * CHOOSE(CONTROL!$C$9, $D$9, 100%, $F$9) + CHOOSE(CONTROL!$C$27, 0.0021, 0)</f>
        <v>106.5806</v>
      </c>
      <c r="H980" s="14">
        <f>106.4437 * CHOOSE(CONTROL!$C$9, $D$9, 100%, $F$9) + CHOOSE(CONTROL!$C$27, 0.0021, 0)</f>
        <v>106.44580000000001</v>
      </c>
      <c r="I980" s="14">
        <f>106.4437 * CHOOSE(CONTROL!$C$9, $D$9, 100%, $F$9) + CHOOSE(CONTROL!$C$27, 0.0021, 0)</f>
        <v>106.44580000000001</v>
      </c>
      <c r="J980" s="14">
        <f>106.4437 * CHOOSE(CONTROL!$C$9, $D$9, 100%, $F$9) + CHOOSE(CONTROL!$C$27, 0.0021, 0)</f>
        <v>106.44580000000001</v>
      </c>
      <c r="K980" s="14">
        <f>106.4437 * CHOOSE(CONTROL!$C$9, $D$9, 100%, $F$9) + CHOOSE(CONTROL!$C$27, 0.0021, 0)</f>
        <v>106.44580000000001</v>
      </c>
      <c r="L980" s="14"/>
    </row>
    <row r="981" spans="1:12" ht="15.75" x14ac:dyDescent="0.25">
      <c r="A981" s="32">
        <v>70798</v>
      </c>
      <c r="B981" s="14">
        <f>109.5144 * CHOOSE(CONTROL!$C$9, $D$9, 100%, $F$9) + CHOOSE(CONTROL!$C$27, 0.0021, 0)</f>
        <v>109.51649999999999</v>
      </c>
      <c r="C981" s="14">
        <f>109.0821 * CHOOSE(CONTROL!$C$9, $D$9, 100%, $F$9) + CHOOSE(CONTROL!$C$27, 0.0021, 0)</f>
        <v>109.0842</v>
      </c>
      <c r="D981" s="14">
        <f>109.0821 * CHOOSE(CONTROL!$C$9, $D$9, 100%, $F$9) + CHOOSE(CONTROL!$C$27, 0.0021, 0)</f>
        <v>109.0842</v>
      </c>
      <c r="E981" s="14">
        <f>108.9455 * CHOOSE(CONTROL!$C$9, $D$9, 100%, $F$9) + CHOOSE(CONTROL!$C$27, 0.0021, 0)</f>
        <v>108.94759999999999</v>
      </c>
      <c r="F981" s="14">
        <f>108.9455 * CHOOSE(CONTROL!$C$9, $D$9, 100%, $F$9) + CHOOSE(CONTROL!$C$27, 0.0021, 0)</f>
        <v>108.94759999999999</v>
      </c>
      <c r="G981" s="14">
        <f>109.2169 * CHOOSE(CONTROL!$C$9, $D$9, 100%, $F$9) + CHOOSE(CONTROL!$C$27, 0.0021, 0)</f>
        <v>109.21899999999999</v>
      </c>
      <c r="H981" s="14">
        <f>109.0821 * CHOOSE(CONTROL!$C$9, $D$9, 100%, $F$9) + CHOOSE(CONTROL!$C$27, 0.0021, 0)</f>
        <v>109.0842</v>
      </c>
      <c r="I981" s="14">
        <f>109.0821 * CHOOSE(CONTROL!$C$9, $D$9, 100%, $F$9) + CHOOSE(CONTROL!$C$27, 0.0021, 0)</f>
        <v>109.0842</v>
      </c>
      <c r="J981" s="14">
        <f>109.0821 * CHOOSE(CONTROL!$C$9, $D$9, 100%, $F$9) + CHOOSE(CONTROL!$C$27, 0.0021, 0)</f>
        <v>109.0842</v>
      </c>
      <c r="K981" s="14">
        <f>109.0821 * CHOOSE(CONTROL!$C$9, $D$9, 100%, $F$9) + CHOOSE(CONTROL!$C$27, 0.0021, 0)</f>
        <v>109.0842</v>
      </c>
      <c r="L981" s="14"/>
    </row>
    <row r="982" spans="1:12" ht="15.75" x14ac:dyDescent="0.25">
      <c r="A982" s="32">
        <v>70828</v>
      </c>
      <c r="B982" s="14">
        <f>109.7621 * CHOOSE(CONTROL!$C$9, $D$9, 100%, $F$9) + CHOOSE(CONTROL!$C$27, 0.0021, 0)</f>
        <v>109.7642</v>
      </c>
      <c r="C982" s="14">
        <f>109.3298 * CHOOSE(CONTROL!$C$9, $D$9, 100%, $F$9) + CHOOSE(CONTROL!$C$27, 0.0021, 0)</f>
        <v>109.3319</v>
      </c>
      <c r="D982" s="14">
        <f>109.3298 * CHOOSE(CONTROL!$C$9, $D$9, 100%, $F$9) + CHOOSE(CONTROL!$C$27, 0.0021, 0)</f>
        <v>109.3319</v>
      </c>
      <c r="E982" s="14">
        <f>109.1932 * CHOOSE(CONTROL!$C$9, $D$9, 100%, $F$9) + CHOOSE(CONTROL!$C$27, 0.0021, 0)</f>
        <v>109.1953</v>
      </c>
      <c r="F982" s="14">
        <f>109.1932 * CHOOSE(CONTROL!$C$9, $D$9, 100%, $F$9) + CHOOSE(CONTROL!$C$27, 0.0021, 0)</f>
        <v>109.1953</v>
      </c>
      <c r="G982" s="14">
        <f>109.4645 * CHOOSE(CONTROL!$C$9, $D$9, 100%, $F$9) + CHOOSE(CONTROL!$C$27, 0.0021, 0)</f>
        <v>109.4666</v>
      </c>
      <c r="H982" s="14">
        <f>109.3298 * CHOOSE(CONTROL!$C$9, $D$9, 100%, $F$9) + CHOOSE(CONTROL!$C$27, 0.0021, 0)</f>
        <v>109.3319</v>
      </c>
      <c r="I982" s="14">
        <f>109.3298 * CHOOSE(CONTROL!$C$9, $D$9, 100%, $F$9) + CHOOSE(CONTROL!$C$27, 0.0021, 0)</f>
        <v>109.3319</v>
      </c>
      <c r="J982" s="14">
        <f>109.3298 * CHOOSE(CONTROL!$C$9, $D$9, 100%, $F$9) + CHOOSE(CONTROL!$C$27, 0.0021, 0)</f>
        <v>109.3319</v>
      </c>
      <c r="K982" s="14">
        <f>109.3298 * CHOOSE(CONTROL!$C$9, $D$9, 100%, $F$9) + CHOOSE(CONTROL!$C$27, 0.0021, 0)</f>
        <v>109.3319</v>
      </c>
      <c r="L982" s="14"/>
    </row>
    <row r="983" spans="1:12" ht="15.75" x14ac:dyDescent="0.25">
      <c r="A983" s="32">
        <v>70859</v>
      </c>
      <c r="B983" s="14">
        <f>107.6548 * CHOOSE(CONTROL!$C$9, $D$9, 100%, $F$9) + CHOOSE(CONTROL!$C$27, 0.0021, 0)</f>
        <v>107.65689999999999</v>
      </c>
      <c r="C983" s="14">
        <f>107.2226 * CHOOSE(CONTROL!$C$9, $D$9, 100%, $F$9) + CHOOSE(CONTROL!$C$27, 0.0021, 0)</f>
        <v>107.2247</v>
      </c>
      <c r="D983" s="14">
        <f>107.2226 * CHOOSE(CONTROL!$C$9, $D$9, 100%, $F$9) + CHOOSE(CONTROL!$C$27, 0.0021, 0)</f>
        <v>107.2247</v>
      </c>
      <c r="E983" s="14">
        <f>107.0859 * CHOOSE(CONTROL!$C$9, $D$9, 100%, $F$9) + CHOOSE(CONTROL!$C$27, 0.0021, 0)</f>
        <v>107.08799999999999</v>
      </c>
      <c r="F983" s="14">
        <f>107.0859 * CHOOSE(CONTROL!$C$9, $D$9, 100%, $F$9) + CHOOSE(CONTROL!$C$27, 0.0021, 0)</f>
        <v>107.08799999999999</v>
      </c>
      <c r="G983" s="14">
        <f>107.3573 * CHOOSE(CONTROL!$C$9, $D$9, 100%, $F$9) + CHOOSE(CONTROL!$C$27, 0.0021, 0)</f>
        <v>107.35939999999999</v>
      </c>
      <c r="H983" s="14">
        <f>107.2226 * CHOOSE(CONTROL!$C$9, $D$9, 100%, $F$9) + CHOOSE(CONTROL!$C$27, 0.0021, 0)</f>
        <v>107.2247</v>
      </c>
      <c r="I983" s="14">
        <f>107.2226 * CHOOSE(CONTROL!$C$9, $D$9, 100%, $F$9) + CHOOSE(CONTROL!$C$27, 0.0021, 0)</f>
        <v>107.2247</v>
      </c>
      <c r="J983" s="14">
        <f>107.2226 * CHOOSE(CONTROL!$C$9, $D$9, 100%, $F$9) + CHOOSE(CONTROL!$C$27, 0.0021, 0)</f>
        <v>107.2247</v>
      </c>
      <c r="K983" s="14">
        <f>107.2226 * CHOOSE(CONTROL!$C$9, $D$9, 100%, $F$9) + CHOOSE(CONTROL!$C$27, 0.0021, 0)</f>
        <v>107.2247</v>
      </c>
      <c r="L983" s="14"/>
    </row>
    <row r="984" spans="1:12" ht="15.75" x14ac:dyDescent="0.25">
      <c r="A984" s="32">
        <v>70890</v>
      </c>
      <c r="B984" s="14">
        <f>106.2744 * CHOOSE(CONTROL!$C$9, $D$9, 100%, $F$9) + CHOOSE(CONTROL!$C$27, 0.0021, 0)</f>
        <v>106.2765</v>
      </c>
      <c r="C984" s="14">
        <f>105.8421 * CHOOSE(CONTROL!$C$9, $D$9, 100%, $F$9) + CHOOSE(CONTROL!$C$27, 0.0021, 0)</f>
        <v>105.8442</v>
      </c>
      <c r="D984" s="14">
        <f>105.8421 * CHOOSE(CONTROL!$C$9, $D$9, 100%, $F$9) + CHOOSE(CONTROL!$C$27, 0.0021, 0)</f>
        <v>105.8442</v>
      </c>
      <c r="E984" s="14">
        <f>105.7055 * CHOOSE(CONTROL!$C$9, $D$9, 100%, $F$9) + CHOOSE(CONTROL!$C$27, 0.0021, 0)</f>
        <v>105.7076</v>
      </c>
      <c r="F984" s="14">
        <f>105.7055 * CHOOSE(CONTROL!$C$9, $D$9, 100%, $F$9) + CHOOSE(CONTROL!$C$27, 0.0021, 0)</f>
        <v>105.7076</v>
      </c>
      <c r="G984" s="14">
        <f>105.9768 * CHOOSE(CONTROL!$C$9, $D$9, 100%, $F$9) + CHOOSE(CONTROL!$C$27, 0.0021, 0)</f>
        <v>105.9789</v>
      </c>
      <c r="H984" s="14">
        <f>105.8421 * CHOOSE(CONTROL!$C$9, $D$9, 100%, $F$9) + CHOOSE(CONTROL!$C$27, 0.0021, 0)</f>
        <v>105.8442</v>
      </c>
      <c r="I984" s="14">
        <f>105.8421 * CHOOSE(CONTROL!$C$9, $D$9, 100%, $F$9) + CHOOSE(CONTROL!$C$27, 0.0021, 0)</f>
        <v>105.8442</v>
      </c>
      <c r="J984" s="14">
        <f>105.8421 * CHOOSE(CONTROL!$C$9, $D$9, 100%, $F$9) + CHOOSE(CONTROL!$C$27, 0.0021, 0)</f>
        <v>105.8442</v>
      </c>
      <c r="K984" s="14">
        <f>105.8421 * CHOOSE(CONTROL!$C$9, $D$9, 100%, $F$9) + CHOOSE(CONTROL!$C$27, 0.0021, 0)</f>
        <v>105.8442</v>
      </c>
      <c r="L984" s="14"/>
    </row>
    <row r="985" spans="1:12" ht="15.75" x14ac:dyDescent="0.25">
      <c r="A985" s="32">
        <v>70918</v>
      </c>
      <c r="B985" s="14">
        <f>103.3332 * CHOOSE(CONTROL!$C$9, $D$9, 100%, $F$9) + CHOOSE(CONTROL!$C$27, 0.0021, 0)</f>
        <v>103.3353</v>
      </c>
      <c r="C985" s="14">
        <f>102.9009 * CHOOSE(CONTROL!$C$9, $D$9, 100%, $F$9) + CHOOSE(CONTROL!$C$27, 0.0021, 0)</f>
        <v>102.90299999999999</v>
      </c>
      <c r="D985" s="14">
        <f>102.9009 * CHOOSE(CONTROL!$C$9, $D$9, 100%, $F$9) + CHOOSE(CONTROL!$C$27, 0.0021, 0)</f>
        <v>102.90299999999999</v>
      </c>
      <c r="E985" s="14">
        <f>102.7643 * CHOOSE(CONTROL!$C$9, $D$9, 100%, $F$9) + CHOOSE(CONTROL!$C$27, 0.0021, 0)</f>
        <v>102.7664</v>
      </c>
      <c r="F985" s="14">
        <f>102.7643 * CHOOSE(CONTROL!$C$9, $D$9, 100%, $F$9) + CHOOSE(CONTROL!$C$27, 0.0021, 0)</f>
        <v>102.7664</v>
      </c>
      <c r="G985" s="14">
        <f>103.0357 * CHOOSE(CONTROL!$C$9, $D$9, 100%, $F$9) + CHOOSE(CONTROL!$C$27, 0.0021, 0)</f>
        <v>103.0378</v>
      </c>
      <c r="H985" s="14">
        <f>102.9009 * CHOOSE(CONTROL!$C$9, $D$9, 100%, $F$9) + CHOOSE(CONTROL!$C$27, 0.0021, 0)</f>
        <v>102.90299999999999</v>
      </c>
      <c r="I985" s="14">
        <f>102.9009 * CHOOSE(CONTROL!$C$9, $D$9, 100%, $F$9) + CHOOSE(CONTROL!$C$27, 0.0021, 0)</f>
        <v>102.90299999999999</v>
      </c>
      <c r="J985" s="14">
        <f>102.9009 * CHOOSE(CONTROL!$C$9, $D$9, 100%, $F$9) + CHOOSE(CONTROL!$C$27, 0.0021, 0)</f>
        <v>102.90299999999999</v>
      </c>
      <c r="K985" s="14">
        <f>102.9009 * CHOOSE(CONTROL!$C$9, $D$9, 100%, $F$9) + CHOOSE(CONTROL!$C$27, 0.0021, 0)</f>
        <v>102.90299999999999</v>
      </c>
      <c r="L985" s="14"/>
    </row>
    <row r="986" spans="1:12" ht="15.75" x14ac:dyDescent="0.25">
      <c r="A986" s="32">
        <v>70949</v>
      </c>
      <c r="B986" s="14">
        <f>102.1191 * CHOOSE(CONTROL!$C$9, $D$9, 100%, $F$9) + CHOOSE(CONTROL!$C$27, 0.0021, 0)</f>
        <v>102.1212</v>
      </c>
      <c r="C986" s="14">
        <f>101.6868 * CHOOSE(CONTROL!$C$9, $D$9, 100%, $F$9) + CHOOSE(CONTROL!$C$27, 0.0021, 0)</f>
        <v>101.6889</v>
      </c>
      <c r="D986" s="14">
        <f>101.6868 * CHOOSE(CONTROL!$C$9, $D$9, 100%, $F$9) + CHOOSE(CONTROL!$C$27, 0.0021, 0)</f>
        <v>101.6889</v>
      </c>
      <c r="E986" s="14">
        <f>101.5502 * CHOOSE(CONTROL!$C$9, $D$9, 100%, $F$9) + CHOOSE(CONTROL!$C$27, 0.0021, 0)</f>
        <v>101.5523</v>
      </c>
      <c r="F986" s="14">
        <f>101.5502 * CHOOSE(CONTROL!$C$9, $D$9, 100%, $F$9) + CHOOSE(CONTROL!$C$27, 0.0021, 0)</f>
        <v>101.5523</v>
      </c>
      <c r="G986" s="14">
        <f>101.8215 * CHOOSE(CONTROL!$C$9, $D$9, 100%, $F$9) + CHOOSE(CONTROL!$C$27, 0.0021, 0)</f>
        <v>101.8236</v>
      </c>
      <c r="H986" s="14">
        <f>101.6868 * CHOOSE(CONTROL!$C$9, $D$9, 100%, $F$9) + CHOOSE(CONTROL!$C$27, 0.0021, 0)</f>
        <v>101.6889</v>
      </c>
      <c r="I986" s="14">
        <f>101.6868 * CHOOSE(CONTROL!$C$9, $D$9, 100%, $F$9) + CHOOSE(CONTROL!$C$27, 0.0021, 0)</f>
        <v>101.6889</v>
      </c>
      <c r="J986" s="14">
        <f>101.6868 * CHOOSE(CONTROL!$C$9, $D$9, 100%, $F$9) + CHOOSE(CONTROL!$C$27, 0.0021, 0)</f>
        <v>101.6889</v>
      </c>
      <c r="K986" s="14">
        <f>101.6868 * CHOOSE(CONTROL!$C$9, $D$9, 100%, $F$9) + CHOOSE(CONTROL!$C$27, 0.0021, 0)</f>
        <v>101.6889</v>
      </c>
      <c r="L986" s="14"/>
    </row>
    <row r="987" spans="1:12" ht="15.75" x14ac:dyDescent="0.25">
      <c r="A987" s="32">
        <v>70979</v>
      </c>
      <c r="B987" s="14">
        <f>100.6694 * CHOOSE(CONTROL!$C$9, $D$9, 100%, $F$9) + CHOOSE(CONTROL!$C$27, 0.0021, 0)</f>
        <v>100.67149999999999</v>
      </c>
      <c r="C987" s="14">
        <f>100.2371 * CHOOSE(CONTROL!$C$9, $D$9, 100%, $F$9) + CHOOSE(CONTROL!$C$27, 0.0021, 0)</f>
        <v>100.2392</v>
      </c>
      <c r="D987" s="14">
        <f>100.2371 * CHOOSE(CONTROL!$C$9, $D$9, 100%, $F$9) + CHOOSE(CONTROL!$C$27, 0.0021, 0)</f>
        <v>100.2392</v>
      </c>
      <c r="E987" s="14">
        <f>100.1005 * CHOOSE(CONTROL!$C$9, $D$9, 100%, $F$9) + CHOOSE(CONTROL!$C$27, 0.0021, 0)</f>
        <v>100.1026</v>
      </c>
      <c r="F987" s="14">
        <f>100.1005 * CHOOSE(CONTROL!$C$9, $D$9, 100%, $F$9) + CHOOSE(CONTROL!$C$27, 0.0021, 0)</f>
        <v>100.1026</v>
      </c>
      <c r="G987" s="14">
        <f>100.3719 * CHOOSE(CONTROL!$C$9, $D$9, 100%, $F$9) + CHOOSE(CONTROL!$C$27, 0.0021, 0)</f>
        <v>100.374</v>
      </c>
      <c r="H987" s="14">
        <f>100.2371 * CHOOSE(CONTROL!$C$9, $D$9, 100%, $F$9) + CHOOSE(CONTROL!$C$27, 0.0021, 0)</f>
        <v>100.2392</v>
      </c>
      <c r="I987" s="14">
        <f>100.2371 * CHOOSE(CONTROL!$C$9, $D$9, 100%, $F$9) + CHOOSE(CONTROL!$C$27, 0.0021, 0)</f>
        <v>100.2392</v>
      </c>
      <c r="J987" s="14">
        <f>100.2371 * CHOOSE(CONTROL!$C$9, $D$9, 100%, $F$9) + CHOOSE(CONTROL!$C$27, 0.0021, 0)</f>
        <v>100.2392</v>
      </c>
      <c r="K987" s="14">
        <f>100.2371 * CHOOSE(CONTROL!$C$9, $D$9, 100%, $F$9) + CHOOSE(CONTROL!$C$27, 0.0021, 0)</f>
        <v>100.2392</v>
      </c>
      <c r="L987" s="14"/>
    </row>
    <row r="988" spans="1:12" ht="15.75" x14ac:dyDescent="0.25">
      <c r="A988" s="32">
        <v>71010</v>
      </c>
      <c r="B988" s="14">
        <f>102.7354 * CHOOSE(CONTROL!$C$9, $D$9, 100%, $F$9) + CHOOSE(CONTROL!$C$27, 0.0021, 0)</f>
        <v>102.7375</v>
      </c>
      <c r="C988" s="14">
        <f>102.3031 * CHOOSE(CONTROL!$C$9, $D$9, 100%, $F$9) + CHOOSE(CONTROL!$C$27, 0.0021, 0)</f>
        <v>102.3052</v>
      </c>
      <c r="D988" s="14">
        <f>102.3031 * CHOOSE(CONTROL!$C$9, $D$9, 100%, $F$9) + CHOOSE(CONTROL!$C$27, 0.0021, 0)</f>
        <v>102.3052</v>
      </c>
      <c r="E988" s="14">
        <f>102.1665 * CHOOSE(CONTROL!$C$9, $D$9, 100%, $F$9) + CHOOSE(CONTROL!$C$27, 0.0021, 0)</f>
        <v>102.1686</v>
      </c>
      <c r="F988" s="14">
        <f>102.1665 * CHOOSE(CONTROL!$C$9, $D$9, 100%, $F$9) + CHOOSE(CONTROL!$C$27, 0.0021, 0)</f>
        <v>102.1686</v>
      </c>
      <c r="G988" s="14">
        <f>102.4378 * CHOOSE(CONTROL!$C$9, $D$9, 100%, $F$9) + CHOOSE(CONTROL!$C$27, 0.0021, 0)</f>
        <v>102.43989999999999</v>
      </c>
      <c r="H988" s="14">
        <f>102.3031 * CHOOSE(CONTROL!$C$9, $D$9, 100%, $F$9) + CHOOSE(CONTROL!$C$27, 0.0021, 0)</f>
        <v>102.3052</v>
      </c>
      <c r="I988" s="14">
        <f>102.3031 * CHOOSE(CONTROL!$C$9, $D$9, 100%, $F$9) + CHOOSE(CONTROL!$C$27, 0.0021, 0)</f>
        <v>102.3052</v>
      </c>
      <c r="J988" s="14">
        <f>102.3031 * CHOOSE(CONTROL!$C$9, $D$9, 100%, $F$9) + CHOOSE(CONTROL!$C$27, 0.0021, 0)</f>
        <v>102.3052</v>
      </c>
      <c r="K988" s="14">
        <f>102.3031 * CHOOSE(CONTROL!$C$9, $D$9, 100%, $F$9) + CHOOSE(CONTROL!$C$27, 0.0021, 0)</f>
        <v>102.3052</v>
      </c>
      <c r="L988" s="14"/>
    </row>
    <row r="989" spans="1:12" ht="15.75" x14ac:dyDescent="0.25">
      <c r="A989" s="32">
        <v>71040</v>
      </c>
      <c r="B989" s="14">
        <f>103.9728 * CHOOSE(CONTROL!$C$9, $D$9, 100%, $F$9) + CHOOSE(CONTROL!$C$27, 0.0021, 0)</f>
        <v>103.97490000000001</v>
      </c>
      <c r="C989" s="14">
        <f>103.5405 * CHOOSE(CONTROL!$C$9, $D$9, 100%, $F$9) + CHOOSE(CONTROL!$C$27, 0.0021, 0)</f>
        <v>103.54259999999999</v>
      </c>
      <c r="D989" s="14">
        <f>103.5405 * CHOOSE(CONTROL!$C$9, $D$9, 100%, $F$9) + CHOOSE(CONTROL!$C$27, 0.0021, 0)</f>
        <v>103.54259999999999</v>
      </c>
      <c r="E989" s="14">
        <f>103.4039 * CHOOSE(CONTROL!$C$9, $D$9, 100%, $F$9) + CHOOSE(CONTROL!$C$27, 0.0021, 0)</f>
        <v>103.40599999999999</v>
      </c>
      <c r="F989" s="14">
        <f>103.4039 * CHOOSE(CONTROL!$C$9, $D$9, 100%, $F$9) + CHOOSE(CONTROL!$C$27, 0.0021, 0)</f>
        <v>103.40599999999999</v>
      </c>
      <c r="G989" s="14">
        <f>103.6753 * CHOOSE(CONTROL!$C$9, $D$9, 100%, $F$9) + CHOOSE(CONTROL!$C$27, 0.0021, 0)</f>
        <v>103.67739999999999</v>
      </c>
      <c r="H989" s="14">
        <f>103.5405 * CHOOSE(CONTROL!$C$9, $D$9, 100%, $F$9) + CHOOSE(CONTROL!$C$27, 0.0021, 0)</f>
        <v>103.54259999999999</v>
      </c>
      <c r="I989" s="14">
        <f>103.5405 * CHOOSE(CONTROL!$C$9, $D$9, 100%, $F$9) + CHOOSE(CONTROL!$C$27, 0.0021, 0)</f>
        <v>103.54259999999999</v>
      </c>
      <c r="J989" s="14">
        <f>103.5405 * CHOOSE(CONTROL!$C$9, $D$9, 100%, $F$9) + CHOOSE(CONTROL!$C$27, 0.0021, 0)</f>
        <v>103.54259999999999</v>
      </c>
      <c r="K989" s="14">
        <f>103.5405 * CHOOSE(CONTROL!$C$9, $D$9, 100%, $F$9) + CHOOSE(CONTROL!$C$27, 0.0021, 0)</f>
        <v>103.54259999999999</v>
      </c>
      <c r="L989" s="14"/>
    </row>
    <row r="990" spans="1:12" ht="15.75" x14ac:dyDescent="0.25">
      <c r="A990" s="32">
        <v>71071</v>
      </c>
      <c r="B990" s="14">
        <f>106.0141 * CHOOSE(CONTROL!$C$9, $D$9, 100%, $F$9) + CHOOSE(CONTROL!$C$27, 0.0021, 0)</f>
        <v>106.0162</v>
      </c>
      <c r="C990" s="14">
        <f>105.5818 * CHOOSE(CONTROL!$C$9, $D$9, 100%, $F$9) + CHOOSE(CONTROL!$C$27, 0.0021, 0)</f>
        <v>105.5839</v>
      </c>
      <c r="D990" s="14">
        <f>105.5818 * CHOOSE(CONTROL!$C$9, $D$9, 100%, $F$9) + CHOOSE(CONTROL!$C$27, 0.0021, 0)</f>
        <v>105.5839</v>
      </c>
      <c r="E990" s="14">
        <f>105.4452 * CHOOSE(CONTROL!$C$9, $D$9, 100%, $F$9) + CHOOSE(CONTROL!$C$27, 0.0021, 0)</f>
        <v>105.4473</v>
      </c>
      <c r="F990" s="14">
        <f>105.4452 * CHOOSE(CONTROL!$C$9, $D$9, 100%, $F$9) + CHOOSE(CONTROL!$C$27, 0.0021, 0)</f>
        <v>105.4473</v>
      </c>
      <c r="G990" s="14">
        <f>105.7166 * CHOOSE(CONTROL!$C$9, $D$9, 100%, $F$9) + CHOOSE(CONTROL!$C$27, 0.0021, 0)</f>
        <v>105.7187</v>
      </c>
      <c r="H990" s="14">
        <f>105.5818 * CHOOSE(CONTROL!$C$9, $D$9, 100%, $F$9) + CHOOSE(CONTROL!$C$27, 0.0021, 0)</f>
        <v>105.5839</v>
      </c>
      <c r="I990" s="14">
        <f>105.5818 * CHOOSE(CONTROL!$C$9, $D$9, 100%, $F$9) + CHOOSE(CONTROL!$C$27, 0.0021, 0)</f>
        <v>105.5839</v>
      </c>
      <c r="J990" s="14">
        <f>105.5818 * CHOOSE(CONTROL!$C$9, $D$9, 100%, $F$9) + CHOOSE(CONTROL!$C$27, 0.0021, 0)</f>
        <v>105.5839</v>
      </c>
      <c r="K990" s="14">
        <f>105.5818 * CHOOSE(CONTROL!$C$9, $D$9, 100%, $F$9) + CHOOSE(CONTROL!$C$27, 0.0021, 0)</f>
        <v>105.5839</v>
      </c>
      <c r="L990" s="14"/>
    </row>
    <row r="991" spans="1:12" ht="15.75" x14ac:dyDescent="0.25">
      <c r="A991" s="32">
        <v>71102</v>
      </c>
      <c r="B991" s="14">
        <f>106.6372 * CHOOSE(CONTROL!$C$9, $D$9, 100%, $F$9) + CHOOSE(CONTROL!$C$27, 0.0021, 0)</f>
        <v>106.63930000000001</v>
      </c>
      <c r="C991" s="14">
        <f>106.2049 * CHOOSE(CONTROL!$C$9, $D$9, 100%, $F$9) + CHOOSE(CONTROL!$C$27, 0.0021, 0)</f>
        <v>106.20699999999999</v>
      </c>
      <c r="D991" s="14">
        <f>106.2049 * CHOOSE(CONTROL!$C$9, $D$9, 100%, $F$9) + CHOOSE(CONTROL!$C$27, 0.0021, 0)</f>
        <v>106.20699999999999</v>
      </c>
      <c r="E991" s="14">
        <f>106.0683 * CHOOSE(CONTROL!$C$9, $D$9, 100%, $F$9) + CHOOSE(CONTROL!$C$27, 0.0021, 0)</f>
        <v>106.07039999999999</v>
      </c>
      <c r="F991" s="14">
        <f>106.0683 * CHOOSE(CONTROL!$C$9, $D$9, 100%, $F$9) + CHOOSE(CONTROL!$C$27, 0.0021, 0)</f>
        <v>106.07039999999999</v>
      </c>
      <c r="G991" s="14">
        <f>106.3396 * CHOOSE(CONTROL!$C$9, $D$9, 100%, $F$9) + CHOOSE(CONTROL!$C$27, 0.0021, 0)</f>
        <v>106.3417</v>
      </c>
      <c r="H991" s="14">
        <f>106.2049 * CHOOSE(CONTROL!$C$9, $D$9, 100%, $F$9) + CHOOSE(CONTROL!$C$27, 0.0021, 0)</f>
        <v>106.20699999999999</v>
      </c>
      <c r="I991" s="14">
        <f>106.2049 * CHOOSE(CONTROL!$C$9, $D$9, 100%, $F$9) + CHOOSE(CONTROL!$C$27, 0.0021, 0)</f>
        <v>106.20699999999999</v>
      </c>
      <c r="J991" s="14">
        <f>106.2049 * CHOOSE(CONTROL!$C$9, $D$9, 100%, $F$9) + CHOOSE(CONTROL!$C$27, 0.0021, 0)</f>
        <v>106.20699999999999</v>
      </c>
      <c r="K991" s="14">
        <f>106.2049 * CHOOSE(CONTROL!$C$9, $D$9, 100%, $F$9) + CHOOSE(CONTROL!$C$27, 0.0021, 0)</f>
        <v>106.20699999999999</v>
      </c>
      <c r="L991" s="14"/>
    </row>
    <row r="992" spans="1:12" ht="15.75" x14ac:dyDescent="0.25">
      <c r="A992" s="32">
        <v>71132</v>
      </c>
      <c r="B992" s="14">
        <f>108.759 * CHOOSE(CONTROL!$C$9, $D$9, 100%, $F$9) + CHOOSE(CONTROL!$C$27, 0.0021, 0)</f>
        <v>108.7611</v>
      </c>
      <c r="C992" s="14">
        <f>108.3268 * CHOOSE(CONTROL!$C$9, $D$9, 100%, $F$9) + CHOOSE(CONTROL!$C$27, 0.0021, 0)</f>
        <v>108.3289</v>
      </c>
      <c r="D992" s="14">
        <f>108.3268 * CHOOSE(CONTROL!$C$9, $D$9, 100%, $F$9) + CHOOSE(CONTROL!$C$27, 0.0021, 0)</f>
        <v>108.3289</v>
      </c>
      <c r="E992" s="14">
        <f>108.1901 * CHOOSE(CONTROL!$C$9, $D$9, 100%, $F$9) + CHOOSE(CONTROL!$C$27, 0.0021, 0)</f>
        <v>108.1922</v>
      </c>
      <c r="F992" s="14">
        <f>108.1901 * CHOOSE(CONTROL!$C$9, $D$9, 100%, $F$9) + CHOOSE(CONTROL!$C$27, 0.0021, 0)</f>
        <v>108.1922</v>
      </c>
      <c r="G992" s="14">
        <f>108.4615 * CHOOSE(CONTROL!$C$9, $D$9, 100%, $F$9) + CHOOSE(CONTROL!$C$27, 0.0021, 0)</f>
        <v>108.4636</v>
      </c>
      <c r="H992" s="14">
        <f>108.3268 * CHOOSE(CONTROL!$C$9, $D$9, 100%, $F$9) + CHOOSE(CONTROL!$C$27, 0.0021, 0)</f>
        <v>108.3289</v>
      </c>
      <c r="I992" s="14">
        <f>108.3268 * CHOOSE(CONTROL!$C$9, $D$9, 100%, $F$9) + CHOOSE(CONTROL!$C$27, 0.0021, 0)</f>
        <v>108.3289</v>
      </c>
      <c r="J992" s="14">
        <f>108.3268 * CHOOSE(CONTROL!$C$9, $D$9, 100%, $F$9) + CHOOSE(CONTROL!$C$27, 0.0021, 0)</f>
        <v>108.3289</v>
      </c>
      <c r="K992" s="14">
        <f>108.3268 * CHOOSE(CONTROL!$C$9, $D$9, 100%, $F$9) + CHOOSE(CONTROL!$C$27, 0.0021, 0)</f>
        <v>108.3289</v>
      </c>
      <c r="L992" s="14"/>
    </row>
    <row r="993" spans="1:12" ht="15.75" x14ac:dyDescent="0.25">
      <c r="A993" s="32">
        <v>71163</v>
      </c>
      <c r="B993" s="14">
        <f>111.4449 * CHOOSE(CONTROL!$C$9, $D$9, 100%, $F$9) + CHOOSE(CONTROL!$C$27, 0.0021, 0)</f>
        <v>111.447</v>
      </c>
      <c r="C993" s="14">
        <f>111.0127 * CHOOSE(CONTROL!$C$9, $D$9, 100%, $F$9) + CHOOSE(CONTROL!$C$27, 0.0021, 0)</f>
        <v>111.01479999999999</v>
      </c>
      <c r="D993" s="14">
        <f>111.0127 * CHOOSE(CONTROL!$C$9, $D$9, 100%, $F$9) + CHOOSE(CONTROL!$C$27, 0.0021, 0)</f>
        <v>111.01479999999999</v>
      </c>
      <c r="E993" s="14">
        <f>110.876 * CHOOSE(CONTROL!$C$9, $D$9, 100%, $F$9) + CHOOSE(CONTROL!$C$27, 0.0021, 0)</f>
        <v>110.8781</v>
      </c>
      <c r="F993" s="14">
        <f>110.876 * CHOOSE(CONTROL!$C$9, $D$9, 100%, $F$9) + CHOOSE(CONTROL!$C$27, 0.0021, 0)</f>
        <v>110.8781</v>
      </c>
      <c r="G993" s="14">
        <f>111.1474 * CHOOSE(CONTROL!$C$9, $D$9, 100%, $F$9) + CHOOSE(CONTROL!$C$27, 0.0021, 0)</f>
        <v>111.1495</v>
      </c>
      <c r="H993" s="14">
        <f>111.0127 * CHOOSE(CONTROL!$C$9, $D$9, 100%, $F$9) + CHOOSE(CONTROL!$C$27, 0.0021, 0)</f>
        <v>111.01479999999999</v>
      </c>
      <c r="I993" s="14">
        <f>111.0127 * CHOOSE(CONTROL!$C$9, $D$9, 100%, $F$9) + CHOOSE(CONTROL!$C$27, 0.0021, 0)</f>
        <v>111.01479999999999</v>
      </c>
      <c r="J993" s="14">
        <f>111.0127 * CHOOSE(CONTROL!$C$9, $D$9, 100%, $F$9) + CHOOSE(CONTROL!$C$27, 0.0021, 0)</f>
        <v>111.01479999999999</v>
      </c>
      <c r="K993" s="14">
        <f>111.0127 * CHOOSE(CONTROL!$C$9, $D$9, 100%, $F$9) + CHOOSE(CONTROL!$C$27, 0.0021, 0)</f>
        <v>111.01479999999999</v>
      </c>
      <c r="L993" s="14"/>
    </row>
    <row r="994" spans="1:12" ht="15.75" x14ac:dyDescent="0.25">
      <c r="A994" s="32">
        <v>71193</v>
      </c>
      <c r="B994" s="14">
        <f>111.697 * CHOOSE(CONTROL!$C$9, $D$9, 100%, $F$9) + CHOOSE(CONTROL!$C$27, 0.0021, 0)</f>
        <v>111.6991</v>
      </c>
      <c r="C994" s="14">
        <f>111.2648 * CHOOSE(CONTROL!$C$9, $D$9, 100%, $F$9) + CHOOSE(CONTROL!$C$27, 0.0021, 0)</f>
        <v>111.26689999999999</v>
      </c>
      <c r="D994" s="14">
        <f>111.2648 * CHOOSE(CONTROL!$C$9, $D$9, 100%, $F$9) + CHOOSE(CONTROL!$C$27, 0.0021, 0)</f>
        <v>111.26689999999999</v>
      </c>
      <c r="E994" s="14">
        <f>111.1281 * CHOOSE(CONTROL!$C$9, $D$9, 100%, $F$9) + CHOOSE(CONTROL!$C$27, 0.0021, 0)</f>
        <v>111.1302</v>
      </c>
      <c r="F994" s="14">
        <f>111.1281 * CHOOSE(CONTROL!$C$9, $D$9, 100%, $F$9) + CHOOSE(CONTROL!$C$27, 0.0021, 0)</f>
        <v>111.1302</v>
      </c>
      <c r="G994" s="14">
        <f>111.3995 * CHOOSE(CONTROL!$C$9, $D$9, 100%, $F$9) + CHOOSE(CONTROL!$C$27, 0.0021, 0)</f>
        <v>111.4016</v>
      </c>
      <c r="H994" s="14">
        <f>111.2648 * CHOOSE(CONTROL!$C$9, $D$9, 100%, $F$9) + CHOOSE(CONTROL!$C$27, 0.0021, 0)</f>
        <v>111.26689999999999</v>
      </c>
      <c r="I994" s="14">
        <f>111.2648 * CHOOSE(CONTROL!$C$9, $D$9, 100%, $F$9) + CHOOSE(CONTROL!$C$27, 0.0021, 0)</f>
        <v>111.26689999999999</v>
      </c>
      <c r="J994" s="14">
        <f>111.2648 * CHOOSE(CONTROL!$C$9, $D$9, 100%, $F$9) + CHOOSE(CONTROL!$C$27, 0.0021, 0)</f>
        <v>111.26689999999999</v>
      </c>
      <c r="K994" s="14">
        <f>111.2648 * CHOOSE(CONTROL!$C$9, $D$9, 100%, $F$9) + CHOOSE(CONTROL!$C$27, 0.0021, 0)</f>
        <v>111.26689999999999</v>
      </c>
      <c r="L994" s="14"/>
    </row>
    <row r="995" spans="1:12" ht="15.75" x14ac:dyDescent="0.25">
      <c r="A995" s="32">
        <v>71224</v>
      </c>
      <c r="B995" s="14">
        <f>109.5519 * CHOOSE(CONTROL!$C$9, $D$9, 100%, $F$9) + CHOOSE(CONTROL!$C$27, 0.0021, 0)</f>
        <v>109.554</v>
      </c>
      <c r="C995" s="14">
        <f>109.1196 * CHOOSE(CONTROL!$C$9, $D$9, 100%, $F$9) + CHOOSE(CONTROL!$C$27, 0.0021, 0)</f>
        <v>109.1217</v>
      </c>
      <c r="D995" s="14">
        <f>109.1196 * CHOOSE(CONTROL!$C$9, $D$9, 100%, $F$9) + CHOOSE(CONTROL!$C$27, 0.0021, 0)</f>
        <v>109.1217</v>
      </c>
      <c r="E995" s="14">
        <f>108.983 * CHOOSE(CONTROL!$C$9, $D$9, 100%, $F$9) + CHOOSE(CONTROL!$C$27, 0.0021, 0)</f>
        <v>108.9851</v>
      </c>
      <c r="F995" s="14">
        <f>108.983 * CHOOSE(CONTROL!$C$9, $D$9, 100%, $F$9) + CHOOSE(CONTROL!$C$27, 0.0021, 0)</f>
        <v>108.9851</v>
      </c>
      <c r="G995" s="14">
        <f>109.2543 * CHOOSE(CONTROL!$C$9, $D$9, 100%, $F$9) + CHOOSE(CONTROL!$C$27, 0.0021, 0)</f>
        <v>109.2564</v>
      </c>
      <c r="H995" s="14">
        <f>109.1196 * CHOOSE(CONTROL!$C$9, $D$9, 100%, $F$9) + CHOOSE(CONTROL!$C$27, 0.0021, 0)</f>
        <v>109.1217</v>
      </c>
      <c r="I995" s="14">
        <f>109.1196 * CHOOSE(CONTROL!$C$9, $D$9, 100%, $F$9) + CHOOSE(CONTROL!$C$27, 0.0021, 0)</f>
        <v>109.1217</v>
      </c>
      <c r="J995" s="14">
        <f>109.1196 * CHOOSE(CONTROL!$C$9, $D$9, 100%, $F$9) + CHOOSE(CONTROL!$C$27, 0.0021, 0)</f>
        <v>109.1217</v>
      </c>
      <c r="K995" s="14">
        <f>109.1196 * CHOOSE(CONTROL!$C$9, $D$9, 100%, $F$9) + CHOOSE(CONTROL!$C$27, 0.0021, 0)</f>
        <v>109.1217</v>
      </c>
      <c r="L995" s="14"/>
    </row>
    <row r="996" spans="1:12" ht="15.75" x14ac:dyDescent="0.25">
      <c r="A996" s="32">
        <v>71255</v>
      </c>
      <c r="B996" s="14">
        <f>108.1465 * CHOOSE(CONTROL!$C$9, $D$9, 100%, $F$9) + CHOOSE(CONTROL!$C$27, 0.0021, 0)</f>
        <v>108.1486</v>
      </c>
      <c r="C996" s="14">
        <f>107.7143 * CHOOSE(CONTROL!$C$9, $D$9, 100%, $F$9) + CHOOSE(CONTROL!$C$27, 0.0021, 0)</f>
        <v>107.71639999999999</v>
      </c>
      <c r="D996" s="14">
        <f>107.7143 * CHOOSE(CONTROL!$C$9, $D$9, 100%, $F$9) + CHOOSE(CONTROL!$C$27, 0.0021, 0)</f>
        <v>107.71639999999999</v>
      </c>
      <c r="E996" s="14">
        <f>107.5776 * CHOOSE(CONTROL!$C$9, $D$9, 100%, $F$9) + CHOOSE(CONTROL!$C$27, 0.0021, 0)</f>
        <v>107.5797</v>
      </c>
      <c r="F996" s="14">
        <f>107.5776 * CHOOSE(CONTROL!$C$9, $D$9, 100%, $F$9) + CHOOSE(CONTROL!$C$27, 0.0021, 0)</f>
        <v>107.5797</v>
      </c>
      <c r="G996" s="14">
        <f>107.849 * CHOOSE(CONTROL!$C$9, $D$9, 100%, $F$9) + CHOOSE(CONTROL!$C$27, 0.0021, 0)</f>
        <v>107.8511</v>
      </c>
      <c r="H996" s="14">
        <f>107.7143 * CHOOSE(CONTROL!$C$9, $D$9, 100%, $F$9) + CHOOSE(CONTROL!$C$27, 0.0021, 0)</f>
        <v>107.71639999999999</v>
      </c>
      <c r="I996" s="14">
        <f>107.7143 * CHOOSE(CONTROL!$C$9, $D$9, 100%, $F$9) + CHOOSE(CONTROL!$C$27, 0.0021, 0)</f>
        <v>107.71639999999999</v>
      </c>
      <c r="J996" s="14">
        <f>107.7143 * CHOOSE(CONTROL!$C$9, $D$9, 100%, $F$9) + CHOOSE(CONTROL!$C$27, 0.0021, 0)</f>
        <v>107.71639999999999</v>
      </c>
      <c r="K996" s="14">
        <f>107.7143 * CHOOSE(CONTROL!$C$9, $D$9, 100%, $F$9) + CHOOSE(CONTROL!$C$27, 0.0021, 0)</f>
        <v>107.71639999999999</v>
      </c>
      <c r="L996" s="14"/>
    </row>
    <row r="997" spans="1:12" ht="15.75" x14ac:dyDescent="0.25">
      <c r="A997" s="32">
        <v>71283</v>
      </c>
      <c r="B997" s="14">
        <f>105.1524 * CHOOSE(CONTROL!$C$9, $D$9, 100%, $F$9) + CHOOSE(CONTROL!$C$27, 0.0021, 0)</f>
        <v>105.1545</v>
      </c>
      <c r="C997" s="14">
        <f>104.7202 * CHOOSE(CONTROL!$C$9, $D$9, 100%, $F$9) + CHOOSE(CONTROL!$C$27, 0.0021, 0)</f>
        <v>104.7223</v>
      </c>
      <c r="D997" s="14">
        <f>104.7202 * CHOOSE(CONTROL!$C$9, $D$9, 100%, $F$9) + CHOOSE(CONTROL!$C$27, 0.0021, 0)</f>
        <v>104.7223</v>
      </c>
      <c r="E997" s="14">
        <f>104.5835 * CHOOSE(CONTROL!$C$9, $D$9, 100%, $F$9) + CHOOSE(CONTROL!$C$27, 0.0021, 0)</f>
        <v>104.5856</v>
      </c>
      <c r="F997" s="14">
        <f>104.5835 * CHOOSE(CONTROL!$C$9, $D$9, 100%, $F$9) + CHOOSE(CONTROL!$C$27, 0.0021, 0)</f>
        <v>104.5856</v>
      </c>
      <c r="G997" s="14">
        <f>104.8549 * CHOOSE(CONTROL!$C$9, $D$9, 100%, $F$9) + CHOOSE(CONTROL!$C$27, 0.0021, 0)</f>
        <v>104.857</v>
      </c>
      <c r="H997" s="14">
        <f>104.7202 * CHOOSE(CONTROL!$C$9, $D$9, 100%, $F$9) + CHOOSE(CONTROL!$C$27, 0.0021, 0)</f>
        <v>104.7223</v>
      </c>
      <c r="I997" s="14">
        <f>104.7202 * CHOOSE(CONTROL!$C$9, $D$9, 100%, $F$9) + CHOOSE(CONTROL!$C$27, 0.0021, 0)</f>
        <v>104.7223</v>
      </c>
      <c r="J997" s="14">
        <f>104.7202 * CHOOSE(CONTROL!$C$9, $D$9, 100%, $F$9) + CHOOSE(CONTROL!$C$27, 0.0021, 0)</f>
        <v>104.7223</v>
      </c>
      <c r="K997" s="14">
        <f>104.7202 * CHOOSE(CONTROL!$C$9, $D$9, 100%, $F$9) + CHOOSE(CONTROL!$C$27, 0.0021, 0)</f>
        <v>104.7223</v>
      </c>
      <c r="L997" s="14"/>
    </row>
    <row r="998" spans="1:12" ht="15.75" x14ac:dyDescent="0.25">
      <c r="A998" s="32">
        <v>71314</v>
      </c>
      <c r="B998" s="14">
        <f>103.9164 * CHOOSE(CONTROL!$C$9, $D$9, 100%, $F$9) + CHOOSE(CONTROL!$C$27, 0.0021, 0)</f>
        <v>103.91849999999999</v>
      </c>
      <c r="C998" s="14">
        <f>103.4842 * CHOOSE(CONTROL!$C$9, $D$9, 100%, $F$9) + CHOOSE(CONTROL!$C$27, 0.0021, 0)</f>
        <v>103.4863</v>
      </c>
      <c r="D998" s="14">
        <f>103.4842 * CHOOSE(CONTROL!$C$9, $D$9, 100%, $F$9) + CHOOSE(CONTROL!$C$27, 0.0021, 0)</f>
        <v>103.4863</v>
      </c>
      <c r="E998" s="14">
        <f>103.3475 * CHOOSE(CONTROL!$C$9, $D$9, 100%, $F$9) + CHOOSE(CONTROL!$C$27, 0.0021, 0)</f>
        <v>103.3496</v>
      </c>
      <c r="F998" s="14">
        <f>103.3475 * CHOOSE(CONTROL!$C$9, $D$9, 100%, $F$9) + CHOOSE(CONTROL!$C$27, 0.0021, 0)</f>
        <v>103.3496</v>
      </c>
      <c r="G998" s="14">
        <f>103.6189 * CHOOSE(CONTROL!$C$9, $D$9, 100%, $F$9) + CHOOSE(CONTROL!$C$27, 0.0021, 0)</f>
        <v>103.621</v>
      </c>
      <c r="H998" s="14">
        <f>103.4842 * CHOOSE(CONTROL!$C$9, $D$9, 100%, $F$9) + CHOOSE(CONTROL!$C$27, 0.0021, 0)</f>
        <v>103.4863</v>
      </c>
      <c r="I998" s="14">
        <f>103.4842 * CHOOSE(CONTROL!$C$9, $D$9, 100%, $F$9) + CHOOSE(CONTROL!$C$27, 0.0021, 0)</f>
        <v>103.4863</v>
      </c>
      <c r="J998" s="14">
        <f>103.4842 * CHOOSE(CONTROL!$C$9, $D$9, 100%, $F$9) + CHOOSE(CONTROL!$C$27, 0.0021, 0)</f>
        <v>103.4863</v>
      </c>
      <c r="K998" s="14">
        <f>103.4842 * CHOOSE(CONTROL!$C$9, $D$9, 100%, $F$9) + CHOOSE(CONTROL!$C$27, 0.0021, 0)</f>
        <v>103.4863</v>
      </c>
      <c r="L998" s="14"/>
    </row>
    <row r="999" spans="1:12" ht="15.75" x14ac:dyDescent="0.25">
      <c r="A999" s="32">
        <v>71344</v>
      </c>
      <c r="B999" s="14">
        <f>102.4407 * CHOOSE(CONTROL!$C$9, $D$9, 100%, $F$9) + CHOOSE(CONTROL!$C$27, 0.0021, 0)</f>
        <v>102.44280000000001</v>
      </c>
      <c r="C999" s="14">
        <f>102.0084 * CHOOSE(CONTROL!$C$9, $D$9, 100%, $F$9) + CHOOSE(CONTROL!$C$27, 0.0021, 0)</f>
        <v>102.01049999999999</v>
      </c>
      <c r="D999" s="14">
        <f>102.0084 * CHOOSE(CONTROL!$C$9, $D$9, 100%, $F$9) + CHOOSE(CONTROL!$C$27, 0.0021, 0)</f>
        <v>102.01049999999999</v>
      </c>
      <c r="E999" s="14">
        <f>101.8718 * CHOOSE(CONTROL!$C$9, $D$9, 100%, $F$9) + CHOOSE(CONTROL!$C$27, 0.0021, 0)</f>
        <v>101.87389999999999</v>
      </c>
      <c r="F999" s="14">
        <f>101.8718 * CHOOSE(CONTROL!$C$9, $D$9, 100%, $F$9) + CHOOSE(CONTROL!$C$27, 0.0021, 0)</f>
        <v>101.87389999999999</v>
      </c>
      <c r="G999" s="14">
        <f>102.1431 * CHOOSE(CONTROL!$C$9, $D$9, 100%, $F$9) + CHOOSE(CONTROL!$C$27, 0.0021, 0)</f>
        <v>102.1452</v>
      </c>
      <c r="H999" s="14">
        <f>102.0084 * CHOOSE(CONTROL!$C$9, $D$9, 100%, $F$9) + CHOOSE(CONTROL!$C$27, 0.0021, 0)</f>
        <v>102.01049999999999</v>
      </c>
      <c r="I999" s="14">
        <f>102.0084 * CHOOSE(CONTROL!$C$9, $D$9, 100%, $F$9) + CHOOSE(CONTROL!$C$27, 0.0021, 0)</f>
        <v>102.01049999999999</v>
      </c>
      <c r="J999" s="14">
        <f>102.0084 * CHOOSE(CONTROL!$C$9, $D$9, 100%, $F$9) + CHOOSE(CONTROL!$C$27, 0.0021, 0)</f>
        <v>102.01049999999999</v>
      </c>
      <c r="K999" s="14">
        <f>102.0084 * CHOOSE(CONTROL!$C$9, $D$9, 100%, $F$9) + CHOOSE(CONTROL!$C$27, 0.0021, 0)</f>
        <v>102.01049999999999</v>
      </c>
      <c r="L999" s="14"/>
    </row>
    <row r="1000" spans="1:12" ht="15.75" x14ac:dyDescent="0.25">
      <c r="A1000" s="32">
        <v>71375</v>
      </c>
      <c r="B1000" s="14">
        <f>104.5438 * CHOOSE(CONTROL!$C$9, $D$9, 100%, $F$9) + CHOOSE(CONTROL!$C$27, 0.0021, 0)</f>
        <v>104.5459</v>
      </c>
      <c r="C1000" s="14">
        <f>104.1116 * CHOOSE(CONTROL!$C$9, $D$9, 100%, $F$9) + CHOOSE(CONTROL!$C$27, 0.0021, 0)</f>
        <v>104.11369999999999</v>
      </c>
      <c r="D1000" s="14">
        <f>104.1116 * CHOOSE(CONTROL!$C$9, $D$9, 100%, $F$9) + CHOOSE(CONTROL!$C$27, 0.0021, 0)</f>
        <v>104.11369999999999</v>
      </c>
      <c r="E1000" s="14">
        <f>103.9749 * CHOOSE(CONTROL!$C$9, $D$9, 100%, $F$9) + CHOOSE(CONTROL!$C$27, 0.0021, 0)</f>
        <v>103.977</v>
      </c>
      <c r="F1000" s="14">
        <f>103.9749 * CHOOSE(CONTROL!$C$9, $D$9, 100%, $F$9) + CHOOSE(CONTROL!$C$27, 0.0021, 0)</f>
        <v>103.977</v>
      </c>
      <c r="G1000" s="14">
        <f>104.2463 * CHOOSE(CONTROL!$C$9, $D$9, 100%, $F$9) + CHOOSE(CONTROL!$C$27, 0.0021, 0)</f>
        <v>104.2484</v>
      </c>
      <c r="H1000" s="14">
        <f>104.1116 * CHOOSE(CONTROL!$C$9, $D$9, 100%, $F$9) + CHOOSE(CONTROL!$C$27, 0.0021, 0)</f>
        <v>104.11369999999999</v>
      </c>
      <c r="I1000" s="14">
        <f>104.1116 * CHOOSE(CONTROL!$C$9, $D$9, 100%, $F$9) + CHOOSE(CONTROL!$C$27, 0.0021, 0)</f>
        <v>104.11369999999999</v>
      </c>
      <c r="J1000" s="14">
        <f>104.1116 * CHOOSE(CONTROL!$C$9, $D$9, 100%, $F$9) + CHOOSE(CONTROL!$C$27, 0.0021, 0)</f>
        <v>104.11369999999999</v>
      </c>
      <c r="K1000" s="14">
        <f>104.1116 * CHOOSE(CONTROL!$C$9, $D$9, 100%, $F$9) + CHOOSE(CONTROL!$C$27, 0.0021, 0)</f>
        <v>104.11369999999999</v>
      </c>
      <c r="L1000" s="14"/>
    </row>
    <row r="1001" spans="1:12" ht="15.75" x14ac:dyDescent="0.25">
      <c r="A1001" s="32">
        <v>71405</v>
      </c>
      <c r="B1001" s="14">
        <f>105.8035 * CHOOSE(CONTROL!$C$9, $D$9, 100%, $F$9) + CHOOSE(CONTROL!$C$27, 0.0021, 0)</f>
        <v>105.8056</v>
      </c>
      <c r="C1001" s="14">
        <f>105.3713 * CHOOSE(CONTROL!$C$9, $D$9, 100%, $F$9) + CHOOSE(CONTROL!$C$27, 0.0021, 0)</f>
        <v>105.3734</v>
      </c>
      <c r="D1001" s="14">
        <f>105.3713 * CHOOSE(CONTROL!$C$9, $D$9, 100%, $F$9) + CHOOSE(CONTROL!$C$27, 0.0021, 0)</f>
        <v>105.3734</v>
      </c>
      <c r="E1001" s="14">
        <f>105.2346 * CHOOSE(CONTROL!$C$9, $D$9, 100%, $F$9) + CHOOSE(CONTROL!$C$27, 0.0021, 0)</f>
        <v>105.2367</v>
      </c>
      <c r="F1001" s="14">
        <f>105.2346 * CHOOSE(CONTROL!$C$9, $D$9, 100%, $F$9) + CHOOSE(CONTROL!$C$27, 0.0021, 0)</f>
        <v>105.2367</v>
      </c>
      <c r="G1001" s="14">
        <f>105.506 * CHOOSE(CONTROL!$C$9, $D$9, 100%, $F$9) + CHOOSE(CONTROL!$C$27, 0.0021, 0)</f>
        <v>105.5081</v>
      </c>
      <c r="H1001" s="14">
        <f>105.3713 * CHOOSE(CONTROL!$C$9, $D$9, 100%, $F$9) + CHOOSE(CONTROL!$C$27, 0.0021, 0)</f>
        <v>105.3734</v>
      </c>
      <c r="I1001" s="14">
        <f>105.3713 * CHOOSE(CONTROL!$C$9, $D$9, 100%, $F$9) + CHOOSE(CONTROL!$C$27, 0.0021, 0)</f>
        <v>105.3734</v>
      </c>
      <c r="J1001" s="14">
        <f>105.3713 * CHOOSE(CONTROL!$C$9, $D$9, 100%, $F$9) + CHOOSE(CONTROL!$C$27, 0.0021, 0)</f>
        <v>105.3734</v>
      </c>
      <c r="K1001" s="14">
        <f>105.3713 * CHOOSE(CONTROL!$C$9, $D$9, 100%, $F$9) + CHOOSE(CONTROL!$C$27, 0.0021, 0)</f>
        <v>105.3734</v>
      </c>
      <c r="L1001" s="14"/>
    </row>
    <row r="1002" spans="1:12" ht="15.75" x14ac:dyDescent="0.25">
      <c r="A1002" s="32">
        <v>71436</v>
      </c>
      <c r="B1002" s="14">
        <f>107.8816 * CHOOSE(CONTROL!$C$9, $D$9, 100%, $F$9) + CHOOSE(CONTROL!$C$27, 0.0021, 0)</f>
        <v>107.8837</v>
      </c>
      <c r="C1002" s="14">
        <f>107.4493 * CHOOSE(CONTROL!$C$9, $D$9, 100%, $F$9) + CHOOSE(CONTROL!$C$27, 0.0021, 0)</f>
        <v>107.45139999999999</v>
      </c>
      <c r="D1002" s="14">
        <f>107.4493 * CHOOSE(CONTROL!$C$9, $D$9, 100%, $F$9) + CHOOSE(CONTROL!$C$27, 0.0021, 0)</f>
        <v>107.45139999999999</v>
      </c>
      <c r="E1002" s="14">
        <f>107.3127 * CHOOSE(CONTROL!$C$9, $D$9, 100%, $F$9) + CHOOSE(CONTROL!$C$27, 0.0021, 0)</f>
        <v>107.31480000000001</v>
      </c>
      <c r="F1002" s="14">
        <f>107.3127 * CHOOSE(CONTROL!$C$9, $D$9, 100%, $F$9) + CHOOSE(CONTROL!$C$27, 0.0021, 0)</f>
        <v>107.31480000000001</v>
      </c>
      <c r="G1002" s="14">
        <f>107.5841 * CHOOSE(CONTROL!$C$9, $D$9, 100%, $F$9) + CHOOSE(CONTROL!$C$27, 0.0021, 0)</f>
        <v>107.58620000000001</v>
      </c>
      <c r="H1002" s="14">
        <f>107.4493 * CHOOSE(CONTROL!$C$9, $D$9, 100%, $F$9) + CHOOSE(CONTROL!$C$27, 0.0021, 0)</f>
        <v>107.45139999999999</v>
      </c>
      <c r="I1002" s="14">
        <f>107.4493 * CHOOSE(CONTROL!$C$9, $D$9, 100%, $F$9) + CHOOSE(CONTROL!$C$27, 0.0021, 0)</f>
        <v>107.45139999999999</v>
      </c>
      <c r="J1002" s="14">
        <f>107.4493 * CHOOSE(CONTROL!$C$9, $D$9, 100%, $F$9) + CHOOSE(CONTROL!$C$27, 0.0021, 0)</f>
        <v>107.45139999999999</v>
      </c>
      <c r="K1002" s="14">
        <f>107.4493 * CHOOSE(CONTROL!$C$9, $D$9, 100%, $F$9) + CHOOSE(CONTROL!$C$27, 0.0021, 0)</f>
        <v>107.45139999999999</v>
      </c>
      <c r="L1002" s="14"/>
    </row>
    <row r="1003" spans="1:12" ht="15.75" x14ac:dyDescent="0.25">
      <c r="A1003" s="32">
        <v>71467</v>
      </c>
      <c r="B1003" s="14">
        <f>108.5159 * CHOOSE(CONTROL!$C$9, $D$9, 100%, $F$9) + CHOOSE(CONTROL!$C$27, 0.0021, 0)</f>
        <v>108.518</v>
      </c>
      <c r="C1003" s="14">
        <f>108.0836 * CHOOSE(CONTROL!$C$9, $D$9, 100%, $F$9) + CHOOSE(CONTROL!$C$27, 0.0021, 0)</f>
        <v>108.0857</v>
      </c>
      <c r="D1003" s="14">
        <f>108.0836 * CHOOSE(CONTROL!$C$9, $D$9, 100%, $F$9) + CHOOSE(CONTROL!$C$27, 0.0021, 0)</f>
        <v>108.0857</v>
      </c>
      <c r="E1003" s="14">
        <f>107.947 * CHOOSE(CONTROL!$C$9, $D$9, 100%, $F$9) + CHOOSE(CONTROL!$C$27, 0.0021, 0)</f>
        <v>107.9491</v>
      </c>
      <c r="F1003" s="14">
        <f>107.947 * CHOOSE(CONTROL!$C$9, $D$9, 100%, $F$9) + CHOOSE(CONTROL!$C$27, 0.0021, 0)</f>
        <v>107.9491</v>
      </c>
      <c r="G1003" s="14">
        <f>108.2183 * CHOOSE(CONTROL!$C$9, $D$9, 100%, $F$9) + CHOOSE(CONTROL!$C$27, 0.0021, 0)</f>
        <v>108.2204</v>
      </c>
      <c r="H1003" s="14">
        <f>108.0836 * CHOOSE(CONTROL!$C$9, $D$9, 100%, $F$9) + CHOOSE(CONTROL!$C$27, 0.0021, 0)</f>
        <v>108.0857</v>
      </c>
      <c r="I1003" s="14">
        <f>108.0836 * CHOOSE(CONTROL!$C$9, $D$9, 100%, $F$9) + CHOOSE(CONTROL!$C$27, 0.0021, 0)</f>
        <v>108.0857</v>
      </c>
      <c r="J1003" s="14">
        <f>108.0836 * CHOOSE(CONTROL!$C$9, $D$9, 100%, $F$9) + CHOOSE(CONTROL!$C$27, 0.0021, 0)</f>
        <v>108.0857</v>
      </c>
      <c r="K1003" s="14">
        <f>108.0836 * CHOOSE(CONTROL!$C$9, $D$9, 100%, $F$9) + CHOOSE(CONTROL!$C$27, 0.0021, 0)</f>
        <v>108.0857</v>
      </c>
      <c r="L1003" s="14"/>
    </row>
    <row r="1004" spans="1:12" ht="15.75" x14ac:dyDescent="0.25">
      <c r="A1004" s="32">
        <v>71497</v>
      </c>
      <c r="B1004" s="14">
        <f>110.6759 * CHOOSE(CONTROL!$C$9, $D$9, 100%, $F$9) + CHOOSE(CONTROL!$C$27, 0.0021, 0)</f>
        <v>110.678</v>
      </c>
      <c r="C1004" s="14">
        <f>110.2437 * CHOOSE(CONTROL!$C$9, $D$9, 100%, $F$9) + CHOOSE(CONTROL!$C$27, 0.0021, 0)</f>
        <v>110.2458</v>
      </c>
      <c r="D1004" s="14">
        <f>110.2437 * CHOOSE(CONTROL!$C$9, $D$9, 100%, $F$9) + CHOOSE(CONTROL!$C$27, 0.0021, 0)</f>
        <v>110.2458</v>
      </c>
      <c r="E1004" s="14">
        <f>110.107 * CHOOSE(CONTROL!$C$9, $D$9, 100%, $F$9) + CHOOSE(CONTROL!$C$27, 0.0021, 0)</f>
        <v>110.1091</v>
      </c>
      <c r="F1004" s="14">
        <f>110.107 * CHOOSE(CONTROL!$C$9, $D$9, 100%, $F$9) + CHOOSE(CONTROL!$C$27, 0.0021, 0)</f>
        <v>110.1091</v>
      </c>
      <c r="G1004" s="14">
        <f>110.3784 * CHOOSE(CONTROL!$C$9, $D$9, 100%, $F$9) + CHOOSE(CONTROL!$C$27, 0.0021, 0)</f>
        <v>110.3805</v>
      </c>
      <c r="H1004" s="14">
        <f>110.2437 * CHOOSE(CONTROL!$C$9, $D$9, 100%, $F$9) + CHOOSE(CONTROL!$C$27, 0.0021, 0)</f>
        <v>110.2458</v>
      </c>
      <c r="I1004" s="14">
        <f>110.2437 * CHOOSE(CONTROL!$C$9, $D$9, 100%, $F$9) + CHOOSE(CONTROL!$C$27, 0.0021, 0)</f>
        <v>110.2458</v>
      </c>
      <c r="J1004" s="14">
        <f>110.2437 * CHOOSE(CONTROL!$C$9, $D$9, 100%, $F$9) + CHOOSE(CONTROL!$C$27, 0.0021, 0)</f>
        <v>110.2458</v>
      </c>
      <c r="K1004" s="14">
        <f>110.2437 * CHOOSE(CONTROL!$C$9, $D$9, 100%, $F$9) + CHOOSE(CONTROL!$C$27, 0.0021, 0)</f>
        <v>110.2458</v>
      </c>
      <c r="L1004" s="14"/>
    </row>
    <row r="1005" spans="1:12" ht="15.75" x14ac:dyDescent="0.25">
      <c r="A1005" s="32">
        <v>71528</v>
      </c>
      <c r="B1005" s="14">
        <f>113.4102 * CHOOSE(CONTROL!$C$9, $D$9, 100%, $F$9) + CHOOSE(CONTROL!$C$27, 0.0021, 0)</f>
        <v>113.4123</v>
      </c>
      <c r="C1005" s="14">
        <f>112.9779 * CHOOSE(CONTROL!$C$9, $D$9, 100%, $F$9) + CHOOSE(CONTROL!$C$27, 0.0021, 0)</f>
        <v>112.98</v>
      </c>
      <c r="D1005" s="14">
        <f>112.9779 * CHOOSE(CONTROL!$C$9, $D$9, 100%, $F$9) + CHOOSE(CONTROL!$C$27, 0.0021, 0)</f>
        <v>112.98</v>
      </c>
      <c r="E1005" s="14">
        <f>112.8413 * CHOOSE(CONTROL!$C$9, $D$9, 100%, $F$9) + CHOOSE(CONTROL!$C$27, 0.0021, 0)</f>
        <v>112.8434</v>
      </c>
      <c r="F1005" s="14">
        <f>112.8413 * CHOOSE(CONTROL!$C$9, $D$9, 100%, $F$9) + CHOOSE(CONTROL!$C$27, 0.0021, 0)</f>
        <v>112.8434</v>
      </c>
      <c r="G1005" s="14">
        <f>113.1126 * CHOOSE(CONTROL!$C$9, $D$9, 100%, $F$9) + CHOOSE(CONTROL!$C$27, 0.0021, 0)</f>
        <v>113.1147</v>
      </c>
      <c r="H1005" s="14">
        <f>112.9779 * CHOOSE(CONTROL!$C$9, $D$9, 100%, $F$9) + CHOOSE(CONTROL!$C$27, 0.0021, 0)</f>
        <v>112.98</v>
      </c>
      <c r="I1005" s="14">
        <f>112.9779 * CHOOSE(CONTROL!$C$9, $D$9, 100%, $F$9) + CHOOSE(CONTROL!$C$27, 0.0021, 0)</f>
        <v>112.98</v>
      </c>
      <c r="J1005" s="14">
        <f>112.9779 * CHOOSE(CONTROL!$C$9, $D$9, 100%, $F$9) + CHOOSE(CONTROL!$C$27, 0.0021, 0)</f>
        <v>112.98</v>
      </c>
      <c r="K1005" s="14">
        <f>112.9779 * CHOOSE(CONTROL!$C$9, $D$9, 100%, $F$9) + CHOOSE(CONTROL!$C$27, 0.0021, 0)</f>
        <v>112.98</v>
      </c>
      <c r="L1005" s="14"/>
    </row>
    <row r="1006" spans="1:12" ht="15.75" x14ac:dyDescent="0.25">
      <c r="A1006" s="32">
        <v>71558</v>
      </c>
      <c r="B1006" s="14">
        <f>113.6669 * CHOOSE(CONTROL!$C$9, $D$9, 100%, $F$9) + CHOOSE(CONTROL!$C$27, 0.0021, 0)</f>
        <v>113.669</v>
      </c>
      <c r="C1006" s="14">
        <f>113.2346 * CHOOSE(CONTROL!$C$9, $D$9, 100%, $F$9) + CHOOSE(CONTROL!$C$27, 0.0021, 0)</f>
        <v>113.2367</v>
      </c>
      <c r="D1006" s="14">
        <f>113.2346 * CHOOSE(CONTROL!$C$9, $D$9, 100%, $F$9) + CHOOSE(CONTROL!$C$27, 0.0021, 0)</f>
        <v>113.2367</v>
      </c>
      <c r="E1006" s="14">
        <f>113.098 * CHOOSE(CONTROL!$C$9, $D$9, 100%, $F$9) + CHOOSE(CONTROL!$C$27, 0.0021, 0)</f>
        <v>113.1001</v>
      </c>
      <c r="F1006" s="14">
        <f>113.098 * CHOOSE(CONTROL!$C$9, $D$9, 100%, $F$9) + CHOOSE(CONTROL!$C$27, 0.0021, 0)</f>
        <v>113.1001</v>
      </c>
      <c r="G1006" s="14">
        <f>113.3693 * CHOOSE(CONTROL!$C$9, $D$9, 100%, $F$9) + CHOOSE(CONTROL!$C$27, 0.0021, 0)</f>
        <v>113.37139999999999</v>
      </c>
      <c r="H1006" s="14">
        <f>113.2346 * CHOOSE(CONTROL!$C$9, $D$9, 100%, $F$9) + CHOOSE(CONTROL!$C$27, 0.0021, 0)</f>
        <v>113.2367</v>
      </c>
      <c r="I1006" s="14">
        <f>113.2346 * CHOOSE(CONTROL!$C$9, $D$9, 100%, $F$9) + CHOOSE(CONTROL!$C$27, 0.0021, 0)</f>
        <v>113.2367</v>
      </c>
      <c r="J1006" s="14">
        <f>113.2346 * CHOOSE(CONTROL!$C$9, $D$9, 100%, $F$9) + CHOOSE(CONTROL!$C$27, 0.0021, 0)</f>
        <v>113.2367</v>
      </c>
      <c r="K1006" s="14">
        <f>113.2346 * CHOOSE(CONTROL!$C$9, $D$9, 100%, $F$9) + CHOOSE(CONTROL!$C$27, 0.0021, 0)</f>
        <v>113.2367</v>
      </c>
      <c r="L1006" s="14"/>
    </row>
    <row r="1007" spans="1:12" ht="15.75" x14ac:dyDescent="0.25">
      <c r="A1007" s="32">
        <v>71589</v>
      </c>
      <c r="B1007" s="14">
        <f>111.4831 * CHOOSE(CONTROL!$C$9, $D$9, 100%, $F$9) + CHOOSE(CONTROL!$C$27, 0.0021, 0)</f>
        <v>111.48519999999999</v>
      </c>
      <c r="C1007" s="14">
        <f>111.0508 * CHOOSE(CONTROL!$C$9, $D$9, 100%, $F$9) + CHOOSE(CONTROL!$C$27, 0.0021, 0)</f>
        <v>111.05289999999999</v>
      </c>
      <c r="D1007" s="14">
        <f>111.0508 * CHOOSE(CONTROL!$C$9, $D$9, 100%, $F$9) + CHOOSE(CONTROL!$C$27, 0.0021, 0)</f>
        <v>111.05289999999999</v>
      </c>
      <c r="E1007" s="14">
        <f>110.9142 * CHOOSE(CONTROL!$C$9, $D$9, 100%, $F$9) + CHOOSE(CONTROL!$C$27, 0.0021, 0)</f>
        <v>110.91629999999999</v>
      </c>
      <c r="F1007" s="14">
        <f>110.9142 * CHOOSE(CONTROL!$C$9, $D$9, 100%, $F$9) + CHOOSE(CONTROL!$C$27, 0.0021, 0)</f>
        <v>110.91629999999999</v>
      </c>
      <c r="G1007" s="14">
        <f>111.1855 * CHOOSE(CONTROL!$C$9, $D$9, 100%, $F$9) + CHOOSE(CONTROL!$C$27, 0.0021, 0)</f>
        <v>111.1876</v>
      </c>
      <c r="H1007" s="14">
        <f>111.0508 * CHOOSE(CONTROL!$C$9, $D$9, 100%, $F$9) + CHOOSE(CONTROL!$C$27, 0.0021, 0)</f>
        <v>111.05289999999999</v>
      </c>
      <c r="I1007" s="14">
        <f>111.0508 * CHOOSE(CONTROL!$C$9, $D$9, 100%, $F$9) + CHOOSE(CONTROL!$C$27, 0.0021, 0)</f>
        <v>111.05289999999999</v>
      </c>
      <c r="J1007" s="14">
        <f>111.0508 * CHOOSE(CONTROL!$C$9, $D$9, 100%, $F$9) + CHOOSE(CONTROL!$C$27, 0.0021, 0)</f>
        <v>111.05289999999999</v>
      </c>
      <c r="K1007" s="14">
        <f>111.0508 * CHOOSE(CONTROL!$C$9, $D$9, 100%, $F$9) + CHOOSE(CONTROL!$C$27, 0.0021, 0)</f>
        <v>111.05289999999999</v>
      </c>
      <c r="L1007" s="14"/>
    </row>
    <row r="1008" spans="1:12" ht="15.75" x14ac:dyDescent="0.25">
      <c r="A1008" s="32">
        <v>71620</v>
      </c>
      <c r="B1008" s="14">
        <f>110.0524 * CHOOSE(CONTROL!$C$9, $D$9, 100%, $F$9) + CHOOSE(CONTROL!$C$27, 0.0021, 0)</f>
        <v>110.0545</v>
      </c>
      <c r="C1008" s="14">
        <f>109.6202 * CHOOSE(CONTROL!$C$9, $D$9, 100%, $F$9) + CHOOSE(CONTROL!$C$27, 0.0021, 0)</f>
        <v>109.6223</v>
      </c>
      <c r="D1008" s="14">
        <f>109.6202 * CHOOSE(CONTROL!$C$9, $D$9, 100%, $F$9) + CHOOSE(CONTROL!$C$27, 0.0021, 0)</f>
        <v>109.6223</v>
      </c>
      <c r="E1008" s="14">
        <f>109.4835 * CHOOSE(CONTROL!$C$9, $D$9, 100%, $F$9) + CHOOSE(CONTROL!$C$27, 0.0021, 0)</f>
        <v>109.48560000000001</v>
      </c>
      <c r="F1008" s="14">
        <f>109.4835 * CHOOSE(CONTROL!$C$9, $D$9, 100%, $F$9) + CHOOSE(CONTROL!$C$27, 0.0021, 0)</f>
        <v>109.48560000000001</v>
      </c>
      <c r="G1008" s="14">
        <f>109.7549 * CHOOSE(CONTROL!$C$9, $D$9, 100%, $F$9) + CHOOSE(CONTROL!$C$27, 0.0021, 0)</f>
        <v>109.75700000000001</v>
      </c>
      <c r="H1008" s="14">
        <f>109.6202 * CHOOSE(CONTROL!$C$9, $D$9, 100%, $F$9) + CHOOSE(CONTROL!$C$27, 0.0021, 0)</f>
        <v>109.6223</v>
      </c>
      <c r="I1008" s="14">
        <f>109.6202 * CHOOSE(CONTROL!$C$9, $D$9, 100%, $F$9) + CHOOSE(CONTROL!$C$27, 0.0021, 0)</f>
        <v>109.6223</v>
      </c>
      <c r="J1008" s="14">
        <f>109.6202 * CHOOSE(CONTROL!$C$9, $D$9, 100%, $F$9) + CHOOSE(CONTROL!$C$27, 0.0021, 0)</f>
        <v>109.6223</v>
      </c>
      <c r="K1008" s="14">
        <f>109.6202 * CHOOSE(CONTROL!$C$9, $D$9, 100%, $F$9) + CHOOSE(CONTROL!$C$27, 0.0021, 0)</f>
        <v>109.6223</v>
      </c>
      <c r="L1008" s="14"/>
    </row>
    <row r="1009" spans="1:12" ht="15.75" x14ac:dyDescent="0.25">
      <c r="A1009" s="32">
        <v>71649</v>
      </c>
      <c r="B1009" s="14">
        <f>107.0044 * CHOOSE(CONTROL!$C$9, $D$9, 100%, $F$9) + CHOOSE(CONTROL!$C$27, 0.0021, 0)</f>
        <v>107.0065</v>
      </c>
      <c r="C1009" s="14">
        <f>106.5721 * CHOOSE(CONTROL!$C$9, $D$9, 100%, $F$9) + CHOOSE(CONTROL!$C$27, 0.0021, 0)</f>
        <v>106.5742</v>
      </c>
      <c r="D1009" s="14">
        <f>106.5721 * CHOOSE(CONTROL!$C$9, $D$9, 100%, $F$9) + CHOOSE(CONTROL!$C$27, 0.0021, 0)</f>
        <v>106.5742</v>
      </c>
      <c r="E1009" s="14">
        <f>106.4355 * CHOOSE(CONTROL!$C$9, $D$9, 100%, $F$9) + CHOOSE(CONTROL!$C$27, 0.0021, 0)</f>
        <v>106.4376</v>
      </c>
      <c r="F1009" s="14">
        <f>106.4355 * CHOOSE(CONTROL!$C$9, $D$9, 100%, $F$9) + CHOOSE(CONTROL!$C$27, 0.0021, 0)</f>
        <v>106.4376</v>
      </c>
      <c r="G1009" s="14">
        <f>106.7069 * CHOOSE(CONTROL!$C$9, $D$9, 100%, $F$9) + CHOOSE(CONTROL!$C$27, 0.0021, 0)</f>
        <v>106.709</v>
      </c>
      <c r="H1009" s="14">
        <f>106.5721 * CHOOSE(CONTROL!$C$9, $D$9, 100%, $F$9) + CHOOSE(CONTROL!$C$27, 0.0021, 0)</f>
        <v>106.5742</v>
      </c>
      <c r="I1009" s="14">
        <f>106.5721 * CHOOSE(CONTROL!$C$9, $D$9, 100%, $F$9) + CHOOSE(CONTROL!$C$27, 0.0021, 0)</f>
        <v>106.5742</v>
      </c>
      <c r="J1009" s="14">
        <f>106.5721 * CHOOSE(CONTROL!$C$9, $D$9, 100%, $F$9) + CHOOSE(CONTROL!$C$27, 0.0021, 0)</f>
        <v>106.5742</v>
      </c>
      <c r="K1009" s="14">
        <f>106.5721 * CHOOSE(CONTROL!$C$9, $D$9, 100%, $F$9) + CHOOSE(CONTROL!$C$27, 0.0021, 0)</f>
        <v>106.5742</v>
      </c>
      <c r="L1009" s="14"/>
    </row>
    <row r="1010" spans="1:12" ht="15.75" x14ac:dyDescent="0.25">
      <c r="A1010" s="32">
        <v>71680</v>
      </c>
      <c r="B1010" s="14">
        <f>105.7462 * CHOOSE(CONTROL!$C$9, $D$9, 100%, $F$9) + CHOOSE(CONTROL!$C$27, 0.0021, 0)</f>
        <v>105.7483</v>
      </c>
      <c r="C1010" s="14">
        <f>105.3139 * CHOOSE(CONTROL!$C$9, $D$9, 100%, $F$9) + CHOOSE(CONTROL!$C$27, 0.0021, 0)</f>
        <v>105.316</v>
      </c>
      <c r="D1010" s="14">
        <f>105.3139 * CHOOSE(CONTROL!$C$9, $D$9, 100%, $F$9) + CHOOSE(CONTROL!$C$27, 0.0021, 0)</f>
        <v>105.316</v>
      </c>
      <c r="E1010" s="14">
        <f>105.1773 * CHOOSE(CONTROL!$C$9, $D$9, 100%, $F$9) + CHOOSE(CONTROL!$C$27, 0.0021, 0)</f>
        <v>105.1794</v>
      </c>
      <c r="F1010" s="14">
        <f>105.1773 * CHOOSE(CONTROL!$C$9, $D$9, 100%, $F$9) + CHOOSE(CONTROL!$C$27, 0.0021, 0)</f>
        <v>105.1794</v>
      </c>
      <c r="G1010" s="14">
        <f>105.4486 * CHOOSE(CONTROL!$C$9, $D$9, 100%, $F$9) + CHOOSE(CONTROL!$C$27, 0.0021, 0)</f>
        <v>105.4507</v>
      </c>
      <c r="H1010" s="14">
        <f>105.3139 * CHOOSE(CONTROL!$C$9, $D$9, 100%, $F$9) + CHOOSE(CONTROL!$C$27, 0.0021, 0)</f>
        <v>105.316</v>
      </c>
      <c r="I1010" s="14">
        <f>105.3139 * CHOOSE(CONTROL!$C$9, $D$9, 100%, $F$9) + CHOOSE(CONTROL!$C$27, 0.0021, 0)</f>
        <v>105.316</v>
      </c>
      <c r="J1010" s="14">
        <f>105.3139 * CHOOSE(CONTROL!$C$9, $D$9, 100%, $F$9) + CHOOSE(CONTROL!$C$27, 0.0021, 0)</f>
        <v>105.316</v>
      </c>
      <c r="K1010" s="14">
        <f>105.3139 * CHOOSE(CONTROL!$C$9, $D$9, 100%, $F$9) + CHOOSE(CONTROL!$C$27, 0.0021, 0)</f>
        <v>105.316</v>
      </c>
      <c r="L1010" s="14"/>
    </row>
    <row r="1011" spans="1:12" ht="15.75" x14ac:dyDescent="0.25">
      <c r="A1011" s="32">
        <v>71710</v>
      </c>
      <c r="B1011" s="14">
        <f>104.2438 * CHOOSE(CONTROL!$C$9, $D$9, 100%, $F$9) + CHOOSE(CONTROL!$C$27, 0.0021, 0)</f>
        <v>104.24589999999999</v>
      </c>
      <c r="C1011" s="14">
        <f>103.8116 * CHOOSE(CONTROL!$C$9, $D$9, 100%, $F$9) + CHOOSE(CONTROL!$C$27, 0.0021, 0)</f>
        <v>103.8137</v>
      </c>
      <c r="D1011" s="14">
        <f>103.8116 * CHOOSE(CONTROL!$C$9, $D$9, 100%, $F$9) + CHOOSE(CONTROL!$C$27, 0.0021, 0)</f>
        <v>103.8137</v>
      </c>
      <c r="E1011" s="14">
        <f>103.6749 * CHOOSE(CONTROL!$C$9, $D$9, 100%, $F$9) + CHOOSE(CONTROL!$C$27, 0.0021, 0)</f>
        <v>103.67699999999999</v>
      </c>
      <c r="F1011" s="14">
        <f>103.6749 * CHOOSE(CONTROL!$C$9, $D$9, 100%, $F$9) + CHOOSE(CONTROL!$C$27, 0.0021, 0)</f>
        <v>103.67699999999999</v>
      </c>
      <c r="G1011" s="14">
        <f>103.9463 * CHOOSE(CONTROL!$C$9, $D$9, 100%, $F$9) + CHOOSE(CONTROL!$C$27, 0.0021, 0)</f>
        <v>103.94839999999999</v>
      </c>
      <c r="H1011" s="14">
        <f>103.8116 * CHOOSE(CONTROL!$C$9, $D$9, 100%, $F$9) + CHOOSE(CONTROL!$C$27, 0.0021, 0)</f>
        <v>103.8137</v>
      </c>
      <c r="I1011" s="14">
        <f>103.8116 * CHOOSE(CONTROL!$C$9, $D$9, 100%, $F$9) + CHOOSE(CONTROL!$C$27, 0.0021, 0)</f>
        <v>103.8137</v>
      </c>
      <c r="J1011" s="14">
        <f>103.8116 * CHOOSE(CONTROL!$C$9, $D$9, 100%, $F$9) + CHOOSE(CONTROL!$C$27, 0.0021, 0)</f>
        <v>103.8137</v>
      </c>
      <c r="K1011" s="14">
        <f>103.8116 * CHOOSE(CONTROL!$C$9, $D$9, 100%, $F$9) + CHOOSE(CONTROL!$C$27, 0.0021, 0)</f>
        <v>103.8137</v>
      </c>
      <c r="L1011" s="14"/>
    </row>
    <row r="1012" spans="1:12" ht="15.75" x14ac:dyDescent="0.25">
      <c r="A1012" s="32">
        <v>71741</v>
      </c>
      <c r="B1012" s="14">
        <f>106.3848 * CHOOSE(CONTROL!$C$9, $D$9, 100%, $F$9) + CHOOSE(CONTROL!$C$27, 0.0021, 0)</f>
        <v>106.3869</v>
      </c>
      <c r="C1012" s="14">
        <f>105.9526 * CHOOSE(CONTROL!$C$9, $D$9, 100%, $F$9) + CHOOSE(CONTROL!$C$27, 0.0021, 0)</f>
        <v>105.9547</v>
      </c>
      <c r="D1012" s="14">
        <f>105.9526 * CHOOSE(CONTROL!$C$9, $D$9, 100%, $F$9) + CHOOSE(CONTROL!$C$27, 0.0021, 0)</f>
        <v>105.9547</v>
      </c>
      <c r="E1012" s="14">
        <f>105.8159 * CHOOSE(CONTROL!$C$9, $D$9, 100%, $F$9) + CHOOSE(CONTROL!$C$27, 0.0021, 0)</f>
        <v>105.818</v>
      </c>
      <c r="F1012" s="14">
        <f>105.8159 * CHOOSE(CONTROL!$C$9, $D$9, 100%, $F$9) + CHOOSE(CONTROL!$C$27, 0.0021, 0)</f>
        <v>105.818</v>
      </c>
      <c r="G1012" s="14">
        <f>106.0873 * CHOOSE(CONTROL!$C$9, $D$9, 100%, $F$9) + CHOOSE(CONTROL!$C$27, 0.0021, 0)</f>
        <v>106.0894</v>
      </c>
      <c r="H1012" s="14">
        <f>105.9526 * CHOOSE(CONTROL!$C$9, $D$9, 100%, $F$9) + CHOOSE(CONTROL!$C$27, 0.0021, 0)</f>
        <v>105.9547</v>
      </c>
      <c r="I1012" s="14">
        <f>105.9526 * CHOOSE(CONTROL!$C$9, $D$9, 100%, $F$9) + CHOOSE(CONTROL!$C$27, 0.0021, 0)</f>
        <v>105.9547</v>
      </c>
      <c r="J1012" s="14">
        <f>105.9526 * CHOOSE(CONTROL!$C$9, $D$9, 100%, $F$9) + CHOOSE(CONTROL!$C$27, 0.0021, 0)</f>
        <v>105.9547</v>
      </c>
      <c r="K1012" s="14">
        <f>105.9526 * CHOOSE(CONTROL!$C$9, $D$9, 100%, $F$9) + CHOOSE(CONTROL!$C$27, 0.0021, 0)</f>
        <v>105.9547</v>
      </c>
      <c r="L1012" s="14"/>
    </row>
    <row r="1013" spans="1:12" ht="15.75" x14ac:dyDescent="0.25">
      <c r="A1013" s="32">
        <v>71771</v>
      </c>
      <c r="B1013" s="14">
        <f>107.6672 * CHOOSE(CONTROL!$C$9, $D$9, 100%, $F$9) + CHOOSE(CONTROL!$C$27, 0.0021, 0)</f>
        <v>107.66929999999999</v>
      </c>
      <c r="C1013" s="14">
        <f>107.235 * CHOOSE(CONTROL!$C$9, $D$9, 100%, $F$9) + CHOOSE(CONTROL!$C$27, 0.0021, 0)</f>
        <v>107.2371</v>
      </c>
      <c r="D1013" s="14">
        <f>107.235 * CHOOSE(CONTROL!$C$9, $D$9, 100%, $F$9) + CHOOSE(CONTROL!$C$27, 0.0021, 0)</f>
        <v>107.2371</v>
      </c>
      <c r="E1013" s="14">
        <f>107.0983 * CHOOSE(CONTROL!$C$9, $D$9, 100%, $F$9) + CHOOSE(CONTROL!$C$27, 0.0021, 0)</f>
        <v>107.10039999999999</v>
      </c>
      <c r="F1013" s="14">
        <f>107.0983 * CHOOSE(CONTROL!$C$9, $D$9, 100%, $F$9) + CHOOSE(CONTROL!$C$27, 0.0021, 0)</f>
        <v>107.10039999999999</v>
      </c>
      <c r="G1013" s="14">
        <f>107.3697 * CHOOSE(CONTROL!$C$9, $D$9, 100%, $F$9) + CHOOSE(CONTROL!$C$27, 0.0021, 0)</f>
        <v>107.37179999999999</v>
      </c>
      <c r="H1013" s="14">
        <f>107.235 * CHOOSE(CONTROL!$C$9, $D$9, 100%, $F$9) + CHOOSE(CONTROL!$C$27, 0.0021, 0)</f>
        <v>107.2371</v>
      </c>
      <c r="I1013" s="14">
        <f>107.235 * CHOOSE(CONTROL!$C$9, $D$9, 100%, $F$9) + CHOOSE(CONTROL!$C$27, 0.0021, 0)</f>
        <v>107.2371</v>
      </c>
      <c r="J1013" s="14">
        <f>107.235 * CHOOSE(CONTROL!$C$9, $D$9, 100%, $F$9) + CHOOSE(CONTROL!$C$27, 0.0021, 0)</f>
        <v>107.2371</v>
      </c>
      <c r="K1013" s="14">
        <f>107.235 * CHOOSE(CONTROL!$C$9, $D$9, 100%, $F$9) + CHOOSE(CONTROL!$C$27, 0.0021, 0)</f>
        <v>107.2371</v>
      </c>
      <c r="L1013" s="14"/>
    </row>
    <row r="1014" spans="1:12" ht="15.75" x14ac:dyDescent="0.25">
      <c r="A1014" s="32">
        <v>71802</v>
      </c>
      <c r="B1014" s="14">
        <f>109.7827 * CHOOSE(CONTROL!$C$9, $D$9, 100%, $F$9) + CHOOSE(CONTROL!$C$27, 0.0021, 0)</f>
        <v>109.7848</v>
      </c>
      <c r="C1014" s="14">
        <f>109.3505 * CHOOSE(CONTROL!$C$9, $D$9, 100%, $F$9) + CHOOSE(CONTROL!$C$27, 0.0021, 0)</f>
        <v>109.3526</v>
      </c>
      <c r="D1014" s="14">
        <f>109.3505 * CHOOSE(CONTROL!$C$9, $D$9, 100%, $F$9) + CHOOSE(CONTROL!$C$27, 0.0021, 0)</f>
        <v>109.3526</v>
      </c>
      <c r="E1014" s="14">
        <f>109.2138 * CHOOSE(CONTROL!$C$9, $D$9, 100%, $F$9) + CHOOSE(CONTROL!$C$27, 0.0021, 0)</f>
        <v>109.2159</v>
      </c>
      <c r="F1014" s="14">
        <f>109.2138 * CHOOSE(CONTROL!$C$9, $D$9, 100%, $F$9) + CHOOSE(CONTROL!$C$27, 0.0021, 0)</f>
        <v>109.2159</v>
      </c>
      <c r="G1014" s="14">
        <f>109.4852 * CHOOSE(CONTROL!$C$9, $D$9, 100%, $F$9) + CHOOSE(CONTROL!$C$27, 0.0021, 0)</f>
        <v>109.4873</v>
      </c>
      <c r="H1014" s="14">
        <f>109.3505 * CHOOSE(CONTROL!$C$9, $D$9, 100%, $F$9) + CHOOSE(CONTROL!$C$27, 0.0021, 0)</f>
        <v>109.3526</v>
      </c>
      <c r="I1014" s="14">
        <f>109.3505 * CHOOSE(CONTROL!$C$9, $D$9, 100%, $F$9) + CHOOSE(CONTROL!$C$27, 0.0021, 0)</f>
        <v>109.3526</v>
      </c>
      <c r="J1014" s="14">
        <f>109.3505 * CHOOSE(CONTROL!$C$9, $D$9, 100%, $F$9) + CHOOSE(CONTROL!$C$27, 0.0021, 0)</f>
        <v>109.3526</v>
      </c>
      <c r="K1014" s="14">
        <f>109.3505 * CHOOSE(CONTROL!$C$9, $D$9, 100%, $F$9) + CHOOSE(CONTROL!$C$27, 0.0021, 0)</f>
        <v>109.3526</v>
      </c>
      <c r="L1014" s="14"/>
    </row>
    <row r="1015" spans="1:12" ht="15.75" x14ac:dyDescent="0.25">
      <c r="A1015" s="32">
        <v>71833</v>
      </c>
      <c r="B1015" s="14">
        <f>110.4284 * CHOOSE(CONTROL!$C$9, $D$9, 100%, $F$9) + CHOOSE(CONTROL!$C$27, 0.0021, 0)</f>
        <v>110.43049999999999</v>
      </c>
      <c r="C1015" s="14">
        <f>109.9962 * CHOOSE(CONTROL!$C$9, $D$9, 100%, $F$9) + CHOOSE(CONTROL!$C$27, 0.0021, 0)</f>
        <v>109.9983</v>
      </c>
      <c r="D1015" s="14">
        <f>109.9962 * CHOOSE(CONTROL!$C$9, $D$9, 100%, $F$9) + CHOOSE(CONTROL!$C$27, 0.0021, 0)</f>
        <v>109.9983</v>
      </c>
      <c r="E1015" s="14">
        <f>109.8595 * CHOOSE(CONTROL!$C$9, $D$9, 100%, $F$9) + CHOOSE(CONTROL!$C$27, 0.0021, 0)</f>
        <v>109.8616</v>
      </c>
      <c r="F1015" s="14">
        <f>109.8595 * CHOOSE(CONTROL!$C$9, $D$9, 100%, $F$9) + CHOOSE(CONTROL!$C$27, 0.0021, 0)</f>
        <v>109.8616</v>
      </c>
      <c r="G1015" s="14">
        <f>110.1309 * CHOOSE(CONTROL!$C$9, $D$9, 100%, $F$9) + CHOOSE(CONTROL!$C$27, 0.0021, 0)</f>
        <v>110.133</v>
      </c>
      <c r="H1015" s="14">
        <f>109.9962 * CHOOSE(CONTROL!$C$9, $D$9, 100%, $F$9) + CHOOSE(CONTROL!$C$27, 0.0021, 0)</f>
        <v>109.9983</v>
      </c>
      <c r="I1015" s="14">
        <f>109.9962 * CHOOSE(CONTROL!$C$9, $D$9, 100%, $F$9) + CHOOSE(CONTROL!$C$27, 0.0021, 0)</f>
        <v>109.9983</v>
      </c>
      <c r="J1015" s="14">
        <f>109.9962 * CHOOSE(CONTROL!$C$9, $D$9, 100%, $F$9) + CHOOSE(CONTROL!$C$27, 0.0021, 0)</f>
        <v>109.9983</v>
      </c>
      <c r="K1015" s="14">
        <f>109.9962 * CHOOSE(CONTROL!$C$9, $D$9, 100%, $F$9) + CHOOSE(CONTROL!$C$27, 0.0021, 0)</f>
        <v>109.9983</v>
      </c>
      <c r="L1015" s="14"/>
    </row>
    <row r="1016" spans="1:12" ht="15.75" x14ac:dyDescent="0.25">
      <c r="A1016" s="32">
        <v>71863</v>
      </c>
      <c r="B1016" s="14">
        <f>112.6274 * CHOOSE(CONTROL!$C$9, $D$9, 100%, $F$9) + CHOOSE(CONTROL!$C$27, 0.0021, 0)</f>
        <v>112.62949999999999</v>
      </c>
      <c r="C1016" s="14">
        <f>112.1951 * CHOOSE(CONTROL!$C$9, $D$9, 100%, $F$9) + CHOOSE(CONTROL!$C$27, 0.0021, 0)</f>
        <v>112.1972</v>
      </c>
      <c r="D1016" s="14">
        <f>112.1951 * CHOOSE(CONTROL!$C$9, $D$9, 100%, $F$9) + CHOOSE(CONTROL!$C$27, 0.0021, 0)</f>
        <v>112.1972</v>
      </c>
      <c r="E1016" s="14">
        <f>112.0584 * CHOOSE(CONTROL!$C$9, $D$9, 100%, $F$9) + CHOOSE(CONTROL!$C$27, 0.0021, 0)</f>
        <v>112.0605</v>
      </c>
      <c r="F1016" s="14">
        <f>112.0584 * CHOOSE(CONTROL!$C$9, $D$9, 100%, $F$9) + CHOOSE(CONTROL!$C$27, 0.0021, 0)</f>
        <v>112.0605</v>
      </c>
      <c r="G1016" s="14">
        <f>112.3298 * CHOOSE(CONTROL!$C$9, $D$9, 100%, $F$9) + CHOOSE(CONTROL!$C$27, 0.0021, 0)</f>
        <v>112.3319</v>
      </c>
      <c r="H1016" s="14">
        <f>112.1951 * CHOOSE(CONTROL!$C$9, $D$9, 100%, $F$9) + CHOOSE(CONTROL!$C$27, 0.0021, 0)</f>
        <v>112.1972</v>
      </c>
      <c r="I1016" s="14">
        <f>112.1951 * CHOOSE(CONTROL!$C$9, $D$9, 100%, $F$9) + CHOOSE(CONTROL!$C$27, 0.0021, 0)</f>
        <v>112.1972</v>
      </c>
      <c r="J1016" s="14">
        <f>112.1951 * CHOOSE(CONTROL!$C$9, $D$9, 100%, $F$9) + CHOOSE(CONTROL!$C$27, 0.0021, 0)</f>
        <v>112.1972</v>
      </c>
      <c r="K1016" s="14">
        <f>112.1951 * CHOOSE(CONTROL!$C$9, $D$9, 100%, $F$9) + CHOOSE(CONTROL!$C$27, 0.0021, 0)</f>
        <v>112.1972</v>
      </c>
      <c r="L1016" s="14"/>
    </row>
    <row r="1017" spans="1:12" ht="15.75" x14ac:dyDescent="0.25">
      <c r="A1017" s="32">
        <v>71894</v>
      </c>
      <c r="B1017" s="14">
        <f>115.4108 * CHOOSE(CONTROL!$C$9, $D$9, 100%, $F$9) + CHOOSE(CONTROL!$C$27, 0.0021, 0)</f>
        <v>115.41289999999999</v>
      </c>
      <c r="C1017" s="14">
        <f>114.9786 * CHOOSE(CONTROL!$C$9, $D$9, 100%, $F$9) + CHOOSE(CONTROL!$C$27, 0.0021, 0)</f>
        <v>114.9807</v>
      </c>
      <c r="D1017" s="14">
        <f>114.9786 * CHOOSE(CONTROL!$C$9, $D$9, 100%, $F$9) + CHOOSE(CONTROL!$C$27, 0.0021, 0)</f>
        <v>114.9807</v>
      </c>
      <c r="E1017" s="14">
        <f>114.8419 * CHOOSE(CONTROL!$C$9, $D$9, 100%, $F$9) + CHOOSE(CONTROL!$C$27, 0.0021, 0)</f>
        <v>114.84399999999999</v>
      </c>
      <c r="F1017" s="14">
        <f>114.8419 * CHOOSE(CONTROL!$C$9, $D$9, 100%, $F$9) + CHOOSE(CONTROL!$C$27, 0.0021, 0)</f>
        <v>114.84399999999999</v>
      </c>
      <c r="G1017" s="14">
        <f>115.1133 * CHOOSE(CONTROL!$C$9, $D$9, 100%, $F$9) + CHOOSE(CONTROL!$C$27, 0.0021, 0)</f>
        <v>115.11539999999999</v>
      </c>
      <c r="H1017" s="14">
        <f>114.9786 * CHOOSE(CONTROL!$C$9, $D$9, 100%, $F$9) + CHOOSE(CONTROL!$C$27, 0.0021, 0)</f>
        <v>114.9807</v>
      </c>
      <c r="I1017" s="14">
        <f>114.9786 * CHOOSE(CONTROL!$C$9, $D$9, 100%, $F$9) + CHOOSE(CONTROL!$C$27, 0.0021, 0)</f>
        <v>114.9807</v>
      </c>
      <c r="J1017" s="14">
        <f>114.9786 * CHOOSE(CONTROL!$C$9, $D$9, 100%, $F$9) + CHOOSE(CONTROL!$C$27, 0.0021, 0)</f>
        <v>114.9807</v>
      </c>
      <c r="K1017" s="14">
        <f>114.9786 * CHOOSE(CONTROL!$C$9, $D$9, 100%, $F$9) + CHOOSE(CONTROL!$C$27, 0.0021, 0)</f>
        <v>114.9807</v>
      </c>
      <c r="L1017" s="14"/>
    </row>
    <row r="1018" spans="1:12" ht="15.75" x14ac:dyDescent="0.25">
      <c r="A1018" s="32">
        <v>71924</v>
      </c>
      <c r="B1018" s="14">
        <f>115.6721 * CHOOSE(CONTROL!$C$9, $D$9, 100%, $F$9) + CHOOSE(CONTROL!$C$27, 0.0021, 0)</f>
        <v>115.6742</v>
      </c>
      <c r="C1018" s="14">
        <f>115.2399 * CHOOSE(CONTROL!$C$9, $D$9, 100%, $F$9) + CHOOSE(CONTROL!$C$27, 0.0021, 0)</f>
        <v>115.242</v>
      </c>
      <c r="D1018" s="14">
        <f>115.2399 * CHOOSE(CONTROL!$C$9, $D$9, 100%, $F$9) + CHOOSE(CONTROL!$C$27, 0.0021, 0)</f>
        <v>115.242</v>
      </c>
      <c r="E1018" s="14">
        <f>115.1032 * CHOOSE(CONTROL!$C$9, $D$9, 100%, $F$9) + CHOOSE(CONTROL!$C$27, 0.0021, 0)</f>
        <v>115.1053</v>
      </c>
      <c r="F1018" s="14">
        <f>115.1032 * CHOOSE(CONTROL!$C$9, $D$9, 100%, $F$9) + CHOOSE(CONTROL!$C$27, 0.0021, 0)</f>
        <v>115.1053</v>
      </c>
      <c r="G1018" s="14">
        <f>115.3746 * CHOOSE(CONTROL!$C$9, $D$9, 100%, $F$9) + CHOOSE(CONTROL!$C$27, 0.0021, 0)</f>
        <v>115.3767</v>
      </c>
      <c r="H1018" s="14">
        <f>115.2399 * CHOOSE(CONTROL!$C$9, $D$9, 100%, $F$9) + CHOOSE(CONTROL!$C$27, 0.0021, 0)</f>
        <v>115.242</v>
      </c>
      <c r="I1018" s="14">
        <f>115.2399 * CHOOSE(CONTROL!$C$9, $D$9, 100%, $F$9) + CHOOSE(CONTROL!$C$27, 0.0021, 0)</f>
        <v>115.242</v>
      </c>
      <c r="J1018" s="14">
        <f>115.2399 * CHOOSE(CONTROL!$C$9, $D$9, 100%, $F$9) + CHOOSE(CONTROL!$C$27, 0.0021, 0)</f>
        <v>115.242</v>
      </c>
      <c r="K1018" s="14">
        <f>115.2399 * CHOOSE(CONTROL!$C$9, $D$9, 100%, $F$9) + CHOOSE(CONTROL!$C$27, 0.0021, 0)</f>
        <v>115.242</v>
      </c>
      <c r="L1018" s="14"/>
    </row>
    <row r="1019" spans="1:12" ht="15.75" x14ac:dyDescent="0.25">
      <c r="A1019" s="32">
        <v>71955</v>
      </c>
      <c r="B1019" s="14">
        <f>113.449 * CHOOSE(CONTROL!$C$9, $D$9, 100%, $F$9) + CHOOSE(CONTROL!$C$27, 0.0021, 0)</f>
        <v>113.4511</v>
      </c>
      <c r="C1019" s="14">
        <f>113.0168 * CHOOSE(CONTROL!$C$9, $D$9, 100%, $F$9) + CHOOSE(CONTROL!$C$27, 0.0021, 0)</f>
        <v>113.0189</v>
      </c>
      <c r="D1019" s="14">
        <f>113.0168 * CHOOSE(CONTROL!$C$9, $D$9, 100%, $F$9) + CHOOSE(CONTROL!$C$27, 0.0021, 0)</f>
        <v>113.0189</v>
      </c>
      <c r="E1019" s="14">
        <f>112.8801 * CHOOSE(CONTROL!$C$9, $D$9, 100%, $F$9) + CHOOSE(CONTROL!$C$27, 0.0021, 0)</f>
        <v>112.8822</v>
      </c>
      <c r="F1019" s="14">
        <f>112.8801 * CHOOSE(CONTROL!$C$9, $D$9, 100%, $F$9) + CHOOSE(CONTROL!$C$27, 0.0021, 0)</f>
        <v>112.8822</v>
      </c>
      <c r="G1019" s="14">
        <f>113.1515 * CHOOSE(CONTROL!$C$9, $D$9, 100%, $F$9) + CHOOSE(CONTROL!$C$27, 0.0021, 0)</f>
        <v>113.1536</v>
      </c>
      <c r="H1019" s="14">
        <f>113.0168 * CHOOSE(CONTROL!$C$9, $D$9, 100%, $F$9) + CHOOSE(CONTROL!$C$27, 0.0021, 0)</f>
        <v>113.0189</v>
      </c>
      <c r="I1019" s="14">
        <f>113.0168 * CHOOSE(CONTROL!$C$9, $D$9, 100%, $F$9) + CHOOSE(CONTROL!$C$27, 0.0021, 0)</f>
        <v>113.0189</v>
      </c>
      <c r="J1019" s="14">
        <f>113.0168 * CHOOSE(CONTROL!$C$9, $D$9, 100%, $F$9) + CHOOSE(CONTROL!$C$27, 0.0021, 0)</f>
        <v>113.0189</v>
      </c>
      <c r="K1019" s="14">
        <f>113.0168 * CHOOSE(CONTROL!$C$9, $D$9, 100%, $F$9) + CHOOSE(CONTROL!$C$27, 0.0021, 0)</f>
        <v>113.0189</v>
      </c>
      <c r="L1019" s="14"/>
    </row>
    <row r="1020" spans="1:12" ht="15.75" x14ac:dyDescent="0.25">
      <c r="A1020" s="32">
        <v>71986</v>
      </c>
      <c r="B1020" s="14">
        <f>111.9926 * CHOOSE(CONTROL!$C$9, $D$9, 100%, $F$9) + CHOOSE(CONTROL!$C$27, 0.0021, 0)</f>
        <v>111.99469999999999</v>
      </c>
      <c r="C1020" s="14">
        <f>111.5604 * CHOOSE(CONTROL!$C$9, $D$9, 100%, $F$9) + CHOOSE(CONTROL!$C$27, 0.0021, 0)</f>
        <v>111.5625</v>
      </c>
      <c r="D1020" s="14">
        <f>111.5604 * CHOOSE(CONTROL!$C$9, $D$9, 100%, $F$9) + CHOOSE(CONTROL!$C$27, 0.0021, 0)</f>
        <v>111.5625</v>
      </c>
      <c r="E1020" s="14">
        <f>111.4237 * CHOOSE(CONTROL!$C$9, $D$9, 100%, $F$9) + CHOOSE(CONTROL!$C$27, 0.0021, 0)</f>
        <v>111.4258</v>
      </c>
      <c r="F1020" s="14">
        <f>111.4237 * CHOOSE(CONTROL!$C$9, $D$9, 100%, $F$9) + CHOOSE(CONTROL!$C$27, 0.0021, 0)</f>
        <v>111.4258</v>
      </c>
      <c r="G1020" s="14">
        <f>111.6951 * CHOOSE(CONTROL!$C$9, $D$9, 100%, $F$9) + CHOOSE(CONTROL!$C$27, 0.0021, 0)</f>
        <v>111.6972</v>
      </c>
      <c r="H1020" s="14">
        <f>111.5604 * CHOOSE(CONTROL!$C$9, $D$9, 100%, $F$9) + CHOOSE(CONTROL!$C$27, 0.0021, 0)</f>
        <v>111.5625</v>
      </c>
      <c r="I1020" s="14">
        <f>111.5604 * CHOOSE(CONTROL!$C$9, $D$9, 100%, $F$9) + CHOOSE(CONTROL!$C$27, 0.0021, 0)</f>
        <v>111.5625</v>
      </c>
      <c r="J1020" s="14">
        <f>111.5604 * CHOOSE(CONTROL!$C$9, $D$9, 100%, $F$9) + CHOOSE(CONTROL!$C$27, 0.0021, 0)</f>
        <v>111.5625</v>
      </c>
      <c r="K1020" s="14">
        <f>111.5604 * CHOOSE(CONTROL!$C$9, $D$9, 100%, $F$9) + CHOOSE(CONTROL!$C$27, 0.0021, 0)</f>
        <v>111.5625</v>
      </c>
      <c r="L1020" s="14"/>
    </row>
    <row r="1021" spans="1:12" ht="15.75" x14ac:dyDescent="0.25">
      <c r="A1021" s="32">
        <v>72014</v>
      </c>
      <c r="B1021" s="14">
        <f>108.8897 * CHOOSE(CONTROL!$C$9, $D$9, 100%, $F$9) + CHOOSE(CONTROL!$C$27, 0.0021, 0)</f>
        <v>108.8918</v>
      </c>
      <c r="C1021" s="14">
        <f>108.4575 * CHOOSE(CONTROL!$C$9, $D$9, 100%, $F$9) + CHOOSE(CONTROL!$C$27, 0.0021, 0)</f>
        <v>108.45959999999999</v>
      </c>
      <c r="D1021" s="14">
        <f>108.4575 * CHOOSE(CONTROL!$C$9, $D$9, 100%, $F$9) + CHOOSE(CONTROL!$C$27, 0.0021, 0)</f>
        <v>108.45959999999999</v>
      </c>
      <c r="E1021" s="14">
        <f>108.3208 * CHOOSE(CONTROL!$C$9, $D$9, 100%, $F$9) + CHOOSE(CONTROL!$C$27, 0.0021, 0)</f>
        <v>108.3229</v>
      </c>
      <c r="F1021" s="14">
        <f>108.3208 * CHOOSE(CONTROL!$C$9, $D$9, 100%, $F$9) + CHOOSE(CONTROL!$C$27, 0.0021, 0)</f>
        <v>108.3229</v>
      </c>
      <c r="G1021" s="14">
        <f>108.5922 * CHOOSE(CONTROL!$C$9, $D$9, 100%, $F$9) + CHOOSE(CONTROL!$C$27, 0.0021, 0)</f>
        <v>108.5943</v>
      </c>
      <c r="H1021" s="14">
        <f>108.4575 * CHOOSE(CONTROL!$C$9, $D$9, 100%, $F$9) + CHOOSE(CONTROL!$C$27, 0.0021, 0)</f>
        <v>108.45959999999999</v>
      </c>
      <c r="I1021" s="14">
        <f>108.4575 * CHOOSE(CONTROL!$C$9, $D$9, 100%, $F$9) + CHOOSE(CONTROL!$C$27, 0.0021, 0)</f>
        <v>108.45959999999999</v>
      </c>
      <c r="J1021" s="14">
        <f>108.4575 * CHOOSE(CONTROL!$C$9, $D$9, 100%, $F$9) + CHOOSE(CONTROL!$C$27, 0.0021, 0)</f>
        <v>108.45959999999999</v>
      </c>
      <c r="K1021" s="14">
        <f>108.4575 * CHOOSE(CONTROL!$C$9, $D$9, 100%, $F$9) + CHOOSE(CONTROL!$C$27, 0.0021, 0)</f>
        <v>108.45959999999999</v>
      </c>
      <c r="L1021" s="14"/>
    </row>
    <row r="1022" spans="1:12" ht="15.75" x14ac:dyDescent="0.25">
      <c r="A1022" s="32">
        <v>72045</v>
      </c>
      <c r="B1022" s="14">
        <f>107.6088 * CHOOSE(CONTROL!$C$9, $D$9, 100%, $F$9) + CHOOSE(CONTROL!$C$27, 0.0021, 0)</f>
        <v>107.6109</v>
      </c>
      <c r="C1022" s="14">
        <f>107.1766 * CHOOSE(CONTROL!$C$9, $D$9, 100%, $F$9) + CHOOSE(CONTROL!$C$27, 0.0021, 0)</f>
        <v>107.17869999999999</v>
      </c>
      <c r="D1022" s="14">
        <f>107.1766 * CHOOSE(CONTROL!$C$9, $D$9, 100%, $F$9) + CHOOSE(CONTROL!$C$27, 0.0021, 0)</f>
        <v>107.17869999999999</v>
      </c>
      <c r="E1022" s="14">
        <f>107.0399 * CHOOSE(CONTROL!$C$9, $D$9, 100%, $F$9) + CHOOSE(CONTROL!$C$27, 0.0021, 0)</f>
        <v>107.042</v>
      </c>
      <c r="F1022" s="14">
        <f>107.0399 * CHOOSE(CONTROL!$C$9, $D$9, 100%, $F$9) + CHOOSE(CONTROL!$C$27, 0.0021, 0)</f>
        <v>107.042</v>
      </c>
      <c r="G1022" s="14">
        <f>107.3113 * CHOOSE(CONTROL!$C$9, $D$9, 100%, $F$9) + CHOOSE(CONTROL!$C$27, 0.0021, 0)</f>
        <v>107.3134</v>
      </c>
      <c r="H1022" s="14">
        <f>107.1766 * CHOOSE(CONTROL!$C$9, $D$9, 100%, $F$9) + CHOOSE(CONTROL!$C$27, 0.0021, 0)</f>
        <v>107.17869999999999</v>
      </c>
      <c r="I1022" s="14">
        <f>107.1766 * CHOOSE(CONTROL!$C$9, $D$9, 100%, $F$9) + CHOOSE(CONTROL!$C$27, 0.0021, 0)</f>
        <v>107.17869999999999</v>
      </c>
      <c r="J1022" s="14">
        <f>107.1766 * CHOOSE(CONTROL!$C$9, $D$9, 100%, $F$9) + CHOOSE(CONTROL!$C$27, 0.0021, 0)</f>
        <v>107.17869999999999</v>
      </c>
      <c r="K1022" s="14">
        <f>107.1766 * CHOOSE(CONTROL!$C$9, $D$9, 100%, $F$9) + CHOOSE(CONTROL!$C$27, 0.0021, 0)</f>
        <v>107.17869999999999</v>
      </c>
      <c r="L1022" s="14"/>
    </row>
    <row r="1023" spans="1:12" ht="15.75" x14ac:dyDescent="0.25">
      <c r="A1023" s="32">
        <v>72075</v>
      </c>
      <c r="B1023" s="14">
        <f>106.0794 * CHOOSE(CONTROL!$C$9, $D$9, 100%, $F$9) + CHOOSE(CONTROL!$C$27, 0.0021, 0)</f>
        <v>106.08150000000001</v>
      </c>
      <c r="C1023" s="14">
        <f>105.6472 * CHOOSE(CONTROL!$C$9, $D$9, 100%, $F$9) + CHOOSE(CONTROL!$C$27, 0.0021, 0)</f>
        <v>105.6493</v>
      </c>
      <c r="D1023" s="14">
        <f>105.6472 * CHOOSE(CONTROL!$C$9, $D$9, 100%, $F$9) + CHOOSE(CONTROL!$C$27, 0.0021, 0)</f>
        <v>105.6493</v>
      </c>
      <c r="E1023" s="14">
        <f>105.5105 * CHOOSE(CONTROL!$C$9, $D$9, 100%, $F$9) + CHOOSE(CONTROL!$C$27, 0.0021, 0)</f>
        <v>105.51259999999999</v>
      </c>
      <c r="F1023" s="14">
        <f>105.5105 * CHOOSE(CONTROL!$C$9, $D$9, 100%, $F$9) + CHOOSE(CONTROL!$C$27, 0.0021, 0)</f>
        <v>105.51259999999999</v>
      </c>
      <c r="G1023" s="14">
        <f>105.7819 * CHOOSE(CONTROL!$C$9, $D$9, 100%, $F$9) + CHOOSE(CONTROL!$C$27, 0.0021, 0)</f>
        <v>105.78399999999999</v>
      </c>
      <c r="H1023" s="14">
        <f>105.6472 * CHOOSE(CONTROL!$C$9, $D$9, 100%, $F$9) + CHOOSE(CONTROL!$C$27, 0.0021, 0)</f>
        <v>105.6493</v>
      </c>
      <c r="I1023" s="14">
        <f>105.6472 * CHOOSE(CONTROL!$C$9, $D$9, 100%, $F$9) + CHOOSE(CONTROL!$C$27, 0.0021, 0)</f>
        <v>105.6493</v>
      </c>
      <c r="J1023" s="14">
        <f>105.6472 * CHOOSE(CONTROL!$C$9, $D$9, 100%, $F$9) + CHOOSE(CONTROL!$C$27, 0.0021, 0)</f>
        <v>105.6493</v>
      </c>
      <c r="K1023" s="14">
        <f>105.6472 * CHOOSE(CONTROL!$C$9, $D$9, 100%, $F$9) + CHOOSE(CONTROL!$C$27, 0.0021, 0)</f>
        <v>105.6493</v>
      </c>
      <c r="L1023" s="14"/>
    </row>
    <row r="1024" spans="1:12" ht="15.75" x14ac:dyDescent="0.25">
      <c r="A1024" s="32">
        <v>72106</v>
      </c>
      <c r="B1024" s="14">
        <f>108.259 * CHOOSE(CONTROL!$C$9, $D$9, 100%, $F$9) + CHOOSE(CONTROL!$C$27, 0.0021, 0)</f>
        <v>108.2611</v>
      </c>
      <c r="C1024" s="14">
        <f>107.8268 * CHOOSE(CONTROL!$C$9, $D$9, 100%, $F$9) + CHOOSE(CONTROL!$C$27, 0.0021, 0)</f>
        <v>107.8289</v>
      </c>
      <c r="D1024" s="14">
        <f>107.8268 * CHOOSE(CONTROL!$C$9, $D$9, 100%, $F$9) + CHOOSE(CONTROL!$C$27, 0.0021, 0)</f>
        <v>107.8289</v>
      </c>
      <c r="E1024" s="14">
        <f>107.6901 * CHOOSE(CONTROL!$C$9, $D$9, 100%, $F$9) + CHOOSE(CONTROL!$C$27, 0.0021, 0)</f>
        <v>107.6922</v>
      </c>
      <c r="F1024" s="14">
        <f>107.6901 * CHOOSE(CONTROL!$C$9, $D$9, 100%, $F$9) + CHOOSE(CONTROL!$C$27, 0.0021, 0)</f>
        <v>107.6922</v>
      </c>
      <c r="G1024" s="14">
        <f>107.9615 * CHOOSE(CONTROL!$C$9, $D$9, 100%, $F$9) + CHOOSE(CONTROL!$C$27, 0.0021, 0)</f>
        <v>107.9636</v>
      </c>
      <c r="H1024" s="14">
        <f>107.8268 * CHOOSE(CONTROL!$C$9, $D$9, 100%, $F$9) + CHOOSE(CONTROL!$C$27, 0.0021, 0)</f>
        <v>107.8289</v>
      </c>
      <c r="I1024" s="14">
        <f>107.8268 * CHOOSE(CONTROL!$C$9, $D$9, 100%, $F$9) + CHOOSE(CONTROL!$C$27, 0.0021, 0)</f>
        <v>107.8289</v>
      </c>
      <c r="J1024" s="14">
        <f>107.8268 * CHOOSE(CONTROL!$C$9, $D$9, 100%, $F$9) + CHOOSE(CONTROL!$C$27, 0.0021, 0)</f>
        <v>107.8289</v>
      </c>
      <c r="K1024" s="14">
        <f>107.8268 * CHOOSE(CONTROL!$C$9, $D$9, 100%, $F$9) + CHOOSE(CONTROL!$C$27, 0.0021, 0)</f>
        <v>107.8289</v>
      </c>
      <c r="L1024" s="14"/>
    </row>
    <row r="1025" spans="1:12" ht="15.75" x14ac:dyDescent="0.25">
      <c r="A1025" s="32">
        <v>72136</v>
      </c>
      <c r="B1025" s="14">
        <f>109.5645 * CHOOSE(CONTROL!$C$9, $D$9, 100%, $F$9) + CHOOSE(CONTROL!$C$27, 0.0021, 0)</f>
        <v>109.56659999999999</v>
      </c>
      <c r="C1025" s="14">
        <f>109.1322 * CHOOSE(CONTROL!$C$9, $D$9, 100%, $F$9) + CHOOSE(CONTROL!$C$27, 0.0021, 0)</f>
        <v>109.1343</v>
      </c>
      <c r="D1025" s="14">
        <f>109.1322 * CHOOSE(CONTROL!$C$9, $D$9, 100%, $F$9) + CHOOSE(CONTROL!$C$27, 0.0021, 0)</f>
        <v>109.1343</v>
      </c>
      <c r="E1025" s="14">
        <f>108.9956 * CHOOSE(CONTROL!$C$9, $D$9, 100%, $F$9) + CHOOSE(CONTROL!$C$27, 0.0021, 0)</f>
        <v>108.99769999999999</v>
      </c>
      <c r="F1025" s="14">
        <f>108.9956 * CHOOSE(CONTROL!$C$9, $D$9, 100%, $F$9) + CHOOSE(CONTROL!$C$27, 0.0021, 0)</f>
        <v>108.99769999999999</v>
      </c>
      <c r="G1025" s="14">
        <f>109.267 * CHOOSE(CONTROL!$C$9, $D$9, 100%, $F$9) + CHOOSE(CONTROL!$C$27, 0.0021, 0)</f>
        <v>109.26909999999999</v>
      </c>
      <c r="H1025" s="14">
        <f>109.1322 * CHOOSE(CONTROL!$C$9, $D$9, 100%, $F$9) + CHOOSE(CONTROL!$C$27, 0.0021, 0)</f>
        <v>109.1343</v>
      </c>
      <c r="I1025" s="14">
        <f>109.1322 * CHOOSE(CONTROL!$C$9, $D$9, 100%, $F$9) + CHOOSE(CONTROL!$C$27, 0.0021, 0)</f>
        <v>109.1343</v>
      </c>
      <c r="J1025" s="14">
        <f>109.1322 * CHOOSE(CONTROL!$C$9, $D$9, 100%, $F$9) + CHOOSE(CONTROL!$C$27, 0.0021, 0)</f>
        <v>109.1343</v>
      </c>
      <c r="K1025" s="14">
        <f>109.1322 * CHOOSE(CONTROL!$C$9, $D$9, 100%, $F$9) + CHOOSE(CONTROL!$C$27, 0.0021, 0)</f>
        <v>109.1343</v>
      </c>
      <c r="L1025" s="14"/>
    </row>
    <row r="1026" spans="1:12" ht="15.75" x14ac:dyDescent="0.25">
      <c r="A1026" s="32">
        <v>72167</v>
      </c>
      <c r="B1026" s="14">
        <f>111.718 * CHOOSE(CONTROL!$C$9, $D$9, 100%, $F$9) + CHOOSE(CONTROL!$C$27, 0.0021, 0)</f>
        <v>111.7201</v>
      </c>
      <c r="C1026" s="14">
        <f>111.2858 * CHOOSE(CONTROL!$C$9, $D$9, 100%, $F$9) + CHOOSE(CONTROL!$C$27, 0.0021, 0)</f>
        <v>111.28789999999999</v>
      </c>
      <c r="D1026" s="14">
        <f>111.2858 * CHOOSE(CONTROL!$C$9, $D$9, 100%, $F$9) + CHOOSE(CONTROL!$C$27, 0.0021, 0)</f>
        <v>111.28789999999999</v>
      </c>
      <c r="E1026" s="14">
        <f>111.1491 * CHOOSE(CONTROL!$C$9, $D$9, 100%, $F$9) + CHOOSE(CONTROL!$C$27, 0.0021, 0)</f>
        <v>111.1512</v>
      </c>
      <c r="F1026" s="14">
        <f>111.1491 * CHOOSE(CONTROL!$C$9, $D$9, 100%, $F$9) + CHOOSE(CONTROL!$C$27, 0.0021, 0)</f>
        <v>111.1512</v>
      </c>
      <c r="G1026" s="14">
        <f>111.4205 * CHOOSE(CONTROL!$C$9, $D$9, 100%, $F$9) + CHOOSE(CONTROL!$C$27, 0.0021, 0)</f>
        <v>111.4226</v>
      </c>
      <c r="H1026" s="14">
        <f>111.2858 * CHOOSE(CONTROL!$C$9, $D$9, 100%, $F$9) + CHOOSE(CONTROL!$C$27, 0.0021, 0)</f>
        <v>111.28789999999999</v>
      </c>
      <c r="I1026" s="14">
        <f>111.2858 * CHOOSE(CONTROL!$C$9, $D$9, 100%, $F$9) + CHOOSE(CONTROL!$C$27, 0.0021, 0)</f>
        <v>111.28789999999999</v>
      </c>
      <c r="J1026" s="14">
        <f>111.2858 * CHOOSE(CONTROL!$C$9, $D$9, 100%, $F$9) + CHOOSE(CONTROL!$C$27, 0.0021, 0)</f>
        <v>111.28789999999999</v>
      </c>
      <c r="K1026" s="14">
        <f>111.2858 * CHOOSE(CONTROL!$C$9, $D$9, 100%, $F$9) + CHOOSE(CONTROL!$C$27, 0.0021, 0)</f>
        <v>111.28789999999999</v>
      </c>
      <c r="L1026" s="14"/>
    </row>
    <row r="1027" spans="1:12" ht="15.75" x14ac:dyDescent="0.25">
      <c r="A1027" s="32">
        <v>72198</v>
      </c>
      <c r="B1027" s="14">
        <f>112.3754 * CHOOSE(CONTROL!$C$9, $D$9, 100%, $F$9) + CHOOSE(CONTROL!$C$27, 0.0021, 0)</f>
        <v>112.3775</v>
      </c>
      <c r="C1027" s="14">
        <f>111.9431 * CHOOSE(CONTROL!$C$9, $D$9, 100%, $F$9) + CHOOSE(CONTROL!$C$27, 0.0021, 0)</f>
        <v>111.9452</v>
      </c>
      <c r="D1027" s="14">
        <f>111.9431 * CHOOSE(CONTROL!$C$9, $D$9, 100%, $F$9) + CHOOSE(CONTROL!$C$27, 0.0021, 0)</f>
        <v>111.9452</v>
      </c>
      <c r="E1027" s="14">
        <f>111.8065 * CHOOSE(CONTROL!$C$9, $D$9, 100%, $F$9) + CHOOSE(CONTROL!$C$27, 0.0021, 0)</f>
        <v>111.8086</v>
      </c>
      <c r="F1027" s="14">
        <f>111.8065 * CHOOSE(CONTROL!$C$9, $D$9, 100%, $F$9) + CHOOSE(CONTROL!$C$27, 0.0021, 0)</f>
        <v>111.8086</v>
      </c>
      <c r="G1027" s="14">
        <f>112.0778 * CHOOSE(CONTROL!$C$9, $D$9, 100%, $F$9) + CHOOSE(CONTROL!$C$27, 0.0021, 0)</f>
        <v>112.07989999999999</v>
      </c>
      <c r="H1027" s="14">
        <f>111.9431 * CHOOSE(CONTROL!$C$9, $D$9, 100%, $F$9) + CHOOSE(CONTROL!$C$27, 0.0021, 0)</f>
        <v>111.9452</v>
      </c>
      <c r="I1027" s="14">
        <f>111.9431 * CHOOSE(CONTROL!$C$9, $D$9, 100%, $F$9) + CHOOSE(CONTROL!$C$27, 0.0021, 0)</f>
        <v>111.9452</v>
      </c>
      <c r="J1027" s="14">
        <f>111.9431 * CHOOSE(CONTROL!$C$9, $D$9, 100%, $F$9) + CHOOSE(CONTROL!$C$27, 0.0021, 0)</f>
        <v>111.9452</v>
      </c>
      <c r="K1027" s="14">
        <f>111.9431 * CHOOSE(CONTROL!$C$9, $D$9, 100%, $F$9) + CHOOSE(CONTROL!$C$27, 0.0021, 0)</f>
        <v>111.9452</v>
      </c>
      <c r="L1027" s="14"/>
    </row>
    <row r="1028" spans="1:12" ht="15.75" x14ac:dyDescent="0.25">
      <c r="A1028" s="32">
        <v>72228</v>
      </c>
      <c r="B1028" s="14">
        <f>114.6139 * CHOOSE(CONTROL!$C$9, $D$9, 100%, $F$9) + CHOOSE(CONTROL!$C$27, 0.0021, 0)</f>
        <v>114.616</v>
      </c>
      <c r="C1028" s="14">
        <f>114.1817 * CHOOSE(CONTROL!$C$9, $D$9, 100%, $F$9) + CHOOSE(CONTROL!$C$27, 0.0021, 0)</f>
        <v>114.18380000000001</v>
      </c>
      <c r="D1028" s="14">
        <f>114.1817 * CHOOSE(CONTROL!$C$9, $D$9, 100%, $F$9) + CHOOSE(CONTROL!$C$27, 0.0021, 0)</f>
        <v>114.18380000000001</v>
      </c>
      <c r="E1028" s="14">
        <f>114.045 * CHOOSE(CONTROL!$C$9, $D$9, 100%, $F$9) + CHOOSE(CONTROL!$C$27, 0.0021, 0)</f>
        <v>114.0471</v>
      </c>
      <c r="F1028" s="14">
        <f>114.045 * CHOOSE(CONTROL!$C$9, $D$9, 100%, $F$9) + CHOOSE(CONTROL!$C$27, 0.0021, 0)</f>
        <v>114.0471</v>
      </c>
      <c r="G1028" s="14">
        <f>114.3164 * CHOOSE(CONTROL!$C$9, $D$9, 100%, $F$9) + CHOOSE(CONTROL!$C$27, 0.0021, 0)</f>
        <v>114.3185</v>
      </c>
      <c r="H1028" s="14">
        <f>114.1817 * CHOOSE(CONTROL!$C$9, $D$9, 100%, $F$9) + CHOOSE(CONTROL!$C$27, 0.0021, 0)</f>
        <v>114.18380000000001</v>
      </c>
      <c r="I1028" s="14">
        <f>114.1817 * CHOOSE(CONTROL!$C$9, $D$9, 100%, $F$9) + CHOOSE(CONTROL!$C$27, 0.0021, 0)</f>
        <v>114.18380000000001</v>
      </c>
      <c r="J1028" s="14">
        <f>114.1817 * CHOOSE(CONTROL!$C$9, $D$9, 100%, $F$9) + CHOOSE(CONTROL!$C$27, 0.0021, 0)</f>
        <v>114.18380000000001</v>
      </c>
      <c r="K1028" s="14">
        <f>114.1817 * CHOOSE(CONTROL!$C$9, $D$9, 100%, $F$9) + CHOOSE(CONTROL!$C$27, 0.0021, 0)</f>
        <v>114.18380000000001</v>
      </c>
      <c r="L1028" s="14"/>
    </row>
    <row r="1029" spans="1:12" ht="15.75" x14ac:dyDescent="0.25">
      <c r="A1029" s="32">
        <v>72259</v>
      </c>
      <c r="B1029" s="14">
        <f>117.4475 * CHOOSE(CONTROL!$C$9, $D$9, 100%, $F$9) + CHOOSE(CONTROL!$C$27, 0.0021, 0)</f>
        <v>117.4496</v>
      </c>
      <c r="C1029" s="14">
        <f>117.0153 * CHOOSE(CONTROL!$C$9, $D$9, 100%, $F$9) + CHOOSE(CONTROL!$C$27, 0.0021, 0)</f>
        <v>117.01739999999999</v>
      </c>
      <c r="D1029" s="14">
        <f>117.0153 * CHOOSE(CONTROL!$C$9, $D$9, 100%, $F$9) + CHOOSE(CONTROL!$C$27, 0.0021, 0)</f>
        <v>117.01739999999999</v>
      </c>
      <c r="E1029" s="14">
        <f>116.8786 * CHOOSE(CONTROL!$C$9, $D$9, 100%, $F$9) + CHOOSE(CONTROL!$C$27, 0.0021, 0)</f>
        <v>116.8807</v>
      </c>
      <c r="F1029" s="14">
        <f>116.8786 * CHOOSE(CONTROL!$C$9, $D$9, 100%, $F$9) + CHOOSE(CONTROL!$C$27, 0.0021, 0)</f>
        <v>116.8807</v>
      </c>
      <c r="G1029" s="14">
        <f>117.15 * CHOOSE(CONTROL!$C$9, $D$9, 100%, $F$9) + CHOOSE(CONTROL!$C$27, 0.0021, 0)</f>
        <v>117.1521</v>
      </c>
      <c r="H1029" s="14">
        <f>117.0153 * CHOOSE(CONTROL!$C$9, $D$9, 100%, $F$9) + CHOOSE(CONTROL!$C$27, 0.0021, 0)</f>
        <v>117.01739999999999</v>
      </c>
      <c r="I1029" s="14">
        <f>117.0153 * CHOOSE(CONTROL!$C$9, $D$9, 100%, $F$9) + CHOOSE(CONTROL!$C$27, 0.0021, 0)</f>
        <v>117.01739999999999</v>
      </c>
      <c r="J1029" s="14">
        <f>117.0153 * CHOOSE(CONTROL!$C$9, $D$9, 100%, $F$9) + CHOOSE(CONTROL!$C$27, 0.0021, 0)</f>
        <v>117.01739999999999</v>
      </c>
      <c r="K1029" s="14">
        <f>117.0153 * CHOOSE(CONTROL!$C$9, $D$9, 100%, $F$9) + CHOOSE(CONTROL!$C$27, 0.0021, 0)</f>
        <v>117.01739999999999</v>
      </c>
      <c r="L1029" s="14"/>
    </row>
    <row r="1030" spans="1:12" ht="15.75" x14ac:dyDescent="0.25">
      <c r="A1030" s="32">
        <v>72289</v>
      </c>
      <c r="B1030" s="14">
        <f>117.7135 * CHOOSE(CONTROL!$C$9, $D$9, 100%, $F$9) + CHOOSE(CONTROL!$C$27, 0.0021, 0)</f>
        <v>117.71559999999999</v>
      </c>
      <c r="C1030" s="14">
        <f>117.2813 * CHOOSE(CONTROL!$C$9, $D$9, 100%, $F$9) + CHOOSE(CONTROL!$C$27, 0.0021, 0)</f>
        <v>117.2834</v>
      </c>
      <c r="D1030" s="14">
        <f>117.2813 * CHOOSE(CONTROL!$C$9, $D$9, 100%, $F$9) + CHOOSE(CONTROL!$C$27, 0.0021, 0)</f>
        <v>117.2834</v>
      </c>
      <c r="E1030" s="14">
        <f>117.1446 * CHOOSE(CONTROL!$C$9, $D$9, 100%, $F$9) + CHOOSE(CONTROL!$C$27, 0.0021, 0)</f>
        <v>117.1467</v>
      </c>
      <c r="F1030" s="14">
        <f>117.1446 * CHOOSE(CONTROL!$C$9, $D$9, 100%, $F$9) + CHOOSE(CONTROL!$C$27, 0.0021, 0)</f>
        <v>117.1467</v>
      </c>
      <c r="G1030" s="14">
        <f>117.416 * CHOOSE(CONTROL!$C$9, $D$9, 100%, $F$9) + CHOOSE(CONTROL!$C$27, 0.0021, 0)</f>
        <v>117.4181</v>
      </c>
      <c r="H1030" s="14">
        <f>117.2813 * CHOOSE(CONTROL!$C$9, $D$9, 100%, $F$9) + CHOOSE(CONTROL!$C$27, 0.0021, 0)</f>
        <v>117.2834</v>
      </c>
      <c r="I1030" s="14">
        <f>117.2813 * CHOOSE(CONTROL!$C$9, $D$9, 100%, $F$9) + CHOOSE(CONTROL!$C$27, 0.0021, 0)</f>
        <v>117.2834</v>
      </c>
      <c r="J1030" s="14">
        <f>117.2813 * CHOOSE(CONTROL!$C$9, $D$9, 100%, $F$9) + CHOOSE(CONTROL!$C$27, 0.0021, 0)</f>
        <v>117.2834</v>
      </c>
      <c r="K1030" s="14">
        <f>117.2813 * CHOOSE(CONTROL!$C$9, $D$9, 100%, $F$9) + CHOOSE(CONTROL!$C$27, 0.0021, 0)</f>
        <v>117.2834</v>
      </c>
      <c r="L1030" s="14"/>
    </row>
    <row r="1031" spans="1:12" ht="15.75" x14ac:dyDescent="0.25">
      <c r="A1031" s="32">
        <v>72320</v>
      </c>
      <c r="B1031" s="14">
        <f>115.4504 * CHOOSE(CONTROL!$C$9, $D$9, 100%, $F$9) + CHOOSE(CONTROL!$C$27, 0.0021, 0)</f>
        <v>115.4525</v>
      </c>
      <c r="C1031" s="14">
        <f>115.0181 * CHOOSE(CONTROL!$C$9, $D$9, 100%, $F$9) + CHOOSE(CONTROL!$C$27, 0.0021, 0)</f>
        <v>115.0202</v>
      </c>
      <c r="D1031" s="14">
        <f>115.0181 * CHOOSE(CONTROL!$C$9, $D$9, 100%, $F$9) + CHOOSE(CONTROL!$C$27, 0.0021, 0)</f>
        <v>115.0202</v>
      </c>
      <c r="E1031" s="14">
        <f>114.8815 * CHOOSE(CONTROL!$C$9, $D$9, 100%, $F$9) + CHOOSE(CONTROL!$C$27, 0.0021, 0)</f>
        <v>114.8836</v>
      </c>
      <c r="F1031" s="14">
        <f>114.8815 * CHOOSE(CONTROL!$C$9, $D$9, 100%, $F$9) + CHOOSE(CONTROL!$C$27, 0.0021, 0)</f>
        <v>114.8836</v>
      </c>
      <c r="G1031" s="14">
        <f>115.1529 * CHOOSE(CONTROL!$C$9, $D$9, 100%, $F$9) + CHOOSE(CONTROL!$C$27, 0.0021, 0)</f>
        <v>115.155</v>
      </c>
      <c r="H1031" s="14">
        <f>115.0181 * CHOOSE(CONTROL!$C$9, $D$9, 100%, $F$9) + CHOOSE(CONTROL!$C$27, 0.0021, 0)</f>
        <v>115.0202</v>
      </c>
      <c r="I1031" s="14">
        <f>115.0181 * CHOOSE(CONTROL!$C$9, $D$9, 100%, $F$9) + CHOOSE(CONTROL!$C$27, 0.0021, 0)</f>
        <v>115.0202</v>
      </c>
      <c r="J1031" s="14">
        <f>115.0181 * CHOOSE(CONTROL!$C$9, $D$9, 100%, $F$9) + CHOOSE(CONTROL!$C$27, 0.0021, 0)</f>
        <v>115.0202</v>
      </c>
      <c r="K1031" s="14">
        <f>115.0181 * CHOOSE(CONTROL!$C$9, $D$9, 100%, $F$9) + CHOOSE(CONTROL!$C$27, 0.0021, 0)</f>
        <v>115.0202</v>
      </c>
      <c r="L1031" s="14"/>
    </row>
    <row r="1032" spans="1:12" ht="15.75" x14ac:dyDescent="0.25">
      <c r="A1032" s="32">
        <v>72351</v>
      </c>
      <c r="B1032" s="14">
        <f>113.9678 * CHOOSE(CONTROL!$C$9, $D$9, 100%, $F$9) + CHOOSE(CONTROL!$C$27, 0.0021, 0)</f>
        <v>113.9699</v>
      </c>
      <c r="C1032" s="14">
        <f>113.5355 * CHOOSE(CONTROL!$C$9, $D$9, 100%, $F$9) + CHOOSE(CONTROL!$C$27, 0.0021, 0)</f>
        <v>113.5376</v>
      </c>
      <c r="D1032" s="14">
        <f>113.5355 * CHOOSE(CONTROL!$C$9, $D$9, 100%, $F$9) + CHOOSE(CONTROL!$C$27, 0.0021, 0)</f>
        <v>113.5376</v>
      </c>
      <c r="E1032" s="14">
        <f>113.3989 * CHOOSE(CONTROL!$C$9, $D$9, 100%, $F$9) + CHOOSE(CONTROL!$C$27, 0.0021, 0)</f>
        <v>113.401</v>
      </c>
      <c r="F1032" s="14">
        <f>113.3989 * CHOOSE(CONTROL!$C$9, $D$9, 100%, $F$9) + CHOOSE(CONTROL!$C$27, 0.0021, 0)</f>
        <v>113.401</v>
      </c>
      <c r="G1032" s="14">
        <f>113.6702 * CHOOSE(CONTROL!$C$9, $D$9, 100%, $F$9) + CHOOSE(CONTROL!$C$27, 0.0021, 0)</f>
        <v>113.67229999999999</v>
      </c>
      <c r="H1032" s="14">
        <f>113.5355 * CHOOSE(CONTROL!$C$9, $D$9, 100%, $F$9) + CHOOSE(CONTROL!$C$27, 0.0021, 0)</f>
        <v>113.5376</v>
      </c>
      <c r="I1032" s="14">
        <f>113.5355 * CHOOSE(CONTROL!$C$9, $D$9, 100%, $F$9) + CHOOSE(CONTROL!$C$27, 0.0021, 0)</f>
        <v>113.5376</v>
      </c>
      <c r="J1032" s="14">
        <f>113.5355 * CHOOSE(CONTROL!$C$9, $D$9, 100%, $F$9) + CHOOSE(CONTROL!$C$27, 0.0021, 0)</f>
        <v>113.5376</v>
      </c>
      <c r="K1032" s="14">
        <f>113.5355 * CHOOSE(CONTROL!$C$9, $D$9, 100%, $F$9) + CHOOSE(CONTROL!$C$27, 0.0021, 0)</f>
        <v>113.5376</v>
      </c>
      <c r="L1032" s="14"/>
    </row>
    <row r="1033" spans="1:12" ht="15.75" x14ac:dyDescent="0.25">
      <c r="A1033" s="32">
        <v>72379</v>
      </c>
      <c r="B1033" s="14">
        <f>110.809 * CHOOSE(CONTROL!$C$9, $D$9, 100%, $F$9) + CHOOSE(CONTROL!$C$27, 0.0021, 0)</f>
        <v>110.8111</v>
      </c>
      <c r="C1033" s="14">
        <f>110.3767 * CHOOSE(CONTROL!$C$9, $D$9, 100%, $F$9) + CHOOSE(CONTROL!$C$27, 0.0021, 0)</f>
        <v>110.3788</v>
      </c>
      <c r="D1033" s="14">
        <f>110.3767 * CHOOSE(CONTROL!$C$9, $D$9, 100%, $F$9) + CHOOSE(CONTROL!$C$27, 0.0021, 0)</f>
        <v>110.3788</v>
      </c>
      <c r="E1033" s="14">
        <f>110.2401 * CHOOSE(CONTROL!$C$9, $D$9, 100%, $F$9) + CHOOSE(CONTROL!$C$27, 0.0021, 0)</f>
        <v>110.2422</v>
      </c>
      <c r="F1033" s="14">
        <f>110.2401 * CHOOSE(CONTROL!$C$9, $D$9, 100%, $F$9) + CHOOSE(CONTROL!$C$27, 0.0021, 0)</f>
        <v>110.2422</v>
      </c>
      <c r="G1033" s="14">
        <f>110.5114 * CHOOSE(CONTROL!$C$9, $D$9, 100%, $F$9) + CHOOSE(CONTROL!$C$27, 0.0021, 0)</f>
        <v>110.51349999999999</v>
      </c>
      <c r="H1033" s="14">
        <f>110.3767 * CHOOSE(CONTROL!$C$9, $D$9, 100%, $F$9) + CHOOSE(CONTROL!$C$27, 0.0021, 0)</f>
        <v>110.3788</v>
      </c>
      <c r="I1033" s="14">
        <f>110.3767 * CHOOSE(CONTROL!$C$9, $D$9, 100%, $F$9) + CHOOSE(CONTROL!$C$27, 0.0021, 0)</f>
        <v>110.3788</v>
      </c>
      <c r="J1033" s="14">
        <f>110.3767 * CHOOSE(CONTROL!$C$9, $D$9, 100%, $F$9) + CHOOSE(CONTROL!$C$27, 0.0021, 0)</f>
        <v>110.3788</v>
      </c>
      <c r="K1033" s="14">
        <f>110.3767 * CHOOSE(CONTROL!$C$9, $D$9, 100%, $F$9) + CHOOSE(CONTROL!$C$27, 0.0021, 0)</f>
        <v>110.3788</v>
      </c>
      <c r="L1033" s="14"/>
    </row>
    <row r="1034" spans="1:12" ht="15.75" x14ac:dyDescent="0.25">
      <c r="A1034" s="32">
        <v>72410</v>
      </c>
      <c r="B1034" s="14">
        <f>109.505 * CHOOSE(CONTROL!$C$9, $D$9, 100%, $F$9) + CHOOSE(CONTROL!$C$27, 0.0021, 0)</f>
        <v>109.50709999999999</v>
      </c>
      <c r="C1034" s="14">
        <f>109.0728 * CHOOSE(CONTROL!$C$9, $D$9, 100%, $F$9) + CHOOSE(CONTROL!$C$27, 0.0021, 0)</f>
        <v>109.0749</v>
      </c>
      <c r="D1034" s="14">
        <f>109.0728 * CHOOSE(CONTROL!$C$9, $D$9, 100%, $F$9) + CHOOSE(CONTROL!$C$27, 0.0021, 0)</f>
        <v>109.0749</v>
      </c>
      <c r="E1034" s="14">
        <f>108.9361 * CHOOSE(CONTROL!$C$9, $D$9, 100%, $F$9) + CHOOSE(CONTROL!$C$27, 0.0021, 0)</f>
        <v>108.93819999999999</v>
      </c>
      <c r="F1034" s="14">
        <f>108.9361 * CHOOSE(CONTROL!$C$9, $D$9, 100%, $F$9) + CHOOSE(CONTROL!$C$27, 0.0021, 0)</f>
        <v>108.93819999999999</v>
      </c>
      <c r="G1034" s="14">
        <f>109.2075 * CHOOSE(CONTROL!$C$9, $D$9, 100%, $F$9) + CHOOSE(CONTROL!$C$27, 0.0021, 0)</f>
        <v>109.20959999999999</v>
      </c>
      <c r="H1034" s="14">
        <f>109.0728 * CHOOSE(CONTROL!$C$9, $D$9, 100%, $F$9) + CHOOSE(CONTROL!$C$27, 0.0021, 0)</f>
        <v>109.0749</v>
      </c>
      <c r="I1034" s="14">
        <f>109.0728 * CHOOSE(CONTROL!$C$9, $D$9, 100%, $F$9) + CHOOSE(CONTROL!$C$27, 0.0021, 0)</f>
        <v>109.0749</v>
      </c>
      <c r="J1034" s="14">
        <f>109.0728 * CHOOSE(CONTROL!$C$9, $D$9, 100%, $F$9) + CHOOSE(CONTROL!$C$27, 0.0021, 0)</f>
        <v>109.0749</v>
      </c>
      <c r="K1034" s="14">
        <f>109.0728 * CHOOSE(CONTROL!$C$9, $D$9, 100%, $F$9) + CHOOSE(CONTROL!$C$27, 0.0021, 0)</f>
        <v>109.0749</v>
      </c>
      <c r="L1034" s="14"/>
    </row>
    <row r="1035" spans="1:12" ht="15.75" x14ac:dyDescent="0.25">
      <c r="A1035" s="32">
        <v>72440</v>
      </c>
      <c r="B1035" s="14">
        <f>107.9481 * CHOOSE(CONTROL!$C$9, $D$9, 100%, $F$9) + CHOOSE(CONTROL!$C$27, 0.0021, 0)</f>
        <v>107.9502</v>
      </c>
      <c r="C1035" s="14">
        <f>107.5159 * CHOOSE(CONTROL!$C$9, $D$9, 100%, $F$9) + CHOOSE(CONTROL!$C$27, 0.0021, 0)</f>
        <v>107.518</v>
      </c>
      <c r="D1035" s="14">
        <f>107.5159 * CHOOSE(CONTROL!$C$9, $D$9, 100%, $F$9) + CHOOSE(CONTROL!$C$27, 0.0021, 0)</f>
        <v>107.518</v>
      </c>
      <c r="E1035" s="14">
        <f>107.3792 * CHOOSE(CONTROL!$C$9, $D$9, 100%, $F$9) + CHOOSE(CONTROL!$C$27, 0.0021, 0)</f>
        <v>107.3813</v>
      </c>
      <c r="F1035" s="14">
        <f>107.3792 * CHOOSE(CONTROL!$C$9, $D$9, 100%, $F$9) + CHOOSE(CONTROL!$C$27, 0.0021, 0)</f>
        <v>107.3813</v>
      </c>
      <c r="G1035" s="14">
        <f>107.6506 * CHOOSE(CONTROL!$C$9, $D$9, 100%, $F$9) + CHOOSE(CONTROL!$C$27, 0.0021, 0)</f>
        <v>107.6527</v>
      </c>
      <c r="H1035" s="14">
        <f>107.5159 * CHOOSE(CONTROL!$C$9, $D$9, 100%, $F$9) + CHOOSE(CONTROL!$C$27, 0.0021, 0)</f>
        <v>107.518</v>
      </c>
      <c r="I1035" s="14">
        <f>107.5159 * CHOOSE(CONTROL!$C$9, $D$9, 100%, $F$9) + CHOOSE(CONTROL!$C$27, 0.0021, 0)</f>
        <v>107.518</v>
      </c>
      <c r="J1035" s="14">
        <f>107.5159 * CHOOSE(CONTROL!$C$9, $D$9, 100%, $F$9) + CHOOSE(CONTROL!$C$27, 0.0021, 0)</f>
        <v>107.518</v>
      </c>
      <c r="K1035" s="14">
        <f>107.5159 * CHOOSE(CONTROL!$C$9, $D$9, 100%, $F$9) + CHOOSE(CONTROL!$C$27, 0.0021, 0)</f>
        <v>107.518</v>
      </c>
      <c r="L1035" s="14"/>
    </row>
    <row r="1036" spans="1:12" ht="15.75" x14ac:dyDescent="0.25">
      <c r="A1036" s="32">
        <v>72471</v>
      </c>
      <c r="B1036" s="14">
        <f>110.1669 * CHOOSE(CONTROL!$C$9, $D$9, 100%, $F$9) + CHOOSE(CONTROL!$C$27, 0.0021, 0)</f>
        <v>110.169</v>
      </c>
      <c r="C1036" s="14">
        <f>109.7347 * CHOOSE(CONTROL!$C$9, $D$9, 100%, $F$9) + CHOOSE(CONTROL!$C$27, 0.0021, 0)</f>
        <v>109.7368</v>
      </c>
      <c r="D1036" s="14">
        <f>109.7347 * CHOOSE(CONTROL!$C$9, $D$9, 100%, $F$9) + CHOOSE(CONTROL!$C$27, 0.0021, 0)</f>
        <v>109.7368</v>
      </c>
      <c r="E1036" s="14">
        <f>109.598 * CHOOSE(CONTROL!$C$9, $D$9, 100%, $F$9) + CHOOSE(CONTROL!$C$27, 0.0021, 0)</f>
        <v>109.6001</v>
      </c>
      <c r="F1036" s="14">
        <f>109.598 * CHOOSE(CONTROL!$C$9, $D$9, 100%, $F$9) + CHOOSE(CONTROL!$C$27, 0.0021, 0)</f>
        <v>109.6001</v>
      </c>
      <c r="G1036" s="14">
        <f>109.8694 * CHOOSE(CONTROL!$C$9, $D$9, 100%, $F$9) + CHOOSE(CONTROL!$C$27, 0.0021, 0)</f>
        <v>109.8715</v>
      </c>
      <c r="H1036" s="14">
        <f>109.7347 * CHOOSE(CONTROL!$C$9, $D$9, 100%, $F$9) + CHOOSE(CONTROL!$C$27, 0.0021, 0)</f>
        <v>109.7368</v>
      </c>
      <c r="I1036" s="14">
        <f>109.7347 * CHOOSE(CONTROL!$C$9, $D$9, 100%, $F$9) + CHOOSE(CONTROL!$C$27, 0.0021, 0)</f>
        <v>109.7368</v>
      </c>
      <c r="J1036" s="14">
        <f>109.7347 * CHOOSE(CONTROL!$C$9, $D$9, 100%, $F$9) + CHOOSE(CONTROL!$C$27, 0.0021, 0)</f>
        <v>109.7368</v>
      </c>
      <c r="K1036" s="14">
        <f>109.7347 * CHOOSE(CONTROL!$C$9, $D$9, 100%, $F$9) + CHOOSE(CONTROL!$C$27, 0.0021, 0)</f>
        <v>109.7368</v>
      </c>
      <c r="L1036" s="14"/>
    </row>
    <row r="1037" spans="1:12" ht="15.75" x14ac:dyDescent="0.25">
      <c r="A1037" s="32">
        <v>72501</v>
      </c>
      <c r="B1037" s="14">
        <f>111.4959 * CHOOSE(CONTROL!$C$9, $D$9, 100%, $F$9) + CHOOSE(CONTROL!$C$27, 0.0021, 0)</f>
        <v>111.498</v>
      </c>
      <c r="C1037" s="14">
        <f>111.0637 * CHOOSE(CONTROL!$C$9, $D$9, 100%, $F$9) + CHOOSE(CONTROL!$C$27, 0.0021, 0)</f>
        <v>111.0658</v>
      </c>
      <c r="D1037" s="14">
        <f>111.0637 * CHOOSE(CONTROL!$C$9, $D$9, 100%, $F$9) + CHOOSE(CONTROL!$C$27, 0.0021, 0)</f>
        <v>111.0658</v>
      </c>
      <c r="E1037" s="14">
        <f>110.927 * CHOOSE(CONTROL!$C$9, $D$9, 100%, $F$9) + CHOOSE(CONTROL!$C$27, 0.0021, 0)</f>
        <v>110.92910000000001</v>
      </c>
      <c r="F1037" s="14">
        <f>110.927 * CHOOSE(CONTROL!$C$9, $D$9, 100%, $F$9) + CHOOSE(CONTROL!$C$27, 0.0021, 0)</f>
        <v>110.92910000000001</v>
      </c>
      <c r="G1037" s="14">
        <f>111.1984 * CHOOSE(CONTROL!$C$9, $D$9, 100%, $F$9) + CHOOSE(CONTROL!$C$27, 0.0021, 0)</f>
        <v>111.20050000000001</v>
      </c>
      <c r="H1037" s="14">
        <f>111.0637 * CHOOSE(CONTROL!$C$9, $D$9, 100%, $F$9) + CHOOSE(CONTROL!$C$27, 0.0021, 0)</f>
        <v>111.0658</v>
      </c>
      <c r="I1037" s="14">
        <f>111.0637 * CHOOSE(CONTROL!$C$9, $D$9, 100%, $F$9) + CHOOSE(CONTROL!$C$27, 0.0021, 0)</f>
        <v>111.0658</v>
      </c>
      <c r="J1037" s="14">
        <f>111.0637 * CHOOSE(CONTROL!$C$9, $D$9, 100%, $F$9) + CHOOSE(CONTROL!$C$27, 0.0021, 0)</f>
        <v>111.0658</v>
      </c>
      <c r="K1037" s="14">
        <f>111.0637 * CHOOSE(CONTROL!$C$9, $D$9, 100%, $F$9) + CHOOSE(CONTROL!$C$27, 0.0021, 0)</f>
        <v>111.0658</v>
      </c>
      <c r="L1037" s="14"/>
    </row>
    <row r="1038" spans="1:12" ht="15.75" x14ac:dyDescent="0.25">
      <c r="A1038" s="32">
        <v>72532</v>
      </c>
      <c r="B1038" s="14">
        <f>113.6882 * CHOOSE(CONTROL!$C$9, $D$9, 100%, $F$9) + CHOOSE(CONTROL!$C$27, 0.0021, 0)</f>
        <v>113.69029999999999</v>
      </c>
      <c r="C1038" s="14">
        <f>113.256 * CHOOSE(CONTROL!$C$9, $D$9, 100%, $F$9) + CHOOSE(CONTROL!$C$27, 0.0021, 0)</f>
        <v>113.2581</v>
      </c>
      <c r="D1038" s="14">
        <f>113.256 * CHOOSE(CONTROL!$C$9, $D$9, 100%, $F$9) + CHOOSE(CONTROL!$C$27, 0.0021, 0)</f>
        <v>113.2581</v>
      </c>
      <c r="E1038" s="14">
        <f>113.1193 * CHOOSE(CONTROL!$C$9, $D$9, 100%, $F$9) + CHOOSE(CONTROL!$C$27, 0.0021, 0)</f>
        <v>113.12139999999999</v>
      </c>
      <c r="F1038" s="14">
        <f>113.1193 * CHOOSE(CONTROL!$C$9, $D$9, 100%, $F$9) + CHOOSE(CONTROL!$C$27, 0.0021, 0)</f>
        <v>113.12139999999999</v>
      </c>
      <c r="G1038" s="14">
        <f>113.3907 * CHOOSE(CONTROL!$C$9, $D$9, 100%, $F$9) + CHOOSE(CONTROL!$C$27, 0.0021, 0)</f>
        <v>113.39279999999999</v>
      </c>
      <c r="H1038" s="14">
        <f>113.256 * CHOOSE(CONTROL!$C$9, $D$9, 100%, $F$9) + CHOOSE(CONTROL!$C$27, 0.0021, 0)</f>
        <v>113.2581</v>
      </c>
      <c r="I1038" s="14">
        <f>113.256 * CHOOSE(CONTROL!$C$9, $D$9, 100%, $F$9) + CHOOSE(CONTROL!$C$27, 0.0021, 0)</f>
        <v>113.2581</v>
      </c>
      <c r="J1038" s="14">
        <f>113.256 * CHOOSE(CONTROL!$C$9, $D$9, 100%, $F$9) + CHOOSE(CONTROL!$C$27, 0.0021, 0)</f>
        <v>113.2581</v>
      </c>
      <c r="K1038" s="14">
        <f>113.256 * CHOOSE(CONTROL!$C$9, $D$9, 100%, $F$9) + CHOOSE(CONTROL!$C$27, 0.0021, 0)</f>
        <v>113.2581</v>
      </c>
      <c r="L1038" s="14"/>
    </row>
    <row r="1039" spans="1:12" ht="15.75" x14ac:dyDescent="0.25">
      <c r="A1039" s="32">
        <v>72563</v>
      </c>
      <c r="B1039" s="14">
        <f>114.3574 * CHOOSE(CONTROL!$C$9, $D$9, 100%, $F$9) + CHOOSE(CONTROL!$C$27, 0.0021, 0)</f>
        <v>114.3595</v>
      </c>
      <c r="C1039" s="14">
        <f>113.9252 * CHOOSE(CONTROL!$C$9, $D$9, 100%, $F$9) + CHOOSE(CONTROL!$C$27, 0.0021, 0)</f>
        <v>113.9273</v>
      </c>
      <c r="D1039" s="14">
        <f>113.9252 * CHOOSE(CONTROL!$C$9, $D$9, 100%, $F$9) + CHOOSE(CONTROL!$C$27, 0.0021, 0)</f>
        <v>113.9273</v>
      </c>
      <c r="E1039" s="14">
        <f>113.7885 * CHOOSE(CONTROL!$C$9, $D$9, 100%, $F$9) + CHOOSE(CONTROL!$C$27, 0.0021, 0)</f>
        <v>113.7906</v>
      </c>
      <c r="F1039" s="14">
        <f>113.7885 * CHOOSE(CONTROL!$C$9, $D$9, 100%, $F$9) + CHOOSE(CONTROL!$C$27, 0.0021, 0)</f>
        <v>113.7906</v>
      </c>
      <c r="G1039" s="14">
        <f>114.0599 * CHOOSE(CONTROL!$C$9, $D$9, 100%, $F$9) + CHOOSE(CONTROL!$C$27, 0.0021, 0)</f>
        <v>114.062</v>
      </c>
      <c r="H1039" s="14">
        <f>113.9252 * CHOOSE(CONTROL!$C$9, $D$9, 100%, $F$9) + CHOOSE(CONTROL!$C$27, 0.0021, 0)</f>
        <v>113.9273</v>
      </c>
      <c r="I1039" s="14">
        <f>113.9252 * CHOOSE(CONTROL!$C$9, $D$9, 100%, $F$9) + CHOOSE(CONTROL!$C$27, 0.0021, 0)</f>
        <v>113.9273</v>
      </c>
      <c r="J1039" s="14">
        <f>113.9252 * CHOOSE(CONTROL!$C$9, $D$9, 100%, $F$9) + CHOOSE(CONTROL!$C$27, 0.0021, 0)</f>
        <v>113.9273</v>
      </c>
      <c r="K1039" s="14">
        <f>113.9252 * CHOOSE(CONTROL!$C$9, $D$9, 100%, $F$9) + CHOOSE(CONTROL!$C$27, 0.0021, 0)</f>
        <v>113.9273</v>
      </c>
      <c r="L1039" s="14"/>
    </row>
    <row r="1040" spans="1:12" ht="15.75" x14ac:dyDescent="0.25">
      <c r="A1040" s="32">
        <v>72593</v>
      </c>
      <c r="B1040" s="14">
        <f>116.6362 * CHOOSE(CONTROL!$C$9, $D$9, 100%, $F$9) + CHOOSE(CONTROL!$C$27, 0.0021, 0)</f>
        <v>116.6383</v>
      </c>
      <c r="C1040" s="14">
        <f>116.204 * CHOOSE(CONTROL!$C$9, $D$9, 100%, $F$9) + CHOOSE(CONTROL!$C$27, 0.0021, 0)</f>
        <v>116.20609999999999</v>
      </c>
      <c r="D1040" s="14">
        <f>116.204 * CHOOSE(CONTROL!$C$9, $D$9, 100%, $F$9) + CHOOSE(CONTROL!$C$27, 0.0021, 0)</f>
        <v>116.20609999999999</v>
      </c>
      <c r="E1040" s="14">
        <f>116.0673 * CHOOSE(CONTROL!$C$9, $D$9, 100%, $F$9) + CHOOSE(CONTROL!$C$27, 0.0021, 0)</f>
        <v>116.0694</v>
      </c>
      <c r="F1040" s="14">
        <f>116.0673 * CHOOSE(CONTROL!$C$9, $D$9, 100%, $F$9) + CHOOSE(CONTROL!$C$27, 0.0021, 0)</f>
        <v>116.0694</v>
      </c>
      <c r="G1040" s="14">
        <f>116.3387 * CHOOSE(CONTROL!$C$9, $D$9, 100%, $F$9) + CHOOSE(CONTROL!$C$27, 0.0021, 0)</f>
        <v>116.3408</v>
      </c>
      <c r="H1040" s="14">
        <f>116.204 * CHOOSE(CONTROL!$C$9, $D$9, 100%, $F$9) + CHOOSE(CONTROL!$C$27, 0.0021, 0)</f>
        <v>116.20609999999999</v>
      </c>
      <c r="I1040" s="14">
        <f>116.204 * CHOOSE(CONTROL!$C$9, $D$9, 100%, $F$9) + CHOOSE(CONTROL!$C$27, 0.0021, 0)</f>
        <v>116.20609999999999</v>
      </c>
      <c r="J1040" s="14">
        <f>116.204 * CHOOSE(CONTROL!$C$9, $D$9, 100%, $F$9) + CHOOSE(CONTROL!$C$27, 0.0021, 0)</f>
        <v>116.20609999999999</v>
      </c>
      <c r="K1040" s="14">
        <f>116.204 * CHOOSE(CONTROL!$C$9, $D$9, 100%, $F$9) + CHOOSE(CONTROL!$C$27, 0.0021, 0)</f>
        <v>116.20609999999999</v>
      </c>
      <c r="L1040" s="14"/>
    </row>
    <row r="1041" spans="1:12" ht="15.75" x14ac:dyDescent="0.25">
      <c r="A1041" s="32">
        <v>72624</v>
      </c>
      <c r="B1041" s="14">
        <f>119.5209 * CHOOSE(CONTROL!$C$9, $D$9, 100%, $F$9) + CHOOSE(CONTROL!$C$27, 0.0021, 0)</f>
        <v>119.523</v>
      </c>
      <c r="C1041" s="14">
        <f>119.0886 * CHOOSE(CONTROL!$C$9, $D$9, 100%, $F$9) + CHOOSE(CONTROL!$C$27, 0.0021, 0)</f>
        <v>119.0907</v>
      </c>
      <c r="D1041" s="14">
        <f>119.0886 * CHOOSE(CONTROL!$C$9, $D$9, 100%, $F$9) + CHOOSE(CONTROL!$C$27, 0.0021, 0)</f>
        <v>119.0907</v>
      </c>
      <c r="E1041" s="14">
        <f>118.952 * CHOOSE(CONTROL!$C$9, $D$9, 100%, $F$9) + CHOOSE(CONTROL!$C$27, 0.0021, 0)</f>
        <v>118.9541</v>
      </c>
      <c r="F1041" s="14">
        <f>118.952 * CHOOSE(CONTROL!$C$9, $D$9, 100%, $F$9) + CHOOSE(CONTROL!$C$27, 0.0021, 0)</f>
        <v>118.9541</v>
      </c>
      <c r="G1041" s="14">
        <f>119.2233 * CHOOSE(CONTROL!$C$9, $D$9, 100%, $F$9) + CHOOSE(CONTROL!$C$27, 0.0021, 0)</f>
        <v>119.22539999999999</v>
      </c>
      <c r="H1041" s="14">
        <f>119.0886 * CHOOSE(CONTROL!$C$9, $D$9, 100%, $F$9) + CHOOSE(CONTROL!$C$27, 0.0021, 0)</f>
        <v>119.0907</v>
      </c>
      <c r="I1041" s="14">
        <f>119.0886 * CHOOSE(CONTROL!$C$9, $D$9, 100%, $F$9) + CHOOSE(CONTROL!$C$27, 0.0021, 0)</f>
        <v>119.0907</v>
      </c>
      <c r="J1041" s="14">
        <f>119.0886 * CHOOSE(CONTROL!$C$9, $D$9, 100%, $F$9) + CHOOSE(CONTROL!$C$27, 0.0021, 0)</f>
        <v>119.0907</v>
      </c>
      <c r="K1041" s="14">
        <f>119.0886 * CHOOSE(CONTROL!$C$9, $D$9, 100%, $F$9) + CHOOSE(CONTROL!$C$27, 0.0021, 0)</f>
        <v>119.0907</v>
      </c>
      <c r="L1041" s="14"/>
    </row>
    <row r="1042" spans="1:12" ht="15.75" x14ac:dyDescent="0.25">
      <c r="A1042" s="32">
        <v>72654</v>
      </c>
      <c r="B1042" s="14">
        <f>119.7917 * CHOOSE(CONTROL!$C$9, $D$9, 100%, $F$9) + CHOOSE(CONTROL!$C$27, 0.0021, 0)</f>
        <v>119.7938</v>
      </c>
      <c r="C1042" s="14">
        <f>119.3594 * CHOOSE(CONTROL!$C$9, $D$9, 100%, $F$9) + CHOOSE(CONTROL!$C$27, 0.0021, 0)</f>
        <v>119.36149999999999</v>
      </c>
      <c r="D1042" s="14">
        <f>119.3594 * CHOOSE(CONTROL!$C$9, $D$9, 100%, $F$9) + CHOOSE(CONTROL!$C$27, 0.0021, 0)</f>
        <v>119.36149999999999</v>
      </c>
      <c r="E1042" s="14">
        <f>119.2228 * CHOOSE(CONTROL!$C$9, $D$9, 100%, $F$9) + CHOOSE(CONTROL!$C$27, 0.0021, 0)</f>
        <v>119.22490000000001</v>
      </c>
      <c r="F1042" s="14">
        <f>119.2228 * CHOOSE(CONTROL!$C$9, $D$9, 100%, $F$9) + CHOOSE(CONTROL!$C$27, 0.0021, 0)</f>
        <v>119.22490000000001</v>
      </c>
      <c r="G1042" s="14">
        <f>119.4941 * CHOOSE(CONTROL!$C$9, $D$9, 100%, $F$9) + CHOOSE(CONTROL!$C$27, 0.0021, 0)</f>
        <v>119.4962</v>
      </c>
      <c r="H1042" s="14">
        <f>119.3594 * CHOOSE(CONTROL!$C$9, $D$9, 100%, $F$9) + CHOOSE(CONTROL!$C$27, 0.0021, 0)</f>
        <v>119.36149999999999</v>
      </c>
      <c r="I1042" s="14">
        <f>119.3594 * CHOOSE(CONTROL!$C$9, $D$9, 100%, $F$9) + CHOOSE(CONTROL!$C$27, 0.0021, 0)</f>
        <v>119.36149999999999</v>
      </c>
      <c r="J1042" s="14">
        <f>119.3594 * CHOOSE(CONTROL!$C$9, $D$9, 100%, $F$9) + CHOOSE(CONTROL!$C$27, 0.0021, 0)</f>
        <v>119.36149999999999</v>
      </c>
      <c r="K1042" s="14">
        <f>119.3594 * CHOOSE(CONTROL!$C$9, $D$9, 100%, $F$9) + CHOOSE(CONTROL!$C$27, 0.0021, 0)</f>
        <v>119.36149999999999</v>
      </c>
      <c r="L1042" s="14"/>
    </row>
    <row r="1043" spans="1:12" ht="15.75" x14ac:dyDescent="0.25">
      <c r="A1043" s="32">
        <v>72685</v>
      </c>
      <c r="B1043" s="14">
        <f>117.4878 * CHOOSE(CONTROL!$C$9, $D$9, 100%, $F$9) + CHOOSE(CONTROL!$C$27, 0.0021, 0)</f>
        <v>117.48989999999999</v>
      </c>
      <c r="C1043" s="14">
        <f>117.0555 * CHOOSE(CONTROL!$C$9, $D$9, 100%, $F$9) + CHOOSE(CONTROL!$C$27, 0.0021, 0)</f>
        <v>117.05759999999999</v>
      </c>
      <c r="D1043" s="14">
        <f>117.0555 * CHOOSE(CONTROL!$C$9, $D$9, 100%, $F$9) + CHOOSE(CONTROL!$C$27, 0.0021, 0)</f>
        <v>117.05759999999999</v>
      </c>
      <c r="E1043" s="14">
        <f>116.9189 * CHOOSE(CONTROL!$C$9, $D$9, 100%, $F$9) + CHOOSE(CONTROL!$C$27, 0.0021, 0)</f>
        <v>116.92099999999999</v>
      </c>
      <c r="F1043" s="14">
        <f>116.9189 * CHOOSE(CONTROL!$C$9, $D$9, 100%, $F$9) + CHOOSE(CONTROL!$C$27, 0.0021, 0)</f>
        <v>116.92099999999999</v>
      </c>
      <c r="G1043" s="14">
        <f>117.1902 * CHOOSE(CONTROL!$C$9, $D$9, 100%, $F$9) + CHOOSE(CONTROL!$C$27, 0.0021, 0)</f>
        <v>117.1923</v>
      </c>
      <c r="H1043" s="14">
        <f>117.0555 * CHOOSE(CONTROL!$C$9, $D$9, 100%, $F$9) + CHOOSE(CONTROL!$C$27, 0.0021, 0)</f>
        <v>117.05759999999999</v>
      </c>
      <c r="I1043" s="14">
        <f>117.0555 * CHOOSE(CONTROL!$C$9, $D$9, 100%, $F$9) + CHOOSE(CONTROL!$C$27, 0.0021, 0)</f>
        <v>117.05759999999999</v>
      </c>
      <c r="J1043" s="14">
        <f>117.0555 * CHOOSE(CONTROL!$C$9, $D$9, 100%, $F$9) + CHOOSE(CONTROL!$C$27, 0.0021, 0)</f>
        <v>117.05759999999999</v>
      </c>
      <c r="K1043" s="14">
        <f>117.0555 * CHOOSE(CONTROL!$C$9, $D$9, 100%, $F$9) + CHOOSE(CONTROL!$C$27, 0.0021, 0)</f>
        <v>117.05759999999999</v>
      </c>
      <c r="L1043" s="14"/>
    </row>
    <row r="1044" spans="1:12" ht="15.75" x14ac:dyDescent="0.25">
      <c r="A1044" s="32">
        <v>72716</v>
      </c>
      <c r="B1044" s="14">
        <f>115.9785 * CHOOSE(CONTROL!$C$9, $D$9, 100%, $F$9) + CHOOSE(CONTROL!$C$27, 0.0021, 0)</f>
        <v>115.9806</v>
      </c>
      <c r="C1044" s="14">
        <f>115.5462 * CHOOSE(CONTROL!$C$9, $D$9, 100%, $F$9) + CHOOSE(CONTROL!$C$27, 0.0021, 0)</f>
        <v>115.5483</v>
      </c>
      <c r="D1044" s="14">
        <f>115.5462 * CHOOSE(CONTROL!$C$9, $D$9, 100%, $F$9) + CHOOSE(CONTROL!$C$27, 0.0021, 0)</f>
        <v>115.5483</v>
      </c>
      <c r="E1044" s="14">
        <f>115.4096 * CHOOSE(CONTROL!$C$9, $D$9, 100%, $F$9) + CHOOSE(CONTROL!$C$27, 0.0021, 0)</f>
        <v>115.4117</v>
      </c>
      <c r="F1044" s="14">
        <f>115.4096 * CHOOSE(CONTROL!$C$9, $D$9, 100%, $F$9) + CHOOSE(CONTROL!$C$27, 0.0021, 0)</f>
        <v>115.4117</v>
      </c>
      <c r="G1044" s="14">
        <f>115.6809 * CHOOSE(CONTROL!$C$9, $D$9, 100%, $F$9) + CHOOSE(CONTROL!$C$27, 0.0021, 0)</f>
        <v>115.68299999999999</v>
      </c>
      <c r="H1044" s="14">
        <f>115.5462 * CHOOSE(CONTROL!$C$9, $D$9, 100%, $F$9) + CHOOSE(CONTROL!$C$27, 0.0021, 0)</f>
        <v>115.5483</v>
      </c>
      <c r="I1044" s="14">
        <f>115.5462 * CHOOSE(CONTROL!$C$9, $D$9, 100%, $F$9) + CHOOSE(CONTROL!$C$27, 0.0021, 0)</f>
        <v>115.5483</v>
      </c>
      <c r="J1044" s="14">
        <f>115.5462 * CHOOSE(CONTROL!$C$9, $D$9, 100%, $F$9) + CHOOSE(CONTROL!$C$27, 0.0021, 0)</f>
        <v>115.5483</v>
      </c>
      <c r="K1044" s="14">
        <f>115.5462 * CHOOSE(CONTROL!$C$9, $D$9, 100%, $F$9) + CHOOSE(CONTROL!$C$27, 0.0021, 0)</f>
        <v>115.5483</v>
      </c>
      <c r="L1044" s="14"/>
    </row>
    <row r="1045" spans="1:12" ht="15.75" x14ac:dyDescent="0.25">
      <c r="A1045" s="32">
        <v>72744</v>
      </c>
      <c r="B1045" s="14">
        <f>112.7628 * CHOOSE(CONTROL!$C$9, $D$9, 100%, $F$9) + CHOOSE(CONTROL!$C$27, 0.0021, 0)</f>
        <v>112.7649</v>
      </c>
      <c r="C1045" s="14">
        <f>112.3306 * CHOOSE(CONTROL!$C$9, $D$9, 100%, $F$9) + CHOOSE(CONTROL!$C$27, 0.0021, 0)</f>
        <v>112.3327</v>
      </c>
      <c r="D1045" s="14">
        <f>112.3306 * CHOOSE(CONTROL!$C$9, $D$9, 100%, $F$9) + CHOOSE(CONTROL!$C$27, 0.0021, 0)</f>
        <v>112.3327</v>
      </c>
      <c r="E1045" s="14">
        <f>112.1939 * CHOOSE(CONTROL!$C$9, $D$9, 100%, $F$9) + CHOOSE(CONTROL!$C$27, 0.0021, 0)</f>
        <v>112.196</v>
      </c>
      <c r="F1045" s="14">
        <f>112.1939 * CHOOSE(CONTROL!$C$9, $D$9, 100%, $F$9) + CHOOSE(CONTROL!$C$27, 0.0021, 0)</f>
        <v>112.196</v>
      </c>
      <c r="G1045" s="14">
        <f>112.4653 * CHOOSE(CONTROL!$C$9, $D$9, 100%, $F$9) + CHOOSE(CONTROL!$C$27, 0.0021, 0)</f>
        <v>112.4674</v>
      </c>
      <c r="H1045" s="14">
        <f>112.3306 * CHOOSE(CONTROL!$C$9, $D$9, 100%, $F$9) + CHOOSE(CONTROL!$C$27, 0.0021, 0)</f>
        <v>112.3327</v>
      </c>
      <c r="I1045" s="14">
        <f>112.3306 * CHOOSE(CONTROL!$C$9, $D$9, 100%, $F$9) + CHOOSE(CONTROL!$C$27, 0.0021, 0)</f>
        <v>112.3327</v>
      </c>
      <c r="J1045" s="14">
        <f>112.3306 * CHOOSE(CONTROL!$C$9, $D$9, 100%, $F$9) + CHOOSE(CONTROL!$C$27, 0.0021, 0)</f>
        <v>112.3327</v>
      </c>
      <c r="K1045" s="14">
        <f>112.3306 * CHOOSE(CONTROL!$C$9, $D$9, 100%, $F$9) + CHOOSE(CONTROL!$C$27, 0.0021, 0)</f>
        <v>112.3327</v>
      </c>
      <c r="L1045" s="14"/>
    </row>
    <row r="1046" spans="1:12" ht="15.75" x14ac:dyDescent="0.25">
      <c r="A1046" s="32">
        <v>72775</v>
      </c>
      <c r="B1046" s="14">
        <f>111.4354 * CHOOSE(CONTROL!$C$9, $D$9, 100%, $F$9) + CHOOSE(CONTROL!$C$27, 0.0021, 0)</f>
        <v>111.4375</v>
      </c>
      <c r="C1046" s="14">
        <f>111.0031 * CHOOSE(CONTROL!$C$9, $D$9, 100%, $F$9) + CHOOSE(CONTROL!$C$27, 0.0021, 0)</f>
        <v>111.0052</v>
      </c>
      <c r="D1046" s="14">
        <f>111.0031 * CHOOSE(CONTROL!$C$9, $D$9, 100%, $F$9) + CHOOSE(CONTROL!$C$27, 0.0021, 0)</f>
        <v>111.0052</v>
      </c>
      <c r="E1046" s="14">
        <f>110.8665 * CHOOSE(CONTROL!$C$9, $D$9, 100%, $F$9) + CHOOSE(CONTROL!$C$27, 0.0021, 0)</f>
        <v>110.8686</v>
      </c>
      <c r="F1046" s="14">
        <f>110.8665 * CHOOSE(CONTROL!$C$9, $D$9, 100%, $F$9) + CHOOSE(CONTROL!$C$27, 0.0021, 0)</f>
        <v>110.8686</v>
      </c>
      <c r="G1046" s="14">
        <f>111.1379 * CHOOSE(CONTROL!$C$9, $D$9, 100%, $F$9) + CHOOSE(CONTROL!$C$27, 0.0021, 0)</f>
        <v>111.14</v>
      </c>
      <c r="H1046" s="14">
        <f>111.0031 * CHOOSE(CONTROL!$C$9, $D$9, 100%, $F$9) + CHOOSE(CONTROL!$C$27, 0.0021, 0)</f>
        <v>111.0052</v>
      </c>
      <c r="I1046" s="14">
        <f>111.0031 * CHOOSE(CONTROL!$C$9, $D$9, 100%, $F$9) + CHOOSE(CONTROL!$C$27, 0.0021, 0)</f>
        <v>111.0052</v>
      </c>
      <c r="J1046" s="14">
        <f>111.0031 * CHOOSE(CONTROL!$C$9, $D$9, 100%, $F$9) + CHOOSE(CONTROL!$C$27, 0.0021, 0)</f>
        <v>111.0052</v>
      </c>
      <c r="K1046" s="14">
        <f>111.0031 * CHOOSE(CONTROL!$C$9, $D$9, 100%, $F$9) + CHOOSE(CONTROL!$C$27, 0.0021, 0)</f>
        <v>111.0052</v>
      </c>
      <c r="L1046" s="14"/>
    </row>
    <row r="1047" spans="1:12" ht="15.75" x14ac:dyDescent="0.25">
      <c r="A1047" s="32">
        <v>72805</v>
      </c>
      <c r="B1047" s="14">
        <f>109.8504 * CHOOSE(CONTROL!$C$9, $D$9, 100%, $F$9) + CHOOSE(CONTROL!$C$27, 0.0021, 0)</f>
        <v>109.85249999999999</v>
      </c>
      <c r="C1047" s="14">
        <f>109.4182 * CHOOSE(CONTROL!$C$9, $D$9, 100%, $F$9) + CHOOSE(CONTROL!$C$27, 0.0021, 0)</f>
        <v>109.4203</v>
      </c>
      <c r="D1047" s="14">
        <f>109.4182 * CHOOSE(CONTROL!$C$9, $D$9, 100%, $F$9) + CHOOSE(CONTROL!$C$27, 0.0021, 0)</f>
        <v>109.4203</v>
      </c>
      <c r="E1047" s="14">
        <f>109.2815 * CHOOSE(CONTROL!$C$9, $D$9, 100%, $F$9) + CHOOSE(CONTROL!$C$27, 0.0021, 0)</f>
        <v>109.28359999999999</v>
      </c>
      <c r="F1047" s="14">
        <f>109.2815 * CHOOSE(CONTROL!$C$9, $D$9, 100%, $F$9) + CHOOSE(CONTROL!$C$27, 0.0021, 0)</f>
        <v>109.28359999999999</v>
      </c>
      <c r="G1047" s="14">
        <f>109.5529 * CHOOSE(CONTROL!$C$9, $D$9, 100%, $F$9) + CHOOSE(CONTROL!$C$27, 0.0021, 0)</f>
        <v>109.55499999999999</v>
      </c>
      <c r="H1047" s="14">
        <f>109.4182 * CHOOSE(CONTROL!$C$9, $D$9, 100%, $F$9) + CHOOSE(CONTROL!$C$27, 0.0021, 0)</f>
        <v>109.4203</v>
      </c>
      <c r="I1047" s="14">
        <f>109.4182 * CHOOSE(CONTROL!$C$9, $D$9, 100%, $F$9) + CHOOSE(CONTROL!$C$27, 0.0021, 0)</f>
        <v>109.4203</v>
      </c>
      <c r="J1047" s="14">
        <f>109.4182 * CHOOSE(CONTROL!$C$9, $D$9, 100%, $F$9) + CHOOSE(CONTROL!$C$27, 0.0021, 0)</f>
        <v>109.4203</v>
      </c>
      <c r="K1047" s="14">
        <f>109.4182 * CHOOSE(CONTROL!$C$9, $D$9, 100%, $F$9) + CHOOSE(CONTROL!$C$27, 0.0021, 0)</f>
        <v>109.4203</v>
      </c>
      <c r="L1047" s="14"/>
    </row>
    <row r="1048" spans="1:12" ht="15.75" x14ac:dyDescent="0.25">
      <c r="A1048" s="32">
        <v>72836</v>
      </c>
      <c r="B1048" s="14">
        <f>112.1092 * CHOOSE(CONTROL!$C$9, $D$9, 100%, $F$9) + CHOOSE(CONTROL!$C$27, 0.0021, 0)</f>
        <v>112.1113</v>
      </c>
      <c r="C1048" s="14">
        <f>111.6769 * CHOOSE(CONTROL!$C$9, $D$9, 100%, $F$9) + CHOOSE(CONTROL!$C$27, 0.0021, 0)</f>
        <v>111.679</v>
      </c>
      <c r="D1048" s="14">
        <f>111.6769 * CHOOSE(CONTROL!$C$9, $D$9, 100%, $F$9) + CHOOSE(CONTROL!$C$27, 0.0021, 0)</f>
        <v>111.679</v>
      </c>
      <c r="E1048" s="14">
        <f>111.5403 * CHOOSE(CONTROL!$C$9, $D$9, 100%, $F$9) + CHOOSE(CONTROL!$C$27, 0.0021, 0)</f>
        <v>111.5424</v>
      </c>
      <c r="F1048" s="14">
        <f>111.5403 * CHOOSE(CONTROL!$C$9, $D$9, 100%, $F$9) + CHOOSE(CONTROL!$C$27, 0.0021, 0)</f>
        <v>111.5424</v>
      </c>
      <c r="G1048" s="14">
        <f>111.8117 * CHOOSE(CONTROL!$C$9, $D$9, 100%, $F$9) + CHOOSE(CONTROL!$C$27, 0.0021, 0)</f>
        <v>111.8138</v>
      </c>
      <c r="H1048" s="14">
        <f>111.6769 * CHOOSE(CONTROL!$C$9, $D$9, 100%, $F$9) + CHOOSE(CONTROL!$C$27, 0.0021, 0)</f>
        <v>111.679</v>
      </c>
      <c r="I1048" s="14">
        <f>111.6769 * CHOOSE(CONTROL!$C$9, $D$9, 100%, $F$9) + CHOOSE(CONTROL!$C$27, 0.0021, 0)</f>
        <v>111.679</v>
      </c>
      <c r="J1048" s="14">
        <f>111.6769 * CHOOSE(CONTROL!$C$9, $D$9, 100%, $F$9) + CHOOSE(CONTROL!$C$27, 0.0021, 0)</f>
        <v>111.679</v>
      </c>
      <c r="K1048" s="14">
        <f>111.6769 * CHOOSE(CONTROL!$C$9, $D$9, 100%, $F$9) + CHOOSE(CONTROL!$C$27, 0.0021, 0)</f>
        <v>111.679</v>
      </c>
      <c r="L1048" s="14"/>
    </row>
    <row r="1049" spans="1:12" ht="15.75" x14ac:dyDescent="0.25">
      <c r="A1049" s="32">
        <v>72866</v>
      </c>
      <c r="B1049" s="14">
        <f>113.4621 * CHOOSE(CONTROL!$C$9, $D$9, 100%, $F$9) + CHOOSE(CONTROL!$C$27, 0.0021, 0)</f>
        <v>113.46420000000001</v>
      </c>
      <c r="C1049" s="14">
        <f>113.0298 * CHOOSE(CONTROL!$C$9, $D$9, 100%, $F$9) + CHOOSE(CONTROL!$C$27, 0.0021, 0)</f>
        <v>113.03189999999999</v>
      </c>
      <c r="D1049" s="14">
        <f>113.0298 * CHOOSE(CONTROL!$C$9, $D$9, 100%, $F$9) + CHOOSE(CONTROL!$C$27, 0.0021, 0)</f>
        <v>113.03189999999999</v>
      </c>
      <c r="E1049" s="14">
        <f>112.8932 * CHOOSE(CONTROL!$C$9, $D$9, 100%, $F$9) + CHOOSE(CONTROL!$C$27, 0.0021, 0)</f>
        <v>112.89529999999999</v>
      </c>
      <c r="F1049" s="14">
        <f>112.8932 * CHOOSE(CONTROL!$C$9, $D$9, 100%, $F$9) + CHOOSE(CONTROL!$C$27, 0.0021, 0)</f>
        <v>112.89529999999999</v>
      </c>
      <c r="G1049" s="14">
        <f>113.1646 * CHOOSE(CONTROL!$C$9, $D$9, 100%, $F$9) + CHOOSE(CONTROL!$C$27, 0.0021, 0)</f>
        <v>113.16669999999999</v>
      </c>
      <c r="H1049" s="14">
        <f>113.0298 * CHOOSE(CONTROL!$C$9, $D$9, 100%, $F$9) + CHOOSE(CONTROL!$C$27, 0.0021, 0)</f>
        <v>113.03189999999999</v>
      </c>
      <c r="I1049" s="14">
        <f>113.0298 * CHOOSE(CONTROL!$C$9, $D$9, 100%, $F$9) + CHOOSE(CONTROL!$C$27, 0.0021, 0)</f>
        <v>113.03189999999999</v>
      </c>
      <c r="J1049" s="14">
        <f>113.0298 * CHOOSE(CONTROL!$C$9, $D$9, 100%, $F$9) + CHOOSE(CONTROL!$C$27, 0.0021, 0)</f>
        <v>113.03189999999999</v>
      </c>
      <c r="K1049" s="14">
        <f>113.0298 * CHOOSE(CONTROL!$C$9, $D$9, 100%, $F$9) + CHOOSE(CONTROL!$C$27, 0.0021, 0)</f>
        <v>113.03189999999999</v>
      </c>
      <c r="L1049" s="14"/>
    </row>
    <row r="1050" spans="1:12" ht="15.75" x14ac:dyDescent="0.25">
      <c r="A1050" s="32">
        <v>72897</v>
      </c>
      <c r="B1050" s="14">
        <f>115.6939 * CHOOSE(CONTROL!$C$9, $D$9, 100%, $F$9) + CHOOSE(CONTROL!$C$27, 0.0021, 0)</f>
        <v>115.696</v>
      </c>
      <c r="C1050" s="14">
        <f>115.2617 * CHOOSE(CONTROL!$C$9, $D$9, 100%, $F$9) + CHOOSE(CONTROL!$C$27, 0.0021, 0)</f>
        <v>115.2638</v>
      </c>
      <c r="D1050" s="14">
        <f>115.2617 * CHOOSE(CONTROL!$C$9, $D$9, 100%, $F$9) + CHOOSE(CONTROL!$C$27, 0.0021, 0)</f>
        <v>115.2638</v>
      </c>
      <c r="E1050" s="14">
        <f>115.125 * CHOOSE(CONTROL!$C$9, $D$9, 100%, $F$9) + CHOOSE(CONTROL!$C$27, 0.0021, 0)</f>
        <v>115.1271</v>
      </c>
      <c r="F1050" s="14">
        <f>115.125 * CHOOSE(CONTROL!$C$9, $D$9, 100%, $F$9) + CHOOSE(CONTROL!$C$27, 0.0021, 0)</f>
        <v>115.1271</v>
      </c>
      <c r="G1050" s="14">
        <f>115.3964 * CHOOSE(CONTROL!$C$9, $D$9, 100%, $F$9) + CHOOSE(CONTROL!$C$27, 0.0021, 0)</f>
        <v>115.3985</v>
      </c>
      <c r="H1050" s="14">
        <f>115.2617 * CHOOSE(CONTROL!$C$9, $D$9, 100%, $F$9) + CHOOSE(CONTROL!$C$27, 0.0021, 0)</f>
        <v>115.2638</v>
      </c>
      <c r="I1050" s="14">
        <f>115.2617 * CHOOSE(CONTROL!$C$9, $D$9, 100%, $F$9) + CHOOSE(CONTROL!$C$27, 0.0021, 0)</f>
        <v>115.2638</v>
      </c>
      <c r="J1050" s="14">
        <f>115.2617 * CHOOSE(CONTROL!$C$9, $D$9, 100%, $F$9) + CHOOSE(CONTROL!$C$27, 0.0021, 0)</f>
        <v>115.2638</v>
      </c>
      <c r="K1050" s="14">
        <f>115.2617 * CHOOSE(CONTROL!$C$9, $D$9, 100%, $F$9) + CHOOSE(CONTROL!$C$27, 0.0021, 0)</f>
        <v>115.2638</v>
      </c>
      <c r="L1050" s="14"/>
    </row>
    <row r="1051" spans="1:12" ht="15.75" x14ac:dyDescent="0.25">
      <c r="A1051" s="32">
        <v>72928</v>
      </c>
      <c r="B1051" s="14">
        <f>116.3751 * CHOOSE(CONTROL!$C$9, $D$9, 100%, $F$9) + CHOOSE(CONTROL!$C$27, 0.0021, 0)</f>
        <v>116.3772</v>
      </c>
      <c r="C1051" s="14">
        <f>115.9429 * CHOOSE(CONTROL!$C$9, $D$9, 100%, $F$9) + CHOOSE(CONTROL!$C$27, 0.0021, 0)</f>
        <v>115.94499999999999</v>
      </c>
      <c r="D1051" s="14">
        <f>115.9429 * CHOOSE(CONTROL!$C$9, $D$9, 100%, $F$9) + CHOOSE(CONTROL!$C$27, 0.0021, 0)</f>
        <v>115.94499999999999</v>
      </c>
      <c r="E1051" s="14">
        <f>115.8062 * CHOOSE(CONTROL!$C$9, $D$9, 100%, $F$9) + CHOOSE(CONTROL!$C$27, 0.0021, 0)</f>
        <v>115.8083</v>
      </c>
      <c r="F1051" s="14">
        <f>115.8062 * CHOOSE(CONTROL!$C$9, $D$9, 100%, $F$9) + CHOOSE(CONTROL!$C$27, 0.0021, 0)</f>
        <v>115.8083</v>
      </c>
      <c r="G1051" s="14">
        <f>116.0776 * CHOOSE(CONTROL!$C$9, $D$9, 100%, $F$9) + CHOOSE(CONTROL!$C$27, 0.0021, 0)</f>
        <v>116.0797</v>
      </c>
      <c r="H1051" s="14">
        <f>115.9429 * CHOOSE(CONTROL!$C$9, $D$9, 100%, $F$9) + CHOOSE(CONTROL!$C$27, 0.0021, 0)</f>
        <v>115.94499999999999</v>
      </c>
      <c r="I1051" s="14">
        <f>115.9429 * CHOOSE(CONTROL!$C$9, $D$9, 100%, $F$9) + CHOOSE(CONTROL!$C$27, 0.0021, 0)</f>
        <v>115.94499999999999</v>
      </c>
      <c r="J1051" s="14">
        <f>115.9429 * CHOOSE(CONTROL!$C$9, $D$9, 100%, $F$9) + CHOOSE(CONTROL!$C$27, 0.0021, 0)</f>
        <v>115.94499999999999</v>
      </c>
      <c r="K1051" s="14">
        <f>115.9429 * CHOOSE(CONTROL!$C$9, $D$9, 100%, $F$9) + CHOOSE(CONTROL!$C$27, 0.0021, 0)</f>
        <v>115.94499999999999</v>
      </c>
      <c r="L1051" s="14"/>
    </row>
    <row r="1052" spans="1:12" ht="15.75" x14ac:dyDescent="0.25">
      <c r="A1052" s="32">
        <v>72958</v>
      </c>
      <c r="B1052" s="14">
        <f>118.695 * CHOOSE(CONTROL!$C$9, $D$9, 100%, $F$9) + CHOOSE(CONTROL!$C$27, 0.0021, 0)</f>
        <v>118.69709999999999</v>
      </c>
      <c r="C1052" s="14">
        <f>118.2627 * CHOOSE(CONTROL!$C$9, $D$9, 100%, $F$9) + CHOOSE(CONTROL!$C$27, 0.0021, 0)</f>
        <v>118.26479999999999</v>
      </c>
      <c r="D1052" s="14">
        <f>118.2627 * CHOOSE(CONTROL!$C$9, $D$9, 100%, $F$9) + CHOOSE(CONTROL!$C$27, 0.0021, 0)</f>
        <v>118.26479999999999</v>
      </c>
      <c r="E1052" s="14">
        <f>118.1261 * CHOOSE(CONTROL!$C$9, $D$9, 100%, $F$9) + CHOOSE(CONTROL!$C$27, 0.0021, 0)</f>
        <v>118.12819999999999</v>
      </c>
      <c r="F1052" s="14">
        <f>118.1261 * CHOOSE(CONTROL!$C$9, $D$9, 100%, $F$9) + CHOOSE(CONTROL!$C$27, 0.0021, 0)</f>
        <v>118.12819999999999</v>
      </c>
      <c r="G1052" s="14">
        <f>118.3975 * CHOOSE(CONTROL!$C$9, $D$9, 100%, $F$9) + CHOOSE(CONTROL!$C$27, 0.0021, 0)</f>
        <v>118.39959999999999</v>
      </c>
      <c r="H1052" s="14">
        <f>118.2627 * CHOOSE(CONTROL!$C$9, $D$9, 100%, $F$9) + CHOOSE(CONTROL!$C$27, 0.0021, 0)</f>
        <v>118.26479999999999</v>
      </c>
      <c r="I1052" s="14">
        <f>118.2627 * CHOOSE(CONTROL!$C$9, $D$9, 100%, $F$9) + CHOOSE(CONTROL!$C$27, 0.0021, 0)</f>
        <v>118.26479999999999</v>
      </c>
      <c r="J1052" s="14">
        <f>118.2627 * CHOOSE(CONTROL!$C$9, $D$9, 100%, $F$9) + CHOOSE(CONTROL!$C$27, 0.0021, 0)</f>
        <v>118.26479999999999</v>
      </c>
      <c r="K1052" s="14">
        <f>118.2627 * CHOOSE(CONTROL!$C$9, $D$9, 100%, $F$9) + CHOOSE(CONTROL!$C$27, 0.0021, 0)</f>
        <v>118.26479999999999</v>
      </c>
      <c r="L1052" s="14"/>
    </row>
    <row r="1053" spans="1:12" ht="15.75" x14ac:dyDescent="0.25">
      <c r="A1053" s="32">
        <v>72989</v>
      </c>
      <c r="B1053" s="14">
        <f>121.6315 * CHOOSE(CONTROL!$C$9, $D$9, 100%, $F$9) + CHOOSE(CONTROL!$C$27, 0.0021, 0)</f>
        <v>121.6336</v>
      </c>
      <c r="C1053" s="14">
        <f>121.1993 * CHOOSE(CONTROL!$C$9, $D$9, 100%, $F$9) + CHOOSE(CONTROL!$C$27, 0.0021, 0)</f>
        <v>121.20139999999999</v>
      </c>
      <c r="D1053" s="14">
        <f>121.1993 * CHOOSE(CONTROL!$C$9, $D$9, 100%, $F$9) + CHOOSE(CONTROL!$C$27, 0.0021, 0)</f>
        <v>121.20139999999999</v>
      </c>
      <c r="E1053" s="14">
        <f>121.0626 * CHOOSE(CONTROL!$C$9, $D$9, 100%, $F$9) + CHOOSE(CONTROL!$C$27, 0.0021, 0)</f>
        <v>121.0647</v>
      </c>
      <c r="F1053" s="14">
        <f>121.0626 * CHOOSE(CONTROL!$C$9, $D$9, 100%, $F$9) + CHOOSE(CONTROL!$C$27, 0.0021, 0)</f>
        <v>121.0647</v>
      </c>
      <c r="G1053" s="14">
        <f>121.334 * CHOOSE(CONTROL!$C$9, $D$9, 100%, $F$9) + CHOOSE(CONTROL!$C$27, 0.0021, 0)</f>
        <v>121.3361</v>
      </c>
      <c r="H1053" s="14">
        <f>121.1993 * CHOOSE(CONTROL!$C$9, $D$9, 100%, $F$9) + CHOOSE(CONTROL!$C$27, 0.0021, 0)</f>
        <v>121.20139999999999</v>
      </c>
      <c r="I1053" s="14">
        <f>121.1993 * CHOOSE(CONTROL!$C$9, $D$9, 100%, $F$9) + CHOOSE(CONTROL!$C$27, 0.0021, 0)</f>
        <v>121.20139999999999</v>
      </c>
      <c r="J1053" s="14">
        <f>121.1993 * CHOOSE(CONTROL!$C$9, $D$9, 100%, $F$9) + CHOOSE(CONTROL!$C$27, 0.0021, 0)</f>
        <v>121.20139999999999</v>
      </c>
      <c r="K1053" s="14">
        <f>121.1993 * CHOOSE(CONTROL!$C$9, $D$9, 100%, $F$9) + CHOOSE(CONTROL!$C$27, 0.0021, 0)</f>
        <v>121.20139999999999</v>
      </c>
      <c r="L1053" s="14"/>
    </row>
    <row r="1054" spans="1:12" ht="15.75" x14ac:dyDescent="0.25">
      <c r="A1054" s="32">
        <v>73019</v>
      </c>
      <c r="B1054" s="14">
        <f>121.9072 * CHOOSE(CONTROL!$C$9, $D$9, 100%, $F$9) + CHOOSE(CONTROL!$C$27, 0.0021, 0)</f>
        <v>121.9093</v>
      </c>
      <c r="C1054" s="14">
        <f>121.475 * CHOOSE(CONTROL!$C$9, $D$9, 100%, $F$9) + CHOOSE(CONTROL!$C$27, 0.0021, 0)</f>
        <v>121.47709999999999</v>
      </c>
      <c r="D1054" s="14">
        <f>121.475 * CHOOSE(CONTROL!$C$9, $D$9, 100%, $F$9) + CHOOSE(CONTROL!$C$27, 0.0021, 0)</f>
        <v>121.47709999999999</v>
      </c>
      <c r="E1054" s="14">
        <f>121.3383 * CHOOSE(CONTROL!$C$9, $D$9, 100%, $F$9) + CHOOSE(CONTROL!$C$27, 0.0021, 0)</f>
        <v>121.3404</v>
      </c>
      <c r="F1054" s="14">
        <f>121.3383 * CHOOSE(CONTROL!$C$9, $D$9, 100%, $F$9) + CHOOSE(CONTROL!$C$27, 0.0021, 0)</f>
        <v>121.3404</v>
      </c>
      <c r="G1054" s="14">
        <f>121.6097 * CHOOSE(CONTROL!$C$9, $D$9, 100%, $F$9) + CHOOSE(CONTROL!$C$27, 0.0021, 0)</f>
        <v>121.6118</v>
      </c>
      <c r="H1054" s="14">
        <f>121.475 * CHOOSE(CONTROL!$C$9, $D$9, 100%, $F$9) + CHOOSE(CONTROL!$C$27, 0.0021, 0)</f>
        <v>121.47709999999999</v>
      </c>
      <c r="I1054" s="14">
        <f>121.475 * CHOOSE(CONTROL!$C$9, $D$9, 100%, $F$9) + CHOOSE(CONTROL!$C$27, 0.0021, 0)</f>
        <v>121.47709999999999</v>
      </c>
      <c r="J1054" s="14">
        <f>121.475 * CHOOSE(CONTROL!$C$9, $D$9, 100%, $F$9) + CHOOSE(CONTROL!$C$27, 0.0021, 0)</f>
        <v>121.47709999999999</v>
      </c>
      <c r="K1054" s="14">
        <f>121.475 * CHOOSE(CONTROL!$C$9, $D$9, 100%, $F$9) + CHOOSE(CONTROL!$C$27, 0.0021, 0)</f>
        <v>121.47709999999999</v>
      </c>
      <c r="L1054" s="14"/>
    </row>
    <row r="1055" spans="1:12" ht="15.75" x14ac:dyDescent="0.25">
      <c r="A1055" s="32">
        <v>73050</v>
      </c>
      <c r="B1055" s="14">
        <f>119.5619 * CHOOSE(CONTROL!$C$9, $D$9, 100%, $F$9) + CHOOSE(CONTROL!$C$27, 0.0021, 0)</f>
        <v>119.56399999999999</v>
      </c>
      <c r="C1055" s="14">
        <f>119.1296 * CHOOSE(CONTROL!$C$9, $D$9, 100%, $F$9) + CHOOSE(CONTROL!$C$27, 0.0021, 0)</f>
        <v>119.1317</v>
      </c>
      <c r="D1055" s="14">
        <f>119.1296 * CHOOSE(CONTROL!$C$9, $D$9, 100%, $F$9) + CHOOSE(CONTROL!$C$27, 0.0021, 0)</f>
        <v>119.1317</v>
      </c>
      <c r="E1055" s="14">
        <f>118.9929 * CHOOSE(CONTROL!$C$9, $D$9, 100%, $F$9) + CHOOSE(CONTROL!$C$27, 0.0021, 0)</f>
        <v>118.995</v>
      </c>
      <c r="F1055" s="14">
        <f>118.9929 * CHOOSE(CONTROL!$C$9, $D$9, 100%, $F$9) + CHOOSE(CONTROL!$C$27, 0.0021, 0)</f>
        <v>118.995</v>
      </c>
      <c r="G1055" s="14">
        <f>119.2643 * CHOOSE(CONTROL!$C$9, $D$9, 100%, $F$9) + CHOOSE(CONTROL!$C$27, 0.0021, 0)</f>
        <v>119.2664</v>
      </c>
      <c r="H1055" s="14">
        <f>119.1296 * CHOOSE(CONTROL!$C$9, $D$9, 100%, $F$9) + CHOOSE(CONTROL!$C$27, 0.0021, 0)</f>
        <v>119.1317</v>
      </c>
      <c r="I1055" s="14">
        <f>119.1296 * CHOOSE(CONTROL!$C$9, $D$9, 100%, $F$9) + CHOOSE(CONTROL!$C$27, 0.0021, 0)</f>
        <v>119.1317</v>
      </c>
      <c r="J1055" s="14">
        <f>119.1296 * CHOOSE(CONTROL!$C$9, $D$9, 100%, $F$9) + CHOOSE(CONTROL!$C$27, 0.0021, 0)</f>
        <v>119.1317</v>
      </c>
      <c r="K1055" s="14">
        <f>119.1296 * CHOOSE(CONTROL!$C$9, $D$9, 100%, $F$9) + CHOOSE(CONTROL!$C$27, 0.0021, 0)</f>
        <v>119.1317</v>
      </c>
      <c r="L1055" s="14"/>
    </row>
    <row r="1056" spans="1:12" ht="15.75" x14ac:dyDescent="0.25">
      <c r="A1056" s="32">
        <v>73081</v>
      </c>
      <c r="B1056" s="14">
        <f>118.0254 * CHOOSE(CONTROL!$C$9, $D$9, 100%, $F$9) + CHOOSE(CONTROL!$C$27, 0.0021, 0)</f>
        <v>118.0275</v>
      </c>
      <c r="C1056" s="14">
        <f>117.5931 * CHOOSE(CONTROL!$C$9, $D$9, 100%, $F$9) + CHOOSE(CONTROL!$C$27, 0.0021, 0)</f>
        <v>117.59520000000001</v>
      </c>
      <c r="D1056" s="14">
        <f>117.5931 * CHOOSE(CONTROL!$C$9, $D$9, 100%, $F$9) + CHOOSE(CONTROL!$C$27, 0.0021, 0)</f>
        <v>117.59520000000001</v>
      </c>
      <c r="E1056" s="14">
        <f>117.4565 * CHOOSE(CONTROL!$C$9, $D$9, 100%, $F$9) + CHOOSE(CONTROL!$C$27, 0.0021, 0)</f>
        <v>117.4586</v>
      </c>
      <c r="F1056" s="14">
        <f>117.4565 * CHOOSE(CONTROL!$C$9, $D$9, 100%, $F$9) + CHOOSE(CONTROL!$C$27, 0.0021, 0)</f>
        <v>117.4586</v>
      </c>
      <c r="G1056" s="14">
        <f>117.7278 * CHOOSE(CONTROL!$C$9, $D$9, 100%, $F$9) + CHOOSE(CONTROL!$C$27, 0.0021, 0)</f>
        <v>117.7299</v>
      </c>
      <c r="H1056" s="14">
        <f>117.5931 * CHOOSE(CONTROL!$C$9, $D$9, 100%, $F$9) + CHOOSE(CONTROL!$C$27, 0.0021, 0)</f>
        <v>117.59520000000001</v>
      </c>
      <c r="I1056" s="14">
        <f>117.5931 * CHOOSE(CONTROL!$C$9, $D$9, 100%, $F$9) + CHOOSE(CONTROL!$C$27, 0.0021, 0)</f>
        <v>117.59520000000001</v>
      </c>
      <c r="J1056" s="14">
        <f>117.5931 * CHOOSE(CONTROL!$C$9, $D$9, 100%, $F$9) + CHOOSE(CONTROL!$C$27, 0.0021, 0)</f>
        <v>117.59520000000001</v>
      </c>
      <c r="K1056" s="14">
        <f>117.5931 * CHOOSE(CONTROL!$C$9, $D$9, 100%, $F$9) + CHOOSE(CONTROL!$C$27, 0.0021, 0)</f>
        <v>117.59520000000001</v>
      </c>
      <c r="L1056" s="14"/>
    </row>
    <row r="1057" spans="1:12" ht="15.75" x14ac:dyDescent="0.25">
      <c r="A1057" s="32">
        <v>73109</v>
      </c>
      <c r="B1057" s="14">
        <f>114.7518 * CHOOSE(CONTROL!$C$9, $D$9, 100%, $F$9) + CHOOSE(CONTROL!$C$27, 0.0021, 0)</f>
        <v>114.7539</v>
      </c>
      <c r="C1057" s="14">
        <f>114.3196 * CHOOSE(CONTROL!$C$9, $D$9, 100%, $F$9) + CHOOSE(CONTROL!$C$27, 0.0021, 0)</f>
        <v>114.32169999999999</v>
      </c>
      <c r="D1057" s="14">
        <f>114.3196 * CHOOSE(CONTROL!$C$9, $D$9, 100%, $F$9) + CHOOSE(CONTROL!$C$27, 0.0021, 0)</f>
        <v>114.32169999999999</v>
      </c>
      <c r="E1057" s="14">
        <f>114.1829 * CHOOSE(CONTROL!$C$9, $D$9, 100%, $F$9) + CHOOSE(CONTROL!$C$27, 0.0021, 0)</f>
        <v>114.185</v>
      </c>
      <c r="F1057" s="14">
        <f>114.1829 * CHOOSE(CONTROL!$C$9, $D$9, 100%, $F$9) + CHOOSE(CONTROL!$C$27, 0.0021, 0)</f>
        <v>114.185</v>
      </c>
      <c r="G1057" s="14">
        <f>114.4543 * CHOOSE(CONTROL!$C$9, $D$9, 100%, $F$9) + CHOOSE(CONTROL!$C$27, 0.0021, 0)</f>
        <v>114.4564</v>
      </c>
      <c r="H1057" s="14">
        <f>114.3196 * CHOOSE(CONTROL!$C$9, $D$9, 100%, $F$9) + CHOOSE(CONTROL!$C$27, 0.0021, 0)</f>
        <v>114.32169999999999</v>
      </c>
      <c r="I1057" s="14">
        <f>114.3196 * CHOOSE(CONTROL!$C$9, $D$9, 100%, $F$9) + CHOOSE(CONTROL!$C$27, 0.0021, 0)</f>
        <v>114.32169999999999</v>
      </c>
      <c r="J1057" s="14">
        <f>114.3196 * CHOOSE(CONTROL!$C$9, $D$9, 100%, $F$9) + CHOOSE(CONTROL!$C$27, 0.0021, 0)</f>
        <v>114.32169999999999</v>
      </c>
      <c r="K1057" s="14">
        <f>114.3196 * CHOOSE(CONTROL!$C$9, $D$9, 100%, $F$9) + CHOOSE(CONTROL!$C$27, 0.0021, 0)</f>
        <v>114.32169999999999</v>
      </c>
      <c r="L1057" s="14"/>
    </row>
    <row r="1058" spans="1:12" ht="15.75" x14ac:dyDescent="0.25">
      <c r="A1058" s="32">
        <v>73140</v>
      </c>
      <c r="B1058" s="14">
        <f>113.4005 * CHOOSE(CONTROL!$C$9, $D$9, 100%, $F$9) + CHOOSE(CONTROL!$C$27, 0.0021, 0)</f>
        <v>113.40259999999999</v>
      </c>
      <c r="C1058" s="14">
        <f>112.9682 * CHOOSE(CONTROL!$C$9, $D$9, 100%, $F$9) + CHOOSE(CONTROL!$C$27, 0.0021, 0)</f>
        <v>112.97029999999999</v>
      </c>
      <c r="D1058" s="14">
        <f>112.9682 * CHOOSE(CONTROL!$C$9, $D$9, 100%, $F$9) + CHOOSE(CONTROL!$C$27, 0.0021, 0)</f>
        <v>112.97029999999999</v>
      </c>
      <c r="E1058" s="14">
        <f>112.8316 * CHOOSE(CONTROL!$C$9, $D$9, 100%, $F$9) + CHOOSE(CONTROL!$C$27, 0.0021, 0)</f>
        <v>112.83369999999999</v>
      </c>
      <c r="F1058" s="14">
        <f>112.8316 * CHOOSE(CONTROL!$C$9, $D$9, 100%, $F$9) + CHOOSE(CONTROL!$C$27, 0.0021, 0)</f>
        <v>112.83369999999999</v>
      </c>
      <c r="G1058" s="14">
        <f>113.103 * CHOOSE(CONTROL!$C$9, $D$9, 100%, $F$9) + CHOOSE(CONTROL!$C$27, 0.0021, 0)</f>
        <v>113.10509999999999</v>
      </c>
      <c r="H1058" s="14">
        <f>112.9682 * CHOOSE(CONTROL!$C$9, $D$9, 100%, $F$9) + CHOOSE(CONTROL!$C$27, 0.0021, 0)</f>
        <v>112.97029999999999</v>
      </c>
      <c r="I1058" s="14">
        <f>112.9682 * CHOOSE(CONTROL!$C$9, $D$9, 100%, $F$9) + CHOOSE(CONTROL!$C$27, 0.0021, 0)</f>
        <v>112.97029999999999</v>
      </c>
      <c r="J1058" s="14">
        <f>112.9682 * CHOOSE(CONTROL!$C$9, $D$9, 100%, $F$9) + CHOOSE(CONTROL!$C$27, 0.0021, 0)</f>
        <v>112.97029999999999</v>
      </c>
      <c r="K1058" s="14">
        <f>112.9682 * CHOOSE(CONTROL!$C$9, $D$9, 100%, $F$9) + CHOOSE(CONTROL!$C$27, 0.0021, 0)</f>
        <v>112.97029999999999</v>
      </c>
      <c r="L1058" s="14"/>
    </row>
    <row r="1059" spans="1:12" ht="15.75" x14ac:dyDescent="0.25">
      <c r="A1059" s="32">
        <v>73170</v>
      </c>
      <c r="B1059" s="14">
        <f>111.787 * CHOOSE(CONTROL!$C$9, $D$9, 100%, $F$9) + CHOOSE(CONTROL!$C$27, 0.0021, 0)</f>
        <v>111.7891</v>
      </c>
      <c r="C1059" s="14">
        <f>111.3547 * CHOOSE(CONTROL!$C$9, $D$9, 100%, $F$9) + CHOOSE(CONTROL!$C$27, 0.0021, 0)</f>
        <v>111.35679999999999</v>
      </c>
      <c r="D1059" s="14">
        <f>111.3547 * CHOOSE(CONTROL!$C$9, $D$9, 100%, $F$9) + CHOOSE(CONTROL!$C$27, 0.0021, 0)</f>
        <v>111.35679999999999</v>
      </c>
      <c r="E1059" s="14">
        <f>111.2181 * CHOOSE(CONTROL!$C$9, $D$9, 100%, $F$9) + CHOOSE(CONTROL!$C$27, 0.0021, 0)</f>
        <v>111.22020000000001</v>
      </c>
      <c r="F1059" s="14">
        <f>111.2181 * CHOOSE(CONTROL!$C$9, $D$9, 100%, $F$9) + CHOOSE(CONTROL!$C$27, 0.0021, 0)</f>
        <v>111.22020000000001</v>
      </c>
      <c r="G1059" s="14">
        <f>111.4895 * CHOOSE(CONTROL!$C$9, $D$9, 100%, $F$9) + CHOOSE(CONTROL!$C$27, 0.0021, 0)</f>
        <v>111.49160000000001</v>
      </c>
      <c r="H1059" s="14">
        <f>111.3547 * CHOOSE(CONTROL!$C$9, $D$9, 100%, $F$9) + CHOOSE(CONTROL!$C$27, 0.0021, 0)</f>
        <v>111.35679999999999</v>
      </c>
      <c r="I1059" s="14">
        <f>111.3547 * CHOOSE(CONTROL!$C$9, $D$9, 100%, $F$9) + CHOOSE(CONTROL!$C$27, 0.0021, 0)</f>
        <v>111.35679999999999</v>
      </c>
      <c r="J1059" s="14">
        <f>111.3547 * CHOOSE(CONTROL!$C$9, $D$9, 100%, $F$9) + CHOOSE(CONTROL!$C$27, 0.0021, 0)</f>
        <v>111.35679999999999</v>
      </c>
      <c r="K1059" s="14">
        <f>111.3547 * CHOOSE(CONTROL!$C$9, $D$9, 100%, $F$9) + CHOOSE(CONTROL!$C$27, 0.0021, 0)</f>
        <v>111.35679999999999</v>
      </c>
      <c r="L1059" s="14"/>
    </row>
    <row r="1060" spans="1:12" ht="15.75" x14ac:dyDescent="0.25">
      <c r="A1060" s="32">
        <v>73201</v>
      </c>
      <c r="B1060" s="14">
        <f>114.0864 * CHOOSE(CONTROL!$C$9, $D$9, 100%, $F$9) + CHOOSE(CONTROL!$C$27, 0.0021, 0)</f>
        <v>114.0885</v>
      </c>
      <c r="C1060" s="14">
        <f>113.6542 * CHOOSE(CONTROL!$C$9, $D$9, 100%, $F$9) + CHOOSE(CONTROL!$C$27, 0.0021, 0)</f>
        <v>113.6563</v>
      </c>
      <c r="D1060" s="14">
        <f>113.6542 * CHOOSE(CONTROL!$C$9, $D$9, 100%, $F$9) + CHOOSE(CONTROL!$C$27, 0.0021, 0)</f>
        <v>113.6563</v>
      </c>
      <c r="E1060" s="14">
        <f>113.5175 * CHOOSE(CONTROL!$C$9, $D$9, 100%, $F$9) + CHOOSE(CONTROL!$C$27, 0.0021, 0)</f>
        <v>113.5196</v>
      </c>
      <c r="F1060" s="14">
        <f>113.5175 * CHOOSE(CONTROL!$C$9, $D$9, 100%, $F$9) + CHOOSE(CONTROL!$C$27, 0.0021, 0)</f>
        <v>113.5196</v>
      </c>
      <c r="G1060" s="14">
        <f>113.7889 * CHOOSE(CONTROL!$C$9, $D$9, 100%, $F$9) + CHOOSE(CONTROL!$C$27, 0.0021, 0)</f>
        <v>113.791</v>
      </c>
      <c r="H1060" s="14">
        <f>113.6542 * CHOOSE(CONTROL!$C$9, $D$9, 100%, $F$9) + CHOOSE(CONTROL!$C$27, 0.0021, 0)</f>
        <v>113.6563</v>
      </c>
      <c r="I1060" s="14">
        <f>113.6542 * CHOOSE(CONTROL!$C$9, $D$9, 100%, $F$9) + CHOOSE(CONTROL!$C$27, 0.0021, 0)</f>
        <v>113.6563</v>
      </c>
      <c r="J1060" s="14">
        <f>113.6542 * CHOOSE(CONTROL!$C$9, $D$9, 100%, $F$9) + CHOOSE(CONTROL!$C$27, 0.0021, 0)</f>
        <v>113.6563</v>
      </c>
      <c r="K1060" s="14">
        <f>113.6542 * CHOOSE(CONTROL!$C$9, $D$9, 100%, $F$9) + CHOOSE(CONTROL!$C$27, 0.0021, 0)</f>
        <v>113.6563</v>
      </c>
      <c r="L1060" s="14"/>
    </row>
    <row r="1061" spans="1:12" ht="15.75" x14ac:dyDescent="0.25">
      <c r="A1061" s="32">
        <v>73231</v>
      </c>
      <c r="B1061" s="14">
        <f>115.4637 * CHOOSE(CONTROL!$C$9, $D$9, 100%, $F$9) + CHOOSE(CONTROL!$C$27, 0.0021, 0)</f>
        <v>115.4658</v>
      </c>
      <c r="C1061" s="14">
        <f>115.0314 * CHOOSE(CONTROL!$C$9, $D$9, 100%, $F$9) + CHOOSE(CONTROL!$C$27, 0.0021, 0)</f>
        <v>115.0335</v>
      </c>
      <c r="D1061" s="14">
        <f>115.0314 * CHOOSE(CONTROL!$C$9, $D$9, 100%, $F$9) + CHOOSE(CONTROL!$C$27, 0.0021, 0)</f>
        <v>115.0335</v>
      </c>
      <c r="E1061" s="14">
        <f>114.8948 * CHOOSE(CONTROL!$C$9, $D$9, 100%, $F$9) + CHOOSE(CONTROL!$C$27, 0.0021, 0)</f>
        <v>114.8969</v>
      </c>
      <c r="F1061" s="14">
        <f>114.8948 * CHOOSE(CONTROL!$C$9, $D$9, 100%, $F$9) + CHOOSE(CONTROL!$C$27, 0.0021, 0)</f>
        <v>114.8969</v>
      </c>
      <c r="G1061" s="14">
        <f>115.1662 * CHOOSE(CONTROL!$C$9, $D$9, 100%, $F$9) + CHOOSE(CONTROL!$C$27, 0.0021, 0)</f>
        <v>115.1683</v>
      </c>
      <c r="H1061" s="14">
        <f>115.0314 * CHOOSE(CONTROL!$C$9, $D$9, 100%, $F$9) + CHOOSE(CONTROL!$C$27, 0.0021, 0)</f>
        <v>115.0335</v>
      </c>
      <c r="I1061" s="14">
        <f>115.0314 * CHOOSE(CONTROL!$C$9, $D$9, 100%, $F$9) + CHOOSE(CONTROL!$C$27, 0.0021, 0)</f>
        <v>115.0335</v>
      </c>
      <c r="J1061" s="14">
        <f>115.0314 * CHOOSE(CONTROL!$C$9, $D$9, 100%, $F$9) + CHOOSE(CONTROL!$C$27, 0.0021, 0)</f>
        <v>115.0335</v>
      </c>
      <c r="K1061" s="14">
        <f>115.0314 * CHOOSE(CONTROL!$C$9, $D$9, 100%, $F$9) + CHOOSE(CONTROL!$C$27, 0.0021, 0)</f>
        <v>115.0335</v>
      </c>
      <c r="L1061" s="14"/>
    </row>
    <row r="1062" spans="1:12" ht="15.75" x14ac:dyDescent="0.25">
      <c r="A1062" s="32">
        <v>73262</v>
      </c>
      <c r="B1062" s="14">
        <f>117.7357 * CHOOSE(CONTROL!$C$9, $D$9, 100%, $F$9) + CHOOSE(CONTROL!$C$27, 0.0021, 0)</f>
        <v>117.73779999999999</v>
      </c>
      <c r="C1062" s="14">
        <f>117.3034 * CHOOSE(CONTROL!$C$9, $D$9, 100%, $F$9) + CHOOSE(CONTROL!$C$27, 0.0021, 0)</f>
        <v>117.30549999999999</v>
      </c>
      <c r="D1062" s="14">
        <f>117.3034 * CHOOSE(CONTROL!$C$9, $D$9, 100%, $F$9) + CHOOSE(CONTROL!$C$27, 0.0021, 0)</f>
        <v>117.30549999999999</v>
      </c>
      <c r="E1062" s="14">
        <f>117.1668 * CHOOSE(CONTROL!$C$9, $D$9, 100%, $F$9) + CHOOSE(CONTROL!$C$27, 0.0021, 0)</f>
        <v>117.16889999999999</v>
      </c>
      <c r="F1062" s="14">
        <f>117.1668 * CHOOSE(CONTROL!$C$9, $D$9, 100%, $F$9) + CHOOSE(CONTROL!$C$27, 0.0021, 0)</f>
        <v>117.16889999999999</v>
      </c>
      <c r="G1062" s="14">
        <f>117.4381 * CHOOSE(CONTROL!$C$9, $D$9, 100%, $F$9) + CHOOSE(CONTROL!$C$27, 0.0021, 0)</f>
        <v>117.4402</v>
      </c>
      <c r="H1062" s="14">
        <f>117.3034 * CHOOSE(CONTROL!$C$9, $D$9, 100%, $F$9) + CHOOSE(CONTROL!$C$27, 0.0021, 0)</f>
        <v>117.30549999999999</v>
      </c>
      <c r="I1062" s="14">
        <f>117.3034 * CHOOSE(CONTROL!$C$9, $D$9, 100%, $F$9) + CHOOSE(CONTROL!$C$27, 0.0021, 0)</f>
        <v>117.30549999999999</v>
      </c>
      <c r="J1062" s="14">
        <f>117.3034 * CHOOSE(CONTROL!$C$9, $D$9, 100%, $F$9) + CHOOSE(CONTROL!$C$27, 0.0021, 0)</f>
        <v>117.30549999999999</v>
      </c>
      <c r="K1062" s="14">
        <f>117.3034 * CHOOSE(CONTROL!$C$9, $D$9, 100%, $F$9) + CHOOSE(CONTROL!$C$27, 0.0021, 0)</f>
        <v>117.30549999999999</v>
      </c>
      <c r="L1062" s="14"/>
    </row>
    <row r="1063" spans="1:12" ht="15.75" x14ac:dyDescent="0.25">
      <c r="A1063" s="32">
        <v>73293</v>
      </c>
      <c r="B1063" s="14">
        <f>118.4292 * CHOOSE(CONTROL!$C$9, $D$9, 100%, $F$9) + CHOOSE(CONTROL!$C$27, 0.0021, 0)</f>
        <v>118.43129999999999</v>
      </c>
      <c r="C1063" s="14">
        <f>117.9969 * CHOOSE(CONTROL!$C$9, $D$9, 100%, $F$9) + CHOOSE(CONTROL!$C$27, 0.0021, 0)</f>
        <v>117.999</v>
      </c>
      <c r="D1063" s="14">
        <f>117.9969 * CHOOSE(CONTROL!$C$9, $D$9, 100%, $F$9) + CHOOSE(CONTROL!$C$27, 0.0021, 0)</f>
        <v>117.999</v>
      </c>
      <c r="E1063" s="14">
        <f>117.8603 * CHOOSE(CONTROL!$C$9, $D$9, 100%, $F$9) + CHOOSE(CONTROL!$C$27, 0.0021, 0)</f>
        <v>117.86239999999999</v>
      </c>
      <c r="F1063" s="14">
        <f>117.8603 * CHOOSE(CONTROL!$C$9, $D$9, 100%, $F$9) + CHOOSE(CONTROL!$C$27, 0.0021, 0)</f>
        <v>117.86239999999999</v>
      </c>
      <c r="G1063" s="14">
        <f>118.1316 * CHOOSE(CONTROL!$C$9, $D$9, 100%, $F$9) + CHOOSE(CONTROL!$C$27, 0.0021, 0)</f>
        <v>118.1337</v>
      </c>
      <c r="H1063" s="14">
        <f>117.9969 * CHOOSE(CONTROL!$C$9, $D$9, 100%, $F$9) + CHOOSE(CONTROL!$C$27, 0.0021, 0)</f>
        <v>117.999</v>
      </c>
      <c r="I1063" s="14">
        <f>117.9969 * CHOOSE(CONTROL!$C$9, $D$9, 100%, $F$9) + CHOOSE(CONTROL!$C$27, 0.0021, 0)</f>
        <v>117.999</v>
      </c>
      <c r="J1063" s="14">
        <f>117.9969 * CHOOSE(CONTROL!$C$9, $D$9, 100%, $F$9) + CHOOSE(CONTROL!$C$27, 0.0021, 0)</f>
        <v>117.999</v>
      </c>
      <c r="K1063" s="14">
        <f>117.9969 * CHOOSE(CONTROL!$C$9, $D$9, 100%, $F$9) + CHOOSE(CONTROL!$C$27, 0.0021, 0)</f>
        <v>117.999</v>
      </c>
      <c r="L1063" s="14"/>
    </row>
    <row r="1064" spans="1:12" ht="15.75" x14ac:dyDescent="0.25">
      <c r="A1064" s="32">
        <v>73323</v>
      </c>
      <c r="B1064" s="14">
        <f>120.7908 * CHOOSE(CONTROL!$C$9, $D$9, 100%, $F$9) + CHOOSE(CONTROL!$C$27, 0.0021, 0)</f>
        <v>120.7929</v>
      </c>
      <c r="C1064" s="14">
        <f>120.3586 * CHOOSE(CONTROL!$C$9, $D$9, 100%, $F$9) + CHOOSE(CONTROL!$C$27, 0.0021, 0)</f>
        <v>120.36069999999999</v>
      </c>
      <c r="D1064" s="14">
        <f>120.3586 * CHOOSE(CONTROL!$C$9, $D$9, 100%, $F$9) + CHOOSE(CONTROL!$C$27, 0.0021, 0)</f>
        <v>120.36069999999999</v>
      </c>
      <c r="E1064" s="14">
        <f>120.2219 * CHOOSE(CONTROL!$C$9, $D$9, 100%, $F$9) + CHOOSE(CONTROL!$C$27, 0.0021, 0)</f>
        <v>120.224</v>
      </c>
      <c r="F1064" s="14">
        <f>120.2219 * CHOOSE(CONTROL!$C$9, $D$9, 100%, $F$9) + CHOOSE(CONTROL!$C$27, 0.0021, 0)</f>
        <v>120.224</v>
      </c>
      <c r="G1064" s="14">
        <f>120.4933 * CHOOSE(CONTROL!$C$9, $D$9, 100%, $F$9) + CHOOSE(CONTROL!$C$27, 0.0021, 0)</f>
        <v>120.4954</v>
      </c>
      <c r="H1064" s="14">
        <f>120.3586 * CHOOSE(CONTROL!$C$9, $D$9, 100%, $F$9) + CHOOSE(CONTROL!$C$27, 0.0021, 0)</f>
        <v>120.36069999999999</v>
      </c>
      <c r="I1064" s="14">
        <f>120.3586 * CHOOSE(CONTROL!$C$9, $D$9, 100%, $F$9) + CHOOSE(CONTROL!$C$27, 0.0021, 0)</f>
        <v>120.36069999999999</v>
      </c>
      <c r="J1064" s="14">
        <f>120.3586 * CHOOSE(CONTROL!$C$9, $D$9, 100%, $F$9) + CHOOSE(CONTROL!$C$27, 0.0021, 0)</f>
        <v>120.36069999999999</v>
      </c>
      <c r="K1064" s="14">
        <f>120.3586 * CHOOSE(CONTROL!$C$9, $D$9, 100%, $F$9) + CHOOSE(CONTROL!$C$27, 0.0021, 0)</f>
        <v>120.36069999999999</v>
      </c>
      <c r="L1064" s="14"/>
    </row>
    <row r="1065" spans="1:12" ht="15.75" x14ac:dyDescent="0.25">
      <c r="A1065" s="32">
        <v>73354</v>
      </c>
      <c r="B1065" s="14">
        <f>123.7802 * CHOOSE(CONTROL!$C$9, $D$9, 100%, $F$9) + CHOOSE(CONTROL!$C$27, 0.0021, 0)</f>
        <v>123.78229999999999</v>
      </c>
      <c r="C1065" s="14">
        <f>123.348 * CHOOSE(CONTROL!$C$9, $D$9, 100%, $F$9) + CHOOSE(CONTROL!$C$27, 0.0021, 0)</f>
        <v>123.3501</v>
      </c>
      <c r="D1065" s="14">
        <f>123.348 * CHOOSE(CONTROL!$C$9, $D$9, 100%, $F$9) + CHOOSE(CONTROL!$C$27, 0.0021, 0)</f>
        <v>123.3501</v>
      </c>
      <c r="E1065" s="14">
        <f>123.2113 * CHOOSE(CONTROL!$C$9, $D$9, 100%, $F$9) + CHOOSE(CONTROL!$C$27, 0.0021, 0)</f>
        <v>123.21339999999999</v>
      </c>
      <c r="F1065" s="14">
        <f>123.2113 * CHOOSE(CONTROL!$C$9, $D$9, 100%, $F$9) + CHOOSE(CONTROL!$C$27, 0.0021, 0)</f>
        <v>123.21339999999999</v>
      </c>
      <c r="G1065" s="14">
        <f>123.4827 * CHOOSE(CONTROL!$C$9, $D$9, 100%, $F$9) + CHOOSE(CONTROL!$C$27, 0.0021, 0)</f>
        <v>123.48479999999999</v>
      </c>
      <c r="H1065" s="14">
        <f>123.348 * CHOOSE(CONTROL!$C$9, $D$9, 100%, $F$9) + CHOOSE(CONTROL!$C$27, 0.0021, 0)</f>
        <v>123.3501</v>
      </c>
      <c r="I1065" s="14">
        <f>123.348 * CHOOSE(CONTROL!$C$9, $D$9, 100%, $F$9) + CHOOSE(CONTROL!$C$27, 0.0021, 0)</f>
        <v>123.3501</v>
      </c>
      <c r="J1065" s="14">
        <f>123.348 * CHOOSE(CONTROL!$C$9, $D$9, 100%, $F$9) + CHOOSE(CONTROL!$C$27, 0.0021, 0)</f>
        <v>123.3501</v>
      </c>
      <c r="K1065" s="14">
        <f>123.348 * CHOOSE(CONTROL!$C$9, $D$9, 100%, $F$9) + CHOOSE(CONTROL!$C$27, 0.0021, 0)</f>
        <v>123.3501</v>
      </c>
      <c r="L1065" s="14"/>
    </row>
    <row r="1066" spans="1:12" ht="15.75" x14ac:dyDescent="0.25">
      <c r="A1066" s="32">
        <v>73384</v>
      </c>
      <c r="B1066" s="14">
        <f>124.0609 * CHOOSE(CONTROL!$C$9, $D$9, 100%, $F$9) + CHOOSE(CONTROL!$C$27, 0.0021, 0)</f>
        <v>124.063</v>
      </c>
      <c r="C1066" s="14">
        <f>123.6286 * CHOOSE(CONTROL!$C$9, $D$9, 100%, $F$9) + CHOOSE(CONTROL!$C$27, 0.0021, 0)</f>
        <v>123.6307</v>
      </c>
      <c r="D1066" s="14">
        <f>123.6286 * CHOOSE(CONTROL!$C$9, $D$9, 100%, $F$9) + CHOOSE(CONTROL!$C$27, 0.0021, 0)</f>
        <v>123.6307</v>
      </c>
      <c r="E1066" s="14">
        <f>123.492 * CHOOSE(CONTROL!$C$9, $D$9, 100%, $F$9) + CHOOSE(CONTROL!$C$27, 0.0021, 0)</f>
        <v>123.4941</v>
      </c>
      <c r="F1066" s="14">
        <f>123.492 * CHOOSE(CONTROL!$C$9, $D$9, 100%, $F$9) + CHOOSE(CONTROL!$C$27, 0.0021, 0)</f>
        <v>123.4941</v>
      </c>
      <c r="G1066" s="14">
        <f>123.7633 * CHOOSE(CONTROL!$C$9, $D$9, 100%, $F$9) + CHOOSE(CONTROL!$C$27, 0.0021, 0)</f>
        <v>123.7654</v>
      </c>
      <c r="H1066" s="14">
        <f>123.6286 * CHOOSE(CONTROL!$C$9, $D$9, 100%, $F$9) + CHOOSE(CONTROL!$C$27, 0.0021, 0)</f>
        <v>123.6307</v>
      </c>
      <c r="I1066" s="14">
        <f>123.6286 * CHOOSE(CONTROL!$C$9, $D$9, 100%, $F$9) + CHOOSE(CONTROL!$C$27, 0.0021, 0)</f>
        <v>123.6307</v>
      </c>
      <c r="J1066" s="14">
        <f>123.6286 * CHOOSE(CONTROL!$C$9, $D$9, 100%, $F$9) + CHOOSE(CONTROL!$C$27, 0.0021, 0)</f>
        <v>123.6307</v>
      </c>
      <c r="K1066" s="14">
        <f>123.6286 * CHOOSE(CONTROL!$C$9, $D$9, 100%, $F$9) + CHOOSE(CONTROL!$C$27, 0.0021, 0)</f>
        <v>123.6307</v>
      </c>
      <c r="L1066" s="14"/>
    </row>
    <row r="1067" spans="1:12" ht="15.75" x14ac:dyDescent="0.25">
      <c r="A1067" s="32">
        <v>73415</v>
      </c>
      <c r="B1067" s="14">
        <f>121.6733 * CHOOSE(CONTROL!$C$9, $D$9, 100%, $F$9) + CHOOSE(CONTROL!$C$27, 0.0021, 0)</f>
        <v>121.6754</v>
      </c>
      <c r="C1067" s="14">
        <f>121.241 * CHOOSE(CONTROL!$C$9, $D$9, 100%, $F$9) + CHOOSE(CONTROL!$C$27, 0.0021, 0)</f>
        <v>121.2431</v>
      </c>
      <c r="D1067" s="14">
        <f>121.241 * CHOOSE(CONTROL!$C$9, $D$9, 100%, $F$9) + CHOOSE(CONTROL!$C$27, 0.0021, 0)</f>
        <v>121.2431</v>
      </c>
      <c r="E1067" s="14">
        <f>121.1044 * CHOOSE(CONTROL!$C$9, $D$9, 100%, $F$9) + CHOOSE(CONTROL!$C$27, 0.0021, 0)</f>
        <v>121.1065</v>
      </c>
      <c r="F1067" s="14">
        <f>121.1044 * CHOOSE(CONTROL!$C$9, $D$9, 100%, $F$9) + CHOOSE(CONTROL!$C$27, 0.0021, 0)</f>
        <v>121.1065</v>
      </c>
      <c r="G1067" s="14">
        <f>121.3757 * CHOOSE(CONTROL!$C$9, $D$9, 100%, $F$9) + CHOOSE(CONTROL!$C$27, 0.0021, 0)</f>
        <v>121.37779999999999</v>
      </c>
      <c r="H1067" s="14">
        <f>121.241 * CHOOSE(CONTROL!$C$9, $D$9, 100%, $F$9) + CHOOSE(CONTROL!$C$27, 0.0021, 0)</f>
        <v>121.2431</v>
      </c>
      <c r="I1067" s="14">
        <f>121.241 * CHOOSE(CONTROL!$C$9, $D$9, 100%, $F$9) + CHOOSE(CONTROL!$C$27, 0.0021, 0)</f>
        <v>121.2431</v>
      </c>
      <c r="J1067" s="14">
        <f>121.241 * CHOOSE(CONTROL!$C$9, $D$9, 100%, $F$9) + CHOOSE(CONTROL!$C$27, 0.0021, 0)</f>
        <v>121.2431</v>
      </c>
      <c r="K1067" s="14">
        <f>121.241 * CHOOSE(CONTROL!$C$9, $D$9, 100%, $F$9) + CHOOSE(CONTROL!$C$27, 0.0021, 0)</f>
        <v>121.2431</v>
      </c>
      <c r="L1067" s="14"/>
    </row>
    <row r="1068" spans="1:12" ht="15" x14ac:dyDescent="0.2">
      <c r="A1068" s="12"/>
      <c r="B1068" s="14"/>
      <c r="C1068" s="14"/>
      <c r="D1068" s="14"/>
      <c r="E1068" s="14"/>
      <c r="F1068" s="14"/>
      <c r="G1068" s="14"/>
      <c r="H1068" s="14"/>
      <c r="I1068" s="14"/>
      <c r="L1068" s="14"/>
    </row>
    <row r="1069" spans="1:12" ht="15" x14ac:dyDescent="0.2">
      <c r="A1069" s="10">
        <v>2013</v>
      </c>
      <c r="B1069" s="14">
        <f>AVERAGE(B12:B23)</f>
        <v>23.896537025304781</v>
      </c>
      <c r="C1069" s="14">
        <f>AVERAGE(C12:C23)</f>
        <v>23.464297860067493</v>
      </c>
      <c r="D1069" s="14"/>
      <c r="E1069" s="14">
        <f t="shared" ref="E1069:K1069" si="0">AVERAGE(E12:E23)</f>
        <v>23.327632451262474</v>
      </c>
      <c r="F1069" s="14">
        <f t="shared" si="0"/>
        <v>23.327632451262474</v>
      </c>
      <c r="G1069" s="14">
        <f t="shared" si="0"/>
        <v>23.599012011010903</v>
      </c>
      <c r="H1069" s="14">
        <f t="shared" si="0"/>
        <v>23.464297860067493</v>
      </c>
      <c r="I1069" s="14">
        <f t="shared" si="0"/>
        <v>23.464297860067493</v>
      </c>
      <c r="J1069" s="14">
        <f t="shared" si="0"/>
        <v>23.104084666814217</v>
      </c>
      <c r="K1069" s="14">
        <f t="shared" si="0"/>
        <v>23.464297860067493</v>
      </c>
      <c r="L1069" s="14"/>
    </row>
    <row r="1070" spans="1:12" ht="15" x14ac:dyDescent="0.2">
      <c r="A1070" s="10">
        <v>2014</v>
      </c>
      <c r="B1070" s="14">
        <f>AVERAGE(B24:B35)</f>
        <v>23.533325000000001</v>
      </c>
      <c r="C1070" s="14">
        <f>AVERAGE(C24:C35)</f>
        <v>23.101083333333332</v>
      </c>
      <c r="D1070" s="14"/>
      <c r="E1070" s="14">
        <f t="shared" ref="E1070:K1070" si="1">AVERAGE(E24:E35)</f>
        <v>22.964416666666665</v>
      </c>
      <c r="F1070" s="14">
        <f t="shared" si="1"/>
        <v>22.964416666666665</v>
      </c>
      <c r="G1070" s="14">
        <f t="shared" si="1"/>
        <v>23.235799999999998</v>
      </c>
      <c r="H1070" s="14">
        <f t="shared" si="1"/>
        <v>23.101083333333332</v>
      </c>
      <c r="I1070" s="14">
        <f t="shared" si="1"/>
        <v>23.101083333333332</v>
      </c>
      <c r="J1070" s="14">
        <f t="shared" si="1"/>
        <v>22.740874999999999</v>
      </c>
      <c r="K1070" s="14">
        <f t="shared" si="1"/>
        <v>23.101083333333332</v>
      </c>
      <c r="L1070" s="14"/>
    </row>
    <row r="1071" spans="1:12" ht="15" x14ac:dyDescent="0.2">
      <c r="A1071" s="10">
        <v>2015</v>
      </c>
      <c r="B1071" s="14">
        <f>AVERAGE(B36:B47)</f>
        <v>22.704733333333333</v>
      </c>
      <c r="C1071" s="14">
        <f>AVERAGE(C36:C47)</f>
        <v>22.272483333333337</v>
      </c>
      <c r="D1071" s="14"/>
      <c r="E1071" s="14">
        <f t="shared" ref="E1071:K1071" si="2">AVERAGE(E36:E47)</f>
        <v>22.135824999999997</v>
      </c>
      <c r="F1071" s="14">
        <f t="shared" si="2"/>
        <v>22.135824999999997</v>
      </c>
      <c r="G1071" s="14">
        <f t="shared" si="2"/>
        <v>22.407183333333332</v>
      </c>
      <c r="H1071" s="14">
        <f t="shared" si="2"/>
        <v>22.272483333333337</v>
      </c>
      <c r="I1071" s="14">
        <f t="shared" si="2"/>
        <v>22.272483333333337</v>
      </c>
      <c r="J1071" s="14">
        <f t="shared" si="2"/>
        <v>22.272483333333337</v>
      </c>
      <c r="K1071" s="14">
        <f t="shared" si="2"/>
        <v>22.272483333333337</v>
      </c>
      <c r="L1071" s="14"/>
    </row>
    <row r="1072" spans="1:12" ht="15" x14ac:dyDescent="0.2">
      <c r="A1072" s="10">
        <v>2016</v>
      </c>
      <c r="B1072" s="14">
        <f>AVERAGE(B48:B59)</f>
        <v>23.277241666666665</v>
      </c>
      <c r="C1072" s="14">
        <f>AVERAGE(C48:C59)</f>
        <v>22.844999999999999</v>
      </c>
      <c r="D1072" s="14"/>
      <c r="E1072" s="14">
        <f t="shared" ref="E1072:K1072" si="3">AVERAGE(E48:E59)</f>
        <v>22.708341666666666</v>
      </c>
      <c r="F1072" s="14">
        <f t="shared" si="3"/>
        <v>22.708341666666666</v>
      </c>
      <c r="G1072" s="14">
        <f t="shared" si="3"/>
        <v>22.979724999999998</v>
      </c>
      <c r="H1072" s="14">
        <f t="shared" si="3"/>
        <v>22.844999999999999</v>
      </c>
      <c r="I1072" s="14">
        <f t="shared" si="3"/>
        <v>22.844999999999999</v>
      </c>
      <c r="J1072" s="14">
        <f t="shared" si="3"/>
        <v>22.844999999999999</v>
      </c>
      <c r="K1072" s="14">
        <f t="shared" si="3"/>
        <v>22.844999999999999</v>
      </c>
      <c r="L1072" s="14"/>
    </row>
    <row r="1073" spans="1:12" ht="15" x14ac:dyDescent="0.2">
      <c r="A1073" s="10">
        <v>2017</v>
      </c>
      <c r="B1073" s="14">
        <f>AVERAGE(B60:B71)</f>
        <v>23.718666666666667</v>
      </c>
      <c r="C1073" s="14">
        <f>AVERAGE(C60:C71)</f>
        <v>23.286449999999999</v>
      </c>
      <c r="D1073" s="14"/>
      <c r="E1073" s="14">
        <f t="shared" ref="E1073:K1073" si="4">AVERAGE(E60:E71)</f>
        <v>23.149766666666665</v>
      </c>
      <c r="F1073" s="14">
        <f t="shared" si="4"/>
        <v>23.149766666666665</v>
      </c>
      <c r="G1073" s="14">
        <f t="shared" si="4"/>
        <v>23.421150000000001</v>
      </c>
      <c r="H1073" s="14">
        <f t="shared" si="4"/>
        <v>23.286449999999999</v>
      </c>
      <c r="I1073" s="14">
        <f t="shared" si="4"/>
        <v>23.286449999999999</v>
      </c>
      <c r="J1073" s="14">
        <f t="shared" si="4"/>
        <v>23.286449999999999</v>
      </c>
      <c r="K1073" s="14">
        <f t="shared" si="4"/>
        <v>23.286449999999999</v>
      </c>
      <c r="L1073" s="14"/>
    </row>
    <row r="1074" spans="1:12" ht="15" x14ac:dyDescent="0.2">
      <c r="A1074" s="10">
        <v>2018</v>
      </c>
      <c r="B1074" s="14">
        <f>AVERAGE(B72:B83)</f>
        <v>25.072266666666664</v>
      </c>
      <c r="C1074" s="14">
        <f>AVERAGE(C72:C83)</f>
        <v>24.640016666666664</v>
      </c>
      <c r="D1074" s="14"/>
      <c r="E1074" s="14">
        <f t="shared" ref="E1074:K1074" si="5">AVERAGE(E72:E83)</f>
        <v>24.503349999999998</v>
      </c>
      <c r="F1074" s="14">
        <f t="shared" si="5"/>
        <v>24.503349999999998</v>
      </c>
      <c r="G1074" s="14">
        <f t="shared" si="5"/>
        <v>24.774724999999993</v>
      </c>
      <c r="H1074" s="14">
        <f t="shared" si="5"/>
        <v>24.640016666666664</v>
      </c>
      <c r="I1074" s="14">
        <f t="shared" si="5"/>
        <v>24.640016666666664</v>
      </c>
      <c r="J1074" s="14">
        <f t="shared" si="5"/>
        <v>24.640016666666664</v>
      </c>
      <c r="K1074" s="14">
        <f t="shared" si="5"/>
        <v>24.640016666666664</v>
      </c>
      <c r="L1074" s="14"/>
    </row>
    <row r="1075" spans="1:12" ht="15" x14ac:dyDescent="0.2">
      <c r="A1075" s="10">
        <v>2019</v>
      </c>
      <c r="B1075" s="14">
        <f>AVERAGE(B84:B95)</f>
        <v>25.597874999999998</v>
      </c>
      <c r="C1075" s="14">
        <f>AVERAGE(C84:C95)</f>
        <v>25.165641666666662</v>
      </c>
      <c r="D1075" s="14"/>
      <c r="E1075" s="14">
        <f t="shared" ref="E1075:K1075" si="6">AVERAGE(E84:E95)</f>
        <v>25.028974999999999</v>
      </c>
      <c r="F1075" s="14">
        <f t="shared" si="6"/>
        <v>25.028974999999999</v>
      </c>
      <c r="G1075" s="14">
        <f t="shared" si="6"/>
        <v>25.300358333333335</v>
      </c>
      <c r="H1075" s="14">
        <f t="shared" si="6"/>
        <v>25.165641666666662</v>
      </c>
      <c r="I1075" s="14">
        <f t="shared" si="6"/>
        <v>25.165641666666662</v>
      </c>
      <c r="J1075" s="14">
        <f t="shared" si="6"/>
        <v>25.165641666666662</v>
      </c>
      <c r="K1075" s="14">
        <f t="shared" si="6"/>
        <v>25.165641666666662</v>
      </c>
      <c r="L1075" s="14"/>
    </row>
    <row r="1076" spans="1:12" ht="15" x14ac:dyDescent="0.2">
      <c r="A1076" s="10">
        <v>2020</v>
      </c>
      <c r="B1076" s="14">
        <f>AVERAGE(B96:B107)</f>
        <v>26.296533333333333</v>
      </c>
      <c r="C1076" s="14">
        <f>AVERAGE(C96:C107)</f>
        <v>25.864308333333337</v>
      </c>
      <c r="D1076" s="14"/>
      <c r="E1076" s="14">
        <f t="shared" ref="E1076:K1076" si="7">AVERAGE(E96:E107)</f>
        <v>25.727625</v>
      </c>
      <c r="F1076" s="14">
        <f t="shared" si="7"/>
        <v>25.727625</v>
      </c>
      <c r="G1076" s="14">
        <f t="shared" si="7"/>
        <v>25.999025</v>
      </c>
      <c r="H1076" s="14">
        <f t="shared" si="7"/>
        <v>25.864308333333337</v>
      </c>
      <c r="I1076" s="14">
        <f t="shared" si="7"/>
        <v>25.864308333333337</v>
      </c>
      <c r="J1076" s="14">
        <f t="shared" si="7"/>
        <v>25.864308333333337</v>
      </c>
      <c r="K1076" s="14">
        <f t="shared" si="7"/>
        <v>25.864308333333337</v>
      </c>
      <c r="L1076" s="14"/>
    </row>
    <row r="1077" spans="1:12" ht="15" x14ac:dyDescent="0.2">
      <c r="A1077" s="10">
        <v>2021</v>
      </c>
      <c r="B1077" s="14">
        <f>AVERAGE(B108:B119)</f>
        <v>27.513566666666666</v>
      </c>
      <c r="C1077" s="14">
        <f>AVERAGE(C108:C119)</f>
        <v>27.081299999999999</v>
      </c>
      <c r="D1077" s="14"/>
      <c r="E1077" s="14">
        <f t="shared" ref="E1077:K1077" si="8">AVERAGE(E108:E119)</f>
        <v>26.944658333333326</v>
      </c>
      <c r="F1077" s="14">
        <f t="shared" si="8"/>
        <v>26.944658333333326</v>
      </c>
      <c r="G1077" s="14">
        <f t="shared" si="8"/>
        <v>27.216041666666669</v>
      </c>
      <c r="H1077" s="14">
        <f t="shared" si="8"/>
        <v>27.081299999999999</v>
      </c>
      <c r="I1077" s="14">
        <f t="shared" si="8"/>
        <v>27.081299999999999</v>
      </c>
      <c r="J1077" s="14">
        <f t="shared" si="8"/>
        <v>27.081299999999999</v>
      </c>
      <c r="K1077" s="14">
        <f t="shared" si="8"/>
        <v>27.081299999999999</v>
      </c>
      <c r="L1077" s="14"/>
    </row>
    <row r="1078" spans="1:12" ht="15" x14ac:dyDescent="0.2">
      <c r="A1078" s="10">
        <v>2022</v>
      </c>
      <c r="B1078" s="14">
        <f>AVERAGE(B120:B131)</f>
        <v>28.80693333333333</v>
      </c>
      <c r="C1078" s="14">
        <f>AVERAGE(C120:C131)</f>
        <v>28.374691666666664</v>
      </c>
      <c r="D1078" s="14"/>
      <c r="E1078" s="14">
        <f t="shared" ref="E1078:K1078" si="9">AVERAGE(E120:E131)</f>
        <v>28.238025000000004</v>
      </c>
      <c r="F1078" s="14">
        <f t="shared" si="9"/>
        <v>28.238025000000004</v>
      </c>
      <c r="G1078" s="14">
        <f t="shared" si="9"/>
        <v>28.509399999999999</v>
      </c>
      <c r="H1078" s="14">
        <f t="shared" si="9"/>
        <v>28.374691666666664</v>
      </c>
      <c r="I1078" s="14">
        <f t="shared" si="9"/>
        <v>28.374691666666664</v>
      </c>
      <c r="J1078" s="14">
        <f t="shared" si="9"/>
        <v>28.374691666666664</v>
      </c>
      <c r="K1078" s="14">
        <f t="shared" si="9"/>
        <v>28.374691666666664</v>
      </c>
      <c r="L1078" s="14"/>
    </row>
    <row r="1079" spans="1:12" ht="15" x14ac:dyDescent="0.2">
      <c r="A1079" s="10">
        <v>2023</v>
      </c>
      <c r="B1079" s="14">
        <f>AVERAGE(B132:B143)</f>
        <v>30.056541666666661</v>
      </c>
      <c r="C1079" s="14">
        <f>AVERAGE(C132:C143)</f>
        <v>29.624299999999995</v>
      </c>
      <c r="D1079" s="14"/>
      <c r="E1079" s="14">
        <f t="shared" ref="E1079:K1079" si="10">AVERAGE(E132:E143)</f>
        <v>29.487641666666665</v>
      </c>
      <c r="F1079" s="14">
        <f t="shared" si="10"/>
        <v>29.487641666666665</v>
      </c>
      <c r="G1079" s="14">
        <f t="shared" si="10"/>
        <v>29.759008333333338</v>
      </c>
      <c r="H1079" s="14">
        <f t="shared" si="10"/>
        <v>29.624299999999995</v>
      </c>
      <c r="I1079" s="14">
        <f t="shared" si="10"/>
        <v>29.624299999999995</v>
      </c>
      <c r="J1079" s="14">
        <f t="shared" si="10"/>
        <v>29.624299999999995</v>
      </c>
      <c r="K1079" s="14">
        <f t="shared" si="10"/>
        <v>29.624299999999995</v>
      </c>
      <c r="L1079" s="14"/>
    </row>
    <row r="1080" spans="1:12" ht="15" x14ac:dyDescent="0.2">
      <c r="A1080" s="10">
        <v>2024</v>
      </c>
      <c r="B1080" s="14">
        <f>AVERAGE(B144:B155)</f>
        <v>31.26420833333334</v>
      </c>
      <c r="C1080" s="14">
        <f>AVERAGE(C144:C155)</f>
        <v>30.831950000000003</v>
      </c>
      <c r="D1080" s="14"/>
      <c r="E1080" s="14">
        <f t="shared" ref="E1080:K1080" si="11">AVERAGE(E144:E155)</f>
        <v>30.695299999999992</v>
      </c>
      <c r="F1080" s="14">
        <f t="shared" si="11"/>
        <v>30.695299999999992</v>
      </c>
      <c r="G1080" s="14">
        <f t="shared" si="11"/>
        <v>30.966658333333331</v>
      </c>
      <c r="H1080" s="14">
        <f t="shared" si="11"/>
        <v>30.831950000000003</v>
      </c>
      <c r="I1080" s="14">
        <f t="shared" si="11"/>
        <v>30.831950000000003</v>
      </c>
      <c r="J1080" s="14">
        <f t="shared" si="11"/>
        <v>30.831950000000003</v>
      </c>
      <c r="K1080" s="14">
        <f t="shared" si="11"/>
        <v>30.831950000000003</v>
      </c>
      <c r="L1080" s="14"/>
    </row>
    <row r="1081" spans="1:12" ht="15" x14ac:dyDescent="0.2">
      <c r="A1081" s="10">
        <v>2025</v>
      </c>
      <c r="B1081" s="14">
        <f>AVERAGE(B156:B167)</f>
        <v>32.431858333333338</v>
      </c>
      <c r="C1081" s="14">
        <f>AVERAGE(C156:C167)</f>
        <v>31.999616666666668</v>
      </c>
      <c r="D1081" s="14"/>
      <c r="E1081" s="14">
        <f t="shared" ref="E1081:K1081" si="12">AVERAGE(E156:E167)</f>
        <v>31.862958333333328</v>
      </c>
      <c r="F1081" s="14">
        <f t="shared" si="12"/>
        <v>31.862958333333328</v>
      </c>
      <c r="G1081" s="14">
        <f t="shared" si="12"/>
        <v>32.134333333333331</v>
      </c>
      <c r="H1081" s="14">
        <f t="shared" si="12"/>
        <v>31.999616666666668</v>
      </c>
      <c r="I1081" s="14">
        <f t="shared" si="12"/>
        <v>31.999616666666668</v>
      </c>
      <c r="J1081" s="14">
        <f t="shared" si="12"/>
        <v>31.999616666666668</v>
      </c>
      <c r="K1081" s="14">
        <f t="shared" si="12"/>
        <v>31.999616666666668</v>
      </c>
      <c r="L1081" s="14"/>
    </row>
    <row r="1082" spans="1:12" ht="15" x14ac:dyDescent="0.2">
      <c r="A1082" s="10">
        <v>2026</v>
      </c>
      <c r="B1082" s="14">
        <f>AVERAGE(B168:B179)</f>
        <v>33.069941666666665</v>
      </c>
      <c r="C1082" s="14">
        <f>AVERAGE(C168:C179)</f>
        <v>32.637683333333335</v>
      </c>
      <c r="D1082" s="14"/>
      <c r="E1082" s="14">
        <f t="shared" ref="E1082:K1082" si="13">AVERAGE(E168:E179)</f>
        <v>32.501033333333332</v>
      </c>
      <c r="F1082" s="14">
        <f t="shared" si="13"/>
        <v>32.501033333333332</v>
      </c>
      <c r="G1082" s="14">
        <f t="shared" si="13"/>
        <v>32.772408333333331</v>
      </c>
      <c r="H1082" s="14">
        <f t="shared" si="13"/>
        <v>32.637683333333335</v>
      </c>
      <c r="I1082" s="14">
        <f t="shared" si="13"/>
        <v>32.637683333333335</v>
      </c>
      <c r="J1082" s="14">
        <f t="shared" si="13"/>
        <v>32.637683333333335</v>
      </c>
      <c r="K1082" s="14">
        <f t="shared" si="13"/>
        <v>32.637683333333335</v>
      </c>
      <c r="L1082" s="14"/>
    </row>
    <row r="1083" spans="1:12" ht="15" x14ac:dyDescent="0.2">
      <c r="A1083" s="10">
        <v>2027</v>
      </c>
      <c r="B1083" s="14">
        <f>AVERAGE(B180:B191)</f>
        <v>33.683908333333335</v>
      </c>
      <c r="C1083" s="14">
        <f>AVERAGE(C180:C191)</f>
        <v>33.251666666666665</v>
      </c>
      <c r="D1083" s="14"/>
      <c r="E1083" s="14">
        <f t="shared" ref="E1083:K1083" si="14">AVERAGE(E180:E191)</f>
        <v>33.114999999999995</v>
      </c>
      <c r="F1083" s="14">
        <f t="shared" si="14"/>
        <v>33.114999999999995</v>
      </c>
      <c r="G1083" s="14">
        <f t="shared" si="14"/>
        <v>33.386374999999994</v>
      </c>
      <c r="H1083" s="14">
        <f t="shared" si="14"/>
        <v>33.251666666666665</v>
      </c>
      <c r="I1083" s="14">
        <f t="shared" si="14"/>
        <v>33.251666666666665</v>
      </c>
      <c r="J1083" s="14">
        <f t="shared" si="14"/>
        <v>33.251666666666665</v>
      </c>
      <c r="K1083" s="14">
        <f t="shared" si="14"/>
        <v>33.251666666666665</v>
      </c>
      <c r="L1083" s="14"/>
    </row>
    <row r="1084" spans="1:12" ht="15" x14ac:dyDescent="0.2">
      <c r="A1084" s="10">
        <v>2028</v>
      </c>
      <c r="B1084" s="14">
        <f>AVERAGE(B192:B203)</f>
        <v>34.248241666666672</v>
      </c>
      <c r="C1084" s="14">
        <f>AVERAGE(C192:C203)</f>
        <v>33.815983333333328</v>
      </c>
      <c r="D1084" s="14"/>
      <c r="E1084" s="14">
        <f t="shared" ref="E1084:K1084" si="15">AVERAGE(E192:E203)</f>
        <v>33.679333333333325</v>
      </c>
      <c r="F1084" s="14">
        <f t="shared" si="15"/>
        <v>33.679333333333325</v>
      </c>
      <c r="G1084" s="14">
        <f t="shared" si="15"/>
        <v>33.950691666666664</v>
      </c>
      <c r="H1084" s="14">
        <f t="shared" si="15"/>
        <v>33.815983333333328</v>
      </c>
      <c r="I1084" s="14">
        <f t="shared" si="15"/>
        <v>33.815983333333328</v>
      </c>
      <c r="J1084" s="14">
        <f t="shared" si="15"/>
        <v>33.815983333333328</v>
      </c>
      <c r="K1084" s="14">
        <f t="shared" si="15"/>
        <v>33.815983333333328</v>
      </c>
      <c r="L1084" s="14"/>
    </row>
    <row r="1085" spans="1:12" ht="15" x14ac:dyDescent="0.2">
      <c r="A1085" s="10">
        <v>2029</v>
      </c>
      <c r="B1085" s="14">
        <f>AVERAGE(B204:B215)</f>
        <v>34.840308333333333</v>
      </c>
      <c r="C1085" s="14">
        <f>AVERAGE(C204:C215)</f>
        <v>34.408075000000004</v>
      </c>
      <c r="D1085" s="14"/>
      <c r="E1085" s="14">
        <f t="shared" ref="E1085:K1085" si="16">AVERAGE(E204:E215)</f>
        <v>34.271408333333333</v>
      </c>
      <c r="F1085" s="14">
        <f t="shared" si="16"/>
        <v>34.271408333333333</v>
      </c>
      <c r="G1085" s="14">
        <f t="shared" si="16"/>
        <v>34.542774999999999</v>
      </c>
      <c r="H1085" s="14">
        <f t="shared" si="16"/>
        <v>34.408075000000004</v>
      </c>
      <c r="I1085" s="14">
        <f t="shared" si="16"/>
        <v>34.408075000000004</v>
      </c>
      <c r="J1085" s="14">
        <f t="shared" si="16"/>
        <v>34.408075000000004</v>
      </c>
      <c r="K1085" s="14">
        <f t="shared" si="16"/>
        <v>34.408075000000004</v>
      </c>
      <c r="L1085" s="14"/>
    </row>
    <row r="1086" spans="1:12" ht="15" x14ac:dyDescent="0.2">
      <c r="A1086" s="10">
        <v>2030</v>
      </c>
      <c r="B1086" s="14">
        <f>AVERAGE(B216:B227)</f>
        <v>35.42605833333333</v>
      </c>
      <c r="C1086" s="14">
        <f>AVERAGE(C216:C227)</f>
        <v>34.993791666666674</v>
      </c>
      <c r="D1086" s="14"/>
      <c r="E1086" s="14">
        <f t="shared" ref="E1086:K1086" si="17">AVERAGE(E216:E227)</f>
        <v>34.857158333333331</v>
      </c>
      <c r="F1086" s="14">
        <f t="shared" si="17"/>
        <v>34.857158333333331</v>
      </c>
      <c r="G1086" s="14">
        <f t="shared" si="17"/>
        <v>35.128516666666663</v>
      </c>
      <c r="H1086" s="14">
        <f t="shared" si="17"/>
        <v>34.993791666666674</v>
      </c>
      <c r="I1086" s="14">
        <f t="shared" si="17"/>
        <v>34.993791666666674</v>
      </c>
      <c r="J1086" s="14">
        <f t="shared" si="17"/>
        <v>34.993791666666674</v>
      </c>
      <c r="K1086" s="14">
        <f t="shared" si="17"/>
        <v>34.993791666666674</v>
      </c>
      <c r="L1086" s="14"/>
    </row>
    <row r="1087" spans="1:12" ht="15" x14ac:dyDescent="0.2">
      <c r="A1087" s="10">
        <v>2031</v>
      </c>
      <c r="B1087" s="14">
        <f>AVERAGE(B228:B239)</f>
        <v>36.02258333333333</v>
      </c>
      <c r="C1087" s="14">
        <f>AVERAGE(C228:C239)</f>
        <v>35.590325</v>
      </c>
      <c r="D1087" s="14"/>
      <c r="E1087" s="14">
        <f t="shared" ref="E1087:K1087" si="18">AVERAGE(E228:E239)</f>
        <v>35.453674999999997</v>
      </c>
      <c r="F1087" s="14">
        <f t="shared" si="18"/>
        <v>35.453674999999997</v>
      </c>
      <c r="G1087" s="14">
        <f t="shared" si="18"/>
        <v>35.72505833333333</v>
      </c>
      <c r="H1087" s="14">
        <f t="shared" si="18"/>
        <v>35.590325</v>
      </c>
      <c r="I1087" s="14">
        <f t="shared" si="18"/>
        <v>35.590325</v>
      </c>
      <c r="J1087" s="14">
        <f t="shared" si="18"/>
        <v>35.590325</v>
      </c>
      <c r="K1087" s="14">
        <f t="shared" si="18"/>
        <v>35.590325</v>
      </c>
      <c r="L1087" s="14"/>
    </row>
    <row r="1088" spans="1:12" ht="15" x14ac:dyDescent="0.2">
      <c r="A1088" s="10">
        <v>2032</v>
      </c>
      <c r="B1088" s="14">
        <f>AVERAGE(B240:B251)</f>
        <v>36.629849999999998</v>
      </c>
      <c r="C1088" s="14">
        <f>AVERAGE(C240:C251)</f>
        <v>36.197599999999994</v>
      </c>
      <c r="D1088" s="14"/>
      <c r="E1088" s="14">
        <f t="shared" ref="E1088:K1088" si="19">AVERAGE(E240:E251)</f>
        <v>36.060941666666665</v>
      </c>
      <c r="F1088" s="14">
        <f t="shared" si="19"/>
        <v>36.060941666666665</v>
      </c>
      <c r="G1088" s="14">
        <f t="shared" si="19"/>
        <v>36.332333333333331</v>
      </c>
      <c r="H1088" s="14">
        <f t="shared" si="19"/>
        <v>36.197599999999994</v>
      </c>
      <c r="I1088" s="14">
        <f t="shared" si="19"/>
        <v>36.197599999999994</v>
      </c>
      <c r="J1088" s="14">
        <f t="shared" si="19"/>
        <v>36.197599999999994</v>
      </c>
      <c r="K1088" s="14">
        <f t="shared" si="19"/>
        <v>36.197599999999994</v>
      </c>
      <c r="L1088" s="14"/>
    </row>
    <row r="1089" spans="1:12" ht="15" x14ac:dyDescent="0.2">
      <c r="A1089" s="10">
        <v>2033</v>
      </c>
      <c r="B1089" s="14">
        <f>AVERAGE(B252:B263)</f>
        <v>37.248049999999999</v>
      </c>
      <c r="C1089" s="14">
        <f>AVERAGE(C252:C263)</f>
        <v>36.815799999999989</v>
      </c>
      <c r="D1089" s="14"/>
      <c r="E1089" s="14">
        <f t="shared" ref="E1089:K1089" si="20">AVERAGE(E252:E263)</f>
        <v>36.67915</v>
      </c>
      <c r="F1089" s="14">
        <f t="shared" si="20"/>
        <v>36.67915</v>
      </c>
      <c r="G1089" s="14">
        <f t="shared" si="20"/>
        <v>36.950533333333333</v>
      </c>
      <c r="H1089" s="14">
        <f t="shared" si="20"/>
        <v>36.815799999999989</v>
      </c>
      <c r="I1089" s="14">
        <f t="shared" si="20"/>
        <v>36.815799999999989</v>
      </c>
      <c r="J1089" s="14">
        <f t="shared" si="20"/>
        <v>36.815799999999989</v>
      </c>
      <c r="K1089" s="14">
        <f t="shared" si="20"/>
        <v>36.815799999999989</v>
      </c>
      <c r="L1089" s="14"/>
    </row>
    <row r="1090" spans="1:12" ht="15" x14ac:dyDescent="0.2">
      <c r="A1090" s="10">
        <v>2034</v>
      </c>
      <c r="B1090" s="14">
        <f>AVERAGE(B264:B275)</f>
        <v>37.877391666666668</v>
      </c>
      <c r="C1090" s="14">
        <f>AVERAGE(C264:C275)</f>
        <v>37.445124999999997</v>
      </c>
      <c r="D1090" s="14"/>
      <c r="E1090" s="14">
        <f t="shared" ref="E1090:K1090" si="21">AVERAGE(E264:E275)</f>
        <v>37.308483333333328</v>
      </c>
      <c r="F1090" s="14">
        <f t="shared" si="21"/>
        <v>37.308483333333328</v>
      </c>
      <c r="G1090" s="14">
        <f t="shared" si="21"/>
        <v>37.57985</v>
      </c>
      <c r="H1090" s="14">
        <f t="shared" si="21"/>
        <v>37.445124999999997</v>
      </c>
      <c r="I1090" s="14">
        <f t="shared" si="21"/>
        <v>37.445124999999997</v>
      </c>
      <c r="J1090" s="14">
        <f t="shared" si="21"/>
        <v>37.445124999999997</v>
      </c>
      <c r="K1090" s="14">
        <f t="shared" si="21"/>
        <v>37.445124999999997</v>
      </c>
      <c r="L1090" s="14"/>
    </row>
    <row r="1091" spans="1:12" ht="15" x14ac:dyDescent="0.2">
      <c r="A1091" s="10">
        <v>2035</v>
      </c>
      <c r="B1091" s="14">
        <f>AVERAGE(B276:B287)</f>
        <v>38.518041666666669</v>
      </c>
      <c r="C1091" s="14">
        <f>AVERAGE(C276:C287)</f>
        <v>38.085799999999999</v>
      </c>
      <c r="D1091" s="14"/>
      <c r="E1091" s="14">
        <f t="shared" ref="E1091:K1091" si="22">AVERAGE(E276:E287)</f>
        <v>37.949133333333329</v>
      </c>
      <c r="F1091" s="14">
        <f t="shared" si="22"/>
        <v>37.949133333333329</v>
      </c>
      <c r="G1091" s="14">
        <f t="shared" si="22"/>
        <v>38.220516666666661</v>
      </c>
      <c r="H1091" s="14">
        <f t="shared" si="22"/>
        <v>38.085799999999999</v>
      </c>
      <c r="I1091" s="14">
        <f t="shared" si="22"/>
        <v>38.085799999999999</v>
      </c>
      <c r="J1091" s="14">
        <f t="shared" si="22"/>
        <v>38.085799999999999</v>
      </c>
      <c r="K1091" s="14">
        <f t="shared" si="22"/>
        <v>38.085799999999999</v>
      </c>
      <c r="L1091" s="14"/>
    </row>
    <row r="1092" spans="1:12" ht="15" x14ac:dyDescent="0.2">
      <c r="A1092" s="10">
        <v>2036</v>
      </c>
      <c r="B1092" s="14">
        <f>AVERAGE(B288:B299)</f>
        <v>39.170250000000003</v>
      </c>
      <c r="C1092" s="14">
        <f>AVERAGE(C288:C299)</f>
        <v>38.737991666666666</v>
      </c>
      <c r="D1092" s="14"/>
      <c r="E1092" s="14">
        <f t="shared" ref="E1092:K1092" si="23">AVERAGE(E288:E299)</f>
        <v>38.601349999999996</v>
      </c>
      <c r="F1092" s="14">
        <f t="shared" si="23"/>
        <v>38.601349999999996</v>
      </c>
      <c r="G1092" s="14">
        <f t="shared" si="23"/>
        <v>38.872716666666662</v>
      </c>
      <c r="H1092" s="14">
        <f t="shared" si="23"/>
        <v>38.737991666666666</v>
      </c>
      <c r="I1092" s="14">
        <f t="shared" si="23"/>
        <v>38.737991666666666</v>
      </c>
      <c r="J1092" s="14">
        <f t="shared" si="23"/>
        <v>38.737991666666666</v>
      </c>
      <c r="K1092" s="14">
        <f t="shared" si="23"/>
        <v>38.737991666666666</v>
      </c>
      <c r="L1092" s="14"/>
    </row>
    <row r="1093" spans="1:12" ht="15" x14ac:dyDescent="0.2">
      <c r="A1093" s="10">
        <v>2037</v>
      </c>
      <c r="B1093" s="14">
        <f>AVERAGE(B300:B311)</f>
        <v>39.834191666666662</v>
      </c>
      <c r="C1093" s="14">
        <f>AVERAGE(C300:C311)</f>
        <v>39.401933333333332</v>
      </c>
      <c r="D1093" s="14"/>
      <c r="E1093" s="14">
        <f t="shared" ref="E1093:K1093" si="24">AVERAGE(E300:E311)</f>
        <v>39.26529166666667</v>
      </c>
      <c r="F1093" s="14">
        <f t="shared" si="24"/>
        <v>39.26529166666667</v>
      </c>
      <c r="G1093" s="14">
        <f t="shared" si="24"/>
        <v>39.536674999999995</v>
      </c>
      <c r="H1093" s="14">
        <f t="shared" si="24"/>
        <v>39.401933333333332</v>
      </c>
      <c r="I1093" s="14">
        <f t="shared" si="24"/>
        <v>39.401933333333332</v>
      </c>
      <c r="J1093" s="14">
        <f t="shared" si="24"/>
        <v>39.401933333333332</v>
      </c>
      <c r="K1093" s="14">
        <f t="shared" si="24"/>
        <v>39.401933333333332</v>
      </c>
      <c r="L1093" s="14"/>
    </row>
    <row r="1094" spans="1:12" ht="15" x14ac:dyDescent="0.2">
      <c r="A1094" s="10">
        <f t="shared" ref="A1094:A1125" si="25">A1093+1</f>
        <v>2038</v>
      </c>
      <c r="B1094" s="14">
        <f>AVERAGE(B312:B323)</f>
        <v>40.510083333333334</v>
      </c>
      <c r="C1094" s="14">
        <f>AVERAGE(C312:C323)</f>
        <v>40.077841666666671</v>
      </c>
      <c r="D1094" s="14"/>
      <c r="E1094" s="14">
        <f t="shared" ref="E1094:K1094" si="26">AVERAGE(E312:E323)</f>
        <v>39.941183333333335</v>
      </c>
      <c r="F1094" s="14">
        <f t="shared" si="26"/>
        <v>39.941183333333335</v>
      </c>
      <c r="G1094" s="14">
        <f t="shared" si="26"/>
        <v>40.212575000000001</v>
      </c>
      <c r="H1094" s="14">
        <f t="shared" si="26"/>
        <v>40.077841666666671</v>
      </c>
      <c r="I1094" s="14">
        <f t="shared" si="26"/>
        <v>40.077841666666671</v>
      </c>
      <c r="J1094" s="14">
        <f t="shared" si="26"/>
        <v>40.077841666666671</v>
      </c>
      <c r="K1094" s="14">
        <f t="shared" si="26"/>
        <v>40.077841666666671</v>
      </c>
      <c r="L1094" s="14"/>
    </row>
    <row r="1095" spans="1:12" ht="15" x14ac:dyDescent="0.2">
      <c r="A1095" s="10">
        <f t="shared" si="25"/>
        <v>2039</v>
      </c>
      <c r="B1095" s="14">
        <f>AVERAGE(B324:B335)</f>
        <v>41.198150000000005</v>
      </c>
      <c r="C1095" s="14">
        <f>AVERAGE(C324:C335)</f>
        <v>40.765908333333336</v>
      </c>
      <c r="D1095" s="14"/>
      <c r="E1095" s="14">
        <f t="shared" ref="E1095:K1095" si="27">AVERAGE(E324:E335)</f>
        <v>40.629249999999999</v>
      </c>
      <c r="F1095" s="14">
        <f t="shared" si="27"/>
        <v>40.629249999999999</v>
      </c>
      <c r="G1095" s="14">
        <f t="shared" si="27"/>
        <v>40.900633333333332</v>
      </c>
      <c r="H1095" s="14">
        <f t="shared" si="27"/>
        <v>40.765908333333336</v>
      </c>
      <c r="I1095" s="14">
        <f t="shared" si="27"/>
        <v>40.765908333333336</v>
      </c>
      <c r="J1095" s="14">
        <f t="shared" si="27"/>
        <v>40.765908333333336</v>
      </c>
      <c r="K1095" s="14">
        <f t="shared" si="27"/>
        <v>40.765908333333336</v>
      </c>
      <c r="L1095" s="14"/>
    </row>
    <row r="1096" spans="1:12" ht="15" x14ac:dyDescent="0.2">
      <c r="A1096" s="10">
        <f t="shared" si="25"/>
        <v>2040</v>
      </c>
      <c r="B1096" s="14">
        <f>AVERAGE(B336:B347)</f>
        <v>41.898625000000003</v>
      </c>
      <c r="C1096" s="14">
        <f>AVERAGE(C336:C347)</f>
        <v>41.466333333333331</v>
      </c>
      <c r="D1096" s="14"/>
      <c r="E1096" s="14">
        <f t="shared" ref="E1096:K1096" si="28">AVERAGE(E336:E347)</f>
        <v>41.329724999999996</v>
      </c>
      <c r="F1096" s="14">
        <f t="shared" si="28"/>
        <v>41.329724999999996</v>
      </c>
      <c r="G1096" s="14">
        <f t="shared" si="28"/>
        <v>41.601083333333328</v>
      </c>
      <c r="H1096" s="14">
        <f t="shared" si="28"/>
        <v>41.466333333333331</v>
      </c>
      <c r="I1096" s="14">
        <f t="shared" si="28"/>
        <v>41.466333333333331</v>
      </c>
      <c r="J1096" s="14">
        <f t="shared" si="28"/>
        <v>41.466333333333331</v>
      </c>
      <c r="K1096" s="14">
        <f t="shared" si="28"/>
        <v>41.466333333333331</v>
      </c>
      <c r="L1096" s="14"/>
    </row>
    <row r="1097" spans="1:12" ht="15" x14ac:dyDescent="0.2">
      <c r="A1097" s="10">
        <f t="shared" si="25"/>
        <v>2041</v>
      </c>
      <c r="B1097" s="14">
        <f>AVERAGE(B348:B359)</f>
        <v>42.611666666666657</v>
      </c>
      <c r="C1097" s="14">
        <f>AVERAGE(C348:C359)</f>
        <v>42.179433333333328</v>
      </c>
      <c r="D1097" s="14"/>
      <c r="E1097" s="14">
        <f t="shared" ref="E1097:K1097" si="29">AVERAGE(E348:E359)</f>
        <v>42.042758333333332</v>
      </c>
      <c r="F1097" s="14">
        <f t="shared" si="29"/>
        <v>42.042758333333332</v>
      </c>
      <c r="G1097" s="14">
        <f t="shared" si="29"/>
        <v>42.314141666666664</v>
      </c>
      <c r="H1097" s="14">
        <f t="shared" si="29"/>
        <v>42.179433333333328</v>
      </c>
      <c r="I1097" s="14">
        <f t="shared" si="29"/>
        <v>42.179433333333328</v>
      </c>
      <c r="J1097" s="14">
        <f t="shared" si="29"/>
        <v>42.179433333333328</v>
      </c>
      <c r="K1097" s="14">
        <f t="shared" si="29"/>
        <v>42.179433333333328</v>
      </c>
      <c r="L1097" s="14"/>
    </row>
    <row r="1098" spans="1:12" ht="15" x14ac:dyDescent="0.2">
      <c r="A1098" s="10">
        <f t="shared" si="25"/>
        <v>2042</v>
      </c>
      <c r="B1098" s="14">
        <f>AVERAGE(B360:B371)</f>
        <v>43.337574999999994</v>
      </c>
      <c r="C1098" s="14">
        <f>AVERAGE(C360:C371)</f>
        <v>42.905324999999998</v>
      </c>
      <c r="D1098" s="14"/>
      <c r="E1098" s="14">
        <f t="shared" ref="E1098:K1098" si="30">AVERAGE(E360:E371)</f>
        <v>42.768666666666661</v>
      </c>
      <c r="F1098" s="14">
        <f t="shared" si="30"/>
        <v>42.768666666666661</v>
      </c>
      <c r="G1098" s="14">
        <f t="shared" si="30"/>
        <v>43.040058333333327</v>
      </c>
      <c r="H1098" s="14">
        <f t="shared" si="30"/>
        <v>42.905324999999998</v>
      </c>
      <c r="I1098" s="14">
        <f t="shared" si="30"/>
        <v>42.905324999999998</v>
      </c>
      <c r="J1098" s="14">
        <f t="shared" si="30"/>
        <v>42.905324999999998</v>
      </c>
      <c r="K1098" s="14">
        <f t="shared" si="30"/>
        <v>42.905324999999998</v>
      </c>
      <c r="L1098" s="14"/>
    </row>
    <row r="1099" spans="1:12" ht="15" x14ac:dyDescent="0.2">
      <c r="A1099" s="10">
        <f t="shared" si="25"/>
        <v>2043</v>
      </c>
      <c r="B1099" s="14">
        <f>AVERAGE(B372:B383)</f>
        <v>44.076558333333338</v>
      </c>
      <c r="C1099" s="14">
        <f>AVERAGE(C372:C383)</f>
        <v>43.644308333333328</v>
      </c>
      <c r="D1099" s="14"/>
      <c r="E1099" s="14">
        <f t="shared" ref="E1099:K1099" si="31">AVERAGE(E372:E383)</f>
        <v>43.507649999999991</v>
      </c>
      <c r="F1099" s="14">
        <f t="shared" si="31"/>
        <v>43.507649999999991</v>
      </c>
      <c r="G1099" s="14">
        <f t="shared" si="31"/>
        <v>43.779033333333331</v>
      </c>
      <c r="H1099" s="14">
        <f t="shared" si="31"/>
        <v>43.644308333333328</v>
      </c>
      <c r="I1099" s="14">
        <f t="shared" si="31"/>
        <v>43.644308333333328</v>
      </c>
      <c r="J1099" s="14">
        <f t="shared" si="31"/>
        <v>43.644308333333328</v>
      </c>
      <c r="K1099" s="14">
        <f t="shared" si="31"/>
        <v>43.644308333333328</v>
      </c>
      <c r="L1099" s="14"/>
    </row>
    <row r="1100" spans="1:12" ht="15" x14ac:dyDescent="0.2">
      <c r="A1100" s="10">
        <f t="shared" si="25"/>
        <v>2044</v>
      </c>
      <c r="B1100" s="14">
        <f>AVERAGE(B384:B395)</f>
        <v>44.828841666666669</v>
      </c>
      <c r="C1100" s="14">
        <f>AVERAGE(C384:C395)</f>
        <v>44.396583333333332</v>
      </c>
      <c r="D1100" s="14"/>
      <c r="E1100" s="14">
        <f t="shared" ref="E1100:K1100" si="32">AVERAGE(E384:E395)</f>
        <v>44.259916666666669</v>
      </c>
      <c r="F1100" s="14">
        <f t="shared" si="32"/>
        <v>44.259916666666669</v>
      </c>
      <c r="G1100" s="14">
        <f t="shared" si="32"/>
        <v>44.531299999999995</v>
      </c>
      <c r="H1100" s="14">
        <f t="shared" si="32"/>
        <v>44.396583333333332</v>
      </c>
      <c r="I1100" s="14">
        <f t="shared" si="32"/>
        <v>44.396583333333332</v>
      </c>
      <c r="J1100" s="14">
        <f t="shared" si="32"/>
        <v>44.396583333333332</v>
      </c>
      <c r="K1100" s="14">
        <f t="shared" si="32"/>
        <v>44.396583333333332</v>
      </c>
      <c r="L1100" s="14"/>
    </row>
    <row r="1101" spans="1:12" ht="15" x14ac:dyDescent="0.2">
      <c r="A1101" s="10">
        <f t="shared" si="25"/>
        <v>2045</v>
      </c>
      <c r="B1101" s="14">
        <f>AVERAGE(B396:B407)</f>
        <v>45.594658333333335</v>
      </c>
      <c r="C1101" s="14">
        <f>AVERAGE(C396:C407)</f>
        <v>45.162408333333332</v>
      </c>
      <c r="D1101" s="14"/>
      <c r="E1101" s="14">
        <f t="shared" ref="E1101:K1101" si="33">AVERAGE(E396:E407)</f>
        <v>45.025758333333329</v>
      </c>
      <c r="F1101" s="14">
        <f t="shared" si="33"/>
        <v>45.025758333333329</v>
      </c>
      <c r="G1101" s="14">
        <f t="shared" si="33"/>
        <v>45.297133333333335</v>
      </c>
      <c r="H1101" s="14">
        <f t="shared" si="33"/>
        <v>45.162408333333332</v>
      </c>
      <c r="I1101" s="14">
        <f t="shared" si="33"/>
        <v>45.162408333333332</v>
      </c>
      <c r="J1101" s="14">
        <f t="shared" si="33"/>
        <v>45.162408333333332</v>
      </c>
      <c r="K1101" s="14">
        <f t="shared" si="33"/>
        <v>45.162408333333332</v>
      </c>
      <c r="L1101" s="14"/>
    </row>
    <row r="1102" spans="1:12" ht="15" x14ac:dyDescent="0.2">
      <c r="A1102" s="10">
        <f t="shared" si="25"/>
        <v>2046</v>
      </c>
      <c r="B1102" s="14">
        <f>AVERAGE(B408:B419)</f>
        <v>46.374275000000004</v>
      </c>
      <c r="C1102" s="14">
        <f>AVERAGE(C408:C419)</f>
        <v>45.942033333333335</v>
      </c>
      <c r="D1102" s="14"/>
      <c r="E1102" s="14">
        <f t="shared" ref="E1102:K1102" si="34">AVERAGE(E408:E419)</f>
        <v>45.805374999999998</v>
      </c>
      <c r="F1102" s="14">
        <f t="shared" si="34"/>
        <v>45.805374999999998</v>
      </c>
      <c r="G1102" s="14">
        <f t="shared" si="34"/>
        <v>46.076733333333344</v>
      </c>
      <c r="H1102" s="14">
        <f t="shared" si="34"/>
        <v>45.942033333333335</v>
      </c>
      <c r="I1102" s="14">
        <f t="shared" si="34"/>
        <v>45.942033333333335</v>
      </c>
      <c r="J1102" s="14">
        <f t="shared" si="34"/>
        <v>45.942033333333335</v>
      </c>
      <c r="K1102" s="14">
        <f t="shared" si="34"/>
        <v>45.942033333333335</v>
      </c>
      <c r="L1102" s="14"/>
    </row>
    <row r="1103" spans="1:12" ht="15" x14ac:dyDescent="0.2">
      <c r="A1103" s="10">
        <f t="shared" si="25"/>
        <v>2047</v>
      </c>
      <c r="B1103" s="14">
        <f>AVERAGE(B420:B431)</f>
        <v>47.167924999999997</v>
      </c>
      <c r="C1103" s="14">
        <f>AVERAGE(C420:C431)</f>
        <v>46.735658333333326</v>
      </c>
      <c r="D1103" s="14"/>
      <c r="E1103" s="14">
        <f t="shared" ref="E1103:K1103" si="35">AVERAGE(E420:E431)</f>
        <v>46.59902499999999</v>
      </c>
      <c r="F1103" s="14">
        <f t="shared" si="35"/>
        <v>46.59902499999999</v>
      </c>
      <c r="G1103" s="14">
        <f t="shared" si="35"/>
        <v>46.870400000000011</v>
      </c>
      <c r="H1103" s="14">
        <f t="shared" si="35"/>
        <v>46.735658333333326</v>
      </c>
      <c r="I1103" s="14">
        <f t="shared" si="35"/>
        <v>46.735658333333326</v>
      </c>
      <c r="J1103" s="14">
        <f t="shared" si="35"/>
        <v>46.735658333333326</v>
      </c>
      <c r="K1103" s="14">
        <f t="shared" si="35"/>
        <v>46.735658333333326</v>
      </c>
      <c r="L1103" s="14"/>
    </row>
    <row r="1104" spans="1:12" ht="15" x14ac:dyDescent="0.2">
      <c r="A1104" s="10">
        <f t="shared" si="25"/>
        <v>2048</v>
      </c>
      <c r="B1104" s="14">
        <f>AVERAGE(B432:B443)</f>
        <v>47.975866666666661</v>
      </c>
      <c r="C1104" s="14">
        <f>AVERAGE(C432:C443)</f>
        <v>47.543608333333331</v>
      </c>
      <c r="D1104" s="14"/>
      <c r="E1104" s="14">
        <f t="shared" ref="E1104:K1104" si="36">AVERAGE(E432:E443)</f>
        <v>47.406958333333336</v>
      </c>
      <c r="F1104" s="14">
        <f t="shared" si="36"/>
        <v>47.406958333333336</v>
      </c>
      <c r="G1104" s="14">
        <f t="shared" si="36"/>
        <v>47.678324999999994</v>
      </c>
      <c r="H1104" s="14">
        <f t="shared" si="36"/>
        <v>47.543608333333331</v>
      </c>
      <c r="I1104" s="14">
        <f t="shared" si="36"/>
        <v>47.543608333333331</v>
      </c>
      <c r="J1104" s="14">
        <f t="shared" si="36"/>
        <v>47.543608333333331</v>
      </c>
      <c r="K1104" s="14">
        <f t="shared" si="36"/>
        <v>47.543608333333331</v>
      </c>
      <c r="L1104" s="14"/>
    </row>
    <row r="1105" spans="1:12" ht="15" x14ac:dyDescent="0.2">
      <c r="A1105" s="10">
        <f t="shared" si="25"/>
        <v>2049</v>
      </c>
      <c r="B1105" s="14">
        <f>AVERAGE(B444:B455)</f>
        <v>48.798358333333333</v>
      </c>
      <c r="C1105" s="14">
        <f>AVERAGE(C444:C455)</f>
        <v>48.366099999999996</v>
      </c>
      <c r="D1105" s="14"/>
      <c r="E1105" s="14">
        <f t="shared" ref="E1105:K1105" si="37">AVERAGE(E444:E455)</f>
        <v>48.229433333333333</v>
      </c>
      <c r="F1105" s="14">
        <f t="shared" si="37"/>
        <v>48.229433333333333</v>
      </c>
      <c r="G1105" s="14">
        <f t="shared" si="37"/>
        <v>48.500808333333332</v>
      </c>
      <c r="H1105" s="14">
        <f t="shared" si="37"/>
        <v>48.366099999999996</v>
      </c>
      <c r="I1105" s="14">
        <f t="shared" si="37"/>
        <v>48.366099999999996</v>
      </c>
      <c r="J1105" s="14">
        <f t="shared" si="37"/>
        <v>48.366099999999996</v>
      </c>
      <c r="K1105" s="14">
        <f t="shared" si="37"/>
        <v>48.366099999999996</v>
      </c>
      <c r="L1105" s="14"/>
    </row>
    <row r="1106" spans="1:12" ht="15" x14ac:dyDescent="0.2">
      <c r="A1106" s="10">
        <f t="shared" si="25"/>
        <v>2050</v>
      </c>
      <c r="B1106" s="14">
        <f>AVERAGE(B456:B467)</f>
        <v>49.635633333333338</v>
      </c>
      <c r="C1106" s="14">
        <f>AVERAGE(C456:C467)</f>
        <v>49.203408333333336</v>
      </c>
      <c r="D1106" s="14"/>
      <c r="E1106" s="14">
        <f t="shared" ref="E1106:K1106" si="38">AVERAGE(E456:E467)</f>
        <v>49.066716666666657</v>
      </c>
      <c r="F1106" s="14">
        <f t="shared" si="38"/>
        <v>49.066716666666657</v>
      </c>
      <c r="G1106" s="14">
        <f t="shared" si="38"/>
        <v>49.338108333333345</v>
      </c>
      <c r="H1106" s="14">
        <f t="shared" si="38"/>
        <v>49.203408333333336</v>
      </c>
      <c r="I1106" s="14">
        <f t="shared" si="38"/>
        <v>49.203408333333336</v>
      </c>
      <c r="J1106" s="14">
        <f t="shared" si="38"/>
        <v>49.203408333333336</v>
      </c>
      <c r="K1106" s="14">
        <f t="shared" si="38"/>
        <v>49.203408333333336</v>
      </c>
      <c r="L1106" s="14"/>
    </row>
    <row r="1107" spans="1:12" ht="15" x14ac:dyDescent="0.2">
      <c r="A1107" s="10">
        <f t="shared" si="25"/>
        <v>2051</v>
      </c>
      <c r="B1107" s="14">
        <f>AVERAGE(B468:B479)</f>
        <v>50.488008333333333</v>
      </c>
      <c r="C1107" s="14">
        <f>AVERAGE(C468:C479)</f>
        <v>50.055766666666671</v>
      </c>
      <c r="D1107" s="14"/>
      <c r="E1107" s="14">
        <f t="shared" ref="E1107:K1107" si="39">AVERAGE(E468:E479)</f>
        <v>49.919091666666652</v>
      </c>
      <c r="F1107" s="14">
        <f t="shared" si="39"/>
        <v>49.919091666666652</v>
      </c>
      <c r="G1107" s="14">
        <f t="shared" si="39"/>
        <v>50.190483333333333</v>
      </c>
      <c r="H1107" s="14">
        <f t="shared" si="39"/>
        <v>50.055766666666671</v>
      </c>
      <c r="I1107" s="14">
        <f t="shared" si="39"/>
        <v>50.055766666666671</v>
      </c>
      <c r="J1107" s="14">
        <f t="shared" si="39"/>
        <v>50.055766666666671</v>
      </c>
      <c r="K1107" s="14">
        <f t="shared" si="39"/>
        <v>50.055766666666671</v>
      </c>
      <c r="L1107" s="14"/>
    </row>
    <row r="1108" spans="1:12" ht="15" x14ac:dyDescent="0.2">
      <c r="A1108" s="10">
        <f t="shared" si="25"/>
        <v>2052</v>
      </c>
      <c r="B1108" s="14">
        <f>AVERAGE(B480:B491)</f>
        <v>51.355741666666667</v>
      </c>
      <c r="C1108" s="14">
        <f>AVERAGE(C480:C491)</f>
        <v>50.923483333333344</v>
      </c>
      <c r="D1108" s="14"/>
      <c r="E1108" s="14">
        <f t="shared" ref="E1108:K1108" si="40">AVERAGE(E480:E491)</f>
        <v>50.786833333333334</v>
      </c>
      <c r="F1108" s="14">
        <f t="shared" si="40"/>
        <v>50.786833333333334</v>
      </c>
      <c r="G1108" s="14">
        <f t="shared" si="40"/>
        <v>51.058199999999992</v>
      </c>
      <c r="H1108" s="14">
        <f t="shared" si="40"/>
        <v>50.923483333333344</v>
      </c>
      <c r="I1108" s="14">
        <f t="shared" si="40"/>
        <v>50.923483333333344</v>
      </c>
      <c r="J1108" s="14">
        <f t="shared" si="40"/>
        <v>50.923483333333344</v>
      </c>
      <c r="K1108" s="14">
        <f t="shared" si="40"/>
        <v>50.923483333333344</v>
      </c>
      <c r="L1108" s="14"/>
    </row>
    <row r="1109" spans="1:12" ht="15" x14ac:dyDescent="0.2">
      <c r="A1109" s="10">
        <f t="shared" si="25"/>
        <v>2053</v>
      </c>
      <c r="B1109" s="14">
        <f>AVERAGE(B492:B503)</f>
        <v>52.239075000000007</v>
      </c>
      <c r="C1109" s="14">
        <f>AVERAGE(C492:C503)</f>
        <v>51.806833333333344</v>
      </c>
      <c r="D1109" s="14"/>
      <c r="E1109" s="14">
        <f t="shared" ref="E1109:K1109" si="41">AVERAGE(E492:E503)</f>
        <v>51.67015833333334</v>
      </c>
      <c r="F1109" s="14">
        <f t="shared" si="41"/>
        <v>51.67015833333334</v>
      </c>
      <c r="G1109" s="14">
        <f t="shared" si="41"/>
        <v>51.941549999999999</v>
      </c>
      <c r="H1109" s="14">
        <f t="shared" si="41"/>
        <v>51.806833333333344</v>
      </c>
      <c r="I1109" s="14">
        <f t="shared" si="41"/>
        <v>51.806833333333344</v>
      </c>
      <c r="J1109" s="14">
        <f t="shared" si="41"/>
        <v>51.806833333333344</v>
      </c>
      <c r="K1109" s="14">
        <f t="shared" si="41"/>
        <v>51.806833333333344</v>
      </c>
      <c r="L1109" s="14"/>
    </row>
    <row r="1110" spans="1:12" ht="15" x14ac:dyDescent="0.2">
      <c r="A1110" s="10">
        <f t="shared" si="25"/>
        <v>2054</v>
      </c>
      <c r="B1110" s="14">
        <f>AVERAGE(B504:B515)</f>
        <v>53.138308333333327</v>
      </c>
      <c r="C1110" s="14">
        <f>AVERAGE(C504:C515)</f>
        <v>52.706074999999998</v>
      </c>
      <c r="D1110" s="14"/>
      <c r="E1110" s="14">
        <f t="shared" ref="E1110:K1110" si="42">AVERAGE(E504:E515)</f>
        <v>52.569408333333335</v>
      </c>
      <c r="F1110" s="14">
        <f t="shared" si="42"/>
        <v>52.569408333333335</v>
      </c>
      <c r="G1110" s="14">
        <f t="shared" si="42"/>
        <v>52.840775000000008</v>
      </c>
      <c r="H1110" s="14">
        <f t="shared" si="42"/>
        <v>52.706074999999998</v>
      </c>
      <c r="I1110" s="14">
        <f t="shared" si="42"/>
        <v>52.706074999999998</v>
      </c>
      <c r="J1110" s="14">
        <f t="shared" si="42"/>
        <v>52.706074999999998</v>
      </c>
      <c r="K1110" s="14">
        <f t="shared" si="42"/>
        <v>52.706074999999998</v>
      </c>
      <c r="L1110" s="14"/>
    </row>
    <row r="1111" spans="1:12" ht="15" x14ac:dyDescent="0.2">
      <c r="A1111" s="10">
        <f t="shared" si="25"/>
        <v>2055</v>
      </c>
      <c r="B1111" s="14">
        <f>AVERAGE(B516:B527)</f>
        <v>54.053750000000001</v>
      </c>
      <c r="C1111" s="14">
        <f>AVERAGE(C516:C527)</f>
        <v>53.621508333333331</v>
      </c>
      <c r="D1111" s="14"/>
      <c r="E1111" s="14">
        <f t="shared" ref="E1111:K1111" si="43">AVERAGE(E516:E527)</f>
        <v>53.484850000000002</v>
      </c>
      <c r="F1111" s="14">
        <f t="shared" si="43"/>
        <v>53.484850000000002</v>
      </c>
      <c r="G1111" s="14">
        <f t="shared" si="43"/>
        <v>53.756225000000001</v>
      </c>
      <c r="H1111" s="14">
        <f t="shared" si="43"/>
        <v>53.621508333333331</v>
      </c>
      <c r="I1111" s="14">
        <f t="shared" si="43"/>
        <v>53.621508333333331</v>
      </c>
      <c r="J1111" s="14">
        <f t="shared" si="43"/>
        <v>53.621508333333331</v>
      </c>
      <c r="K1111" s="14">
        <f t="shared" si="43"/>
        <v>53.621508333333331</v>
      </c>
      <c r="L1111" s="14"/>
    </row>
    <row r="1112" spans="1:12" ht="15" x14ac:dyDescent="0.2">
      <c r="A1112" s="10">
        <f t="shared" si="25"/>
        <v>2056</v>
      </c>
      <c r="B1112" s="14">
        <f>AVERAGE(B528:B539)</f>
        <v>54.985666666666653</v>
      </c>
      <c r="C1112" s="14">
        <f>AVERAGE(C528:C539)</f>
        <v>54.55340833333333</v>
      </c>
      <c r="D1112" s="14"/>
      <c r="E1112" s="14">
        <f t="shared" ref="E1112:K1112" si="44">AVERAGE(E528:E539)</f>
        <v>54.416766666666661</v>
      </c>
      <c r="F1112" s="14">
        <f t="shared" si="44"/>
        <v>54.416766666666661</v>
      </c>
      <c r="G1112" s="14">
        <f t="shared" si="44"/>
        <v>54.68815</v>
      </c>
      <c r="H1112" s="14">
        <f t="shared" si="44"/>
        <v>54.55340833333333</v>
      </c>
      <c r="I1112" s="14">
        <f t="shared" si="44"/>
        <v>54.55340833333333</v>
      </c>
      <c r="J1112" s="14">
        <f t="shared" si="44"/>
        <v>54.55340833333333</v>
      </c>
      <c r="K1112" s="14">
        <f t="shared" si="44"/>
        <v>54.55340833333333</v>
      </c>
      <c r="L1112" s="14"/>
    </row>
    <row r="1113" spans="1:12" ht="15" x14ac:dyDescent="0.2">
      <c r="A1113" s="10">
        <f t="shared" si="25"/>
        <v>2057</v>
      </c>
      <c r="B1113" s="14">
        <f>AVERAGE(B540:B551)</f>
        <v>55.934358333333329</v>
      </c>
      <c r="C1113" s="14">
        <f>AVERAGE(C540:C551)</f>
        <v>55.502124999999999</v>
      </c>
      <c r="D1113" s="14"/>
      <c r="E1113" s="14">
        <f t="shared" ref="E1113:K1113" si="45">AVERAGE(E540:E551)</f>
        <v>55.365458333333343</v>
      </c>
      <c r="F1113" s="14">
        <f t="shared" si="45"/>
        <v>55.365458333333343</v>
      </c>
      <c r="G1113" s="14">
        <f t="shared" si="45"/>
        <v>55.636833333333335</v>
      </c>
      <c r="H1113" s="14">
        <f t="shared" si="45"/>
        <v>55.502124999999999</v>
      </c>
      <c r="I1113" s="14">
        <f t="shared" si="45"/>
        <v>55.502124999999999</v>
      </c>
      <c r="J1113" s="14">
        <f t="shared" si="45"/>
        <v>55.502124999999999</v>
      </c>
      <c r="K1113" s="14">
        <f t="shared" si="45"/>
        <v>55.502124999999999</v>
      </c>
      <c r="L1113" s="14"/>
    </row>
    <row r="1114" spans="1:12" ht="15" x14ac:dyDescent="0.2">
      <c r="A1114" s="10">
        <f t="shared" si="25"/>
        <v>2058</v>
      </c>
      <c r="B1114" s="14">
        <f>AVERAGE(B552:B563)</f>
        <v>56.900150000000004</v>
      </c>
      <c r="C1114" s="14">
        <f>AVERAGE(C552:C563)</f>
        <v>56.467899999999986</v>
      </c>
      <c r="D1114" s="14"/>
      <c r="E1114" s="14">
        <f t="shared" ref="E1114:K1114" si="46">AVERAGE(E552:E563)</f>
        <v>56.33123333333333</v>
      </c>
      <c r="F1114" s="14">
        <f t="shared" si="46"/>
        <v>56.33123333333333</v>
      </c>
      <c r="G1114" s="14">
        <f t="shared" si="46"/>
        <v>56.602616666666655</v>
      </c>
      <c r="H1114" s="14">
        <f t="shared" si="46"/>
        <v>56.467899999999986</v>
      </c>
      <c r="I1114" s="14">
        <f t="shared" si="46"/>
        <v>56.467899999999986</v>
      </c>
      <c r="J1114" s="14">
        <f t="shared" si="46"/>
        <v>56.467899999999986</v>
      </c>
      <c r="K1114" s="14">
        <f t="shared" si="46"/>
        <v>56.467899999999986</v>
      </c>
      <c r="L1114" s="14"/>
    </row>
    <row r="1115" spans="1:12" ht="15" x14ac:dyDescent="0.2">
      <c r="A1115" s="10">
        <f t="shared" si="25"/>
        <v>2059</v>
      </c>
      <c r="B1115" s="14">
        <f>AVERAGE(B564:B575)</f>
        <v>57.883299999999991</v>
      </c>
      <c r="C1115" s="14">
        <f>AVERAGE(C564:C575)</f>
        <v>57.451066666666662</v>
      </c>
      <c r="D1115" s="14"/>
      <c r="E1115" s="14">
        <f t="shared" ref="E1115:K1115" si="47">AVERAGE(E564:E575)</f>
        <v>57.314399999999999</v>
      </c>
      <c r="F1115" s="14">
        <f t="shared" si="47"/>
        <v>57.314399999999999</v>
      </c>
      <c r="G1115" s="14">
        <f t="shared" si="47"/>
        <v>57.585791666666665</v>
      </c>
      <c r="H1115" s="14">
        <f t="shared" si="47"/>
        <v>57.451066666666662</v>
      </c>
      <c r="I1115" s="14">
        <f t="shared" si="47"/>
        <v>57.451066666666662</v>
      </c>
      <c r="J1115" s="14">
        <f t="shared" si="47"/>
        <v>57.451066666666662</v>
      </c>
      <c r="K1115" s="14">
        <f t="shared" si="47"/>
        <v>57.451066666666662</v>
      </c>
      <c r="L1115" s="14"/>
    </row>
    <row r="1116" spans="1:12" ht="15" x14ac:dyDescent="0.2">
      <c r="A1116" s="10">
        <f t="shared" si="25"/>
        <v>2060</v>
      </c>
      <c r="B1116" s="14">
        <f>AVERAGE(B576:B587)</f>
        <v>58.884191666666652</v>
      </c>
      <c r="C1116" s="14">
        <f>AVERAGE(C576:C587)</f>
        <v>58.451933333333336</v>
      </c>
      <c r="D1116" s="14"/>
      <c r="E1116" s="14">
        <f t="shared" ref="E1116:K1116" si="48">AVERAGE(E576:E587)</f>
        <v>58.315275000000007</v>
      </c>
      <c r="F1116" s="14">
        <f t="shared" si="48"/>
        <v>58.315275000000007</v>
      </c>
      <c r="G1116" s="14">
        <f t="shared" si="48"/>
        <v>58.586649999999992</v>
      </c>
      <c r="H1116" s="14">
        <f t="shared" si="48"/>
        <v>58.451933333333336</v>
      </c>
      <c r="I1116" s="14">
        <f t="shared" si="48"/>
        <v>58.451933333333336</v>
      </c>
      <c r="J1116" s="14">
        <f t="shared" si="48"/>
        <v>58.451933333333336</v>
      </c>
      <c r="K1116" s="14">
        <f t="shared" si="48"/>
        <v>58.451933333333336</v>
      </c>
      <c r="L1116" s="14"/>
    </row>
    <row r="1117" spans="1:12" ht="15" x14ac:dyDescent="0.2">
      <c r="A1117" s="10">
        <f t="shared" si="25"/>
        <v>2061</v>
      </c>
      <c r="B1117" s="14">
        <f>AVERAGE(B588:B599)</f>
        <v>59.903075000000001</v>
      </c>
      <c r="C1117" s="14">
        <f>AVERAGE(C588:C599)</f>
        <v>59.470816666666678</v>
      </c>
      <c r="D1117" s="14"/>
      <c r="E1117" s="14">
        <f t="shared" ref="E1117:K1117" si="49">AVERAGE(E588:E599)</f>
        <v>59.334166666666668</v>
      </c>
      <c r="F1117" s="14">
        <f t="shared" si="49"/>
        <v>59.334166666666668</v>
      </c>
      <c r="G1117" s="14">
        <f t="shared" si="49"/>
        <v>59.605533333333334</v>
      </c>
      <c r="H1117" s="14">
        <f t="shared" si="49"/>
        <v>59.470816666666678</v>
      </c>
      <c r="I1117" s="14">
        <f t="shared" si="49"/>
        <v>59.470816666666678</v>
      </c>
      <c r="J1117" s="14">
        <f t="shared" si="49"/>
        <v>59.470816666666678</v>
      </c>
      <c r="K1117" s="14">
        <f t="shared" si="49"/>
        <v>59.470816666666678</v>
      </c>
      <c r="L1117" s="14"/>
    </row>
    <row r="1118" spans="1:12" ht="15" x14ac:dyDescent="0.2">
      <c r="A1118" s="10">
        <f t="shared" si="25"/>
        <v>2062</v>
      </c>
      <c r="B1118" s="14">
        <f t="shared" ref="B1118:C1137" ca="1" si="50">AVERAGE(OFFSET(B$600,($A1118-$A$1118)*12,0,12,1))</f>
        <v>60.940300000000008</v>
      </c>
      <c r="C1118" s="14">
        <f t="shared" ca="1" si="50"/>
        <v>60.508058333333338</v>
      </c>
      <c r="D1118" s="14"/>
      <c r="E1118" s="14">
        <f t="shared" ref="E1118:K1127" ca="1" si="51">AVERAGE(OFFSET(E$600,($A1118-$A$1118)*12,0,12,1))</f>
        <v>60.371399999999994</v>
      </c>
      <c r="F1118" s="14">
        <f t="shared" ca="1" si="51"/>
        <v>60.371399999999994</v>
      </c>
      <c r="G1118" s="14">
        <f t="shared" ca="1" si="51"/>
        <v>60.642783333333334</v>
      </c>
      <c r="H1118" s="14">
        <f t="shared" ca="1" si="51"/>
        <v>60.508058333333338</v>
      </c>
      <c r="I1118" s="14">
        <f t="shared" ca="1" si="51"/>
        <v>60.508058333333338</v>
      </c>
      <c r="J1118" s="14">
        <f t="shared" ca="1" si="51"/>
        <v>60.508058333333338</v>
      </c>
      <c r="K1118" s="14">
        <f t="shared" ca="1" si="51"/>
        <v>60.508058333333338</v>
      </c>
    </row>
    <row r="1119" spans="1:12" ht="15" x14ac:dyDescent="0.2">
      <c r="A1119" s="10">
        <f t="shared" si="25"/>
        <v>2063</v>
      </c>
      <c r="B1119" s="14">
        <f t="shared" ca="1" si="50"/>
        <v>61.996216666666662</v>
      </c>
      <c r="C1119" s="14">
        <f t="shared" ca="1" si="50"/>
        <v>61.563958333333339</v>
      </c>
      <c r="D1119" s="14"/>
      <c r="E1119" s="14">
        <f t="shared" ca="1" si="51"/>
        <v>61.427300000000002</v>
      </c>
      <c r="F1119" s="14">
        <f t="shared" ca="1" si="51"/>
        <v>61.427300000000002</v>
      </c>
      <c r="G1119" s="14">
        <f t="shared" ca="1" si="51"/>
        <v>61.698674999999987</v>
      </c>
      <c r="H1119" s="14">
        <f t="shared" ca="1" si="51"/>
        <v>61.563958333333339</v>
      </c>
      <c r="I1119" s="14">
        <f t="shared" ca="1" si="51"/>
        <v>61.563958333333339</v>
      </c>
      <c r="J1119" s="14">
        <f t="shared" ca="1" si="51"/>
        <v>61.563958333333339</v>
      </c>
      <c r="K1119" s="14">
        <f t="shared" ca="1" si="51"/>
        <v>61.563958333333339</v>
      </c>
    </row>
    <row r="1120" spans="1:12" ht="15" x14ac:dyDescent="0.2">
      <c r="A1120" s="10">
        <f t="shared" si="25"/>
        <v>2064</v>
      </c>
      <c r="B1120" s="14">
        <f t="shared" ca="1" si="50"/>
        <v>63.071116666666661</v>
      </c>
      <c r="C1120" s="14">
        <f t="shared" ca="1" si="50"/>
        <v>62.638908333333326</v>
      </c>
      <c r="D1120" s="14"/>
      <c r="E1120" s="14">
        <f t="shared" ca="1" si="51"/>
        <v>62.502216666666669</v>
      </c>
      <c r="F1120" s="14">
        <f t="shared" ca="1" si="51"/>
        <v>62.502216666666669</v>
      </c>
      <c r="G1120" s="14">
        <f t="shared" ca="1" si="51"/>
        <v>62.773608333333335</v>
      </c>
      <c r="H1120" s="14">
        <f t="shared" ca="1" si="51"/>
        <v>62.638908333333326</v>
      </c>
      <c r="I1120" s="14">
        <f t="shared" ca="1" si="51"/>
        <v>62.638908333333326</v>
      </c>
      <c r="J1120" s="14">
        <f t="shared" ca="1" si="51"/>
        <v>62.638908333333326</v>
      </c>
      <c r="K1120" s="14">
        <f t="shared" ca="1" si="51"/>
        <v>62.638908333333326</v>
      </c>
    </row>
    <row r="1121" spans="1:11" ht="15" x14ac:dyDescent="0.2">
      <c r="A1121" s="10">
        <f t="shared" si="25"/>
        <v>2065</v>
      </c>
      <c r="B1121" s="14">
        <f t="shared" ca="1" si="50"/>
        <v>64.165400000000005</v>
      </c>
      <c r="C1121" s="14">
        <f t="shared" ca="1" si="50"/>
        <v>63.733158333333336</v>
      </c>
      <c r="D1121" s="14"/>
      <c r="E1121" s="14">
        <f t="shared" ca="1" si="51"/>
        <v>63.596483333333332</v>
      </c>
      <c r="F1121" s="14">
        <f t="shared" ca="1" si="51"/>
        <v>63.596483333333332</v>
      </c>
      <c r="G1121" s="14">
        <f t="shared" ca="1" si="51"/>
        <v>63.867883333333339</v>
      </c>
      <c r="H1121" s="14">
        <f t="shared" ca="1" si="51"/>
        <v>63.733158333333336</v>
      </c>
      <c r="I1121" s="14">
        <f t="shared" ca="1" si="51"/>
        <v>63.733158333333336</v>
      </c>
      <c r="J1121" s="14">
        <f t="shared" ca="1" si="51"/>
        <v>63.733158333333336</v>
      </c>
      <c r="K1121" s="14">
        <f t="shared" ca="1" si="51"/>
        <v>63.733158333333336</v>
      </c>
    </row>
    <row r="1122" spans="1:11" ht="15" x14ac:dyDescent="0.2">
      <c r="A1122" s="10">
        <f t="shared" si="25"/>
        <v>2066</v>
      </c>
      <c r="B1122" s="14">
        <f t="shared" ca="1" si="50"/>
        <v>65.279383333333328</v>
      </c>
      <c r="C1122" s="14">
        <f t="shared" ca="1" si="50"/>
        <v>64.847124999999991</v>
      </c>
      <c r="D1122" s="14"/>
      <c r="E1122" s="14">
        <f t="shared" ca="1" si="51"/>
        <v>64.710483333333329</v>
      </c>
      <c r="F1122" s="14">
        <f t="shared" ca="1" si="51"/>
        <v>64.710483333333329</v>
      </c>
      <c r="G1122" s="14">
        <f t="shared" ca="1" si="51"/>
        <v>64.981858333333321</v>
      </c>
      <c r="H1122" s="14">
        <f t="shared" ca="1" si="51"/>
        <v>64.847124999999991</v>
      </c>
      <c r="I1122" s="14">
        <f t="shared" ca="1" si="51"/>
        <v>64.847124999999991</v>
      </c>
      <c r="J1122" s="14">
        <f t="shared" ca="1" si="51"/>
        <v>64.847124999999991</v>
      </c>
      <c r="K1122" s="14">
        <f t="shared" ca="1" si="51"/>
        <v>64.847124999999991</v>
      </c>
    </row>
    <row r="1123" spans="1:11" ht="15" x14ac:dyDescent="0.2">
      <c r="A1123" s="10">
        <f t="shared" si="25"/>
        <v>2067</v>
      </c>
      <c r="B1123" s="14">
        <f t="shared" ca="1" si="50"/>
        <v>66.413424999999989</v>
      </c>
      <c r="C1123" s="14">
        <f t="shared" ca="1" si="50"/>
        <v>65.981166666666667</v>
      </c>
      <c r="D1123" s="14"/>
      <c r="E1123" s="14">
        <f t="shared" ca="1" si="51"/>
        <v>65.84452499999999</v>
      </c>
      <c r="F1123" s="14">
        <f t="shared" ca="1" si="51"/>
        <v>65.84452499999999</v>
      </c>
      <c r="G1123" s="14">
        <f t="shared" ca="1" si="51"/>
        <v>66.115891666666656</v>
      </c>
      <c r="H1123" s="14">
        <f t="shared" ca="1" si="51"/>
        <v>65.981166666666667</v>
      </c>
      <c r="I1123" s="14">
        <f t="shared" ca="1" si="51"/>
        <v>65.981166666666667</v>
      </c>
      <c r="J1123" s="14">
        <f t="shared" ca="1" si="51"/>
        <v>65.981166666666667</v>
      </c>
      <c r="K1123" s="14">
        <f t="shared" ca="1" si="51"/>
        <v>65.981166666666667</v>
      </c>
    </row>
    <row r="1124" spans="1:11" ht="15" x14ac:dyDescent="0.2">
      <c r="A1124" s="10">
        <f t="shared" si="25"/>
        <v>2068</v>
      </c>
      <c r="B1124" s="14">
        <f t="shared" ca="1" si="50"/>
        <v>67.567866666666674</v>
      </c>
      <c r="C1124" s="14">
        <f t="shared" ca="1" si="50"/>
        <v>67.135599999999997</v>
      </c>
      <c r="D1124" s="14"/>
      <c r="E1124" s="14">
        <f t="shared" ca="1" si="51"/>
        <v>66.998966666666647</v>
      </c>
      <c r="F1124" s="14">
        <f t="shared" ca="1" si="51"/>
        <v>66.998966666666647</v>
      </c>
      <c r="G1124" s="14">
        <f t="shared" ca="1" si="51"/>
        <v>67.270341666666681</v>
      </c>
      <c r="H1124" s="14">
        <f t="shared" ca="1" si="51"/>
        <v>67.135599999999997</v>
      </c>
      <c r="I1124" s="14">
        <f t="shared" ca="1" si="51"/>
        <v>67.135599999999997</v>
      </c>
      <c r="J1124" s="14">
        <f t="shared" ca="1" si="51"/>
        <v>67.135599999999997</v>
      </c>
      <c r="K1124" s="14">
        <f t="shared" ca="1" si="51"/>
        <v>67.135599999999997</v>
      </c>
    </row>
    <row r="1125" spans="1:11" ht="15" x14ac:dyDescent="0.2">
      <c r="A1125" s="10">
        <f t="shared" si="25"/>
        <v>2069</v>
      </c>
      <c r="B1125" s="14">
        <f t="shared" ca="1" si="50"/>
        <v>68.743099999999984</v>
      </c>
      <c r="C1125" s="14">
        <f t="shared" ca="1" si="50"/>
        <v>68.310858333333343</v>
      </c>
      <c r="D1125" s="14"/>
      <c r="E1125" s="14">
        <f t="shared" ca="1" si="51"/>
        <v>68.174199999999999</v>
      </c>
      <c r="F1125" s="14">
        <f t="shared" ca="1" si="51"/>
        <v>68.174199999999999</v>
      </c>
      <c r="G1125" s="14">
        <f t="shared" ca="1" si="51"/>
        <v>68.445583333333346</v>
      </c>
      <c r="H1125" s="14">
        <f t="shared" ca="1" si="51"/>
        <v>68.310858333333343</v>
      </c>
      <c r="I1125" s="14">
        <f t="shared" ca="1" si="51"/>
        <v>68.310858333333343</v>
      </c>
      <c r="J1125" s="14">
        <f t="shared" ca="1" si="51"/>
        <v>68.310858333333343</v>
      </c>
      <c r="K1125" s="14">
        <f t="shared" ca="1" si="51"/>
        <v>68.310858333333343</v>
      </c>
    </row>
    <row r="1126" spans="1:11" ht="15" x14ac:dyDescent="0.2">
      <c r="A1126" s="10">
        <f t="shared" ref="A1126:A1156" si="52">A1125+1</f>
        <v>2070</v>
      </c>
      <c r="B1126" s="14">
        <f t="shared" ca="1" si="50"/>
        <v>69.939508333333336</v>
      </c>
      <c r="C1126" s="14">
        <f t="shared" ca="1" si="50"/>
        <v>69.507241666666673</v>
      </c>
      <c r="D1126" s="14"/>
      <c r="E1126" s="14">
        <f t="shared" ca="1" si="51"/>
        <v>69.370599999999996</v>
      </c>
      <c r="F1126" s="14">
        <f t="shared" ca="1" si="51"/>
        <v>69.370599999999996</v>
      </c>
      <c r="G1126" s="14">
        <f t="shared" ca="1" si="51"/>
        <v>69.641975000000002</v>
      </c>
      <c r="H1126" s="14">
        <f t="shared" ca="1" si="51"/>
        <v>69.507241666666673</v>
      </c>
      <c r="I1126" s="14">
        <f t="shared" ca="1" si="51"/>
        <v>69.507241666666673</v>
      </c>
      <c r="J1126" s="14">
        <f t="shared" ca="1" si="51"/>
        <v>69.507241666666673</v>
      </c>
      <c r="K1126" s="14">
        <f t="shared" ca="1" si="51"/>
        <v>69.507241666666673</v>
      </c>
    </row>
    <row r="1127" spans="1:11" ht="15" x14ac:dyDescent="0.2">
      <c r="A1127" s="10">
        <f t="shared" si="52"/>
        <v>2071</v>
      </c>
      <c r="B1127" s="14">
        <f t="shared" ca="1" si="50"/>
        <v>71.157441666666656</v>
      </c>
      <c r="C1127" s="14">
        <f t="shared" ca="1" si="50"/>
        <v>70.725183333333334</v>
      </c>
      <c r="D1127" s="14"/>
      <c r="E1127" s="14">
        <f t="shared" ca="1" si="51"/>
        <v>70.588541666666671</v>
      </c>
      <c r="F1127" s="14">
        <f t="shared" ca="1" si="51"/>
        <v>70.588541666666671</v>
      </c>
      <c r="G1127" s="14">
        <f t="shared" ca="1" si="51"/>
        <v>70.859908333333337</v>
      </c>
      <c r="H1127" s="14">
        <f t="shared" ca="1" si="51"/>
        <v>70.725183333333334</v>
      </c>
      <c r="I1127" s="14">
        <f t="shared" ca="1" si="51"/>
        <v>70.725183333333334</v>
      </c>
      <c r="J1127" s="14">
        <f t="shared" ca="1" si="51"/>
        <v>70.725183333333334</v>
      </c>
      <c r="K1127" s="14">
        <f t="shared" ca="1" si="51"/>
        <v>70.725183333333334</v>
      </c>
    </row>
    <row r="1128" spans="1:11" ht="15" x14ac:dyDescent="0.2">
      <c r="A1128" s="10">
        <f t="shared" si="52"/>
        <v>2072</v>
      </c>
      <c r="B1128" s="14">
        <f t="shared" ca="1" si="50"/>
        <v>72.397308333333328</v>
      </c>
      <c r="C1128" s="14">
        <f t="shared" ca="1" si="50"/>
        <v>71.965058333333346</v>
      </c>
      <c r="D1128" s="14"/>
      <c r="E1128" s="14">
        <f t="shared" ref="E1128:K1137" ca="1" si="53">AVERAGE(OFFSET(E$600,($A1128-$A$1118)*12,0,12,1))</f>
        <v>71.828408333333343</v>
      </c>
      <c r="F1128" s="14">
        <f t="shared" ca="1" si="53"/>
        <v>71.828408333333343</v>
      </c>
      <c r="G1128" s="14">
        <f t="shared" ca="1" si="53"/>
        <v>72.099800000000002</v>
      </c>
      <c r="H1128" s="14">
        <f t="shared" ca="1" si="53"/>
        <v>71.965058333333346</v>
      </c>
      <c r="I1128" s="14">
        <f t="shared" ca="1" si="53"/>
        <v>71.965058333333346</v>
      </c>
      <c r="J1128" s="14">
        <f t="shared" ca="1" si="53"/>
        <v>71.965058333333346</v>
      </c>
      <c r="K1128" s="14">
        <f t="shared" ca="1" si="53"/>
        <v>71.965058333333346</v>
      </c>
    </row>
    <row r="1129" spans="1:11" ht="15" x14ac:dyDescent="0.2">
      <c r="A1129" s="10">
        <f t="shared" si="52"/>
        <v>2073</v>
      </c>
      <c r="B1129" s="14">
        <f t="shared" ca="1" si="50"/>
        <v>73.659499999999994</v>
      </c>
      <c r="C1129" s="14">
        <f t="shared" ca="1" si="50"/>
        <v>73.227249999999998</v>
      </c>
      <c r="D1129" s="14"/>
      <c r="E1129" s="14">
        <f t="shared" ca="1" si="53"/>
        <v>73.090591666666668</v>
      </c>
      <c r="F1129" s="14">
        <f t="shared" ca="1" si="53"/>
        <v>73.090591666666668</v>
      </c>
      <c r="G1129" s="14">
        <f t="shared" ca="1" si="53"/>
        <v>73.361974999999987</v>
      </c>
      <c r="H1129" s="14">
        <f t="shared" ca="1" si="53"/>
        <v>73.227249999999998</v>
      </c>
      <c r="I1129" s="14">
        <f t="shared" ca="1" si="53"/>
        <v>73.227249999999998</v>
      </c>
      <c r="J1129" s="14">
        <f t="shared" ca="1" si="53"/>
        <v>73.227249999999998</v>
      </c>
      <c r="K1129" s="14">
        <f t="shared" ca="1" si="53"/>
        <v>73.227249999999998</v>
      </c>
    </row>
    <row r="1130" spans="1:11" ht="15" x14ac:dyDescent="0.2">
      <c r="A1130" s="10">
        <f t="shared" si="52"/>
        <v>2074</v>
      </c>
      <c r="B1130" s="14">
        <f t="shared" ca="1" si="50"/>
        <v>74.944408333333328</v>
      </c>
      <c r="C1130" s="14">
        <f t="shared" ca="1" si="50"/>
        <v>74.512174999999999</v>
      </c>
      <c r="D1130" s="14"/>
      <c r="E1130" s="14">
        <f t="shared" ca="1" si="53"/>
        <v>74.375508333333329</v>
      </c>
      <c r="F1130" s="14">
        <f t="shared" ca="1" si="53"/>
        <v>74.375508333333329</v>
      </c>
      <c r="G1130" s="14">
        <f t="shared" ca="1" si="53"/>
        <v>74.646891666666662</v>
      </c>
      <c r="H1130" s="14">
        <f t="shared" ca="1" si="53"/>
        <v>74.512174999999999</v>
      </c>
      <c r="I1130" s="14">
        <f t="shared" ca="1" si="53"/>
        <v>74.512174999999999</v>
      </c>
      <c r="J1130" s="14">
        <f t="shared" ca="1" si="53"/>
        <v>74.512174999999999</v>
      </c>
      <c r="K1130" s="14">
        <f t="shared" ca="1" si="53"/>
        <v>74.512174999999999</v>
      </c>
    </row>
    <row r="1131" spans="1:11" ht="15" x14ac:dyDescent="0.2">
      <c r="A1131" s="10">
        <f t="shared" si="52"/>
        <v>2075</v>
      </c>
      <c r="B1131" s="14">
        <f t="shared" ca="1" si="50"/>
        <v>76.25247499999999</v>
      </c>
      <c r="C1131" s="14">
        <f t="shared" ca="1" si="50"/>
        <v>75.8202</v>
      </c>
      <c r="D1131" s="14"/>
      <c r="E1131" s="14">
        <f t="shared" ca="1" si="53"/>
        <v>75.683566666666664</v>
      </c>
      <c r="F1131" s="14">
        <f t="shared" ca="1" si="53"/>
        <v>75.683566666666664</v>
      </c>
      <c r="G1131" s="14">
        <f t="shared" ca="1" si="53"/>
        <v>75.954908333333321</v>
      </c>
      <c r="H1131" s="14">
        <f t="shared" ca="1" si="53"/>
        <v>75.8202</v>
      </c>
      <c r="I1131" s="14">
        <f t="shared" ca="1" si="53"/>
        <v>75.8202</v>
      </c>
      <c r="J1131" s="14">
        <f t="shared" ca="1" si="53"/>
        <v>75.8202</v>
      </c>
      <c r="K1131" s="14">
        <f t="shared" ca="1" si="53"/>
        <v>75.8202</v>
      </c>
    </row>
    <row r="1132" spans="1:11" ht="15" x14ac:dyDescent="0.2">
      <c r="A1132" s="10">
        <f t="shared" si="52"/>
        <v>2076</v>
      </c>
      <c r="B1132" s="14">
        <f t="shared" ca="1" si="50"/>
        <v>77.584083333333339</v>
      </c>
      <c r="C1132" s="14">
        <f t="shared" ca="1" si="50"/>
        <v>77.151808333333321</v>
      </c>
      <c r="D1132" s="14"/>
      <c r="E1132" s="14">
        <f t="shared" ca="1" si="53"/>
        <v>77.015166666666673</v>
      </c>
      <c r="F1132" s="14">
        <f t="shared" ca="1" si="53"/>
        <v>77.015166666666673</v>
      </c>
      <c r="G1132" s="14">
        <f t="shared" ca="1" si="53"/>
        <v>77.286533333333338</v>
      </c>
      <c r="H1132" s="14">
        <f t="shared" ca="1" si="53"/>
        <v>77.151808333333321</v>
      </c>
      <c r="I1132" s="14">
        <f t="shared" ca="1" si="53"/>
        <v>77.151808333333321</v>
      </c>
      <c r="J1132" s="14">
        <f t="shared" ca="1" si="53"/>
        <v>77.151808333333321</v>
      </c>
      <c r="K1132" s="14">
        <f t="shared" ca="1" si="53"/>
        <v>77.151808333333321</v>
      </c>
    </row>
    <row r="1133" spans="1:11" ht="15" x14ac:dyDescent="0.2">
      <c r="A1133" s="10">
        <f t="shared" si="52"/>
        <v>2077</v>
      </c>
      <c r="B1133" s="14">
        <f t="shared" ca="1" si="50"/>
        <v>78.93964166666666</v>
      </c>
      <c r="C1133" s="14">
        <f t="shared" ca="1" si="50"/>
        <v>78.507400000000004</v>
      </c>
      <c r="D1133" s="14"/>
      <c r="E1133" s="14">
        <f t="shared" ca="1" si="53"/>
        <v>78.37074166666666</v>
      </c>
      <c r="F1133" s="14">
        <f t="shared" ca="1" si="53"/>
        <v>78.37074166666666</v>
      </c>
      <c r="G1133" s="14">
        <f t="shared" ca="1" si="53"/>
        <v>78.642108333333326</v>
      </c>
      <c r="H1133" s="14">
        <f t="shared" ca="1" si="53"/>
        <v>78.507400000000004</v>
      </c>
      <c r="I1133" s="14">
        <f t="shared" ca="1" si="53"/>
        <v>78.507400000000004</v>
      </c>
      <c r="J1133" s="14">
        <f t="shared" ca="1" si="53"/>
        <v>78.507400000000004</v>
      </c>
      <c r="K1133" s="14">
        <f t="shared" ca="1" si="53"/>
        <v>78.507400000000004</v>
      </c>
    </row>
    <row r="1134" spans="1:11" ht="15" x14ac:dyDescent="0.2">
      <c r="A1134" s="10">
        <f t="shared" si="52"/>
        <v>2078</v>
      </c>
      <c r="B1134" s="14">
        <f t="shared" ca="1" si="50"/>
        <v>80.319624999999988</v>
      </c>
      <c r="C1134" s="14">
        <f t="shared" ca="1" si="50"/>
        <v>79.887375000000006</v>
      </c>
      <c r="D1134" s="14"/>
      <c r="E1134" s="14">
        <f t="shared" ca="1" si="53"/>
        <v>79.750716666666662</v>
      </c>
      <c r="F1134" s="14">
        <f t="shared" ca="1" si="53"/>
        <v>79.750716666666662</v>
      </c>
      <c r="G1134" s="14">
        <f t="shared" ca="1" si="53"/>
        <v>80.02209999999998</v>
      </c>
      <c r="H1134" s="14">
        <f t="shared" ca="1" si="53"/>
        <v>79.887375000000006</v>
      </c>
      <c r="I1134" s="14">
        <f t="shared" ca="1" si="53"/>
        <v>79.887375000000006</v>
      </c>
      <c r="J1134" s="14">
        <f t="shared" ca="1" si="53"/>
        <v>79.887375000000006</v>
      </c>
      <c r="K1134" s="14">
        <f t="shared" ca="1" si="53"/>
        <v>79.887375000000006</v>
      </c>
    </row>
    <row r="1135" spans="1:11" ht="15" x14ac:dyDescent="0.2">
      <c r="A1135" s="10">
        <f t="shared" si="52"/>
        <v>2079</v>
      </c>
      <c r="B1135" s="14">
        <f t="shared" ca="1" si="50"/>
        <v>81.724458333333317</v>
      </c>
      <c r="C1135" s="14">
        <f t="shared" ca="1" si="50"/>
        <v>81.292208333333335</v>
      </c>
      <c r="D1135" s="14"/>
      <c r="E1135" s="14">
        <f t="shared" ca="1" si="53"/>
        <v>81.155549999999991</v>
      </c>
      <c r="F1135" s="14">
        <f t="shared" ca="1" si="53"/>
        <v>81.155549999999991</v>
      </c>
      <c r="G1135" s="14">
        <f t="shared" ca="1" si="53"/>
        <v>81.426916666666656</v>
      </c>
      <c r="H1135" s="14">
        <f t="shared" ca="1" si="53"/>
        <v>81.292208333333335</v>
      </c>
      <c r="I1135" s="14">
        <f t="shared" ca="1" si="53"/>
        <v>81.292208333333335</v>
      </c>
      <c r="J1135" s="14">
        <f t="shared" ca="1" si="53"/>
        <v>81.292208333333335</v>
      </c>
      <c r="K1135" s="14">
        <f t="shared" ca="1" si="53"/>
        <v>81.292208333333335</v>
      </c>
    </row>
    <row r="1136" spans="1:11" ht="15" x14ac:dyDescent="0.2">
      <c r="A1136" s="10">
        <f t="shared" si="52"/>
        <v>2080</v>
      </c>
      <c r="B1136" s="14">
        <f t="shared" ca="1" si="50"/>
        <v>83.154591666666661</v>
      </c>
      <c r="C1136" s="14">
        <f t="shared" ca="1" si="50"/>
        <v>82.722324999999998</v>
      </c>
      <c r="D1136" s="14"/>
      <c r="E1136" s="14">
        <f t="shared" ca="1" si="53"/>
        <v>82.585683333333336</v>
      </c>
      <c r="F1136" s="14">
        <f t="shared" ca="1" si="53"/>
        <v>82.585683333333336</v>
      </c>
      <c r="G1136" s="14">
        <f t="shared" ca="1" si="53"/>
        <v>82.857050000000001</v>
      </c>
      <c r="H1136" s="14">
        <f t="shared" ca="1" si="53"/>
        <v>82.722324999999998</v>
      </c>
      <c r="I1136" s="14">
        <f t="shared" ca="1" si="53"/>
        <v>82.722324999999998</v>
      </c>
      <c r="J1136" s="14">
        <f t="shared" ca="1" si="53"/>
        <v>82.722324999999998</v>
      </c>
      <c r="K1136" s="14">
        <f t="shared" ca="1" si="53"/>
        <v>82.722324999999998</v>
      </c>
    </row>
    <row r="1137" spans="1:11" ht="15" x14ac:dyDescent="0.2">
      <c r="A1137" s="10">
        <f t="shared" si="52"/>
        <v>2081</v>
      </c>
      <c r="B1137" s="14">
        <f t="shared" ca="1" si="50"/>
        <v>84.610466666666653</v>
      </c>
      <c r="C1137" s="14">
        <f t="shared" ca="1" si="50"/>
        <v>84.17820833333333</v>
      </c>
      <c r="D1137" s="14"/>
      <c r="E1137" s="14">
        <f t="shared" ca="1" si="53"/>
        <v>84.041550000000001</v>
      </c>
      <c r="F1137" s="14">
        <f t="shared" ca="1" si="53"/>
        <v>84.041550000000001</v>
      </c>
      <c r="G1137" s="14">
        <f t="shared" ca="1" si="53"/>
        <v>84.312933333333319</v>
      </c>
      <c r="H1137" s="14">
        <f t="shared" ca="1" si="53"/>
        <v>84.17820833333333</v>
      </c>
      <c r="I1137" s="14">
        <f t="shared" ca="1" si="53"/>
        <v>84.17820833333333</v>
      </c>
      <c r="J1137" s="14">
        <f t="shared" ca="1" si="53"/>
        <v>84.17820833333333</v>
      </c>
      <c r="K1137" s="14">
        <f t="shared" ca="1" si="53"/>
        <v>84.17820833333333</v>
      </c>
    </row>
    <row r="1138" spans="1:11" ht="15" x14ac:dyDescent="0.2">
      <c r="A1138" s="10">
        <f t="shared" si="52"/>
        <v>2082</v>
      </c>
      <c r="B1138" s="14">
        <f t="shared" ref="B1138:C1156" ca="1" si="54">AVERAGE(OFFSET(B$600,($A1138-$A$1118)*12,0,12,1))</f>
        <v>86.092524999999981</v>
      </c>
      <c r="C1138" s="14">
        <f t="shared" ca="1" si="54"/>
        <v>85.660308333333333</v>
      </c>
      <c r="D1138" s="14"/>
      <c r="E1138" s="14">
        <f t="shared" ref="E1138:K1147" ca="1" si="55">AVERAGE(OFFSET(E$600,($A1138-$A$1118)*12,0,12,1))</f>
        <v>85.523624999999996</v>
      </c>
      <c r="F1138" s="14">
        <f t="shared" ca="1" si="55"/>
        <v>85.523624999999996</v>
      </c>
      <c r="G1138" s="14">
        <f t="shared" ca="1" si="55"/>
        <v>85.795016666666683</v>
      </c>
      <c r="H1138" s="14">
        <f t="shared" ca="1" si="55"/>
        <v>85.660308333333333</v>
      </c>
      <c r="I1138" s="14">
        <f t="shared" ca="1" si="55"/>
        <v>85.660308333333333</v>
      </c>
      <c r="J1138" s="14">
        <f t="shared" ca="1" si="55"/>
        <v>85.660308333333333</v>
      </c>
      <c r="K1138" s="14">
        <f t="shared" ca="1" si="55"/>
        <v>85.660308333333333</v>
      </c>
    </row>
    <row r="1139" spans="1:11" ht="15" x14ac:dyDescent="0.2">
      <c r="A1139" s="10">
        <f t="shared" si="52"/>
        <v>2083</v>
      </c>
      <c r="B1139" s="14">
        <f t="shared" ca="1" si="54"/>
        <v>87.601316666666662</v>
      </c>
      <c r="C1139" s="14">
        <f t="shared" ca="1" si="54"/>
        <v>87.169066666666666</v>
      </c>
      <c r="D1139" s="14"/>
      <c r="E1139" s="14">
        <f t="shared" ca="1" si="55"/>
        <v>87.032391666666669</v>
      </c>
      <c r="F1139" s="14">
        <f t="shared" ca="1" si="55"/>
        <v>87.032391666666669</v>
      </c>
      <c r="G1139" s="14">
        <f t="shared" ca="1" si="55"/>
        <v>87.303766666666661</v>
      </c>
      <c r="H1139" s="14">
        <f t="shared" ca="1" si="55"/>
        <v>87.169066666666666</v>
      </c>
      <c r="I1139" s="14">
        <f t="shared" ca="1" si="55"/>
        <v>87.169066666666666</v>
      </c>
      <c r="J1139" s="14">
        <f t="shared" ca="1" si="55"/>
        <v>87.169066666666666</v>
      </c>
      <c r="K1139" s="14">
        <f t="shared" ca="1" si="55"/>
        <v>87.169066666666666</v>
      </c>
    </row>
    <row r="1140" spans="1:11" ht="15" x14ac:dyDescent="0.2">
      <c r="A1140" s="10">
        <f t="shared" si="52"/>
        <v>2084</v>
      </c>
      <c r="B1140" s="14">
        <f t="shared" ca="1" si="54"/>
        <v>89.13724166666664</v>
      </c>
      <c r="C1140" s="14">
        <f t="shared" ca="1" si="54"/>
        <v>88.705016666666666</v>
      </c>
      <c r="D1140" s="14"/>
      <c r="E1140" s="14">
        <f t="shared" ca="1" si="55"/>
        <v>88.568333333333328</v>
      </c>
      <c r="F1140" s="14">
        <f t="shared" ca="1" si="55"/>
        <v>88.568333333333328</v>
      </c>
      <c r="G1140" s="14">
        <f t="shared" ca="1" si="55"/>
        <v>88.839725000000001</v>
      </c>
      <c r="H1140" s="14">
        <f t="shared" ca="1" si="55"/>
        <v>88.705016666666666</v>
      </c>
      <c r="I1140" s="14">
        <f t="shared" ca="1" si="55"/>
        <v>88.705016666666666</v>
      </c>
      <c r="J1140" s="14">
        <f t="shared" ca="1" si="55"/>
        <v>88.705016666666666</v>
      </c>
      <c r="K1140" s="14">
        <f t="shared" ca="1" si="55"/>
        <v>88.705016666666666</v>
      </c>
    </row>
    <row r="1141" spans="1:11" ht="15" x14ac:dyDescent="0.2">
      <c r="A1141" s="10">
        <f t="shared" si="52"/>
        <v>2085</v>
      </c>
      <c r="B1141" s="14">
        <f t="shared" ca="1" si="54"/>
        <v>90.700833333333335</v>
      </c>
      <c r="C1141" s="14">
        <f t="shared" ca="1" si="54"/>
        <v>90.268583333333325</v>
      </c>
      <c r="D1141" s="14"/>
      <c r="E1141" s="14">
        <f t="shared" ca="1" si="55"/>
        <v>90.131933333333336</v>
      </c>
      <c r="F1141" s="14">
        <f t="shared" ca="1" si="55"/>
        <v>90.131933333333336</v>
      </c>
      <c r="G1141" s="14">
        <f t="shared" ca="1" si="55"/>
        <v>90.403308333333328</v>
      </c>
      <c r="H1141" s="14">
        <f t="shared" ca="1" si="55"/>
        <v>90.268583333333325</v>
      </c>
      <c r="I1141" s="14">
        <f t="shared" ca="1" si="55"/>
        <v>90.268583333333325</v>
      </c>
      <c r="J1141" s="14">
        <f t="shared" ca="1" si="55"/>
        <v>90.268583333333325</v>
      </c>
      <c r="K1141" s="14">
        <f t="shared" ca="1" si="55"/>
        <v>90.268583333333325</v>
      </c>
    </row>
    <row r="1142" spans="1:11" ht="15" x14ac:dyDescent="0.2">
      <c r="A1142" s="10">
        <f t="shared" si="52"/>
        <v>2086</v>
      </c>
      <c r="B1142" s="14">
        <f t="shared" ca="1" si="54"/>
        <v>92.292583333333326</v>
      </c>
      <c r="C1142" s="14">
        <f t="shared" ca="1" si="54"/>
        <v>91.860333333333344</v>
      </c>
      <c r="D1142" s="14"/>
      <c r="E1142" s="14">
        <f t="shared" ca="1" si="55"/>
        <v>91.723675000000014</v>
      </c>
      <c r="F1142" s="14">
        <f t="shared" ca="1" si="55"/>
        <v>91.723675000000014</v>
      </c>
      <c r="G1142" s="14">
        <f t="shared" ca="1" si="55"/>
        <v>91.995041666666665</v>
      </c>
      <c r="H1142" s="14">
        <f t="shared" ca="1" si="55"/>
        <v>91.860333333333344</v>
      </c>
      <c r="I1142" s="14">
        <f t="shared" ca="1" si="55"/>
        <v>91.860333333333344</v>
      </c>
      <c r="J1142" s="14">
        <f t="shared" ca="1" si="55"/>
        <v>91.860333333333344</v>
      </c>
      <c r="K1142" s="14">
        <f t="shared" ca="1" si="55"/>
        <v>91.860333333333344</v>
      </c>
    </row>
    <row r="1143" spans="1:11" ht="15" x14ac:dyDescent="0.2">
      <c r="A1143" s="10">
        <f t="shared" si="52"/>
        <v>2087</v>
      </c>
      <c r="B1143" s="14">
        <f t="shared" ca="1" si="54"/>
        <v>93.912991666666656</v>
      </c>
      <c r="C1143" s="14">
        <f t="shared" ca="1" si="54"/>
        <v>93.480733333333362</v>
      </c>
      <c r="D1143" s="14"/>
      <c r="E1143" s="14">
        <f t="shared" ca="1" si="55"/>
        <v>93.344091666666671</v>
      </c>
      <c r="F1143" s="14">
        <f t="shared" ca="1" si="55"/>
        <v>93.344091666666671</v>
      </c>
      <c r="G1143" s="14">
        <f t="shared" ca="1" si="55"/>
        <v>93.615441666666655</v>
      </c>
      <c r="H1143" s="14">
        <f t="shared" ca="1" si="55"/>
        <v>93.480733333333362</v>
      </c>
      <c r="I1143" s="14">
        <f t="shared" ca="1" si="55"/>
        <v>93.480733333333362</v>
      </c>
      <c r="J1143" s="14">
        <f t="shared" ca="1" si="55"/>
        <v>93.480733333333362</v>
      </c>
      <c r="K1143" s="14">
        <f t="shared" ca="1" si="55"/>
        <v>93.480733333333362</v>
      </c>
    </row>
    <row r="1144" spans="1:11" ht="15" x14ac:dyDescent="0.2">
      <c r="A1144" s="10">
        <f t="shared" si="52"/>
        <v>2088</v>
      </c>
      <c r="B1144" s="14">
        <f t="shared" ca="1" si="54"/>
        <v>95.562558333333314</v>
      </c>
      <c r="C1144" s="14">
        <f t="shared" ca="1" si="54"/>
        <v>95.130316666666658</v>
      </c>
      <c r="D1144" s="14"/>
      <c r="E1144" s="14">
        <f t="shared" ca="1" si="55"/>
        <v>94.993658333333329</v>
      </c>
      <c r="F1144" s="14">
        <f t="shared" ca="1" si="55"/>
        <v>94.993658333333329</v>
      </c>
      <c r="G1144" s="14">
        <f t="shared" ca="1" si="55"/>
        <v>95.265024999999994</v>
      </c>
      <c r="H1144" s="14">
        <f t="shared" ca="1" si="55"/>
        <v>95.130316666666658</v>
      </c>
      <c r="I1144" s="14">
        <f t="shared" ca="1" si="55"/>
        <v>95.130316666666658</v>
      </c>
      <c r="J1144" s="14">
        <f t="shared" ca="1" si="55"/>
        <v>95.130316666666658</v>
      </c>
      <c r="K1144" s="14">
        <f t="shared" ca="1" si="55"/>
        <v>95.130316666666658</v>
      </c>
    </row>
    <row r="1145" spans="1:11" ht="15" x14ac:dyDescent="0.2">
      <c r="A1145" s="10">
        <f t="shared" si="52"/>
        <v>2089</v>
      </c>
      <c r="B1145" s="14">
        <f t="shared" ca="1" si="54"/>
        <v>97.241841666666673</v>
      </c>
      <c r="C1145" s="14">
        <f t="shared" ca="1" si="54"/>
        <v>96.809583333333322</v>
      </c>
      <c r="D1145" s="14"/>
      <c r="E1145" s="14">
        <f t="shared" ca="1" si="55"/>
        <v>96.672941666666659</v>
      </c>
      <c r="F1145" s="14">
        <f t="shared" ca="1" si="55"/>
        <v>96.672941666666659</v>
      </c>
      <c r="G1145" s="14">
        <f t="shared" ca="1" si="55"/>
        <v>96.944300000000013</v>
      </c>
      <c r="H1145" s="14">
        <f t="shared" ca="1" si="55"/>
        <v>96.809583333333322</v>
      </c>
      <c r="I1145" s="14">
        <f t="shared" ca="1" si="55"/>
        <v>96.809583333333322</v>
      </c>
      <c r="J1145" s="14">
        <f t="shared" ca="1" si="55"/>
        <v>96.809583333333322</v>
      </c>
      <c r="K1145" s="14">
        <f t="shared" ca="1" si="55"/>
        <v>96.809583333333322</v>
      </c>
    </row>
    <row r="1146" spans="1:11" ht="15" x14ac:dyDescent="0.2">
      <c r="A1146" s="10">
        <f t="shared" si="52"/>
        <v>2090</v>
      </c>
      <c r="B1146" s="14">
        <f t="shared" ca="1" si="54"/>
        <v>98.951350000000005</v>
      </c>
      <c r="C1146" s="14">
        <f t="shared" ca="1" si="54"/>
        <v>98.519108333333335</v>
      </c>
      <c r="D1146" s="14"/>
      <c r="E1146" s="14">
        <f t="shared" ca="1" si="55"/>
        <v>98.382450000000006</v>
      </c>
      <c r="F1146" s="14">
        <f t="shared" ca="1" si="55"/>
        <v>98.382450000000006</v>
      </c>
      <c r="G1146" s="14">
        <f t="shared" ca="1" si="55"/>
        <v>98.653816666666671</v>
      </c>
      <c r="H1146" s="14">
        <f t="shared" ca="1" si="55"/>
        <v>98.519108333333335</v>
      </c>
      <c r="I1146" s="14">
        <f t="shared" ca="1" si="55"/>
        <v>98.519108333333335</v>
      </c>
      <c r="J1146" s="14">
        <f t="shared" ca="1" si="55"/>
        <v>98.519108333333335</v>
      </c>
      <c r="K1146" s="14">
        <f t="shared" ca="1" si="55"/>
        <v>98.519108333333335</v>
      </c>
    </row>
    <row r="1147" spans="1:11" ht="15" x14ac:dyDescent="0.2">
      <c r="A1147" s="10">
        <f t="shared" si="52"/>
        <v>2091</v>
      </c>
      <c r="B1147" s="14">
        <f t="shared" ca="1" si="54"/>
        <v>100.69165</v>
      </c>
      <c r="C1147" s="14">
        <f t="shared" ca="1" si="54"/>
        <v>100.25938333333335</v>
      </c>
      <c r="D1147" s="14"/>
      <c r="E1147" s="14">
        <f t="shared" ca="1" si="55"/>
        <v>100.12275000000001</v>
      </c>
      <c r="F1147" s="14">
        <f t="shared" ca="1" si="55"/>
        <v>100.12275000000001</v>
      </c>
      <c r="G1147" s="14">
        <f t="shared" ca="1" si="55"/>
        <v>100.39410833333335</v>
      </c>
      <c r="H1147" s="14">
        <f t="shared" ca="1" si="55"/>
        <v>100.25938333333335</v>
      </c>
      <c r="I1147" s="14">
        <f t="shared" ca="1" si="55"/>
        <v>100.25938333333335</v>
      </c>
      <c r="J1147" s="14">
        <f t="shared" ca="1" si="55"/>
        <v>100.25938333333335</v>
      </c>
      <c r="K1147" s="14">
        <f t="shared" ca="1" si="55"/>
        <v>100.25938333333335</v>
      </c>
    </row>
    <row r="1148" spans="1:11" ht="15" x14ac:dyDescent="0.2">
      <c r="A1148" s="10">
        <f t="shared" si="52"/>
        <v>2092</v>
      </c>
      <c r="B1148" s="14">
        <f t="shared" ca="1" si="54"/>
        <v>102.46326666666666</v>
      </c>
      <c r="C1148" s="14">
        <f t="shared" ca="1" si="54"/>
        <v>102.03102500000001</v>
      </c>
      <c r="D1148" s="14"/>
      <c r="E1148" s="14">
        <f t="shared" ref="E1148:K1156" ca="1" si="56">AVERAGE(OFFSET(E$600,($A1148-$A$1118)*12,0,12,1))</f>
        <v>101.89435833333334</v>
      </c>
      <c r="F1148" s="14">
        <f t="shared" ca="1" si="56"/>
        <v>101.89435833333334</v>
      </c>
      <c r="G1148" s="14">
        <f t="shared" ca="1" si="56"/>
        <v>102.16574166666665</v>
      </c>
      <c r="H1148" s="14">
        <f t="shared" ca="1" si="56"/>
        <v>102.03102500000001</v>
      </c>
      <c r="I1148" s="14">
        <f t="shared" ca="1" si="56"/>
        <v>102.03102500000001</v>
      </c>
      <c r="J1148" s="14">
        <f t="shared" ca="1" si="56"/>
        <v>102.03102500000001</v>
      </c>
      <c r="K1148" s="14">
        <f t="shared" ca="1" si="56"/>
        <v>102.03102500000001</v>
      </c>
    </row>
    <row r="1149" spans="1:11" ht="15" x14ac:dyDescent="0.2">
      <c r="A1149" s="10">
        <f t="shared" si="52"/>
        <v>2093</v>
      </c>
      <c r="B1149" s="14">
        <f t="shared" ca="1" si="54"/>
        <v>104.26679166666668</v>
      </c>
      <c r="C1149" s="14">
        <f t="shared" ca="1" si="54"/>
        <v>103.83453333333331</v>
      </c>
      <c r="D1149" s="14"/>
      <c r="E1149" s="14">
        <f t="shared" ca="1" si="56"/>
        <v>103.69789166666669</v>
      </c>
      <c r="F1149" s="14">
        <f t="shared" ca="1" si="56"/>
        <v>103.69789166666669</v>
      </c>
      <c r="G1149" s="14">
        <f t="shared" ca="1" si="56"/>
        <v>103.96926666666667</v>
      </c>
      <c r="H1149" s="14">
        <f t="shared" ca="1" si="56"/>
        <v>103.83453333333331</v>
      </c>
      <c r="I1149" s="14">
        <f t="shared" ca="1" si="56"/>
        <v>103.83453333333331</v>
      </c>
      <c r="J1149" s="14">
        <f t="shared" ca="1" si="56"/>
        <v>103.83453333333331</v>
      </c>
      <c r="K1149" s="14">
        <f t="shared" ca="1" si="56"/>
        <v>103.83453333333331</v>
      </c>
    </row>
    <row r="1150" spans="1:11" ht="15" x14ac:dyDescent="0.2">
      <c r="A1150" s="10">
        <f t="shared" si="52"/>
        <v>2094</v>
      </c>
      <c r="B1150" s="14">
        <f t="shared" ca="1" si="54"/>
        <v>106.10280000000002</v>
      </c>
      <c r="C1150" s="14">
        <f t="shared" ca="1" si="54"/>
        <v>105.670525</v>
      </c>
      <c r="D1150" s="14"/>
      <c r="E1150" s="14">
        <f t="shared" ca="1" si="56"/>
        <v>105.5339</v>
      </c>
      <c r="F1150" s="14">
        <f t="shared" ca="1" si="56"/>
        <v>105.5339</v>
      </c>
      <c r="G1150" s="14">
        <f t="shared" ca="1" si="56"/>
        <v>105.80525833333333</v>
      </c>
      <c r="H1150" s="14">
        <f t="shared" ca="1" si="56"/>
        <v>105.670525</v>
      </c>
      <c r="I1150" s="14">
        <f t="shared" ca="1" si="56"/>
        <v>105.670525</v>
      </c>
      <c r="J1150" s="14">
        <f t="shared" ca="1" si="56"/>
        <v>105.670525</v>
      </c>
      <c r="K1150" s="14">
        <f t="shared" ca="1" si="56"/>
        <v>105.670525</v>
      </c>
    </row>
    <row r="1151" spans="1:11" ht="15" x14ac:dyDescent="0.2">
      <c r="A1151" s="10">
        <f t="shared" si="52"/>
        <v>2095</v>
      </c>
      <c r="B1151" s="14">
        <f t="shared" ca="1" si="54"/>
        <v>107.97184166666669</v>
      </c>
      <c r="C1151" s="14">
        <f t="shared" ca="1" si="54"/>
        <v>107.53959166666664</v>
      </c>
      <c r="D1151" s="14"/>
      <c r="E1151" s="14">
        <f t="shared" ca="1" si="56"/>
        <v>107.40294166666671</v>
      </c>
      <c r="F1151" s="14">
        <f t="shared" ca="1" si="56"/>
        <v>107.40294166666671</v>
      </c>
      <c r="G1151" s="14">
        <f t="shared" ca="1" si="56"/>
        <v>107.6743</v>
      </c>
      <c r="H1151" s="14">
        <f t="shared" ca="1" si="56"/>
        <v>107.53959166666664</v>
      </c>
      <c r="I1151" s="14">
        <f t="shared" ca="1" si="56"/>
        <v>107.53959166666664</v>
      </c>
      <c r="J1151" s="14">
        <f t="shared" ca="1" si="56"/>
        <v>107.53959166666664</v>
      </c>
      <c r="K1151" s="14">
        <f t="shared" ca="1" si="56"/>
        <v>107.53959166666664</v>
      </c>
    </row>
    <row r="1152" spans="1:11" ht="15" x14ac:dyDescent="0.2">
      <c r="A1152" s="10">
        <f t="shared" si="52"/>
        <v>2096</v>
      </c>
      <c r="B1152" s="14">
        <f t="shared" ca="1" si="54"/>
        <v>109.87453333333333</v>
      </c>
      <c r="C1152" s="14">
        <f t="shared" ca="1" si="54"/>
        <v>109.44230833333332</v>
      </c>
      <c r="D1152" s="14"/>
      <c r="E1152" s="14">
        <f t="shared" ca="1" si="56"/>
        <v>109.30562500000001</v>
      </c>
      <c r="F1152" s="14">
        <f t="shared" ca="1" si="56"/>
        <v>109.30562500000001</v>
      </c>
      <c r="G1152" s="14">
        <f t="shared" ca="1" si="56"/>
        <v>109.57701666666668</v>
      </c>
      <c r="H1152" s="14">
        <f t="shared" ca="1" si="56"/>
        <v>109.44230833333332</v>
      </c>
      <c r="I1152" s="14">
        <f t="shared" ca="1" si="56"/>
        <v>109.44230833333332</v>
      </c>
      <c r="J1152" s="14">
        <f t="shared" ca="1" si="56"/>
        <v>109.44230833333332</v>
      </c>
      <c r="K1152" s="14">
        <f t="shared" ca="1" si="56"/>
        <v>109.44230833333332</v>
      </c>
    </row>
    <row r="1153" spans="1:11" ht="15" x14ac:dyDescent="0.2">
      <c r="A1153" s="10">
        <f t="shared" si="52"/>
        <v>2097</v>
      </c>
      <c r="B1153" s="14">
        <f t="shared" ca="1" si="54"/>
        <v>111.81149166666667</v>
      </c>
      <c r="C1153" s="14">
        <f t="shared" ca="1" si="54"/>
        <v>111.37926666666668</v>
      </c>
      <c r="D1153" s="14"/>
      <c r="E1153" s="14">
        <f t="shared" ca="1" si="56"/>
        <v>111.24259166666666</v>
      </c>
      <c r="F1153" s="14">
        <f t="shared" ca="1" si="56"/>
        <v>111.24259166666666</v>
      </c>
      <c r="G1153" s="14">
        <f t="shared" ca="1" si="56"/>
        <v>111.51398333333333</v>
      </c>
      <c r="H1153" s="14">
        <f t="shared" ca="1" si="56"/>
        <v>111.37926666666668</v>
      </c>
      <c r="I1153" s="14">
        <f t="shared" ca="1" si="56"/>
        <v>111.37926666666668</v>
      </c>
      <c r="J1153" s="14">
        <f t="shared" ca="1" si="56"/>
        <v>111.37926666666668</v>
      </c>
      <c r="K1153" s="14">
        <f t="shared" ca="1" si="56"/>
        <v>111.37926666666668</v>
      </c>
    </row>
    <row r="1154" spans="1:11" ht="15" x14ac:dyDescent="0.2">
      <c r="A1154" s="10">
        <f t="shared" si="52"/>
        <v>2098</v>
      </c>
      <c r="B1154" s="14">
        <f t="shared" ca="1" si="54"/>
        <v>113.78334166666666</v>
      </c>
      <c r="C1154" s="14">
        <f t="shared" ca="1" si="54"/>
        <v>113.35110000000002</v>
      </c>
      <c r="D1154" s="14"/>
      <c r="E1154" s="14">
        <f t="shared" ca="1" si="56"/>
        <v>113.21444166666667</v>
      </c>
      <c r="F1154" s="14">
        <f t="shared" ca="1" si="56"/>
        <v>113.21444166666667</v>
      </c>
      <c r="G1154" s="14">
        <f t="shared" ca="1" si="56"/>
        <v>113.4858</v>
      </c>
      <c r="H1154" s="14">
        <f t="shared" ca="1" si="56"/>
        <v>113.35110000000002</v>
      </c>
      <c r="I1154" s="14">
        <f t="shared" ca="1" si="56"/>
        <v>113.35110000000002</v>
      </c>
      <c r="J1154" s="14">
        <f t="shared" ca="1" si="56"/>
        <v>113.35110000000002</v>
      </c>
      <c r="K1154" s="14">
        <f t="shared" ca="1" si="56"/>
        <v>113.35110000000002</v>
      </c>
    </row>
    <row r="1155" spans="1:11" ht="15" x14ac:dyDescent="0.2">
      <c r="A1155" s="10">
        <f t="shared" si="52"/>
        <v>2099</v>
      </c>
      <c r="B1155" s="14">
        <f t="shared" ca="1" si="54"/>
        <v>115.79068333333335</v>
      </c>
      <c r="C1155" s="14">
        <f t="shared" ca="1" si="54"/>
        <v>115.35843333333332</v>
      </c>
      <c r="D1155" s="14"/>
      <c r="E1155" s="14">
        <f t="shared" ca="1" si="56"/>
        <v>115.22177500000002</v>
      </c>
      <c r="F1155" s="14">
        <f t="shared" ca="1" si="56"/>
        <v>115.22177500000002</v>
      </c>
      <c r="G1155" s="14">
        <f t="shared" ca="1" si="56"/>
        <v>115.49316666666665</v>
      </c>
      <c r="H1155" s="14">
        <f t="shared" ca="1" si="56"/>
        <v>115.35843333333332</v>
      </c>
      <c r="I1155" s="14">
        <f t="shared" ca="1" si="56"/>
        <v>115.35843333333332</v>
      </c>
      <c r="J1155" s="14">
        <f t="shared" ca="1" si="56"/>
        <v>115.35843333333332</v>
      </c>
      <c r="K1155" s="14">
        <f t="shared" ca="1" si="56"/>
        <v>115.35843333333332</v>
      </c>
    </row>
    <row r="1156" spans="1:11" ht="15" x14ac:dyDescent="0.2">
      <c r="A1156" s="10">
        <f t="shared" si="52"/>
        <v>2100</v>
      </c>
      <c r="B1156" s="14">
        <f t="shared" ca="1" si="54"/>
        <v>117.83417500000002</v>
      </c>
      <c r="C1156" s="14">
        <f t="shared" ca="1" si="54"/>
        <v>117.40190833333331</v>
      </c>
      <c r="D1156" s="14"/>
      <c r="E1156" s="14">
        <f t="shared" ca="1" si="56"/>
        <v>117.26527499999999</v>
      </c>
      <c r="F1156" s="14">
        <f t="shared" ca="1" si="56"/>
        <v>117.26527499999999</v>
      </c>
      <c r="G1156" s="14">
        <f t="shared" ca="1" si="56"/>
        <v>117.53663333333333</v>
      </c>
      <c r="H1156" s="14">
        <f t="shared" ca="1" si="56"/>
        <v>117.40190833333331</v>
      </c>
      <c r="I1156" s="14">
        <f t="shared" ca="1" si="56"/>
        <v>117.40190833333331</v>
      </c>
      <c r="J1156" s="14">
        <f t="shared" ca="1" si="56"/>
        <v>117.40190833333331</v>
      </c>
      <c r="K1156" s="14">
        <f t="shared" ca="1" si="56"/>
        <v>117.40190833333331</v>
      </c>
    </row>
    <row r="1157" spans="1:11" x14ac:dyDescent="0.2">
      <c r="A1157" s="8"/>
    </row>
    <row r="1158" spans="1:11" x14ac:dyDescent="0.2">
      <c r="A1158" s="8"/>
    </row>
    <row r="1159" spans="1:11" x14ac:dyDescent="0.2">
      <c r="A1159" s="8"/>
    </row>
    <row r="1160" spans="1:11" x14ac:dyDescent="0.2">
      <c r="A1160" s="8"/>
    </row>
    <row r="1161" spans="1:11" x14ac:dyDescent="0.2">
      <c r="A1161" s="8"/>
    </row>
    <row r="1162" spans="1:11" x14ac:dyDescent="0.2">
      <c r="A1162" s="8"/>
    </row>
    <row r="1163" spans="1:11" x14ac:dyDescent="0.2">
      <c r="A1163" s="8"/>
    </row>
    <row r="1164" spans="1:11" x14ac:dyDescent="0.2">
      <c r="A1164" s="8"/>
    </row>
    <row r="1165" spans="1:11" x14ac:dyDescent="0.2">
      <c r="A1165" s="8"/>
    </row>
    <row r="1166" spans="1:11" x14ac:dyDescent="0.2">
      <c r="A1166" s="8"/>
    </row>
    <row r="1167" spans="1:11" x14ac:dyDescent="0.2">
      <c r="A1167" s="8"/>
    </row>
    <row r="1168" spans="1:11" x14ac:dyDescent="0.2">
      <c r="A1168" s="8"/>
    </row>
    <row r="1169" spans="1:1" x14ac:dyDescent="0.2">
      <c r="A1169" s="8"/>
    </row>
    <row r="1170" spans="1:1" x14ac:dyDescent="0.2">
      <c r="A1170" s="8"/>
    </row>
    <row r="1171" spans="1:1" x14ac:dyDescent="0.2">
      <c r="A1171" s="8"/>
    </row>
    <row r="1172" spans="1:1" x14ac:dyDescent="0.2">
      <c r="A1172" s="8"/>
    </row>
    <row r="1173" spans="1:1" x14ac:dyDescent="0.2">
      <c r="A1173" s="8"/>
    </row>
    <row r="1174" spans="1:1" x14ac:dyDescent="0.2">
      <c r="A1174" s="8"/>
    </row>
    <row r="1175" spans="1:1" x14ac:dyDescent="0.2">
      <c r="A1175" s="8"/>
    </row>
    <row r="1176" spans="1:1" x14ac:dyDescent="0.2">
      <c r="A1176" s="8"/>
    </row>
  </sheetData>
  <pageMargins left="0.25" right="0.25" top="0.5" bottom="0.5" header="0.25" footer="0.25"/>
  <pageSetup paperSize="5" scale="75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locked="0" defaultSize="0" autoLine="0" autoPict="0">
                <anchor moveWithCells="1">
                  <from>
                    <xdr:col>6</xdr:col>
                    <xdr:colOff>95250</xdr:colOff>
                    <xdr:row>7</xdr:row>
                    <xdr:rowOff>28575</xdr:rowOff>
                  </from>
                  <to>
                    <xdr:col>7</xdr:col>
                    <xdr:colOff>123825</xdr:colOff>
                    <xdr:row>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2">
              <controlPr locked="0" defaultSize="0" autoLine="0" autoPict="0">
                <anchor moveWithCells="1">
                  <from>
                    <xdr:col>7</xdr:col>
                    <xdr:colOff>295275</xdr:colOff>
                    <xdr:row>7</xdr:row>
                    <xdr:rowOff>57150</xdr:rowOff>
                  </from>
                  <to>
                    <xdr:col>8</xdr:col>
                    <xdr:colOff>314325</xdr:colOff>
                    <xdr:row>8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K1176"/>
  <sheetViews>
    <sheetView zoomScale="70" zoomScaleNormal="70" workbookViewId="0">
      <pane xSplit="1" ySplit="11" topLeftCell="B12" activePane="bottomRight" state="frozen"/>
      <selection activeCell="A7" sqref="A7"/>
      <selection pane="topRight" activeCell="A7" sqref="A7"/>
      <selection pane="bottomLeft" activeCell="A7" sqref="A7"/>
      <selection pane="bottomRight" activeCell="B12" sqref="B12"/>
    </sheetView>
  </sheetViews>
  <sheetFormatPr defaultColWidth="7.109375" defaultRowHeight="12.75" x14ac:dyDescent="0.2"/>
  <cols>
    <col min="1" max="1" width="18.44140625" style="31" customWidth="1"/>
    <col min="2" max="3" width="14.5546875" style="31" customWidth="1"/>
    <col min="4" max="4" width="16.88671875" style="31" customWidth="1"/>
    <col min="5" max="5" width="14.5546875" style="31" customWidth="1"/>
    <col min="6" max="6" width="16.77734375" style="31" customWidth="1"/>
    <col min="7" max="9" width="14.5546875" style="31" customWidth="1"/>
    <col min="10" max="10" width="12.21875" style="8" customWidth="1"/>
    <col min="11" max="11" width="9.6640625" style="8" customWidth="1"/>
    <col min="12" max="16384" width="7.109375" style="8"/>
  </cols>
  <sheetData>
    <row r="1" spans="1:10" ht="15.75" x14ac:dyDescent="0.25">
      <c r="A1" s="107" t="s">
        <v>91</v>
      </c>
    </row>
    <row r="2" spans="1:10" ht="15.75" x14ac:dyDescent="0.25">
      <c r="A2" s="107" t="s">
        <v>92</v>
      </c>
    </row>
    <row r="3" spans="1:10" ht="15.75" x14ac:dyDescent="0.25">
      <c r="A3" s="107" t="s">
        <v>93</v>
      </c>
    </row>
    <row r="4" spans="1:10" ht="15.75" x14ac:dyDescent="0.25">
      <c r="A4" s="107" t="s">
        <v>94</v>
      </c>
    </row>
    <row r="5" spans="1:10" ht="15.75" x14ac:dyDescent="0.25">
      <c r="A5" s="107" t="s">
        <v>96</v>
      </c>
    </row>
    <row r="6" spans="1:10" ht="15.75" x14ac:dyDescent="0.25">
      <c r="A6" s="107" t="s">
        <v>99</v>
      </c>
    </row>
    <row r="8" spans="1:10" ht="15.75" x14ac:dyDescent="0.25">
      <c r="A8" s="47" t="s">
        <v>27</v>
      </c>
      <c r="B8" s="48"/>
      <c r="C8" s="42"/>
    </row>
    <row r="9" spans="1:10" ht="15.75" x14ac:dyDescent="0.25">
      <c r="A9" s="47"/>
      <c r="B9" s="42"/>
      <c r="C9" s="42"/>
      <c r="D9" s="41" t="s">
        <v>25</v>
      </c>
      <c r="E9" s="40">
        <f>1-0.273</f>
        <v>0.72699999999999998</v>
      </c>
      <c r="F9" s="41" t="s">
        <v>24</v>
      </c>
      <c r="G9" s="40">
        <f>1+0.273</f>
        <v>1.2730000000000001</v>
      </c>
    </row>
    <row r="10" spans="1:10" s="36" customFormat="1" ht="34.9" customHeight="1" x14ac:dyDescent="0.25">
      <c r="B10" s="39" t="s">
        <v>47</v>
      </c>
      <c r="C10" s="37" t="s">
        <v>46</v>
      </c>
      <c r="D10" s="39" t="s">
        <v>45</v>
      </c>
      <c r="E10" s="39" t="s">
        <v>44</v>
      </c>
      <c r="F10" s="39" t="s">
        <v>43</v>
      </c>
      <c r="G10" s="37" t="s">
        <v>42</v>
      </c>
      <c r="H10" s="37" t="s">
        <v>41</v>
      </c>
      <c r="I10" s="39" t="s">
        <v>40</v>
      </c>
      <c r="J10" s="37" t="s">
        <v>39</v>
      </c>
    </row>
    <row r="11" spans="1:10" s="36" customFormat="1" ht="21" customHeight="1" x14ac:dyDescent="0.25">
      <c r="A11" s="38" t="s">
        <v>15</v>
      </c>
      <c r="B11" s="38" t="s">
        <v>14</v>
      </c>
      <c r="C11" s="38" t="s">
        <v>14</v>
      </c>
      <c r="D11" s="38" t="s">
        <v>14</v>
      </c>
      <c r="E11" s="38" t="s">
        <v>14</v>
      </c>
      <c r="F11" s="38" t="s">
        <v>14</v>
      </c>
      <c r="G11" s="38" t="s">
        <v>14</v>
      </c>
      <c r="H11" s="38" t="s">
        <v>14</v>
      </c>
      <c r="I11" s="38" t="s">
        <v>14</v>
      </c>
      <c r="J11" s="38" t="s">
        <v>38</v>
      </c>
    </row>
    <row r="12" spans="1:10" ht="15" x14ac:dyDescent="0.2">
      <c r="A12" s="13">
        <v>41275</v>
      </c>
      <c r="B12" s="14">
        <v>17.5608163872467</v>
      </c>
      <c r="C12" s="14">
        <v>16.672788775099502</v>
      </c>
      <c r="D12" s="14">
        <v>16.664976275099502</v>
      </c>
      <c r="E12" s="14">
        <v>16.664976275099502</v>
      </c>
      <c r="F12" s="14">
        <v>16.6118512750995</v>
      </c>
      <c r="G12" s="14">
        <v>16.6712262750995</v>
      </c>
      <c r="H12" s="14">
        <v>16.6712262750995</v>
      </c>
      <c r="I12" s="14">
        <v>16.672788775099502</v>
      </c>
      <c r="J12" s="44">
        <f>89.51</f>
        <v>89.51</v>
      </c>
    </row>
    <row r="13" spans="1:10" ht="15" x14ac:dyDescent="0.2">
      <c r="A13" s="13">
        <v>41306</v>
      </c>
      <c r="B13" s="14">
        <v>18.139507285282502</v>
      </c>
      <c r="C13" s="14">
        <v>17.084489196554799</v>
      </c>
      <c r="D13" s="14">
        <v>17.076676696554799</v>
      </c>
      <c r="E13" s="14">
        <v>17.076676696554799</v>
      </c>
      <c r="F13" s="14">
        <v>17.023551696554801</v>
      </c>
      <c r="G13" s="14">
        <v>17.0829266965548</v>
      </c>
      <c r="H13" s="14">
        <v>17.0829266965548</v>
      </c>
      <c r="I13" s="14">
        <v>17.084489196554799</v>
      </c>
      <c r="J13" s="44">
        <f>96.24</f>
        <v>96.24</v>
      </c>
    </row>
    <row r="14" spans="1:10" ht="15" x14ac:dyDescent="0.2">
      <c r="A14" s="13">
        <v>41334</v>
      </c>
      <c r="B14" s="14">
        <v>16.456719986895401</v>
      </c>
      <c r="C14" s="14">
        <v>15.771603971900401</v>
      </c>
      <c r="D14" s="14">
        <v>15.763791471900401</v>
      </c>
      <c r="E14" s="14">
        <v>15.763791471900401</v>
      </c>
      <c r="F14" s="14">
        <v>16.456719986895401</v>
      </c>
      <c r="G14" s="14">
        <v>15.770041471900401</v>
      </c>
      <c r="H14" s="14">
        <v>15.770041471900401</v>
      </c>
      <c r="I14" s="14">
        <v>15.771603971900401</v>
      </c>
      <c r="J14" s="44">
        <f>94.46</f>
        <v>94.46</v>
      </c>
    </row>
    <row r="15" spans="1:10" ht="15" x14ac:dyDescent="0.2">
      <c r="A15" s="13">
        <v>41365</v>
      </c>
      <c r="B15" s="14">
        <v>16.071251267255601</v>
      </c>
      <c r="C15" s="14">
        <v>15.4136066904326</v>
      </c>
      <c r="D15" s="14">
        <v>15.4057941904326</v>
      </c>
      <c r="E15" s="14">
        <v>15.4057941904326</v>
      </c>
      <c r="F15" s="45">
        <v>15.915001267255599</v>
      </c>
      <c r="G15" s="14">
        <v>15.412044190432599</v>
      </c>
      <c r="H15" s="14">
        <v>15.412044190432599</v>
      </c>
      <c r="I15" s="14">
        <v>15.4136066904326</v>
      </c>
      <c r="J15" s="44">
        <f>92.96</f>
        <v>92.96</v>
      </c>
    </row>
    <row r="16" spans="1:10" ht="15" x14ac:dyDescent="0.2">
      <c r="A16" s="13">
        <v>41395</v>
      </c>
      <c r="B16" s="14">
        <v>16.0652180011265</v>
      </c>
      <c r="C16" s="14">
        <v>15.407153397421901</v>
      </c>
      <c r="D16" s="14">
        <v>15.399340897421901</v>
      </c>
      <c r="E16" s="14">
        <v>15.399340897421901</v>
      </c>
      <c r="F16" s="45">
        <v>15.9089680011265</v>
      </c>
      <c r="G16" s="14">
        <v>15.4055908974219</v>
      </c>
      <c r="H16" s="14">
        <v>15.4055908974219</v>
      </c>
      <c r="I16" s="14">
        <v>15.407153397421901</v>
      </c>
      <c r="J16" s="44">
        <f>88.76</f>
        <v>88.76</v>
      </c>
    </row>
    <row r="17" spans="1:10" ht="15" x14ac:dyDescent="0.2">
      <c r="A17" s="13">
        <v>41426</v>
      </c>
      <c r="B17" s="14">
        <v>15.8182825172556</v>
      </c>
      <c r="C17" s="14">
        <v>15.2292316904326</v>
      </c>
      <c r="D17" s="14">
        <v>15.2214191904326</v>
      </c>
      <c r="E17" s="14">
        <v>15.2214191904326</v>
      </c>
      <c r="F17" s="45">
        <v>15.6620325172556</v>
      </c>
      <c r="G17" s="14">
        <v>15.2276691904326</v>
      </c>
      <c r="H17" s="14">
        <v>15.2276691904326</v>
      </c>
      <c r="I17" s="14">
        <v>15.2292316904326</v>
      </c>
      <c r="J17" s="44">
        <f>96.16</f>
        <v>96.16</v>
      </c>
    </row>
    <row r="18" spans="1:10" ht="15" x14ac:dyDescent="0.2">
      <c r="A18" s="13">
        <v>41456</v>
      </c>
      <c r="B18" s="14">
        <v>15.5105978738396</v>
      </c>
      <c r="C18" s="14">
        <v>15.084690528199401</v>
      </c>
      <c r="D18" s="14">
        <v>15.076878028199401</v>
      </c>
      <c r="E18" s="14">
        <v>15.076878028199401</v>
      </c>
      <c r="F18" s="45">
        <v>15.3543478738396</v>
      </c>
      <c r="G18" s="14">
        <v>15.0831280281994</v>
      </c>
      <c r="H18" s="14">
        <v>15.0831280281994</v>
      </c>
      <c r="I18" s="14">
        <v>15.084690528199401</v>
      </c>
      <c r="J18" s="44">
        <f>95.4</f>
        <v>95.4</v>
      </c>
    </row>
    <row r="19" spans="1:10" ht="15" x14ac:dyDescent="0.2">
      <c r="A19" s="13">
        <v>41487</v>
      </c>
      <c r="B19" s="14">
        <v>16.016999083517</v>
      </c>
      <c r="C19" s="14">
        <v>15.4416965765865</v>
      </c>
      <c r="D19" s="14">
        <v>15.4338840765865</v>
      </c>
      <c r="E19" s="14">
        <v>15.4338840765865</v>
      </c>
      <c r="F19" s="45">
        <v>15.860749083517</v>
      </c>
      <c r="G19" s="14">
        <v>15.440134076586499</v>
      </c>
      <c r="H19" s="14">
        <v>15.440134076586499</v>
      </c>
      <c r="I19" s="14">
        <v>15.4416965765865</v>
      </c>
      <c r="J19" s="44">
        <f>106.91</f>
        <v>106.91</v>
      </c>
    </row>
    <row r="20" spans="1:10" ht="15" x14ac:dyDescent="0.2">
      <c r="A20" s="13">
        <v>41518</v>
      </c>
      <c r="B20" s="14">
        <v>16.238246544738399</v>
      </c>
      <c r="C20" s="14">
        <v>15.679820717915501</v>
      </c>
      <c r="D20" s="14">
        <v>15.672008217915501</v>
      </c>
      <c r="E20" s="14">
        <v>15.672008217915501</v>
      </c>
      <c r="F20" s="45">
        <v>16.081996544738399</v>
      </c>
      <c r="G20" s="14">
        <v>15.6782582179155</v>
      </c>
      <c r="H20" s="14">
        <v>15.6782582179155</v>
      </c>
      <c r="I20" s="14">
        <v>15.679820717915501</v>
      </c>
      <c r="J20" s="44">
        <f>104.96</f>
        <v>104.96</v>
      </c>
    </row>
    <row r="21" spans="1:10" ht="15" x14ac:dyDescent="0.2">
      <c r="A21" s="13">
        <v>41548</v>
      </c>
      <c r="B21" s="14">
        <v>16.347294163786</v>
      </c>
      <c r="C21" s="14">
        <v>15.7525216107726</v>
      </c>
      <c r="D21" s="14">
        <v>15.7447091107726</v>
      </c>
      <c r="E21" s="14">
        <v>15.7447091107726</v>
      </c>
      <c r="F21" s="45">
        <v>16.191044163786</v>
      </c>
      <c r="G21" s="14">
        <v>15.7509591107726</v>
      </c>
      <c r="H21" s="14">
        <v>15.7509591107726</v>
      </c>
      <c r="I21" s="14">
        <v>15.7525216107726</v>
      </c>
      <c r="J21" s="44">
        <f>104.67</f>
        <v>104.67</v>
      </c>
    </row>
    <row r="22" spans="1:10" ht="15" x14ac:dyDescent="0.2">
      <c r="A22" s="13">
        <v>41579</v>
      </c>
      <c r="B22" s="14">
        <f>15.7422 * CHOOSE(CONTROL!$C$15, $E$9, 100%, $G$9) + CHOOSE(CONTROL!$C$38, 0.0256, 0)</f>
        <v>15.767800000000001</v>
      </c>
      <c r="C22" s="14">
        <f>15.1953 * CHOOSE(CONTROL!$C$15, $E$9, 100%, $G$9) + CHOOSE(CONTROL!$C$38, 0.0347, 0)</f>
        <v>15.23</v>
      </c>
      <c r="D22" s="14">
        <f>15.1875 * CHOOSE(CONTROL!$C$15, $E$9, 100%, $G$9) + CHOOSE(CONTROL!$C$38, 0.0347, 0)</f>
        <v>15.222200000000001</v>
      </c>
      <c r="E22" s="14">
        <f>15.1875 * CHOOSE(CONTROL!$C$15, $E$9, 100%, $G$9) + CHOOSE(CONTROL!$C$38, 0.0347, 0)</f>
        <v>15.222200000000001</v>
      </c>
      <c r="F22" s="45">
        <f>15.5859 * CHOOSE(CONTROL!$C$15, $E$9, 100%, $G$9) + CHOOSE(CONTROL!$C$38, 0.0256, 0)</f>
        <v>15.611500000000001</v>
      </c>
      <c r="G22" s="14">
        <f>15.1937 * CHOOSE(CONTROL!$C$15, $E$9, 100%, $G$9) + CHOOSE(CONTROL!$C$38, 0.0347, 0)</f>
        <v>15.228400000000001</v>
      </c>
      <c r="H22" s="14">
        <f>15.1937 * CHOOSE(CONTROL!$C$15, $E$9, 100%, $G$9) + CHOOSE(CONTROL!$C$38, 0.0347, 0)</f>
        <v>15.228400000000001</v>
      </c>
      <c r="I22" s="14">
        <f>15.1953 * CHOOSE(CONTROL!$C$15, $E$9, 100%, $G$9) + CHOOSE(CONTROL!$C$38, 0.0347, 0)</f>
        <v>15.23</v>
      </c>
      <c r="J22" s="44">
        <f>103.03</f>
        <v>103.03</v>
      </c>
    </row>
    <row r="23" spans="1:10" ht="15" x14ac:dyDescent="0.2">
      <c r="A23" s="13">
        <v>41609</v>
      </c>
      <c r="B23" s="14">
        <f>15.7656 * CHOOSE(CONTROL!$C$15, $E$9, 100%, $G$9) + CHOOSE(CONTROL!$C$38, 0.0256, 0)</f>
        <v>15.7912</v>
      </c>
      <c r="C23" s="14">
        <f>15.1406 * CHOOSE(CONTROL!$C$15, $E$9, 100%, $G$9) + CHOOSE(CONTROL!$C$38, 0.0347, 0)</f>
        <v>15.1753</v>
      </c>
      <c r="D23" s="14">
        <f>15.1328 * CHOOSE(CONTROL!$C$15, $E$9, 100%, $G$9) + CHOOSE(CONTROL!$C$38, 0.0347, 0)</f>
        <v>15.1675</v>
      </c>
      <c r="E23" s="14">
        <f>15.1328 * CHOOSE(CONTROL!$C$15, $E$9, 100%, $G$9) + CHOOSE(CONTROL!$C$38, 0.0347, 0)</f>
        <v>15.1675</v>
      </c>
      <c r="F23" s="45">
        <f>15.6094 * CHOOSE(CONTROL!$C$15, $E$9, 100%, $G$9) + CHOOSE(CONTROL!$C$38, 0.0256, 0)</f>
        <v>15.635000000000002</v>
      </c>
      <c r="G23" s="14">
        <f>15.1391 * CHOOSE(CONTROL!$C$15, $E$9, 100%, $G$9) + CHOOSE(CONTROL!$C$38, 0.0347, 0)</f>
        <v>15.1738</v>
      </c>
      <c r="H23" s="14">
        <f>15.1391 * CHOOSE(CONTROL!$C$15, $E$9, 100%, $G$9) + CHOOSE(CONTROL!$C$38, 0.0347, 0)</f>
        <v>15.1738</v>
      </c>
      <c r="I23" s="14">
        <f>15.1406 * CHOOSE(CONTROL!$C$15, $E$9, 100%, $G$9) + CHOOSE(CONTROL!$C$38, 0.0347, 0)</f>
        <v>15.1753</v>
      </c>
      <c r="J23" s="44">
        <f>102.83</f>
        <v>102.83</v>
      </c>
    </row>
    <row r="24" spans="1:10" ht="15" x14ac:dyDescent="0.2">
      <c r="A24" s="13">
        <v>41640</v>
      </c>
      <c r="B24" s="14">
        <f>15.8125 * CHOOSE(CONTROL!$C$15, $E$9, 100%, $G$9) + CHOOSE(CONTROL!$C$38, 0.0256, 0)</f>
        <v>15.838100000000001</v>
      </c>
      <c r="C24" s="14">
        <f>15.1875 * CHOOSE(CONTROL!$C$15, $E$9, 100%, $G$9) + CHOOSE(CONTROL!$C$38, 0.0347, 0)</f>
        <v>15.222200000000001</v>
      </c>
      <c r="D24" s="14">
        <f>15.1797 * CHOOSE(CONTROL!$C$15, $E$9, 100%, $G$9) + CHOOSE(CONTROL!$C$38, 0.0347, 0)</f>
        <v>15.214400000000001</v>
      </c>
      <c r="E24" s="46">
        <f>15.6562 * CHOOSE(CONTROL!$C$15, $E$9, 100%, $G$9) + CHOOSE(CONTROL!$C$38, 0.0347, 0)</f>
        <v>15.690900000000001</v>
      </c>
      <c r="F24" s="45">
        <f>15.6562 * CHOOSE(CONTROL!$C$15, $E$9, 100%, $G$9) + CHOOSE(CONTROL!$C$38, 0.0256, 0)</f>
        <v>15.681800000000001</v>
      </c>
      <c r="G24" s="14">
        <f>15.1859 * CHOOSE(CONTROL!$C$15, $E$9, 100%, $G$9) + CHOOSE(CONTROL!$C$38, 0.0347, 0)</f>
        <v>15.220600000000001</v>
      </c>
      <c r="H24" s="14">
        <f>15.1859 * CHOOSE(CONTROL!$C$15, $E$9, 100%, $G$9) + CHOOSE(CONTROL!$C$38, 0.0347, 0)</f>
        <v>15.220600000000001</v>
      </c>
      <c r="I24" s="14">
        <f>15.1875 * CHOOSE(CONTROL!$C$15, $E$9, 100%, $G$9) + CHOOSE(CONTROL!$C$38, 0.0347, 0)</f>
        <v>15.222200000000001</v>
      </c>
      <c r="J24" s="44">
        <f>102.33</f>
        <v>102.33</v>
      </c>
    </row>
    <row r="25" spans="1:10" ht="15" x14ac:dyDescent="0.2">
      <c r="A25" s="13">
        <v>41671</v>
      </c>
      <c r="B25" s="14">
        <f>15.7891 * CHOOSE(CONTROL!$C$15, $E$9, 100%, $G$9) + CHOOSE(CONTROL!$C$38, 0.0256, 0)</f>
        <v>15.8147</v>
      </c>
      <c r="C25" s="14">
        <f>15.1641 * CHOOSE(CONTROL!$C$15, $E$9, 100%, $G$9) + CHOOSE(CONTROL!$C$38, 0.0347, 0)</f>
        <v>15.1988</v>
      </c>
      <c r="D25" s="14">
        <f>15.1562 * CHOOSE(CONTROL!$C$15, $E$9, 100%, $G$9) + CHOOSE(CONTROL!$C$38, 0.0347, 0)</f>
        <v>15.190900000000001</v>
      </c>
      <c r="E25" s="46">
        <f>15.6328 * CHOOSE(CONTROL!$C$15, $E$9, 100%, $G$9) + CHOOSE(CONTROL!$C$38, 0.0347, 0)</f>
        <v>15.6675</v>
      </c>
      <c r="F25" s="45">
        <f>15.6328 * CHOOSE(CONTROL!$C$15, $E$9, 100%, $G$9) + CHOOSE(CONTROL!$C$38, 0.0256, 0)</f>
        <v>15.6584</v>
      </c>
      <c r="G25" s="14">
        <f>15.1625 * CHOOSE(CONTROL!$C$15, $E$9, 100%, $G$9) + CHOOSE(CONTROL!$C$38, 0.0347, 0)</f>
        <v>15.1972</v>
      </c>
      <c r="H25" s="14">
        <f>15.1625 * CHOOSE(CONTROL!$C$15, $E$9, 100%, $G$9) + CHOOSE(CONTROL!$C$38, 0.0347, 0)</f>
        <v>15.1972</v>
      </c>
      <c r="I25" s="14">
        <f>15.1641 * CHOOSE(CONTROL!$C$15, $E$9, 100%, $G$9) + CHOOSE(CONTROL!$C$38, 0.0347, 0)</f>
        <v>15.1988</v>
      </c>
      <c r="J25" s="44">
        <f>101.56</f>
        <v>101.56</v>
      </c>
    </row>
    <row r="26" spans="1:10" ht="15" x14ac:dyDescent="0.2">
      <c r="A26" s="13">
        <v>41699</v>
      </c>
      <c r="B26" s="14">
        <f>16.0797 * CHOOSE(CONTROL!$C$15, $E$9, 100%, $G$9) + CHOOSE(CONTROL!$C$38, 0.0256, 0)</f>
        <v>16.1053</v>
      </c>
      <c r="C26" s="14">
        <f>15.1406 * CHOOSE(CONTROL!$C$15, $E$9, 100%, $G$9) + CHOOSE(CONTROL!$C$38, 0.0347, 0)</f>
        <v>15.1753</v>
      </c>
      <c r="D26" s="14">
        <f>15.1328 * CHOOSE(CONTROL!$C$15, $E$9, 100%, $G$9) + CHOOSE(CONTROL!$C$38, 0.0347, 0)</f>
        <v>15.1675</v>
      </c>
      <c r="E26" s="46">
        <f>15.9234 * CHOOSE(CONTROL!$C$15, $E$9, 100%, $G$9) + CHOOSE(CONTROL!$C$38, 0.0347, 0)</f>
        <v>15.958100000000002</v>
      </c>
      <c r="F26" s="45">
        <f>15.9234 * CHOOSE(CONTROL!$C$15, $E$9, 100%, $G$9) + CHOOSE(CONTROL!$C$38, 0.0256, 0)</f>
        <v>15.949000000000002</v>
      </c>
      <c r="G26" s="14">
        <f>15.1391 * CHOOSE(CONTROL!$C$15, $E$9, 100%, $G$9) + CHOOSE(CONTROL!$C$38, 0.0347, 0)</f>
        <v>15.1738</v>
      </c>
      <c r="H26" s="14">
        <f>15.1391 * CHOOSE(CONTROL!$C$15, $E$9, 100%, $G$9) + CHOOSE(CONTROL!$C$38, 0.0347, 0)</f>
        <v>15.1738</v>
      </c>
      <c r="I26" s="14">
        <f>15.1406 * CHOOSE(CONTROL!$C$15, $E$9, 100%, $G$9) + CHOOSE(CONTROL!$C$38, 0.0347, 0)</f>
        <v>15.1753</v>
      </c>
      <c r="J26" s="44">
        <f>100.75</f>
        <v>100.75</v>
      </c>
    </row>
    <row r="27" spans="1:10" ht="15" x14ac:dyDescent="0.2">
      <c r="A27" s="13">
        <v>41730</v>
      </c>
      <c r="B27" s="14">
        <f>15.8516 * CHOOSE(CONTROL!$C$15, $E$9, 100%, $G$9) + CHOOSE(CONTROL!$C$38, 0.0256, 0)</f>
        <v>15.8772</v>
      </c>
      <c r="C27" s="14">
        <f>15.0703 * CHOOSE(CONTROL!$C$15, $E$9, 100%, $G$9) + CHOOSE(CONTROL!$C$38, 0.0347, 0)</f>
        <v>15.105</v>
      </c>
      <c r="D27" s="14">
        <f>15.0625 * CHOOSE(CONTROL!$C$15, $E$9, 100%, $G$9) + CHOOSE(CONTROL!$C$38, 0.0347, 0)</f>
        <v>15.097200000000001</v>
      </c>
      <c r="E27" s="46">
        <f>15.6953 * CHOOSE(CONTROL!$C$15, $E$9, 100%, $G$9) + CHOOSE(CONTROL!$C$38, 0.0347, 0)</f>
        <v>15.73</v>
      </c>
      <c r="F27" s="45">
        <f>15.6953 * CHOOSE(CONTROL!$C$15, $E$9, 100%, $G$9) + CHOOSE(CONTROL!$C$38, 0.0256, 0)</f>
        <v>15.7209</v>
      </c>
      <c r="G27" s="14">
        <f>15.0687 * CHOOSE(CONTROL!$C$15, $E$9, 100%, $G$9) + CHOOSE(CONTROL!$C$38, 0.0347, 0)</f>
        <v>15.103400000000001</v>
      </c>
      <c r="H27" s="14">
        <f>15.0687 * CHOOSE(CONTROL!$C$15, $E$9, 100%, $G$9) + CHOOSE(CONTROL!$C$38, 0.0347, 0)</f>
        <v>15.103400000000001</v>
      </c>
      <c r="I27" s="14">
        <f>15.0703 * CHOOSE(CONTROL!$C$15, $E$9, 100%, $G$9) + CHOOSE(CONTROL!$C$38, 0.0347, 0)</f>
        <v>15.105</v>
      </c>
      <c r="J27" s="44">
        <f>99.89</f>
        <v>99.89</v>
      </c>
    </row>
    <row r="28" spans="1:10" ht="15" x14ac:dyDescent="0.2">
      <c r="A28" s="13">
        <v>41760</v>
      </c>
      <c r="B28" s="14">
        <f>15.8516 * CHOOSE(CONTROL!$C$15, $E$9, 100%, $G$9) + CHOOSE(CONTROL!$C$38, 0.0278, 0)</f>
        <v>15.879399999999999</v>
      </c>
      <c r="C28" s="14">
        <f>15.0703 * CHOOSE(CONTROL!$C$15, $E$9, 100%, $G$9) + CHOOSE(CONTROL!$C$38, 0.0369, 0)</f>
        <v>15.107199999999999</v>
      </c>
      <c r="D28" s="14">
        <f>15.0625 * CHOOSE(CONTROL!$C$15, $E$9, 100%, $G$9) + CHOOSE(CONTROL!$C$38, 0.0369, 0)</f>
        <v>15.099399999999999</v>
      </c>
      <c r="E28" s="46">
        <f>15.6953 * CHOOSE(CONTROL!$C$15, $E$9, 100%, $G$9) + CHOOSE(CONTROL!$C$38, 0.0369, 0)</f>
        <v>15.732199999999999</v>
      </c>
      <c r="F28" s="45">
        <f>15.6953 * CHOOSE(CONTROL!$C$15, $E$9, 100%, $G$9) + CHOOSE(CONTROL!$C$38, 0.0278, 0)</f>
        <v>15.723099999999999</v>
      </c>
      <c r="G28" s="14">
        <f>15.0687 * CHOOSE(CONTROL!$C$15, $E$9, 100%, $G$9) + CHOOSE(CONTROL!$C$38, 0.0369, 0)</f>
        <v>15.105599999999999</v>
      </c>
      <c r="H28" s="14">
        <f>15.0687 * CHOOSE(CONTROL!$C$15, $E$9, 100%, $G$9) + CHOOSE(CONTROL!$C$38, 0.0369, 0)</f>
        <v>15.105599999999999</v>
      </c>
      <c r="I28" s="14">
        <f>15.0703 * CHOOSE(CONTROL!$C$15, $E$9, 100%, $G$9) + CHOOSE(CONTROL!$C$38, 0.0369, 0)</f>
        <v>15.107199999999999</v>
      </c>
      <c r="J28" s="44">
        <f>99.06</f>
        <v>99.06</v>
      </c>
    </row>
    <row r="29" spans="1:10" ht="15" x14ac:dyDescent="0.2">
      <c r="A29" s="13">
        <v>41791</v>
      </c>
      <c r="B29" s="14">
        <f>15.8516 * CHOOSE(CONTROL!$C$15, $E$9, 100%, $G$9) + CHOOSE(CONTROL!$C$38, 0.0278, 0)</f>
        <v>15.879399999999999</v>
      </c>
      <c r="C29" s="14">
        <f>15.0703 * CHOOSE(CONTROL!$C$15, $E$9, 100%, $G$9) + CHOOSE(CONTROL!$C$38, 0.0369, 0)</f>
        <v>15.107199999999999</v>
      </c>
      <c r="D29" s="14">
        <f>15.0625 * CHOOSE(CONTROL!$C$15, $E$9, 100%, $G$9) + CHOOSE(CONTROL!$C$38, 0.0369, 0)</f>
        <v>15.099399999999999</v>
      </c>
      <c r="E29" s="46">
        <f>15.6953 * CHOOSE(CONTROL!$C$15, $E$9, 100%, $G$9) + CHOOSE(CONTROL!$C$38, 0.0369, 0)</f>
        <v>15.732199999999999</v>
      </c>
      <c r="F29" s="45">
        <f>15.6953 * CHOOSE(CONTROL!$C$15, $E$9, 100%, $G$9) + CHOOSE(CONTROL!$C$38, 0.0278, 0)</f>
        <v>15.723099999999999</v>
      </c>
      <c r="G29" s="14">
        <f>15.0687 * CHOOSE(CONTROL!$C$15, $E$9, 100%, $G$9) + CHOOSE(CONTROL!$C$38, 0.0369, 0)</f>
        <v>15.105599999999999</v>
      </c>
      <c r="H29" s="14">
        <f>15.0687 * CHOOSE(CONTROL!$C$15, $E$9, 100%, $G$9) + CHOOSE(CONTROL!$C$38, 0.0369, 0)</f>
        <v>15.105599999999999</v>
      </c>
      <c r="I29" s="14">
        <f>15.0703 * CHOOSE(CONTROL!$C$15, $E$9, 100%, $G$9) + CHOOSE(CONTROL!$C$38, 0.0369, 0)</f>
        <v>15.107199999999999</v>
      </c>
      <c r="J29" s="44">
        <f>98.23</f>
        <v>98.23</v>
      </c>
    </row>
    <row r="30" spans="1:10" ht="15" x14ac:dyDescent="0.2">
      <c r="A30" s="13">
        <v>41821</v>
      </c>
      <c r="B30" s="14">
        <f>15.6742 * CHOOSE(CONTROL!$C$15, $E$9, 100%, $G$9) + CHOOSE(CONTROL!$C$38, 0.0278, 0)</f>
        <v>15.702</v>
      </c>
      <c r="C30" s="14">
        <f>14.9453 * CHOOSE(CONTROL!$C$15, $E$9, 100%, $G$9) + CHOOSE(CONTROL!$C$38, 0.0369, 0)</f>
        <v>14.982199999999999</v>
      </c>
      <c r="D30" s="14">
        <f>14.9375 * CHOOSE(CONTROL!$C$15, $E$9, 100%, $G$9) + CHOOSE(CONTROL!$C$38, 0.0369, 0)</f>
        <v>14.974399999999999</v>
      </c>
      <c r="E30" s="46">
        <f>15.518 * CHOOSE(CONTROL!$C$15, $E$9, 100%, $G$9) + CHOOSE(CONTROL!$C$38, 0.0369, 0)</f>
        <v>15.5549</v>
      </c>
      <c r="F30" s="45">
        <f>15.518 * CHOOSE(CONTROL!$C$15, $E$9, 100%, $G$9) + CHOOSE(CONTROL!$C$38, 0.0278, 0)</f>
        <v>15.5458</v>
      </c>
      <c r="G30" s="14">
        <f>14.9437 * CHOOSE(CONTROL!$C$15, $E$9, 100%, $G$9) + CHOOSE(CONTROL!$C$38, 0.0369, 0)</f>
        <v>14.980599999999999</v>
      </c>
      <c r="H30" s="14">
        <f>14.9437 * CHOOSE(CONTROL!$C$15, $E$9, 100%, $G$9) + CHOOSE(CONTROL!$C$38, 0.0369, 0)</f>
        <v>14.980599999999999</v>
      </c>
      <c r="I30" s="14">
        <f>14.9453 * CHOOSE(CONTROL!$C$15, $E$9, 100%, $G$9) + CHOOSE(CONTROL!$C$38, 0.0369, 0)</f>
        <v>14.982199999999999</v>
      </c>
      <c r="J30" s="44">
        <f>97.38</f>
        <v>97.38</v>
      </c>
    </row>
    <row r="31" spans="1:10" ht="15" x14ac:dyDescent="0.2">
      <c r="A31" s="13">
        <v>41852</v>
      </c>
      <c r="B31" s="14">
        <f>15.6742 * CHOOSE(CONTROL!$C$15, $E$9, 100%, $G$9) + CHOOSE(CONTROL!$C$38, 0.0278, 0)</f>
        <v>15.702</v>
      </c>
      <c r="C31" s="14">
        <f>14.9453 * CHOOSE(CONTROL!$C$15, $E$9, 100%, $G$9) + CHOOSE(CONTROL!$C$38, 0.0369, 0)</f>
        <v>14.982199999999999</v>
      </c>
      <c r="D31" s="14">
        <f>14.9375 * CHOOSE(CONTROL!$C$15, $E$9, 100%, $G$9) + CHOOSE(CONTROL!$C$38, 0.0369, 0)</f>
        <v>14.974399999999999</v>
      </c>
      <c r="E31" s="46">
        <f>15.518 * CHOOSE(CONTROL!$C$15, $E$9, 100%, $G$9) + CHOOSE(CONTROL!$C$38, 0.0369, 0)</f>
        <v>15.5549</v>
      </c>
      <c r="F31" s="45">
        <f>15.518 * CHOOSE(CONTROL!$C$15, $E$9, 100%, $G$9) + CHOOSE(CONTROL!$C$38, 0.0278, 0)</f>
        <v>15.5458</v>
      </c>
      <c r="G31" s="14">
        <f>14.9437 * CHOOSE(CONTROL!$C$15, $E$9, 100%, $G$9) + CHOOSE(CONTROL!$C$38, 0.0369, 0)</f>
        <v>14.980599999999999</v>
      </c>
      <c r="H31" s="14">
        <f>14.9437 * CHOOSE(CONTROL!$C$15, $E$9, 100%, $G$9) + CHOOSE(CONTROL!$C$38, 0.0369, 0)</f>
        <v>14.980599999999999</v>
      </c>
      <c r="I31" s="14">
        <f>14.9453 * CHOOSE(CONTROL!$C$15, $E$9, 100%, $G$9) + CHOOSE(CONTROL!$C$38, 0.0369, 0)</f>
        <v>14.982199999999999</v>
      </c>
      <c r="J31" s="44">
        <f>96.63</f>
        <v>96.63</v>
      </c>
    </row>
    <row r="32" spans="1:10" ht="15" x14ac:dyDescent="0.2">
      <c r="A32" s="13">
        <v>41883</v>
      </c>
      <c r="B32" s="14">
        <f>15.6742 * CHOOSE(CONTROL!$C$15, $E$9, 100%, $G$9) + CHOOSE(CONTROL!$C$38, 0.0278, 0)</f>
        <v>15.702</v>
      </c>
      <c r="C32" s="14">
        <f>14.9453 * CHOOSE(CONTROL!$C$15, $E$9, 100%, $G$9) + CHOOSE(CONTROL!$C$38, 0.0369, 0)</f>
        <v>14.982199999999999</v>
      </c>
      <c r="D32" s="14">
        <f>14.9375 * CHOOSE(CONTROL!$C$15, $E$9, 100%, $G$9) + CHOOSE(CONTROL!$C$38, 0.0369, 0)</f>
        <v>14.974399999999999</v>
      </c>
      <c r="E32" s="46">
        <f>15.518 * CHOOSE(CONTROL!$C$15, $E$9, 100%, $G$9) + CHOOSE(CONTROL!$C$38, 0.0369, 0)</f>
        <v>15.5549</v>
      </c>
      <c r="F32" s="45">
        <f>15.518 * CHOOSE(CONTROL!$C$15, $E$9, 100%, $G$9) + CHOOSE(CONTROL!$C$38, 0.0278, 0)</f>
        <v>15.5458</v>
      </c>
      <c r="G32" s="14">
        <f>14.9437 * CHOOSE(CONTROL!$C$15, $E$9, 100%, $G$9) + CHOOSE(CONTROL!$C$38, 0.0369, 0)</f>
        <v>14.980599999999999</v>
      </c>
      <c r="H32" s="14">
        <f>14.9437 * CHOOSE(CONTROL!$C$15, $E$9, 100%, $G$9) + CHOOSE(CONTROL!$C$38, 0.0369, 0)</f>
        <v>14.980599999999999</v>
      </c>
      <c r="I32" s="14">
        <f>14.9453 * CHOOSE(CONTROL!$C$15, $E$9, 100%, $G$9) + CHOOSE(CONTROL!$C$38, 0.0369, 0)</f>
        <v>14.982199999999999</v>
      </c>
      <c r="J32" s="44">
        <f>95.97</f>
        <v>95.97</v>
      </c>
    </row>
    <row r="33" spans="1:10" ht="15" x14ac:dyDescent="0.2">
      <c r="A33" s="13">
        <v>41913</v>
      </c>
      <c r="B33" s="14">
        <f>15.6742 * CHOOSE(CONTROL!$C$15, $E$9, 100%, $G$9) + CHOOSE(CONTROL!$C$38, 0.0256, 0)</f>
        <v>15.699800000000002</v>
      </c>
      <c r="C33" s="14">
        <f>14.7891 * CHOOSE(CONTROL!$C$15, $E$9, 100%, $G$9) + CHOOSE(CONTROL!$C$38, 0.0347, 0)</f>
        <v>14.8238</v>
      </c>
      <c r="D33" s="14">
        <f>14.7812 * CHOOSE(CONTROL!$C$15, $E$9, 100%, $G$9) + CHOOSE(CONTROL!$C$38, 0.0347, 0)</f>
        <v>14.815900000000001</v>
      </c>
      <c r="E33" s="46">
        <f>15.518 * CHOOSE(CONTROL!$C$15, $E$9, 100%, $G$9) + CHOOSE(CONTROL!$C$38, 0.0347, 0)</f>
        <v>15.552700000000002</v>
      </c>
      <c r="F33" s="45">
        <f>15.518 * CHOOSE(CONTROL!$C$15, $E$9, 100%, $G$9) + CHOOSE(CONTROL!$C$38, 0.0256, 0)</f>
        <v>15.543600000000001</v>
      </c>
      <c r="G33" s="14">
        <f>14.7875 * CHOOSE(CONTROL!$C$15, $E$9, 100%, $G$9) + CHOOSE(CONTROL!$C$38, 0.0347, 0)</f>
        <v>14.8222</v>
      </c>
      <c r="H33" s="14">
        <f>14.7875 * CHOOSE(CONTROL!$C$15, $E$9, 100%, $G$9) + CHOOSE(CONTROL!$C$38, 0.0347, 0)</f>
        <v>14.8222</v>
      </c>
      <c r="I33" s="14">
        <f>14.7891 * CHOOSE(CONTROL!$C$15, $E$9, 100%, $G$9) + CHOOSE(CONTROL!$C$38, 0.0347, 0)</f>
        <v>14.8238</v>
      </c>
      <c r="J33" s="44">
        <f>95.31</f>
        <v>95.31</v>
      </c>
    </row>
    <row r="34" spans="1:10" ht="15" x14ac:dyDescent="0.2">
      <c r="A34" s="13">
        <v>41944</v>
      </c>
      <c r="B34" s="14">
        <f>15.6742 * CHOOSE(CONTROL!$C$15, $E$9, 100%, $G$9) + CHOOSE(CONTROL!$C$38, 0.0256, 0)</f>
        <v>15.699800000000002</v>
      </c>
      <c r="C34" s="14">
        <f>14.7891 * CHOOSE(CONTROL!$C$15, $E$9, 100%, $G$9) + CHOOSE(CONTROL!$C$38, 0.0347, 0)</f>
        <v>14.8238</v>
      </c>
      <c r="D34" s="14">
        <f>14.7812 * CHOOSE(CONTROL!$C$15, $E$9, 100%, $G$9) + CHOOSE(CONTROL!$C$38, 0.0347, 0)</f>
        <v>14.815900000000001</v>
      </c>
      <c r="E34" s="46">
        <f>15.518 * CHOOSE(CONTROL!$C$15, $E$9, 100%, $G$9) + CHOOSE(CONTROL!$C$38, 0.0347, 0)</f>
        <v>15.552700000000002</v>
      </c>
      <c r="F34" s="45">
        <f>15.518 * CHOOSE(CONTROL!$C$15, $E$9, 100%, $G$9) + CHOOSE(CONTROL!$C$38, 0.0256, 0)</f>
        <v>15.543600000000001</v>
      </c>
      <c r="G34" s="14">
        <f>14.7875 * CHOOSE(CONTROL!$C$15, $E$9, 100%, $G$9) + CHOOSE(CONTROL!$C$38, 0.0347, 0)</f>
        <v>14.8222</v>
      </c>
      <c r="H34" s="14">
        <f>14.7875 * CHOOSE(CONTROL!$C$15, $E$9, 100%, $G$9) + CHOOSE(CONTROL!$C$38, 0.0347, 0)</f>
        <v>14.8222</v>
      </c>
      <c r="I34" s="14">
        <f>14.7891 * CHOOSE(CONTROL!$C$15, $E$9, 100%, $G$9) + CHOOSE(CONTROL!$C$38, 0.0347, 0)</f>
        <v>14.8238</v>
      </c>
      <c r="J34" s="44">
        <f>94.71</f>
        <v>94.71</v>
      </c>
    </row>
    <row r="35" spans="1:10" ht="15" x14ac:dyDescent="0.2">
      <c r="A35" s="13">
        <v>41974</v>
      </c>
      <c r="B35" s="14">
        <f>15.6742 * CHOOSE(CONTROL!$C$15, $E$9, 100%, $G$9) + CHOOSE(CONTROL!$C$38, 0.0256, 0)</f>
        <v>15.699800000000002</v>
      </c>
      <c r="C35" s="14">
        <f>14.7891 * CHOOSE(CONTROL!$C$15, $E$9, 100%, $G$9) + CHOOSE(CONTROL!$C$38, 0.0347, 0)</f>
        <v>14.8238</v>
      </c>
      <c r="D35" s="14">
        <f>14.7812 * CHOOSE(CONTROL!$C$15, $E$9, 100%, $G$9) + CHOOSE(CONTROL!$C$38, 0.0347, 0)</f>
        <v>14.815900000000001</v>
      </c>
      <c r="E35" s="46">
        <f>15.518 * CHOOSE(CONTROL!$C$15, $E$9, 100%, $G$9) + CHOOSE(CONTROL!$C$38, 0.0347, 0)</f>
        <v>15.552700000000002</v>
      </c>
      <c r="F35" s="45">
        <f>15.518 * CHOOSE(CONTROL!$C$15, $E$9, 100%, $G$9) + CHOOSE(CONTROL!$C$38, 0.0256, 0)</f>
        <v>15.543600000000001</v>
      </c>
      <c r="G35" s="14">
        <f>14.7875 * CHOOSE(CONTROL!$C$15, $E$9, 100%, $G$9) + CHOOSE(CONTROL!$C$38, 0.0347, 0)</f>
        <v>14.8222</v>
      </c>
      <c r="H35" s="14">
        <f>14.7875 * CHOOSE(CONTROL!$C$15, $E$9, 100%, $G$9) + CHOOSE(CONTROL!$C$38, 0.0347, 0)</f>
        <v>14.8222</v>
      </c>
      <c r="I35" s="14">
        <f>14.7891 * CHOOSE(CONTROL!$C$15, $E$9, 100%, $G$9) + CHOOSE(CONTROL!$C$38, 0.0347, 0)</f>
        <v>14.8238</v>
      </c>
      <c r="J35" s="44">
        <f>94.16</f>
        <v>94.16</v>
      </c>
    </row>
    <row r="36" spans="1:10" ht="15" x14ac:dyDescent="0.2">
      <c r="A36" s="13">
        <v>42005</v>
      </c>
      <c r="B36" s="14">
        <f>14.6087 * CHOOSE(CONTROL!$C$15, $E$9, 100%, $G$9) + CHOOSE(CONTROL!$C$38, 0.0256, 0)</f>
        <v>14.634300000000001</v>
      </c>
      <c r="C36" s="14">
        <f>14.525 * CHOOSE(CONTROL!$C$15, $E$9, 100%, $G$9) + CHOOSE(CONTROL!$C$38, 0.0347, 0)</f>
        <v>14.559700000000001</v>
      </c>
      <c r="D36" s="14">
        <f>14.5172 * CHOOSE(CONTROL!$C$15, $E$9, 100%, $G$9) + CHOOSE(CONTROL!$C$38, 0.0347, 0)</f>
        <v>14.551900000000002</v>
      </c>
      <c r="E36" s="46">
        <f>14.4525 * CHOOSE(CONTROL!$C$15, $E$9, 100%, $G$9) + CHOOSE(CONTROL!$C$38, 0.0347, 0)</f>
        <v>14.487200000000001</v>
      </c>
      <c r="F36" s="45">
        <f>14.4525 * CHOOSE(CONTROL!$C$15, $E$9, 100%, $G$9) + CHOOSE(CONTROL!$C$38, 0.0256, 0)</f>
        <v>14.478100000000001</v>
      </c>
      <c r="G36" s="14">
        <f>14.5234 * CHOOSE(CONTROL!$C$15, $E$9, 100%, $G$9) + CHOOSE(CONTROL!$C$38, 0.0347, 0)</f>
        <v>14.558100000000001</v>
      </c>
      <c r="H36" s="14">
        <f>14.5234 * CHOOSE(CONTROL!$C$15, $E$9, 100%, $G$9) + CHOOSE(CONTROL!$C$38, 0.0347, 0)</f>
        <v>14.558100000000001</v>
      </c>
      <c r="I36" s="14">
        <f>14.525 * CHOOSE(CONTROL!$C$15, $E$9, 100%, $G$9) + CHOOSE(CONTROL!$C$38, 0.0347, 0)</f>
        <v>14.559700000000001</v>
      </c>
      <c r="J36" s="44">
        <f>93.49</f>
        <v>93.49</v>
      </c>
    </row>
    <row r="37" spans="1:10" ht="15" x14ac:dyDescent="0.2">
      <c r="A37" s="13">
        <v>42036</v>
      </c>
      <c r="B37" s="14">
        <f>14.6087 * CHOOSE(CONTROL!$C$15, $E$9, 100%, $G$9) + CHOOSE(CONTROL!$C$38, 0.0256, 0)</f>
        <v>14.634300000000001</v>
      </c>
      <c r="C37" s="14">
        <f>14.525 * CHOOSE(CONTROL!$C$15, $E$9, 100%, $G$9) + CHOOSE(CONTROL!$C$38, 0.0347, 0)</f>
        <v>14.559700000000001</v>
      </c>
      <c r="D37" s="14">
        <f>14.5172 * CHOOSE(CONTROL!$C$15, $E$9, 100%, $G$9) + CHOOSE(CONTROL!$C$38, 0.0347, 0)</f>
        <v>14.551900000000002</v>
      </c>
      <c r="E37" s="46">
        <f>14.4525 * CHOOSE(CONTROL!$C$15, $E$9, 100%, $G$9) + CHOOSE(CONTROL!$C$38, 0.0347, 0)</f>
        <v>14.487200000000001</v>
      </c>
      <c r="F37" s="45">
        <f>14.4525 * CHOOSE(CONTROL!$C$15, $E$9, 100%, $G$9) + CHOOSE(CONTROL!$C$38, 0.0256, 0)</f>
        <v>14.478100000000001</v>
      </c>
      <c r="G37" s="14">
        <f>14.5234 * CHOOSE(CONTROL!$C$15, $E$9, 100%, $G$9) + CHOOSE(CONTROL!$C$38, 0.0347, 0)</f>
        <v>14.558100000000001</v>
      </c>
      <c r="H37" s="14">
        <f>14.5234 * CHOOSE(CONTROL!$C$15, $E$9, 100%, $G$9) + CHOOSE(CONTROL!$C$38, 0.0347, 0)</f>
        <v>14.558100000000001</v>
      </c>
      <c r="I37" s="14">
        <f>14.525 * CHOOSE(CONTROL!$C$15, $E$9, 100%, $G$9) + CHOOSE(CONTROL!$C$38, 0.0347, 0)</f>
        <v>14.559700000000001</v>
      </c>
      <c r="J37" s="44">
        <f>92.84</f>
        <v>92.84</v>
      </c>
    </row>
    <row r="38" spans="1:10" ht="15" x14ac:dyDescent="0.2">
      <c r="A38" s="13">
        <v>42064</v>
      </c>
      <c r="B38" s="14">
        <f>14.6087 * CHOOSE(CONTROL!$C$15, $E$9, 100%, $G$9) + CHOOSE(CONTROL!$C$38, 0.0256, 0)</f>
        <v>14.634300000000001</v>
      </c>
      <c r="C38" s="14">
        <f>14.525 * CHOOSE(CONTROL!$C$15, $E$9, 100%, $G$9) + CHOOSE(CONTROL!$C$38, 0.0347, 0)</f>
        <v>14.559700000000001</v>
      </c>
      <c r="D38" s="14">
        <f>14.5172 * CHOOSE(CONTROL!$C$15, $E$9, 100%, $G$9) + CHOOSE(CONTROL!$C$38, 0.0347, 0)</f>
        <v>14.551900000000002</v>
      </c>
      <c r="E38" s="46">
        <f>14.4525 * CHOOSE(CONTROL!$C$15, $E$9, 100%, $G$9) + CHOOSE(CONTROL!$C$38, 0.0347, 0)</f>
        <v>14.487200000000001</v>
      </c>
      <c r="F38" s="45">
        <f>14.4525 * CHOOSE(CONTROL!$C$15, $E$9, 100%, $G$9) + CHOOSE(CONTROL!$C$38, 0.0256, 0)</f>
        <v>14.478100000000001</v>
      </c>
      <c r="G38" s="14">
        <f>14.5234 * CHOOSE(CONTROL!$C$15, $E$9, 100%, $G$9) + CHOOSE(CONTROL!$C$38, 0.0347, 0)</f>
        <v>14.558100000000001</v>
      </c>
      <c r="H38" s="14">
        <f>14.5234 * CHOOSE(CONTROL!$C$15, $E$9, 100%, $G$9) + CHOOSE(CONTROL!$C$38, 0.0347, 0)</f>
        <v>14.558100000000001</v>
      </c>
      <c r="I38" s="14">
        <f>14.525 * CHOOSE(CONTROL!$C$15, $E$9, 100%, $G$9) + CHOOSE(CONTROL!$C$38, 0.0347, 0)</f>
        <v>14.559700000000001</v>
      </c>
      <c r="J38" s="44">
        <f>92.24</f>
        <v>92.24</v>
      </c>
    </row>
    <row r="39" spans="1:10" ht="15" x14ac:dyDescent="0.2">
      <c r="A39" s="13">
        <v>42095</v>
      </c>
      <c r="B39" s="14">
        <f>14.6087 * CHOOSE(CONTROL!$C$15, $E$9, 100%, $G$9) + CHOOSE(CONTROL!$C$38, 0.0256, 0)</f>
        <v>14.634300000000001</v>
      </c>
      <c r="C39" s="14">
        <f>14.525 * CHOOSE(CONTROL!$C$15, $E$9, 100%, $G$9) + CHOOSE(CONTROL!$C$38, 0.0347, 0)</f>
        <v>14.559700000000001</v>
      </c>
      <c r="D39" s="14">
        <f>14.5172 * CHOOSE(CONTROL!$C$15, $E$9, 100%, $G$9) + CHOOSE(CONTROL!$C$38, 0.0347, 0)</f>
        <v>14.551900000000002</v>
      </c>
      <c r="E39" s="46">
        <f>14.4525 * CHOOSE(CONTROL!$C$15, $E$9, 100%, $G$9) + CHOOSE(CONTROL!$C$38, 0.0347, 0)</f>
        <v>14.487200000000001</v>
      </c>
      <c r="F39" s="45">
        <f>14.4525 * CHOOSE(CONTROL!$C$15, $E$9, 100%, $G$9) + CHOOSE(CONTROL!$C$38, 0.0256, 0)</f>
        <v>14.478100000000001</v>
      </c>
      <c r="G39" s="14">
        <f>14.5234 * CHOOSE(CONTROL!$C$15, $E$9, 100%, $G$9) + CHOOSE(CONTROL!$C$38, 0.0347, 0)</f>
        <v>14.558100000000001</v>
      </c>
      <c r="H39" s="14">
        <f>14.5234 * CHOOSE(CONTROL!$C$15, $E$9, 100%, $G$9) + CHOOSE(CONTROL!$C$38, 0.0347, 0)</f>
        <v>14.558100000000001</v>
      </c>
      <c r="I39" s="14">
        <f>14.525 * CHOOSE(CONTROL!$C$15, $E$9, 100%, $G$9) + CHOOSE(CONTROL!$C$38, 0.0347, 0)</f>
        <v>14.559700000000001</v>
      </c>
      <c r="J39" s="44">
        <f>91.64</f>
        <v>91.64</v>
      </c>
    </row>
    <row r="40" spans="1:10" ht="15" x14ac:dyDescent="0.2">
      <c r="A40" s="13">
        <v>42125</v>
      </c>
      <c r="B40" s="14">
        <f>14.6087 * CHOOSE(CONTROL!$C$15, $E$9, 100%, $G$9) + CHOOSE(CONTROL!$C$38, 0.0278, 0)</f>
        <v>14.6365</v>
      </c>
      <c r="C40" s="14">
        <f>14.525 * CHOOSE(CONTROL!$C$15, $E$9, 100%, $G$9) + CHOOSE(CONTROL!$C$38, 0.0369, 0)</f>
        <v>14.5619</v>
      </c>
      <c r="D40" s="14">
        <f>14.5172 * CHOOSE(CONTROL!$C$15, $E$9, 100%, $G$9) + CHOOSE(CONTROL!$C$38, 0.0369, 0)</f>
        <v>14.5541</v>
      </c>
      <c r="E40" s="46">
        <f>14.4525 * CHOOSE(CONTROL!$C$15, $E$9, 100%, $G$9) + CHOOSE(CONTROL!$C$38, 0.0369, 0)</f>
        <v>14.4894</v>
      </c>
      <c r="F40" s="45">
        <f>14.4525 * CHOOSE(CONTROL!$C$15, $E$9, 100%, $G$9) + CHOOSE(CONTROL!$C$38, 0.0278, 0)</f>
        <v>14.4803</v>
      </c>
      <c r="G40" s="14">
        <f>14.5234 * CHOOSE(CONTROL!$C$15, $E$9, 100%, $G$9) + CHOOSE(CONTROL!$C$38, 0.0369, 0)</f>
        <v>14.5603</v>
      </c>
      <c r="H40" s="14">
        <f>14.5234 * CHOOSE(CONTROL!$C$15, $E$9, 100%, $G$9) + CHOOSE(CONTROL!$C$38, 0.0369, 0)</f>
        <v>14.5603</v>
      </c>
      <c r="I40" s="14">
        <f>14.525 * CHOOSE(CONTROL!$C$15, $E$9, 100%, $G$9) + CHOOSE(CONTROL!$C$38, 0.0369, 0)</f>
        <v>14.5619</v>
      </c>
      <c r="J40" s="44">
        <f>91.12</f>
        <v>91.12</v>
      </c>
    </row>
    <row r="41" spans="1:10" ht="15" x14ac:dyDescent="0.2">
      <c r="A41" s="13">
        <v>42156</v>
      </c>
      <c r="B41" s="14">
        <f>14.6087 * CHOOSE(CONTROL!$C$15, $E$9, 100%, $G$9) + CHOOSE(CONTROL!$C$38, 0.0278, 0)</f>
        <v>14.6365</v>
      </c>
      <c r="C41" s="14">
        <f>14.525 * CHOOSE(CONTROL!$C$15, $E$9, 100%, $G$9) + CHOOSE(CONTROL!$C$38, 0.0369, 0)</f>
        <v>14.5619</v>
      </c>
      <c r="D41" s="14">
        <f>14.5172 * CHOOSE(CONTROL!$C$15, $E$9, 100%, $G$9) + CHOOSE(CONTROL!$C$38, 0.0369, 0)</f>
        <v>14.5541</v>
      </c>
      <c r="E41" s="46">
        <f>14.4525 * CHOOSE(CONTROL!$C$15, $E$9, 100%, $G$9) + CHOOSE(CONTROL!$C$38, 0.0369, 0)</f>
        <v>14.4894</v>
      </c>
      <c r="F41" s="45">
        <f>14.4525 * CHOOSE(CONTROL!$C$15, $E$9, 100%, $G$9) + CHOOSE(CONTROL!$C$38, 0.0278, 0)</f>
        <v>14.4803</v>
      </c>
      <c r="G41" s="14">
        <f>14.5234 * CHOOSE(CONTROL!$C$15, $E$9, 100%, $G$9) + CHOOSE(CONTROL!$C$38, 0.0369, 0)</f>
        <v>14.5603</v>
      </c>
      <c r="H41" s="14">
        <f>14.5234 * CHOOSE(CONTROL!$C$15, $E$9, 100%, $G$9) + CHOOSE(CONTROL!$C$38, 0.0369, 0)</f>
        <v>14.5603</v>
      </c>
      <c r="I41" s="14">
        <f>14.525 * CHOOSE(CONTROL!$C$15, $E$9, 100%, $G$9) + CHOOSE(CONTROL!$C$38, 0.0369, 0)</f>
        <v>14.5619</v>
      </c>
      <c r="J41" s="44">
        <f>90.66</f>
        <v>90.66</v>
      </c>
    </row>
    <row r="42" spans="1:10" ht="15" x14ac:dyDescent="0.2">
      <c r="A42" s="13">
        <v>42186</v>
      </c>
      <c r="B42" s="14">
        <f>14.6087 * CHOOSE(CONTROL!$C$15, $E$9, 100%, $G$9) + CHOOSE(CONTROL!$C$38, 0.0278, 0)</f>
        <v>14.6365</v>
      </c>
      <c r="C42" s="14">
        <f>14.525 * CHOOSE(CONTROL!$C$15, $E$9, 100%, $G$9) + CHOOSE(CONTROL!$C$38, 0.0369, 0)</f>
        <v>14.5619</v>
      </c>
      <c r="D42" s="14">
        <f>14.5172 * CHOOSE(CONTROL!$C$15, $E$9, 100%, $G$9) + CHOOSE(CONTROL!$C$38, 0.0369, 0)</f>
        <v>14.5541</v>
      </c>
      <c r="E42" s="46">
        <f>14.4525 * CHOOSE(CONTROL!$C$15, $E$9, 100%, $G$9) + CHOOSE(CONTROL!$C$38, 0.0369, 0)</f>
        <v>14.4894</v>
      </c>
      <c r="F42" s="45">
        <f>14.4525 * CHOOSE(CONTROL!$C$15, $E$9, 100%, $G$9) + CHOOSE(CONTROL!$C$38, 0.0278, 0)</f>
        <v>14.4803</v>
      </c>
      <c r="G42" s="14">
        <f>14.5234 * CHOOSE(CONTROL!$C$15, $E$9, 100%, $G$9) + CHOOSE(CONTROL!$C$38, 0.0369, 0)</f>
        <v>14.5603</v>
      </c>
      <c r="H42" s="14">
        <f>14.5234 * CHOOSE(CONTROL!$C$15, $E$9, 100%, $G$9) + CHOOSE(CONTROL!$C$38, 0.0369, 0)</f>
        <v>14.5603</v>
      </c>
      <c r="I42" s="14">
        <f>14.525 * CHOOSE(CONTROL!$C$15, $E$9, 100%, $G$9) + CHOOSE(CONTROL!$C$38, 0.0369, 0)</f>
        <v>14.5619</v>
      </c>
      <c r="J42" s="44">
        <f>90.09</f>
        <v>90.09</v>
      </c>
    </row>
    <row r="43" spans="1:10" ht="15" x14ac:dyDescent="0.2">
      <c r="A43" s="13">
        <v>42217</v>
      </c>
      <c r="B43" s="14">
        <f>14.6087 * CHOOSE(CONTROL!$C$15, $E$9, 100%, $G$9) + CHOOSE(CONTROL!$C$38, 0.0278, 0)</f>
        <v>14.6365</v>
      </c>
      <c r="C43" s="14">
        <f>14.525 * CHOOSE(CONTROL!$C$15, $E$9, 100%, $G$9) + CHOOSE(CONTROL!$C$38, 0.0369, 0)</f>
        <v>14.5619</v>
      </c>
      <c r="D43" s="14">
        <f>14.5172 * CHOOSE(CONTROL!$C$15, $E$9, 100%, $G$9) + CHOOSE(CONTROL!$C$38, 0.0369, 0)</f>
        <v>14.5541</v>
      </c>
      <c r="E43" s="46">
        <f>14.4525 * CHOOSE(CONTROL!$C$15, $E$9, 100%, $G$9) + CHOOSE(CONTROL!$C$38, 0.0369, 0)</f>
        <v>14.4894</v>
      </c>
      <c r="F43" s="45">
        <f>14.4525 * CHOOSE(CONTROL!$C$15, $E$9, 100%, $G$9) + CHOOSE(CONTROL!$C$38, 0.0278, 0)</f>
        <v>14.4803</v>
      </c>
      <c r="G43" s="14">
        <f>14.5234 * CHOOSE(CONTROL!$C$15, $E$9, 100%, $G$9) + CHOOSE(CONTROL!$C$38, 0.0369, 0)</f>
        <v>14.5603</v>
      </c>
      <c r="H43" s="14">
        <f>14.5234 * CHOOSE(CONTROL!$C$15, $E$9, 100%, $G$9) + CHOOSE(CONTROL!$C$38, 0.0369, 0)</f>
        <v>14.5603</v>
      </c>
      <c r="I43" s="14">
        <f>14.525 * CHOOSE(CONTROL!$C$15, $E$9, 100%, $G$9) + CHOOSE(CONTROL!$C$38, 0.0369, 0)</f>
        <v>14.5619</v>
      </c>
      <c r="J43" s="44">
        <f>89.59</f>
        <v>89.59</v>
      </c>
    </row>
    <row r="44" spans="1:10" ht="15" x14ac:dyDescent="0.2">
      <c r="A44" s="13">
        <v>42248</v>
      </c>
      <c r="B44" s="14">
        <f>14.6087 * CHOOSE(CONTROL!$C$15, $E$9, 100%, $G$9) + CHOOSE(CONTROL!$C$38, 0.0278, 0)</f>
        <v>14.6365</v>
      </c>
      <c r="C44" s="14">
        <f>14.525 * CHOOSE(CONTROL!$C$15, $E$9, 100%, $G$9) + CHOOSE(CONTROL!$C$38, 0.0369, 0)</f>
        <v>14.5619</v>
      </c>
      <c r="D44" s="14">
        <f>14.5172 * CHOOSE(CONTROL!$C$15, $E$9, 100%, $G$9) + CHOOSE(CONTROL!$C$38, 0.0369, 0)</f>
        <v>14.5541</v>
      </c>
      <c r="E44" s="46">
        <f>14.4525 * CHOOSE(CONTROL!$C$15, $E$9, 100%, $G$9) + CHOOSE(CONTROL!$C$38, 0.0369, 0)</f>
        <v>14.4894</v>
      </c>
      <c r="F44" s="45">
        <f>14.4525 * CHOOSE(CONTROL!$C$15, $E$9, 100%, $G$9) + CHOOSE(CONTROL!$C$38, 0.0278, 0)</f>
        <v>14.4803</v>
      </c>
      <c r="G44" s="14">
        <f>14.5234 * CHOOSE(CONTROL!$C$15, $E$9, 100%, $G$9) + CHOOSE(CONTROL!$C$38, 0.0369, 0)</f>
        <v>14.5603</v>
      </c>
      <c r="H44" s="14">
        <f>14.5234 * CHOOSE(CONTROL!$C$15, $E$9, 100%, $G$9) + CHOOSE(CONTROL!$C$38, 0.0369, 0)</f>
        <v>14.5603</v>
      </c>
      <c r="I44" s="14">
        <f>14.525 * CHOOSE(CONTROL!$C$15, $E$9, 100%, $G$9) + CHOOSE(CONTROL!$C$38, 0.0369, 0)</f>
        <v>14.5619</v>
      </c>
      <c r="J44" s="44">
        <f>89.2</f>
        <v>89.2</v>
      </c>
    </row>
    <row r="45" spans="1:10" ht="15" x14ac:dyDescent="0.2">
      <c r="A45" s="13">
        <v>42278</v>
      </c>
      <c r="B45" s="14">
        <f>14.6087 * CHOOSE(CONTROL!$C$15, $E$9, 100%, $G$9) + CHOOSE(CONTROL!$C$38, 0.0256, 0)</f>
        <v>14.634300000000001</v>
      </c>
      <c r="C45" s="14">
        <f>14.525 * CHOOSE(CONTROL!$C$15, $E$9, 100%, $G$9) + CHOOSE(CONTROL!$C$38, 0.0347, 0)</f>
        <v>14.559700000000001</v>
      </c>
      <c r="D45" s="14">
        <f>14.5172 * CHOOSE(CONTROL!$C$15, $E$9, 100%, $G$9) + CHOOSE(CONTROL!$C$38, 0.0347, 0)</f>
        <v>14.551900000000002</v>
      </c>
      <c r="E45" s="46">
        <f>14.4525 * CHOOSE(CONTROL!$C$15, $E$9, 100%, $G$9) + CHOOSE(CONTROL!$C$38, 0.0347, 0)</f>
        <v>14.487200000000001</v>
      </c>
      <c r="F45" s="45">
        <f>14.4525 * CHOOSE(CONTROL!$C$15, $E$9, 100%, $G$9) + CHOOSE(CONTROL!$C$38, 0.0256, 0)</f>
        <v>14.478100000000001</v>
      </c>
      <c r="G45" s="14">
        <f>14.5234 * CHOOSE(CONTROL!$C$15, $E$9, 100%, $G$9) + CHOOSE(CONTROL!$C$38, 0.0347, 0)</f>
        <v>14.558100000000001</v>
      </c>
      <c r="H45" s="14">
        <f>14.5234 * CHOOSE(CONTROL!$C$15, $E$9, 100%, $G$9) + CHOOSE(CONTROL!$C$38, 0.0347, 0)</f>
        <v>14.558100000000001</v>
      </c>
      <c r="I45" s="14">
        <f>14.525 * CHOOSE(CONTROL!$C$15, $E$9, 100%, $G$9) + CHOOSE(CONTROL!$C$38, 0.0347, 0)</f>
        <v>14.559700000000001</v>
      </c>
      <c r="J45" s="44">
        <f>88.83</f>
        <v>88.83</v>
      </c>
    </row>
    <row r="46" spans="1:10" ht="15" x14ac:dyDescent="0.2">
      <c r="A46" s="13">
        <v>42309</v>
      </c>
      <c r="B46" s="14">
        <f>14.6087 * CHOOSE(CONTROL!$C$15, $E$9, 100%, $G$9) + CHOOSE(CONTROL!$C$38, 0.0256, 0)</f>
        <v>14.634300000000001</v>
      </c>
      <c r="C46" s="14">
        <f>14.525 * CHOOSE(CONTROL!$C$15, $E$9, 100%, $G$9) + CHOOSE(CONTROL!$C$38, 0.0347, 0)</f>
        <v>14.559700000000001</v>
      </c>
      <c r="D46" s="14">
        <f>14.5172 * CHOOSE(CONTROL!$C$15, $E$9, 100%, $G$9) + CHOOSE(CONTROL!$C$38, 0.0347, 0)</f>
        <v>14.551900000000002</v>
      </c>
      <c r="E46" s="46">
        <f>14.4525 * CHOOSE(CONTROL!$C$15, $E$9, 100%, $G$9) + CHOOSE(CONTROL!$C$38, 0.0347, 0)</f>
        <v>14.487200000000001</v>
      </c>
      <c r="F46" s="45">
        <f>14.4525 * CHOOSE(CONTROL!$C$15, $E$9, 100%, $G$9) + CHOOSE(CONTROL!$C$38, 0.0256, 0)</f>
        <v>14.478100000000001</v>
      </c>
      <c r="G46" s="14">
        <f>14.5234 * CHOOSE(CONTROL!$C$15, $E$9, 100%, $G$9) + CHOOSE(CONTROL!$C$38, 0.0347, 0)</f>
        <v>14.558100000000001</v>
      </c>
      <c r="H46" s="14">
        <f>14.5234 * CHOOSE(CONTROL!$C$15, $E$9, 100%, $G$9) + CHOOSE(CONTROL!$C$38, 0.0347, 0)</f>
        <v>14.558100000000001</v>
      </c>
      <c r="I46" s="14">
        <f>14.525 * CHOOSE(CONTROL!$C$15, $E$9, 100%, $G$9) + CHOOSE(CONTROL!$C$38, 0.0347, 0)</f>
        <v>14.559700000000001</v>
      </c>
      <c r="J46" s="44">
        <f>88.54</f>
        <v>88.54</v>
      </c>
    </row>
    <row r="47" spans="1:10" ht="15" x14ac:dyDescent="0.2">
      <c r="A47" s="13">
        <v>42339</v>
      </c>
      <c r="B47" s="14">
        <f>14.6087 * CHOOSE(CONTROL!$C$15, $E$9, 100%, $G$9) + CHOOSE(CONTROL!$C$38, 0.0256, 0)</f>
        <v>14.634300000000001</v>
      </c>
      <c r="C47" s="14">
        <f>14.525 * CHOOSE(CONTROL!$C$15, $E$9, 100%, $G$9) + CHOOSE(CONTROL!$C$38, 0.0347, 0)</f>
        <v>14.559700000000001</v>
      </c>
      <c r="D47" s="14">
        <f>14.5172 * CHOOSE(CONTROL!$C$15, $E$9, 100%, $G$9) + CHOOSE(CONTROL!$C$38, 0.0347, 0)</f>
        <v>14.551900000000002</v>
      </c>
      <c r="E47" s="46">
        <f>14.4525 * CHOOSE(CONTROL!$C$15, $E$9, 100%, $G$9) + CHOOSE(CONTROL!$C$38, 0.0347, 0)</f>
        <v>14.487200000000001</v>
      </c>
      <c r="F47" s="45">
        <f>14.4525 * CHOOSE(CONTROL!$C$15, $E$9, 100%, $G$9) + CHOOSE(CONTROL!$C$38, 0.0256, 0)</f>
        <v>14.478100000000001</v>
      </c>
      <c r="G47" s="14">
        <f>14.5234 * CHOOSE(CONTROL!$C$15, $E$9, 100%, $G$9) + CHOOSE(CONTROL!$C$38, 0.0347, 0)</f>
        <v>14.558100000000001</v>
      </c>
      <c r="H47" s="14">
        <f>14.5234 * CHOOSE(CONTROL!$C$15, $E$9, 100%, $G$9) + CHOOSE(CONTROL!$C$38, 0.0347, 0)</f>
        <v>14.558100000000001</v>
      </c>
      <c r="I47" s="14">
        <f>14.525 * CHOOSE(CONTROL!$C$15, $E$9, 100%, $G$9) + CHOOSE(CONTROL!$C$38, 0.0347, 0)</f>
        <v>14.559700000000001</v>
      </c>
      <c r="J47" s="44">
        <f>88.29</f>
        <v>88.29</v>
      </c>
    </row>
    <row r="48" spans="1:10" ht="15" x14ac:dyDescent="0.2">
      <c r="A48" s="13">
        <v>42370</v>
      </c>
      <c r="B48" s="14">
        <f>16.2565 * CHOOSE(CONTROL!$C$15, $E$9, 100%, $G$9) + CHOOSE(CONTROL!$C$38, 0.0256, 0)</f>
        <v>16.2821</v>
      </c>
      <c r="C48" s="14">
        <f>15.7848 * CHOOSE(CONTROL!$C$15, $E$9, 100%, $G$9) + CHOOSE(CONTROL!$C$38, 0.0347, 0)</f>
        <v>15.819500000000001</v>
      </c>
      <c r="D48" s="14">
        <f>15.777 * CHOOSE(CONTROL!$C$15, $E$9, 100%, $G$9) + CHOOSE(CONTROL!$C$38, 0.0347, 0)</f>
        <v>15.8117</v>
      </c>
      <c r="E48" s="46">
        <f>16.1003 * CHOOSE(CONTROL!$C$15, $E$9, 100%, $G$9) + CHOOSE(CONTROL!$C$38, 0.0347, 0)</f>
        <v>16.135000000000002</v>
      </c>
      <c r="F48" s="45">
        <f>16.1003 * CHOOSE(CONTROL!$C$15, $E$9, 100%, $G$9) + CHOOSE(CONTROL!$C$38, 0.0256, 0)</f>
        <v>16.125900000000001</v>
      </c>
      <c r="G48" s="14">
        <f>15.7833 * CHOOSE(CONTROL!$C$15, $E$9, 100%, $G$9) + CHOOSE(CONTROL!$C$38, 0.0347, 0)</f>
        <v>15.818000000000001</v>
      </c>
      <c r="H48" s="14">
        <f>15.7833 * CHOOSE(CONTROL!$C$15, $E$9, 100%, $G$9) + CHOOSE(CONTROL!$C$38, 0.0347, 0)</f>
        <v>15.818000000000001</v>
      </c>
      <c r="I48" s="14">
        <f>15.7848 * CHOOSE(CONTROL!$C$15, $E$9, 100%, $G$9) + CHOOSE(CONTROL!$C$38, 0.0347, 0)</f>
        <v>15.819500000000001</v>
      </c>
      <c r="J48" s="44">
        <f>87.5559</f>
        <v>87.555899999999994</v>
      </c>
    </row>
    <row r="49" spans="1:10" ht="15" x14ac:dyDescent="0.2">
      <c r="A49" s="13">
        <v>42401</v>
      </c>
      <c r="B49" s="14">
        <f>16.4773 * CHOOSE(CONTROL!$C$15, $E$9, 100%, $G$9) + CHOOSE(CONTROL!$C$38, 0.0256, 0)</f>
        <v>16.5029</v>
      </c>
      <c r="C49" s="14">
        <f>16.0056 * CHOOSE(CONTROL!$C$15, $E$9, 100%, $G$9) + CHOOSE(CONTROL!$C$38, 0.0347, 0)</f>
        <v>16.040300000000002</v>
      </c>
      <c r="D49" s="14">
        <f>15.9978 * CHOOSE(CONTROL!$C$15, $E$9, 100%, $G$9) + CHOOSE(CONTROL!$C$38, 0.0347, 0)</f>
        <v>16.032499999999999</v>
      </c>
      <c r="E49" s="46">
        <f>16.3211 * CHOOSE(CONTROL!$C$15, $E$9, 100%, $G$9) + CHOOSE(CONTROL!$C$38, 0.0347, 0)</f>
        <v>16.355800000000002</v>
      </c>
      <c r="F49" s="45">
        <f>16.3211 * CHOOSE(CONTROL!$C$15, $E$9, 100%, $G$9) + CHOOSE(CONTROL!$C$38, 0.0256, 0)</f>
        <v>16.346700000000002</v>
      </c>
      <c r="G49" s="14">
        <f>16.004 * CHOOSE(CONTROL!$C$15, $E$9, 100%, $G$9) + CHOOSE(CONTROL!$C$38, 0.0347, 0)</f>
        <v>16.038700000000002</v>
      </c>
      <c r="H49" s="14">
        <f>16.004 * CHOOSE(CONTROL!$C$15, $E$9, 100%, $G$9) + CHOOSE(CONTROL!$C$38, 0.0347, 0)</f>
        <v>16.038700000000002</v>
      </c>
      <c r="I49" s="14">
        <f>16.0056 * CHOOSE(CONTROL!$C$15, $E$9, 100%, $G$9) + CHOOSE(CONTROL!$C$38, 0.0347, 0)</f>
        <v>16.040300000000002</v>
      </c>
      <c r="J49" s="44">
        <f>87.3125</f>
        <v>87.3125</v>
      </c>
    </row>
    <row r="50" spans="1:10" ht="15" x14ac:dyDescent="0.2">
      <c r="A50" s="13">
        <v>42430</v>
      </c>
      <c r="B50" s="14">
        <f>15.9663 * CHOOSE(CONTROL!$C$15, $E$9, 100%, $G$9) + CHOOSE(CONTROL!$C$38, 0.0256, 0)</f>
        <v>15.991900000000001</v>
      </c>
      <c r="C50" s="14">
        <f>15.4946 * CHOOSE(CONTROL!$C$15, $E$9, 100%, $G$9) + CHOOSE(CONTROL!$C$38, 0.0347, 0)</f>
        <v>15.529300000000001</v>
      </c>
      <c r="D50" s="14">
        <f>15.4868 * CHOOSE(CONTROL!$C$15, $E$9, 100%, $G$9) + CHOOSE(CONTROL!$C$38, 0.0347, 0)</f>
        <v>15.521500000000001</v>
      </c>
      <c r="E50" s="46">
        <f>15.81 * CHOOSE(CONTROL!$C$15, $E$9, 100%, $G$9) + CHOOSE(CONTROL!$C$38, 0.0347, 0)</f>
        <v>15.844700000000001</v>
      </c>
      <c r="F50" s="45">
        <f>15.81 * CHOOSE(CONTROL!$C$15, $E$9, 100%, $G$9) + CHOOSE(CONTROL!$C$38, 0.0256, 0)</f>
        <v>15.835600000000001</v>
      </c>
      <c r="G50" s="14">
        <f>15.493 * CHOOSE(CONTROL!$C$15, $E$9, 100%, $G$9) + CHOOSE(CONTROL!$C$38, 0.0347, 0)</f>
        <v>15.527700000000001</v>
      </c>
      <c r="H50" s="14">
        <f>15.493 * CHOOSE(CONTROL!$C$15, $E$9, 100%, $G$9) + CHOOSE(CONTROL!$C$38, 0.0347, 0)</f>
        <v>15.527700000000001</v>
      </c>
      <c r="I50" s="14">
        <f>15.4946 * CHOOSE(CONTROL!$C$15, $E$9, 100%, $G$9) + CHOOSE(CONTROL!$C$38, 0.0347, 0)</f>
        <v>15.529300000000001</v>
      </c>
      <c r="J50" s="44">
        <f>91.9144</f>
        <v>91.914400000000001</v>
      </c>
    </row>
    <row r="51" spans="1:10" ht="15" x14ac:dyDescent="0.2">
      <c r="A51" s="13">
        <v>42461</v>
      </c>
      <c r="B51" s="14">
        <f>15.4711 * CHOOSE(CONTROL!$C$15, $E$9, 100%, $G$9) + CHOOSE(CONTROL!$C$38, 0.0256, 0)</f>
        <v>15.496700000000001</v>
      </c>
      <c r="C51" s="14">
        <f>14.9994 * CHOOSE(CONTROL!$C$15, $E$9, 100%, $G$9) + CHOOSE(CONTROL!$C$38, 0.0347, 0)</f>
        <v>15.0341</v>
      </c>
      <c r="D51" s="14">
        <f>14.9916 * CHOOSE(CONTROL!$C$15, $E$9, 100%, $G$9) + CHOOSE(CONTROL!$C$38, 0.0347, 0)</f>
        <v>15.026300000000001</v>
      </c>
      <c r="E51" s="46">
        <f>15.3148 * CHOOSE(CONTROL!$C$15, $E$9, 100%, $G$9) + CHOOSE(CONTROL!$C$38, 0.0347, 0)</f>
        <v>15.349500000000001</v>
      </c>
      <c r="F51" s="45">
        <f>15.3148 * CHOOSE(CONTROL!$C$15, $E$9, 100%, $G$9) + CHOOSE(CONTROL!$C$38, 0.0256, 0)</f>
        <v>15.340400000000001</v>
      </c>
      <c r="G51" s="14">
        <f>14.9978 * CHOOSE(CONTROL!$C$15, $E$9, 100%, $G$9) + CHOOSE(CONTROL!$C$38, 0.0347, 0)</f>
        <v>15.032500000000001</v>
      </c>
      <c r="H51" s="14">
        <f>14.9978 * CHOOSE(CONTROL!$C$15, $E$9, 100%, $G$9) + CHOOSE(CONTROL!$C$38, 0.0347, 0)</f>
        <v>15.032500000000001</v>
      </c>
      <c r="I51" s="14">
        <f>14.9994 * CHOOSE(CONTROL!$C$15, $E$9, 100%, $G$9) + CHOOSE(CONTROL!$C$38, 0.0347, 0)</f>
        <v>15.0341</v>
      </c>
      <c r="J51" s="44">
        <f>97.8819</f>
        <v>97.881900000000002</v>
      </c>
    </row>
    <row r="52" spans="1:10" ht="15" x14ac:dyDescent="0.2">
      <c r="A52" s="13">
        <v>42491</v>
      </c>
      <c r="B52" s="14">
        <f>14.955 * CHOOSE(CONTROL!$C$15, $E$9, 100%, $G$9) + CHOOSE(CONTROL!$C$38, 0.0278, 0)</f>
        <v>14.982799999999999</v>
      </c>
      <c r="C52" s="14">
        <f>14.4833 * CHOOSE(CONTROL!$C$15, $E$9, 100%, $G$9) + CHOOSE(CONTROL!$C$38, 0.0369, 0)</f>
        <v>14.520199999999999</v>
      </c>
      <c r="D52" s="14">
        <f>14.4755 * CHOOSE(CONTROL!$C$15, $E$9, 100%, $G$9) + CHOOSE(CONTROL!$C$38, 0.0369, 0)</f>
        <v>14.5124</v>
      </c>
      <c r="E52" s="46">
        <f>14.7987 * CHOOSE(CONTROL!$C$15, $E$9, 100%, $G$9) + CHOOSE(CONTROL!$C$38, 0.0369, 0)</f>
        <v>14.835599999999999</v>
      </c>
      <c r="F52" s="45">
        <f>14.7987 * CHOOSE(CONTROL!$C$15, $E$9, 100%, $G$9) + CHOOSE(CONTROL!$C$38, 0.0278, 0)</f>
        <v>14.826499999999999</v>
      </c>
      <c r="G52" s="14">
        <f>14.4817 * CHOOSE(CONTROL!$C$15, $E$9, 100%, $G$9) + CHOOSE(CONTROL!$C$38, 0.0369, 0)</f>
        <v>14.518599999999999</v>
      </c>
      <c r="H52" s="14">
        <f>14.4817 * CHOOSE(CONTROL!$C$15, $E$9, 100%, $G$9) + CHOOSE(CONTROL!$C$38, 0.0369, 0)</f>
        <v>14.518599999999999</v>
      </c>
      <c r="I52" s="14">
        <f>14.4833 * CHOOSE(CONTROL!$C$15, $E$9, 100%, $G$9) + CHOOSE(CONTROL!$C$38, 0.0369, 0)</f>
        <v>14.520199999999999</v>
      </c>
      <c r="J52" s="44">
        <f>101.1667</f>
        <v>101.16670000000001</v>
      </c>
    </row>
    <row r="53" spans="1:10" ht="15" x14ac:dyDescent="0.2">
      <c r="A53" s="13">
        <v>42522</v>
      </c>
      <c r="B53" s="14">
        <f>14.5931 * CHOOSE(CONTROL!$C$15, $E$9, 100%, $G$9) + CHOOSE(CONTROL!$C$38, 0.0278, 0)</f>
        <v>14.620899999999999</v>
      </c>
      <c r="C53" s="14">
        <f>14.1214 * CHOOSE(CONTROL!$C$15, $E$9, 100%, $G$9) + CHOOSE(CONTROL!$C$38, 0.0369, 0)</f>
        <v>14.158299999999999</v>
      </c>
      <c r="D53" s="14">
        <f>14.1136 * CHOOSE(CONTROL!$C$15, $E$9, 100%, $G$9) + CHOOSE(CONTROL!$C$38, 0.0369, 0)</f>
        <v>14.150499999999999</v>
      </c>
      <c r="E53" s="46">
        <f>14.4369 * CHOOSE(CONTROL!$C$15, $E$9, 100%, $G$9) + CHOOSE(CONTROL!$C$38, 0.0369, 0)</f>
        <v>14.473799999999999</v>
      </c>
      <c r="F53" s="45">
        <f>14.4369 * CHOOSE(CONTROL!$C$15, $E$9, 100%, $G$9) + CHOOSE(CONTROL!$C$38, 0.0278, 0)</f>
        <v>14.464699999999999</v>
      </c>
      <c r="G53" s="14">
        <f>14.1199 * CHOOSE(CONTROL!$C$15, $E$9, 100%, $G$9) + CHOOSE(CONTROL!$C$38, 0.0369, 0)</f>
        <v>14.156799999999999</v>
      </c>
      <c r="H53" s="14">
        <f>14.1199 * CHOOSE(CONTROL!$C$15, $E$9, 100%, $G$9) + CHOOSE(CONTROL!$C$38, 0.0369, 0)</f>
        <v>14.156799999999999</v>
      </c>
      <c r="I53" s="14">
        <f>14.1214 * CHOOSE(CONTROL!$C$15, $E$9, 100%, $G$9) + CHOOSE(CONTROL!$C$38, 0.0369, 0)</f>
        <v>14.158299999999999</v>
      </c>
      <c r="J53" s="44">
        <f>102.6244</f>
        <v>102.62439999999999</v>
      </c>
    </row>
    <row r="54" spans="1:10" ht="15" x14ac:dyDescent="0.2">
      <c r="A54" s="13">
        <v>42552</v>
      </c>
      <c r="B54" s="14">
        <f>14.3867 * CHOOSE(CONTROL!$C$15, $E$9, 100%, $G$9) + CHOOSE(CONTROL!$C$38, 0.0278, 0)</f>
        <v>14.414499999999999</v>
      </c>
      <c r="C54" s="14">
        <f>13.915 * CHOOSE(CONTROL!$C$15, $E$9, 100%, $G$9) + CHOOSE(CONTROL!$C$38, 0.0369, 0)</f>
        <v>13.951899999999998</v>
      </c>
      <c r="D54" s="14">
        <f>13.9071 * CHOOSE(CONTROL!$C$15, $E$9, 100%, $G$9) + CHOOSE(CONTROL!$C$38, 0.0369, 0)</f>
        <v>13.943999999999999</v>
      </c>
      <c r="E54" s="46">
        <f>14.2304 * CHOOSE(CONTROL!$C$15, $E$9, 100%, $G$9) + CHOOSE(CONTROL!$C$38, 0.0369, 0)</f>
        <v>14.267299999999999</v>
      </c>
      <c r="F54" s="45">
        <f>14.2304 * CHOOSE(CONTROL!$C$15, $E$9, 100%, $G$9) + CHOOSE(CONTROL!$C$38, 0.0278, 0)</f>
        <v>14.258199999999999</v>
      </c>
      <c r="G54" s="14">
        <f>13.9134 * CHOOSE(CONTROL!$C$15, $E$9, 100%, $G$9) + CHOOSE(CONTROL!$C$38, 0.0369, 0)</f>
        <v>13.950299999999999</v>
      </c>
      <c r="H54" s="14">
        <f>13.9134 * CHOOSE(CONTROL!$C$15, $E$9, 100%, $G$9) + CHOOSE(CONTROL!$C$38, 0.0369, 0)</f>
        <v>13.950299999999999</v>
      </c>
      <c r="I54" s="14">
        <f>13.915 * CHOOSE(CONTROL!$C$15, $E$9, 100%, $G$9) + CHOOSE(CONTROL!$C$38, 0.0369, 0)</f>
        <v>13.951899999999998</v>
      </c>
      <c r="J54" s="44">
        <f>102.1444</f>
        <v>102.1444</v>
      </c>
    </row>
    <row r="55" spans="1:10" ht="15" x14ac:dyDescent="0.2">
      <c r="A55" s="13">
        <v>42583</v>
      </c>
      <c r="B55" s="14">
        <f>14.4886 * CHOOSE(CONTROL!$C$15, $E$9, 100%, $G$9) + CHOOSE(CONTROL!$C$38, 0.0278, 0)</f>
        <v>14.516399999999999</v>
      </c>
      <c r="C55" s="14">
        <f>14.0169 * CHOOSE(CONTROL!$C$15, $E$9, 100%, $G$9) + CHOOSE(CONTROL!$C$38, 0.0369, 0)</f>
        <v>14.053799999999999</v>
      </c>
      <c r="D55" s="14">
        <f>14.0091 * CHOOSE(CONTROL!$C$15, $E$9, 100%, $G$9) + CHOOSE(CONTROL!$C$38, 0.0369, 0)</f>
        <v>14.045999999999999</v>
      </c>
      <c r="E55" s="46">
        <f>14.3323 * CHOOSE(CONTROL!$C$15, $E$9, 100%, $G$9) + CHOOSE(CONTROL!$C$38, 0.0369, 0)</f>
        <v>14.369199999999999</v>
      </c>
      <c r="F55" s="45">
        <f>14.3323 * CHOOSE(CONTROL!$C$15, $E$9, 100%, $G$9) + CHOOSE(CONTROL!$C$38, 0.0278, 0)</f>
        <v>14.360099999999999</v>
      </c>
      <c r="G55" s="14">
        <f>14.0153 * CHOOSE(CONTROL!$C$15, $E$9, 100%, $G$9) + CHOOSE(CONTROL!$C$38, 0.0369, 0)</f>
        <v>14.052199999999999</v>
      </c>
      <c r="H55" s="14">
        <f>14.0153 * CHOOSE(CONTROL!$C$15, $E$9, 100%, $G$9) + CHOOSE(CONTROL!$C$38, 0.0369, 0)</f>
        <v>14.052199999999999</v>
      </c>
      <c r="I55" s="14">
        <f>14.0169 * CHOOSE(CONTROL!$C$15, $E$9, 100%, $G$9) + CHOOSE(CONTROL!$C$38, 0.0369, 0)</f>
        <v>14.053799999999999</v>
      </c>
      <c r="J55" s="44">
        <f>99.7665</f>
        <v>99.766499999999994</v>
      </c>
    </row>
    <row r="56" spans="1:10" ht="15" x14ac:dyDescent="0.2">
      <c r="A56" s="13">
        <v>42614</v>
      </c>
      <c r="B56" s="14">
        <f>14.7654 * CHOOSE(CONTROL!$C$15, $E$9, 100%, $G$9) + CHOOSE(CONTROL!$C$38, 0.0278, 0)</f>
        <v>14.793199999999999</v>
      </c>
      <c r="C56" s="14">
        <f>14.2937 * CHOOSE(CONTROL!$C$15, $E$9, 100%, $G$9) + CHOOSE(CONTROL!$C$38, 0.0369, 0)</f>
        <v>14.330599999999999</v>
      </c>
      <c r="D56" s="14">
        <f>14.2859 * CHOOSE(CONTROL!$C$15, $E$9, 100%, $G$9) + CHOOSE(CONTROL!$C$38, 0.0369, 0)</f>
        <v>14.322799999999999</v>
      </c>
      <c r="E56" s="46">
        <f>14.6091 * CHOOSE(CONTROL!$C$15, $E$9, 100%, $G$9) + CHOOSE(CONTROL!$C$38, 0.0369, 0)</f>
        <v>14.645999999999999</v>
      </c>
      <c r="F56" s="45">
        <f>14.6091 * CHOOSE(CONTROL!$C$15, $E$9, 100%, $G$9) + CHOOSE(CONTROL!$C$38, 0.0278, 0)</f>
        <v>14.636899999999999</v>
      </c>
      <c r="G56" s="14">
        <f>14.2921 * CHOOSE(CONTROL!$C$15, $E$9, 100%, $G$9) + CHOOSE(CONTROL!$C$38, 0.0369, 0)</f>
        <v>14.328999999999999</v>
      </c>
      <c r="H56" s="14">
        <f>14.2921 * CHOOSE(CONTROL!$C$15, $E$9, 100%, $G$9) + CHOOSE(CONTROL!$C$38, 0.0369, 0)</f>
        <v>14.328999999999999</v>
      </c>
      <c r="I56" s="14">
        <f>14.2937 * CHOOSE(CONTROL!$C$15, $E$9, 100%, $G$9) + CHOOSE(CONTROL!$C$38, 0.0369, 0)</f>
        <v>14.330599999999999</v>
      </c>
      <c r="J56" s="44">
        <f>96.4505</f>
        <v>96.450500000000005</v>
      </c>
    </row>
    <row r="57" spans="1:10" ht="15" x14ac:dyDescent="0.2">
      <c r="A57" s="13">
        <v>42644</v>
      </c>
      <c r="B57" s="14">
        <f>14.9972 * CHOOSE(CONTROL!$C$15, $E$9, 100%, $G$9) + CHOOSE(CONTROL!$C$38, 0.0256, 0)</f>
        <v>15.0228</v>
      </c>
      <c r="C57" s="14">
        <f>14.5255 * CHOOSE(CONTROL!$C$15, $E$9, 100%, $G$9) + CHOOSE(CONTROL!$C$38, 0.0347, 0)</f>
        <v>14.5602</v>
      </c>
      <c r="D57" s="14">
        <f>14.5177 * CHOOSE(CONTROL!$C$15, $E$9, 100%, $G$9) + CHOOSE(CONTROL!$C$38, 0.0347, 0)</f>
        <v>14.5524</v>
      </c>
      <c r="E57" s="46">
        <f>14.8409 * CHOOSE(CONTROL!$C$15, $E$9, 100%, $G$9) + CHOOSE(CONTROL!$C$38, 0.0347, 0)</f>
        <v>14.8756</v>
      </c>
      <c r="F57" s="45">
        <f>14.8409 * CHOOSE(CONTROL!$C$15, $E$9, 100%, $G$9) + CHOOSE(CONTROL!$C$38, 0.0256, 0)</f>
        <v>14.8665</v>
      </c>
      <c r="G57" s="14">
        <f>14.5239 * CHOOSE(CONTROL!$C$15, $E$9, 100%, $G$9) + CHOOSE(CONTROL!$C$38, 0.0347, 0)</f>
        <v>14.5586</v>
      </c>
      <c r="H57" s="14">
        <f>14.5239 * CHOOSE(CONTROL!$C$15, $E$9, 100%, $G$9) + CHOOSE(CONTROL!$C$38, 0.0347, 0)</f>
        <v>14.5586</v>
      </c>
      <c r="I57" s="14">
        <f>14.5255 * CHOOSE(CONTROL!$C$15, $E$9, 100%, $G$9) + CHOOSE(CONTROL!$C$38, 0.0347, 0)</f>
        <v>14.5602</v>
      </c>
      <c r="J57" s="44">
        <f>93.1151</f>
        <v>93.115099999999998</v>
      </c>
    </row>
    <row r="58" spans="1:10" ht="15" x14ac:dyDescent="0.2">
      <c r="A58" s="13">
        <v>42675</v>
      </c>
      <c r="B58" s="14">
        <f>15.1906 * CHOOSE(CONTROL!$C$15, $E$9, 100%, $G$9) + CHOOSE(CONTROL!$C$38, 0.0256, 0)</f>
        <v>15.216200000000001</v>
      </c>
      <c r="C58" s="14">
        <f>14.7189 * CHOOSE(CONTROL!$C$15, $E$9, 100%, $G$9) + CHOOSE(CONTROL!$C$38, 0.0347, 0)</f>
        <v>14.7536</v>
      </c>
      <c r="D58" s="14">
        <f>14.7111 * CHOOSE(CONTROL!$C$15, $E$9, 100%, $G$9) + CHOOSE(CONTROL!$C$38, 0.0347, 0)</f>
        <v>14.745800000000001</v>
      </c>
      <c r="E58" s="46">
        <f>15.0344 * CHOOSE(CONTROL!$C$15, $E$9, 100%, $G$9) + CHOOSE(CONTROL!$C$38, 0.0347, 0)</f>
        <v>15.069100000000001</v>
      </c>
      <c r="F58" s="45">
        <f>15.0344 * CHOOSE(CONTROL!$C$15, $E$9, 100%, $G$9) + CHOOSE(CONTROL!$C$38, 0.0256, 0)</f>
        <v>15.06</v>
      </c>
      <c r="G58" s="14">
        <f>14.7174 * CHOOSE(CONTROL!$C$15, $E$9, 100%, $G$9) + CHOOSE(CONTROL!$C$38, 0.0347, 0)</f>
        <v>14.7521</v>
      </c>
      <c r="H58" s="14">
        <f>14.7174 * CHOOSE(CONTROL!$C$15, $E$9, 100%, $G$9) + CHOOSE(CONTROL!$C$38, 0.0347, 0)</f>
        <v>14.7521</v>
      </c>
      <c r="I58" s="14">
        <f>14.7189 * CHOOSE(CONTROL!$C$15, $E$9, 100%, $G$9) + CHOOSE(CONTROL!$C$38, 0.0347, 0)</f>
        <v>14.7536</v>
      </c>
      <c r="J58" s="44">
        <f>92.4516</f>
        <v>92.451599999999999</v>
      </c>
    </row>
    <row r="59" spans="1:10" ht="15" x14ac:dyDescent="0.2">
      <c r="A59" s="13">
        <v>42705</v>
      </c>
      <c r="B59" s="14">
        <f>15.7867 * CHOOSE(CONTROL!$C$15, $E$9, 100%, $G$9) + CHOOSE(CONTROL!$C$38, 0.0256, 0)</f>
        <v>15.8123</v>
      </c>
      <c r="C59" s="14">
        <f>15.315 * CHOOSE(CONTROL!$C$15, $E$9, 100%, $G$9) + CHOOSE(CONTROL!$C$38, 0.0347, 0)</f>
        <v>15.3497</v>
      </c>
      <c r="D59" s="14">
        <f>15.3072 * CHOOSE(CONTROL!$C$15, $E$9, 100%, $G$9) + CHOOSE(CONTROL!$C$38, 0.0347, 0)</f>
        <v>15.341900000000001</v>
      </c>
      <c r="E59" s="46">
        <f>15.6304 * CHOOSE(CONTROL!$C$15, $E$9, 100%, $G$9) + CHOOSE(CONTROL!$C$38, 0.0347, 0)</f>
        <v>15.665100000000001</v>
      </c>
      <c r="F59" s="45">
        <f>15.6304 * CHOOSE(CONTROL!$C$15, $E$9, 100%, $G$9) + CHOOSE(CONTROL!$C$38, 0.0256, 0)</f>
        <v>15.656000000000001</v>
      </c>
      <c r="G59" s="14">
        <f>15.3134 * CHOOSE(CONTROL!$C$15, $E$9, 100%, $G$9) + CHOOSE(CONTROL!$C$38, 0.0347, 0)</f>
        <v>15.348100000000001</v>
      </c>
      <c r="H59" s="14">
        <f>15.3134 * CHOOSE(CONTROL!$C$15, $E$9, 100%, $G$9) + CHOOSE(CONTROL!$C$38, 0.0347, 0)</f>
        <v>15.348100000000001</v>
      </c>
      <c r="I59" s="14">
        <f>15.315 * CHOOSE(CONTROL!$C$15, $E$9, 100%, $G$9) + CHOOSE(CONTROL!$C$38, 0.0347, 0)</f>
        <v>15.3497</v>
      </c>
      <c r="J59" s="44">
        <f>89.7081</f>
        <v>89.708100000000002</v>
      </c>
    </row>
    <row r="60" spans="1:10" ht="15" x14ac:dyDescent="0.2">
      <c r="A60" s="13">
        <v>42736</v>
      </c>
      <c r="B60" s="14">
        <f>16.2121 * CHOOSE(CONTROL!$C$15, $E$9, 100%, $G$9) + CHOOSE(CONTROL!$C$38, 0.0256, 0)</f>
        <v>16.2377</v>
      </c>
      <c r="C60" s="14">
        <f>15.737 * CHOOSE(CONTROL!$C$15, $E$9, 100%, $G$9) + CHOOSE(CONTROL!$C$38, 0.0347, 0)</f>
        <v>15.771700000000001</v>
      </c>
      <c r="D60" s="14">
        <f>15.7292 * CHOOSE(CONTROL!$C$15, $E$9, 100%, $G$9) + CHOOSE(CONTROL!$C$38, 0.0347, 0)</f>
        <v>15.763900000000001</v>
      </c>
      <c r="E60" s="46">
        <f>16.0559 * CHOOSE(CONTROL!$C$15, $E$9, 100%, $G$9) + CHOOSE(CONTROL!$C$38, 0.0347, 0)</f>
        <v>16.090600000000002</v>
      </c>
      <c r="F60" s="45">
        <f>16.0559 * CHOOSE(CONTROL!$C$15, $E$9, 100%, $G$9) + CHOOSE(CONTROL!$C$38, 0.0256, 0)</f>
        <v>16.081500000000002</v>
      </c>
      <c r="G60" s="14">
        <f>15.7355 * CHOOSE(CONTROL!$C$15, $E$9, 100%, $G$9) + CHOOSE(CONTROL!$C$38, 0.0347, 0)</f>
        <v>15.770200000000001</v>
      </c>
      <c r="H60" s="14">
        <f>15.7355 * CHOOSE(CONTROL!$C$15, $E$9, 100%, $G$9) + CHOOSE(CONTROL!$C$38, 0.0347, 0)</f>
        <v>15.770200000000001</v>
      </c>
      <c r="I60" s="14">
        <f>15.737 * CHOOSE(CONTROL!$C$15, $E$9, 100%, $G$9) + CHOOSE(CONTROL!$C$38, 0.0347, 0)</f>
        <v>15.771700000000001</v>
      </c>
      <c r="J60" s="44">
        <f>87.4737</f>
        <v>87.473699999999994</v>
      </c>
    </row>
    <row r="61" spans="1:10" ht="15" x14ac:dyDescent="0.2">
      <c r="A61" s="13">
        <v>42767</v>
      </c>
      <c r="B61" s="14">
        <f>16.4329 * CHOOSE(CONTROL!$C$15, $E$9, 100%, $G$9) + CHOOSE(CONTROL!$C$38, 0.0256, 0)</f>
        <v>16.458500000000001</v>
      </c>
      <c r="C61" s="14">
        <f>15.9578 * CHOOSE(CONTROL!$C$15, $E$9, 100%, $G$9) + CHOOSE(CONTROL!$C$38, 0.0347, 0)</f>
        <v>15.992500000000001</v>
      </c>
      <c r="D61" s="14">
        <f>15.95 * CHOOSE(CONTROL!$C$15, $E$9, 100%, $G$9) + CHOOSE(CONTROL!$C$38, 0.0347, 0)</f>
        <v>15.9847</v>
      </c>
      <c r="E61" s="46">
        <f>16.2767 * CHOOSE(CONTROL!$C$15, $E$9, 100%, $G$9) + CHOOSE(CONTROL!$C$38, 0.0347, 0)</f>
        <v>16.311400000000003</v>
      </c>
      <c r="F61" s="45">
        <f>16.2767 * CHOOSE(CONTROL!$C$15, $E$9, 100%, $G$9) + CHOOSE(CONTROL!$C$38, 0.0256, 0)</f>
        <v>16.302300000000002</v>
      </c>
      <c r="G61" s="14">
        <f>15.9562 * CHOOSE(CONTROL!$C$15, $E$9, 100%, $G$9) + CHOOSE(CONTROL!$C$38, 0.0347, 0)</f>
        <v>15.990900000000002</v>
      </c>
      <c r="H61" s="14">
        <f>15.9562 * CHOOSE(CONTROL!$C$15, $E$9, 100%, $G$9) + CHOOSE(CONTROL!$C$38, 0.0347, 0)</f>
        <v>15.990900000000002</v>
      </c>
      <c r="I61" s="14">
        <f>15.9578 * CHOOSE(CONTROL!$C$15, $E$9, 100%, $G$9) + CHOOSE(CONTROL!$C$38, 0.0347, 0)</f>
        <v>15.992500000000001</v>
      </c>
      <c r="J61" s="44">
        <f>87.2306</f>
        <v>87.230599999999995</v>
      </c>
    </row>
    <row r="62" spans="1:10" ht="15" x14ac:dyDescent="0.2">
      <c r="A62" s="13">
        <v>42795</v>
      </c>
      <c r="B62" s="14">
        <f>15.9219 * CHOOSE(CONTROL!$C$15, $E$9, 100%, $G$9) + CHOOSE(CONTROL!$C$38, 0.0256, 0)</f>
        <v>15.947500000000002</v>
      </c>
      <c r="C62" s="14">
        <f>15.4468 * CHOOSE(CONTROL!$C$15, $E$9, 100%, $G$9) + CHOOSE(CONTROL!$C$38, 0.0347, 0)</f>
        <v>15.4815</v>
      </c>
      <c r="D62" s="14">
        <f>15.439 * CHOOSE(CONTROL!$C$15, $E$9, 100%, $G$9) + CHOOSE(CONTROL!$C$38, 0.0347, 0)</f>
        <v>15.473700000000001</v>
      </c>
      <c r="E62" s="46">
        <f>15.7656 * CHOOSE(CONTROL!$C$15, $E$9, 100%, $G$9) + CHOOSE(CONTROL!$C$38, 0.0347, 0)</f>
        <v>15.8003</v>
      </c>
      <c r="F62" s="45">
        <f>15.7656 * CHOOSE(CONTROL!$C$15, $E$9, 100%, $G$9) + CHOOSE(CONTROL!$C$38, 0.0256, 0)</f>
        <v>15.7912</v>
      </c>
      <c r="G62" s="14">
        <f>15.4452 * CHOOSE(CONTROL!$C$15, $E$9, 100%, $G$9) + CHOOSE(CONTROL!$C$38, 0.0347, 0)</f>
        <v>15.479900000000001</v>
      </c>
      <c r="H62" s="14">
        <f>15.4452 * CHOOSE(CONTROL!$C$15, $E$9, 100%, $G$9) + CHOOSE(CONTROL!$C$38, 0.0347, 0)</f>
        <v>15.479900000000001</v>
      </c>
      <c r="I62" s="14">
        <f>15.4468 * CHOOSE(CONTROL!$C$15, $E$9, 100%, $G$9) + CHOOSE(CONTROL!$C$38, 0.0347, 0)</f>
        <v>15.4815</v>
      </c>
      <c r="J62" s="44">
        <f>91.8282</f>
        <v>91.828199999999995</v>
      </c>
    </row>
    <row r="63" spans="1:10" ht="15" x14ac:dyDescent="0.2">
      <c r="A63" s="13">
        <v>42826</v>
      </c>
      <c r="B63" s="14">
        <f>15.4267 * CHOOSE(CONTROL!$C$15, $E$9, 100%, $G$9) + CHOOSE(CONTROL!$C$38, 0.0256, 0)</f>
        <v>15.452300000000001</v>
      </c>
      <c r="C63" s="14">
        <f>14.9516 * CHOOSE(CONTROL!$C$15, $E$9, 100%, $G$9) + CHOOSE(CONTROL!$C$38, 0.0347, 0)</f>
        <v>14.9863</v>
      </c>
      <c r="D63" s="14">
        <f>14.9438 * CHOOSE(CONTROL!$C$15, $E$9, 100%, $G$9) + CHOOSE(CONTROL!$C$38, 0.0347, 0)</f>
        <v>14.9785</v>
      </c>
      <c r="E63" s="46">
        <f>15.2704 * CHOOSE(CONTROL!$C$15, $E$9, 100%, $G$9) + CHOOSE(CONTROL!$C$38, 0.0347, 0)</f>
        <v>15.305100000000001</v>
      </c>
      <c r="F63" s="45">
        <f>15.2704 * CHOOSE(CONTROL!$C$15, $E$9, 100%, $G$9) + CHOOSE(CONTROL!$C$38, 0.0256, 0)</f>
        <v>15.296000000000001</v>
      </c>
      <c r="G63" s="14">
        <f>14.95 * CHOOSE(CONTROL!$C$15, $E$9, 100%, $G$9) + CHOOSE(CONTROL!$C$38, 0.0347, 0)</f>
        <v>14.9847</v>
      </c>
      <c r="H63" s="14">
        <f>14.95 * CHOOSE(CONTROL!$C$15, $E$9, 100%, $G$9) + CHOOSE(CONTROL!$C$38, 0.0347, 0)</f>
        <v>14.9847</v>
      </c>
      <c r="I63" s="14">
        <f>14.9516 * CHOOSE(CONTROL!$C$15, $E$9, 100%, $G$9) + CHOOSE(CONTROL!$C$38, 0.0347, 0)</f>
        <v>14.9863</v>
      </c>
      <c r="J63" s="44">
        <f>97.7901</f>
        <v>97.790099999999995</v>
      </c>
    </row>
    <row r="64" spans="1:10" ht="15" x14ac:dyDescent="0.2">
      <c r="A64" s="13">
        <v>42856</v>
      </c>
      <c r="B64" s="14">
        <f>14.9106 * CHOOSE(CONTROL!$C$15, $E$9, 100%, $G$9) + CHOOSE(CONTROL!$C$38, 0.0278, 0)</f>
        <v>14.9384</v>
      </c>
      <c r="C64" s="14">
        <f>14.4355 * CHOOSE(CONTROL!$C$15, $E$9, 100%, $G$9) + CHOOSE(CONTROL!$C$38, 0.0369, 0)</f>
        <v>14.472399999999999</v>
      </c>
      <c r="D64" s="14">
        <f>14.4277 * CHOOSE(CONTROL!$C$15, $E$9, 100%, $G$9) + CHOOSE(CONTROL!$C$38, 0.0369, 0)</f>
        <v>14.464599999999999</v>
      </c>
      <c r="E64" s="46">
        <f>14.7543 * CHOOSE(CONTROL!$C$15, $E$9, 100%, $G$9) + CHOOSE(CONTROL!$C$38, 0.0369, 0)</f>
        <v>14.7912</v>
      </c>
      <c r="F64" s="45">
        <f>14.7543 * CHOOSE(CONTROL!$C$15, $E$9, 100%, $G$9) + CHOOSE(CONTROL!$C$38, 0.0278, 0)</f>
        <v>14.7821</v>
      </c>
      <c r="G64" s="14">
        <f>14.4339 * CHOOSE(CONTROL!$C$15, $E$9, 100%, $G$9) + CHOOSE(CONTROL!$C$38, 0.0369, 0)</f>
        <v>14.470799999999999</v>
      </c>
      <c r="H64" s="14">
        <f>14.4339 * CHOOSE(CONTROL!$C$15, $E$9, 100%, $G$9) + CHOOSE(CONTROL!$C$38, 0.0369, 0)</f>
        <v>14.470799999999999</v>
      </c>
      <c r="I64" s="14">
        <f>14.4355 * CHOOSE(CONTROL!$C$15, $E$9, 100%, $G$9) + CHOOSE(CONTROL!$C$38, 0.0369, 0)</f>
        <v>14.472399999999999</v>
      </c>
      <c r="J64" s="44">
        <f>101.0717</f>
        <v>101.07170000000001</v>
      </c>
    </row>
    <row r="65" spans="1:10" ht="15" x14ac:dyDescent="0.2">
      <c r="A65" s="13">
        <v>42887</v>
      </c>
      <c r="B65" s="14">
        <f>14.5487 * CHOOSE(CONTROL!$C$15, $E$9, 100%, $G$9) + CHOOSE(CONTROL!$C$38, 0.0278, 0)</f>
        <v>14.576499999999999</v>
      </c>
      <c r="C65" s="14">
        <f>14.0736 * CHOOSE(CONTROL!$C$15, $E$9, 100%, $G$9) + CHOOSE(CONTROL!$C$38, 0.0369, 0)</f>
        <v>14.1105</v>
      </c>
      <c r="D65" s="14">
        <f>14.0658 * CHOOSE(CONTROL!$C$15, $E$9, 100%, $G$9) + CHOOSE(CONTROL!$C$38, 0.0369, 0)</f>
        <v>14.102699999999999</v>
      </c>
      <c r="E65" s="46">
        <f>14.3925 * CHOOSE(CONTROL!$C$15, $E$9, 100%, $G$9) + CHOOSE(CONTROL!$C$38, 0.0369, 0)</f>
        <v>14.429399999999999</v>
      </c>
      <c r="F65" s="45">
        <f>14.3925 * CHOOSE(CONTROL!$C$15, $E$9, 100%, $G$9) + CHOOSE(CONTROL!$C$38, 0.0278, 0)</f>
        <v>14.420299999999999</v>
      </c>
      <c r="G65" s="14">
        <f>14.0721 * CHOOSE(CONTROL!$C$15, $E$9, 100%, $G$9) + CHOOSE(CONTROL!$C$38, 0.0369, 0)</f>
        <v>14.109</v>
      </c>
      <c r="H65" s="14">
        <f>14.0721 * CHOOSE(CONTROL!$C$15, $E$9, 100%, $G$9) + CHOOSE(CONTROL!$C$38, 0.0369, 0)</f>
        <v>14.109</v>
      </c>
      <c r="I65" s="14">
        <f>14.0736 * CHOOSE(CONTROL!$C$15, $E$9, 100%, $G$9) + CHOOSE(CONTROL!$C$38, 0.0369, 0)</f>
        <v>14.1105</v>
      </c>
      <c r="J65" s="44">
        <f>102.5281</f>
        <v>102.52809999999999</v>
      </c>
    </row>
    <row r="66" spans="1:10" ht="15" x14ac:dyDescent="0.2">
      <c r="A66" s="13">
        <v>42917</v>
      </c>
      <c r="B66" s="14">
        <f>14.3423 * CHOOSE(CONTROL!$C$15, $E$9, 100%, $G$9) + CHOOSE(CONTROL!$C$38, 0.0278, 0)</f>
        <v>14.370099999999999</v>
      </c>
      <c r="C66" s="14">
        <f>13.8672 * CHOOSE(CONTROL!$C$15, $E$9, 100%, $G$9) + CHOOSE(CONTROL!$C$38, 0.0369, 0)</f>
        <v>13.9041</v>
      </c>
      <c r="D66" s="14">
        <f>13.8593 * CHOOSE(CONTROL!$C$15, $E$9, 100%, $G$9) + CHOOSE(CONTROL!$C$38, 0.0369, 0)</f>
        <v>13.896199999999999</v>
      </c>
      <c r="E66" s="46">
        <f>14.186 * CHOOSE(CONTROL!$C$15, $E$9, 100%, $G$9) + CHOOSE(CONTROL!$C$38, 0.0369, 0)</f>
        <v>14.222899999999999</v>
      </c>
      <c r="F66" s="45">
        <f>14.186 * CHOOSE(CONTROL!$C$15, $E$9, 100%, $G$9) + CHOOSE(CONTROL!$C$38, 0.0278, 0)</f>
        <v>14.213799999999999</v>
      </c>
      <c r="G66" s="14">
        <f>13.8656 * CHOOSE(CONTROL!$C$15, $E$9, 100%, $G$9) + CHOOSE(CONTROL!$C$38, 0.0369, 0)</f>
        <v>13.9025</v>
      </c>
      <c r="H66" s="14">
        <f>13.8656 * CHOOSE(CONTROL!$C$15, $E$9, 100%, $G$9) + CHOOSE(CONTROL!$C$38, 0.0369, 0)</f>
        <v>13.9025</v>
      </c>
      <c r="I66" s="14">
        <f>13.8672 * CHOOSE(CONTROL!$C$15, $E$9, 100%, $G$9) + CHOOSE(CONTROL!$C$38, 0.0369, 0)</f>
        <v>13.9041</v>
      </c>
      <c r="J66" s="44">
        <f>102.0486</f>
        <v>102.04859999999999</v>
      </c>
    </row>
    <row r="67" spans="1:10" ht="15" x14ac:dyDescent="0.2">
      <c r="A67" s="13">
        <v>42948</v>
      </c>
      <c r="B67" s="14">
        <f>14.4442 * CHOOSE(CONTROL!$C$15, $E$9, 100%, $G$9) + CHOOSE(CONTROL!$C$38, 0.0278, 0)</f>
        <v>14.472</v>
      </c>
      <c r="C67" s="14">
        <f>13.9691 * CHOOSE(CONTROL!$C$15, $E$9, 100%, $G$9) + CHOOSE(CONTROL!$C$38, 0.0369, 0)</f>
        <v>14.005999999999998</v>
      </c>
      <c r="D67" s="14">
        <f>13.9612 * CHOOSE(CONTROL!$C$15, $E$9, 100%, $G$9) + CHOOSE(CONTROL!$C$38, 0.0369, 0)</f>
        <v>13.998099999999999</v>
      </c>
      <c r="E67" s="46">
        <f>14.2879 * CHOOSE(CONTROL!$C$15, $E$9, 100%, $G$9) + CHOOSE(CONTROL!$C$38, 0.0369, 0)</f>
        <v>14.3248</v>
      </c>
      <c r="F67" s="45">
        <f>14.2879 * CHOOSE(CONTROL!$C$15, $E$9, 100%, $G$9) + CHOOSE(CONTROL!$C$38, 0.0278, 0)</f>
        <v>14.3157</v>
      </c>
      <c r="G67" s="14">
        <f>13.9675 * CHOOSE(CONTROL!$C$15, $E$9, 100%, $G$9) + CHOOSE(CONTROL!$C$38, 0.0369, 0)</f>
        <v>14.004399999999999</v>
      </c>
      <c r="H67" s="14">
        <f>13.9675 * CHOOSE(CONTROL!$C$15, $E$9, 100%, $G$9) + CHOOSE(CONTROL!$C$38, 0.0369, 0)</f>
        <v>14.004399999999999</v>
      </c>
      <c r="I67" s="14">
        <f>13.9691 * CHOOSE(CONTROL!$C$15, $E$9, 100%, $G$9) + CHOOSE(CONTROL!$C$38, 0.0369, 0)</f>
        <v>14.005999999999998</v>
      </c>
      <c r="J67" s="44">
        <f>99.6729</f>
        <v>99.672899999999998</v>
      </c>
    </row>
    <row r="68" spans="1:10" ht="15" x14ac:dyDescent="0.2">
      <c r="A68" s="13">
        <v>42979</v>
      </c>
      <c r="B68" s="14">
        <f>14.721 * CHOOSE(CONTROL!$C$15, $E$9, 100%, $G$9) + CHOOSE(CONTROL!$C$38, 0.0278, 0)</f>
        <v>14.748799999999999</v>
      </c>
      <c r="C68" s="14">
        <f>14.2459 * CHOOSE(CONTROL!$C$15, $E$9, 100%, $G$9) + CHOOSE(CONTROL!$C$38, 0.0369, 0)</f>
        <v>14.2828</v>
      </c>
      <c r="D68" s="14">
        <f>14.238 * CHOOSE(CONTROL!$C$15, $E$9, 100%, $G$9) + CHOOSE(CONTROL!$C$38, 0.0369, 0)</f>
        <v>14.274899999999999</v>
      </c>
      <c r="E68" s="46">
        <f>14.5647 * CHOOSE(CONTROL!$C$15, $E$9, 100%, $G$9) + CHOOSE(CONTROL!$C$38, 0.0369, 0)</f>
        <v>14.601599999999999</v>
      </c>
      <c r="F68" s="45">
        <f>14.5647 * CHOOSE(CONTROL!$C$15, $E$9, 100%, $G$9) + CHOOSE(CONTROL!$C$38, 0.0278, 0)</f>
        <v>14.592499999999999</v>
      </c>
      <c r="G68" s="14">
        <f>14.2443 * CHOOSE(CONTROL!$C$15, $E$9, 100%, $G$9) + CHOOSE(CONTROL!$C$38, 0.0369, 0)</f>
        <v>14.2812</v>
      </c>
      <c r="H68" s="14">
        <f>14.2443 * CHOOSE(CONTROL!$C$15, $E$9, 100%, $G$9) + CHOOSE(CONTROL!$C$38, 0.0369, 0)</f>
        <v>14.2812</v>
      </c>
      <c r="I68" s="14">
        <f>14.2459 * CHOOSE(CONTROL!$C$15, $E$9, 100%, $G$9) + CHOOSE(CONTROL!$C$38, 0.0369, 0)</f>
        <v>14.2828</v>
      </c>
      <c r="J68" s="44">
        <f>96.36</f>
        <v>96.36</v>
      </c>
    </row>
    <row r="69" spans="1:10" ht="15" x14ac:dyDescent="0.2">
      <c r="A69" s="13">
        <v>43009</v>
      </c>
      <c r="B69" s="14">
        <f>14.9528 * CHOOSE(CONTROL!$C$15, $E$9, 100%, $G$9) + CHOOSE(CONTROL!$C$38, 0.0256, 0)</f>
        <v>14.978400000000001</v>
      </c>
      <c r="C69" s="14">
        <f>14.4777 * CHOOSE(CONTROL!$C$15, $E$9, 100%, $G$9) + CHOOSE(CONTROL!$C$38, 0.0347, 0)</f>
        <v>14.512400000000001</v>
      </c>
      <c r="D69" s="14">
        <f>14.4699 * CHOOSE(CONTROL!$C$15, $E$9, 100%, $G$9) + CHOOSE(CONTROL!$C$38, 0.0347, 0)</f>
        <v>14.504600000000002</v>
      </c>
      <c r="E69" s="46">
        <f>14.7965 * CHOOSE(CONTROL!$C$15, $E$9, 100%, $G$9) + CHOOSE(CONTROL!$C$38, 0.0347, 0)</f>
        <v>14.831200000000001</v>
      </c>
      <c r="F69" s="45">
        <f>14.7965 * CHOOSE(CONTROL!$C$15, $E$9, 100%, $G$9) + CHOOSE(CONTROL!$C$38, 0.0256, 0)</f>
        <v>14.822100000000001</v>
      </c>
      <c r="G69" s="14">
        <f>14.4761 * CHOOSE(CONTROL!$C$15, $E$9, 100%, $G$9) + CHOOSE(CONTROL!$C$38, 0.0347, 0)</f>
        <v>14.510800000000001</v>
      </c>
      <c r="H69" s="14">
        <f>14.4761 * CHOOSE(CONTROL!$C$15, $E$9, 100%, $G$9) + CHOOSE(CONTROL!$C$38, 0.0347, 0)</f>
        <v>14.510800000000001</v>
      </c>
      <c r="I69" s="14">
        <f>14.4777 * CHOOSE(CONTROL!$C$15, $E$9, 100%, $G$9) + CHOOSE(CONTROL!$C$38, 0.0347, 0)</f>
        <v>14.512400000000001</v>
      </c>
      <c r="J69" s="44">
        <f>93.0277</f>
        <v>93.027699999999996</v>
      </c>
    </row>
    <row r="70" spans="1:10" ht="15" x14ac:dyDescent="0.2">
      <c r="A70" s="13">
        <v>43040</v>
      </c>
      <c r="B70" s="14">
        <f>15.1462 * CHOOSE(CONTROL!$C$15, $E$9, 100%, $G$9) + CHOOSE(CONTROL!$C$38, 0.0256, 0)</f>
        <v>15.171800000000001</v>
      </c>
      <c r="C70" s="14">
        <f>14.6711 * CHOOSE(CONTROL!$C$15, $E$9, 100%, $G$9) + CHOOSE(CONTROL!$C$38, 0.0347, 0)</f>
        <v>14.7058</v>
      </c>
      <c r="D70" s="14">
        <f>14.6633 * CHOOSE(CONTROL!$C$15, $E$9, 100%, $G$9) + CHOOSE(CONTROL!$C$38, 0.0347, 0)</f>
        <v>14.698</v>
      </c>
      <c r="E70" s="46">
        <f>14.99 * CHOOSE(CONTROL!$C$15, $E$9, 100%, $G$9) + CHOOSE(CONTROL!$C$38, 0.0347, 0)</f>
        <v>15.024700000000001</v>
      </c>
      <c r="F70" s="45">
        <f>14.99 * CHOOSE(CONTROL!$C$15, $E$9, 100%, $G$9) + CHOOSE(CONTROL!$C$38, 0.0256, 0)</f>
        <v>15.015600000000001</v>
      </c>
      <c r="G70" s="14">
        <f>14.6696 * CHOOSE(CONTROL!$C$15, $E$9, 100%, $G$9) + CHOOSE(CONTROL!$C$38, 0.0347, 0)</f>
        <v>14.704300000000002</v>
      </c>
      <c r="H70" s="14">
        <f>14.6696 * CHOOSE(CONTROL!$C$15, $E$9, 100%, $G$9) + CHOOSE(CONTROL!$C$38, 0.0347, 0)</f>
        <v>14.704300000000002</v>
      </c>
      <c r="I70" s="14">
        <f>14.6711 * CHOOSE(CONTROL!$C$15, $E$9, 100%, $G$9) + CHOOSE(CONTROL!$C$38, 0.0347, 0)</f>
        <v>14.7058</v>
      </c>
      <c r="J70" s="44">
        <f>92.3649</f>
        <v>92.364900000000006</v>
      </c>
    </row>
    <row r="71" spans="1:10" ht="15" x14ac:dyDescent="0.2">
      <c r="A71" s="13">
        <v>43070</v>
      </c>
      <c r="B71" s="14">
        <f>15.7423 * CHOOSE(CONTROL!$C$15, $E$9, 100%, $G$9) + CHOOSE(CONTROL!$C$38, 0.0256, 0)</f>
        <v>15.767900000000001</v>
      </c>
      <c r="C71" s="14">
        <f>15.2672 * CHOOSE(CONTROL!$C$15, $E$9, 100%, $G$9) + CHOOSE(CONTROL!$C$38, 0.0347, 0)</f>
        <v>15.301900000000002</v>
      </c>
      <c r="D71" s="14">
        <f>15.2594 * CHOOSE(CONTROL!$C$15, $E$9, 100%, $G$9) + CHOOSE(CONTROL!$C$38, 0.0347, 0)</f>
        <v>15.2941</v>
      </c>
      <c r="E71" s="46">
        <f>15.586 * CHOOSE(CONTROL!$C$15, $E$9, 100%, $G$9) + CHOOSE(CONTROL!$C$38, 0.0347, 0)</f>
        <v>15.620700000000001</v>
      </c>
      <c r="F71" s="45">
        <f>15.586 * CHOOSE(CONTROL!$C$15, $E$9, 100%, $G$9) + CHOOSE(CONTROL!$C$38, 0.0256, 0)</f>
        <v>15.611600000000001</v>
      </c>
      <c r="G71" s="14">
        <f>15.2656 * CHOOSE(CONTROL!$C$15, $E$9, 100%, $G$9) + CHOOSE(CONTROL!$C$38, 0.0347, 0)</f>
        <v>15.3003</v>
      </c>
      <c r="H71" s="14">
        <f>15.2656 * CHOOSE(CONTROL!$C$15, $E$9, 100%, $G$9) + CHOOSE(CONTROL!$C$38, 0.0347, 0)</f>
        <v>15.3003</v>
      </c>
      <c r="I71" s="14">
        <f>15.2672 * CHOOSE(CONTROL!$C$15, $E$9, 100%, $G$9) + CHOOSE(CONTROL!$C$38, 0.0347, 0)</f>
        <v>15.301900000000002</v>
      </c>
      <c r="J71" s="44">
        <f>89.624</f>
        <v>89.623999999999995</v>
      </c>
    </row>
    <row r="72" spans="1:10" ht="15" x14ac:dyDescent="0.2">
      <c r="A72" s="13">
        <v>43101</v>
      </c>
      <c r="B72" s="14">
        <f>18.2112 * CHOOSE(CONTROL!$C$15, $E$9, 100%, $G$9) + CHOOSE(CONTROL!$C$38, 0.0256, 0)</f>
        <v>18.236800000000002</v>
      </c>
      <c r="C72" s="14">
        <f>17.3372 * CHOOSE(CONTROL!$C$15, $E$9, 100%, $G$9) + CHOOSE(CONTROL!$C$38, 0.0347, 0)</f>
        <v>17.3719</v>
      </c>
      <c r="D72" s="14">
        <f>17.3294 * CHOOSE(CONTROL!$C$15, $E$9, 100%, $G$9) + CHOOSE(CONTROL!$C$38, 0.0347, 0)</f>
        <v>17.364100000000001</v>
      </c>
      <c r="E72" s="46">
        <f>18.055 * CHOOSE(CONTROL!$C$15, $E$9, 100%, $G$9) + CHOOSE(CONTROL!$C$38, 0.0347, 0)</f>
        <v>18.089700000000001</v>
      </c>
      <c r="F72" s="45">
        <f>18.055 * CHOOSE(CONTROL!$C$15, $E$9, 100%, $G$9) + CHOOSE(CONTROL!$C$38, 0.0256, 0)</f>
        <v>18.0806</v>
      </c>
      <c r="G72" s="14">
        <f>17.3357 * CHOOSE(CONTROL!$C$15, $E$9, 100%, $G$9) + CHOOSE(CONTROL!$C$38, 0.0347, 0)</f>
        <v>17.3704</v>
      </c>
      <c r="H72" s="14">
        <f>17.3357 * CHOOSE(CONTROL!$C$15, $E$9, 100%, $G$9) + CHOOSE(CONTROL!$C$38, 0.0347, 0)</f>
        <v>17.3704</v>
      </c>
      <c r="I72" s="14">
        <f>17.3372 * CHOOSE(CONTROL!$C$15, $E$9, 100%, $G$9) + CHOOSE(CONTROL!$C$38, 0.0347, 0)</f>
        <v>17.3719</v>
      </c>
      <c r="J72" s="44">
        <f>99.8934</f>
        <v>99.8934</v>
      </c>
    </row>
    <row r="73" spans="1:10" ht="15" x14ac:dyDescent="0.2">
      <c r="A73" s="13">
        <v>43132</v>
      </c>
      <c r="B73" s="14">
        <f>18.432 * CHOOSE(CONTROL!$C$15, $E$9, 100%, $G$9) + CHOOSE(CONTROL!$C$38, 0.0256, 0)</f>
        <v>18.457599999999999</v>
      </c>
      <c r="C73" s="14">
        <f>17.558 * CHOOSE(CONTROL!$C$15, $E$9, 100%, $G$9) + CHOOSE(CONTROL!$C$38, 0.0347, 0)</f>
        <v>17.592700000000001</v>
      </c>
      <c r="D73" s="14">
        <f>17.5502 * CHOOSE(CONTROL!$C$15, $E$9, 100%, $G$9) + CHOOSE(CONTROL!$C$38, 0.0347, 0)</f>
        <v>17.584900000000001</v>
      </c>
      <c r="E73" s="46">
        <f>18.2757 * CHOOSE(CONTROL!$C$15, $E$9, 100%, $G$9) + CHOOSE(CONTROL!$C$38, 0.0347, 0)</f>
        <v>18.310400000000001</v>
      </c>
      <c r="F73" s="45">
        <f>18.2757 * CHOOSE(CONTROL!$C$15, $E$9, 100%, $G$9) + CHOOSE(CONTROL!$C$38, 0.0256, 0)</f>
        <v>18.301300000000001</v>
      </c>
      <c r="G73" s="14">
        <f>17.5564 * CHOOSE(CONTROL!$C$15, $E$9, 100%, $G$9) + CHOOSE(CONTROL!$C$38, 0.0347, 0)</f>
        <v>17.591100000000001</v>
      </c>
      <c r="H73" s="14">
        <f>17.5564 * CHOOSE(CONTROL!$C$15, $E$9, 100%, $G$9) + CHOOSE(CONTROL!$C$38, 0.0347, 0)</f>
        <v>17.591100000000001</v>
      </c>
      <c r="I73" s="14">
        <f>17.558 * CHOOSE(CONTROL!$C$15, $E$9, 100%, $G$9) + CHOOSE(CONTROL!$C$38, 0.0347, 0)</f>
        <v>17.592700000000001</v>
      </c>
      <c r="J73" s="44">
        <f>99.6158</f>
        <v>99.615799999999993</v>
      </c>
    </row>
    <row r="74" spans="1:10" ht="15" x14ac:dyDescent="0.2">
      <c r="A74" s="13">
        <v>43160</v>
      </c>
      <c r="B74" s="14">
        <f>17.921 * CHOOSE(CONTROL!$C$15, $E$9, 100%, $G$9) + CHOOSE(CONTROL!$C$38, 0.0256, 0)</f>
        <v>17.9466</v>
      </c>
      <c r="C74" s="14">
        <f>17.047 * CHOOSE(CONTROL!$C$15, $E$9, 100%, $G$9) + CHOOSE(CONTROL!$C$38, 0.0347, 0)</f>
        <v>17.081700000000001</v>
      </c>
      <c r="D74" s="14">
        <f>17.0391 * CHOOSE(CONTROL!$C$15, $E$9, 100%, $G$9) + CHOOSE(CONTROL!$C$38, 0.0347, 0)</f>
        <v>17.073800000000002</v>
      </c>
      <c r="E74" s="46">
        <f>17.7647 * CHOOSE(CONTROL!$C$15, $E$9, 100%, $G$9) + CHOOSE(CONTROL!$C$38, 0.0347, 0)</f>
        <v>17.799400000000002</v>
      </c>
      <c r="F74" s="45">
        <f>17.7647 * CHOOSE(CONTROL!$C$15, $E$9, 100%, $G$9) + CHOOSE(CONTROL!$C$38, 0.0256, 0)</f>
        <v>17.790300000000002</v>
      </c>
      <c r="G74" s="14">
        <f>17.0454 * CHOOSE(CONTROL!$C$15, $E$9, 100%, $G$9) + CHOOSE(CONTROL!$C$38, 0.0347, 0)</f>
        <v>17.080100000000002</v>
      </c>
      <c r="H74" s="14">
        <f>17.0454 * CHOOSE(CONTROL!$C$15, $E$9, 100%, $G$9) + CHOOSE(CONTROL!$C$38, 0.0347, 0)</f>
        <v>17.080100000000002</v>
      </c>
      <c r="I74" s="14">
        <f>17.047 * CHOOSE(CONTROL!$C$15, $E$9, 100%, $G$9) + CHOOSE(CONTROL!$C$38, 0.0347, 0)</f>
        <v>17.081700000000001</v>
      </c>
      <c r="J74" s="44">
        <f>104.8661</f>
        <v>104.8661</v>
      </c>
    </row>
    <row r="75" spans="1:10" ht="15" x14ac:dyDescent="0.2">
      <c r="A75" s="13">
        <v>43191</v>
      </c>
      <c r="B75" s="14">
        <f>17.4258 * CHOOSE(CONTROL!$C$15, $E$9, 100%, $G$9) + CHOOSE(CONTROL!$C$38, 0.0256, 0)</f>
        <v>17.4514</v>
      </c>
      <c r="C75" s="14">
        <f>16.5518 * CHOOSE(CONTROL!$C$15, $E$9, 100%, $G$9) + CHOOSE(CONTROL!$C$38, 0.0347, 0)</f>
        <v>16.586500000000001</v>
      </c>
      <c r="D75" s="14">
        <f>16.544 * CHOOSE(CONTROL!$C$15, $E$9, 100%, $G$9) + CHOOSE(CONTROL!$C$38, 0.0347, 0)</f>
        <v>16.578700000000001</v>
      </c>
      <c r="E75" s="46">
        <f>17.2695 * CHOOSE(CONTROL!$C$15, $E$9, 100%, $G$9) + CHOOSE(CONTROL!$C$38, 0.0347, 0)</f>
        <v>17.304200000000002</v>
      </c>
      <c r="F75" s="45">
        <f>17.2695 * CHOOSE(CONTROL!$C$15, $E$9, 100%, $G$9) + CHOOSE(CONTROL!$C$38, 0.0256, 0)</f>
        <v>17.295100000000001</v>
      </c>
      <c r="G75" s="14">
        <f>16.5502 * CHOOSE(CONTROL!$C$15, $E$9, 100%, $G$9) + CHOOSE(CONTROL!$C$38, 0.0347, 0)</f>
        <v>16.584900000000001</v>
      </c>
      <c r="H75" s="14">
        <f>16.5502 * CHOOSE(CONTROL!$C$15, $E$9, 100%, $G$9) + CHOOSE(CONTROL!$C$38, 0.0347, 0)</f>
        <v>16.584900000000001</v>
      </c>
      <c r="I75" s="14">
        <f>16.5518 * CHOOSE(CONTROL!$C$15, $E$9, 100%, $G$9) + CHOOSE(CONTROL!$C$38, 0.0347, 0)</f>
        <v>16.586500000000001</v>
      </c>
      <c r="J75" s="44">
        <f>111.6745</f>
        <v>111.67449999999999</v>
      </c>
    </row>
    <row r="76" spans="1:10" ht="15" x14ac:dyDescent="0.2">
      <c r="A76" s="13">
        <v>43221</v>
      </c>
      <c r="B76" s="14">
        <f>16.9097 * CHOOSE(CONTROL!$C$15, $E$9, 100%, $G$9) + CHOOSE(CONTROL!$C$38, 0.0278, 0)</f>
        <v>16.9375</v>
      </c>
      <c r="C76" s="14">
        <f>16.0357 * CHOOSE(CONTROL!$C$15, $E$9, 100%, $G$9) + CHOOSE(CONTROL!$C$38, 0.0369, 0)</f>
        <v>16.072599999999998</v>
      </c>
      <c r="D76" s="14">
        <f>16.0279 * CHOOSE(CONTROL!$C$15, $E$9, 100%, $G$9) + CHOOSE(CONTROL!$C$38, 0.0369, 0)</f>
        <v>16.064799999999998</v>
      </c>
      <c r="E76" s="46">
        <f>16.7534 * CHOOSE(CONTROL!$C$15, $E$9, 100%, $G$9) + CHOOSE(CONTROL!$C$38, 0.0369, 0)</f>
        <v>16.790299999999998</v>
      </c>
      <c r="F76" s="45">
        <f>16.7534 * CHOOSE(CONTROL!$C$15, $E$9, 100%, $G$9) + CHOOSE(CONTROL!$C$38, 0.0278, 0)</f>
        <v>16.781199999999998</v>
      </c>
      <c r="G76" s="14">
        <f>16.0341 * CHOOSE(CONTROL!$C$15, $E$9, 100%, $G$9) + CHOOSE(CONTROL!$C$38, 0.0369, 0)</f>
        <v>16.070999999999998</v>
      </c>
      <c r="H76" s="14">
        <f>16.0341 * CHOOSE(CONTROL!$C$15, $E$9, 100%, $G$9) + CHOOSE(CONTROL!$C$38, 0.0369, 0)</f>
        <v>16.070999999999998</v>
      </c>
      <c r="I76" s="14">
        <f>16.0357 * CHOOSE(CONTROL!$C$15, $E$9, 100%, $G$9) + CHOOSE(CONTROL!$C$38, 0.0369, 0)</f>
        <v>16.072599999999998</v>
      </c>
      <c r="J76" s="44">
        <f>115.4221</f>
        <v>115.4221</v>
      </c>
    </row>
    <row r="77" spans="1:10" ht="15" x14ac:dyDescent="0.2">
      <c r="A77" s="13">
        <v>43252</v>
      </c>
      <c r="B77" s="14">
        <f>16.5478 * CHOOSE(CONTROL!$C$15, $E$9, 100%, $G$9) + CHOOSE(CONTROL!$C$38, 0.0278, 0)</f>
        <v>16.575599999999998</v>
      </c>
      <c r="C77" s="14">
        <f>15.6738 * CHOOSE(CONTROL!$C$15, $E$9, 100%, $G$9) + CHOOSE(CONTROL!$C$38, 0.0369, 0)</f>
        <v>15.710699999999999</v>
      </c>
      <c r="D77" s="14">
        <f>15.666 * CHOOSE(CONTROL!$C$15, $E$9, 100%, $G$9) + CHOOSE(CONTROL!$C$38, 0.0369, 0)</f>
        <v>15.7029</v>
      </c>
      <c r="E77" s="46">
        <f>16.3916 * CHOOSE(CONTROL!$C$15, $E$9, 100%, $G$9) + CHOOSE(CONTROL!$C$38, 0.0369, 0)</f>
        <v>16.4285</v>
      </c>
      <c r="F77" s="45">
        <f>16.3916 * CHOOSE(CONTROL!$C$15, $E$9, 100%, $G$9) + CHOOSE(CONTROL!$C$38, 0.0278, 0)</f>
        <v>16.4194</v>
      </c>
      <c r="G77" s="14">
        <f>15.6723 * CHOOSE(CONTROL!$C$15, $E$9, 100%, $G$9) + CHOOSE(CONTROL!$C$38, 0.0369, 0)</f>
        <v>15.709199999999999</v>
      </c>
      <c r="H77" s="14">
        <f>15.6723 * CHOOSE(CONTROL!$C$15, $E$9, 100%, $G$9) + CHOOSE(CONTROL!$C$38, 0.0369, 0)</f>
        <v>15.709199999999999</v>
      </c>
      <c r="I77" s="14">
        <f>15.6738 * CHOOSE(CONTROL!$C$15, $E$9, 100%, $G$9) + CHOOSE(CONTROL!$C$38, 0.0369, 0)</f>
        <v>15.710699999999999</v>
      </c>
      <c r="J77" s="44">
        <f>117.0852</f>
        <v>117.0852</v>
      </c>
    </row>
    <row r="78" spans="1:10" ht="15" x14ac:dyDescent="0.2">
      <c r="A78" s="13">
        <v>43282</v>
      </c>
      <c r="B78" s="14">
        <f>16.3413 * CHOOSE(CONTROL!$C$15, $E$9, 100%, $G$9) + CHOOSE(CONTROL!$C$38, 0.0278, 0)</f>
        <v>16.3691</v>
      </c>
      <c r="C78" s="14">
        <f>15.4673 * CHOOSE(CONTROL!$C$15, $E$9, 100%, $G$9) + CHOOSE(CONTROL!$C$38, 0.0369, 0)</f>
        <v>15.504199999999999</v>
      </c>
      <c r="D78" s="14">
        <f>15.4595 * CHOOSE(CONTROL!$C$15, $E$9, 100%, $G$9) + CHOOSE(CONTROL!$C$38, 0.0369, 0)</f>
        <v>15.4964</v>
      </c>
      <c r="E78" s="46">
        <f>16.1851 * CHOOSE(CONTROL!$C$15, $E$9, 100%, $G$9) + CHOOSE(CONTROL!$C$38, 0.0369, 0)</f>
        <v>16.221999999999998</v>
      </c>
      <c r="F78" s="45">
        <f>16.1851 * CHOOSE(CONTROL!$C$15, $E$9, 100%, $G$9) + CHOOSE(CONTROL!$C$38, 0.0278, 0)</f>
        <v>16.212899999999998</v>
      </c>
      <c r="G78" s="14">
        <f>15.4658 * CHOOSE(CONTROL!$C$15, $E$9, 100%, $G$9) + CHOOSE(CONTROL!$C$38, 0.0369, 0)</f>
        <v>15.502699999999999</v>
      </c>
      <c r="H78" s="14">
        <f>15.4658 * CHOOSE(CONTROL!$C$15, $E$9, 100%, $G$9) + CHOOSE(CONTROL!$C$38, 0.0369, 0)</f>
        <v>15.502699999999999</v>
      </c>
      <c r="I78" s="14">
        <f>15.4673 * CHOOSE(CONTROL!$C$15, $E$9, 100%, $G$9) + CHOOSE(CONTROL!$C$38, 0.0369, 0)</f>
        <v>15.504199999999999</v>
      </c>
      <c r="J78" s="44">
        <f>116.5376</f>
        <v>116.5376</v>
      </c>
    </row>
    <row r="79" spans="1:10" ht="15" x14ac:dyDescent="0.2">
      <c r="A79" s="13">
        <v>43313</v>
      </c>
      <c r="B79" s="14">
        <f>16.4433 * CHOOSE(CONTROL!$C$15, $E$9, 100%, $G$9) + CHOOSE(CONTROL!$C$38, 0.0278, 0)</f>
        <v>16.4711</v>
      </c>
      <c r="C79" s="14">
        <f>15.5693 * CHOOSE(CONTROL!$C$15, $E$9, 100%, $G$9) + CHOOSE(CONTROL!$C$38, 0.0369, 0)</f>
        <v>15.606199999999999</v>
      </c>
      <c r="D79" s="14">
        <f>15.5614 * CHOOSE(CONTROL!$C$15, $E$9, 100%, $G$9) + CHOOSE(CONTROL!$C$38, 0.0369, 0)</f>
        <v>15.5983</v>
      </c>
      <c r="E79" s="46">
        <f>16.287 * CHOOSE(CONTROL!$C$15, $E$9, 100%, $G$9) + CHOOSE(CONTROL!$C$38, 0.0369, 0)</f>
        <v>16.323899999999998</v>
      </c>
      <c r="F79" s="45">
        <f>16.287 * CHOOSE(CONTROL!$C$15, $E$9, 100%, $G$9) + CHOOSE(CONTROL!$C$38, 0.0278, 0)</f>
        <v>16.314799999999998</v>
      </c>
      <c r="G79" s="14">
        <f>15.5677 * CHOOSE(CONTROL!$C$15, $E$9, 100%, $G$9) + CHOOSE(CONTROL!$C$38, 0.0369, 0)</f>
        <v>15.6046</v>
      </c>
      <c r="H79" s="14">
        <f>15.5677 * CHOOSE(CONTROL!$C$15, $E$9, 100%, $G$9) + CHOOSE(CONTROL!$C$38, 0.0369, 0)</f>
        <v>15.6046</v>
      </c>
      <c r="I79" s="14">
        <f>15.5693 * CHOOSE(CONTROL!$C$15, $E$9, 100%, $G$9) + CHOOSE(CONTROL!$C$38, 0.0369, 0)</f>
        <v>15.606199999999999</v>
      </c>
      <c r="J79" s="44">
        <f>113.8247</f>
        <v>113.82470000000001</v>
      </c>
    </row>
    <row r="80" spans="1:10" ht="15" x14ac:dyDescent="0.2">
      <c r="A80" s="13">
        <v>43344</v>
      </c>
      <c r="B80" s="14">
        <f>16.7201 * CHOOSE(CONTROL!$C$15, $E$9, 100%, $G$9) + CHOOSE(CONTROL!$C$38, 0.0278, 0)</f>
        <v>16.747899999999998</v>
      </c>
      <c r="C80" s="14">
        <f>15.846 * CHOOSE(CONTROL!$C$15, $E$9, 100%, $G$9) + CHOOSE(CONTROL!$C$38, 0.0369, 0)</f>
        <v>15.882899999999999</v>
      </c>
      <c r="D80" s="14">
        <f>15.8382 * CHOOSE(CONTROL!$C$15, $E$9, 100%, $G$9) + CHOOSE(CONTROL!$C$38, 0.0369, 0)</f>
        <v>15.8751</v>
      </c>
      <c r="E80" s="46">
        <f>16.5638 * CHOOSE(CONTROL!$C$15, $E$9, 100%, $G$9) + CHOOSE(CONTROL!$C$38, 0.0369, 0)</f>
        <v>16.6007</v>
      </c>
      <c r="F80" s="45">
        <f>16.5638 * CHOOSE(CONTROL!$C$15, $E$9, 100%, $G$9) + CHOOSE(CONTROL!$C$38, 0.0278, 0)</f>
        <v>16.5916</v>
      </c>
      <c r="G80" s="14">
        <f>15.8445 * CHOOSE(CONTROL!$C$15, $E$9, 100%, $G$9) + CHOOSE(CONTROL!$C$38, 0.0369, 0)</f>
        <v>15.881399999999999</v>
      </c>
      <c r="H80" s="14">
        <f>15.8445 * CHOOSE(CONTROL!$C$15, $E$9, 100%, $G$9) + CHOOSE(CONTROL!$C$38, 0.0369, 0)</f>
        <v>15.881399999999999</v>
      </c>
      <c r="I80" s="14">
        <f>15.846 * CHOOSE(CONTROL!$C$15, $E$9, 100%, $G$9) + CHOOSE(CONTROL!$C$38, 0.0369, 0)</f>
        <v>15.882899999999999</v>
      </c>
      <c r="J80" s="44">
        <f>110.0413</f>
        <v>110.04130000000001</v>
      </c>
    </row>
    <row r="81" spans="1:10" ht="15" x14ac:dyDescent="0.2">
      <c r="A81" s="13">
        <v>43374</v>
      </c>
      <c r="B81" s="14">
        <f>16.9519 * CHOOSE(CONTROL!$C$15, $E$9, 100%, $G$9) + CHOOSE(CONTROL!$C$38, 0.0256, 0)</f>
        <v>16.977499999999999</v>
      </c>
      <c r="C81" s="14">
        <f>16.0779 * CHOOSE(CONTROL!$C$15, $E$9, 100%, $G$9) + CHOOSE(CONTROL!$C$38, 0.0347, 0)</f>
        <v>16.1126</v>
      </c>
      <c r="D81" s="14">
        <f>16.0701 * CHOOSE(CONTROL!$C$15, $E$9, 100%, $G$9) + CHOOSE(CONTROL!$C$38, 0.0347, 0)</f>
        <v>16.104800000000001</v>
      </c>
      <c r="E81" s="46">
        <f>16.7956 * CHOOSE(CONTROL!$C$15, $E$9, 100%, $G$9) + CHOOSE(CONTROL!$C$38, 0.0347, 0)</f>
        <v>16.830300000000001</v>
      </c>
      <c r="F81" s="45">
        <f>16.7956 * CHOOSE(CONTROL!$C$15, $E$9, 100%, $G$9) + CHOOSE(CONTROL!$C$38, 0.0256, 0)</f>
        <v>16.821200000000001</v>
      </c>
      <c r="G81" s="14">
        <f>16.0763 * CHOOSE(CONTROL!$C$15, $E$9, 100%, $G$9) + CHOOSE(CONTROL!$C$38, 0.0347, 0)</f>
        <v>16.111000000000001</v>
      </c>
      <c r="H81" s="14">
        <f>16.0763 * CHOOSE(CONTROL!$C$15, $E$9, 100%, $G$9) + CHOOSE(CONTROL!$C$38, 0.0347, 0)</f>
        <v>16.111000000000001</v>
      </c>
      <c r="I81" s="14">
        <f>16.0779 * CHOOSE(CONTROL!$C$15, $E$9, 100%, $G$9) + CHOOSE(CONTROL!$C$38, 0.0347, 0)</f>
        <v>16.1126</v>
      </c>
      <c r="J81" s="44">
        <f>106.236</f>
        <v>106.236</v>
      </c>
    </row>
    <row r="82" spans="1:10" ht="15" x14ac:dyDescent="0.2">
      <c r="A82" s="13">
        <v>43405</v>
      </c>
      <c r="B82" s="14">
        <f>17.1453 * CHOOSE(CONTROL!$C$15, $E$9, 100%, $G$9) + CHOOSE(CONTROL!$C$38, 0.0256, 0)</f>
        <v>17.1709</v>
      </c>
      <c r="C82" s="14">
        <f>16.2713 * CHOOSE(CONTROL!$C$15, $E$9, 100%, $G$9) + CHOOSE(CONTROL!$C$38, 0.0347, 0)</f>
        <v>16.306000000000001</v>
      </c>
      <c r="D82" s="14">
        <f>16.2635 * CHOOSE(CONTROL!$C$15, $E$9, 100%, $G$9) + CHOOSE(CONTROL!$C$38, 0.0347, 0)</f>
        <v>16.298200000000001</v>
      </c>
      <c r="E82" s="46">
        <f>16.9891 * CHOOSE(CONTROL!$C$15, $E$9, 100%, $G$9) + CHOOSE(CONTROL!$C$38, 0.0347, 0)</f>
        <v>17.023800000000001</v>
      </c>
      <c r="F82" s="45">
        <f>16.9891 * CHOOSE(CONTROL!$C$15, $E$9, 100%, $G$9) + CHOOSE(CONTROL!$C$38, 0.0256, 0)</f>
        <v>17.014700000000001</v>
      </c>
      <c r="G82" s="14">
        <f>16.2698 * CHOOSE(CONTROL!$C$15, $E$9, 100%, $G$9) + CHOOSE(CONTROL!$C$38, 0.0347, 0)</f>
        <v>16.304500000000001</v>
      </c>
      <c r="H82" s="14">
        <f>16.2698 * CHOOSE(CONTROL!$C$15, $E$9, 100%, $G$9) + CHOOSE(CONTROL!$C$38, 0.0347, 0)</f>
        <v>16.304500000000001</v>
      </c>
      <c r="I82" s="14">
        <f>16.2713 * CHOOSE(CONTROL!$C$15, $E$9, 100%, $G$9) + CHOOSE(CONTROL!$C$38, 0.0347, 0)</f>
        <v>16.306000000000001</v>
      </c>
      <c r="J82" s="44">
        <f>105.479</f>
        <v>105.479</v>
      </c>
    </row>
    <row r="83" spans="1:10" ht="15" x14ac:dyDescent="0.2">
      <c r="A83" s="13">
        <v>43435</v>
      </c>
      <c r="B83" s="14">
        <f>17.7414 * CHOOSE(CONTROL!$C$15, $E$9, 100%, $G$9) + CHOOSE(CONTROL!$C$38, 0.0256, 0)</f>
        <v>17.766999999999999</v>
      </c>
      <c r="C83" s="14">
        <f>16.8674 * CHOOSE(CONTROL!$C$15, $E$9, 100%, $G$9) + CHOOSE(CONTROL!$C$38, 0.0347, 0)</f>
        <v>16.902100000000001</v>
      </c>
      <c r="D83" s="14">
        <f>16.8596 * CHOOSE(CONTROL!$C$15, $E$9, 100%, $G$9) + CHOOSE(CONTROL!$C$38, 0.0347, 0)</f>
        <v>16.894300000000001</v>
      </c>
      <c r="E83" s="46">
        <f>17.5851 * CHOOSE(CONTROL!$C$15, $E$9, 100%, $G$9) + CHOOSE(CONTROL!$C$38, 0.0347, 0)</f>
        <v>17.619800000000001</v>
      </c>
      <c r="F83" s="45">
        <f>17.5851 * CHOOSE(CONTROL!$C$15, $E$9, 100%, $G$9) + CHOOSE(CONTROL!$C$38, 0.0256, 0)</f>
        <v>17.610700000000001</v>
      </c>
      <c r="G83" s="14">
        <f>16.8658 * CHOOSE(CONTROL!$C$15, $E$9, 100%, $G$9) + CHOOSE(CONTROL!$C$38, 0.0347, 0)</f>
        <v>16.900500000000001</v>
      </c>
      <c r="H83" s="14">
        <f>16.8658 * CHOOSE(CONTROL!$C$15, $E$9, 100%, $G$9) + CHOOSE(CONTROL!$C$38, 0.0347, 0)</f>
        <v>16.900500000000001</v>
      </c>
      <c r="I83" s="14">
        <f>16.8674 * CHOOSE(CONTROL!$C$15, $E$9, 100%, $G$9) + CHOOSE(CONTROL!$C$38, 0.0347, 0)</f>
        <v>16.902100000000001</v>
      </c>
      <c r="J83" s="44">
        <f>102.3489</f>
        <v>102.3489</v>
      </c>
    </row>
    <row r="84" spans="1:10" ht="15" x14ac:dyDescent="0.2">
      <c r="A84" s="13">
        <v>43466</v>
      </c>
      <c r="B84" s="14">
        <f>18.6283 * CHOOSE(CONTROL!$C$15, $E$9, 100%, $G$9) + CHOOSE(CONTROL!$C$38, 0.0256, 0)</f>
        <v>18.6539</v>
      </c>
      <c r="C84" s="14">
        <f>17.7129 * CHOOSE(CONTROL!$C$15, $E$9, 100%, $G$9) + CHOOSE(CONTROL!$C$38, 0.0347, 0)</f>
        <v>17.747600000000002</v>
      </c>
      <c r="D84" s="14">
        <f>17.7051 * CHOOSE(CONTROL!$C$15, $E$9, 100%, $G$9) + CHOOSE(CONTROL!$C$38, 0.0347, 0)</f>
        <v>17.739800000000002</v>
      </c>
      <c r="E84" s="46">
        <f>18.4721 * CHOOSE(CONTROL!$C$15, $E$9, 100%, $G$9) + CHOOSE(CONTROL!$C$38, 0.0347, 0)</f>
        <v>18.506800000000002</v>
      </c>
      <c r="F84" s="45">
        <f>18.4721 * CHOOSE(CONTROL!$C$15, $E$9, 100%, $G$9) + CHOOSE(CONTROL!$C$38, 0.0256, 0)</f>
        <v>18.497700000000002</v>
      </c>
      <c r="G84" s="14">
        <f>17.7114 * CHOOSE(CONTROL!$C$15, $E$9, 100%, $G$9) + CHOOSE(CONTROL!$C$38, 0.0347, 0)</f>
        <v>17.746100000000002</v>
      </c>
      <c r="H84" s="14">
        <f>17.7114 * CHOOSE(CONTROL!$C$15, $E$9, 100%, $G$9) + CHOOSE(CONTROL!$C$38, 0.0347, 0)</f>
        <v>17.746100000000002</v>
      </c>
      <c r="I84" s="14">
        <f>17.7129 * CHOOSE(CONTROL!$C$15, $E$9, 100%, $G$9) + CHOOSE(CONTROL!$C$38, 0.0347, 0)</f>
        <v>17.747600000000002</v>
      </c>
      <c r="J84" s="44">
        <f>101.9488</f>
        <v>101.94880000000001</v>
      </c>
    </row>
    <row r="85" spans="1:10" ht="15" x14ac:dyDescent="0.2">
      <c r="A85" s="13">
        <v>43497</v>
      </c>
      <c r="B85" s="14">
        <f>18.8491 * CHOOSE(CONTROL!$C$15, $E$9, 100%, $G$9) + CHOOSE(CONTROL!$C$38, 0.0256, 0)</f>
        <v>18.874700000000001</v>
      </c>
      <c r="C85" s="14">
        <f>17.9337 * CHOOSE(CONTROL!$C$15, $E$9, 100%, $G$9) + CHOOSE(CONTROL!$C$38, 0.0347, 0)</f>
        <v>17.968400000000003</v>
      </c>
      <c r="D85" s="14">
        <f>17.9259 * CHOOSE(CONTROL!$C$15, $E$9, 100%, $G$9) + CHOOSE(CONTROL!$C$38, 0.0347, 0)</f>
        <v>17.960599999999999</v>
      </c>
      <c r="E85" s="46">
        <f>18.6929 * CHOOSE(CONTROL!$C$15, $E$9, 100%, $G$9) + CHOOSE(CONTROL!$C$38, 0.0347, 0)</f>
        <v>18.727600000000002</v>
      </c>
      <c r="F85" s="45">
        <f>18.6929 * CHOOSE(CONTROL!$C$15, $E$9, 100%, $G$9) + CHOOSE(CONTROL!$C$38, 0.0256, 0)</f>
        <v>18.718500000000002</v>
      </c>
      <c r="G85" s="14">
        <f>17.9321 * CHOOSE(CONTROL!$C$15, $E$9, 100%, $G$9) + CHOOSE(CONTROL!$C$38, 0.0347, 0)</f>
        <v>17.966799999999999</v>
      </c>
      <c r="H85" s="14">
        <f>17.9321 * CHOOSE(CONTROL!$C$15, $E$9, 100%, $G$9) + CHOOSE(CONTROL!$C$38, 0.0347, 0)</f>
        <v>17.966799999999999</v>
      </c>
      <c r="I85" s="14">
        <f>17.9337 * CHOOSE(CONTROL!$C$15, $E$9, 100%, $G$9) + CHOOSE(CONTROL!$C$38, 0.0347, 0)</f>
        <v>17.968400000000003</v>
      </c>
      <c r="J85" s="44">
        <f>101.6655</f>
        <v>101.66549999999999</v>
      </c>
    </row>
    <row r="86" spans="1:10" ht="15" x14ac:dyDescent="0.2">
      <c r="A86" s="13">
        <v>43525</v>
      </c>
      <c r="B86" s="14">
        <f>18.3381 * CHOOSE(CONTROL!$C$15, $E$9, 100%, $G$9) + CHOOSE(CONTROL!$C$38, 0.0256, 0)</f>
        <v>18.363700000000001</v>
      </c>
      <c r="C86" s="14">
        <f>17.4226 * CHOOSE(CONTROL!$C$15, $E$9, 100%, $G$9) + CHOOSE(CONTROL!$C$38, 0.0347, 0)</f>
        <v>17.4573</v>
      </c>
      <c r="D86" s="14">
        <f>17.4148 * CHOOSE(CONTROL!$C$15, $E$9, 100%, $G$9) + CHOOSE(CONTROL!$C$38, 0.0347, 0)</f>
        <v>17.4495</v>
      </c>
      <c r="E86" s="46">
        <f>18.1818 * CHOOSE(CONTROL!$C$15, $E$9, 100%, $G$9) + CHOOSE(CONTROL!$C$38, 0.0347, 0)</f>
        <v>18.2165</v>
      </c>
      <c r="F86" s="45">
        <f>18.1818 * CHOOSE(CONTROL!$C$15, $E$9, 100%, $G$9) + CHOOSE(CONTROL!$C$38, 0.0256, 0)</f>
        <v>18.2074</v>
      </c>
      <c r="G86" s="14">
        <f>17.4211 * CHOOSE(CONTROL!$C$15, $E$9, 100%, $G$9) + CHOOSE(CONTROL!$C$38, 0.0347, 0)</f>
        <v>17.4558</v>
      </c>
      <c r="H86" s="14">
        <f>17.4211 * CHOOSE(CONTROL!$C$15, $E$9, 100%, $G$9) + CHOOSE(CONTROL!$C$38, 0.0347, 0)</f>
        <v>17.4558</v>
      </c>
      <c r="I86" s="14">
        <f>17.4226 * CHOOSE(CONTROL!$C$15, $E$9, 100%, $G$9) + CHOOSE(CONTROL!$C$38, 0.0347, 0)</f>
        <v>17.4573</v>
      </c>
      <c r="J86" s="44">
        <f>107.0238</f>
        <v>107.02379999999999</v>
      </c>
    </row>
    <row r="87" spans="1:10" ht="15" x14ac:dyDescent="0.2">
      <c r="A87" s="13">
        <v>43556</v>
      </c>
      <c r="B87" s="14">
        <f>17.8429 * CHOOSE(CONTROL!$C$15, $E$9, 100%, $G$9) + CHOOSE(CONTROL!$C$38, 0.0256, 0)</f>
        <v>17.868500000000001</v>
      </c>
      <c r="C87" s="14">
        <f>16.9275 * CHOOSE(CONTROL!$C$15, $E$9, 100%, $G$9) + CHOOSE(CONTROL!$C$38, 0.0347, 0)</f>
        <v>16.962199999999999</v>
      </c>
      <c r="D87" s="14">
        <f>16.9197 * CHOOSE(CONTROL!$C$15, $E$9, 100%, $G$9) + CHOOSE(CONTROL!$C$38, 0.0347, 0)</f>
        <v>16.9544</v>
      </c>
      <c r="E87" s="46">
        <f>17.6866 * CHOOSE(CONTROL!$C$15, $E$9, 100%, $G$9) + CHOOSE(CONTROL!$C$38, 0.0347, 0)</f>
        <v>17.721299999999999</v>
      </c>
      <c r="F87" s="45">
        <f>17.6866 * CHOOSE(CONTROL!$C$15, $E$9, 100%, $G$9) + CHOOSE(CONTROL!$C$38, 0.0256, 0)</f>
        <v>17.712199999999999</v>
      </c>
      <c r="G87" s="14">
        <f>16.9259 * CHOOSE(CONTROL!$C$15, $E$9, 100%, $G$9) + CHOOSE(CONTROL!$C$38, 0.0347, 0)</f>
        <v>16.960599999999999</v>
      </c>
      <c r="H87" s="14">
        <f>16.9259 * CHOOSE(CONTROL!$C$15, $E$9, 100%, $G$9) + CHOOSE(CONTROL!$C$38, 0.0347, 0)</f>
        <v>16.960599999999999</v>
      </c>
      <c r="I87" s="14">
        <f>16.9275 * CHOOSE(CONTROL!$C$15, $E$9, 100%, $G$9) + CHOOSE(CONTROL!$C$38, 0.0347, 0)</f>
        <v>16.962199999999999</v>
      </c>
      <c r="J87" s="44">
        <f>113.9723</f>
        <v>113.9723</v>
      </c>
    </row>
    <row r="88" spans="1:10" ht="15" x14ac:dyDescent="0.2">
      <c r="A88" s="13">
        <v>43586</v>
      </c>
      <c r="B88" s="14">
        <f>17.3268 * CHOOSE(CONTROL!$C$15, $E$9, 100%, $G$9) + CHOOSE(CONTROL!$C$38, 0.0278, 0)</f>
        <v>17.354599999999998</v>
      </c>
      <c r="C88" s="14">
        <f>16.4114 * CHOOSE(CONTROL!$C$15, $E$9, 100%, $G$9) + CHOOSE(CONTROL!$C$38, 0.0369, 0)</f>
        <v>16.4483</v>
      </c>
      <c r="D88" s="14">
        <f>16.4035 * CHOOSE(CONTROL!$C$15, $E$9, 100%, $G$9) + CHOOSE(CONTROL!$C$38, 0.0369, 0)</f>
        <v>16.4404</v>
      </c>
      <c r="E88" s="46">
        <f>17.1705 * CHOOSE(CONTROL!$C$15, $E$9, 100%, $G$9) + CHOOSE(CONTROL!$C$38, 0.0369, 0)</f>
        <v>17.2074</v>
      </c>
      <c r="F88" s="45">
        <f>17.1705 * CHOOSE(CONTROL!$C$15, $E$9, 100%, $G$9) + CHOOSE(CONTROL!$C$38, 0.0278, 0)</f>
        <v>17.1983</v>
      </c>
      <c r="G88" s="14">
        <f>16.4098 * CHOOSE(CONTROL!$C$15, $E$9, 100%, $G$9) + CHOOSE(CONTROL!$C$38, 0.0369, 0)</f>
        <v>16.4467</v>
      </c>
      <c r="H88" s="14">
        <f>16.4098 * CHOOSE(CONTROL!$C$15, $E$9, 100%, $G$9) + CHOOSE(CONTROL!$C$38, 0.0369, 0)</f>
        <v>16.4467</v>
      </c>
      <c r="I88" s="14">
        <f>16.4114 * CHOOSE(CONTROL!$C$15, $E$9, 100%, $G$9) + CHOOSE(CONTROL!$C$38, 0.0369, 0)</f>
        <v>16.4483</v>
      </c>
      <c r="J88" s="44">
        <f>117.797</f>
        <v>117.797</v>
      </c>
    </row>
    <row r="89" spans="1:10" ht="15" x14ac:dyDescent="0.2">
      <c r="A89" s="13">
        <v>43617</v>
      </c>
      <c r="B89" s="14">
        <f>16.9649 * CHOOSE(CONTROL!$C$15, $E$9, 100%, $G$9) + CHOOSE(CONTROL!$C$38, 0.0278, 0)</f>
        <v>16.992699999999999</v>
      </c>
      <c r="C89" s="14">
        <f>16.0495 * CHOOSE(CONTROL!$C$15, $E$9, 100%, $G$9) + CHOOSE(CONTROL!$C$38, 0.0369, 0)</f>
        <v>16.086399999999998</v>
      </c>
      <c r="D89" s="14">
        <f>16.0417 * CHOOSE(CONTROL!$C$15, $E$9, 100%, $G$9) + CHOOSE(CONTROL!$C$38, 0.0369, 0)</f>
        <v>16.078599999999998</v>
      </c>
      <c r="E89" s="46">
        <f>16.8087 * CHOOSE(CONTROL!$C$15, $E$9, 100%, $G$9) + CHOOSE(CONTROL!$C$38, 0.0369, 0)</f>
        <v>16.845600000000001</v>
      </c>
      <c r="F89" s="45">
        <f>16.8087 * CHOOSE(CONTROL!$C$15, $E$9, 100%, $G$9) + CHOOSE(CONTROL!$C$38, 0.0278, 0)</f>
        <v>16.836500000000001</v>
      </c>
      <c r="G89" s="14">
        <f>16.048 * CHOOSE(CONTROL!$C$15, $E$9, 100%, $G$9) + CHOOSE(CONTROL!$C$38, 0.0369, 0)</f>
        <v>16.084899999999998</v>
      </c>
      <c r="H89" s="14">
        <f>16.048 * CHOOSE(CONTROL!$C$15, $E$9, 100%, $G$9) + CHOOSE(CONTROL!$C$38, 0.0369, 0)</f>
        <v>16.084899999999998</v>
      </c>
      <c r="I89" s="14">
        <f>16.0495 * CHOOSE(CONTROL!$C$15, $E$9, 100%, $G$9) + CHOOSE(CONTROL!$C$38, 0.0369, 0)</f>
        <v>16.086399999999998</v>
      </c>
      <c r="J89" s="44">
        <f>119.4943</f>
        <v>119.4943</v>
      </c>
    </row>
    <row r="90" spans="1:10" ht="15" x14ac:dyDescent="0.2">
      <c r="A90" s="13">
        <v>43647</v>
      </c>
      <c r="B90" s="14">
        <f>16.7585 * CHOOSE(CONTROL!$C$15, $E$9, 100%, $G$9) + CHOOSE(CONTROL!$C$38, 0.0278, 0)</f>
        <v>16.786300000000001</v>
      </c>
      <c r="C90" s="14">
        <f>15.843 * CHOOSE(CONTROL!$C$15, $E$9, 100%, $G$9) + CHOOSE(CONTROL!$C$38, 0.0369, 0)</f>
        <v>15.879899999999999</v>
      </c>
      <c r="D90" s="14">
        <f>15.8352 * CHOOSE(CONTROL!$C$15, $E$9, 100%, $G$9) + CHOOSE(CONTROL!$C$38, 0.0369, 0)</f>
        <v>15.8721</v>
      </c>
      <c r="E90" s="46">
        <f>16.6022 * CHOOSE(CONTROL!$C$15, $E$9, 100%, $G$9) + CHOOSE(CONTROL!$C$38, 0.0369, 0)</f>
        <v>16.639099999999999</v>
      </c>
      <c r="F90" s="45">
        <f>16.6022 * CHOOSE(CONTROL!$C$15, $E$9, 100%, $G$9) + CHOOSE(CONTROL!$C$38, 0.0278, 0)</f>
        <v>16.63</v>
      </c>
      <c r="G90" s="14">
        <f>15.8415 * CHOOSE(CONTROL!$C$15, $E$9, 100%, $G$9) + CHOOSE(CONTROL!$C$38, 0.0369, 0)</f>
        <v>15.878399999999999</v>
      </c>
      <c r="H90" s="14">
        <f>15.8415 * CHOOSE(CONTROL!$C$15, $E$9, 100%, $G$9) + CHOOSE(CONTROL!$C$38, 0.0369, 0)</f>
        <v>15.878399999999999</v>
      </c>
      <c r="I90" s="14">
        <f>15.843 * CHOOSE(CONTROL!$C$15, $E$9, 100%, $G$9) + CHOOSE(CONTROL!$C$38, 0.0369, 0)</f>
        <v>15.879899999999999</v>
      </c>
      <c r="J90" s="44">
        <f>118.9355</f>
        <v>118.9355</v>
      </c>
    </row>
    <row r="91" spans="1:10" ht="15" x14ac:dyDescent="0.2">
      <c r="A91" s="13">
        <v>43678</v>
      </c>
      <c r="B91" s="14">
        <f>16.8604 * CHOOSE(CONTROL!$C$15, $E$9, 100%, $G$9) + CHOOSE(CONTROL!$C$38, 0.0278, 0)</f>
        <v>16.888199999999998</v>
      </c>
      <c r="C91" s="14">
        <f>15.9449 * CHOOSE(CONTROL!$C$15, $E$9, 100%, $G$9) + CHOOSE(CONTROL!$C$38, 0.0369, 0)</f>
        <v>15.9818</v>
      </c>
      <c r="D91" s="14">
        <f>15.9371 * CHOOSE(CONTROL!$C$15, $E$9, 100%, $G$9) + CHOOSE(CONTROL!$C$38, 0.0369, 0)</f>
        <v>15.973999999999998</v>
      </c>
      <c r="E91" s="46">
        <f>16.7041 * CHOOSE(CONTROL!$C$15, $E$9, 100%, $G$9) + CHOOSE(CONTROL!$C$38, 0.0369, 0)</f>
        <v>16.741</v>
      </c>
      <c r="F91" s="45">
        <f>16.7041 * CHOOSE(CONTROL!$C$15, $E$9, 100%, $G$9) + CHOOSE(CONTROL!$C$38, 0.0278, 0)</f>
        <v>16.7319</v>
      </c>
      <c r="G91" s="14">
        <f>15.9434 * CHOOSE(CONTROL!$C$15, $E$9, 100%, $G$9) + CHOOSE(CONTROL!$C$38, 0.0369, 0)</f>
        <v>15.9803</v>
      </c>
      <c r="H91" s="14">
        <f>15.9434 * CHOOSE(CONTROL!$C$15, $E$9, 100%, $G$9) + CHOOSE(CONTROL!$C$38, 0.0369, 0)</f>
        <v>15.9803</v>
      </c>
      <c r="I91" s="14">
        <f>15.9449 * CHOOSE(CONTROL!$C$15, $E$9, 100%, $G$9) + CHOOSE(CONTROL!$C$38, 0.0369, 0)</f>
        <v>15.9818</v>
      </c>
      <c r="J91" s="44">
        <f>116.1667</f>
        <v>116.16670000000001</v>
      </c>
    </row>
    <row r="92" spans="1:10" ht="15" x14ac:dyDescent="0.2">
      <c r="A92" s="13">
        <v>43709</v>
      </c>
      <c r="B92" s="14">
        <f>17.1372 * CHOOSE(CONTROL!$C$15, $E$9, 100%, $G$9) + CHOOSE(CONTROL!$C$38, 0.0278, 0)</f>
        <v>17.164999999999999</v>
      </c>
      <c r="C92" s="14">
        <f>16.2217 * CHOOSE(CONTROL!$C$15, $E$9, 100%, $G$9) + CHOOSE(CONTROL!$C$38, 0.0369, 0)</f>
        <v>16.258599999999998</v>
      </c>
      <c r="D92" s="14">
        <f>16.2139 * CHOOSE(CONTROL!$C$15, $E$9, 100%, $G$9) + CHOOSE(CONTROL!$C$38, 0.0369, 0)</f>
        <v>16.250799999999998</v>
      </c>
      <c r="E92" s="46">
        <f>16.9809 * CHOOSE(CONTROL!$C$15, $E$9, 100%, $G$9) + CHOOSE(CONTROL!$C$38, 0.0369, 0)</f>
        <v>17.017799999999998</v>
      </c>
      <c r="F92" s="45">
        <f>16.9809 * CHOOSE(CONTROL!$C$15, $E$9, 100%, $G$9) + CHOOSE(CONTROL!$C$38, 0.0278, 0)</f>
        <v>17.008699999999997</v>
      </c>
      <c r="G92" s="14">
        <f>16.2202 * CHOOSE(CONTROL!$C$15, $E$9, 100%, $G$9) + CHOOSE(CONTROL!$C$38, 0.0369, 0)</f>
        <v>16.257099999999998</v>
      </c>
      <c r="H92" s="14">
        <f>16.2202 * CHOOSE(CONTROL!$C$15, $E$9, 100%, $G$9) + CHOOSE(CONTROL!$C$38, 0.0369, 0)</f>
        <v>16.257099999999998</v>
      </c>
      <c r="I92" s="14">
        <f>16.2217 * CHOOSE(CONTROL!$C$15, $E$9, 100%, $G$9) + CHOOSE(CONTROL!$C$38, 0.0369, 0)</f>
        <v>16.258599999999998</v>
      </c>
      <c r="J92" s="44">
        <f>112.3055</f>
        <v>112.30549999999999</v>
      </c>
    </row>
    <row r="93" spans="1:10" ht="15" x14ac:dyDescent="0.2">
      <c r="A93" s="13">
        <v>43739</v>
      </c>
      <c r="B93" s="14">
        <f>17.369 * CHOOSE(CONTROL!$C$15, $E$9, 100%, $G$9) + CHOOSE(CONTROL!$C$38, 0.0256, 0)</f>
        <v>17.394600000000001</v>
      </c>
      <c r="C93" s="14">
        <f>16.4536 * CHOOSE(CONTROL!$C$15, $E$9, 100%, $G$9) + CHOOSE(CONTROL!$C$38, 0.0347, 0)</f>
        <v>16.488300000000002</v>
      </c>
      <c r="D93" s="14">
        <f>16.4457 * CHOOSE(CONTROL!$C$15, $E$9, 100%, $G$9) + CHOOSE(CONTROL!$C$38, 0.0347, 0)</f>
        <v>16.480399999999999</v>
      </c>
      <c r="E93" s="46">
        <f>17.2127 * CHOOSE(CONTROL!$C$15, $E$9, 100%, $G$9) + CHOOSE(CONTROL!$C$38, 0.0347, 0)</f>
        <v>17.247400000000003</v>
      </c>
      <c r="F93" s="45">
        <f>17.2127 * CHOOSE(CONTROL!$C$15, $E$9, 100%, $G$9) + CHOOSE(CONTROL!$C$38, 0.0256, 0)</f>
        <v>17.238300000000002</v>
      </c>
      <c r="G93" s="14">
        <f>16.452 * CHOOSE(CONTROL!$C$15, $E$9, 100%, $G$9) + CHOOSE(CONTROL!$C$38, 0.0347, 0)</f>
        <v>16.486700000000003</v>
      </c>
      <c r="H93" s="14">
        <f>16.452 * CHOOSE(CONTROL!$C$15, $E$9, 100%, $G$9) + CHOOSE(CONTROL!$C$38, 0.0347, 0)</f>
        <v>16.486700000000003</v>
      </c>
      <c r="I93" s="14">
        <f>16.4536 * CHOOSE(CONTROL!$C$15, $E$9, 100%, $G$9) + CHOOSE(CONTROL!$C$38, 0.0347, 0)</f>
        <v>16.488300000000002</v>
      </c>
      <c r="J93" s="44">
        <f>108.4219</f>
        <v>108.42189999999999</v>
      </c>
    </row>
    <row r="94" spans="1:10" ht="15" x14ac:dyDescent="0.2">
      <c r="A94" s="13">
        <v>43770</v>
      </c>
      <c r="B94" s="14">
        <f>17.5624 * CHOOSE(CONTROL!$C$15, $E$9, 100%, $G$9) + CHOOSE(CONTROL!$C$38, 0.0256, 0)</f>
        <v>17.588000000000001</v>
      </c>
      <c r="C94" s="14">
        <f>16.647 * CHOOSE(CONTROL!$C$15, $E$9, 100%, $G$9) + CHOOSE(CONTROL!$C$38, 0.0347, 0)</f>
        <v>16.681699999999999</v>
      </c>
      <c r="D94" s="14">
        <f>16.6392 * CHOOSE(CONTROL!$C$15, $E$9, 100%, $G$9) + CHOOSE(CONTROL!$C$38, 0.0347, 0)</f>
        <v>16.6739</v>
      </c>
      <c r="E94" s="46">
        <f>17.4062 * CHOOSE(CONTROL!$C$15, $E$9, 100%, $G$9) + CHOOSE(CONTROL!$C$38, 0.0347, 0)</f>
        <v>17.440899999999999</v>
      </c>
      <c r="F94" s="45">
        <f>17.4062 * CHOOSE(CONTROL!$C$15, $E$9, 100%, $G$9) + CHOOSE(CONTROL!$C$38, 0.0256, 0)</f>
        <v>17.431799999999999</v>
      </c>
      <c r="G94" s="14">
        <f>16.6454 * CHOOSE(CONTROL!$C$15, $E$9, 100%, $G$9) + CHOOSE(CONTROL!$C$38, 0.0347, 0)</f>
        <v>16.680099999999999</v>
      </c>
      <c r="H94" s="14">
        <f>16.6454 * CHOOSE(CONTROL!$C$15, $E$9, 100%, $G$9) + CHOOSE(CONTROL!$C$38, 0.0347, 0)</f>
        <v>16.680099999999999</v>
      </c>
      <c r="I94" s="14">
        <f>16.647 * CHOOSE(CONTROL!$C$15, $E$9, 100%, $G$9) + CHOOSE(CONTROL!$C$38, 0.0347, 0)</f>
        <v>16.681699999999999</v>
      </c>
      <c r="J94" s="44">
        <f>107.6494</f>
        <v>107.6494</v>
      </c>
    </row>
    <row r="95" spans="1:10" ht="15" x14ac:dyDescent="0.2">
      <c r="A95" s="13">
        <v>43800</v>
      </c>
      <c r="B95" s="14">
        <f>18.1585 * CHOOSE(CONTROL!$C$15, $E$9, 100%, $G$9) + CHOOSE(CONTROL!$C$38, 0.0256, 0)</f>
        <v>18.184100000000001</v>
      </c>
      <c r="C95" s="14">
        <f>17.2431 * CHOOSE(CONTROL!$C$15, $E$9, 100%, $G$9) + CHOOSE(CONTROL!$C$38, 0.0347, 0)</f>
        <v>17.277799999999999</v>
      </c>
      <c r="D95" s="14">
        <f>17.2353 * CHOOSE(CONTROL!$C$15, $E$9, 100%, $G$9) + CHOOSE(CONTROL!$C$38, 0.0347, 0)</f>
        <v>17.27</v>
      </c>
      <c r="E95" s="46">
        <f>18.0022 * CHOOSE(CONTROL!$C$15, $E$9, 100%, $G$9) + CHOOSE(CONTROL!$C$38, 0.0347, 0)</f>
        <v>18.036899999999999</v>
      </c>
      <c r="F95" s="45">
        <f>18.0022 * CHOOSE(CONTROL!$C$15, $E$9, 100%, $G$9) + CHOOSE(CONTROL!$C$38, 0.0256, 0)</f>
        <v>18.027799999999999</v>
      </c>
      <c r="G95" s="14">
        <f>17.2415 * CHOOSE(CONTROL!$C$15, $E$9, 100%, $G$9) + CHOOSE(CONTROL!$C$38, 0.0347, 0)</f>
        <v>17.276199999999999</v>
      </c>
      <c r="H95" s="14">
        <f>17.2415 * CHOOSE(CONTROL!$C$15, $E$9, 100%, $G$9) + CHOOSE(CONTROL!$C$38, 0.0347, 0)</f>
        <v>17.276199999999999</v>
      </c>
      <c r="I95" s="14">
        <f>17.2431 * CHOOSE(CONTROL!$C$15, $E$9, 100%, $G$9) + CHOOSE(CONTROL!$C$38, 0.0347, 0)</f>
        <v>17.277799999999999</v>
      </c>
      <c r="J95" s="44">
        <f>104.4549</f>
        <v>104.45489999999999</v>
      </c>
    </row>
    <row r="96" spans="1:10" ht="15" x14ac:dyDescent="0.2">
      <c r="A96" s="13">
        <v>43831</v>
      </c>
      <c r="B96" s="14">
        <f>19.1622 * CHOOSE(CONTROL!$C$15, $E$9, 100%, $G$9) + CHOOSE(CONTROL!$C$38, 0.0256, 0)</f>
        <v>19.187799999999999</v>
      </c>
      <c r="C96" s="14">
        <f>18.0853 * CHOOSE(CONTROL!$C$15, $E$9, 100%, $G$9) + CHOOSE(CONTROL!$C$38, 0.0347, 0)</f>
        <v>18.12</v>
      </c>
      <c r="D96" s="14">
        <f>18.0775 * CHOOSE(CONTROL!$C$15, $E$9, 100%, $G$9) + CHOOSE(CONTROL!$C$38, 0.0347, 0)</f>
        <v>18.112200000000001</v>
      </c>
      <c r="E96" s="46">
        <f>19.0059 * CHOOSE(CONTROL!$C$15, $E$9, 100%, $G$9) + CHOOSE(CONTROL!$C$38, 0.0347, 0)</f>
        <v>19.040600000000001</v>
      </c>
      <c r="F96" s="45">
        <f>19.0059 * CHOOSE(CONTROL!$C$15, $E$9, 100%, $G$9) + CHOOSE(CONTROL!$C$38, 0.0256, 0)</f>
        <v>19.031500000000001</v>
      </c>
      <c r="G96" s="14">
        <f>18.0837 * CHOOSE(CONTROL!$C$15, $E$9, 100%, $G$9) + CHOOSE(CONTROL!$C$38, 0.0347, 0)</f>
        <v>18.118400000000001</v>
      </c>
      <c r="H96" s="14">
        <f>18.0837 * CHOOSE(CONTROL!$C$15, $E$9, 100%, $G$9) + CHOOSE(CONTROL!$C$38, 0.0347, 0)</f>
        <v>18.118400000000001</v>
      </c>
      <c r="I96" s="14">
        <f>18.0853 * CHOOSE(CONTROL!$C$15, $E$9, 100%, $G$9) + CHOOSE(CONTROL!$C$38, 0.0347, 0)</f>
        <v>18.12</v>
      </c>
      <c r="J96" s="44">
        <f>104.1224</f>
        <v>104.1224</v>
      </c>
    </row>
    <row r="97" spans="1:10" ht="15" x14ac:dyDescent="0.2">
      <c r="A97" s="13">
        <v>43862</v>
      </c>
      <c r="B97" s="14">
        <f>19.3829 * CHOOSE(CONTROL!$C$15, $E$9, 100%, $G$9) + CHOOSE(CONTROL!$C$38, 0.0256, 0)</f>
        <v>19.4085</v>
      </c>
      <c r="C97" s="14">
        <f>18.3061 * CHOOSE(CONTROL!$C$15, $E$9, 100%, $G$9) + CHOOSE(CONTROL!$C$38, 0.0347, 0)</f>
        <v>18.340800000000002</v>
      </c>
      <c r="D97" s="14">
        <f>18.2982 * CHOOSE(CONTROL!$C$15, $E$9, 100%, $G$9) + CHOOSE(CONTROL!$C$38, 0.0347, 0)</f>
        <v>18.332900000000002</v>
      </c>
      <c r="E97" s="46">
        <f>19.2267 * CHOOSE(CONTROL!$C$15, $E$9, 100%, $G$9) + CHOOSE(CONTROL!$C$38, 0.0347, 0)</f>
        <v>19.261400000000002</v>
      </c>
      <c r="F97" s="45">
        <f>19.2267 * CHOOSE(CONTROL!$C$15, $E$9, 100%, $G$9) + CHOOSE(CONTROL!$C$38, 0.0256, 0)</f>
        <v>19.252300000000002</v>
      </c>
      <c r="G97" s="14">
        <f>18.3045 * CHOOSE(CONTROL!$C$15, $E$9, 100%, $G$9) + CHOOSE(CONTROL!$C$38, 0.0347, 0)</f>
        <v>18.339200000000002</v>
      </c>
      <c r="H97" s="14">
        <f>18.3045 * CHOOSE(CONTROL!$C$15, $E$9, 100%, $G$9) + CHOOSE(CONTROL!$C$38, 0.0347, 0)</f>
        <v>18.339200000000002</v>
      </c>
      <c r="I97" s="14">
        <f>18.3061 * CHOOSE(CONTROL!$C$15, $E$9, 100%, $G$9) + CHOOSE(CONTROL!$C$38, 0.0347, 0)</f>
        <v>18.340800000000002</v>
      </c>
      <c r="J97" s="44">
        <f>103.833</f>
        <v>103.833</v>
      </c>
    </row>
    <row r="98" spans="1:10" ht="15" x14ac:dyDescent="0.2">
      <c r="A98" s="13">
        <v>43891</v>
      </c>
      <c r="B98" s="14">
        <f>18.8719 * CHOOSE(CONTROL!$C$15, $E$9, 100%, $G$9) + CHOOSE(CONTROL!$C$38, 0.0256, 0)</f>
        <v>18.897500000000001</v>
      </c>
      <c r="C98" s="14">
        <f>17.795 * CHOOSE(CONTROL!$C$15, $E$9, 100%, $G$9) + CHOOSE(CONTROL!$C$38, 0.0347, 0)</f>
        <v>17.829700000000003</v>
      </c>
      <c r="D98" s="14">
        <f>17.7872 * CHOOSE(CONTROL!$C$15, $E$9, 100%, $G$9) + CHOOSE(CONTROL!$C$38, 0.0347, 0)</f>
        <v>17.821899999999999</v>
      </c>
      <c r="E98" s="46">
        <f>18.7157 * CHOOSE(CONTROL!$C$15, $E$9, 100%, $G$9) + CHOOSE(CONTROL!$C$38, 0.0347, 0)</f>
        <v>18.750399999999999</v>
      </c>
      <c r="F98" s="45">
        <f>18.7157 * CHOOSE(CONTROL!$C$15, $E$9, 100%, $G$9) + CHOOSE(CONTROL!$C$38, 0.0256, 0)</f>
        <v>18.741299999999999</v>
      </c>
      <c r="G98" s="14">
        <f>17.7935 * CHOOSE(CONTROL!$C$15, $E$9, 100%, $G$9) + CHOOSE(CONTROL!$C$38, 0.0347, 0)</f>
        <v>17.828200000000002</v>
      </c>
      <c r="H98" s="14">
        <f>17.7935 * CHOOSE(CONTROL!$C$15, $E$9, 100%, $G$9) + CHOOSE(CONTROL!$C$38, 0.0347, 0)</f>
        <v>17.828200000000002</v>
      </c>
      <c r="I98" s="14">
        <f>17.795 * CHOOSE(CONTROL!$C$15, $E$9, 100%, $G$9) + CHOOSE(CONTROL!$C$38, 0.0347, 0)</f>
        <v>17.829700000000003</v>
      </c>
      <c r="J98" s="44">
        <f>109.3056</f>
        <v>109.3056</v>
      </c>
    </row>
    <row r="99" spans="1:10" ht="15" x14ac:dyDescent="0.2">
      <c r="A99" s="13">
        <v>43922</v>
      </c>
      <c r="B99" s="14">
        <f>18.3767 * CHOOSE(CONTROL!$C$15, $E$9, 100%, $G$9) + CHOOSE(CONTROL!$C$38, 0.0256, 0)</f>
        <v>18.4023</v>
      </c>
      <c r="C99" s="14">
        <f>17.2998 * CHOOSE(CONTROL!$C$15, $E$9, 100%, $G$9) + CHOOSE(CONTROL!$C$38, 0.0347, 0)</f>
        <v>17.334500000000002</v>
      </c>
      <c r="D99" s="14">
        <f>17.292 * CHOOSE(CONTROL!$C$15, $E$9, 100%, $G$9) + CHOOSE(CONTROL!$C$38, 0.0347, 0)</f>
        <v>17.326700000000002</v>
      </c>
      <c r="E99" s="46">
        <f>18.2205 * CHOOSE(CONTROL!$C$15, $E$9, 100%, $G$9) + CHOOSE(CONTROL!$C$38, 0.0347, 0)</f>
        <v>18.255200000000002</v>
      </c>
      <c r="F99" s="45">
        <f>18.2205 * CHOOSE(CONTROL!$C$15, $E$9, 100%, $G$9) + CHOOSE(CONTROL!$C$38, 0.0256, 0)</f>
        <v>18.246100000000002</v>
      </c>
      <c r="G99" s="14">
        <f>17.2983 * CHOOSE(CONTROL!$C$15, $E$9, 100%, $G$9) + CHOOSE(CONTROL!$C$38, 0.0347, 0)</f>
        <v>17.333000000000002</v>
      </c>
      <c r="H99" s="14">
        <f>17.2983 * CHOOSE(CONTROL!$C$15, $E$9, 100%, $G$9) + CHOOSE(CONTROL!$C$38, 0.0347, 0)</f>
        <v>17.333000000000002</v>
      </c>
      <c r="I99" s="14">
        <f>17.2998 * CHOOSE(CONTROL!$C$15, $E$9, 100%, $G$9) + CHOOSE(CONTROL!$C$38, 0.0347, 0)</f>
        <v>17.334500000000002</v>
      </c>
      <c r="J99" s="44">
        <f>116.4022</f>
        <v>116.40219999999999</v>
      </c>
    </row>
    <row r="100" spans="1:10" ht="15" x14ac:dyDescent="0.2">
      <c r="A100" s="13">
        <v>43952</v>
      </c>
      <c r="B100" s="14">
        <f>17.8606 * CHOOSE(CONTROL!$C$15, $E$9, 100%, $G$9) + CHOOSE(CONTROL!$C$38, 0.0278, 0)</f>
        <v>17.888400000000001</v>
      </c>
      <c r="C100" s="14">
        <f>16.7837 * CHOOSE(CONTROL!$C$15, $E$9, 100%, $G$9) + CHOOSE(CONTROL!$C$38, 0.0369, 0)</f>
        <v>16.820599999999999</v>
      </c>
      <c r="D100" s="14">
        <f>16.7759 * CHOOSE(CONTROL!$C$15, $E$9, 100%, $G$9) + CHOOSE(CONTROL!$C$38, 0.0369, 0)</f>
        <v>16.812799999999999</v>
      </c>
      <c r="E100" s="46">
        <f>17.7044 * CHOOSE(CONTROL!$C$15, $E$9, 100%, $G$9) + CHOOSE(CONTROL!$C$38, 0.0369, 0)</f>
        <v>17.741299999999999</v>
      </c>
      <c r="F100" s="45">
        <f>17.7044 * CHOOSE(CONTROL!$C$15, $E$9, 100%, $G$9) + CHOOSE(CONTROL!$C$38, 0.0278, 0)</f>
        <v>17.732199999999999</v>
      </c>
      <c r="G100" s="14">
        <f>16.7822 * CHOOSE(CONTROL!$C$15, $E$9, 100%, $G$9) + CHOOSE(CONTROL!$C$38, 0.0369, 0)</f>
        <v>16.819099999999999</v>
      </c>
      <c r="H100" s="14">
        <f>16.7822 * CHOOSE(CONTROL!$C$15, $E$9, 100%, $G$9) + CHOOSE(CONTROL!$C$38, 0.0369, 0)</f>
        <v>16.819099999999999</v>
      </c>
      <c r="I100" s="14">
        <f>16.7837 * CHOOSE(CONTROL!$C$15, $E$9, 100%, $G$9) + CHOOSE(CONTROL!$C$38, 0.0369, 0)</f>
        <v>16.820599999999999</v>
      </c>
      <c r="J100" s="44">
        <f>120.3085</f>
        <v>120.3085</v>
      </c>
    </row>
    <row r="101" spans="1:10" ht="15" x14ac:dyDescent="0.2">
      <c r="A101" s="13">
        <v>43983</v>
      </c>
      <c r="B101" s="14">
        <f>17.4988 * CHOOSE(CONTROL!$C$15, $E$9, 100%, $G$9) + CHOOSE(CONTROL!$C$38, 0.0278, 0)</f>
        <v>17.526599999999998</v>
      </c>
      <c r="C101" s="14">
        <f>16.4219 * CHOOSE(CONTROL!$C$15, $E$9, 100%, $G$9) + CHOOSE(CONTROL!$C$38, 0.0369, 0)</f>
        <v>16.4588</v>
      </c>
      <c r="D101" s="14">
        <f>16.4141 * CHOOSE(CONTROL!$C$15, $E$9, 100%, $G$9) + CHOOSE(CONTROL!$C$38, 0.0369, 0)</f>
        <v>16.451000000000001</v>
      </c>
      <c r="E101" s="46">
        <f>17.3425 * CHOOSE(CONTROL!$C$15, $E$9, 100%, $G$9) + CHOOSE(CONTROL!$C$38, 0.0369, 0)</f>
        <v>17.3794</v>
      </c>
      <c r="F101" s="45">
        <f>17.3425 * CHOOSE(CONTROL!$C$15, $E$9, 100%, $G$9) + CHOOSE(CONTROL!$C$38, 0.0278, 0)</f>
        <v>17.3703</v>
      </c>
      <c r="G101" s="14">
        <f>16.4203 * CHOOSE(CONTROL!$C$15, $E$9, 100%, $G$9) + CHOOSE(CONTROL!$C$38, 0.0369, 0)</f>
        <v>16.4572</v>
      </c>
      <c r="H101" s="14">
        <f>16.4203 * CHOOSE(CONTROL!$C$15, $E$9, 100%, $G$9) + CHOOSE(CONTROL!$C$38, 0.0369, 0)</f>
        <v>16.4572</v>
      </c>
      <c r="I101" s="14">
        <f>16.4219 * CHOOSE(CONTROL!$C$15, $E$9, 100%, $G$9) + CHOOSE(CONTROL!$C$38, 0.0369, 0)</f>
        <v>16.4588</v>
      </c>
      <c r="J101" s="44">
        <f>122.042</f>
        <v>122.042</v>
      </c>
    </row>
    <row r="102" spans="1:10" ht="15" x14ac:dyDescent="0.2">
      <c r="A102" s="13">
        <v>44013</v>
      </c>
      <c r="B102" s="14">
        <f>17.2923 * CHOOSE(CONTROL!$C$15, $E$9, 100%, $G$9) + CHOOSE(CONTROL!$C$38, 0.0278, 0)</f>
        <v>17.3201</v>
      </c>
      <c r="C102" s="14">
        <f>16.2154 * CHOOSE(CONTROL!$C$15, $E$9, 100%, $G$9) + CHOOSE(CONTROL!$C$38, 0.0369, 0)</f>
        <v>16.252299999999998</v>
      </c>
      <c r="D102" s="14">
        <f>16.2076 * CHOOSE(CONTROL!$C$15, $E$9, 100%, $G$9) + CHOOSE(CONTROL!$C$38, 0.0369, 0)</f>
        <v>16.244499999999999</v>
      </c>
      <c r="E102" s="46">
        <f>17.136 * CHOOSE(CONTROL!$C$15, $E$9, 100%, $G$9) + CHOOSE(CONTROL!$C$38, 0.0369, 0)</f>
        <v>17.172899999999998</v>
      </c>
      <c r="F102" s="45">
        <f>17.136 * CHOOSE(CONTROL!$C$15, $E$9, 100%, $G$9) + CHOOSE(CONTROL!$C$38, 0.0278, 0)</f>
        <v>17.163799999999998</v>
      </c>
      <c r="G102" s="14">
        <f>16.2138 * CHOOSE(CONTROL!$C$15, $E$9, 100%, $G$9) + CHOOSE(CONTROL!$C$38, 0.0369, 0)</f>
        <v>16.250699999999998</v>
      </c>
      <c r="H102" s="14">
        <f>16.2138 * CHOOSE(CONTROL!$C$15, $E$9, 100%, $G$9) + CHOOSE(CONTROL!$C$38, 0.0369, 0)</f>
        <v>16.250699999999998</v>
      </c>
      <c r="I102" s="14">
        <f>16.2154 * CHOOSE(CONTROL!$C$15, $E$9, 100%, $G$9) + CHOOSE(CONTROL!$C$38, 0.0369, 0)</f>
        <v>16.252299999999998</v>
      </c>
      <c r="J102" s="44">
        <f>121.4712</f>
        <v>121.4712</v>
      </c>
    </row>
    <row r="103" spans="1:10" ht="15" x14ac:dyDescent="0.2">
      <c r="A103" s="13">
        <v>44044</v>
      </c>
      <c r="B103" s="14">
        <f>17.3942 * CHOOSE(CONTROL!$C$15, $E$9, 100%, $G$9) + CHOOSE(CONTROL!$C$38, 0.0278, 0)</f>
        <v>17.422000000000001</v>
      </c>
      <c r="C103" s="14">
        <f>16.3173 * CHOOSE(CONTROL!$C$15, $E$9, 100%, $G$9) + CHOOSE(CONTROL!$C$38, 0.0369, 0)</f>
        <v>16.354199999999999</v>
      </c>
      <c r="D103" s="14">
        <f>16.3095 * CHOOSE(CONTROL!$C$15, $E$9, 100%, $G$9) + CHOOSE(CONTROL!$C$38, 0.0369, 0)</f>
        <v>16.346399999999999</v>
      </c>
      <c r="E103" s="46">
        <f>17.2379 * CHOOSE(CONTROL!$C$15, $E$9, 100%, $G$9) + CHOOSE(CONTROL!$C$38, 0.0369, 0)</f>
        <v>17.274799999999999</v>
      </c>
      <c r="F103" s="45">
        <f>17.2379 * CHOOSE(CONTROL!$C$15, $E$9, 100%, $G$9) + CHOOSE(CONTROL!$C$38, 0.0278, 0)</f>
        <v>17.265699999999999</v>
      </c>
      <c r="G103" s="14">
        <f>16.3157 * CHOOSE(CONTROL!$C$15, $E$9, 100%, $G$9) + CHOOSE(CONTROL!$C$38, 0.0369, 0)</f>
        <v>16.352599999999999</v>
      </c>
      <c r="H103" s="14">
        <f>16.3157 * CHOOSE(CONTROL!$C$15, $E$9, 100%, $G$9) + CHOOSE(CONTROL!$C$38, 0.0369, 0)</f>
        <v>16.352599999999999</v>
      </c>
      <c r="I103" s="14">
        <f>16.3173 * CHOOSE(CONTROL!$C$15, $E$9, 100%, $G$9) + CHOOSE(CONTROL!$C$38, 0.0369, 0)</f>
        <v>16.354199999999999</v>
      </c>
      <c r="J103" s="44">
        <f>118.6434</f>
        <v>118.6434</v>
      </c>
    </row>
    <row r="104" spans="1:10" ht="15" x14ac:dyDescent="0.2">
      <c r="A104" s="13">
        <v>44075</v>
      </c>
      <c r="B104" s="14">
        <f>17.671 * CHOOSE(CONTROL!$C$15, $E$9, 100%, $G$9) + CHOOSE(CONTROL!$C$38, 0.0278, 0)</f>
        <v>17.698799999999999</v>
      </c>
      <c r="C104" s="14">
        <f>16.5941 * CHOOSE(CONTROL!$C$15, $E$9, 100%, $G$9) + CHOOSE(CONTROL!$C$38, 0.0369, 0)</f>
        <v>16.631</v>
      </c>
      <c r="D104" s="14">
        <f>16.5863 * CHOOSE(CONTROL!$C$15, $E$9, 100%, $G$9) + CHOOSE(CONTROL!$C$38, 0.0369, 0)</f>
        <v>16.623200000000001</v>
      </c>
      <c r="E104" s="46">
        <f>17.5147 * CHOOSE(CONTROL!$C$15, $E$9, 100%, $G$9) + CHOOSE(CONTROL!$C$38, 0.0369, 0)</f>
        <v>17.551600000000001</v>
      </c>
      <c r="F104" s="45">
        <f>17.5147 * CHOOSE(CONTROL!$C$15, $E$9, 100%, $G$9) + CHOOSE(CONTROL!$C$38, 0.0278, 0)</f>
        <v>17.5425</v>
      </c>
      <c r="G104" s="14">
        <f>16.5925 * CHOOSE(CONTROL!$C$15, $E$9, 100%, $G$9) + CHOOSE(CONTROL!$C$38, 0.0369, 0)</f>
        <v>16.6294</v>
      </c>
      <c r="H104" s="14">
        <f>16.5925 * CHOOSE(CONTROL!$C$15, $E$9, 100%, $G$9) + CHOOSE(CONTROL!$C$38, 0.0369, 0)</f>
        <v>16.6294</v>
      </c>
      <c r="I104" s="14">
        <f>16.5941 * CHOOSE(CONTROL!$C$15, $E$9, 100%, $G$9) + CHOOSE(CONTROL!$C$38, 0.0369, 0)</f>
        <v>16.631</v>
      </c>
      <c r="J104" s="44">
        <f>114.6999</f>
        <v>114.6999</v>
      </c>
    </row>
    <row r="105" spans="1:10" ht="15" x14ac:dyDescent="0.2">
      <c r="A105" s="13">
        <v>44105</v>
      </c>
      <c r="B105" s="14">
        <f>17.9028 * CHOOSE(CONTROL!$C$15, $E$9, 100%, $G$9) + CHOOSE(CONTROL!$C$38, 0.0256, 0)</f>
        <v>17.9284</v>
      </c>
      <c r="C105" s="14">
        <f>16.8259 * CHOOSE(CONTROL!$C$15, $E$9, 100%, $G$9) + CHOOSE(CONTROL!$C$38, 0.0347, 0)</f>
        <v>16.860600000000002</v>
      </c>
      <c r="D105" s="14">
        <f>16.8181 * CHOOSE(CONTROL!$C$15, $E$9, 100%, $G$9) + CHOOSE(CONTROL!$C$38, 0.0347, 0)</f>
        <v>16.852800000000002</v>
      </c>
      <c r="E105" s="46">
        <f>17.7466 * CHOOSE(CONTROL!$C$15, $E$9, 100%, $G$9) + CHOOSE(CONTROL!$C$38, 0.0347, 0)</f>
        <v>17.781300000000002</v>
      </c>
      <c r="F105" s="45">
        <f>17.7466 * CHOOSE(CONTROL!$C$15, $E$9, 100%, $G$9) + CHOOSE(CONTROL!$C$38, 0.0256, 0)</f>
        <v>17.772200000000002</v>
      </c>
      <c r="G105" s="14">
        <f>16.8244 * CHOOSE(CONTROL!$C$15, $E$9, 100%, $G$9) + CHOOSE(CONTROL!$C$38, 0.0347, 0)</f>
        <v>16.859100000000002</v>
      </c>
      <c r="H105" s="14">
        <f>16.8244 * CHOOSE(CONTROL!$C$15, $E$9, 100%, $G$9) + CHOOSE(CONTROL!$C$38, 0.0347, 0)</f>
        <v>16.859100000000002</v>
      </c>
      <c r="I105" s="14">
        <f>16.8259 * CHOOSE(CONTROL!$C$15, $E$9, 100%, $G$9) + CHOOSE(CONTROL!$C$38, 0.0347, 0)</f>
        <v>16.860600000000002</v>
      </c>
      <c r="J105" s="44">
        <f>110.7335</f>
        <v>110.73350000000001</v>
      </c>
    </row>
    <row r="106" spans="1:10" ht="15" x14ac:dyDescent="0.2">
      <c r="A106" s="13">
        <v>44136</v>
      </c>
      <c r="B106" s="14">
        <f>18.0963 * CHOOSE(CONTROL!$C$15, $E$9, 100%, $G$9) + CHOOSE(CONTROL!$C$38, 0.0256, 0)</f>
        <v>18.1219</v>
      </c>
      <c r="C106" s="14">
        <f>17.0194 * CHOOSE(CONTROL!$C$15, $E$9, 100%, $G$9) + CHOOSE(CONTROL!$C$38, 0.0347, 0)</f>
        <v>17.054100000000002</v>
      </c>
      <c r="D106" s="14">
        <f>17.0116 * CHOOSE(CONTROL!$C$15, $E$9, 100%, $G$9) + CHOOSE(CONTROL!$C$38, 0.0347, 0)</f>
        <v>17.046300000000002</v>
      </c>
      <c r="E106" s="46">
        <f>17.94 * CHOOSE(CONTROL!$C$15, $E$9, 100%, $G$9) + CHOOSE(CONTROL!$C$38, 0.0347, 0)</f>
        <v>17.974700000000002</v>
      </c>
      <c r="F106" s="45">
        <f>17.94 * CHOOSE(CONTROL!$C$15, $E$9, 100%, $G$9) + CHOOSE(CONTROL!$C$38, 0.0256, 0)</f>
        <v>17.965600000000002</v>
      </c>
      <c r="G106" s="14">
        <f>17.0178 * CHOOSE(CONTROL!$C$15, $E$9, 100%, $G$9) + CHOOSE(CONTROL!$C$38, 0.0347, 0)</f>
        <v>17.052500000000002</v>
      </c>
      <c r="H106" s="14">
        <f>17.0178 * CHOOSE(CONTROL!$C$15, $E$9, 100%, $G$9) + CHOOSE(CONTROL!$C$38, 0.0347, 0)</f>
        <v>17.052500000000002</v>
      </c>
      <c r="I106" s="14">
        <f>17.0194 * CHOOSE(CONTROL!$C$15, $E$9, 100%, $G$9) + CHOOSE(CONTROL!$C$38, 0.0347, 0)</f>
        <v>17.054100000000002</v>
      </c>
      <c r="J106" s="44">
        <f>109.9445</f>
        <v>109.94450000000001</v>
      </c>
    </row>
    <row r="107" spans="1:10" ht="15" x14ac:dyDescent="0.2">
      <c r="A107" s="13">
        <v>44166</v>
      </c>
      <c r="B107" s="14">
        <f>18.6923 * CHOOSE(CONTROL!$C$15, $E$9, 100%, $G$9) + CHOOSE(CONTROL!$C$38, 0.0256, 0)</f>
        <v>18.7179</v>
      </c>
      <c r="C107" s="14">
        <f>17.6154 * CHOOSE(CONTROL!$C$15, $E$9, 100%, $G$9) + CHOOSE(CONTROL!$C$38, 0.0347, 0)</f>
        <v>17.650100000000002</v>
      </c>
      <c r="D107" s="14">
        <f>17.6076 * CHOOSE(CONTROL!$C$15, $E$9, 100%, $G$9) + CHOOSE(CONTROL!$C$38, 0.0347, 0)</f>
        <v>17.642300000000002</v>
      </c>
      <c r="E107" s="46">
        <f>18.5361 * CHOOSE(CONTROL!$C$15, $E$9, 100%, $G$9) + CHOOSE(CONTROL!$C$38, 0.0347, 0)</f>
        <v>18.570800000000002</v>
      </c>
      <c r="F107" s="45">
        <f>18.5361 * CHOOSE(CONTROL!$C$15, $E$9, 100%, $G$9) + CHOOSE(CONTROL!$C$38, 0.0256, 0)</f>
        <v>18.561700000000002</v>
      </c>
      <c r="G107" s="14">
        <f>17.6139 * CHOOSE(CONTROL!$C$15, $E$9, 100%, $G$9) + CHOOSE(CONTROL!$C$38, 0.0347, 0)</f>
        <v>17.648600000000002</v>
      </c>
      <c r="H107" s="14">
        <f>17.6139 * CHOOSE(CONTROL!$C$15, $E$9, 100%, $G$9) + CHOOSE(CONTROL!$C$38, 0.0347, 0)</f>
        <v>17.648600000000002</v>
      </c>
      <c r="I107" s="14">
        <f>17.6154 * CHOOSE(CONTROL!$C$15, $E$9, 100%, $G$9) + CHOOSE(CONTROL!$C$38, 0.0347, 0)</f>
        <v>17.650100000000002</v>
      </c>
      <c r="J107" s="44">
        <f>106.6819</f>
        <v>106.6819</v>
      </c>
    </row>
    <row r="108" spans="1:10" ht="15" x14ac:dyDescent="0.2">
      <c r="A108" s="13">
        <v>44197</v>
      </c>
      <c r="B108" s="14">
        <f>20.057 * CHOOSE(CONTROL!$C$15, $E$9, 100%, $G$9) + CHOOSE(CONTROL!$C$38, 0.0256, 0)</f>
        <v>20.082599999999999</v>
      </c>
      <c r="C108" s="14">
        <f>18.7474 * CHOOSE(CONTROL!$C$15, $E$9, 100%, $G$9) + CHOOSE(CONTROL!$C$38, 0.0347, 0)</f>
        <v>18.7821</v>
      </c>
      <c r="D108" s="14">
        <f>18.7396 * CHOOSE(CONTROL!$C$15, $E$9, 100%, $G$9) + CHOOSE(CONTROL!$C$38, 0.0347, 0)</f>
        <v>18.7743</v>
      </c>
      <c r="E108" s="46">
        <f>19.9008 * CHOOSE(CONTROL!$C$15, $E$9, 100%, $G$9) + CHOOSE(CONTROL!$C$38, 0.0347, 0)</f>
        <v>19.935500000000001</v>
      </c>
      <c r="F108" s="45">
        <f>19.9008 * CHOOSE(CONTROL!$C$15, $E$9, 100%, $G$9) + CHOOSE(CONTROL!$C$38, 0.0256, 0)</f>
        <v>19.926400000000001</v>
      </c>
      <c r="G108" s="14">
        <f>18.7458 * CHOOSE(CONTROL!$C$15, $E$9, 100%, $G$9) + CHOOSE(CONTROL!$C$38, 0.0347, 0)</f>
        <v>18.7805</v>
      </c>
      <c r="H108" s="14">
        <f>18.7458 * CHOOSE(CONTROL!$C$15, $E$9, 100%, $G$9) + CHOOSE(CONTROL!$C$38, 0.0347, 0)</f>
        <v>18.7805</v>
      </c>
      <c r="I108" s="14">
        <f>18.7474 * CHOOSE(CONTROL!$C$15, $E$9, 100%, $G$9) + CHOOSE(CONTROL!$C$38, 0.0347, 0)</f>
        <v>18.7821</v>
      </c>
      <c r="J108" s="44">
        <f>108.7765</f>
        <v>108.7765</v>
      </c>
    </row>
    <row r="109" spans="1:10" ht="15" x14ac:dyDescent="0.2">
      <c r="A109" s="13">
        <v>44228</v>
      </c>
      <c r="B109" s="14">
        <f>20.2778 * CHOOSE(CONTROL!$C$15, $E$9, 100%, $G$9) + CHOOSE(CONTROL!$C$38, 0.0256, 0)</f>
        <v>20.3034</v>
      </c>
      <c r="C109" s="14">
        <f>18.9682 * CHOOSE(CONTROL!$C$15, $E$9, 100%, $G$9) + CHOOSE(CONTROL!$C$38, 0.0347, 0)</f>
        <v>19.0029</v>
      </c>
      <c r="D109" s="14">
        <f>18.9603 * CHOOSE(CONTROL!$C$15, $E$9, 100%, $G$9) + CHOOSE(CONTROL!$C$38, 0.0347, 0)</f>
        <v>18.995000000000001</v>
      </c>
      <c r="E109" s="46">
        <f>20.1216 * CHOOSE(CONTROL!$C$15, $E$9, 100%, $G$9) + CHOOSE(CONTROL!$C$38, 0.0347, 0)</f>
        <v>20.156300000000002</v>
      </c>
      <c r="F109" s="45">
        <f>20.1216 * CHOOSE(CONTROL!$C$15, $E$9, 100%, $G$9) + CHOOSE(CONTROL!$C$38, 0.0256, 0)</f>
        <v>20.147200000000002</v>
      </c>
      <c r="G109" s="14">
        <f>18.9666 * CHOOSE(CONTROL!$C$15, $E$9, 100%, $G$9) + CHOOSE(CONTROL!$C$38, 0.0347, 0)</f>
        <v>19.001300000000001</v>
      </c>
      <c r="H109" s="14">
        <f>18.9666 * CHOOSE(CONTROL!$C$15, $E$9, 100%, $G$9) + CHOOSE(CONTROL!$C$38, 0.0347, 0)</f>
        <v>19.001300000000001</v>
      </c>
      <c r="I109" s="14">
        <f>18.9682 * CHOOSE(CONTROL!$C$15, $E$9, 100%, $G$9) + CHOOSE(CONTROL!$C$38, 0.0347, 0)</f>
        <v>19.0029</v>
      </c>
      <c r="J109" s="44">
        <f>108.4741</f>
        <v>108.47410000000001</v>
      </c>
    </row>
    <row r="110" spans="1:10" ht="15" x14ac:dyDescent="0.2">
      <c r="A110" s="13">
        <v>44256</v>
      </c>
      <c r="B110" s="14">
        <f>19.7668 * CHOOSE(CONTROL!$C$15, $E$9, 100%, $G$9) + CHOOSE(CONTROL!$C$38, 0.0256, 0)</f>
        <v>19.792400000000001</v>
      </c>
      <c r="C110" s="14">
        <f>18.4571 * CHOOSE(CONTROL!$C$15, $E$9, 100%, $G$9) + CHOOSE(CONTROL!$C$38, 0.0347, 0)</f>
        <v>18.491800000000001</v>
      </c>
      <c r="D110" s="14">
        <f>18.4493 * CHOOSE(CONTROL!$C$15, $E$9, 100%, $G$9) + CHOOSE(CONTROL!$C$38, 0.0347, 0)</f>
        <v>18.484000000000002</v>
      </c>
      <c r="E110" s="46">
        <f>19.6105 * CHOOSE(CONTROL!$C$15, $E$9, 100%, $G$9) + CHOOSE(CONTROL!$C$38, 0.0347, 0)</f>
        <v>19.645199999999999</v>
      </c>
      <c r="F110" s="45">
        <f>19.6105 * CHOOSE(CONTROL!$C$15, $E$9, 100%, $G$9) + CHOOSE(CONTROL!$C$38, 0.0256, 0)</f>
        <v>19.636099999999999</v>
      </c>
      <c r="G110" s="14">
        <f>18.4556 * CHOOSE(CONTROL!$C$15, $E$9, 100%, $G$9) + CHOOSE(CONTROL!$C$38, 0.0347, 0)</f>
        <v>18.490300000000001</v>
      </c>
      <c r="H110" s="14">
        <f>18.4556 * CHOOSE(CONTROL!$C$15, $E$9, 100%, $G$9) + CHOOSE(CONTROL!$C$38, 0.0347, 0)</f>
        <v>18.490300000000001</v>
      </c>
      <c r="I110" s="14">
        <f>18.4571 * CHOOSE(CONTROL!$C$15, $E$9, 100%, $G$9) + CHOOSE(CONTROL!$C$38, 0.0347, 0)</f>
        <v>18.491800000000001</v>
      </c>
      <c r="J110" s="44">
        <f>114.1913</f>
        <v>114.1913</v>
      </c>
    </row>
    <row r="111" spans="1:10" ht="15" x14ac:dyDescent="0.2">
      <c r="A111" s="13">
        <v>44287</v>
      </c>
      <c r="B111" s="14">
        <f>19.2716 * CHOOSE(CONTROL!$C$15, $E$9, 100%, $G$9) + CHOOSE(CONTROL!$C$38, 0.0256, 0)</f>
        <v>19.2972</v>
      </c>
      <c r="C111" s="14">
        <f>17.9619 * CHOOSE(CONTROL!$C$15, $E$9, 100%, $G$9) + CHOOSE(CONTROL!$C$38, 0.0347, 0)</f>
        <v>17.996600000000001</v>
      </c>
      <c r="D111" s="14">
        <f>17.9541 * CHOOSE(CONTROL!$C$15, $E$9, 100%, $G$9) + CHOOSE(CONTROL!$C$38, 0.0347, 0)</f>
        <v>17.988800000000001</v>
      </c>
      <c r="E111" s="46">
        <f>19.1153 * CHOOSE(CONTROL!$C$15, $E$9, 100%, $G$9) + CHOOSE(CONTROL!$C$38, 0.0347, 0)</f>
        <v>19.150000000000002</v>
      </c>
      <c r="F111" s="45">
        <f>19.1153 * CHOOSE(CONTROL!$C$15, $E$9, 100%, $G$9) + CHOOSE(CONTROL!$C$38, 0.0256, 0)</f>
        <v>19.140900000000002</v>
      </c>
      <c r="G111" s="14">
        <f>17.9604 * CHOOSE(CONTROL!$C$15, $E$9, 100%, $G$9) + CHOOSE(CONTROL!$C$38, 0.0347, 0)</f>
        <v>17.995100000000001</v>
      </c>
      <c r="H111" s="14">
        <f>17.9604 * CHOOSE(CONTROL!$C$15, $E$9, 100%, $G$9) + CHOOSE(CONTROL!$C$38, 0.0347, 0)</f>
        <v>17.995100000000001</v>
      </c>
      <c r="I111" s="14">
        <f>17.9619 * CHOOSE(CONTROL!$C$15, $E$9, 100%, $G$9) + CHOOSE(CONTROL!$C$38, 0.0347, 0)</f>
        <v>17.996600000000001</v>
      </c>
      <c r="J111" s="44">
        <f>121.6052</f>
        <v>121.6052</v>
      </c>
    </row>
    <row r="112" spans="1:10" ht="15" x14ac:dyDescent="0.2">
      <c r="A112" s="13">
        <v>44317</v>
      </c>
      <c r="B112" s="14">
        <f>18.7555 * CHOOSE(CONTROL!$C$15, $E$9, 100%, $G$9) + CHOOSE(CONTROL!$C$38, 0.0278, 0)</f>
        <v>18.783300000000001</v>
      </c>
      <c r="C112" s="14">
        <f>17.4458 * CHOOSE(CONTROL!$C$15, $E$9, 100%, $G$9) + CHOOSE(CONTROL!$C$38, 0.0369, 0)</f>
        <v>17.482699999999998</v>
      </c>
      <c r="D112" s="14">
        <f>17.438 * CHOOSE(CONTROL!$C$15, $E$9, 100%, $G$9) + CHOOSE(CONTROL!$C$38, 0.0369, 0)</f>
        <v>17.474899999999998</v>
      </c>
      <c r="E112" s="46">
        <f>18.5992 * CHOOSE(CONTROL!$C$15, $E$9, 100%, $G$9) + CHOOSE(CONTROL!$C$38, 0.0369, 0)</f>
        <v>18.636099999999999</v>
      </c>
      <c r="F112" s="45">
        <f>18.5992 * CHOOSE(CONTROL!$C$15, $E$9, 100%, $G$9) + CHOOSE(CONTROL!$C$38, 0.0278, 0)</f>
        <v>18.626999999999999</v>
      </c>
      <c r="G112" s="14">
        <f>17.4443 * CHOOSE(CONTROL!$C$15, $E$9, 100%, $G$9) + CHOOSE(CONTROL!$C$38, 0.0369, 0)</f>
        <v>17.481199999999998</v>
      </c>
      <c r="H112" s="14">
        <f>17.4443 * CHOOSE(CONTROL!$C$15, $E$9, 100%, $G$9) + CHOOSE(CONTROL!$C$38, 0.0369, 0)</f>
        <v>17.481199999999998</v>
      </c>
      <c r="I112" s="14">
        <f>17.4458 * CHOOSE(CONTROL!$C$15, $E$9, 100%, $G$9) + CHOOSE(CONTROL!$C$38, 0.0369, 0)</f>
        <v>17.482699999999998</v>
      </c>
      <c r="J112" s="44">
        <f>125.686</f>
        <v>125.68600000000001</v>
      </c>
    </row>
    <row r="113" spans="1:10" ht="15" x14ac:dyDescent="0.2">
      <c r="A113" s="13">
        <v>44348</v>
      </c>
      <c r="B113" s="14">
        <f>18.3936 * CHOOSE(CONTROL!$C$15, $E$9, 100%, $G$9) + CHOOSE(CONTROL!$C$38, 0.0278, 0)</f>
        <v>18.421399999999998</v>
      </c>
      <c r="C113" s="14">
        <f>17.084 * CHOOSE(CONTROL!$C$15, $E$9, 100%, $G$9) + CHOOSE(CONTROL!$C$38, 0.0369, 0)</f>
        <v>17.120899999999999</v>
      </c>
      <c r="D113" s="14">
        <f>17.0762 * CHOOSE(CONTROL!$C$15, $E$9, 100%, $G$9) + CHOOSE(CONTROL!$C$38, 0.0369, 0)</f>
        <v>17.113099999999999</v>
      </c>
      <c r="E113" s="46">
        <f>18.2374 * CHOOSE(CONTROL!$C$15, $E$9, 100%, $G$9) + CHOOSE(CONTROL!$C$38, 0.0369, 0)</f>
        <v>18.2743</v>
      </c>
      <c r="F113" s="45">
        <f>18.2374 * CHOOSE(CONTROL!$C$15, $E$9, 100%, $G$9) + CHOOSE(CONTROL!$C$38, 0.0278, 0)</f>
        <v>18.2652</v>
      </c>
      <c r="G113" s="14">
        <f>17.0824 * CHOOSE(CONTROL!$C$15, $E$9, 100%, $G$9) + CHOOSE(CONTROL!$C$38, 0.0369, 0)</f>
        <v>17.119299999999999</v>
      </c>
      <c r="H113" s="14">
        <f>17.0824 * CHOOSE(CONTROL!$C$15, $E$9, 100%, $G$9) + CHOOSE(CONTROL!$C$38, 0.0369, 0)</f>
        <v>17.119299999999999</v>
      </c>
      <c r="I113" s="14">
        <f>17.084 * CHOOSE(CONTROL!$C$15, $E$9, 100%, $G$9) + CHOOSE(CONTROL!$C$38, 0.0369, 0)</f>
        <v>17.120899999999999</v>
      </c>
      <c r="J113" s="44">
        <f>127.497</f>
        <v>127.497</v>
      </c>
    </row>
    <row r="114" spans="1:10" ht="15" x14ac:dyDescent="0.2">
      <c r="A114" s="13">
        <v>44378</v>
      </c>
      <c r="B114" s="14">
        <f>18.1872 * CHOOSE(CONTROL!$C$15, $E$9, 100%, $G$9) + CHOOSE(CONTROL!$C$38, 0.0278, 0)</f>
        <v>18.215</v>
      </c>
      <c r="C114" s="14">
        <f>16.8775 * CHOOSE(CONTROL!$C$15, $E$9, 100%, $G$9) + CHOOSE(CONTROL!$C$38, 0.0369, 0)</f>
        <v>16.914400000000001</v>
      </c>
      <c r="D114" s="14">
        <f>16.8697 * CHOOSE(CONTROL!$C$15, $E$9, 100%, $G$9) + CHOOSE(CONTROL!$C$38, 0.0369, 0)</f>
        <v>16.906600000000001</v>
      </c>
      <c r="E114" s="46">
        <f>18.0309 * CHOOSE(CONTROL!$C$15, $E$9, 100%, $G$9) + CHOOSE(CONTROL!$C$38, 0.0369, 0)</f>
        <v>18.067799999999998</v>
      </c>
      <c r="F114" s="45">
        <f>18.0309 * CHOOSE(CONTROL!$C$15, $E$9, 100%, $G$9) + CHOOSE(CONTROL!$C$38, 0.0278, 0)</f>
        <v>18.058699999999998</v>
      </c>
      <c r="G114" s="14">
        <f>16.8759 * CHOOSE(CONTROL!$C$15, $E$9, 100%, $G$9) + CHOOSE(CONTROL!$C$38, 0.0369, 0)</f>
        <v>16.912800000000001</v>
      </c>
      <c r="H114" s="14">
        <f>16.8759 * CHOOSE(CONTROL!$C$15, $E$9, 100%, $G$9) + CHOOSE(CONTROL!$C$38, 0.0369, 0)</f>
        <v>16.912800000000001</v>
      </c>
      <c r="I114" s="14">
        <f>16.8775 * CHOOSE(CONTROL!$C$15, $E$9, 100%, $G$9) + CHOOSE(CONTROL!$C$38, 0.0369, 0)</f>
        <v>16.914400000000001</v>
      </c>
      <c r="J114" s="44">
        <f>126.9007</f>
        <v>126.9007</v>
      </c>
    </row>
    <row r="115" spans="1:10" ht="15" x14ac:dyDescent="0.2">
      <c r="A115" s="13">
        <v>44409</v>
      </c>
      <c r="B115" s="14">
        <f>18.2891 * CHOOSE(CONTROL!$C$15, $E$9, 100%, $G$9) + CHOOSE(CONTROL!$C$38, 0.0278, 0)</f>
        <v>18.3169</v>
      </c>
      <c r="C115" s="14">
        <f>16.9794 * CHOOSE(CONTROL!$C$15, $E$9, 100%, $G$9) + CHOOSE(CONTROL!$C$38, 0.0369, 0)</f>
        <v>17.016299999999998</v>
      </c>
      <c r="D115" s="14">
        <f>16.9716 * CHOOSE(CONTROL!$C$15, $E$9, 100%, $G$9) + CHOOSE(CONTROL!$C$38, 0.0369, 0)</f>
        <v>17.008499999999998</v>
      </c>
      <c r="E115" s="46">
        <f>18.1328 * CHOOSE(CONTROL!$C$15, $E$9, 100%, $G$9) + CHOOSE(CONTROL!$C$38, 0.0369, 0)</f>
        <v>18.169699999999999</v>
      </c>
      <c r="F115" s="45">
        <f>18.1328 * CHOOSE(CONTROL!$C$15, $E$9, 100%, $G$9) + CHOOSE(CONTROL!$C$38, 0.0278, 0)</f>
        <v>18.160599999999999</v>
      </c>
      <c r="G115" s="14">
        <f>16.9779 * CHOOSE(CONTROL!$C$15, $E$9, 100%, $G$9) + CHOOSE(CONTROL!$C$38, 0.0369, 0)</f>
        <v>17.014800000000001</v>
      </c>
      <c r="H115" s="14">
        <f>16.9779 * CHOOSE(CONTROL!$C$15, $E$9, 100%, $G$9) + CHOOSE(CONTROL!$C$38, 0.0369, 0)</f>
        <v>17.014800000000001</v>
      </c>
      <c r="I115" s="14">
        <f>16.9794 * CHOOSE(CONTROL!$C$15, $E$9, 100%, $G$9) + CHOOSE(CONTROL!$C$38, 0.0369, 0)</f>
        <v>17.016299999999998</v>
      </c>
      <c r="J115" s="44">
        <f>123.9466</f>
        <v>123.9466</v>
      </c>
    </row>
    <row r="116" spans="1:10" ht="15" x14ac:dyDescent="0.2">
      <c r="A116" s="13">
        <v>44440</v>
      </c>
      <c r="B116" s="14">
        <f>18.5659 * CHOOSE(CONTROL!$C$15, $E$9, 100%, $G$9) + CHOOSE(CONTROL!$C$38, 0.0278, 0)</f>
        <v>18.593699999999998</v>
      </c>
      <c r="C116" s="14">
        <f>17.2562 * CHOOSE(CONTROL!$C$15, $E$9, 100%, $G$9) + CHOOSE(CONTROL!$C$38, 0.0369, 0)</f>
        <v>17.293099999999999</v>
      </c>
      <c r="D116" s="14">
        <f>17.2484 * CHOOSE(CONTROL!$C$15, $E$9, 100%, $G$9) + CHOOSE(CONTROL!$C$38, 0.0369, 0)</f>
        <v>17.285299999999999</v>
      </c>
      <c r="E116" s="46">
        <f>18.4096 * CHOOSE(CONTROL!$C$15, $E$9, 100%, $G$9) + CHOOSE(CONTROL!$C$38, 0.0369, 0)</f>
        <v>18.4465</v>
      </c>
      <c r="F116" s="45">
        <f>18.4096 * CHOOSE(CONTROL!$C$15, $E$9, 100%, $G$9) + CHOOSE(CONTROL!$C$38, 0.0278, 0)</f>
        <v>18.4374</v>
      </c>
      <c r="G116" s="14">
        <f>17.2547 * CHOOSE(CONTROL!$C$15, $E$9, 100%, $G$9) + CHOOSE(CONTROL!$C$38, 0.0369, 0)</f>
        <v>17.291599999999999</v>
      </c>
      <c r="H116" s="14">
        <f>17.2547 * CHOOSE(CONTROL!$C$15, $E$9, 100%, $G$9) + CHOOSE(CONTROL!$C$38, 0.0369, 0)</f>
        <v>17.291599999999999</v>
      </c>
      <c r="I116" s="14">
        <f>17.2562 * CHOOSE(CONTROL!$C$15, $E$9, 100%, $G$9) + CHOOSE(CONTROL!$C$38, 0.0369, 0)</f>
        <v>17.293099999999999</v>
      </c>
      <c r="J116" s="44">
        <f>119.8268</f>
        <v>119.82680000000001</v>
      </c>
    </row>
    <row r="117" spans="1:10" ht="15" x14ac:dyDescent="0.2">
      <c r="A117" s="13">
        <v>44470</v>
      </c>
      <c r="B117" s="14">
        <f>18.7977 * CHOOSE(CONTROL!$C$15, $E$9, 100%, $G$9) + CHOOSE(CONTROL!$C$38, 0.0256, 0)</f>
        <v>18.8233</v>
      </c>
      <c r="C117" s="14">
        <f>17.488 * CHOOSE(CONTROL!$C$15, $E$9, 100%, $G$9) + CHOOSE(CONTROL!$C$38, 0.0347, 0)</f>
        <v>17.5227</v>
      </c>
      <c r="D117" s="14">
        <f>17.4802 * CHOOSE(CONTROL!$C$15, $E$9, 100%, $G$9) + CHOOSE(CONTROL!$C$38, 0.0347, 0)</f>
        <v>17.514900000000001</v>
      </c>
      <c r="E117" s="46">
        <f>18.6414 * CHOOSE(CONTROL!$C$15, $E$9, 100%, $G$9) + CHOOSE(CONTROL!$C$38, 0.0347, 0)</f>
        <v>18.676100000000002</v>
      </c>
      <c r="F117" s="45">
        <f>18.6414 * CHOOSE(CONTROL!$C$15, $E$9, 100%, $G$9) + CHOOSE(CONTROL!$C$38, 0.0256, 0)</f>
        <v>18.667000000000002</v>
      </c>
      <c r="G117" s="14">
        <f>17.4865 * CHOOSE(CONTROL!$C$15, $E$9, 100%, $G$9) + CHOOSE(CONTROL!$C$38, 0.0347, 0)</f>
        <v>17.5212</v>
      </c>
      <c r="H117" s="14">
        <f>17.4865 * CHOOSE(CONTROL!$C$15, $E$9, 100%, $G$9) + CHOOSE(CONTROL!$C$38, 0.0347, 0)</f>
        <v>17.5212</v>
      </c>
      <c r="I117" s="14">
        <f>17.488 * CHOOSE(CONTROL!$C$15, $E$9, 100%, $G$9) + CHOOSE(CONTROL!$C$38, 0.0347, 0)</f>
        <v>17.5227</v>
      </c>
      <c r="J117" s="44">
        <f>115.683</f>
        <v>115.68300000000001</v>
      </c>
    </row>
    <row r="118" spans="1:10" ht="15" x14ac:dyDescent="0.2">
      <c r="A118" s="13">
        <v>44501</v>
      </c>
      <c r="B118" s="14">
        <f>18.9911 * CHOOSE(CONTROL!$C$15, $E$9, 100%, $G$9) + CHOOSE(CONTROL!$C$38, 0.0256, 0)</f>
        <v>19.0167</v>
      </c>
      <c r="C118" s="14">
        <f>17.6815 * CHOOSE(CONTROL!$C$15, $E$9, 100%, $G$9) + CHOOSE(CONTROL!$C$38, 0.0347, 0)</f>
        <v>17.716200000000001</v>
      </c>
      <c r="D118" s="14">
        <f>17.6737 * CHOOSE(CONTROL!$C$15, $E$9, 100%, $G$9) + CHOOSE(CONTROL!$C$38, 0.0347, 0)</f>
        <v>17.708400000000001</v>
      </c>
      <c r="E118" s="46">
        <f>18.8349 * CHOOSE(CONTROL!$C$15, $E$9, 100%, $G$9) + CHOOSE(CONTROL!$C$38, 0.0347, 0)</f>
        <v>18.869600000000002</v>
      </c>
      <c r="F118" s="45">
        <f>18.8349 * CHOOSE(CONTROL!$C$15, $E$9, 100%, $G$9) + CHOOSE(CONTROL!$C$38, 0.0256, 0)</f>
        <v>18.860500000000002</v>
      </c>
      <c r="G118" s="14">
        <f>17.6799 * CHOOSE(CONTROL!$C$15, $E$9, 100%, $G$9) + CHOOSE(CONTROL!$C$38, 0.0347, 0)</f>
        <v>17.714600000000001</v>
      </c>
      <c r="H118" s="14">
        <f>17.6799 * CHOOSE(CONTROL!$C$15, $E$9, 100%, $G$9) + CHOOSE(CONTROL!$C$38, 0.0347, 0)</f>
        <v>17.714600000000001</v>
      </c>
      <c r="I118" s="14">
        <f>17.6815 * CHOOSE(CONTROL!$C$15, $E$9, 100%, $G$9) + CHOOSE(CONTROL!$C$38, 0.0347, 0)</f>
        <v>17.716200000000001</v>
      </c>
      <c r="J118" s="44">
        <f>114.8588</f>
        <v>114.8588</v>
      </c>
    </row>
    <row r="119" spans="1:10" ht="15" x14ac:dyDescent="0.2">
      <c r="A119" s="13">
        <v>44531</v>
      </c>
      <c r="B119" s="14">
        <f>19.5872 * CHOOSE(CONTROL!$C$15, $E$9, 100%, $G$9) + CHOOSE(CONTROL!$C$38, 0.0256, 0)</f>
        <v>19.6128</v>
      </c>
      <c r="C119" s="14">
        <f>18.2775 * CHOOSE(CONTROL!$C$15, $E$9, 100%, $G$9) + CHOOSE(CONTROL!$C$38, 0.0347, 0)</f>
        <v>18.312200000000001</v>
      </c>
      <c r="D119" s="14">
        <f>18.2697 * CHOOSE(CONTROL!$C$15, $E$9, 100%, $G$9) + CHOOSE(CONTROL!$C$38, 0.0347, 0)</f>
        <v>18.304400000000001</v>
      </c>
      <c r="E119" s="46">
        <f>19.4309 * CHOOSE(CONTROL!$C$15, $E$9, 100%, $G$9) + CHOOSE(CONTROL!$C$38, 0.0347, 0)</f>
        <v>19.465600000000002</v>
      </c>
      <c r="F119" s="45">
        <f>19.4309 * CHOOSE(CONTROL!$C$15, $E$9, 100%, $G$9) + CHOOSE(CONTROL!$C$38, 0.0256, 0)</f>
        <v>19.456500000000002</v>
      </c>
      <c r="G119" s="14">
        <f>18.276 * CHOOSE(CONTROL!$C$15, $E$9, 100%, $G$9) + CHOOSE(CONTROL!$C$38, 0.0347, 0)</f>
        <v>18.310700000000001</v>
      </c>
      <c r="H119" s="14">
        <f>18.276 * CHOOSE(CONTROL!$C$15, $E$9, 100%, $G$9) + CHOOSE(CONTROL!$C$38, 0.0347, 0)</f>
        <v>18.310700000000001</v>
      </c>
      <c r="I119" s="14">
        <f>18.2775 * CHOOSE(CONTROL!$C$15, $E$9, 100%, $G$9) + CHOOSE(CONTROL!$C$38, 0.0347, 0)</f>
        <v>18.312200000000001</v>
      </c>
      <c r="J119" s="44">
        <f>111.4503</f>
        <v>111.4503</v>
      </c>
    </row>
    <row r="120" spans="1:10" ht="15" x14ac:dyDescent="0.2">
      <c r="A120" s="13">
        <v>44562</v>
      </c>
      <c r="B120" s="14">
        <f>20.8716 * CHOOSE(CONTROL!$C$15, $E$9, 100%, $G$9) + CHOOSE(CONTROL!$C$38, 0.0256, 0)</f>
        <v>20.897200000000002</v>
      </c>
      <c r="C120" s="14">
        <f>19.464 * CHOOSE(CONTROL!$C$15, $E$9, 100%, $G$9) + CHOOSE(CONTROL!$C$38, 0.0347, 0)</f>
        <v>19.498699999999999</v>
      </c>
      <c r="D120" s="14">
        <f>19.4562 * CHOOSE(CONTROL!$C$15, $E$9, 100%, $G$9) + CHOOSE(CONTROL!$C$38, 0.0347, 0)</f>
        <v>19.4909</v>
      </c>
      <c r="E120" s="46">
        <f>20.7154 * CHOOSE(CONTROL!$C$15, $E$9, 100%, $G$9) + CHOOSE(CONTROL!$C$38, 0.0347, 0)</f>
        <v>20.7501</v>
      </c>
      <c r="F120" s="45">
        <f>20.7154 * CHOOSE(CONTROL!$C$15, $E$9, 100%, $G$9) + CHOOSE(CONTROL!$C$38, 0.0256, 0)</f>
        <v>20.741</v>
      </c>
      <c r="G120" s="14">
        <f>19.4624 * CHOOSE(CONTROL!$C$15, $E$9, 100%, $G$9) + CHOOSE(CONTROL!$C$38, 0.0347, 0)</f>
        <v>19.4971</v>
      </c>
      <c r="H120" s="14">
        <f>19.4624 * CHOOSE(CONTROL!$C$15, $E$9, 100%, $G$9) + CHOOSE(CONTROL!$C$38, 0.0347, 0)</f>
        <v>19.4971</v>
      </c>
      <c r="I120" s="14">
        <f>19.464 * CHOOSE(CONTROL!$C$15, $E$9, 100%, $G$9) + CHOOSE(CONTROL!$C$38, 0.0347, 0)</f>
        <v>19.498699999999999</v>
      </c>
      <c r="J120" s="44">
        <f>113.7753</f>
        <v>113.7753</v>
      </c>
    </row>
    <row r="121" spans="1:10" ht="15" x14ac:dyDescent="0.2">
      <c r="A121" s="13">
        <v>44593</v>
      </c>
      <c r="B121" s="14">
        <f>21.0924 * CHOOSE(CONTROL!$C$15, $E$9, 100%, $G$9) + CHOOSE(CONTROL!$C$38, 0.0256, 0)</f>
        <v>21.118000000000002</v>
      </c>
      <c r="C121" s="14">
        <f>19.6848 * CHOOSE(CONTROL!$C$15, $E$9, 100%, $G$9) + CHOOSE(CONTROL!$C$38, 0.0347, 0)</f>
        <v>19.7195</v>
      </c>
      <c r="D121" s="14">
        <f>19.6769 * CHOOSE(CONTROL!$C$15, $E$9, 100%, $G$9) + CHOOSE(CONTROL!$C$38, 0.0347, 0)</f>
        <v>19.711600000000001</v>
      </c>
      <c r="E121" s="46">
        <f>20.9361 * CHOOSE(CONTROL!$C$15, $E$9, 100%, $G$9) + CHOOSE(CONTROL!$C$38, 0.0347, 0)</f>
        <v>20.970800000000001</v>
      </c>
      <c r="F121" s="45">
        <f>20.9361 * CHOOSE(CONTROL!$C$15, $E$9, 100%, $G$9) + CHOOSE(CONTROL!$C$38, 0.0256, 0)</f>
        <v>20.9617</v>
      </c>
      <c r="G121" s="14">
        <f>19.6832 * CHOOSE(CONTROL!$C$15, $E$9, 100%, $G$9) + CHOOSE(CONTROL!$C$38, 0.0347, 0)</f>
        <v>19.7179</v>
      </c>
      <c r="H121" s="14">
        <f>19.6832 * CHOOSE(CONTROL!$C$15, $E$9, 100%, $G$9) + CHOOSE(CONTROL!$C$38, 0.0347, 0)</f>
        <v>19.7179</v>
      </c>
      <c r="I121" s="14">
        <f>19.6848 * CHOOSE(CONTROL!$C$15, $E$9, 100%, $G$9) + CHOOSE(CONTROL!$C$38, 0.0347, 0)</f>
        <v>19.7195</v>
      </c>
      <c r="J121" s="44">
        <f>113.459</f>
        <v>113.459</v>
      </c>
    </row>
    <row r="122" spans="1:10" ht="15" x14ac:dyDescent="0.2">
      <c r="A122" s="13">
        <v>44621</v>
      </c>
      <c r="B122" s="14">
        <f>20.5814 * CHOOSE(CONTROL!$C$15, $E$9, 100%, $G$9) + CHOOSE(CONTROL!$C$38, 0.0256, 0)</f>
        <v>20.606999999999999</v>
      </c>
      <c r="C122" s="14">
        <f>19.1737 * CHOOSE(CONTROL!$C$15, $E$9, 100%, $G$9) + CHOOSE(CONTROL!$C$38, 0.0347, 0)</f>
        <v>19.208400000000001</v>
      </c>
      <c r="D122" s="14">
        <f>19.1659 * CHOOSE(CONTROL!$C$15, $E$9, 100%, $G$9) + CHOOSE(CONTROL!$C$38, 0.0347, 0)</f>
        <v>19.200600000000001</v>
      </c>
      <c r="E122" s="46">
        <f>20.4251 * CHOOSE(CONTROL!$C$15, $E$9, 100%, $G$9) + CHOOSE(CONTROL!$C$38, 0.0347, 0)</f>
        <v>20.459800000000001</v>
      </c>
      <c r="F122" s="45">
        <f>20.4251 * CHOOSE(CONTROL!$C$15, $E$9, 100%, $G$9) + CHOOSE(CONTROL!$C$38, 0.0256, 0)</f>
        <v>20.450700000000001</v>
      </c>
      <c r="G122" s="14">
        <f>19.1722 * CHOOSE(CONTROL!$C$15, $E$9, 100%, $G$9) + CHOOSE(CONTROL!$C$38, 0.0347, 0)</f>
        <v>19.206900000000001</v>
      </c>
      <c r="H122" s="14">
        <f>19.1722 * CHOOSE(CONTROL!$C$15, $E$9, 100%, $G$9) + CHOOSE(CONTROL!$C$38, 0.0347, 0)</f>
        <v>19.206900000000001</v>
      </c>
      <c r="I122" s="14">
        <f>19.1737 * CHOOSE(CONTROL!$C$15, $E$9, 100%, $G$9) + CHOOSE(CONTROL!$C$38, 0.0347, 0)</f>
        <v>19.208400000000001</v>
      </c>
      <c r="J122" s="44">
        <f>119.439</f>
        <v>119.43899999999999</v>
      </c>
    </row>
    <row r="123" spans="1:10" ht="15" x14ac:dyDescent="0.2">
      <c r="A123" s="13">
        <v>44652</v>
      </c>
      <c r="B123" s="14">
        <f>20.0862 * CHOOSE(CONTROL!$C$15, $E$9, 100%, $G$9) + CHOOSE(CONTROL!$C$38, 0.0256, 0)</f>
        <v>20.111800000000002</v>
      </c>
      <c r="C123" s="14">
        <f>18.6785 * CHOOSE(CONTROL!$C$15, $E$9, 100%, $G$9) + CHOOSE(CONTROL!$C$38, 0.0347, 0)</f>
        <v>18.713200000000001</v>
      </c>
      <c r="D123" s="14">
        <f>18.6707 * CHOOSE(CONTROL!$C$15, $E$9, 100%, $G$9) + CHOOSE(CONTROL!$C$38, 0.0347, 0)</f>
        <v>18.705400000000001</v>
      </c>
      <c r="E123" s="46">
        <f>19.9299 * CHOOSE(CONTROL!$C$15, $E$9, 100%, $G$9) + CHOOSE(CONTROL!$C$38, 0.0347, 0)</f>
        <v>19.964600000000001</v>
      </c>
      <c r="F123" s="45">
        <f>19.9299 * CHOOSE(CONTROL!$C$15, $E$9, 100%, $G$9) + CHOOSE(CONTROL!$C$38, 0.0256, 0)</f>
        <v>19.955500000000001</v>
      </c>
      <c r="G123" s="14">
        <f>18.677 * CHOOSE(CONTROL!$C$15, $E$9, 100%, $G$9) + CHOOSE(CONTROL!$C$38, 0.0347, 0)</f>
        <v>18.7117</v>
      </c>
      <c r="H123" s="14">
        <f>18.677 * CHOOSE(CONTROL!$C$15, $E$9, 100%, $G$9) + CHOOSE(CONTROL!$C$38, 0.0347, 0)</f>
        <v>18.7117</v>
      </c>
      <c r="I123" s="14">
        <f>18.6785 * CHOOSE(CONTROL!$C$15, $E$9, 100%, $G$9) + CHOOSE(CONTROL!$C$38, 0.0347, 0)</f>
        <v>18.713200000000001</v>
      </c>
      <c r="J123" s="44">
        <f>127.1935</f>
        <v>127.1935</v>
      </c>
    </row>
    <row r="124" spans="1:10" ht="15" x14ac:dyDescent="0.2">
      <c r="A124" s="13">
        <v>44682</v>
      </c>
      <c r="B124" s="14">
        <f>19.5701 * CHOOSE(CONTROL!$C$15, $E$9, 100%, $G$9) + CHOOSE(CONTROL!$C$38, 0.0278, 0)</f>
        <v>19.597899999999999</v>
      </c>
      <c r="C124" s="14">
        <f>18.1624 * CHOOSE(CONTROL!$C$15, $E$9, 100%, $G$9) + CHOOSE(CONTROL!$C$38, 0.0369, 0)</f>
        <v>18.199300000000001</v>
      </c>
      <c r="D124" s="14">
        <f>18.1546 * CHOOSE(CONTROL!$C$15, $E$9, 100%, $G$9) + CHOOSE(CONTROL!$C$38, 0.0369, 0)</f>
        <v>18.191499999999998</v>
      </c>
      <c r="E124" s="46">
        <f>19.4138 * CHOOSE(CONTROL!$C$15, $E$9, 100%, $G$9) + CHOOSE(CONTROL!$C$38, 0.0369, 0)</f>
        <v>19.450699999999998</v>
      </c>
      <c r="F124" s="45">
        <f>19.4138 * CHOOSE(CONTROL!$C$15, $E$9, 100%, $G$9) + CHOOSE(CONTROL!$C$38, 0.0278, 0)</f>
        <v>19.441599999999998</v>
      </c>
      <c r="G124" s="14">
        <f>18.1609 * CHOOSE(CONTROL!$C$15, $E$9, 100%, $G$9) + CHOOSE(CONTROL!$C$38, 0.0369, 0)</f>
        <v>18.197800000000001</v>
      </c>
      <c r="H124" s="14">
        <f>18.1609 * CHOOSE(CONTROL!$C$15, $E$9, 100%, $G$9) + CHOOSE(CONTROL!$C$38, 0.0369, 0)</f>
        <v>18.197800000000001</v>
      </c>
      <c r="I124" s="14">
        <f>18.1624 * CHOOSE(CONTROL!$C$15, $E$9, 100%, $G$9) + CHOOSE(CONTROL!$C$38, 0.0369, 0)</f>
        <v>18.199300000000001</v>
      </c>
      <c r="J124" s="44">
        <f>131.4619</f>
        <v>131.46190000000001</v>
      </c>
    </row>
    <row r="125" spans="1:10" ht="15" x14ac:dyDescent="0.2">
      <c r="A125" s="13">
        <v>44713</v>
      </c>
      <c r="B125" s="14">
        <f>19.2082 * CHOOSE(CONTROL!$C$15, $E$9, 100%, $G$9) + CHOOSE(CONTROL!$C$38, 0.0278, 0)</f>
        <v>19.236000000000001</v>
      </c>
      <c r="C125" s="14">
        <f>17.8006 * CHOOSE(CONTROL!$C$15, $E$9, 100%, $G$9) + CHOOSE(CONTROL!$C$38, 0.0369, 0)</f>
        <v>17.837499999999999</v>
      </c>
      <c r="D125" s="14">
        <f>17.7928 * CHOOSE(CONTROL!$C$15, $E$9, 100%, $G$9) + CHOOSE(CONTROL!$C$38, 0.0369, 0)</f>
        <v>17.829699999999999</v>
      </c>
      <c r="E125" s="46">
        <f>19.052 * CHOOSE(CONTROL!$C$15, $E$9, 100%, $G$9) + CHOOSE(CONTROL!$C$38, 0.0369, 0)</f>
        <v>19.088899999999999</v>
      </c>
      <c r="F125" s="45">
        <f>19.052 * CHOOSE(CONTROL!$C$15, $E$9, 100%, $G$9) + CHOOSE(CONTROL!$C$38, 0.0278, 0)</f>
        <v>19.079799999999999</v>
      </c>
      <c r="G125" s="14">
        <f>17.799 * CHOOSE(CONTROL!$C$15, $E$9, 100%, $G$9) + CHOOSE(CONTROL!$C$38, 0.0369, 0)</f>
        <v>17.835899999999999</v>
      </c>
      <c r="H125" s="14">
        <f>17.799 * CHOOSE(CONTROL!$C$15, $E$9, 100%, $G$9) + CHOOSE(CONTROL!$C$38, 0.0369, 0)</f>
        <v>17.835899999999999</v>
      </c>
      <c r="I125" s="14">
        <f>17.8006 * CHOOSE(CONTROL!$C$15, $E$9, 100%, $G$9) + CHOOSE(CONTROL!$C$38, 0.0369, 0)</f>
        <v>17.837499999999999</v>
      </c>
      <c r="J125" s="44">
        <f>133.3561</f>
        <v>133.3561</v>
      </c>
    </row>
    <row r="126" spans="1:10" ht="15" x14ac:dyDescent="0.2">
      <c r="A126" s="13">
        <v>44743</v>
      </c>
      <c r="B126" s="14">
        <f>19.0017 * CHOOSE(CONTROL!$C$15, $E$9, 100%, $G$9) + CHOOSE(CONTROL!$C$38, 0.0278, 0)</f>
        <v>19.029499999999999</v>
      </c>
      <c r="C126" s="14">
        <f>17.5941 * CHOOSE(CONTROL!$C$15, $E$9, 100%, $G$9) + CHOOSE(CONTROL!$C$38, 0.0369, 0)</f>
        <v>17.631</v>
      </c>
      <c r="D126" s="14">
        <f>17.5863 * CHOOSE(CONTROL!$C$15, $E$9, 100%, $G$9) + CHOOSE(CONTROL!$C$38, 0.0369, 0)</f>
        <v>17.623200000000001</v>
      </c>
      <c r="E126" s="46">
        <f>18.8455 * CHOOSE(CONTROL!$C$15, $E$9, 100%, $G$9) + CHOOSE(CONTROL!$C$38, 0.0369, 0)</f>
        <v>18.882400000000001</v>
      </c>
      <c r="F126" s="45">
        <f>18.8455 * CHOOSE(CONTROL!$C$15, $E$9, 100%, $G$9) + CHOOSE(CONTROL!$C$38, 0.0278, 0)</f>
        <v>18.8733</v>
      </c>
      <c r="G126" s="14">
        <f>17.5925 * CHOOSE(CONTROL!$C$15, $E$9, 100%, $G$9) + CHOOSE(CONTROL!$C$38, 0.0369, 0)</f>
        <v>17.6294</v>
      </c>
      <c r="H126" s="14">
        <f>17.5925 * CHOOSE(CONTROL!$C$15, $E$9, 100%, $G$9) + CHOOSE(CONTROL!$C$38, 0.0369, 0)</f>
        <v>17.6294</v>
      </c>
      <c r="I126" s="14">
        <f>17.5941 * CHOOSE(CONTROL!$C$15, $E$9, 100%, $G$9) + CHOOSE(CONTROL!$C$38, 0.0369, 0)</f>
        <v>17.631</v>
      </c>
      <c r="J126" s="44">
        <f>132.7324</f>
        <v>132.73240000000001</v>
      </c>
    </row>
    <row r="127" spans="1:10" ht="15" x14ac:dyDescent="0.2">
      <c r="A127" s="13">
        <v>44774</v>
      </c>
      <c r="B127" s="14">
        <f>19.1037 * CHOOSE(CONTROL!$C$15, $E$9, 100%, $G$9) + CHOOSE(CONTROL!$C$38, 0.0278, 0)</f>
        <v>19.131499999999999</v>
      </c>
      <c r="C127" s="14">
        <f>17.696 * CHOOSE(CONTROL!$C$15, $E$9, 100%, $G$9) + CHOOSE(CONTROL!$C$38, 0.0369, 0)</f>
        <v>17.732900000000001</v>
      </c>
      <c r="D127" s="14">
        <f>17.6882 * CHOOSE(CONTROL!$C$15, $E$9, 100%, $G$9) + CHOOSE(CONTROL!$C$38, 0.0369, 0)</f>
        <v>17.725099999999998</v>
      </c>
      <c r="E127" s="46">
        <f>18.9474 * CHOOSE(CONTROL!$C$15, $E$9, 100%, $G$9) + CHOOSE(CONTROL!$C$38, 0.0369, 0)</f>
        <v>18.984299999999998</v>
      </c>
      <c r="F127" s="45">
        <f>18.9474 * CHOOSE(CONTROL!$C$15, $E$9, 100%, $G$9) + CHOOSE(CONTROL!$C$38, 0.0278, 0)</f>
        <v>18.975199999999997</v>
      </c>
      <c r="G127" s="14">
        <f>17.6944 * CHOOSE(CONTROL!$C$15, $E$9, 100%, $G$9) + CHOOSE(CONTROL!$C$38, 0.0369, 0)</f>
        <v>17.731300000000001</v>
      </c>
      <c r="H127" s="14">
        <f>17.6944 * CHOOSE(CONTROL!$C$15, $E$9, 100%, $G$9) + CHOOSE(CONTROL!$C$38, 0.0369, 0)</f>
        <v>17.731300000000001</v>
      </c>
      <c r="I127" s="14">
        <f>17.696 * CHOOSE(CONTROL!$C$15, $E$9, 100%, $G$9) + CHOOSE(CONTROL!$C$38, 0.0369, 0)</f>
        <v>17.732900000000001</v>
      </c>
      <c r="J127" s="44">
        <f>129.6425</f>
        <v>129.64250000000001</v>
      </c>
    </row>
    <row r="128" spans="1:10" ht="15" x14ac:dyDescent="0.2">
      <c r="A128" s="13">
        <v>44805</v>
      </c>
      <c r="B128" s="14">
        <f>19.3804 * CHOOSE(CONTROL!$C$15, $E$9, 100%, $G$9) + CHOOSE(CONTROL!$C$38, 0.0278, 0)</f>
        <v>19.408200000000001</v>
      </c>
      <c r="C128" s="14">
        <f>17.9728 * CHOOSE(CONTROL!$C$15, $E$9, 100%, $G$9) + CHOOSE(CONTROL!$C$38, 0.0369, 0)</f>
        <v>18.009699999999999</v>
      </c>
      <c r="D128" s="14">
        <f>17.965 * CHOOSE(CONTROL!$C$15, $E$9, 100%, $G$9) + CHOOSE(CONTROL!$C$38, 0.0369, 0)</f>
        <v>18.001899999999999</v>
      </c>
      <c r="E128" s="46">
        <f>19.2242 * CHOOSE(CONTROL!$C$15, $E$9, 100%, $G$9) + CHOOSE(CONTROL!$C$38, 0.0369, 0)</f>
        <v>19.261099999999999</v>
      </c>
      <c r="F128" s="45">
        <f>19.2242 * CHOOSE(CONTROL!$C$15, $E$9, 100%, $G$9) + CHOOSE(CONTROL!$C$38, 0.0278, 0)</f>
        <v>19.251999999999999</v>
      </c>
      <c r="G128" s="14">
        <f>17.9712 * CHOOSE(CONTROL!$C$15, $E$9, 100%, $G$9) + CHOOSE(CONTROL!$C$38, 0.0369, 0)</f>
        <v>18.008099999999999</v>
      </c>
      <c r="H128" s="14">
        <f>17.9712 * CHOOSE(CONTROL!$C$15, $E$9, 100%, $G$9) + CHOOSE(CONTROL!$C$38, 0.0369, 0)</f>
        <v>18.008099999999999</v>
      </c>
      <c r="I128" s="14">
        <f>17.9728 * CHOOSE(CONTROL!$C$15, $E$9, 100%, $G$9) + CHOOSE(CONTROL!$C$38, 0.0369, 0)</f>
        <v>18.009699999999999</v>
      </c>
      <c r="J128" s="44">
        <f>125.3334</f>
        <v>125.3334</v>
      </c>
    </row>
    <row r="129" spans="1:10" ht="15" x14ac:dyDescent="0.2">
      <c r="A129" s="13">
        <v>44835</v>
      </c>
      <c r="B129" s="14">
        <f>19.6123 * CHOOSE(CONTROL!$C$15, $E$9, 100%, $G$9) + CHOOSE(CONTROL!$C$38, 0.0256, 0)</f>
        <v>19.637900000000002</v>
      </c>
      <c r="C129" s="14">
        <f>18.2046 * CHOOSE(CONTROL!$C$15, $E$9, 100%, $G$9) + CHOOSE(CONTROL!$C$38, 0.0347, 0)</f>
        <v>18.2393</v>
      </c>
      <c r="D129" s="14">
        <f>18.1968 * CHOOSE(CONTROL!$C$15, $E$9, 100%, $G$9) + CHOOSE(CONTROL!$C$38, 0.0347, 0)</f>
        <v>18.2315</v>
      </c>
      <c r="E129" s="46">
        <f>19.456 * CHOOSE(CONTROL!$C$15, $E$9, 100%, $G$9) + CHOOSE(CONTROL!$C$38, 0.0347, 0)</f>
        <v>19.4907</v>
      </c>
      <c r="F129" s="45">
        <f>19.456 * CHOOSE(CONTROL!$C$15, $E$9, 100%, $G$9) + CHOOSE(CONTROL!$C$38, 0.0256, 0)</f>
        <v>19.4816</v>
      </c>
      <c r="G129" s="14">
        <f>18.2031 * CHOOSE(CONTROL!$C$15, $E$9, 100%, $G$9) + CHOOSE(CONTROL!$C$38, 0.0347, 0)</f>
        <v>18.2378</v>
      </c>
      <c r="H129" s="14">
        <f>18.2031 * CHOOSE(CONTROL!$C$15, $E$9, 100%, $G$9) + CHOOSE(CONTROL!$C$38, 0.0347, 0)</f>
        <v>18.2378</v>
      </c>
      <c r="I129" s="14">
        <f>18.2046 * CHOOSE(CONTROL!$C$15, $E$9, 100%, $G$9) + CHOOSE(CONTROL!$C$38, 0.0347, 0)</f>
        <v>18.2393</v>
      </c>
      <c r="J129" s="44">
        <f>120.9992</f>
        <v>120.9992</v>
      </c>
    </row>
    <row r="130" spans="1:10" ht="15" x14ac:dyDescent="0.2">
      <c r="A130" s="13">
        <v>44866</v>
      </c>
      <c r="B130" s="14">
        <f>19.8057 * CHOOSE(CONTROL!$C$15, $E$9, 100%, $G$9) + CHOOSE(CONTROL!$C$38, 0.0256, 0)</f>
        <v>19.831300000000002</v>
      </c>
      <c r="C130" s="14">
        <f>18.3981 * CHOOSE(CONTROL!$C$15, $E$9, 100%, $G$9) + CHOOSE(CONTROL!$C$38, 0.0347, 0)</f>
        <v>18.4328</v>
      </c>
      <c r="D130" s="14">
        <f>18.3903 * CHOOSE(CONTROL!$C$15, $E$9, 100%, $G$9) + CHOOSE(CONTROL!$C$38, 0.0347, 0)</f>
        <v>18.425000000000001</v>
      </c>
      <c r="E130" s="46">
        <f>19.6495 * CHOOSE(CONTROL!$C$15, $E$9, 100%, $G$9) + CHOOSE(CONTROL!$C$38, 0.0347, 0)</f>
        <v>19.684200000000001</v>
      </c>
      <c r="F130" s="45">
        <f>19.6495 * CHOOSE(CONTROL!$C$15, $E$9, 100%, $G$9) + CHOOSE(CONTROL!$C$38, 0.0256, 0)</f>
        <v>19.6751</v>
      </c>
      <c r="G130" s="14">
        <f>18.3965 * CHOOSE(CONTROL!$C$15, $E$9, 100%, $G$9) + CHOOSE(CONTROL!$C$38, 0.0347, 0)</f>
        <v>18.4312</v>
      </c>
      <c r="H130" s="14">
        <f>18.3965 * CHOOSE(CONTROL!$C$15, $E$9, 100%, $G$9) + CHOOSE(CONTROL!$C$38, 0.0347, 0)</f>
        <v>18.4312</v>
      </c>
      <c r="I130" s="14">
        <f>18.3981 * CHOOSE(CONTROL!$C$15, $E$9, 100%, $G$9) + CHOOSE(CONTROL!$C$38, 0.0347, 0)</f>
        <v>18.4328</v>
      </c>
      <c r="J130" s="44">
        <f>120.1371</f>
        <v>120.1371</v>
      </c>
    </row>
    <row r="131" spans="1:10" ht="15" x14ac:dyDescent="0.2">
      <c r="A131" s="13">
        <v>44896</v>
      </c>
      <c r="B131" s="14">
        <f>20.4018 * CHOOSE(CONTROL!$C$15, $E$9, 100%, $G$9) + CHOOSE(CONTROL!$C$38, 0.0256, 0)</f>
        <v>20.427400000000002</v>
      </c>
      <c r="C131" s="14">
        <f>18.9941 * CHOOSE(CONTROL!$C$15, $E$9, 100%, $G$9) + CHOOSE(CONTROL!$C$38, 0.0347, 0)</f>
        <v>19.0288</v>
      </c>
      <c r="D131" s="14">
        <f>18.9863 * CHOOSE(CONTROL!$C$15, $E$9, 100%, $G$9) + CHOOSE(CONTROL!$C$38, 0.0347, 0)</f>
        <v>19.021000000000001</v>
      </c>
      <c r="E131" s="46">
        <f>20.2455 * CHOOSE(CONTROL!$C$15, $E$9, 100%, $G$9) + CHOOSE(CONTROL!$C$38, 0.0347, 0)</f>
        <v>20.280200000000001</v>
      </c>
      <c r="F131" s="45">
        <f>20.2455 * CHOOSE(CONTROL!$C$15, $E$9, 100%, $G$9) + CHOOSE(CONTROL!$C$38, 0.0256, 0)</f>
        <v>20.271100000000001</v>
      </c>
      <c r="G131" s="14">
        <f>18.9926 * CHOOSE(CONTROL!$C$15, $E$9, 100%, $G$9) + CHOOSE(CONTROL!$C$38, 0.0347, 0)</f>
        <v>19.0273</v>
      </c>
      <c r="H131" s="14">
        <f>18.9926 * CHOOSE(CONTROL!$C$15, $E$9, 100%, $G$9) + CHOOSE(CONTROL!$C$38, 0.0347, 0)</f>
        <v>19.0273</v>
      </c>
      <c r="I131" s="14">
        <f>18.9941 * CHOOSE(CONTROL!$C$15, $E$9, 100%, $G$9) + CHOOSE(CONTROL!$C$38, 0.0347, 0)</f>
        <v>19.0288</v>
      </c>
      <c r="J131" s="44">
        <f>116.572</f>
        <v>116.572</v>
      </c>
    </row>
    <row r="132" spans="1:10" ht="15" x14ac:dyDescent="0.2">
      <c r="A132" s="13">
        <v>44927</v>
      </c>
      <c r="B132" s="14">
        <f>21.8542 * CHOOSE(CONTROL!$C$15, $E$9, 100%, $G$9) + CHOOSE(CONTROL!$C$38, 0.0256, 0)</f>
        <v>21.879799999999999</v>
      </c>
      <c r="C132" s="14">
        <f>20.2663 * CHOOSE(CONTROL!$C$15, $E$9, 100%, $G$9) + CHOOSE(CONTROL!$C$38, 0.0347, 0)</f>
        <v>20.301000000000002</v>
      </c>
      <c r="D132" s="14">
        <f>20.2585 * CHOOSE(CONTROL!$C$15, $E$9, 100%, $G$9) + CHOOSE(CONTROL!$C$38, 0.0347, 0)</f>
        <v>20.293200000000002</v>
      </c>
      <c r="E132" s="46">
        <f>21.6979 * CHOOSE(CONTROL!$C$15, $E$9, 100%, $G$9) + CHOOSE(CONTROL!$C$38, 0.0347, 0)</f>
        <v>21.732600000000001</v>
      </c>
      <c r="F132" s="45">
        <f>21.6979 * CHOOSE(CONTROL!$C$15, $E$9, 100%, $G$9) + CHOOSE(CONTROL!$C$38, 0.0256, 0)</f>
        <v>21.723500000000001</v>
      </c>
      <c r="G132" s="14">
        <f>20.2647 * CHOOSE(CONTROL!$C$15, $E$9, 100%, $G$9) + CHOOSE(CONTROL!$C$38, 0.0347, 0)</f>
        <v>20.299400000000002</v>
      </c>
      <c r="H132" s="14">
        <f>20.2647 * CHOOSE(CONTROL!$C$15, $E$9, 100%, $G$9) + CHOOSE(CONTROL!$C$38, 0.0347, 0)</f>
        <v>20.299400000000002</v>
      </c>
      <c r="I132" s="14">
        <f>20.2663 * CHOOSE(CONTROL!$C$15, $E$9, 100%, $G$9) + CHOOSE(CONTROL!$C$38, 0.0347, 0)</f>
        <v>20.301000000000002</v>
      </c>
      <c r="J132" s="44">
        <f>118.9976</f>
        <v>118.99760000000001</v>
      </c>
    </row>
    <row r="133" spans="1:10" ht="15" x14ac:dyDescent="0.2">
      <c r="A133" s="13">
        <v>44958</v>
      </c>
      <c r="B133" s="14">
        <f>22.0749 * CHOOSE(CONTROL!$C$15, $E$9, 100%, $G$9) + CHOOSE(CONTROL!$C$38, 0.0256, 0)</f>
        <v>22.1005</v>
      </c>
      <c r="C133" s="14">
        <f>20.4871 * CHOOSE(CONTROL!$C$15, $E$9, 100%, $G$9) + CHOOSE(CONTROL!$C$38, 0.0347, 0)</f>
        <v>20.521800000000002</v>
      </c>
      <c r="D133" s="14">
        <f>20.4793 * CHOOSE(CONTROL!$C$15, $E$9, 100%, $G$9) + CHOOSE(CONTROL!$C$38, 0.0347, 0)</f>
        <v>20.513999999999999</v>
      </c>
      <c r="E133" s="46">
        <f>21.9187 * CHOOSE(CONTROL!$C$15, $E$9, 100%, $G$9) + CHOOSE(CONTROL!$C$38, 0.0347, 0)</f>
        <v>21.953400000000002</v>
      </c>
      <c r="F133" s="45">
        <f>21.9187 * CHOOSE(CONTROL!$C$15, $E$9, 100%, $G$9) + CHOOSE(CONTROL!$C$38, 0.0256, 0)</f>
        <v>21.944300000000002</v>
      </c>
      <c r="G133" s="14">
        <f>20.4855 * CHOOSE(CONTROL!$C$15, $E$9, 100%, $G$9) + CHOOSE(CONTROL!$C$38, 0.0347, 0)</f>
        <v>20.520199999999999</v>
      </c>
      <c r="H133" s="14">
        <f>20.4855 * CHOOSE(CONTROL!$C$15, $E$9, 100%, $G$9) + CHOOSE(CONTROL!$C$38, 0.0347, 0)</f>
        <v>20.520199999999999</v>
      </c>
      <c r="I133" s="14">
        <f>20.4871 * CHOOSE(CONTROL!$C$15, $E$9, 100%, $G$9) + CHOOSE(CONTROL!$C$38, 0.0347, 0)</f>
        <v>20.521800000000002</v>
      </c>
      <c r="J133" s="44">
        <f>118.6669</f>
        <v>118.6669</v>
      </c>
    </row>
    <row r="134" spans="1:10" ht="15" x14ac:dyDescent="0.2">
      <c r="A134" s="13">
        <v>44986</v>
      </c>
      <c r="B134" s="14">
        <f>21.5639 * CHOOSE(CONTROL!$C$15, $E$9, 100%, $G$9) + CHOOSE(CONTROL!$C$38, 0.0256, 0)</f>
        <v>21.589500000000001</v>
      </c>
      <c r="C134" s="14">
        <f>19.976 * CHOOSE(CONTROL!$C$15, $E$9, 100%, $G$9) + CHOOSE(CONTROL!$C$38, 0.0347, 0)</f>
        <v>20.0107</v>
      </c>
      <c r="D134" s="14">
        <f>19.9682 * CHOOSE(CONTROL!$C$15, $E$9, 100%, $G$9) + CHOOSE(CONTROL!$C$38, 0.0347, 0)</f>
        <v>20.0029</v>
      </c>
      <c r="E134" s="46">
        <f>21.4076 * CHOOSE(CONTROL!$C$15, $E$9, 100%, $G$9) + CHOOSE(CONTROL!$C$38, 0.0347, 0)</f>
        <v>21.442299999999999</v>
      </c>
      <c r="F134" s="45">
        <f>21.4076 * CHOOSE(CONTROL!$C$15, $E$9, 100%, $G$9) + CHOOSE(CONTROL!$C$38, 0.0256, 0)</f>
        <v>21.433199999999999</v>
      </c>
      <c r="G134" s="14">
        <f>19.9745 * CHOOSE(CONTROL!$C$15, $E$9, 100%, $G$9) + CHOOSE(CONTROL!$C$38, 0.0347, 0)</f>
        <v>20.0092</v>
      </c>
      <c r="H134" s="14">
        <f>19.9745 * CHOOSE(CONTROL!$C$15, $E$9, 100%, $G$9) + CHOOSE(CONTROL!$C$38, 0.0347, 0)</f>
        <v>20.0092</v>
      </c>
      <c r="I134" s="14">
        <f>19.976 * CHOOSE(CONTROL!$C$15, $E$9, 100%, $G$9) + CHOOSE(CONTROL!$C$38, 0.0347, 0)</f>
        <v>20.0107</v>
      </c>
      <c r="J134" s="44">
        <f>124.9213</f>
        <v>124.9213</v>
      </c>
    </row>
    <row r="135" spans="1:10" ht="15" x14ac:dyDescent="0.2">
      <c r="A135" s="13">
        <v>45017</v>
      </c>
      <c r="B135" s="14">
        <f>21.0687 * CHOOSE(CONTROL!$C$15, $E$9, 100%, $G$9) + CHOOSE(CONTROL!$C$38, 0.0256, 0)</f>
        <v>21.0943</v>
      </c>
      <c r="C135" s="14">
        <f>19.4809 * CHOOSE(CONTROL!$C$15, $E$9, 100%, $G$9) + CHOOSE(CONTROL!$C$38, 0.0347, 0)</f>
        <v>19.515599999999999</v>
      </c>
      <c r="D135" s="14">
        <f>19.473 * CHOOSE(CONTROL!$C$15, $E$9, 100%, $G$9) + CHOOSE(CONTROL!$C$38, 0.0347, 0)</f>
        <v>19.5077</v>
      </c>
      <c r="E135" s="46">
        <f>20.9125 * CHOOSE(CONTROL!$C$15, $E$9, 100%, $G$9) + CHOOSE(CONTROL!$C$38, 0.0347, 0)</f>
        <v>20.947200000000002</v>
      </c>
      <c r="F135" s="45">
        <f>20.9125 * CHOOSE(CONTROL!$C$15, $E$9, 100%, $G$9) + CHOOSE(CONTROL!$C$38, 0.0256, 0)</f>
        <v>20.938100000000002</v>
      </c>
      <c r="G135" s="14">
        <f>19.4793 * CHOOSE(CONTROL!$C$15, $E$9, 100%, $G$9) + CHOOSE(CONTROL!$C$38, 0.0347, 0)</f>
        <v>19.513999999999999</v>
      </c>
      <c r="H135" s="14">
        <f>19.4793 * CHOOSE(CONTROL!$C$15, $E$9, 100%, $G$9) + CHOOSE(CONTROL!$C$38, 0.0347, 0)</f>
        <v>19.513999999999999</v>
      </c>
      <c r="I135" s="14">
        <f>19.4809 * CHOOSE(CONTROL!$C$15, $E$9, 100%, $G$9) + CHOOSE(CONTROL!$C$38, 0.0347, 0)</f>
        <v>19.515599999999999</v>
      </c>
      <c r="J135" s="44">
        <f>133.0318</f>
        <v>133.0318</v>
      </c>
    </row>
    <row r="136" spans="1:10" ht="15" x14ac:dyDescent="0.2">
      <c r="A136" s="13">
        <v>45047</v>
      </c>
      <c r="B136" s="14">
        <f>20.5526 * CHOOSE(CONTROL!$C$15, $E$9, 100%, $G$9) + CHOOSE(CONTROL!$C$38, 0.0278, 0)</f>
        <v>20.580400000000001</v>
      </c>
      <c r="C136" s="14">
        <f>18.9647 * CHOOSE(CONTROL!$C$15, $E$9, 100%, $G$9) + CHOOSE(CONTROL!$C$38, 0.0369, 0)</f>
        <v>19.0016</v>
      </c>
      <c r="D136" s="14">
        <f>18.9569 * CHOOSE(CONTROL!$C$15, $E$9, 100%, $G$9) + CHOOSE(CONTROL!$C$38, 0.0369, 0)</f>
        <v>18.9938</v>
      </c>
      <c r="E136" s="46">
        <f>20.3963 * CHOOSE(CONTROL!$C$15, $E$9, 100%, $G$9) + CHOOSE(CONTROL!$C$38, 0.0369, 0)</f>
        <v>20.433199999999999</v>
      </c>
      <c r="F136" s="45">
        <f>20.3963 * CHOOSE(CONTROL!$C$15, $E$9, 100%, $G$9) + CHOOSE(CONTROL!$C$38, 0.0278, 0)</f>
        <v>20.424099999999999</v>
      </c>
      <c r="G136" s="14">
        <f>18.9632 * CHOOSE(CONTROL!$C$15, $E$9, 100%, $G$9) + CHOOSE(CONTROL!$C$38, 0.0369, 0)</f>
        <v>19.0001</v>
      </c>
      <c r="H136" s="14">
        <f>18.9632 * CHOOSE(CONTROL!$C$15, $E$9, 100%, $G$9) + CHOOSE(CONTROL!$C$38, 0.0369, 0)</f>
        <v>19.0001</v>
      </c>
      <c r="I136" s="14">
        <f>18.9647 * CHOOSE(CONTROL!$C$15, $E$9, 100%, $G$9) + CHOOSE(CONTROL!$C$38, 0.0369, 0)</f>
        <v>19.0016</v>
      </c>
      <c r="J136" s="44">
        <f>137.4961</f>
        <v>137.49610000000001</v>
      </c>
    </row>
    <row r="137" spans="1:10" ht="15" x14ac:dyDescent="0.2">
      <c r="A137" s="13">
        <v>45078</v>
      </c>
      <c r="B137" s="14">
        <f>20.1908 * CHOOSE(CONTROL!$C$15, $E$9, 100%, $G$9) + CHOOSE(CONTROL!$C$38, 0.0278, 0)</f>
        <v>20.218599999999999</v>
      </c>
      <c r="C137" s="14">
        <f>18.6029 * CHOOSE(CONTROL!$C$15, $E$9, 100%, $G$9) + CHOOSE(CONTROL!$C$38, 0.0369, 0)</f>
        <v>18.639800000000001</v>
      </c>
      <c r="D137" s="14">
        <f>18.5951 * CHOOSE(CONTROL!$C$15, $E$9, 100%, $G$9) + CHOOSE(CONTROL!$C$38, 0.0369, 0)</f>
        <v>18.631999999999998</v>
      </c>
      <c r="E137" s="46">
        <f>20.0345 * CHOOSE(CONTROL!$C$15, $E$9, 100%, $G$9) + CHOOSE(CONTROL!$C$38, 0.0369, 0)</f>
        <v>20.071400000000001</v>
      </c>
      <c r="F137" s="45">
        <f>20.0345 * CHOOSE(CONTROL!$C$15, $E$9, 100%, $G$9) + CHOOSE(CONTROL!$C$38, 0.0278, 0)</f>
        <v>20.0623</v>
      </c>
      <c r="G137" s="14">
        <f>18.6013 * CHOOSE(CONTROL!$C$15, $E$9, 100%, $G$9) + CHOOSE(CONTROL!$C$38, 0.0369, 0)</f>
        <v>18.638199999999998</v>
      </c>
      <c r="H137" s="14">
        <f>18.6013 * CHOOSE(CONTROL!$C$15, $E$9, 100%, $G$9) + CHOOSE(CONTROL!$C$38, 0.0369, 0)</f>
        <v>18.638199999999998</v>
      </c>
      <c r="I137" s="14">
        <f>18.6029 * CHOOSE(CONTROL!$C$15, $E$9, 100%, $G$9) + CHOOSE(CONTROL!$C$38, 0.0369, 0)</f>
        <v>18.639800000000001</v>
      </c>
      <c r="J137" s="44">
        <f>139.4773</f>
        <v>139.47730000000001</v>
      </c>
    </row>
    <row r="138" spans="1:10" ht="15" x14ac:dyDescent="0.2">
      <c r="A138" s="13">
        <v>45108</v>
      </c>
      <c r="B138" s="14">
        <f>19.9843 * CHOOSE(CONTROL!$C$15, $E$9, 100%, $G$9) + CHOOSE(CONTROL!$C$38, 0.0278, 0)</f>
        <v>20.0121</v>
      </c>
      <c r="C138" s="14">
        <f>18.3964 * CHOOSE(CONTROL!$C$15, $E$9, 100%, $G$9) + CHOOSE(CONTROL!$C$38, 0.0369, 0)</f>
        <v>18.433299999999999</v>
      </c>
      <c r="D138" s="14">
        <f>18.3886 * CHOOSE(CONTROL!$C$15, $E$9, 100%, $G$9) + CHOOSE(CONTROL!$C$38, 0.0369, 0)</f>
        <v>18.4255</v>
      </c>
      <c r="E138" s="46">
        <f>19.828 * CHOOSE(CONTROL!$C$15, $E$9, 100%, $G$9) + CHOOSE(CONTROL!$C$38, 0.0369, 0)</f>
        <v>19.864899999999999</v>
      </c>
      <c r="F138" s="45">
        <f>19.828 * CHOOSE(CONTROL!$C$15, $E$9, 100%, $G$9) + CHOOSE(CONTROL!$C$38, 0.0278, 0)</f>
        <v>19.855799999999999</v>
      </c>
      <c r="G138" s="14">
        <f>18.3949 * CHOOSE(CONTROL!$C$15, $E$9, 100%, $G$9) + CHOOSE(CONTROL!$C$38, 0.0369, 0)</f>
        <v>18.431799999999999</v>
      </c>
      <c r="H138" s="14">
        <f>18.3949 * CHOOSE(CONTROL!$C$15, $E$9, 100%, $G$9) + CHOOSE(CONTROL!$C$38, 0.0369, 0)</f>
        <v>18.431799999999999</v>
      </c>
      <c r="I138" s="14">
        <f>18.3964 * CHOOSE(CONTROL!$C$15, $E$9, 100%, $G$9) + CHOOSE(CONTROL!$C$38, 0.0369, 0)</f>
        <v>18.433299999999999</v>
      </c>
      <c r="J138" s="44">
        <f>138.825</f>
        <v>138.82499999999999</v>
      </c>
    </row>
    <row r="139" spans="1:10" ht="15" x14ac:dyDescent="0.2">
      <c r="A139" s="13">
        <v>45139</v>
      </c>
      <c r="B139" s="14">
        <f>20.0862 * CHOOSE(CONTROL!$C$15, $E$9, 100%, $G$9) + CHOOSE(CONTROL!$C$38, 0.0278, 0)</f>
        <v>20.114000000000001</v>
      </c>
      <c r="C139" s="14">
        <f>18.4983 * CHOOSE(CONTROL!$C$15, $E$9, 100%, $G$9) + CHOOSE(CONTROL!$C$38, 0.0369, 0)</f>
        <v>18.5352</v>
      </c>
      <c r="D139" s="14">
        <f>18.4905 * CHOOSE(CONTROL!$C$15, $E$9, 100%, $G$9) + CHOOSE(CONTROL!$C$38, 0.0369, 0)</f>
        <v>18.5274</v>
      </c>
      <c r="E139" s="46">
        <f>19.9299 * CHOOSE(CONTROL!$C$15, $E$9, 100%, $G$9) + CHOOSE(CONTROL!$C$38, 0.0369, 0)</f>
        <v>19.966799999999999</v>
      </c>
      <c r="F139" s="45">
        <f>19.9299 * CHOOSE(CONTROL!$C$15, $E$9, 100%, $G$9) + CHOOSE(CONTROL!$C$38, 0.0278, 0)</f>
        <v>19.957699999999999</v>
      </c>
      <c r="G139" s="14">
        <f>18.4968 * CHOOSE(CONTROL!$C$15, $E$9, 100%, $G$9) + CHOOSE(CONTROL!$C$38, 0.0369, 0)</f>
        <v>18.5337</v>
      </c>
      <c r="H139" s="14">
        <f>18.4968 * CHOOSE(CONTROL!$C$15, $E$9, 100%, $G$9) + CHOOSE(CONTROL!$C$38, 0.0369, 0)</f>
        <v>18.5337</v>
      </c>
      <c r="I139" s="14">
        <f>18.4983 * CHOOSE(CONTROL!$C$15, $E$9, 100%, $G$9) + CHOOSE(CONTROL!$C$38, 0.0369, 0)</f>
        <v>18.5352</v>
      </c>
      <c r="J139" s="44">
        <f>135.5932</f>
        <v>135.5932</v>
      </c>
    </row>
    <row r="140" spans="1:10" ht="15" x14ac:dyDescent="0.2">
      <c r="A140" s="13">
        <v>45170</v>
      </c>
      <c r="B140" s="14">
        <f>20.363 * CHOOSE(CONTROL!$C$15, $E$9, 100%, $G$9) + CHOOSE(CONTROL!$C$38, 0.0278, 0)</f>
        <v>20.390799999999999</v>
      </c>
      <c r="C140" s="14">
        <f>18.7751 * CHOOSE(CONTROL!$C$15, $E$9, 100%, $G$9) + CHOOSE(CONTROL!$C$38, 0.0369, 0)</f>
        <v>18.811999999999998</v>
      </c>
      <c r="D140" s="14">
        <f>18.7673 * CHOOSE(CONTROL!$C$15, $E$9, 100%, $G$9) + CHOOSE(CONTROL!$C$38, 0.0369, 0)</f>
        <v>18.804199999999998</v>
      </c>
      <c r="E140" s="46">
        <f>20.2067 * CHOOSE(CONTROL!$C$15, $E$9, 100%, $G$9) + CHOOSE(CONTROL!$C$38, 0.0369, 0)</f>
        <v>20.243600000000001</v>
      </c>
      <c r="F140" s="45">
        <f>20.2067 * CHOOSE(CONTROL!$C$15, $E$9, 100%, $G$9) + CHOOSE(CONTROL!$C$38, 0.0278, 0)</f>
        <v>20.234500000000001</v>
      </c>
      <c r="G140" s="14">
        <f>18.7736 * CHOOSE(CONTROL!$C$15, $E$9, 100%, $G$9) + CHOOSE(CONTROL!$C$38, 0.0369, 0)</f>
        <v>18.810499999999998</v>
      </c>
      <c r="H140" s="14">
        <f>18.7736 * CHOOSE(CONTROL!$C$15, $E$9, 100%, $G$9) + CHOOSE(CONTROL!$C$38, 0.0369, 0)</f>
        <v>18.810499999999998</v>
      </c>
      <c r="I140" s="14">
        <f>18.7751 * CHOOSE(CONTROL!$C$15, $E$9, 100%, $G$9) + CHOOSE(CONTROL!$C$38, 0.0369, 0)</f>
        <v>18.811999999999998</v>
      </c>
      <c r="J140" s="44">
        <f>131.0863</f>
        <v>131.08629999999999</v>
      </c>
    </row>
    <row r="141" spans="1:10" ht="15" x14ac:dyDescent="0.2">
      <c r="A141" s="13">
        <v>45200</v>
      </c>
      <c r="B141" s="14">
        <f>20.5948 * CHOOSE(CONTROL!$C$15, $E$9, 100%, $G$9) + CHOOSE(CONTROL!$C$38, 0.0256, 0)</f>
        <v>20.6204</v>
      </c>
      <c r="C141" s="14">
        <f>19.0069 * CHOOSE(CONTROL!$C$15, $E$9, 100%, $G$9) + CHOOSE(CONTROL!$C$38, 0.0347, 0)</f>
        <v>19.041600000000003</v>
      </c>
      <c r="D141" s="14">
        <f>18.9991 * CHOOSE(CONTROL!$C$15, $E$9, 100%, $G$9) + CHOOSE(CONTROL!$C$38, 0.0347, 0)</f>
        <v>19.033799999999999</v>
      </c>
      <c r="E141" s="46">
        <f>20.4386 * CHOOSE(CONTROL!$C$15, $E$9, 100%, $G$9) + CHOOSE(CONTROL!$C$38, 0.0347, 0)</f>
        <v>20.473300000000002</v>
      </c>
      <c r="F141" s="45">
        <f>20.4386 * CHOOSE(CONTROL!$C$15, $E$9, 100%, $G$9) + CHOOSE(CONTROL!$C$38, 0.0256, 0)</f>
        <v>20.464200000000002</v>
      </c>
      <c r="G141" s="14">
        <f>19.0054 * CHOOSE(CONTROL!$C$15, $E$9, 100%, $G$9) + CHOOSE(CONTROL!$C$38, 0.0347, 0)</f>
        <v>19.040100000000002</v>
      </c>
      <c r="H141" s="14">
        <f>19.0054 * CHOOSE(CONTROL!$C$15, $E$9, 100%, $G$9) + CHOOSE(CONTROL!$C$38, 0.0347, 0)</f>
        <v>19.040100000000002</v>
      </c>
      <c r="I141" s="14">
        <f>19.0069 * CHOOSE(CONTROL!$C$15, $E$9, 100%, $G$9) + CHOOSE(CONTROL!$C$38, 0.0347, 0)</f>
        <v>19.041600000000003</v>
      </c>
      <c r="J141" s="44">
        <f>126.5532</f>
        <v>126.5532</v>
      </c>
    </row>
    <row r="142" spans="1:10" ht="15" x14ac:dyDescent="0.2">
      <c r="A142" s="13">
        <v>45231</v>
      </c>
      <c r="B142" s="14">
        <f>20.7882 * CHOOSE(CONTROL!$C$15, $E$9, 100%, $G$9) + CHOOSE(CONTROL!$C$38, 0.0256, 0)</f>
        <v>20.813800000000001</v>
      </c>
      <c r="C142" s="14">
        <f>19.2004 * CHOOSE(CONTROL!$C$15, $E$9, 100%, $G$9) + CHOOSE(CONTROL!$C$38, 0.0347, 0)</f>
        <v>19.235099999999999</v>
      </c>
      <c r="D142" s="14">
        <f>19.1926 * CHOOSE(CONTROL!$C$15, $E$9, 100%, $G$9) + CHOOSE(CONTROL!$C$38, 0.0347, 0)</f>
        <v>19.2273</v>
      </c>
      <c r="E142" s="46">
        <f>20.632 * CHOOSE(CONTROL!$C$15, $E$9, 100%, $G$9) + CHOOSE(CONTROL!$C$38, 0.0347, 0)</f>
        <v>20.666700000000002</v>
      </c>
      <c r="F142" s="45">
        <f>20.632 * CHOOSE(CONTROL!$C$15, $E$9, 100%, $G$9) + CHOOSE(CONTROL!$C$38, 0.0256, 0)</f>
        <v>20.657600000000002</v>
      </c>
      <c r="G142" s="14">
        <f>19.1988 * CHOOSE(CONTROL!$C$15, $E$9, 100%, $G$9) + CHOOSE(CONTROL!$C$38, 0.0347, 0)</f>
        <v>19.233499999999999</v>
      </c>
      <c r="H142" s="14">
        <f>19.1988 * CHOOSE(CONTROL!$C$15, $E$9, 100%, $G$9) + CHOOSE(CONTROL!$C$38, 0.0347, 0)</f>
        <v>19.233499999999999</v>
      </c>
      <c r="I142" s="14">
        <f>19.2004 * CHOOSE(CONTROL!$C$15, $E$9, 100%, $G$9) + CHOOSE(CONTROL!$C$38, 0.0347, 0)</f>
        <v>19.235099999999999</v>
      </c>
      <c r="J142" s="44">
        <f>125.6515</f>
        <v>125.6515</v>
      </c>
    </row>
    <row r="143" spans="1:10" ht="15" x14ac:dyDescent="0.2">
      <c r="A143" s="13">
        <v>45261</v>
      </c>
      <c r="B143" s="14">
        <f>21.3843 * CHOOSE(CONTROL!$C$15, $E$9, 100%, $G$9) + CHOOSE(CONTROL!$C$38, 0.0256, 0)</f>
        <v>21.4099</v>
      </c>
      <c r="C143" s="14">
        <f>19.7965 * CHOOSE(CONTROL!$C$15, $E$9, 100%, $G$9) + CHOOSE(CONTROL!$C$38, 0.0347, 0)</f>
        <v>19.831200000000003</v>
      </c>
      <c r="D143" s="14">
        <f>19.7886 * CHOOSE(CONTROL!$C$15, $E$9, 100%, $G$9) + CHOOSE(CONTROL!$C$38, 0.0347, 0)</f>
        <v>19.8233</v>
      </c>
      <c r="E143" s="46">
        <f>21.2281 * CHOOSE(CONTROL!$C$15, $E$9, 100%, $G$9) + CHOOSE(CONTROL!$C$38, 0.0347, 0)</f>
        <v>21.262800000000002</v>
      </c>
      <c r="F143" s="45">
        <f>21.2281 * CHOOSE(CONTROL!$C$15, $E$9, 100%, $G$9) + CHOOSE(CONTROL!$C$38, 0.0256, 0)</f>
        <v>21.253700000000002</v>
      </c>
      <c r="G143" s="14">
        <f>19.7949 * CHOOSE(CONTROL!$C$15, $E$9, 100%, $G$9) + CHOOSE(CONTROL!$C$38, 0.0347, 0)</f>
        <v>19.829599999999999</v>
      </c>
      <c r="H143" s="14">
        <f>19.7949 * CHOOSE(CONTROL!$C$15, $E$9, 100%, $G$9) + CHOOSE(CONTROL!$C$38, 0.0347, 0)</f>
        <v>19.829599999999999</v>
      </c>
      <c r="I143" s="14">
        <f>19.7965 * CHOOSE(CONTROL!$C$15, $E$9, 100%, $G$9) + CHOOSE(CONTROL!$C$38, 0.0347, 0)</f>
        <v>19.831200000000003</v>
      </c>
      <c r="J143" s="44">
        <f>121.9227</f>
        <v>121.92270000000001</v>
      </c>
    </row>
    <row r="144" spans="1:10" ht="15" x14ac:dyDescent="0.2">
      <c r="A144" s="13">
        <v>45292</v>
      </c>
      <c r="B144" s="14">
        <f>22.8623 * CHOOSE(CONTROL!$C$15, $E$9, 100%, $G$9) + CHOOSE(CONTROL!$C$38, 0.0256, 0)</f>
        <v>22.887900000000002</v>
      </c>
      <c r="C144" s="14">
        <f>21.0936 * CHOOSE(CONTROL!$C$15, $E$9, 100%, $G$9) + CHOOSE(CONTROL!$C$38, 0.0347, 0)</f>
        <v>21.128299999999999</v>
      </c>
      <c r="D144" s="14">
        <f>21.0858 * CHOOSE(CONTROL!$C$15, $E$9, 100%, $G$9) + CHOOSE(CONTROL!$C$38, 0.0347, 0)</f>
        <v>21.1205</v>
      </c>
      <c r="E144" s="46">
        <f>22.706 * CHOOSE(CONTROL!$C$15, $E$9, 100%, $G$9) + CHOOSE(CONTROL!$C$38, 0.0347, 0)</f>
        <v>22.7407</v>
      </c>
      <c r="F144" s="45">
        <f>22.706 * CHOOSE(CONTROL!$C$15, $E$9, 100%, $G$9) + CHOOSE(CONTROL!$C$38, 0.0256, 0)</f>
        <v>22.7316</v>
      </c>
      <c r="G144" s="14">
        <f>21.092 * CHOOSE(CONTROL!$C$15, $E$9, 100%, $G$9) + CHOOSE(CONTROL!$C$38, 0.0347, 0)</f>
        <v>21.1267</v>
      </c>
      <c r="H144" s="14">
        <f>21.092 * CHOOSE(CONTROL!$C$15, $E$9, 100%, $G$9) + CHOOSE(CONTROL!$C$38, 0.0347, 0)</f>
        <v>21.1267</v>
      </c>
      <c r="I144" s="14">
        <f>21.0936 * CHOOSE(CONTROL!$C$15, $E$9, 100%, $G$9) + CHOOSE(CONTROL!$C$38, 0.0347, 0)</f>
        <v>21.128299999999999</v>
      </c>
      <c r="J144" s="44">
        <f>124.4535</f>
        <v>124.45350000000001</v>
      </c>
    </row>
    <row r="145" spans="1:10" ht="15" x14ac:dyDescent="0.2">
      <c r="A145" s="13">
        <v>45323</v>
      </c>
      <c r="B145" s="14">
        <f>23.083 * CHOOSE(CONTROL!$C$15, $E$9, 100%, $G$9) + CHOOSE(CONTROL!$C$38, 0.0256, 0)</f>
        <v>23.108599999999999</v>
      </c>
      <c r="C145" s="14">
        <f>21.3143 * CHOOSE(CONTROL!$C$15, $E$9, 100%, $G$9) + CHOOSE(CONTROL!$C$38, 0.0347, 0)</f>
        <v>21.349</v>
      </c>
      <c r="D145" s="14">
        <f>21.3065 * CHOOSE(CONTROL!$C$15, $E$9, 100%, $G$9) + CHOOSE(CONTROL!$C$38, 0.0347, 0)</f>
        <v>21.341200000000001</v>
      </c>
      <c r="E145" s="46">
        <f>22.9268 * CHOOSE(CONTROL!$C$15, $E$9, 100%, $G$9) + CHOOSE(CONTROL!$C$38, 0.0347, 0)</f>
        <v>22.961500000000001</v>
      </c>
      <c r="F145" s="45">
        <f>22.9268 * CHOOSE(CONTROL!$C$15, $E$9, 100%, $G$9) + CHOOSE(CONTROL!$C$38, 0.0256, 0)</f>
        <v>22.952400000000001</v>
      </c>
      <c r="G145" s="14">
        <f>21.3128 * CHOOSE(CONTROL!$C$15, $E$9, 100%, $G$9) + CHOOSE(CONTROL!$C$38, 0.0347, 0)</f>
        <v>21.3475</v>
      </c>
      <c r="H145" s="14">
        <f>21.3128 * CHOOSE(CONTROL!$C$15, $E$9, 100%, $G$9) + CHOOSE(CONTROL!$C$38, 0.0347, 0)</f>
        <v>21.3475</v>
      </c>
      <c r="I145" s="14">
        <f>21.3143 * CHOOSE(CONTROL!$C$15, $E$9, 100%, $G$9) + CHOOSE(CONTROL!$C$38, 0.0347, 0)</f>
        <v>21.349</v>
      </c>
      <c r="J145" s="44">
        <f>124.1076</f>
        <v>124.10760000000001</v>
      </c>
    </row>
    <row r="146" spans="1:10" ht="15" x14ac:dyDescent="0.2">
      <c r="A146" s="13">
        <v>45352</v>
      </c>
      <c r="B146" s="14">
        <f>22.572 * CHOOSE(CONTROL!$C$15, $E$9, 100%, $G$9) + CHOOSE(CONTROL!$C$38, 0.0256, 0)</f>
        <v>22.5976</v>
      </c>
      <c r="C146" s="14">
        <f>20.8033 * CHOOSE(CONTROL!$C$15, $E$9, 100%, $G$9) + CHOOSE(CONTROL!$C$38, 0.0347, 0)</f>
        <v>20.838000000000001</v>
      </c>
      <c r="D146" s="14">
        <f>20.7955 * CHOOSE(CONTROL!$C$15, $E$9, 100%, $G$9) + CHOOSE(CONTROL!$C$38, 0.0347, 0)</f>
        <v>20.830200000000001</v>
      </c>
      <c r="E146" s="46">
        <f>22.4158 * CHOOSE(CONTROL!$C$15, $E$9, 100%, $G$9) + CHOOSE(CONTROL!$C$38, 0.0347, 0)</f>
        <v>22.450500000000002</v>
      </c>
      <c r="F146" s="45">
        <f>22.4158 * CHOOSE(CONTROL!$C$15, $E$9, 100%, $G$9) + CHOOSE(CONTROL!$C$38, 0.0256, 0)</f>
        <v>22.441400000000002</v>
      </c>
      <c r="G146" s="14">
        <f>20.8017 * CHOOSE(CONTROL!$C$15, $E$9, 100%, $G$9) + CHOOSE(CONTROL!$C$38, 0.0347, 0)</f>
        <v>20.836400000000001</v>
      </c>
      <c r="H146" s="14">
        <f>20.8017 * CHOOSE(CONTROL!$C$15, $E$9, 100%, $G$9) + CHOOSE(CONTROL!$C$38, 0.0347, 0)</f>
        <v>20.836400000000001</v>
      </c>
      <c r="I146" s="14">
        <f>20.8033 * CHOOSE(CONTROL!$C$15, $E$9, 100%, $G$9) + CHOOSE(CONTROL!$C$38, 0.0347, 0)</f>
        <v>20.838000000000001</v>
      </c>
      <c r="J146" s="44">
        <f>130.6488</f>
        <v>130.64879999999999</v>
      </c>
    </row>
    <row r="147" spans="1:10" ht="15" x14ac:dyDescent="0.2">
      <c r="A147" s="13">
        <v>45383</v>
      </c>
      <c r="B147" s="14">
        <f>22.0768 * CHOOSE(CONTROL!$C$15, $E$9, 100%, $G$9) + CHOOSE(CONTROL!$C$38, 0.0256, 0)</f>
        <v>22.102399999999999</v>
      </c>
      <c r="C147" s="14">
        <f>20.3081 * CHOOSE(CONTROL!$C$15, $E$9, 100%, $G$9) + CHOOSE(CONTROL!$C$38, 0.0347, 0)</f>
        <v>20.3428</v>
      </c>
      <c r="D147" s="14">
        <f>20.3003 * CHOOSE(CONTROL!$C$15, $E$9, 100%, $G$9) + CHOOSE(CONTROL!$C$38, 0.0347, 0)</f>
        <v>20.335000000000001</v>
      </c>
      <c r="E147" s="46">
        <f>21.9206 * CHOOSE(CONTROL!$C$15, $E$9, 100%, $G$9) + CHOOSE(CONTROL!$C$38, 0.0347, 0)</f>
        <v>21.955300000000001</v>
      </c>
      <c r="F147" s="45">
        <f>21.9206 * CHOOSE(CONTROL!$C$15, $E$9, 100%, $G$9) + CHOOSE(CONTROL!$C$38, 0.0256, 0)</f>
        <v>21.946200000000001</v>
      </c>
      <c r="G147" s="14">
        <f>20.3066 * CHOOSE(CONTROL!$C$15, $E$9, 100%, $G$9) + CHOOSE(CONTROL!$C$38, 0.0347, 0)</f>
        <v>20.3413</v>
      </c>
      <c r="H147" s="14">
        <f>20.3066 * CHOOSE(CONTROL!$C$15, $E$9, 100%, $G$9) + CHOOSE(CONTROL!$C$38, 0.0347, 0)</f>
        <v>20.3413</v>
      </c>
      <c r="I147" s="14">
        <f>20.3081 * CHOOSE(CONTROL!$C$15, $E$9, 100%, $G$9) + CHOOSE(CONTROL!$C$38, 0.0347, 0)</f>
        <v>20.3428</v>
      </c>
      <c r="J147" s="44">
        <f>139.1311</f>
        <v>139.1311</v>
      </c>
    </row>
    <row r="148" spans="1:10" ht="15" x14ac:dyDescent="0.2">
      <c r="A148" s="13">
        <v>45413</v>
      </c>
      <c r="B148" s="14">
        <f>21.5607 * CHOOSE(CONTROL!$C$15, $E$9, 100%, $G$9) + CHOOSE(CONTROL!$C$38, 0.0278, 0)</f>
        <v>21.5885</v>
      </c>
      <c r="C148" s="14">
        <f>19.792 * CHOOSE(CONTROL!$C$15, $E$9, 100%, $G$9) + CHOOSE(CONTROL!$C$38, 0.0369, 0)</f>
        <v>19.828900000000001</v>
      </c>
      <c r="D148" s="14">
        <f>19.7842 * CHOOSE(CONTROL!$C$15, $E$9, 100%, $G$9) + CHOOSE(CONTROL!$C$38, 0.0369, 0)</f>
        <v>19.821099999999998</v>
      </c>
      <c r="E148" s="46">
        <f>21.4045 * CHOOSE(CONTROL!$C$15, $E$9, 100%, $G$9) + CHOOSE(CONTROL!$C$38, 0.0369, 0)</f>
        <v>21.441399999999998</v>
      </c>
      <c r="F148" s="45">
        <f>21.4045 * CHOOSE(CONTROL!$C$15, $E$9, 100%, $G$9) + CHOOSE(CONTROL!$C$38, 0.0278, 0)</f>
        <v>21.432299999999998</v>
      </c>
      <c r="G148" s="14">
        <f>19.7905 * CHOOSE(CONTROL!$C$15, $E$9, 100%, $G$9) + CHOOSE(CONTROL!$C$38, 0.0369, 0)</f>
        <v>19.827400000000001</v>
      </c>
      <c r="H148" s="14">
        <f>19.7905 * CHOOSE(CONTROL!$C$15, $E$9, 100%, $G$9) + CHOOSE(CONTROL!$C$38, 0.0369, 0)</f>
        <v>19.827400000000001</v>
      </c>
      <c r="I148" s="14">
        <f>19.792 * CHOOSE(CONTROL!$C$15, $E$9, 100%, $G$9) + CHOOSE(CONTROL!$C$38, 0.0369, 0)</f>
        <v>19.828900000000001</v>
      </c>
      <c r="J148" s="44">
        <f>143.8001</f>
        <v>143.80009999999999</v>
      </c>
    </row>
    <row r="149" spans="1:10" ht="15" x14ac:dyDescent="0.2">
      <c r="A149" s="13">
        <v>45444</v>
      </c>
      <c r="B149" s="14">
        <f>21.1989 * CHOOSE(CONTROL!$C$15, $E$9, 100%, $G$9) + CHOOSE(CONTROL!$C$38, 0.0278, 0)</f>
        <v>21.226699999999997</v>
      </c>
      <c r="C149" s="14">
        <f>19.4302 * CHOOSE(CONTROL!$C$15, $E$9, 100%, $G$9) + CHOOSE(CONTROL!$C$38, 0.0369, 0)</f>
        <v>19.467099999999999</v>
      </c>
      <c r="D149" s="14">
        <f>19.4224 * CHOOSE(CONTROL!$C$15, $E$9, 100%, $G$9) + CHOOSE(CONTROL!$C$38, 0.0369, 0)</f>
        <v>19.459299999999999</v>
      </c>
      <c r="E149" s="46">
        <f>21.0426 * CHOOSE(CONTROL!$C$15, $E$9, 100%, $G$9) + CHOOSE(CONTROL!$C$38, 0.0369, 0)</f>
        <v>21.079499999999999</v>
      </c>
      <c r="F149" s="45">
        <f>21.0426 * CHOOSE(CONTROL!$C$15, $E$9, 100%, $G$9) + CHOOSE(CONTROL!$C$38, 0.0278, 0)</f>
        <v>21.070399999999999</v>
      </c>
      <c r="G149" s="14">
        <f>19.4286 * CHOOSE(CONTROL!$C$15, $E$9, 100%, $G$9) + CHOOSE(CONTROL!$C$38, 0.0369, 0)</f>
        <v>19.465499999999999</v>
      </c>
      <c r="H149" s="14">
        <f>19.4286 * CHOOSE(CONTROL!$C$15, $E$9, 100%, $G$9) + CHOOSE(CONTROL!$C$38, 0.0369, 0)</f>
        <v>19.465499999999999</v>
      </c>
      <c r="I149" s="14">
        <f>19.4302 * CHOOSE(CONTROL!$C$15, $E$9, 100%, $G$9) + CHOOSE(CONTROL!$C$38, 0.0369, 0)</f>
        <v>19.467099999999999</v>
      </c>
      <c r="J149" s="44">
        <f>145.8721</f>
        <v>145.87209999999999</v>
      </c>
    </row>
    <row r="150" spans="1:10" ht="15" x14ac:dyDescent="0.2">
      <c r="A150" s="13">
        <v>45474</v>
      </c>
      <c r="B150" s="14">
        <f>20.9924 * CHOOSE(CONTROL!$C$15, $E$9, 100%, $G$9) + CHOOSE(CONTROL!$C$38, 0.0278, 0)</f>
        <v>21.020199999999999</v>
      </c>
      <c r="C150" s="14">
        <f>19.2237 * CHOOSE(CONTROL!$C$15, $E$9, 100%, $G$9) + CHOOSE(CONTROL!$C$38, 0.0369, 0)</f>
        <v>19.2606</v>
      </c>
      <c r="D150" s="14">
        <f>19.2159 * CHOOSE(CONTROL!$C$15, $E$9, 100%, $G$9) + CHOOSE(CONTROL!$C$38, 0.0369, 0)</f>
        <v>19.252800000000001</v>
      </c>
      <c r="E150" s="46">
        <f>20.8361 * CHOOSE(CONTROL!$C$15, $E$9, 100%, $G$9) + CHOOSE(CONTROL!$C$38, 0.0369, 0)</f>
        <v>20.872999999999998</v>
      </c>
      <c r="F150" s="45">
        <f>20.8361 * CHOOSE(CONTROL!$C$15, $E$9, 100%, $G$9) + CHOOSE(CONTROL!$C$38, 0.0278, 0)</f>
        <v>20.863899999999997</v>
      </c>
      <c r="G150" s="14">
        <f>19.2221 * CHOOSE(CONTROL!$C$15, $E$9, 100%, $G$9) + CHOOSE(CONTROL!$C$38, 0.0369, 0)</f>
        <v>19.259</v>
      </c>
      <c r="H150" s="14">
        <f>19.2221 * CHOOSE(CONTROL!$C$15, $E$9, 100%, $G$9) + CHOOSE(CONTROL!$C$38, 0.0369, 0)</f>
        <v>19.259</v>
      </c>
      <c r="I150" s="14">
        <f>19.2237 * CHOOSE(CONTROL!$C$15, $E$9, 100%, $G$9) + CHOOSE(CONTROL!$C$38, 0.0369, 0)</f>
        <v>19.2606</v>
      </c>
      <c r="J150" s="44">
        <f>145.1899</f>
        <v>145.18989999999999</v>
      </c>
    </row>
    <row r="151" spans="1:10" ht="15" x14ac:dyDescent="0.2">
      <c r="A151" s="13">
        <v>45505</v>
      </c>
      <c r="B151" s="14">
        <f>21.0943 * CHOOSE(CONTROL!$C$15, $E$9, 100%, $G$9) + CHOOSE(CONTROL!$C$38, 0.0278, 0)</f>
        <v>21.1221</v>
      </c>
      <c r="C151" s="14">
        <f>19.3256 * CHOOSE(CONTROL!$C$15, $E$9, 100%, $G$9) + CHOOSE(CONTROL!$C$38, 0.0369, 0)</f>
        <v>19.362500000000001</v>
      </c>
      <c r="D151" s="14">
        <f>19.3178 * CHOOSE(CONTROL!$C$15, $E$9, 100%, $G$9) + CHOOSE(CONTROL!$C$38, 0.0369, 0)</f>
        <v>19.354699999999998</v>
      </c>
      <c r="E151" s="46">
        <f>20.938 * CHOOSE(CONTROL!$C$15, $E$9, 100%, $G$9) + CHOOSE(CONTROL!$C$38, 0.0369, 0)</f>
        <v>20.974899999999998</v>
      </c>
      <c r="F151" s="45">
        <f>20.938 * CHOOSE(CONTROL!$C$15, $E$9, 100%, $G$9) + CHOOSE(CONTROL!$C$38, 0.0278, 0)</f>
        <v>20.965799999999998</v>
      </c>
      <c r="G151" s="14">
        <f>19.324 * CHOOSE(CONTROL!$C$15, $E$9, 100%, $G$9) + CHOOSE(CONTROL!$C$38, 0.0369, 0)</f>
        <v>19.360900000000001</v>
      </c>
      <c r="H151" s="14">
        <f>19.324 * CHOOSE(CONTROL!$C$15, $E$9, 100%, $G$9) + CHOOSE(CONTROL!$C$38, 0.0369, 0)</f>
        <v>19.360900000000001</v>
      </c>
      <c r="I151" s="14">
        <f>19.3256 * CHOOSE(CONTROL!$C$15, $E$9, 100%, $G$9) + CHOOSE(CONTROL!$C$38, 0.0369, 0)</f>
        <v>19.362500000000001</v>
      </c>
      <c r="J151" s="44">
        <f>141.8099</f>
        <v>141.8099</v>
      </c>
    </row>
    <row r="152" spans="1:10" ht="15" x14ac:dyDescent="0.2">
      <c r="A152" s="13">
        <v>45536</v>
      </c>
      <c r="B152" s="14">
        <f>21.3711 * CHOOSE(CONTROL!$C$15, $E$9, 100%, $G$9) + CHOOSE(CONTROL!$C$38, 0.0278, 0)</f>
        <v>21.398899999999998</v>
      </c>
      <c r="C152" s="14">
        <f>19.6024 * CHOOSE(CONTROL!$C$15, $E$9, 100%, $G$9) + CHOOSE(CONTROL!$C$38, 0.0369, 0)</f>
        <v>19.639299999999999</v>
      </c>
      <c r="D152" s="14">
        <f>19.5946 * CHOOSE(CONTROL!$C$15, $E$9, 100%, $G$9) + CHOOSE(CONTROL!$C$38, 0.0369, 0)</f>
        <v>19.631499999999999</v>
      </c>
      <c r="E152" s="46">
        <f>21.2148 * CHOOSE(CONTROL!$C$15, $E$9, 100%, $G$9) + CHOOSE(CONTROL!$C$38, 0.0369, 0)</f>
        <v>21.2517</v>
      </c>
      <c r="F152" s="45">
        <f>21.2148 * CHOOSE(CONTROL!$C$15, $E$9, 100%, $G$9) + CHOOSE(CONTROL!$C$38, 0.0278, 0)</f>
        <v>21.242599999999999</v>
      </c>
      <c r="G152" s="14">
        <f>19.6008 * CHOOSE(CONTROL!$C$15, $E$9, 100%, $G$9) + CHOOSE(CONTROL!$C$38, 0.0369, 0)</f>
        <v>19.637699999999999</v>
      </c>
      <c r="H152" s="14">
        <f>19.6008 * CHOOSE(CONTROL!$C$15, $E$9, 100%, $G$9) + CHOOSE(CONTROL!$C$38, 0.0369, 0)</f>
        <v>19.637699999999999</v>
      </c>
      <c r="I152" s="14">
        <f>19.6024 * CHOOSE(CONTROL!$C$15, $E$9, 100%, $G$9) + CHOOSE(CONTROL!$C$38, 0.0369, 0)</f>
        <v>19.639299999999999</v>
      </c>
      <c r="J152" s="44">
        <f>137.0964</f>
        <v>137.09639999999999</v>
      </c>
    </row>
    <row r="153" spans="1:10" ht="15" x14ac:dyDescent="0.2">
      <c r="A153" s="13">
        <v>45566</v>
      </c>
      <c r="B153" s="14">
        <f>21.6029 * CHOOSE(CONTROL!$C$15, $E$9, 100%, $G$9) + CHOOSE(CONTROL!$C$38, 0.0256, 0)</f>
        <v>21.628500000000003</v>
      </c>
      <c r="C153" s="14">
        <f>19.8342 * CHOOSE(CONTROL!$C$15, $E$9, 100%, $G$9) + CHOOSE(CONTROL!$C$38, 0.0347, 0)</f>
        <v>19.8689</v>
      </c>
      <c r="D153" s="14">
        <f>19.8264 * CHOOSE(CONTROL!$C$15, $E$9, 100%, $G$9) + CHOOSE(CONTROL!$C$38, 0.0347, 0)</f>
        <v>19.8611</v>
      </c>
      <c r="E153" s="46">
        <f>21.4467 * CHOOSE(CONTROL!$C$15, $E$9, 100%, $G$9) + CHOOSE(CONTROL!$C$38, 0.0347, 0)</f>
        <v>21.481400000000001</v>
      </c>
      <c r="F153" s="45">
        <f>21.4467 * CHOOSE(CONTROL!$C$15, $E$9, 100%, $G$9) + CHOOSE(CONTROL!$C$38, 0.0256, 0)</f>
        <v>21.472300000000001</v>
      </c>
      <c r="G153" s="14">
        <f>19.8327 * CHOOSE(CONTROL!$C$15, $E$9, 100%, $G$9) + CHOOSE(CONTROL!$C$38, 0.0347, 0)</f>
        <v>19.8674</v>
      </c>
      <c r="H153" s="14">
        <f>19.8327 * CHOOSE(CONTROL!$C$15, $E$9, 100%, $G$9) + CHOOSE(CONTROL!$C$38, 0.0347, 0)</f>
        <v>19.8674</v>
      </c>
      <c r="I153" s="14">
        <f>19.8342 * CHOOSE(CONTROL!$C$15, $E$9, 100%, $G$9) + CHOOSE(CONTROL!$C$38, 0.0347, 0)</f>
        <v>19.8689</v>
      </c>
      <c r="J153" s="44">
        <f>132.3555</f>
        <v>132.35550000000001</v>
      </c>
    </row>
    <row r="154" spans="1:10" ht="15" x14ac:dyDescent="0.2">
      <c r="A154" s="13">
        <v>45597</v>
      </c>
      <c r="B154" s="14">
        <f>21.7964 * CHOOSE(CONTROL!$C$15, $E$9, 100%, $G$9) + CHOOSE(CONTROL!$C$38, 0.0256, 0)</f>
        <v>21.821999999999999</v>
      </c>
      <c r="C154" s="14">
        <f>20.0277 * CHOOSE(CONTROL!$C$15, $E$9, 100%, $G$9) + CHOOSE(CONTROL!$C$38, 0.0347, 0)</f>
        <v>20.0624</v>
      </c>
      <c r="D154" s="14">
        <f>20.0199 * CHOOSE(CONTROL!$C$15, $E$9, 100%, $G$9) + CHOOSE(CONTROL!$C$38, 0.0347, 0)</f>
        <v>20.054600000000001</v>
      </c>
      <c r="E154" s="46">
        <f>21.6401 * CHOOSE(CONTROL!$C$15, $E$9, 100%, $G$9) + CHOOSE(CONTROL!$C$38, 0.0347, 0)</f>
        <v>21.674800000000001</v>
      </c>
      <c r="F154" s="45">
        <f>21.6401 * CHOOSE(CONTROL!$C$15, $E$9, 100%, $G$9) + CHOOSE(CONTROL!$C$38, 0.0256, 0)</f>
        <v>21.665700000000001</v>
      </c>
      <c r="G154" s="14">
        <f>20.0261 * CHOOSE(CONTROL!$C$15, $E$9, 100%, $G$9) + CHOOSE(CONTROL!$C$38, 0.0347, 0)</f>
        <v>20.0608</v>
      </c>
      <c r="H154" s="14">
        <f>20.0261 * CHOOSE(CONTROL!$C$15, $E$9, 100%, $G$9) + CHOOSE(CONTROL!$C$38, 0.0347, 0)</f>
        <v>20.0608</v>
      </c>
      <c r="I154" s="14">
        <f>20.0277 * CHOOSE(CONTROL!$C$15, $E$9, 100%, $G$9) + CHOOSE(CONTROL!$C$38, 0.0347, 0)</f>
        <v>20.0624</v>
      </c>
      <c r="J154" s="44">
        <f>131.4124</f>
        <v>131.41239999999999</v>
      </c>
    </row>
    <row r="155" spans="1:10" ht="15" x14ac:dyDescent="0.2">
      <c r="A155" s="13">
        <v>45627</v>
      </c>
      <c r="B155" s="14">
        <f>22.3924 * CHOOSE(CONTROL!$C$15, $E$9, 100%, $G$9) + CHOOSE(CONTROL!$C$38, 0.0256, 0)</f>
        <v>22.417999999999999</v>
      </c>
      <c r="C155" s="14">
        <f>20.6237 * CHOOSE(CONTROL!$C$15, $E$9, 100%, $G$9) + CHOOSE(CONTROL!$C$38, 0.0347, 0)</f>
        <v>20.6584</v>
      </c>
      <c r="D155" s="14">
        <f>20.6159 * CHOOSE(CONTROL!$C$15, $E$9, 100%, $G$9) + CHOOSE(CONTROL!$C$38, 0.0347, 0)</f>
        <v>20.650600000000001</v>
      </c>
      <c r="E155" s="46">
        <f>22.2362 * CHOOSE(CONTROL!$C$15, $E$9, 100%, $G$9) + CHOOSE(CONTROL!$C$38, 0.0347, 0)</f>
        <v>22.270900000000001</v>
      </c>
      <c r="F155" s="45">
        <f>22.2362 * CHOOSE(CONTROL!$C$15, $E$9, 100%, $G$9) + CHOOSE(CONTROL!$C$38, 0.0256, 0)</f>
        <v>22.261800000000001</v>
      </c>
      <c r="G155" s="14">
        <f>20.6222 * CHOOSE(CONTROL!$C$15, $E$9, 100%, $G$9) + CHOOSE(CONTROL!$C$38, 0.0347, 0)</f>
        <v>20.6569</v>
      </c>
      <c r="H155" s="14">
        <f>20.6222 * CHOOSE(CONTROL!$C$15, $E$9, 100%, $G$9) + CHOOSE(CONTROL!$C$38, 0.0347, 0)</f>
        <v>20.6569</v>
      </c>
      <c r="I155" s="14">
        <f>20.6237 * CHOOSE(CONTROL!$C$15, $E$9, 100%, $G$9) + CHOOSE(CONTROL!$C$38, 0.0347, 0)</f>
        <v>20.6584</v>
      </c>
      <c r="J155" s="44">
        <f>127.5127</f>
        <v>127.5127</v>
      </c>
    </row>
    <row r="156" spans="1:10" ht="15" x14ac:dyDescent="0.2">
      <c r="A156" s="13">
        <v>45658</v>
      </c>
      <c r="B156" s="14">
        <f>23.8658 * CHOOSE(CONTROL!$C$15, $E$9, 100%, $G$9) + CHOOSE(CONTROL!$C$38, 0.0256, 0)</f>
        <v>23.891400000000001</v>
      </c>
      <c r="C156" s="14">
        <f>21.9164 * CHOOSE(CONTROL!$C$15, $E$9, 100%, $G$9) + CHOOSE(CONTROL!$C$38, 0.0347, 0)</f>
        <v>21.9511</v>
      </c>
      <c r="D156" s="14">
        <f>21.9086 * CHOOSE(CONTROL!$C$15, $E$9, 100%, $G$9) + CHOOSE(CONTROL!$C$38, 0.0347, 0)</f>
        <v>21.943300000000001</v>
      </c>
      <c r="E156" s="46">
        <f>23.7095 * CHOOSE(CONTROL!$C$15, $E$9, 100%, $G$9) + CHOOSE(CONTROL!$C$38, 0.0347, 0)</f>
        <v>23.744199999999999</v>
      </c>
      <c r="F156" s="45">
        <f>23.7095 * CHOOSE(CONTROL!$C$15, $E$9, 100%, $G$9) + CHOOSE(CONTROL!$C$38, 0.0256, 0)</f>
        <v>23.735099999999999</v>
      </c>
      <c r="G156" s="14">
        <f>21.9148 * CHOOSE(CONTROL!$C$15, $E$9, 100%, $G$9) + CHOOSE(CONTROL!$C$38, 0.0347, 0)</f>
        <v>21.9495</v>
      </c>
      <c r="H156" s="14">
        <f>21.9148 * CHOOSE(CONTROL!$C$15, $E$9, 100%, $G$9) + CHOOSE(CONTROL!$C$38, 0.0347, 0)</f>
        <v>21.9495</v>
      </c>
      <c r="I156" s="14">
        <f>21.9164 * CHOOSE(CONTROL!$C$15, $E$9, 100%, $G$9) + CHOOSE(CONTROL!$C$38, 0.0347, 0)</f>
        <v>21.9511</v>
      </c>
      <c r="J156" s="44">
        <f>130.1532</f>
        <v>130.1532</v>
      </c>
    </row>
    <row r="157" spans="1:10" ht="15" x14ac:dyDescent="0.2">
      <c r="A157" s="13">
        <v>45689</v>
      </c>
      <c r="B157" s="14">
        <f>24.0866 * CHOOSE(CONTROL!$C$15, $E$9, 100%, $G$9) + CHOOSE(CONTROL!$C$38, 0.0256, 0)</f>
        <v>24.112200000000001</v>
      </c>
      <c r="C157" s="14">
        <f>22.1371 * CHOOSE(CONTROL!$C$15, $E$9, 100%, $G$9) + CHOOSE(CONTROL!$C$38, 0.0347, 0)</f>
        <v>22.171800000000001</v>
      </c>
      <c r="D157" s="14">
        <f>22.1293 * CHOOSE(CONTROL!$C$15, $E$9, 100%, $G$9) + CHOOSE(CONTROL!$C$38, 0.0347, 0)</f>
        <v>22.164000000000001</v>
      </c>
      <c r="E157" s="46">
        <f>23.9303 * CHOOSE(CONTROL!$C$15, $E$9, 100%, $G$9) + CHOOSE(CONTROL!$C$38, 0.0347, 0)</f>
        <v>23.965</v>
      </c>
      <c r="F157" s="45">
        <f>23.9303 * CHOOSE(CONTROL!$C$15, $E$9, 100%, $G$9) + CHOOSE(CONTROL!$C$38, 0.0256, 0)</f>
        <v>23.9559</v>
      </c>
      <c r="G157" s="14">
        <f>22.1356 * CHOOSE(CONTROL!$C$15, $E$9, 100%, $G$9) + CHOOSE(CONTROL!$C$38, 0.0347, 0)</f>
        <v>22.170300000000001</v>
      </c>
      <c r="H157" s="14">
        <f>22.1356 * CHOOSE(CONTROL!$C$15, $E$9, 100%, $G$9) + CHOOSE(CONTROL!$C$38, 0.0347, 0)</f>
        <v>22.170300000000001</v>
      </c>
      <c r="I157" s="14">
        <f>22.1371 * CHOOSE(CONTROL!$C$15, $E$9, 100%, $G$9) + CHOOSE(CONTROL!$C$38, 0.0347, 0)</f>
        <v>22.171800000000001</v>
      </c>
      <c r="J157" s="44">
        <f>129.7914</f>
        <v>129.79140000000001</v>
      </c>
    </row>
    <row r="158" spans="1:10" ht="15" x14ac:dyDescent="0.2">
      <c r="A158" s="13">
        <v>45717</v>
      </c>
      <c r="B158" s="14">
        <f>23.5755 * CHOOSE(CONTROL!$C$15, $E$9, 100%, $G$9) + CHOOSE(CONTROL!$C$38, 0.0256, 0)</f>
        <v>23.601100000000002</v>
      </c>
      <c r="C158" s="14">
        <f>21.6261 * CHOOSE(CONTROL!$C$15, $E$9, 100%, $G$9) + CHOOSE(CONTROL!$C$38, 0.0347, 0)</f>
        <v>21.660800000000002</v>
      </c>
      <c r="D158" s="14">
        <f>21.6183 * CHOOSE(CONTROL!$C$15, $E$9, 100%, $G$9) + CHOOSE(CONTROL!$C$38, 0.0347, 0)</f>
        <v>21.653000000000002</v>
      </c>
      <c r="E158" s="46">
        <f>23.4193 * CHOOSE(CONTROL!$C$15, $E$9, 100%, $G$9) + CHOOSE(CONTROL!$C$38, 0.0347, 0)</f>
        <v>23.454000000000001</v>
      </c>
      <c r="F158" s="45">
        <f>23.4193 * CHOOSE(CONTROL!$C$15, $E$9, 100%, $G$9) + CHOOSE(CONTROL!$C$38, 0.0256, 0)</f>
        <v>23.444900000000001</v>
      </c>
      <c r="G158" s="14">
        <f>21.6245 * CHOOSE(CONTROL!$C$15, $E$9, 100%, $G$9) + CHOOSE(CONTROL!$C$38, 0.0347, 0)</f>
        <v>21.659200000000002</v>
      </c>
      <c r="H158" s="14">
        <f>21.6245 * CHOOSE(CONTROL!$C$15, $E$9, 100%, $G$9) + CHOOSE(CONTROL!$C$38, 0.0347, 0)</f>
        <v>21.659200000000002</v>
      </c>
      <c r="I158" s="14">
        <f>21.6261 * CHOOSE(CONTROL!$C$15, $E$9, 100%, $G$9) + CHOOSE(CONTROL!$C$38, 0.0347, 0)</f>
        <v>21.660800000000002</v>
      </c>
      <c r="J158" s="44">
        <f>136.6322</f>
        <v>136.63220000000001</v>
      </c>
    </row>
    <row r="159" spans="1:10" ht="15" x14ac:dyDescent="0.2">
      <c r="A159" s="13">
        <v>45748</v>
      </c>
      <c r="B159" s="14">
        <f>23.0803 * CHOOSE(CONTROL!$C$15, $E$9, 100%, $G$9) + CHOOSE(CONTROL!$C$38, 0.0256, 0)</f>
        <v>23.105900000000002</v>
      </c>
      <c r="C159" s="14">
        <f>21.1309 * CHOOSE(CONTROL!$C$15, $E$9, 100%, $G$9) + CHOOSE(CONTROL!$C$38, 0.0347, 0)</f>
        <v>21.165600000000001</v>
      </c>
      <c r="D159" s="14">
        <f>21.1231 * CHOOSE(CONTROL!$C$15, $E$9, 100%, $G$9) + CHOOSE(CONTROL!$C$38, 0.0347, 0)</f>
        <v>21.157800000000002</v>
      </c>
      <c r="E159" s="46">
        <f>22.9241 * CHOOSE(CONTROL!$C$15, $E$9, 100%, $G$9) + CHOOSE(CONTROL!$C$38, 0.0347, 0)</f>
        <v>22.9588</v>
      </c>
      <c r="F159" s="45">
        <f>22.9241 * CHOOSE(CONTROL!$C$15, $E$9, 100%, $G$9) + CHOOSE(CONTROL!$C$38, 0.0256, 0)</f>
        <v>22.9497</v>
      </c>
      <c r="G159" s="14">
        <f>21.1294 * CHOOSE(CONTROL!$C$15, $E$9, 100%, $G$9) + CHOOSE(CONTROL!$C$38, 0.0347, 0)</f>
        <v>21.164100000000001</v>
      </c>
      <c r="H159" s="14">
        <f>21.1294 * CHOOSE(CONTROL!$C$15, $E$9, 100%, $G$9) + CHOOSE(CONTROL!$C$38, 0.0347, 0)</f>
        <v>21.164100000000001</v>
      </c>
      <c r="I159" s="14">
        <f>21.1309 * CHOOSE(CONTROL!$C$15, $E$9, 100%, $G$9) + CHOOSE(CONTROL!$C$38, 0.0347, 0)</f>
        <v>21.165600000000001</v>
      </c>
      <c r="J159" s="44">
        <f>145.503</f>
        <v>145.50299999999999</v>
      </c>
    </row>
    <row r="160" spans="1:10" ht="15" x14ac:dyDescent="0.2">
      <c r="A160" s="13">
        <v>45778</v>
      </c>
      <c r="B160" s="14">
        <f>22.5642 * CHOOSE(CONTROL!$C$15, $E$9, 100%, $G$9) + CHOOSE(CONTROL!$C$38, 0.0278, 0)</f>
        <v>22.591999999999999</v>
      </c>
      <c r="C160" s="14">
        <f>20.6148 * CHOOSE(CONTROL!$C$15, $E$9, 100%, $G$9) + CHOOSE(CONTROL!$C$38, 0.0369, 0)</f>
        <v>20.651699999999998</v>
      </c>
      <c r="D160" s="14">
        <f>20.607 * CHOOSE(CONTROL!$C$15, $E$9, 100%, $G$9) + CHOOSE(CONTROL!$C$38, 0.0369, 0)</f>
        <v>20.643899999999999</v>
      </c>
      <c r="E160" s="46">
        <f>22.408 * CHOOSE(CONTROL!$C$15, $E$9, 100%, $G$9) + CHOOSE(CONTROL!$C$38, 0.0369, 0)</f>
        <v>22.444900000000001</v>
      </c>
      <c r="F160" s="45">
        <f>22.408 * CHOOSE(CONTROL!$C$15, $E$9, 100%, $G$9) + CHOOSE(CONTROL!$C$38, 0.0278, 0)</f>
        <v>22.4358</v>
      </c>
      <c r="G160" s="14">
        <f>20.6132 * CHOOSE(CONTROL!$C$15, $E$9, 100%, $G$9) + CHOOSE(CONTROL!$C$38, 0.0369, 0)</f>
        <v>20.650099999999998</v>
      </c>
      <c r="H160" s="14">
        <f>20.6132 * CHOOSE(CONTROL!$C$15, $E$9, 100%, $G$9) + CHOOSE(CONTROL!$C$38, 0.0369, 0)</f>
        <v>20.650099999999998</v>
      </c>
      <c r="I160" s="14">
        <f>20.6148 * CHOOSE(CONTROL!$C$15, $E$9, 100%, $G$9) + CHOOSE(CONTROL!$C$38, 0.0369, 0)</f>
        <v>20.651699999999998</v>
      </c>
      <c r="J160" s="44">
        <f>150.3858</f>
        <v>150.38579999999999</v>
      </c>
    </row>
    <row r="161" spans="1:10" ht="15" x14ac:dyDescent="0.2">
      <c r="A161" s="13">
        <v>45809</v>
      </c>
      <c r="B161" s="14">
        <f>22.2024 * CHOOSE(CONTROL!$C$15, $E$9, 100%, $G$9) + CHOOSE(CONTROL!$C$38, 0.0278, 0)</f>
        <v>22.2302</v>
      </c>
      <c r="C161" s="14">
        <f>20.253 * CHOOSE(CONTROL!$C$15, $E$9, 100%, $G$9) + CHOOSE(CONTROL!$C$38, 0.0369, 0)</f>
        <v>20.289899999999999</v>
      </c>
      <c r="D161" s="14">
        <f>20.2452 * CHOOSE(CONTROL!$C$15, $E$9, 100%, $G$9) + CHOOSE(CONTROL!$C$38, 0.0369, 0)</f>
        <v>20.2821</v>
      </c>
      <c r="E161" s="46">
        <f>22.0461 * CHOOSE(CONTROL!$C$15, $E$9, 100%, $G$9) + CHOOSE(CONTROL!$C$38, 0.0369, 0)</f>
        <v>22.082999999999998</v>
      </c>
      <c r="F161" s="45">
        <f>22.0461 * CHOOSE(CONTROL!$C$15, $E$9, 100%, $G$9) + CHOOSE(CONTROL!$C$38, 0.0278, 0)</f>
        <v>22.073899999999998</v>
      </c>
      <c r="G161" s="14">
        <f>20.2514 * CHOOSE(CONTROL!$C$15, $E$9, 100%, $G$9) + CHOOSE(CONTROL!$C$38, 0.0369, 0)</f>
        <v>20.2883</v>
      </c>
      <c r="H161" s="14">
        <f>20.2514 * CHOOSE(CONTROL!$C$15, $E$9, 100%, $G$9) + CHOOSE(CONTROL!$C$38, 0.0369, 0)</f>
        <v>20.2883</v>
      </c>
      <c r="I161" s="14">
        <f>20.253 * CHOOSE(CONTROL!$C$15, $E$9, 100%, $G$9) + CHOOSE(CONTROL!$C$38, 0.0369, 0)</f>
        <v>20.289899999999999</v>
      </c>
      <c r="J161" s="44">
        <f>152.5527</f>
        <v>152.55269999999999</v>
      </c>
    </row>
    <row r="162" spans="1:10" ht="15" x14ac:dyDescent="0.2">
      <c r="A162" s="13">
        <v>45839</v>
      </c>
      <c r="B162" s="14">
        <f>21.9959 * CHOOSE(CONTROL!$C$15, $E$9, 100%, $G$9) + CHOOSE(CONTROL!$C$38, 0.0278, 0)</f>
        <v>22.023699999999998</v>
      </c>
      <c r="C162" s="14">
        <f>20.0465 * CHOOSE(CONTROL!$C$15, $E$9, 100%, $G$9) + CHOOSE(CONTROL!$C$38, 0.0369, 0)</f>
        <v>20.083400000000001</v>
      </c>
      <c r="D162" s="14">
        <f>20.0387 * CHOOSE(CONTROL!$C$15, $E$9, 100%, $G$9) + CHOOSE(CONTROL!$C$38, 0.0369, 0)</f>
        <v>20.075599999999998</v>
      </c>
      <c r="E162" s="46">
        <f>21.8397 * CHOOSE(CONTROL!$C$15, $E$9, 100%, $G$9) + CHOOSE(CONTROL!$C$38, 0.0369, 0)</f>
        <v>21.8766</v>
      </c>
      <c r="F162" s="45">
        <f>21.8397 * CHOOSE(CONTROL!$C$15, $E$9, 100%, $G$9) + CHOOSE(CONTROL!$C$38, 0.0278, 0)</f>
        <v>21.8675</v>
      </c>
      <c r="G162" s="14">
        <f>20.0449 * CHOOSE(CONTROL!$C$15, $E$9, 100%, $G$9) + CHOOSE(CONTROL!$C$38, 0.0369, 0)</f>
        <v>20.081799999999998</v>
      </c>
      <c r="H162" s="14">
        <f>20.0449 * CHOOSE(CONTROL!$C$15, $E$9, 100%, $G$9) + CHOOSE(CONTROL!$C$38, 0.0369, 0)</f>
        <v>20.081799999999998</v>
      </c>
      <c r="I162" s="14">
        <f>20.0465 * CHOOSE(CONTROL!$C$15, $E$9, 100%, $G$9) + CHOOSE(CONTROL!$C$38, 0.0369, 0)</f>
        <v>20.083400000000001</v>
      </c>
      <c r="J162" s="44">
        <f>151.8392</f>
        <v>151.83920000000001</v>
      </c>
    </row>
    <row r="163" spans="1:10" ht="15" x14ac:dyDescent="0.2">
      <c r="A163" s="13">
        <v>45870</v>
      </c>
      <c r="B163" s="14">
        <f>22.0978 * CHOOSE(CONTROL!$C$15, $E$9, 100%, $G$9) + CHOOSE(CONTROL!$C$38, 0.0278, 0)</f>
        <v>22.125599999999999</v>
      </c>
      <c r="C163" s="14">
        <f>20.1484 * CHOOSE(CONTROL!$C$15, $E$9, 100%, $G$9) + CHOOSE(CONTROL!$C$38, 0.0369, 0)</f>
        <v>20.185299999999998</v>
      </c>
      <c r="D163" s="14">
        <f>20.1406 * CHOOSE(CONTROL!$C$15, $E$9, 100%, $G$9) + CHOOSE(CONTROL!$C$38, 0.0369, 0)</f>
        <v>20.177499999999998</v>
      </c>
      <c r="E163" s="46">
        <f>21.9416 * CHOOSE(CONTROL!$C$15, $E$9, 100%, $G$9) + CHOOSE(CONTROL!$C$38, 0.0369, 0)</f>
        <v>21.9785</v>
      </c>
      <c r="F163" s="45">
        <f>21.9416 * CHOOSE(CONTROL!$C$15, $E$9, 100%, $G$9) + CHOOSE(CONTROL!$C$38, 0.0278, 0)</f>
        <v>21.9694</v>
      </c>
      <c r="G163" s="14">
        <f>20.1468 * CHOOSE(CONTROL!$C$15, $E$9, 100%, $G$9) + CHOOSE(CONTROL!$C$38, 0.0369, 0)</f>
        <v>20.183699999999998</v>
      </c>
      <c r="H163" s="14">
        <f>20.1468 * CHOOSE(CONTROL!$C$15, $E$9, 100%, $G$9) + CHOOSE(CONTROL!$C$38, 0.0369, 0)</f>
        <v>20.183699999999998</v>
      </c>
      <c r="I163" s="14">
        <f>20.1484 * CHOOSE(CONTROL!$C$15, $E$9, 100%, $G$9) + CHOOSE(CONTROL!$C$38, 0.0369, 0)</f>
        <v>20.185299999999998</v>
      </c>
      <c r="J163" s="44">
        <f>148.3045</f>
        <v>148.30449999999999</v>
      </c>
    </row>
    <row r="164" spans="1:10" ht="15" x14ac:dyDescent="0.2">
      <c r="A164" s="13">
        <v>45901</v>
      </c>
      <c r="B164" s="14">
        <f>22.3746 * CHOOSE(CONTROL!$C$15, $E$9, 100%, $G$9) + CHOOSE(CONTROL!$C$38, 0.0278, 0)</f>
        <v>22.4024</v>
      </c>
      <c r="C164" s="14">
        <f>20.4252 * CHOOSE(CONTROL!$C$15, $E$9, 100%, $G$9) + CHOOSE(CONTROL!$C$38, 0.0369, 0)</f>
        <v>20.4621</v>
      </c>
      <c r="D164" s="14">
        <f>20.4174 * CHOOSE(CONTROL!$C$15, $E$9, 100%, $G$9) + CHOOSE(CONTROL!$C$38, 0.0369, 0)</f>
        <v>20.4543</v>
      </c>
      <c r="E164" s="46">
        <f>22.2184 * CHOOSE(CONTROL!$C$15, $E$9, 100%, $G$9) + CHOOSE(CONTROL!$C$38, 0.0369, 0)</f>
        <v>22.255299999999998</v>
      </c>
      <c r="F164" s="45">
        <f>22.2184 * CHOOSE(CONTROL!$C$15, $E$9, 100%, $G$9) + CHOOSE(CONTROL!$C$38, 0.0278, 0)</f>
        <v>22.246199999999998</v>
      </c>
      <c r="G164" s="14">
        <f>20.4236 * CHOOSE(CONTROL!$C$15, $E$9, 100%, $G$9) + CHOOSE(CONTROL!$C$38, 0.0369, 0)</f>
        <v>20.4605</v>
      </c>
      <c r="H164" s="14">
        <f>20.4236 * CHOOSE(CONTROL!$C$15, $E$9, 100%, $G$9) + CHOOSE(CONTROL!$C$38, 0.0369, 0)</f>
        <v>20.4605</v>
      </c>
      <c r="I164" s="14">
        <f>20.4252 * CHOOSE(CONTROL!$C$15, $E$9, 100%, $G$9) + CHOOSE(CONTROL!$C$38, 0.0369, 0)</f>
        <v>20.4621</v>
      </c>
      <c r="J164" s="44">
        <f>143.3751</f>
        <v>143.3751</v>
      </c>
    </row>
    <row r="165" spans="1:10" ht="15" x14ac:dyDescent="0.2">
      <c r="A165" s="13">
        <v>45931</v>
      </c>
      <c r="B165" s="14">
        <f>22.6064 * CHOOSE(CONTROL!$C$15, $E$9, 100%, $G$9) + CHOOSE(CONTROL!$C$38, 0.0256, 0)</f>
        <v>22.632000000000001</v>
      </c>
      <c r="C165" s="14">
        <f>20.657 * CHOOSE(CONTROL!$C$15, $E$9, 100%, $G$9) + CHOOSE(CONTROL!$C$38, 0.0347, 0)</f>
        <v>20.691700000000001</v>
      </c>
      <c r="D165" s="14">
        <f>20.6492 * CHOOSE(CONTROL!$C$15, $E$9, 100%, $G$9) + CHOOSE(CONTROL!$C$38, 0.0347, 0)</f>
        <v>20.683900000000001</v>
      </c>
      <c r="E165" s="46">
        <f>22.4502 * CHOOSE(CONTROL!$C$15, $E$9, 100%, $G$9) + CHOOSE(CONTROL!$C$38, 0.0347, 0)</f>
        <v>22.4849</v>
      </c>
      <c r="F165" s="45">
        <f>22.4502 * CHOOSE(CONTROL!$C$15, $E$9, 100%, $G$9) + CHOOSE(CONTROL!$C$38, 0.0256, 0)</f>
        <v>22.4758</v>
      </c>
      <c r="G165" s="14">
        <f>20.6555 * CHOOSE(CONTROL!$C$15, $E$9, 100%, $G$9) + CHOOSE(CONTROL!$C$38, 0.0347, 0)</f>
        <v>20.690200000000001</v>
      </c>
      <c r="H165" s="14">
        <f>20.6555 * CHOOSE(CONTROL!$C$15, $E$9, 100%, $G$9) + CHOOSE(CONTROL!$C$38, 0.0347, 0)</f>
        <v>20.690200000000001</v>
      </c>
      <c r="I165" s="14">
        <f>20.657 * CHOOSE(CONTROL!$C$15, $E$9, 100%, $G$9) + CHOOSE(CONTROL!$C$38, 0.0347, 0)</f>
        <v>20.691700000000001</v>
      </c>
      <c r="J165" s="44">
        <f>138.417</f>
        <v>138.417</v>
      </c>
    </row>
    <row r="166" spans="1:10" ht="15" x14ac:dyDescent="0.2">
      <c r="A166" s="13">
        <v>45962</v>
      </c>
      <c r="B166" s="14">
        <f>22.7999 * CHOOSE(CONTROL!$C$15, $E$9, 100%, $G$9) + CHOOSE(CONTROL!$C$38, 0.0256, 0)</f>
        <v>22.825500000000002</v>
      </c>
      <c r="C166" s="14">
        <f>20.8505 * CHOOSE(CONTROL!$C$15, $E$9, 100%, $G$9) + CHOOSE(CONTROL!$C$38, 0.0347, 0)</f>
        <v>20.885200000000001</v>
      </c>
      <c r="D166" s="14">
        <f>20.8426 * CHOOSE(CONTROL!$C$15, $E$9, 100%, $G$9) + CHOOSE(CONTROL!$C$38, 0.0347, 0)</f>
        <v>20.877300000000002</v>
      </c>
      <c r="E166" s="46">
        <f>22.6436 * CHOOSE(CONTROL!$C$15, $E$9, 100%, $G$9) + CHOOSE(CONTROL!$C$38, 0.0347, 0)</f>
        <v>22.6783</v>
      </c>
      <c r="F166" s="45">
        <f>22.6436 * CHOOSE(CONTROL!$C$15, $E$9, 100%, $G$9) + CHOOSE(CONTROL!$C$38, 0.0256, 0)</f>
        <v>22.6692</v>
      </c>
      <c r="G166" s="14">
        <f>20.8489 * CHOOSE(CONTROL!$C$15, $E$9, 100%, $G$9) + CHOOSE(CONTROL!$C$38, 0.0347, 0)</f>
        <v>20.883600000000001</v>
      </c>
      <c r="H166" s="14">
        <f>20.8489 * CHOOSE(CONTROL!$C$15, $E$9, 100%, $G$9) + CHOOSE(CONTROL!$C$38, 0.0347, 0)</f>
        <v>20.883600000000001</v>
      </c>
      <c r="I166" s="14">
        <f>20.8505 * CHOOSE(CONTROL!$C$15, $E$9, 100%, $G$9) + CHOOSE(CONTROL!$C$38, 0.0347, 0)</f>
        <v>20.885200000000001</v>
      </c>
      <c r="J166" s="44">
        <f>137.4308</f>
        <v>137.4308</v>
      </c>
    </row>
    <row r="167" spans="1:10" ht="15" x14ac:dyDescent="0.2">
      <c r="A167" s="13">
        <v>45992</v>
      </c>
      <c r="B167" s="14">
        <f>23.3959 * CHOOSE(CONTROL!$C$15, $E$9, 100%, $G$9) + CHOOSE(CONTROL!$C$38, 0.0256, 0)</f>
        <v>23.421500000000002</v>
      </c>
      <c r="C167" s="14">
        <f>21.4465 * CHOOSE(CONTROL!$C$15, $E$9, 100%, $G$9) + CHOOSE(CONTROL!$C$38, 0.0347, 0)</f>
        <v>21.481200000000001</v>
      </c>
      <c r="D167" s="14">
        <f>21.4387 * CHOOSE(CONTROL!$C$15, $E$9, 100%, $G$9) + CHOOSE(CONTROL!$C$38, 0.0347, 0)</f>
        <v>21.473400000000002</v>
      </c>
      <c r="E167" s="46">
        <f>23.2397 * CHOOSE(CONTROL!$C$15, $E$9, 100%, $G$9) + CHOOSE(CONTROL!$C$38, 0.0347, 0)</f>
        <v>23.2744</v>
      </c>
      <c r="F167" s="45">
        <f>23.2397 * CHOOSE(CONTROL!$C$15, $E$9, 100%, $G$9) + CHOOSE(CONTROL!$C$38, 0.0256, 0)</f>
        <v>23.2653</v>
      </c>
      <c r="G167" s="14">
        <f>21.445 * CHOOSE(CONTROL!$C$15, $E$9, 100%, $G$9) + CHOOSE(CONTROL!$C$38, 0.0347, 0)</f>
        <v>21.479700000000001</v>
      </c>
      <c r="H167" s="14">
        <f>21.445 * CHOOSE(CONTROL!$C$15, $E$9, 100%, $G$9) + CHOOSE(CONTROL!$C$38, 0.0347, 0)</f>
        <v>21.479700000000001</v>
      </c>
      <c r="I167" s="14">
        <f>21.4465 * CHOOSE(CONTROL!$C$15, $E$9, 100%, $G$9) + CHOOSE(CONTROL!$C$38, 0.0347, 0)</f>
        <v>21.481200000000001</v>
      </c>
      <c r="J167" s="44">
        <f>133.3525</f>
        <v>133.35249999999999</v>
      </c>
    </row>
    <row r="168" spans="1:10" ht="15" x14ac:dyDescent="0.2">
      <c r="A168" s="13">
        <v>46023</v>
      </c>
      <c r="B168" s="14">
        <f>24.2765 * CHOOSE(CONTROL!$C$15, $E$9, 100%, $G$9) + CHOOSE(CONTROL!$C$38, 0.0256, 0)</f>
        <v>24.302099999999999</v>
      </c>
      <c r="C168" s="14">
        <f>22.3171 * CHOOSE(CONTROL!$C$15, $E$9, 100%, $G$9) + CHOOSE(CONTROL!$C$38, 0.0347, 0)</f>
        <v>22.351800000000001</v>
      </c>
      <c r="D168" s="14">
        <f>22.3093 * CHOOSE(CONTROL!$C$15, $E$9, 100%, $G$9) + CHOOSE(CONTROL!$C$38, 0.0347, 0)</f>
        <v>22.344000000000001</v>
      </c>
      <c r="E168" s="46">
        <f>24.1203 * CHOOSE(CONTROL!$C$15, $E$9, 100%, $G$9) + CHOOSE(CONTROL!$C$38, 0.0347, 0)</f>
        <v>24.155000000000001</v>
      </c>
      <c r="F168" s="45">
        <f>24.1203 * CHOOSE(CONTROL!$C$15, $E$9, 100%, $G$9) + CHOOSE(CONTROL!$C$38, 0.0256, 0)</f>
        <v>24.145900000000001</v>
      </c>
      <c r="G168" s="14">
        <f>22.3155 * CHOOSE(CONTROL!$C$15, $E$9, 100%, $G$9) + CHOOSE(CONTROL!$C$38, 0.0347, 0)</f>
        <v>22.350200000000001</v>
      </c>
      <c r="H168" s="14">
        <f>22.3155 * CHOOSE(CONTROL!$C$15, $E$9, 100%, $G$9) + CHOOSE(CONTROL!$C$38, 0.0347, 0)</f>
        <v>22.350200000000001</v>
      </c>
      <c r="I168" s="14">
        <f>22.3171 * CHOOSE(CONTROL!$C$15, $E$9, 100%, $G$9) + CHOOSE(CONTROL!$C$38, 0.0347, 0)</f>
        <v>22.351800000000001</v>
      </c>
      <c r="J168" s="44">
        <f>132.7809</f>
        <v>132.7809</v>
      </c>
    </row>
    <row r="169" spans="1:10" ht="15" x14ac:dyDescent="0.2">
      <c r="A169" s="13">
        <v>46054</v>
      </c>
      <c r="B169" s="14">
        <f>24.4973 * CHOOSE(CONTROL!$C$15, $E$9, 100%, $G$9) + CHOOSE(CONTROL!$C$38, 0.0256, 0)</f>
        <v>24.5229</v>
      </c>
      <c r="C169" s="14">
        <f>22.5378 * CHOOSE(CONTROL!$C$15, $E$9, 100%, $G$9) + CHOOSE(CONTROL!$C$38, 0.0347, 0)</f>
        <v>22.572500000000002</v>
      </c>
      <c r="D169" s="14">
        <f>22.53 * CHOOSE(CONTROL!$C$15, $E$9, 100%, $G$9) + CHOOSE(CONTROL!$C$38, 0.0347, 0)</f>
        <v>22.564700000000002</v>
      </c>
      <c r="E169" s="46">
        <f>24.341 * CHOOSE(CONTROL!$C$15, $E$9, 100%, $G$9) + CHOOSE(CONTROL!$C$38, 0.0347, 0)</f>
        <v>24.375700000000002</v>
      </c>
      <c r="F169" s="45">
        <f>24.341 * CHOOSE(CONTROL!$C$15, $E$9, 100%, $G$9) + CHOOSE(CONTROL!$C$38, 0.0256, 0)</f>
        <v>24.366600000000002</v>
      </c>
      <c r="G169" s="14">
        <f>22.5363 * CHOOSE(CONTROL!$C$15, $E$9, 100%, $G$9) + CHOOSE(CONTROL!$C$38, 0.0347, 0)</f>
        <v>22.571000000000002</v>
      </c>
      <c r="H169" s="14">
        <f>22.5363 * CHOOSE(CONTROL!$C$15, $E$9, 100%, $G$9) + CHOOSE(CONTROL!$C$38, 0.0347, 0)</f>
        <v>22.571000000000002</v>
      </c>
      <c r="I169" s="14">
        <f>22.5378 * CHOOSE(CONTROL!$C$15, $E$9, 100%, $G$9) + CHOOSE(CONTROL!$C$38, 0.0347, 0)</f>
        <v>22.572500000000002</v>
      </c>
      <c r="J169" s="44">
        <f>132.4118</f>
        <v>132.4118</v>
      </c>
    </row>
    <row r="170" spans="1:10" ht="15" x14ac:dyDescent="0.2">
      <c r="A170" s="13">
        <v>46082</v>
      </c>
      <c r="B170" s="14">
        <f>23.9862 * CHOOSE(CONTROL!$C$15, $E$9, 100%, $G$9) + CHOOSE(CONTROL!$C$38, 0.0256, 0)</f>
        <v>24.011800000000001</v>
      </c>
      <c r="C170" s="14">
        <f>22.0268 * CHOOSE(CONTROL!$C$15, $E$9, 100%, $G$9) + CHOOSE(CONTROL!$C$38, 0.0347, 0)</f>
        <v>22.061500000000002</v>
      </c>
      <c r="D170" s="14">
        <f>22.019 * CHOOSE(CONTROL!$C$15, $E$9, 100%, $G$9) + CHOOSE(CONTROL!$C$38, 0.0347, 0)</f>
        <v>22.053699999999999</v>
      </c>
      <c r="E170" s="46">
        <f>23.83 * CHOOSE(CONTROL!$C$15, $E$9, 100%, $G$9) + CHOOSE(CONTROL!$C$38, 0.0347, 0)</f>
        <v>23.864699999999999</v>
      </c>
      <c r="F170" s="45">
        <f>23.83 * CHOOSE(CONTROL!$C$15, $E$9, 100%, $G$9) + CHOOSE(CONTROL!$C$38, 0.0256, 0)</f>
        <v>23.855599999999999</v>
      </c>
      <c r="G170" s="14">
        <f>22.0252 * CHOOSE(CONTROL!$C$15, $E$9, 100%, $G$9) + CHOOSE(CONTROL!$C$38, 0.0347, 0)</f>
        <v>22.059900000000003</v>
      </c>
      <c r="H170" s="14">
        <f>22.0252 * CHOOSE(CONTROL!$C$15, $E$9, 100%, $G$9) + CHOOSE(CONTROL!$C$38, 0.0347, 0)</f>
        <v>22.059900000000003</v>
      </c>
      <c r="I170" s="14">
        <f>22.0268 * CHOOSE(CONTROL!$C$15, $E$9, 100%, $G$9) + CHOOSE(CONTROL!$C$38, 0.0347, 0)</f>
        <v>22.061500000000002</v>
      </c>
      <c r="J170" s="44">
        <f>139.3907</f>
        <v>139.39070000000001</v>
      </c>
    </row>
    <row r="171" spans="1:10" ht="15" x14ac:dyDescent="0.2">
      <c r="A171" s="13">
        <v>46113</v>
      </c>
      <c r="B171" s="14">
        <f>23.4911 * CHOOSE(CONTROL!$C$15, $E$9, 100%, $G$9) + CHOOSE(CONTROL!$C$38, 0.0256, 0)</f>
        <v>23.5167</v>
      </c>
      <c r="C171" s="14">
        <f>21.5316 * CHOOSE(CONTROL!$C$15, $E$9, 100%, $G$9) + CHOOSE(CONTROL!$C$38, 0.0347, 0)</f>
        <v>21.566300000000002</v>
      </c>
      <c r="D171" s="14">
        <f>21.5238 * CHOOSE(CONTROL!$C$15, $E$9, 100%, $G$9) + CHOOSE(CONTROL!$C$38, 0.0347, 0)</f>
        <v>21.558500000000002</v>
      </c>
      <c r="E171" s="46">
        <f>23.3348 * CHOOSE(CONTROL!$C$15, $E$9, 100%, $G$9) + CHOOSE(CONTROL!$C$38, 0.0347, 0)</f>
        <v>23.369500000000002</v>
      </c>
      <c r="F171" s="45">
        <f>23.3348 * CHOOSE(CONTROL!$C$15, $E$9, 100%, $G$9) + CHOOSE(CONTROL!$C$38, 0.0256, 0)</f>
        <v>23.360400000000002</v>
      </c>
      <c r="G171" s="14">
        <f>21.5301 * CHOOSE(CONTROL!$C$15, $E$9, 100%, $G$9) + CHOOSE(CONTROL!$C$38, 0.0347, 0)</f>
        <v>21.564800000000002</v>
      </c>
      <c r="H171" s="14">
        <f>21.5301 * CHOOSE(CONTROL!$C$15, $E$9, 100%, $G$9) + CHOOSE(CONTROL!$C$38, 0.0347, 0)</f>
        <v>21.564800000000002</v>
      </c>
      <c r="I171" s="14">
        <f>21.5316 * CHOOSE(CONTROL!$C$15, $E$9, 100%, $G$9) + CHOOSE(CONTROL!$C$38, 0.0347, 0)</f>
        <v>21.566300000000002</v>
      </c>
      <c r="J171" s="44">
        <f>148.4406</f>
        <v>148.44059999999999</v>
      </c>
    </row>
    <row r="172" spans="1:10" ht="15" x14ac:dyDescent="0.2">
      <c r="A172" s="13">
        <v>46143</v>
      </c>
      <c r="B172" s="14">
        <f>22.9749 * CHOOSE(CONTROL!$C$15, $E$9, 100%, $G$9) + CHOOSE(CONTROL!$C$38, 0.0278, 0)</f>
        <v>23.002700000000001</v>
      </c>
      <c r="C172" s="14">
        <f>21.0155 * CHOOSE(CONTROL!$C$15, $E$9, 100%, $G$9) + CHOOSE(CONTROL!$C$38, 0.0369, 0)</f>
        <v>21.052399999999999</v>
      </c>
      <c r="D172" s="14">
        <f>21.0077 * CHOOSE(CONTROL!$C$15, $E$9, 100%, $G$9) + CHOOSE(CONTROL!$C$38, 0.0369, 0)</f>
        <v>21.044599999999999</v>
      </c>
      <c r="E172" s="46">
        <f>22.8187 * CHOOSE(CONTROL!$C$15, $E$9, 100%, $G$9) + CHOOSE(CONTROL!$C$38, 0.0369, 0)</f>
        <v>22.855599999999999</v>
      </c>
      <c r="F172" s="45">
        <f>22.8187 * CHOOSE(CONTROL!$C$15, $E$9, 100%, $G$9) + CHOOSE(CONTROL!$C$38, 0.0278, 0)</f>
        <v>22.846499999999999</v>
      </c>
      <c r="G172" s="14">
        <f>21.0139 * CHOOSE(CONTROL!$C$15, $E$9, 100%, $G$9) + CHOOSE(CONTROL!$C$38, 0.0369, 0)</f>
        <v>21.050799999999999</v>
      </c>
      <c r="H172" s="14">
        <f>21.0139 * CHOOSE(CONTROL!$C$15, $E$9, 100%, $G$9) + CHOOSE(CONTROL!$C$38, 0.0369, 0)</f>
        <v>21.050799999999999</v>
      </c>
      <c r="I172" s="14">
        <f>21.0155 * CHOOSE(CONTROL!$C$15, $E$9, 100%, $G$9) + CHOOSE(CONTROL!$C$38, 0.0369, 0)</f>
        <v>21.052399999999999</v>
      </c>
      <c r="J172" s="44">
        <f>153.422</f>
        <v>153.422</v>
      </c>
    </row>
    <row r="173" spans="1:10" ht="15" x14ac:dyDescent="0.2">
      <c r="A173" s="13">
        <v>46174</v>
      </c>
      <c r="B173" s="14">
        <f>22.6131 * CHOOSE(CONTROL!$C$15, $E$9, 100%, $G$9) + CHOOSE(CONTROL!$C$38, 0.0278, 0)</f>
        <v>22.640899999999998</v>
      </c>
      <c r="C173" s="14">
        <f>20.6537 * CHOOSE(CONTROL!$C$15, $E$9, 100%, $G$9) + CHOOSE(CONTROL!$C$38, 0.0369, 0)</f>
        <v>20.6906</v>
      </c>
      <c r="D173" s="14">
        <f>20.6459 * CHOOSE(CONTROL!$C$15, $E$9, 100%, $G$9) + CHOOSE(CONTROL!$C$38, 0.0369, 0)</f>
        <v>20.6828</v>
      </c>
      <c r="E173" s="46">
        <f>22.4569 * CHOOSE(CONTROL!$C$15, $E$9, 100%, $G$9) + CHOOSE(CONTROL!$C$38, 0.0369, 0)</f>
        <v>22.4938</v>
      </c>
      <c r="F173" s="45">
        <f>22.4569 * CHOOSE(CONTROL!$C$15, $E$9, 100%, $G$9) + CHOOSE(CONTROL!$C$38, 0.0278, 0)</f>
        <v>22.4847</v>
      </c>
      <c r="G173" s="14">
        <f>20.6521 * CHOOSE(CONTROL!$C$15, $E$9, 100%, $G$9) + CHOOSE(CONTROL!$C$38, 0.0369, 0)</f>
        <v>20.689</v>
      </c>
      <c r="H173" s="14">
        <f>20.6521 * CHOOSE(CONTROL!$C$15, $E$9, 100%, $G$9) + CHOOSE(CONTROL!$C$38, 0.0369, 0)</f>
        <v>20.689</v>
      </c>
      <c r="I173" s="14">
        <f>20.6537 * CHOOSE(CONTROL!$C$15, $E$9, 100%, $G$9) + CHOOSE(CONTROL!$C$38, 0.0369, 0)</f>
        <v>20.6906</v>
      </c>
      <c r="J173" s="44">
        <f>155.6326</f>
        <v>155.6326</v>
      </c>
    </row>
    <row r="174" spans="1:10" ht="15" x14ac:dyDescent="0.2">
      <c r="A174" s="13">
        <v>46204</v>
      </c>
      <c r="B174" s="14">
        <f>22.4066 * CHOOSE(CONTROL!$C$15, $E$9, 100%, $G$9) + CHOOSE(CONTROL!$C$38, 0.0278, 0)</f>
        <v>22.4344</v>
      </c>
      <c r="C174" s="14">
        <f>20.4472 * CHOOSE(CONTROL!$C$15, $E$9, 100%, $G$9) + CHOOSE(CONTROL!$C$38, 0.0369, 0)</f>
        <v>20.484099999999998</v>
      </c>
      <c r="D174" s="14">
        <f>20.4394 * CHOOSE(CONTROL!$C$15, $E$9, 100%, $G$9) + CHOOSE(CONTROL!$C$38, 0.0369, 0)</f>
        <v>20.476299999999998</v>
      </c>
      <c r="E174" s="46">
        <f>22.2504 * CHOOSE(CONTROL!$C$15, $E$9, 100%, $G$9) + CHOOSE(CONTROL!$C$38, 0.0369, 0)</f>
        <v>22.287299999999998</v>
      </c>
      <c r="F174" s="45">
        <f>22.2504 * CHOOSE(CONTROL!$C$15, $E$9, 100%, $G$9) + CHOOSE(CONTROL!$C$38, 0.0278, 0)</f>
        <v>22.278199999999998</v>
      </c>
      <c r="G174" s="14">
        <f>20.4456 * CHOOSE(CONTROL!$C$15, $E$9, 100%, $G$9) + CHOOSE(CONTROL!$C$38, 0.0369, 0)</f>
        <v>20.482499999999998</v>
      </c>
      <c r="H174" s="14">
        <f>20.4456 * CHOOSE(CONTROL!$C$15, $E$9, 100%, $G$9) + CHOOSE(CONTROL!$C$38, 0.0369, 0)</f>
        <v>20.482499999999998</v>
      </c>
      <c r="I174" s="14">
        <f>20.4472 * CHOOSE(CONTROL!$C$15, $E$9, 100%, $G$9) + CHOOSE(CONTROL!$C$38, 0.0369, 0)</f>
        <v>20.484099999999998</v>
      </c>
      <c r="J174" s="44">
        <f>154.9048</f>
        <v>154.90479999999999</v>
      </c>
    </row>
    <row r="175" spans="1:10" ht="15" x14ac:dyDescent="0.2">
      <c r="A175" s="13">
        <v>46235</v>
      </c>
      <c r="B175" s="14">
        <f>22.5085 * CHOOSE(CONTROL!$C$15, $E$9, 100%, $G$9) + CHOOSE(CONTROL!$C$38, 0.0278, 0)</f>
        <v>22.536300000000001</v>
      </c>
      <c r="C175" s="14">
        <f>20.5491 * CHOOSE(CONTROL!$C$15, $E$9, 100%, $G$9) + CHOOSE(CONTROL!$C$38, 0.0369, 0)</f>
        <v>20.585999999999999</v>
      </c>
      <c r="D175" s="14">
        <f>20.5413 * CHOOSE(CONTROL!$C$15, $E$9, 100%, $G$9) + CHOOSE(CONTROL!$C$38, 0.0369, 0)</f>
        <v>20.578199999999999</v>
      </c>
      <c r="E175" s="46">
        <f>22.3523 * CHOOSE(CONTROL!$C$15, $E$9, 100%, $G$9) + CHOOSE(CONTROL!$C$38, 0.0369, 0)</f>
        <v>22.389199999999999</v>
      </c>
      <c r="F175" s="45">
        <f>22.3523 * CHOOSE(CONTROL!$C$15, $E$9, 100%, $G$9) + CHOOSE(CONTROL!$C$38, 0.0278, 0)</f>
        <v>22.380099999999999</v>
      </c>
      <c r="G175" s="14">
        <f>20.5475 * CHOOSE(CONTROL!$C$15, $E$9, 100%, $G$9) + CHOOSE(CONTROL!$C$38, 0.0369, 0)</f>
        <v>20.584399999999999</v>
      </c>
      <c r="H175" s="14">
        <f>20.5475 * CHOOSE(CONTROL!$C$15, $E$9, 100%, $G$9) + CHOOSE(CONTROL!$C$38, 0.0369, 0)</f>
        <v>20.584399999999999</v>
      </c>
      <c r="I175" s="14">
        <f>20.5491 * CHOOSE(CONTROL!$C$15, $E$9, 100%, $G$9) + CHOOSE(CONTROL!$C$38, 0.0369, 0)</f>
        <v>20.585999999999999</v>
      </c>
      <c r="J175" s="44">
        <f>151.2987</f>
        <v>151.2987</v>
      </c>
    </row>
    <row r="176" spans="1:10" ht="15" x14ac:dyDescent="0.2">
      <c r="A176" s="13">
        <v>46266</v>
      </c>
      <c r="B176" s="14">
        <f>22.7853 * CHOOSE(CONTROL!$C$15, $E$9, 100%, $G$9) + CHOOSE(CONTROL!$C$38, 0.0278, 0)</f>
        <v>22.813099999999999</v>
      </c>
      <c r="C176" s="14">
        <f>20.8259 * CHOOSE(CONTROL!$C$15, $E$9, 100%, $G$9) + CHOOSE(CONTROL!$C$38, 0.0369, 0)</f>
        <v>20.8628</v>
      </c>
      <c r="D176" s="14">
        <f>20.8181 * CHOOSE(CONTROL!$C$15, $E$9, 100%, $G$9) + CHOOSE(CONTROL!$C$38, 0.0369, 0)</f>
        <v>20.855</v>
      </c>
      <c r="E176" s="46">
        <f>22.6291 * CHOOSE(CONTROL!$C$15, $E$9, 100%, $G$9) + CHOOSE(CONTROL!$C$38, 0.0369, 0)</f>
        <v>22.666</v>
      </c>
      <c r="F176" s="45">
        <f>22.6291 * CHOOSE(CONTROL!$C$15, $E$9, 100%, $G$9) + CHOOSE(CONTROL!$C$38, 0.0278, 0)</f>
        <v>22.6569</v>
      </c>
      <c r="G176" s="14">
        <f>20.8243 * CHOOSE(CONTROL!$C$15, $E$9, 100%, $G$9) + CHOOSE(CONTROL!$C$38, 0.0369, 0)</f>
        <v>20.8612</v>
      </c>
      <c r="H176" s="14">
        <f>20.8243 * CHOOSE(CONTROL!$C$15, $E$9, 100%, $G$9) + CHOOSE(CONTROL!$C$38, 0.0369, 0)</f>
        <v>20.8612</v>
      </c>
      <c r="I176" s="14">
        <f>20.8259 * CHOOSE(CONTROL!$C$15, $E$9, 100%, $G$9) + CHOOSE(CONTROL!$C$38, 0.0369, 0)</f>
        <v>20.8628</v>
      </c>
      <c r="J176" s="44">
        <f>146.2698</f>
        <v>146.2698</v>
      </c>
    </row>
    <row r="177" spans="1:10" ht="15" x14ac:dyDescent="0.2">
      <c r="A177" s="13">
        <v>46296</v>
      </c>
      <c r="B177" s="14">
        <f>23.0171 * CHOOSE(CONTROL!$C$15, $E$9, 100%, $G$9) + CHOOSE(CONTROL!$C$38, 0.0256, 0)</f>
        <v>23.0427</v>
      </c>
      <c r="C177" s="14">
        <f>21.0577 * CHOOSE(CONTROL!$C$15, $E$9, 100%, $G$9) + CHOOSE(CONTROL!$C$38, 0.0347, 0)</f>
        <v>21.092400000000001</v>
      </c>
      <c r="D177" s="14">
        <f>21.0499 * CHOOSE(CONTROL!$C$15, $E$9, 100%, $G$9) + CHOOSE(CONTROL!$C$38, 0.0347, 0)</f>
        <v>21.084600000000002</v>
      </c>
      <c r="E177" s="46">
        <f>22.8609 * CHOOSE(CONTROL!$C$15, $E$9, 100%, $G$9) + CHOOSE(CONTROL!$C$38, 0.0347, 0)</f>
        <v>22.895600000000002</v>
      </c>
      <c r="F177" s="45">
        <f>22.8609 * CHOOSE(CONTROL!$C$15, $E$9, 100%, $G$9) + CHOOSE(CONTROL!$C$38, 0.0256, 0)</f>
        <v>22.886500000000002</v>
      </c>
      <c r="G177" s="14">
        <f>21.0561 * CHOOSE(CONTROL!$C$15, $E$9, 100%, $G$9) + CHOOSE(CONTROL!$C$38, 0.0347, 0)</f>
        <v>21.090800000000002</v>
      </c>
      <c r="H177" s="14">
        <f>21.0561 * CHOOSE(CONTROL!$C$15, $E$9, 100%, $G$9) + CHOOSE(CONTROL!$C$38, 0.0347, 0)</f>
        <v>21.090800000000002</v>
      </c>
      <c r="I177" s="14">
        <f>21.0577 * CHOOSE(CONTROL!$C$15, $E$9, 100%, $G$9) + CHOOSE(CONTROL!$C$38, 0.0347, 0)</f>
        <v>21.092400000000001</v>
      </c>
      <c r="J177" s="44">
        <f>141.2116</f>
        <v>141.2116</v>
      </c>
    </row>
    <row r="178" spans="1:10" ht="15" x14ac:dyDescent="0.2">
      <c r="A178" s="13">
        <v>46327</v>
      </c>
      <c r="B178" s="14">
        <f>23.2106 * CHOOSE(CONTROL!$C$15, $E$9, 100%, $G$9) + CHOOSE(CONTROL!$C$38, 0.0256, 0)</f>
        <v>23.2362</v>
      </c>
      <c r="C178" s="14">
        <f>21.2512 * CHOOSE(CONTROL!$C$15, $E$9, 100%, $G$9) + CHOOSE(CONTROL!$C$38, 0.0347, 0)</f>
        <v>21.285900000000002</v>
      </c>
      <c r="D178" s="14">
        <f>21.2433 * CHOOSE(CONTROL!$C$15, $E$9, 100%, $G$9) + CHOOSE(CONTROL!$C$38, 0.0347, 0)</f>
        <v>21.278000000000002</v>
      </c>
      <c r="E178" s="46">
        <f>23.0543 * CHOOSE(CONTROL!$C$15, $E$9, 100%, $G$9) + CHOOSE(CONTROL!$C$38, 0.0347, 0)</f>
        <v>23.089000000000002</v>
      </c>
      <c r="F178" s="45">
        <f>23.0543 * CHOOSE(CONTROL!$C$15, $E$9, 100%, $G$9) + CHOOSE(CONTROL!$C$38, 0.0256, 0)</f>
        <v>23.079900000000002</v>
      </c>
      <c r="G178" s="14">
        <f>21.2496 * CHOOSE(CONTROL!$C$15, $E$9, 100%, $G$9) + CHOOSE(CONTROL!$C$38, 0.0347, 0)</f>
        <v>21.284300000000002</v>
      </c>
      <c r="H178" s="14">
        <f>21.2496 * CHOOSE(CONTROL!$C$15, $E$9, 100%, $G$9) + CHOOSE(CONTROL!$C$38, 0.0347, 0)</f>
        <v>21.284300000000002</v>
      </c>
      <c r="I178" s="14">
        <f>21.2512 * CHOOSE(CONTROL!$C$15, $E$9, 100%, $G$9) + CHOOSE(CONTROL!$C$38, 0.0347, 0)</f>
        <v>21.285900000000002</v>
      </c>
      <c r="J178" s="44">
        <f>140.2054</f>
        <v>140.2054</v>
      </c>
    </row>
    <row r="179" spans="1:10" ht="15" x14ac:dyDescent="0.2">
      <c r="A179" s="13">
        <v>46357</v>
      </c>
      <c r="B179" s="14">
        <f>23.8067 * CHOOSE(CONTROL!$C$15, $E$9, 100%, $G$9) + CHOOSE(CONTROL!$C$38, 0.0256, 0)</f>
        <v>23.8323</v>
      </c>
      <c r="C179" s="14">
        <f>21.8472 * CHOOSE(CONTROL!$C$15, $E$9, 100%, $G$9) + CHOOSE(CONTROL!$C$38, 0.0347, 0)</f>
        <v>21.881900000000002</v>
      </c>
      <c r="D179" s="14">
        <f>21.8394 * CHOOSE(CONTROL!$C$15, $E$9, 100%, $G$9) + CHOOSE(CONTROL!$C$38, 0.0347, 0)</f>
        <v>21.874100000000002</v>
      </c>
      <c r="E179" s="46">
        <f>23.6504 * CHOOSE(CONTROL!$C$15, $E$9, 100%, $G$9) + CHOOSE(CONTROL!$C$38, 0.0347, 0)</f>
        <v>23.685100000000002</v>
      </c>
      <c r="F179" s="45">
        <f>23.6504 * CHOOSE(CONTROL!$C$15, $E$9, 100%, $G$9) + CHOOSE(CONTROL!$C$38, 0.0256, 0)</f>
        <v>23.676000000000002</v>
      </c>
      <c r="G179" s="14">
        <f>21.8457 * CHOOSE(CONTROL!$C$15, $E$9, 100%, $G$9) + CHOOSE(CONTROL!$C$38, 0.0347, 0)</f>
        <v>21.880400000000002</v>
      </c>
      <c r="H179" s="14">
        <f>21.8457 * CHOOSE(CONTROL!$C$15, $E$9, 100%, $G$9) + CHOOSE(CONTROL!$C$38, 0.0347, 0)</f>
        <v>21.880400000000002</v>
      </c>
      <c r="I179" s="14">
        <f>21.8472 * CHOOSE(CONTROL!$C$15, $E$9, 100%, $G$9) + CHOOSE(CONTROL!$C$38, 0.0347, 0)</f>
        <v>21.881900000000002</v>
      </c>
      <c r="J179" s="44">
        <f>136.0448</f>
        <v>136.04480000000001</v>
      </c>
    </row>
    <row r="180" spans="1:10" ht="15" x14ac:dyDescent="0.2">
      <c r="A180" s="13">
        <v>46388</v>
      </c>
      <c r="B180" s="14">
        <f>24.7372 * CHOOSE(CONTROL!$C$15, $E$9, 100%, $G$9) + CHOOSE(CONTROL!$C$38, 0.0256, 0)</f>
        <v>24.762800000000002</v>
      </c>
      <c r="C180" s="14">
        <f>22.7665 * CHOOSE(CONTROL!$C$15, $E$9, 100%, $G$9) + CHOOSE(CONTROL!$C$38, 0.0347, 0)</f>
        <v>22.801200000000001</v>
      </c>
      <c r="D180" s="14">
        <f>22.7587 * CHOOSE(CONTROL!$C$15, $E$9, 100%, $G$9) + CHOOSE(CONTROL!$C$38, 0.0347, 0)</f>
        <v>22.793400000000002</v>
      </c>
      <c r="E180" s="46">
        <f>24.5809 * CHOOSE(CONTROL!$C$15, $E$9, 100%, $G$9) + CHOOSE(CONTROL!$C$38, 0.0347, 0)</f>
        <v>24.615600000000001</v>
      </c>
      <c r="F180" s="45">
        <f>24.5809 * CHOOSE(CONTROL!$C$15, $E$9, 100%, $G$9) + CHOOSE(CONTROL!$C$38, 0.0256, 0)</f>
        <v>24.6065</v>
      </c>
      <c r="G180" s="14">
        <f>22.765 * CHOOSE(CONTROL!$C$15, $E$9, 100%, $G$9) + CHOOSE(CONTROL!$C$38, 0.0347, 0)</f>
        <v>22.799700000000001</v>
      </c>
      <c r="H180" s="14">
        <f>22.765 * CHOOSE(CONTROL!$C$15, $E$9, 100%, $G$9) + CHOOSE(CONTROL!$C$38, 0.0347, 0)</f>
        <v>22.799700000000001</v>
      </c>
      <c r="I180" s="14">
        <f>22.7665 * CHOOSE(CONTROL!$C$15, $E$9, 100%, $G$9) + CHOOSE(CONTROL!$C$38, 0.0347, 0)</f>
        <v>22.801200000000001</v>
      </c>
      <c r="J180" s="44">
        <f>135.4616</f>
        <v>135.4616</v>
      </c>
    </row>
    <row r="181" spans="1:10" ht="15" x14ac:dyDescent="0.2">
      <c r="A181" s="13">
        <v>46419</v>
      </c>
      <c r="B181" s="14">
        <f>24.958 * CHOOSE(CONTROL!$C$15, $E$9, 100%, $G$9) + CHOOSE(CONTROL!$C$38, 0.0256, 0)</f>
        <v>24.983599999999999</v>
      </c>
      <c r="C181" s="14">
        <f>22.9873 * CHOOSE(CONTROL!$C$15, $E$9, 100%, $G$9) + CHOOSE(CONTROL!$C$38, 0.0347, 0)</f>
        <v>23.022000000000002</v>
      </c>
      <c r="D181" s="14">
        <f>22.9795 * CHOOSE(CONTROL!$C$15, $E$9, 100%, $G$9) + CHOOSE(CONTROL!$C$38, 0.0347, 0)</f>
        <v>23.014200000000002</v>
      </c>
      <c r="E181" s="46">
        <f>24.8017 * CHOOSE(CONTROL!$C$15, $E$9, 100%, $G$9) + CHOOSE(CONTROL!$C$38, 0.0347, 0)</f>
        <v>24.836400000000001</v>
      </c>
      <c r="F181" s="45">
        <f>24.8017 * CHOOSE(CONTROL!$C$15, $E$9, 100%, $G$9) + CHOOSE(CONTROL!$C$38, 0.0256, 0)</f>
        <v>24.827300000000001</v>
      </c>
      <c r="G181" s="14">
        <f>22.9857 * CHOOSE(CONTROL!$C$15, $E$9, 100%, $G$9) + CHOOSE(CONTROL!$C$38, 0.0347, 0)</f>
        <v>23.020400000000002</v>
      </c>
      <c r="H181" s="14">
        <f>22.9857 * CHOOSE(CONTROL!$C$15, $E$9, 100%, $G$9) + CHOOSE(CONTROL!$C$38, 0.0347, 0)</f>
        <v>23.020400000000002</v>
      </c>
      <c r="I181" s="14">
        <f>22.9873 * CHOOSE(CONTROL!$C$15, $E$9, 100%, $G$9) + CHOOSE(CONTROL!$C$38, 0.0347, 0)</f>
        <v>23.022000000000002</v>
      </c>
      <c r="J181" s="44">
        <f>135.0851</f>
        <v>135.08510000000001</v>
      </c>
    </row>
    <row r="182" spans="1:10" ht="15" x14ac:dyDescent="0.2">
      <c r="A182" s="13">
        <v>46447</v>
      </c>
      <c r="B182" s="14">
        <f>24.4469 * CHOOSE(CONTROL!$C$15, $E$9, 100%, $G$9) + CHOOSE(CONTROL!$C$38, 0.0256, 0)</f>
        <v>24.4725</v>
      </c>
      <c r="C182" s="14">
        <f>22.4762 * CHOOSE(CONTROL!$C$15, $E$9, 100%, $G$9) + CHOOSE(CONTROL!$C$38, 0.0347, 0)</f>
        <v>22.510899999999999</v>
      </c>
      <c r="D182" s="14">
        <f>22.4684 * CHOOSE(CONTROL!$C$15, $E$9, 100%, $G$9) + CHOOSE(CONTROL!$C$38, 0.0347, 0)</f>
        <v>22.5031</v>
      </c>
      <c r="E182" s="46">
        <f>24.2907 * CHOOSE(CONTROL!$C$15, $E$9, 100%, $G$9) + CHOOSE(CONTROL!$C$38, 0.0347, 0)</f>
        <v>24.325400000000002</v>
      </c>
      <c r="F182" s="45">
        <f>24.2907 * CHOOSE(CONTROL!$C$15, $E$9, 100%, $G$9) + CHOOSE(CONTROL!$C$38, 0.0256, 0)</f>
        <v>24.316300000000002</v>
      </c>
      <c r="G182" s="14">
        <f>22.4747 * CHOOSE(CONTROL!$C$15, $E$9, 100%, $G$9) + CHOOSE(CONTROL!$C$38, 0.0347, 0)</f>
        <v>22.509399999999999</v>
      </c>
      <c r="H182" s="14">
        <f>22.4747 * CHOOSE(CONTROL!$C$15, $E$9, 100%, $G$9) + CHOOSE(CONTROL!$C$38, 0.0347, 0)</f>
        <v>22.509399999999999</v>
      </c>
      <c r="I182" s="14">
        <f>22.4762 * CHOOSE(CONTROL!$C$15, $E$9, 100%, $G$9) + CHOOSE(CONTROL!$C$38, 0.0347, 0)</f>
        <v>22.510899999999999</v>
      </c>
      <c r="J182" s="44">
        <f>142.2049</f>
        <v>142.20490000000001</v>
      </c>
    </row>
    <row r="183" spans="1:10" ht="15" x14ac:dyDescent="0.2">
      <c r="A183" s="13">
        <v>46478</v>
      </c>
      <c r="B183" s="14">
        <f>23.9517 * CHOOSE(CONTROL!$C$15, $E$9, 100%, $G$9) + CHOOSE(CONTROL!$C$38, 0.0256, 0)</f>
        <v>23.9773</v>
      </c>
      <c r="C183" s="14">
        <f>21.9811 * CHOOSE(CONTROL!$C$15, $E$9, 100%, $G$9) + CHOOSE(CONTROL!$C$38, 0.0347, 0)</f>
        <v>22.015800000000002</v>
      </c>
      <c r="D183" s="14">
        <f>21.9733 * CHOOSE(CONTROL!$C$15, $E$9, 100%, $G$9) + CHOOSE(CONTROL!$C$38, 0.0347, 0)</f>
        <v>22.007999999999999</v>
      </c>
      <c r="E183" s="46">
        <f>23.7955 * CHOOSE(CONTROL!$C$15, $E$9, 100%, $G$9) + CHOOSE(CONTROL!$C$38, 0.0347, 0)</f>
        <v>23.830200000000001</v>
      </c>
      <c r="F183" s="45">
        <f>23.7955 * CHOOSE(CONTROL!$C$15, $E$9, 100%, $G$9) + CHOOSE(CONTROL!$C$38, 0.0256, 0)</f>
        <v>23.821100000000001</v>
      </c>
      <c r="G183" s="14">
        <f>21.9795 * CHOOSE(CONTROL!$C$15, $E$9, 100%, $G$9) + CHOOSE(CONTROL!$C$38, 0.0347, 0)</f>
        <v>22.014200000000002</v>
      </c>
      <c r="H183" s="14">
        <f>21.9795 * CHOOSE(CONTROL!$C$15, $E$9, 100%, $G$9) + CHOOSE(CONTROL!$C$38, 0.0347, 0)</f>
        <v>22.014200000000002</v>
      </c>
      <c r="I183" s="14">
        <f>21.9811 * CHOOSE(CONTROL!$C$15, $E$9, 100%, $G$9) + CHOOSE(CONTROL!$C$38, 0.0347, 0)</f>
        <v>22.015800000000002</v>
      </c>
      <c r="J183" s="44">
        <f>151.4375</f>
        <v>151.4375</v>
      </c>
    </row>
    <row r="184" spans="1:10" ht="15" x14ac:dyDescent="0.2">
      <c r="A184" s="13">
        <v>46508</v>
      </c>
      <c r="B184" s="14">
        <f>23.4356 * CHOOSE(CONTROL!$C$15, $E$9, 100%, $G$9) + CHOOSE(CONTROL!$C$38, 0.0278, 0)</f>
        <v>23.4634</v>
      </c>
      <c r="C184" s="14">
        <f>21.465 * CHOOSE(CONTROL!$C$15, $E$9, 100%, $G$9) + CHOOSE(CONTROL!$C$38, 0.0369, 0)</f>
        <v>21.501899999999999</v>
      </c>
      <c r="D184" s="14">
        <f>21.4571 * CHOOSE(CONTROL!$C$15, $E$9, 100%, $G$9) + CHOOSE(CONTROL!$C$38, 0.0369, 0)</f>
        <v>21.494</v>
      </c>
      <c r="E184" s="46">
        <f>23.2794 * CHOOSE(CONTROL!$C$15, $E$9, 100%, $G$9) + CHOOSE(CONTROL!$C$38, 0.0369, 0)</f>
        <v>23.316299999999998</v>
      </c>
      <c r="F184" s="45">
        <f>23.2794 * CHOOSE(CONTROL!$C$15, $E$9, 100%, $G$9) + CHOOSE(CONTROL!$C$38, 0.0278, 0)</f>
        <v>23.307199999999998</v>
      </c>
      <c r="G184" s="14">
        <f>21.4634 * CHOOSE(CONTROL!$C$15, $E$9, 100%, $G$9) + CHOOSE(CONTROL!$C$38, 0.0369, 0)</f>
        <v>21.500299999999999</v>
      </c>
      <c r="H184" s="14">
        <f>21.4634 * CHOOSE(CONTROL!$C$15, $E$9, 100%, $G$9) + CHOOSE(CONTROL!$C$38, 0.0369, 0)</f>
        <v>21.500299999999999</v>
      </c>
      <c r="I184" s="14">
        <f>21.465 * CHOOSE(CONTROL!$C$15, $E$9, 100%, $G$9) + CHOOSE(CONTROL!$C$38, 0.0369, 0)</f>
        <v>21.501899999999999</v>
      </c>
      <c r="J184" s="44">
        <f>156.5194</f>
        <v>156.51939999999999</v>
      </c>
    </row>
    <row r="185" spans="1:10" ht="15" x14ac:dyDescent="0.2">
      <c r="A185" s="13">
        <v>46539</v>
      </c>
      <c r="B185" s="14">
        <f>23.0738 * CHOOSE(CONTROL!$C$15, $E$9, 100%, $G$9) + CHOOSE(CONTROL!$C$38, 0.0278, 0)</f>
        <v>23.101599999999998</v>
      </c>
      <c r="C185" s="14">
        <f>21.1031 * CHOOSE(CONTROL!$C$15, $E$9, 100%, $G$9) + CHOOSE(CONTROL!$C$38, 0.0369, 0)</f>
        <v>21.14</v>
      </c>
      <c r="D185" s="14">
        <f>21.0953 * CHOOSE(CONTROL!$C$15, $E$9, 100%, $G$9) + CHOOSE(CONTROL!$C$38, 0.0369, 0)</f>
        <v>21.132200000000001</v>
      </c>
      <c r="E185" s="46">
        <f>22.9175 * CHOOSE(CONTROL!$C$15, $E$9, 100%, $G$9) + CHOOSE(CONTROL!$C$38, 0.0369, 0)</f>
        <v>22.9544</v>
      </c>
      <c r="F185" s="45">
        <f>22.9175 * CHOOSE(CONTROL!$C$15, $E$9, 100%, $G$9) + CHOOSE(CONTROL!$C$38, 0.0278, 0)</f>
        <v>22.9453</v>
      </c>
      <c r="G185" s="14">
        <f>21.1016 * CHOOSE(CONTROL!$C$15, $E$9, 100%, $G$9) + CHOOSE(CONTROL!$C$38, 0.0369, 0)</f>
        <v>21.138500000000001</v>
      </c>
      <c r="H185" s="14">
        <f>21.1016 * CHOOSE(CONTROL!$C$15, $E$9, 100%, $G$9) + CHOOSE(CONTROL!$C$38, 0.0369, 0)</f>
        <v>21.138500000000001</v>
      </c>
      <c r="I185" s="14">
        <f>21.1031 * CHOOSE(CONTROL!$C$15, $E$9, 100%, $G$9) + CHOOSE(CONTROL!$C$38, 0.0369, 0)</f>
        <v>21.14</v>
      </c>
      <c r="J185" s="44">
        <f>158.7747</f>
        <v>158.7747</v>
      </c>
    </row>
    <row r="186" spans="1:10" ht="15" x14ac:dyDescent="0.2">
      <c r="A186" s="13">
        <v>46569</v>
      </c>
      <c r="B186" s="14">
        <f>22.8673 * CHOOSE(CONTROL!$C$15, $E$9, 100%, $G$9) + CHOOSE(CONTROL!$C$38, 0.0278, 0)</f>
        <v>22.895099999999999</v>
      </c>
      <c r="C186" s="14">
        <f>20.8966 * CHOOSE(CONTROL!$C$15, $E$9, 100%, $G$9) + CHOOSE(CONTROL!$C$38, 0.0369, 0)</f>
        <v>20.933499999999999</v>
      </c>
      <c r="D186" s="14">
        <f>20.8888 * CHOOSE(CONTROL!$C$15, $E$9, 100%, $G$9) + CHOOSE(CONTROL!$C$38, 0.0369, 0)</f>
        <v>20.925699999999999</v>
      </c>
      <c r="E186" s="46">
        <f>22.7111 * CHOOSE(CONTROL!$C$15, $E$9, 100%, $G$9) + CHOOSE(CONTROL!$C$38, 0.0369, 0)</f>
        <v>22.747999999999998</v>
      </c>
      <c r="F186" s="45">
        <f>22.7111 * CHOOSE(CONTROL!$C$15, $E$9, 100%, $G$9) + CHOOSE(CONTROL!$C$38, 0.0278, 0)</f>
        <v>22.738899999999997</v>
      </c>
      <c r="G186" s="14">
        <f>20.8951 * CHOOSE(CONTROL!$C$15, $E$9, 100%, $G$9) + CHOOSE(CONTROL!$C$38, 0.0369, 0)</f>
        <v>20.931999999999999</v>
      </c>
      <c r="H186" s="14">
        <f>20.8951 * CHOOSE(CONTROL!$C$15, $E$9, 100%, $G$9) + CHOOSE(CONTROL!$C$38, 0.0369, 0)</f>
        <v>20.931999999999999</v>
      </c>
      <c r="I186" s="14">
        <f>20.8966 * CHOOSE(CONTROL!$C$15, $E$9, 100%, $G$9) + CHOOSE(CONTROL!$C$38, 0.0369, 0)</f>
        <v>20.933499999999999</v>
      </c>
      <c r="J186" s="44">
        <f>158.0322</f>
        <v>158.03219999999999</v>
      </c>
    </row>
    <row r="187" spans="1:10" ht="15" x14ac:dyDescent="0.2">
      <c r="A187" s="13">
        <v>46600</v>
      </c>
      <c r="B187" s="14">
        <f>22.9692 * CHOOSE(CONTROL!$C$15, $E$9, 100%, $G$9) + CHOOSE(CONTROL!$C$38, 0.0278, 0)</f>
        <v>22.997</v>
      </c>
      <c r="C187" s="14">
        <f>20.9985 * CHOOSE(CONTROL!$C$15, $E$9, 100%, $G$9) + CHOOSE(CONTROL!$C$38, 0.0369, 0)</f>
        <v>21.035399999999999</v>
      </c>
      <c r="D187" s="14">
        <f>20.9907 * CHOOSE(CONTROL!$C$15, $E$9, 100%, $G$9) + CHOOSE(CONTROL!$C$38, 0.0369, 0)</f>
        <v>21.0276</v>
      </c>
      <c r="E187" s="46">
        <f>22.813 * CHOOSE(CONTROL!$C$15, $E$9, 100%, $G$9) + CHOOSE(CONTROL!$C$38, 0.0369, 0)</f>
        <v>22.849899999999998</v>
      </c>
      <c r="F187" s="45">
        <f>22.813 * CHOOSE(CONTROL!$C$15, $E$9, 100%, $G$9) + CHOOSE(CONTROL!$C$38, 0.0278, 0)</f>
        <v>22.840799999999998</v>
      </c>
      <c r="G187" s="14">
        <f>20.997 * CHOOSE(CONTROL!$C$15, $E$9, 100%, $G$9) + CHOOSE(CONTROL!$C$38, 0.0369, 0)</f>
        <v>21.033899999999999</v>
      </c>
      <c r="H187" s="14">
        <f>20.997 * CHOOSE(CONTROL!$C$15, $E$9, 100%, $G$9) + CHOOSE(CONTROL!$C$38, 0.0369, 0)</f>
        <v>21.033899999999999</v>
      </c>
      <c r="I187" s="14">
        <f>20.9985 * CHOOSE(CONTROL!$C$15, $E$9, 100%, $G$9) + CHOOSE(CONTROL!$C$38, 0.0369, 0)</f>
        <v>21.035399999999999</v>
      </c>
      <c r="J187" s="44">
        <f>154.3532</f>
        <v>154.35319999999999</v>
      </c>
    </row>
    <row r="188" spans="1:10" ht="15" x14ac:dyDescent="0.2">
      <c r="A188" s="13">
        <v>46631</v>
      </c>
      <c r="B188" s="14">
        <f>23.246 * CHOOSE(CONTROL!$C$15, $E$9, 100%, $G$9) + CHOOSE(CONTROL!$C$38, 0.0278, 0)</f>
        <v>23.273799999999998</v>
      </c>
      <c r="C188" s="14">
        <f>21.2753 * CHOOSE(CONTROL!$C$15, $E$9, 100%, $G$9) + CHOOSE(CONTROL!$C$38, 0.0369, 0)</f>
        <v>21.312200000000001</v>
      </c>
      <c r="D188" s="14">
        <f>21.2675 * CHOOSE(CONTROL!$C$15, $E$9, 100%, $G$9) + CHOOSE(CONTROL!$C$38, 0.0369, 0)</f>
        <v>21.304399999999998</v>
      </c>
      <c r="E188" s="46">
        <f>23.0898 * CHOOSE(CONTROL!$C$15, $E$9, 100%, $G$9) + CHOOSE(CONTROL!$C$38, 0.0369, 0)</f>
        <v>23.1267</v>
      </c>
      <c r="F188" s="45">
        <f>23.0898 * CHOOSE(CONTROL!$C$15, $E$9, 100%, $G$9) + CHOOSE(CONTROL!$C$38, 0.0278, 0)</f>
        <v>23.117599999999999</v>
      </c>
      <c r="G188" s="14">
        <f>21.2738 * CHOOSE(CONTROL!$C$15, $E$9, 100%, $G$9) + CHOOSE(CONTROL!$C$38, 0.0369, 0)</f>
        <v>21.310700000000001</v>
      </c>
      <c r="H188" s="14">
        <f>21.2738 * CHOOSE(CONTROL!$C$15, $E$9, 100%, $G$9) + CHOOSE(CONTROL!$C$38, 0.0369, 0)</f>
        <v>21.310700000000001</v>
      </c>
      <c r="I188" s="14">
        <f>21.2753 * CHOOSE(CONTROL!$C$15, $E$9, 100%, $G$9) + CHOOSE(CONTROL!$C$38, 0.0369, 0)</f>
        <v>21.312200000000001</v>
      </c>
      <c r="J188" s="44">
        <f>149.2228</f>
        <v>149.22280000000001</v>
      </c>
    </row>
    <row r="189" spans="1:10" ht="15" x14ac:dyDescent="0.2">
      <c r="A189" s="13">
        <v>46661</v>
      </c>
      <c r="B189" s="14">
        <f>23.4778 * CHOOSE(CONTROL!$C$15, $E$9, 100%, $G$9) + CHOOSE(CONTROL!$C$38, 0.0256, 0)</f>
        <v>23.503399999999999</v>
      </c>
      <c r="C189" s="14">
        <f>21.5072 * CHOOSE(CONTROL!$C$15, $E$9, 100%, $G$9) + CHOOSE(CONTROL!$C$38, 0.0347, 0)</f>
        <v>21.541900000000002</v>
      </c>
      <c r="D189" s="14">
        <f>21.4993 * CHOOSE(CONTROL!$C$15, $E$9, 100%, $G$9) + CHOOSE(CONTROL!$C$38, 0.0347, 0)</f>
        <v>21.534000000000002</v>
      </c>
      <c r="E189" s="46">
        <f>23.3216 * CHOOSE(CONTROL!$C$15, $E$9, 100%, $G$9) + CHOOSE(CONTROL!$C$38, 0.0347, 0)</f>
        <v>23.356300000000001</v>
      </c>
      <c r="F189" s="45">
        <f>23.3216 * CHOOSE(CONTROL!$C$15, $E$9, 100%, $G$9) + CHOOSE(CONTROL!$C$38, 0.0256, 0)</f>
        <v>23.347200000000001</v>
      </c>
      <c r="G189" s="14">
        <f>21.5056 * CHOOSE(CONTROL!$C$15, $E$9, 100%, $G$9) + CHOOSE(CONTROL!$C$38, 0.0347, 0)</f>
        <v>21.540300000000002</v>
      </c>
      <c r="H189" s="14">
        <f>21.5056 * CHOOSE(CONTROL!$C$15, $E$9, 100%, $G$9) + CHOOSE(CONTROL!$C$38, 0.0347, 0)</f>
        <v>21.540300000000002</v>
      </c>
      <c r="I189" s="14">
        <f>21.5072 * CHOOSE(CONTROL!$C$15, $E$9, 100%, $G$9) + CHOOSE(CONTROL!$C$38, 0.0347, 0)</f>
        <v>21.541900000000002</v>
      </c>
      <c r="J189" s="44">
        <f>144.0625</f>
        <v>144.0625</v>
      </c>
    </row>
    <row r="190" spans="1:10" ht="15" x14ac:dyDescent="0.2">
      <c r="A190" s="13">
        <v>46692</v>
      </c>
      <c r="B190" s="14">
        <f>23.6713 * CHOOSE(CONTROL!$C$15, $E$9, 100%, $G$9) + CHOOSE(CONTROL!$C$38, 0.0256, 0)</f>
        <v>23.696899999999999</v>
      </c>
      <c r="C190" s="14">
        <f>21.7006 * CHOOSE(CONTROL!$C$15, $E$9, 100%, $G$9) + CHOOSE(CONTROL!$C$38, 0.0347, 0)</f>
        <v>21.735300000000002</v>
      </c>
      <c r="D190" s="14">
        <f>21.6928 * CHOOSE(CONTROL!$C$15, $E$9, 100%, $G$9) + CHOOSE(CONTROL!$C$38, 0.0347, 0)</f>
        <v>21.727499999999999</v>
      </c>
      <c r="E190" s="46">
        <f>23.515 * CHOOSE(CONTROL!$C$15, $E$9, 100%, $G$9) + CHOOSE(CONTROL!$C$38, 0.0347, 0)</f>
        <v>23.549700000000001</v>
      </c>
      <c r="F190" s="45">
        <f>23.515 * CHOOSE(CONTROL!$C$15, $E$9, 100%, $G$9) + CHOOSE(CONTROL!$C$38, 0.0256, 0)</f>
        <v>23.540600000000001</v>
      </c>
      <c r="G190" s="14">
        <f>21.699 * CHOOSE(CONTROL!$C$15, $E$9, 100%, $G$9) + CHOOSE(CONTROL!$C$38, 0.0347, 0)</f>
        <v>21.733700000000002</v>
      </c>
      <c r="H190" s="14">
        <f>21.699 * CHOOSE(CONTROL!$C$15, $E$9, 100%, $G$9) + CHOOSE(CONTROL!$C$38, 0.0347, 0)</f>
        <v>21.733700000000002</v>
      </c>
      <c r="I190" s="14">
        <f>21.7006 * CHOOSE(CONTROL!$C$15, $E$9, 100%, $G$9) + CHOOSE(CONTROL!$C$38, 0.0347, 0)</f>
        <v>21.735300000000002</v>
      </c>
      <c r="J190" s="44">
        <f>143.0361</f>
        <v>143.0361</v>
      </c>
    </row>
    <row r="191" spans="1:10" ht="15" x14ac:dyDescent="0.2">
      <c r="A191" s="13">
        <v>46722</v>
      </c>
      <c r="B191" s="14">
        <f>24.2673 * CHOOSE(CONTROL!$C$15, $E$9, 100%, $G$9) + CHOOSE(CONTROL!$C$38, 0.0256, 0)</f>
        <v>24.292899999999999</v>
      </c>
      <c r="C191" s="14">
        <f>22.2967 * CHOOSE(CONTROL!$C$15, $E$9, 100%, $G$9) + CHOOSE(CONTROL!$C$38, 0.0347, 0)</f>
        <v>22.331400000000002</v>
      </c>
      <c r="D191" s="14">
        <f>22.2889 * CHOOSE(CONTROL!$C$15, $E$9, 100%, $G$9) + CHOOSE(CONTROL!$C$38, 0.0347, 0)</f>
        <v>22.323600000000003</v>
      </c>
      <c r="E191" s="46">
        <f>24.1111 * CHOOSE(CONTROL!$C$15, $E$9, 100%, $G$9) + CHOOSE(CONTROL!$C$38, 0.0347, 0)</f>
        <v>24.145800000000001</v>
      </c>
      <c r="F191" s="45">
        <f>24.1111 * CHOOSE(CONTROL!$C$15, $E$9, 100%, $G$9) + CHOOSE(CONTROL!$C$38, 0.0256, 0)</f>
        <v>24.136700000000001</v>
      </c>
      <c r="G191" s="14">
        <f>22.2951 * CHOOSE(CONTROL!$C$15, $E$9, 100%, $G$9) + CHOOSE(CONTROL!$C$38, 0.0347, 0)</f>
        <v>22.329800000000002</v>
      </c>
      <c r="H191" s="14">
        <f>22.2951 * CHOOSE(CONTROL!$C$15, $E$9, 100%, $G$9) + CHOOSE(CONTROL!$C$38, 0.0347, 0)</f>
        <v>22.329800000000002</v>
      </c>
      <c r="I191" s="14">
        <f>22.2967 * CHOOSE(CONTROL!$C$15, $E$9, 100%, $G$9) + CHOOSE(CONTROL!$C$38, 0.0347, 0)</f>
        <v>22.331400000000002</v>
      </c>
      <c r="J191" s="44">
        <f>138.7914</f>
        <v>138.79140000000001</v>
      </c>
    </row>
    <row r="192" spans="1:10" ht="15" x14ac:dyDescent="0.2">
      <c r="A192" s="13">
        <v>46753</v>
      </c>
      <c r="B192" s="14">
        <f>25.144 * CHOOSE(CONTROL!$C$15, $E$9, 100%, $G$9) + CHOOSE(CONTROL!$C$38, 0.0256, 0)</f>
        <v>25.169599999999999</v>
      </c>
      <c r="C192" s="14">
        <f>23.1634 * CHOOSE(CONTROL!$C$15, $E$9, 100%, $G$9) + CHOOSE(CONTROL!$C$38, 0.0347, 0)</f>
        <v>23.1981</v>
      </c>
      <c r="D192" s="14">
        <f>23.1556 * CHOOSE(CONTROL!$C$15, $E$9, 100%, $G$9) + CHOOSE(CONTROL!$C$38, 0.0347, 0)</f>
        <v>23.190300000000001</v>
      </c>
      <c r="E192" s="46">
        <f>24.9877 * CHOOSE(CONTROL!$C$15, $E$9, 100%, $G$9) + CHOOSE(CONTROL!$C$38, 0.0347, 0)</f>
        <v>25.022400000000001</v>
      </c>
      <c r="F192" s="45">
        <f>24.9877 * CHOOSE(CONTROL!$C$15, $E$9, 100%, $G$9) + CHOOSE(CONTROL!$C$38, 0.0256, 0)</f>
        <v>25.013300000000001</v>
      </c>
      <c r="G192" s="14">
        <f>23.1618 * CHOOSE(CONTROL!$C$15, $E$9, 100%, $G$9) + CHOOSE(CONTROL!$C$38, 0.0347, 0)</f>
        <v>23.1965</v>
      </c>
      <c r="H192" s="14">
        <f>23.1618 * CHOOSE(CONTROL!$C$15, $E$9, 100%, $G$9) + CHOOSE(CONTROL!$C$38, 0.0347, 0)</f>
        <v>23.1965</v>
      </c>
      <c r="I192" s="14">
        <f>23.1634 * CHOOSE(CONTROL!$C$15, $E$9, 100%, $G$9) + CHOOSE(CONTROL!$C$38, 0.0347, 0)</f>
        <v>23.1981</v>
      </c>
      <c r="J192" s="44">
        <f>138.1964</f>
        <v>138.19640000000001</v>
      </c>
    </row>
    <row r="193" spans="1:10" ht="15" x14ac:dyDescent="0.2">
      <c r="A193" s="13">
        <v>46784</v>
      </c>
      <c r="B193" s="14">
        <f>25.3647 * CHOOSE(CONTROL!$C$15, $E$9, 100%, $G$9) + CHOOSE(CONTROL!$C$38, 0.0256, 0)</f>
        <v>25.3903</v>
      </c>
      <c r="C193" s="14">
        <f>23.3841 * CHOOSE(CONTROL!$C$15, $E$9, 100%, $G$9) + CHOOSE(CONTROL!$C$38, 0.0347, 0)</f>
        <v>23.418800000000001</v>
      </c>
      <c r="D193" s="14">
        <f>23.3763 * CHOOSE(CONTROL!$C$15, $E$9, 100%, $G$9) + CHOOSE(CONTROL!$C$38, 0.0347, 0)</f>
        <v>23.411000000000001</v>
      </c>
      <c r="E193" s="46">
        <f>25.2085 * CHOOSE(CONTROL!$C$15, $E$9, 100%, $G$9) + CHOOSE(CONTROL!$C$38, 0.0347, 0)</f>
        <v>25.243200000000002</v>
      </c>
      <c r="F193" s="45">
        <f>25.2085 * CHOOSE(CONTROL!$C$15, $E$9, 100%, $G$9) + CHOOSE(CONTROL!$C$38, 0.0256, 0)</f>
        <v>25.234100000000002</v>
      </c>
      <c r="G193" s="14">
        <f>23.3826 * CHOOSE(CONTROL!$C$15, $E$9, 100%, $G$9) + CHOOSE(CONTROL!$C$38, 0.0347, 0)</f>
        <v>23.417300000000001</v>
      </c>
      <c r="H193" s="14">
        <f>23.3826 * CHOOSE(CONTROL!$C$15, $E$9, 100%, $G$9) + CHOOSE(CONTROL!$C$38, 0.0347, 0)</f>
        <v>23.417300000000001</v>
      </c>
      <c r="I193" s="14">
        <f>23.3841 * CHOOSE(CONTROL!$C$15, $E$9, 100%, $G$9) + CHOOSE(CONTROL!$C$38, 0.0347, 0)</f>
        <v>23.418800000000001</v>
      </c>
      <c r="J193" s="44">
        <f>137.8122</f>
        <v>137.81219999999999</v>
      </c>
    </row>
    <row r="194" spans="1:10" ht="15" x14ac:dyDescent="0.2">
      <c r="A194" s="13">
        <v>46813</v>
      </c>
      <c r="B194" s="14">
        <f>24.8537 * CHOOSE(CONTROL!$C$15, $E$9, 100%, $G$9) + CHOOSE(CONTROL!$C$38, 0.0256, 0)</f>
        <v>24.879300000000001</v>
      </c>
      <c r="C194" s="14">
        <f>22.8731 * CHOOSE(CONTROL!$C$15, $E$9, 100%, $G$9) + CHOOSE(CONTROL!$C$38, 0.0347, 0)</f>
        <v>22.907800000000002</v>
      </c>
      <c r="D194" s="14">
        <f>22.8653 * CHOOSE(CONTROL!$C$15, $E$9, 100%, $G$9) + CHOOSE(CONTROL!$C$38, 0.0347, 0)</f>
        <v>22.900000000000002</v>
      </c>
      <c r="E194" s="46">
        <f>24.6974 * CHOOSE(CONTROL!$C$15, $E$9, 100%, $G$9) + CHOOSE(CONTROL!$C$38, 0.0347, 0)</f>
        <v>24.732099999999999</v>
      </c>
      <c r="F194" s="45">
        <f>24.6974 * CHOOSE(CONTROL!$C$15, $E$9, 100%, $G$9) + CHOOSE(CONTROL!$C$38, 0.0256, 0)</f>
        <v>24.722999999999999</v>
      </c>
      <c r="G194" s="14">
        <f>22.8715 * CHOOSE(CONTROL!$C$15, $E$9, 100%, $G$9) + CHOOSE(CONTROL!$C$38, 0.0347, 0)</f>
        <v>22.906200000000002</v>
      </c>
      <c r="H194" s="14">
        <f>22.8715 * CHOOSE(CONTROL!$C$15, $E$9, 100%, $G$9) + CHOOSE(CONTROL!$C$38, 0.0347, 0)</f>
        <v>22.906200000000002</v>
      </c>
      <c r="I194" s="14">
        <f>22.8731 * CHOOSE(CONTROL!$C$15, $E$9, 100%, $G$9) + CHOOSE(CONTROL!$C$38, 0.0347, 0)</f>
        <v>22.907800000000002</v>
      </c>
      <c r="J194" s="44">
        <f>145.0757</f>
        <v>145.07570000000001</v>
      </c>
    </row>
    <row r="195" spans="1:10" ht="15" x14ac:dyDescent="0.2">
      <c r="A195" s="13">
        <v>46844</v>
      </c>
      <c r="B195" s="14">
        <f>24.3585 * CHOOSE(CONTROL!$C$15, $E$9, 100%, $G$9) + CHOOSE(CONTROL!$C$38, 0.0256, 0)</f>
        <v>24.3841</v>
      </c>
      <c r="C195" s="14">
        <f>22.3779 * CHOOSE(CONTROL!$C$15, $E$9, 100%, $G$9) + CHOOSE(CONTROL!$C$38, 0.0347, 0)</f>
        <v>22.412600000000001</v>
      </c>
      <c r="D195" s="14">
        <f>22.3701 * CHOOSE(CONTROL!$C$15, $E$9, 100%, $G$9) + CHOOSE(CONTROL!$C$38, 0.0347, 0)</f>
        <v>22.404800000000002</v>
      </c>
      <c r="E195" s="46">
        <f>24.2023 * CHOOSE(CONTROL!$C$15, $E$9, 100%, $G$9) + CHOOSE(CONTROL!$C$38, 0.0347, 0)</f>
        <v>24.237000000000002</v>
      </c>
      <c r="F195" s="45">
        <f>24.2023 * CHOOSE(CONTROL!$C$15, $E$9, 100%, $G$9) + CHOOSE(CONTROL!$C$38, 0.0256, 0)</f>
        <v>24.227900000000002</v>
      </c>
      <c r="G195" s="14">
        <f>22.3764 * CHOOSE(CONTROL!$C$15, $E$9, 100%, $G$9) + CHOOSE(CONTROL!$C$38, 0.0347, 0)</f>
        <v>22.411100000000001</v>
      </c>
      <c r="H195" s="14">
        <f>22.3764 * CHOOSE(CONTROL!$C$15, $E$9, 100%, $G$9) + CHOOSE(CONTROL!$C$38, 0.0347, 0)</f>
        <v>22.411100000000001</v>
      </c>
      <c r="I195" s="14">
        <f>22.3779 * CHOOSE(CONTROL!$C$15, $E$9, 100%, $G$9) + CHOOSE(CONTROL!$C$38, 0.0347, 0)</f>
        <v>22.412600000000001</v>
      </c>
      <c r="J195" s="44">
        <f>154.4948</f>
        <v>154.4948</v>
      </c>
    </row>
    <row r="196" spans="1:10" ht="15" x14ac:dyDescent="0.2">
      <c r="A196" s="13">
        <v>46874</v>
      </c>
      <c r="B196" s="14">
        <f>23.8424 * CHOOSE(CONTROL!$C$15, $E$9, 100%, $G$9) + CHOOSE(CONTROL!$C$38, 0.0278, 0)</f>
        <v>23.870200000000001</v>
      </c>
      <c r="C196" s="14">
        <f>21.8618 * CHOOSE(CONTROL!$C$15, $E$9, 100%, $G$9) + CHOOSE(CONTROL!$C$38, 0.0369, 0)</f>
        <v>21.898699999999998</v>
      </c>
      <c r="D196" s="14">
        <f>21.854 * CHOOSE(CONTROL!$C$15, $E$9, 100%, $G$9) + CHOOSE(CONTROL!$C$38, 0.0369, 0)</f>
        <v>21.890899999999998</v>
      </c>
      <c r="E196" s="46">
        <f>23.6861 * CHOOSE(CONTROL!$C$15, $E$9, 100%, $G$9) + CHOOSE(CONTROL!$C$38, 0.0369, 0)</f>
        <v>23.722999999999999</v>
      </c>
      <c r="F196" s="45">
        <f>23.6861 * CHOOSE(CONTROL!$C$15, $E$9, 100%, $G$9) + CHOOSE(CONTROL!$C$38, 0.0278, 0)</f>
        <v>23.713899999999999</v>
      </c>
      <c r="G196" s="14">
        <f>21.8602 * CHOOSE(CONTROL!$C$15, $E$9, 100%, $G$9) + CHOOSE(CONTROL!$C$38, 0.0369, 0)</f>
        <v>21.897099999999998</v>
      </c>
      <c r="H196" s="14">
        <f>21.8602 * CHOOSE(CONTROL!$C$15, $E$9, 100%, $G$9) + CHOOSE(CONTROL!$C$38, 0.0369, 0)</f>
        <v>21.897099999999998</v>
      </c>
      <c r="I196" s="14">
        <f>21.8618 * CHOOSE(CONTROL!$C$15, $E$9, 100%, $G$9) + CHOOSE(CONTROL!$C$38, 0.0369, 0)</f>
        <v>21.898699999999998</v>
      </c>
      <c r="J196" s="44">
        <f>159.6793</f>
        <v>159.67930000000001</v>
      </c>
    </row>
    <row r="197" spans="1:10" ht="15" x14ac:dyDescent="0.2">
      <c r="A197" s="13">
        <v>46905</v>
      </c>
      <c r="B197" s="14">
        <f>23.4806 * CHOOSE(CONTROL!$C$15, $E$9, 100%, $G$9) + CHOOSE(CONTROL!$C$38, 0.0278, 0)</f>
        <v>23.508399999999998</v>
      </c>
      <c r="C197" s="14">
        <f>21.5 * CHOOSE(CONTROL!$C$15, $E$9, 100%, $G$9) + CHOOSE(CONTROL!$C$38, 0.0369, 0)</f>
        <v>21.536899999999999</v>
      </c>
      <c r="D197" s="14">
        <f>21.4922 * CHOOSE(CONTROL!$C$15, $E$9, 100%, $G$9) + CHOOSE(CONTROL!$C$38, 0.0369, 0)</f>
        <v>21.5291</v>
      </c>
      <c r="E197" s="46">
        <f>23.3243 * CHOOSE(CONTROL!$C$15, $E$9, 100%, $G$9) + CHOOSE(CONTROL!$C$38, 0.0369, 0)</f>
        <v>23.3612</v>
      </c>
      <c r="F197" s="45">
        <f>23.3243 * CHOOSE(CONTROL!$C$15, $E$9, 100%, $G$9) + CHOOSE(CONTROL!$C$38, 0.0278, 0)</f>
        <v>23.3521</v>
      </c>
      <c r="G197" s="14">
        <f>21.4984 * CHOOSE(CONTROL!$C$15, $E$9, 100%, $G$9) + CHOOSE(CONTROL!$C$38, 0.0369, 0)</f>
        <v>21.535299999999999</v>
      </c>
      <c r="H197" s="14">
        <f>21.4984 * CHOOSE(CONTROL!$C$15, $E$9, 100%, $G$9) + CHOOSE(CONTROL!$C$38, 0.0369, 0)</f>
        <v>21.535299999999999</v>
      </c>
      <c r="I197" s="14">
        <f>21.5 * CHOOSE(CONTROL!$C$15, $E$9, 100%, $G$9) + CHOOSE(CONTROL!$C$38, 0.0369, 0)</f>
        <v>21.536899999999999</v>
      </c>
      <c r="J197" s="44">
        <f>161.9801</f>
        <v>161.98009999999999</v>
      </c>
    </row>
    <row r="198" spans="1:10" ht="15" x14ac:dyDescent="0.2">
      <c r="A198" s="13">
        <v>46935</v>
      </c>
      <c r="B198" s="14">
        <f>23.2741 * CHOOSE(CONTROL!$C$15, $E$9, 100%, $G$9) + CHOOSE(CONTROL!$C$38, 0.0278, 0)</f>
        <v>23.3019</v>
      </c>
      <c r="C198" s="14">
        <f>21.2935 * CHOOSE(CONTROL!$C$15, $E$9, 100%, $G$9) + CHOOSE(CONTROL!$C$38, 0.0369, 0)</f>
        <v>21.330400000000001</v>
      </c>
      <c r="D198" s="14">
        <f>21.2857 * CHOOSE(CONTROL!$C$15, $E$9, 100%, $G$9) + CHOOSE(CONTROL!$C$38, 0.0369, 0)</f>
        <v>21.322599999999998</v>
      </c>
      <c r="E198" s="46">
        <f>23.1178 * CHOOSE(CONTROL!$C$15, $E$9, 100%, $G$9) + CHOOSE(CONTROL!$C$38, 0.0369, 0)</f>
        <v>23.154699999999998</v>
      </c>
      <c r="F198" s="45">
        <f>23.1178 * CHOOSE(CONTROL!$C$15, $E$9, 100%, $G$9) + CHOOSE(CONTROL!$C$38, 0.0278, 0)</f>
        <v>23.145599999999998</v>
      </c>
      <c r="G198" s="14">
        <f>21.2919 * CHOOSE(CONTROL!$C$15, $E$9, 100%, $G$9) + CHOOSE(CONTROL!$C$38, 0.0369, 0)</f>
        <v>21.328799999999998</v>
      </c>
      <c r="H198" s="14">
        <f>21.2919 * CHOOSE(CONTROL!$C$15, $E$9, 100%, $G$9) + CHOOSE(CONTROL!$C$38, 0.0369, 0)</f>
        <v>21.328799999999998</v>
      </c>
      <c r="I198" s="14">
        <f>21.2935 * CHOOSE(CONTROL!$C$15, $E$9, 100%, $G$9) + CHOOSE(CONTROL!$C$38, 0.0369, 0)</f>
        <v>21.330400000000001</v>
      </c>
      <c r="J198" s="44">
        <f>161.2226</f>
        <v>161.2226</v>
      </c>
    </row>
    <row r="199" spans="1:10" ht="15" x14ac:dyDescent="0.2">
      <c r="A199" s="13">
        <v>46966</v>
      </c>
      <c r="B199" s="14">
        <f>23.376 * CHOOSE(CONTROL!$C$15, $E$9, 100%, $G$9) + CHOOSE(CONTROL!$C$38, 0.0278, 0)</f>
        <v>23.4038</v>
      </c>
      <c r="C199" s="14">
        <f>21.3954 * CHOOSE(CONTROL!$C$15, $E$9, 100%, $G$9) + CHOOSE(CONTROL!$C$38, 0.0369, 0)</f>
        <v>21.432299999999998</v>
      </c>
      <c r="D199" s="14">
        <f>21.3876 * CHOOSE(CONTROL!$C$15, $E$9, 100%, $G$9) + CHOOSE(CONTROL!$C$38, 0.0369, 0)</f>
        <v>21.424499999999998</v>
      </c>
      <c r="E199" s="46">
        <f>23.2197 * CHOOSE(CONTROL!$C$15, $E$9, 100%, $G$9) + CHOOSE(CONTROL!$C$38, 0.0369, 0)</f>
        <v>23.256599999999999</v>
      </c>
      <c r="F199" s="45">
        <f>23.2197 * CHOOSE(CONTROL!$C$15, $E$9, 100%, $G$9) + CHOOSE(CONTROL!$C$38, 0.0278, 0)</f>
        <v>23.247499999999999</v>
      </c>
      <c r="G199" s="14">
        <f>21.3938 * CHOOSE(CONTROL!$C$15, $E$9, 100%, $G$9) + CHOOSE(CONTROL!$C$38, 0.0369, 0)</f>
        <v>21.430699999999998</v>
      </c>
      <c r="H199" s="14">
        <f>21.3938 * CHOOSE(CONTROL!$C$15, $E$9, 100%, $G$9) + CHOOSE(CONTROL!$C$38, 0.0369, 0)</f>
        <v>21.430699999999998</v>
      </c>
      <c r="I199" s="14">
        <f>21.3954 * CHOOSE(CONTROL!$C$15, $E$9, 100%, $G$9) + CHOOSE(CONTROL!$C$38, 0.0369, 0)</f>
        <v>21.432299999999998</v>
      </c>
      <c r="J199" s="44">
        <f>157.4694</f>
        <v>157.46940000000001</v>
      </c>
    </row>
    <row r="200" spans="1:10" ht="15" x14ac:dyDescent="0.2">
      <c r="A200" s="13">
        <v>46997</v>
      </c>
      <c r="B200" s="14">
        <f>23.6528 * CHOOSE(CONTROL!$C$15, $E$9, 100%, $G$9) + CHOOSE(CONTROL!$C$38, 0.0278, 0)</f>
        <v>23.680599999999998</v>
      </c>
      <c r="C200" s="14">
        <f>21.6722 * CHOOSE(CONTROL!$C$15, $E$9, 100%, $G$9) + CHOOSE(CONTROL!$C$38, 0.0369, 0)</f>
        <v>21.709099999999999</v>
      </c>
      <c r="D200" s="14">
        <f>21.6644 * CHOOSE(CONTROL!$C$15, $E$9, 100%, $G$9) + CHOOSE(CONTROL!$C$38, 0.0369, 0)</f>
        <v>21.7013</v>
      </c>
      <c r="E200" s="46">
        <f>23.4965 * CHOOSE(CONTROL!$C$15, $E$9, 100%, $G$9) + CHOOSE(CONTROL!$C$38, 0.0369, 0)</f>
        <v>23.5334</v>
      </c>
      <c r="F200" s="45">
        <f>23.4965 * CHOOSE(CONTROL!$C$15, $E$9, 100%, $G$9) + CHOOSE(CONTROL!$C$38, 0.0278, 0)</f>
        <v>23.5243</v>
      </c>
      <c r="G200" s="14">
        <f>21.6706 * CHOOSE(CONTROL!$C$15, $E$9, 100%, $G$9) + CHOOSE(CONTROL!$C$38, 0.0369, 0)</f>
        <v>21.7075</v>
      </c>
      <c r="H200" s="14">
        <f>21.6706 * CHOOSE(CONTROL!$C$15, $E$9, 100%, $G$9) + CHOOSE(CONTROL!$C$38, 0.0369, 0)</f>
        <v>21.7075</v>
      </c>
      <c r="I200" s="14">
        <f>21.6722 * CHOOSE(CONTROL!$C$15, $E$9, 100%, $G$9) + CHOOSE(CONTROL!$C$38, 0.0369, 0)</f>
        <v>21.709099999999999</v>
      </c>
      <c r="J200" s="44">
        <f>152.2354</f>
        <v>152.2354</v>
      </c>
    </row>
    <row r="201" spans="1:10" ht="15" x14ac:dyDescent="0.2">
      <c r="A201" s="13">
        <v>47027</v>
      </c>
      <c r="B201" s="14">
        <f>23.8846 * CHOOSE(CONTROL!$C$15, $E$9, 100%, $G$9) + CHOOSE(CONTROL!$C$38, 0.0256, 0)</f>
        <v>23.9102</v>
      </c>
      <c r="C201" s="14">
        <f>21.904 * CHOOSE(CONTROL!$C$15, $E$9, 100%, $G$9) + CHOOSE(CONTROL!$C$38, 0.0347, 0)</f>
        <v>21.938700000000001</v>
      </c>
      <c r="D201" s="14">
        <f>21.8962 * CHOOSE(CONTROL!$C$15, $E$9, 100%, $G$9) + CHOOSE(CONTROL!$C$38, 0.0347, 0)</f>
        <v>21.930900000000001</v>
      </c>
      <c r="E201" s="46">
        <f>23.7284 * CHOOSE(CONTROL!$C$15, $E$9, 100%, $G$9) + CHOOSE(CONTROL!$C$38, 0.0347, 0)</f>
        <v>23.763100000000001</v>
      </c>
      <c r="F201" s="45">
        <f>23.7284 * CHOOSE(CONTROL!$C$15, $E$9, 100%, $G$9) + CHOOSE(CONTROL!$C$38, 0.0256, 0)</f>
        <v>23.754000000000001</v>
      </c>
      <c r="G201" s="14">
        <f>21.9024 * CHOOSE(CONTROL!$C$15, $E$9, 100%, $G$9) + CHOOSE(CONTROL!$C$38, 0.0347, 0)</f>
        <v>21.937100000000001</v>
      </c>
      <c r="H201" s="14">
        <f>21.9024 * CHOOSE(CONTROL!$C$15, $E$9, 100%, $G$9) + CHOOSE(CONTROL!$C$38, 0.0347, 0)</f>
        <v>21.937100000000001</v>
      </c>
      <c r="I201" s="14">
        <f>21.904 * CHOOSE(CONTROL!$C$15, $E$9, 100%, $G$9) + CHOOSE(CONTROL!$C$38, 0.0347, 0)</f>
        <v>21.938700000000001</v>
      </c>
      <c r="J201" s="44">
        <f>146.9709</f>
        <v>146.9709</v>
      </c>
    </row>
    <row r="202" spans="1:10" ht="15" x14ac:dyDescent="0.2">
      <c r="A202" s="13">
        <v>47058</v>
      </c>
      <c r="B202" s="14">
        <f>24.078 * CHOOSE(CONTROL!$C$15, $E$9, 100%, $G$9) + CHOOSE(CONTROL!$C$38, 0.0256, 0)</f>
        <v>24.1036</v>
      </c>
      <c r="C202" s="14">
        <f>22.0975 * CHOOSE(CONTROL!$C$15, $E$9, 100%, $G$9) + CHOOSE(CONTROL!$C$38, 0.0347, 0)</f>
        <v>22.132200000000001</v>
      </c>
      <c r="D202" s="14">
        <f>22.0896 * CHOOSE(CONTROL!$C$15, $E$9, 100%, $G$9) + CHOOSE(CONTROL!$C$38, 0.0347, 0)</f>
        <v>22.124300000000002</v>
      </c>
      <c r="E202" s="46">
        <f>23.9218 * CHOOSE(CONTROL!$C$15, $E$9, 100%, $G$9) + CHOOSE(CONTROL!$C$38, 0.0347, 0)</f>
        <v>23.956500000000002</v>
      </c>
      <c r="F202" s="45">
        <f>23.9218 * CHOOSE(CONTROL!$C$15, $E$9, 100%, $G$9) + CHOOSE(CONTROL!$C$38, 0.0256, 0)</f>
        <v>23.947400000000002</v>
      </c>
      <c r="G202" s="14">
        <f>22.0959 * CHOOSE(CONTROL!$C$15, $E$9, 100%, $G$9) + CHOOSE(CONTROL!$C$38, 0.0347, 0)</f>
        <v>22.130600000000001</v>
      </c>
      <c r="H202" s="14">
        <f>22.0959 * CHOOSE(CONTROL!$C$15, $E$9, 100%, $G$9) + CHOOSE(CONTROL!$C$38, 0.0347, 0)</f>
        <v>22.130600000000001</v>
      </c>
      <c r="I202" s="14">
        <f>22.0975 * CHOOSE(CONTROL!$C$15, $E$9, 100%, $G$9) + CHOOSE(CONTROL!$C$38, 0.0347, 0)</f>
        <v>22.132200000000001</v>
      </c>
      <c r="J202" s="44">
        <f>145.9237</f>
        <v>145.9237</v>
      </c>
    </row>
    <row r="203" spans="1:10" ht="15" x14ac:dyDescent="0.2">
      <c r="A203" s="13">
        <v>47088</v>
      </c>
      <c r="B203" s="14">
        <f>24.6741 * CHOOSE(CONTROL!$C$15, $E$9, 100%, $G$9) + CHOOSE(CONTROL!$C$38, 0.0256, 0)</f>
        <v>24.6997</v>
      </c>
      <c r="C203" s="14">
        <f>22.6935 * CHOOSE(CONTROL!$C$15, $E$9, 100%, $G$9) + CHOOSE(CONTROL!$C$38, 0.0347, 0)</f>
        <v>22.728200000000001</v>
      </c>
      <c r="D203" s="14">
        <f>22.6857 * CHOOSE(CONTROL!$C$15, $E$9, 100%, $G$9) + CHOOSE(CONTROL!$C$38, 0.0347, 0)</f>
        <v>22.720400000000001</v>
      </c>
      <c r="E203" s="46">
        <f>24.5179 * CHOOSE(CONTROL!$C$15, $E$9, 100%, $G$9) + CHOOSE(CONTROL!$C$38, 0.0347, 0)</f>
        <v>24.552600000000002</v>
      </c>
      <c r="F203" s="45">
        <f>24.5179 * CHOOSE(CONTROL!$C$15, $E$9, 100%, $G$9) + CHOOSE(CONTROL!$C$38, 0.0256, 0)</f>
        <v>24.543500000000002</v>
      </c>
      <c r="G203" s="14">
        <f>22.692 * CHOOSE(CONTROL!$C$15, $E$9, 100%, $G$9) + CHOOSE(CONTROL!$C$38, 0.0347, 0)</f>
        <v>22.726700000000001</v>
      </c>
      <c r="H203" s="14">
        <f>22.692 * CHOOSE(CONTROL!$C$15, $E$9, 100%, $G$9) + CHOOSE(CONTROL!$C$38, 0.0347, 0)</f>
        <v>22.726700000000001</v>
      </c>
      <c r="I203" s="14">
        <f>22.6935 * CHOOSE(CONTROL!$C$15, $E$9, 100%, $G$9) + CHOOSE(CONTROL!$C$38, 0.0347, 0)</f>
        <v>22.728200000000001</v>
      </c>
      <c r="J203" s="44">
        <f>141.5934</f>
        <v>141.5934</v>
      </c>
    </row>
    <row r="204" spans="1:10" ht="15" x14ac:dyDescent="0.2">
      <c r="A204" s="13">
        <v>47119</v>
      </c>
      <c r="B204" s="14">
        <f>25.6252 * CHOOSE(CONTROL!$C$15, $E$9, 100%, $G$9) + CHOOSE(CONTROL!$C$38, 0.0256, 0)</f>
        <v>25.6508</v>
      </c>
      <c r="C204" s="14">
        <f>23.6328 * CHOOSE(CONTROL!$C$15, $E$9, 100%, $G$9) + CHOOSE(CONTROL!$C$38, 0.0347, 0)</f>
        <v>23.6675</v>
      </c>
      <c r="D204" s="14">
        <f>23.625 * CHOOSE(CONTROL!$C$15, $E$9, 100%, $G$9) + CHOOSE(CONTROL!$C$38, 0.0347, 0)</f>
        <v>23.659700000000001</v>
      </c>
      <c r="E204" s="46">
        <f>25.4689 * CHOOSE(CONTROL!$C$15, $E$9, 100%, $G$9) + CHOOSE(CONTROL!$C$38, 0.0347, 0)</f>
        <v>25.503600000000002</v>
      </c>
      <c r="F204" s="45">
        <f>25.4689 * CHOOSE(CONTROL!$C$15, $E$9, 100%, $G$9) + CHOOSE(CONTROL!$C$38, 0.0256, 0)</f>
        <v>25.494500000000002</v>
      </c>
      <c r="G204" s="14">
        <f>23.6313 * CHOOSE(CONTROL!$C$15, $E$9, 100%, $G$9) + CHOOSE(CONTROL!$C$38, 0.0347, 0)</f>
        <v>23.666</v>
      </c>
      <c r="H204" s="14">
        <f>23.6313 * CHOOSE(CONTROL!$C$15, $E$9, 100%, $G$9) + CHOOSE(CONTROL!$C$38, 0.0347, 0)</f>
        <v>23.666</v>
      </c>
      <c r="I204" s="14">
        <f>23.6328 * CHOOSE(CONTROL!$C$15, $E$9, 100%, $G$9) + CHOOSE(CONTROL!$C$38, 0.0347, 0)</f>
        <v>23.6675</v>
      </c>
      <c r="J204" s="44">
        <f>140.9863</f>
        <v>140.9863</v>
      </c>
    </row>
    <row r="205" spans="1:10" ht="15" x14ac:dyDescent="0.2">
      <c r="A205" s="13">
        <v>47150</v>
      </c>
      <c r="B205" s="14">
        <f>25.8459 * CHOOSE(CONTROL!$C$15, $E$9, 100%, $G$9) + CHOOSE(CONTROL!$C$38, 0.0256, 0)</f>
        <v>25.871500000000001</v>
      </c>
      <c r="C205" s="14">
        <f>23.8536 * CHOOSE(CONTROL!$C$15, $E$9, 100%, $G$9) + CHOOSE(CONTROL!$C$38, 0.0347, 0)</f>
        <v>23.888300000000001</v>
      </c>
      <c r="D205" s="14">
        <f>23.8458 * CHOOSE(CONTROL!$C$15, $E$9, 100%, $G$9) + CHOOSE(CONTROL!$C$38, 0.0347, 0)</f>
        <v>23.880500000000001</v>
      </c>
      <c r="E205" s="46">
        <f>25.6897 * CHOOSE(CONTROL!$C$15, $E$9, 100%, $G$9) + CHOOSE(CONTROL!$C$38, 0.0347, 0)</f>
        <v>25.724399999999999</v>
      </c>
      <c r="F205" s="45">
        <f>25.6897 * CHOOSE(CONTROL!$C$15, $E$9, 100%, $G$9) + CHOOSE(CONTROL!$C$38, 0.0256, 0)</f>
        <v>25.715299999999999</v>
      </c>
      <c r="G205" s="14">
        <f>23.852 * CHOOSE(CONTROL!$C$15, $E$9, 100%, $G$9) + CHOOSE(CONTROL!$C$38, 0.0347, 0)</f>
        <v>23.886700000000001</v>
      </c>
      <c r="H205" s="14">
        <f>23.852 * CHOOSE(CONTROL!$C$15, $E$9, 100%, $G$9) + CHOOSE(CONTROL!$C$38, 0.0347, 0)</f>
        <v>23.886700000000001</v>
      </c>
      <c r="I205" s="14">
        <f>23.8536 * CHOOSE(CONTROL!$C$15, $E$9, 100%, $G$9) + CHOOSE(CONTROL!$C$38, 0.0347, 0)</f>
        <v>23.888300000000001</v>
      </c>
      <c r="J205" s="44">
        <f>140.5944</f>
        <v>140.59440000000001</v>
      </c>
    </row>
    <row r="206" spans="1:10" ht="15" x14ac:dyDescent="0.2">
      <c r="A206" s="13">
        <v>47178</v>
      </c>
      <c r="B206" s="14">
        <f>25.3349 * CHOOSE(CONTROL!$C$15, $E$9, 100%, $G$9) + CHOOSE(CONTROL!$C$38, 0.0256, 0)</f>
        <v>25.360500000000002</v>
      </c>
      <c r="C206" s="14">
        <f>23.3426 * CHOOSE(CONTROL!$C$15, $E$9, 100%, $G$9) + CHOOSE(CONTROL!$C$38, 0.0347, 0)</f>
        <v>23.377300000000002</v>
      </c>
      <c r="D206" s="14">
        <f>23.3348 * CHOOSE(CONTROL!$C$15, $E$9, 100%, $G$9) + CHOOSE(CONTROL!$C$38, 0.0347, 0)</f>
        <v>23.369500000000002</v>
      </c>
      <c r="E206" s="46">
        <f>25.1786 * CHOOSE(CONTROL!$C$15, $E$9, 100%, $G$9) + CHOOSE(CONTROL!$C$38, 0.0347, 0)</f>
        <v>25.2133</v>
      </c>
      <c r="F206" s="45">
        <f>25.1786 * CHOOSE(CONTROL!$C$15, $E$9, 100%, $G$9) + CHOOSE(CONTROL!$C$38, 0.0256, 0)</f>
        <v>25.2042</v>
      </c>
      <c r="G206" s="14">
        <f>23.341 * CHOOSE(CONTROL!$C$15, $E$9, 100%, $G$9) + CHOOSE(CONTROL!$C$38, 0.0347, 0)</f>
        <v>23.375700000000002</v>
      </c>
      <c r="H206" s="14">
        <f>23.341 * CHOOSE(CONTROL!$C$15, $E$9, 100%, $G$9) + CHOOSE(CONTROL!$C$38, 0.0347, 0)</f>
        <v>23.375700000000002</v>
      </c>
      <c r="I206" s="14">
        <f>23.3426 * CHOOSE(CONTROL!$C$15, $E$9, 100%, $G$9) + CHOOSE(CONTROL!$C$38, 0.0347, 0)</f>
        <v>23.377300000000002</v>
      </c>
      <c r="J206" s="44">
        <f>148.0045</f>
        <v>148.00450000000001</v>
      </c>
    </row>
    <row r="207" spans="1:10" ht="15" x14ac:dyDescent="0.2">
      <c r="A207" s="13">
        <v>47209</v>
      </c>
      <c r="B207" s="14">
        <f>24.8397 * CHOOSE(CONTROL!$C$15, $E$9, 100%, $G$9) + CHOOSE(CONTROL!$C$38, 0.0256, 0)</f>
        <v>24.865300000000001</v>
      </c>
      <c r="C207" s="14">
        <f>22.8474 * CHOOSE(CONTROL!$C$15, $E$9, 100%, $G$9) + CHOOSE(CONTROL!$C$38, 0.0347, 0)</f>
        <v>22.882100000000001</v>
      </c>
      <c r="D207" s="14">
        <f>22.8396 * CHOOSE(CONTROL!$C$15, $E$9, 100%, $G$9) + CHOOSE(CONTROL!$C$38, 0.0347, 0)</f>
        <v>22.874300000000002</v>
      </c>
      <c r="E207" s="46">
        <f>24.6835 * CHOOSE(CONTROL!$C$15, $E$9, 100%, $G$9) + CHOOSE(CONTROL!$C$38, 0.0347, 0)</f>
        <v>24.7182</v>
      </c>
      <c r="F207" s="45">
        <f>24.6835 * CHOOSE(CONTROL!$C$15, $E$9, 100%, $G$9) + CHOOSE(CONTROL!$C$38, 0.0256, 0)</f>
        <v>24.709099999999999</v>
      </c>
      <c r="G207" s="14">
        <f>22.8458 * CHOOSE(CONTROL!$C$15, $E$9, 100%, $G$9) + CHOOSE(CONTROL!$C$38, 0.0347, 0)</f>
        <v>22.880500000000001</v>
      </c>
      <c r="H207" s="14">
        <f>22.8458 * CHOOSE(CONTROL!$C$15, $E$9, 100%, $G$9) + CHOOSE(CONTROL!$C$38, 0.0347, 0)</f>
        <v>22.880500000000001</v>
      </c>
      <c r="I207" s="14">
        <f>22.8474 * CHOOSE(CONTROL!$C$15, $E$9, 100%, $G$9) + CHOOSE(CONTROL!$C$38, 0.0347, 0)</f>
        <v>22.882100000000001</v>
      </c>
      <c r="J207" s="44">
        <f>157.6137</f>
        <v>157.61369999999999</v>
      </c>
    </row>
    <row r="208" spans="1:10" ht="15" x14ac:dyDescent="0.2">
      <c r="A208" s="13">
        <v>47239</v>
      </c>
      <c r="B208" s="14">
        <f>24.3236 * CHOOSE(CONTROL!$C$15, $E$9, 100%, $G$9) + CHOOSE(CONTROL!$C$38, 0.0278, 0)</f>
        <v>24.351399999999998</v>
      </c>
      <c r="C208" s="14">
        <f>22.3313 * CHOOSE(CONTROL!$C$15, $E$9, 100%, $G$9) + CHOOSE(CONTROL!$C$38, 0.0369, 0)</f>
        <v>22.368199999999998</v>
      </c>
      <c r="D208" s="14">
        <f>22.3235 * CHOOSE(CONTROL!$C$15, $E$9, 100%, $G$9) + CHOOSE(CONTROL!$C$38, 0.0369, 0)</f>
        <v>22.360399999999998</v>
      </c>
      <c r="E208" s="46">
        <f>24.1674 * CHOOSE(CONTROL!$C$15, $E$9, 100%, $G$9) + CHOOSE(CONTROL!$C$38, 0.0369, 0)</f>
        <v>24.2043</v>
      </c>
      <c r="F208" s="45">
        <f>24.1674 * CHOOSE(CONTROL!$C$15, $E$9, 100%, $G$9) + CHOOSE(CONTROL!$C$38, 0.0278, 0)</f>
        <v>24.1952</v>
      </c>
      <c r="G208" s="14">
        <f>22.3297 * CHOOSE(CONTROL!$C$15, $E$9, 100%, $G$9) + CHOOSE(CONTROL!$C$38, 0.0369, 0)</f>
        <v>22.366599999999998</v>
      </c>
      <c r="H208" s="14">
        <f>22.3297 * CHOOSE(CONTROL!$C$15, $E$9, 100%, $G$9) + CHOOSE(CONTROL!$C$38, 0.0369, 0)</f>
        <v>22.366599999999998</v>
      </c>
      <c r="I208" s="14">
        <f>22.3313 * CHOOSE(CONTROL!$C$15, $E$9, 100%, $G$9) + CHOOSE(CONTROL!$C$38, 0.0369, 0)</f>
        <v>22.368199999999998</v>
      </c>
      <c r="J208" s="44">
        <f>162.9029</f>
        <v>162.90289999999999</v>
      </c>
    </row>
    <row r="209" spans="1:10" ht="15" x14ac:dyDescent="0.2">
      <c r="A209" s="13">
        <v>47270</v>
      </c>
      <c r="B209" s="14">
        <f>23.9618 * CHOOSE(CONTROL!$C$15, $E$9, 100%, $G$9) + CHOOSE(CONTROL!$C$38, 0.0278, 0)</f>
        <v>23.989599999999999</v>
      </c>
      <c r="C209" s="14">
        <f>21.9694 * CHOOSE(CONTROL!$C$15, $E$9, 100%, $G$9) + CHOOSE(CONTROL!$C$38, 0.0369, 0)</f>
        <v>22.0063</v>
      </c>
      <c r="D209" s="14">
        <f>21.9616 * CHOOSE(CONTROL!$C$15, $E$9, 100%, $G$9) + CHOOSE(CONTROL!$C$38, 0.0369, 0)</f>
        <v>21.9985</v>
      </c>
      <c r="E209" s="46">
        <f>23.8055 * CHOOSE(CONTROL!$C$15, $E$9, 100%, $G$9) + CHOOSE(CONTROL!$C$38, 0.0369, 0)</f>
        <v>23.842399999999998</v>
      </c>
      <c r="F209" s="45">
        <f>23.8055 * CHOOSE(CONTROL!$C$15, $E$9, 100%, $G$9) + CHOOSE(CONTROL!$C$38, 0.0278, 0)</f>
        <v>23.833299999999998</v>
      </c>
      <c r="G209" s="14">
        <f>21.9679 * CHOOSE(CONTROL!$C$15, $E$9, 100%, $G$9) + CHOOSE(CONTROL!$C$38, 0.0369, 0)</f>
        <v>22.004799999999999</v>
      </c>
      <c r="H209" s="14">
        <f>21.9679 * CHOOSE(CONTROL!$C$15, $E$9, 100%, $G$9) + CHOOSE(CONTROL!$C$38, 0.0369, 0)</f>
        <v>22.004799999999999</v>
      </c>
      <c r="I209" s="14">
        <f>21.9694 * CHOOSE(CONTROL!$C$15, $E$9, 100%, $G$9) + CHOOSE(CONTROL!$C$38, 0.0369, 0)</f>
        <v>22.0063</v>
      </c>
      <c r="J209" s="44">
        <f>165.2502</f>
        <v>165.25020000000001</v>
      </c>
    </row>
    <row r="210" spans="1:10" ht="15" x14ac:dyDescent="0.2">
      <c r="A210" s="13">
        <v>47300</v>
      </c>
      <c r="B210" s="14">
        <f>23.7553 * CHOOSE(CONTROL!$C$15, $E$9, 100%, $G$9) + CHOOSE(CONTROL!$C$38, 0.0278, 0)</f>
        <v>23.783099999999997</v>
      </c>
      <c r="C210" s="14">
        <f>21.7629 * CHOOSE(CONTROL!$C$15, $E$9, 100%, $G$9) + CHOOSE(CONTROL!$C$38, 0.0369, 0)</f>
        <v>21.799799999999998</v>
      </c>
      <c r="D210" s="14">
        <f>21.7551 * CHOOSE(CONTROL!$C$15, $E$9, 100%, $G$9) + CHOOSE(CONTROL!$C$38, 0.0369, 0)</f>
        <v>21.791999999999998</v>
      </c>
      <c r="E210" s="46">
        <f>23.599 * CHOOSE(CONTROL!$C$15, $E$9, 100%, $G$9) + CHOOSE(CONTROL!$C$38, 0.0369, 0)</f>
        <v>23.635899999999999</v>
      </c>
      <c r="F210" s="45">
        <f>23.599 * CHOOSE(CONTROL!$C$15, $E$9, 100%, $G$9) + CHOOSE(CONTROL!$C$38, 0.0278, 0)</f>
        <v>23.626799999999999</v>
      </c>
      <c r="G210" s="14">
        <f>21.7614 * CHOOSE(CONTROL!$C$15, $E$9, 100%, $G$9) + CHOOSE(CONTROL!$C$38, 0.0369, 0)</f>
        <v>21.798299999999998</v>
      </c>
      <c r="H210" s="14">
        <f>21.7614 * CHOOSE(CONTROL!$C$15, $E$9, 100%, $G$9) + CHOOSE(CONTROL!$C$38, 0.0369, 0)</f>
        <v>21.798299999999998</v>
      </c>
      <c r="I210" s="14">
        <f>21.7629 * CHOOSE(CONTROL!$C$15, $E$9, 100%, $G$9) + CHOOSE(CONTROL!$C$38, 0.0369, 0)</f>
        <v>21.799799999999998</v>
      </c>
      <c r="J210" s="44">
        <f>164.4773</f>
        <v>164.47730000000001</v>
      </c>
    </row>
    <row r="211" spans="1:10" ht="15" x14ac:dyDescent="0.2">
      <c r="A211" s="13">
        <v>47331</v>
      </c>
      <c r="B211" s="14">
        <f>23.8572 * CHOOSE(CONTROL!$C$15, $E$9, 100%, $G$9) + CHOOSE(CONTROL!$C$38, 0.0278, 0)</f>
        <v>23.884999999999998</v>
      </c>
      <c r="C211" s="14">
        <f>21.8649 * CHOOSE(CONTROL!$C$15, $E$9, 100%, $G$9) + CHOOSE(CONTROL!$C$38, 0.0369, 0)</f>
        <v>21.901799999999998</v>
      </c>
      <c r="D211" s="14">
        <f>21.857 * CHOOSE(CONTROL!$C$15, $E$9, 100%, $G$9) + CHOOSE(CONTROL!$C$38, 0.0369, 0)</f>
        <v>21.893899999999999</v>
      </c>
      <c r="E211" s="46">
        <f>23.7009 * CHOOSE(CONTROL!$C$15, $E$9, 100%, $G$9) + CHOOSE(CONTROL!$C$38, 0.0369, 0)</f>
        <v>23.7378</v>
      </c>
      <c r="F211" s="45">
        <f>23.7009 * CHOOSE(CONTROL!$C$15, $E$9, 100%, $G$9) + CHOOSE(CONTROL!$C$38, 0.0278, 0)</f>
        <v>23.7287</v>
      </c>
      <c r="G211" s="14">
        <f>21.8633 * CHOOSE(CONTROL!$C$15, $E$9, 100%, $G$9) + CHOOSE(CONTROL!$C$38, 0.0369, 0)</f>
        <v>21.900199999999998</v>
      </c>
      <c r="H211" s="14">
        <f>21.8633 * CHOOSE(CONTROL!$C$15, $E$9, 100%, $G$9) + CHOOSE(CONTROL!$C$38, 0.0369, 0)</f>
        <v>21.900199999999998</v>
      </c>
      <c r="I211" s="14">
        <f>21.8649 * CHOOSE(CONTROL!$C$15, $E$9, 100%, $G$9) + CHOOSE(CONTROL!$C$38, 0.0369, 0)</f>
        <v>21.901799999999998</v>
      </c>
      <c r="J211" s="44">
        <f>160.6484</f>
        <v>160.64840000000001</v>
      </c>
    </row>
    <row r="212" spans="1:10" ht="15" x14ac:dyDescent="0.2">
      <c r="A212" s="13">
        <v>47362</v>
      </c>
      <c r="B212" s="14">
        <f>24.134 * CHOOSE(CONTROL!$C$15, $E$9, 100%, $G$9) + CHOOSE(CONTROL!$C$38, 0.0278, 0)</f>
        <v>24.161799999999999</v>
      </c>
      <c r="C212" s="14">
        <f>22.1417 * CHOOSE(CONTROL!$C$15, $E$9, 100%, $G$9) + CHOOSE(CONTROL!$C$38, 0.0369, 0)</f>
        <v>22.178599999999999</v>
      </c>
      <c r="D212" s="14">
        <f>22.1338 * CHOOSE(CONTROL!$C$15, $E$9, 100%, $G$9) + CHOOSE(CONTROL!$C$38, 0.0369, 0)</f>
        <v>22.1707</v>
      </c>
      <c r="E212" s="46">
        <f>23.9777 * CHOOSE(CONTROL!$C$15, $E$9, 100%, $G$9) + CHOOSE(CONTROL!$C$38, 0.0369, 0)</f>
        <v>24.014599999999998</v>
      </c>
      <c r="F212" s="45">
        <f>23.9777 * CHOOSE(CONTROL!$C$15, $E$9, 100%, $G$9) + CHOOSE(CONTROL!$C$38, 0.0278, 0)</f>
        <v>24.005499999999998</v>
      </c>
      <c r="G212" s="14">
        <f>22.1401 * CHOOSE(CONTROL!$C$15, $E$9, 100%, $G$9) + CHOOSE(CONTROL!$C$38, 0.0369, 0)</f>
        <v>22.177</v>
      </c>
      <c r="H212" s="14">
        <f>22.1401 * CHOOSE(CONTROL!$C$15, $E$9, 100%, $G$9) + CHOOSE(CONTROL!$C$38, 0.0369, 0)</f>
        <v>22.177</v>
      </c>
      <c r="I212" s="14">
        <f>22.1417 * CHOOSE(CONTROL!$C$15, $E$9, 100%, $G$9) + CHOOSE(CONTROL!$C$38, 0.0369, 0)</f>
        <v>22.178599999999999</v>
      </c>
      <c r="J212" s="44">
        <f>155.3087</f>
        <v>155.30869999999999</v>
      </c>
    </row>
    <row r="213" spans="1:10" ht="15" x14ac:dyDescent="0.2">
      <c r="A213" s="13">
        <v>47392</v>
      </c>
      <c r="B213" s="14">
        <f>24.3658 * CHOOSE(CONTROL!$C$15, $E$9, 100%, $G$9) + CHOOSE(CONTROL!$C$38, 0.0256, 0)</f>
        <v>24.391400000000001</v>
      </c>
      <c r="C213" s="14">
        <f>22.3735 * CHOOSE(CONTROL!$C$15, $E$9, 100%, $G$9) + CHOOSE(CONTROL!$C$38, 0.0347, 0)</f>
        <v>22.408200000000001</v>
      </c>
      <c r="D213" s="14">
        <f>22.3657 * CHOOSE(CONTROL!$C$15, $E$9, 100%, $G$9) + CHOOSE(CONTROL!$C$38, 0.0347, 0)</f>
        <v>22.400400000000001</v>
      </c>
      <c r="E213" s="46">
        <f>24.2096 * CHOOSE(CONTROL!$C$15, $E$9, 100%, $G$9) + CHOOSE(CONTROL!$C$38, 0.0347, 0)</f>
        <v>24.244299999999999</v>
      </c>
      <c r="F213" s="45">
        <f>24.2096 * CHOOSE(CONTROL!$C$15, $E$9, 100%, $G$9) + CHOOSE(CONTROL!$C$38, 0.0256, 0)</f>
        <v>24.235199999999999</v>
      </c>
      <c r="G213" s="14">
        <f>22.3719 * CHOOSE(CONTROL!$C$15, $E$9, 100%, $G$9) + CHOOSE(CONTROL!$C$38, 0.0347, 0)</f>
        <v>22.406600000000001</v>
      </c>
      <c r="H213" s="14">
        <f>22.3719 * CHOOSE(CONTROL!$C$15, $E$9, 100%, $G$9) + CHOOSE(CONTROL!$C$38, 0.0347, 0)</f>
        <v>22.406600000000001</v>
      </c>
      <c r="I213" s="14">
        <f>22.3735 * CHOOSE(CONTROL!$C$15, $E$9, 100%, $G$9) + CHOOSE(CONTROL!$C$38, 0.0347, 0)</f>
        <v>22.408200000000001</v>
      </c>
      <c r="J213" s="44">
        <f>149.938</f>
        <v>149.93799999999999</v>
      </c>
    </row>
    <row r="214" spans="1:10" ht="15" x14ac:dyDescent="0.2">
      <c r="A214" s="13">
        <v>47423</v>
      </c>
      <c r="B214" s="14">
        <f>24.5592 * CHOOSE(CONTROL!$C$15, $E$9, 100%, $G$9) + CHOOSE(CONTROL!$C$38, 0.0256, 0)</f>
        <v>24.584800000000001</v>
      </c>
      <c r="C214" s="14">
        <f>22.5669 * CHOOSE(CONTROL!$C$15, $E$9, 100%, $G$9) + CHOOSE(CONTROL!$C$38, 0.0347, 0)</f>
        <v>22.601600000000001</v>
      </c>
      <c r="D214" s="14">
        <f>22.5591 * CHOOSE(CONTROL!$C$15, $E$9, 100%, $G$9) + CHOOSE(CONTROL!$C$38, 0.0347, 0)</f>
        <v>22.593800000000002</v>
      </c>
      <c r="E214" s="46">
        <f>24.403 * CHOOSE(CONTROL!$C$15, $E$9, 100%, $G$9) + CHOOSE(CONTROL!$C$38, 0.0347, 0)</f>
        <v>24.4377</v>
      </c>
      <c r="F214" s="45">
        <f>24.403 * CHOOSE(CONTROL!$C$15, $E$9, 100%, $G$9) + CHOOSE(CONTROL!$C$38, 0.0256, 0)</f>
        <v>24.428599999999999</v>
      </c>
      <c r="G214" s="14">
        <f>22.5654 * CHOOSE(CONTROL!$C$15, $E$9, 100%, $G$9) + CHOOSE(CONTROL!$C$38, 0.0347, 0)</f>
        <v>22.600100000000001</v>
      </c>
      <c r="H214" s="14">
        <f>22.5654 * CHOOSE(CONTROL!$C$15, $E$9, 100%, $G$9) + CHOOSE(CONTROL!$C$38, 0.0347, 0)</f>
        <v>22.600100000000001</v>
      </c>
      <c r="I214" s="14">
        <f>22.5669 * CHOOSE(CONTROL!$C$15, $E$9, 100%, $G$9) + CHOOSE(CONTROL!$C$38, 0.0347, 0)</f>
        <v>22.601600000000001</v>
      </c>
      <c r="J214" s="44">
        <f>148.8696</f>
        <v>148.86959999999999</v>
      </c>
    </row>
    <row r="215" spans="1:10" ht="15" x14ac:dyDescent="0.2">
      <c r="A215" s="13">
        <v>47453</v>
      </c>
      <c r="B215" s="14">
        <f>25.1553 * CHOOSE(CONTROL!$C$15, $E$9, 100%, $G$9) + CHOOSE(CONTROL!$C$38, 0.0256, 0)</f>
        <v>25.180900000000001</v>
      </c>
      <c r="C215" s="14">
        <f>23.163 * CHOOSE(CONTROL!$C$15, $E$9, 100%, $G$9) + CHOOSE(CONTROL!$C$38, 0.0347, 0)</f>
        <v>23.197700000000001</v>
      </c>
      <c r="D215" s="14">
        <f>23.1552 * CHOOSE(CONTROL!$C$15, $E$9, 100%, $G$9) + CHOOSE(CONTROL!$C$38, 0.0347, 0)</f>
        <v>23.189900000000002</v>
      </c>
      <c r="E215" s="46">
        <f>24.9991 * CHOOSE(CONTROL!$C$15, $E$9, 100%, $G$9) + CHOOSE(CONTROL!$C$38, 0.0347, 0)</f>
        <v>25.033799999999999</v>
      </c>
      <c r="F215" s="45">
        <f>24.9991 * CHOOSE(CONTROL!$C$15, $E$9, 100%, $G$9) + CHOOSE(CONTROL!$C$38, 0.0256, 0)</f>
        <v>25.024699999999999</v>
      </c>
      <c r="G215" s="14">
        <f>23.1614 * CHOOSE(CONTROL!$C$15, $E$9, 100%, $G$9) + CHOOSE(CONTROL!$C$38, 0.0347, 0)</f>
        <v>23.196100000000001</v>
      </c>
      <c r="H215" s="14">
        <f>23.1614 * CHOOSE(CONTROL!$C$15, $E$9, 100%, $G$9) + CHOOSE(CONTROL!$C$38, 0.0347, 0)</f>
        <v>23.196100000000001</v>
      </c>
      <c r="I215" s="14">
        <f>23.163 * CHOOSE(CONTROL!$C$15, $E$9, 100%, $G$9) + CHOOSE(CONTROL!$C$38, 0.0347, 0)</f>
        <v>23.197700000000001</v>
      </c>
      <c r="J215" s="44">
        <f>144.4519</f>
        <v>144.45189999999999</v>
      </c>
    </row>
    <row r="216" spans="1:10" ht="15" x14ac:dyDescent="0.2">
      <c r="A216" s="13">
        <v>47484</v>
      </c>
      <c r="B216" s="14">
        <f>26.0689 * CHOOSE(CONTROL!$C$15, $E$9, 100%, $G$9) + CHOOSE(CONTROL!$C$38, 0.0256, 0)</f>
        <v>26.0945</v>
      </c>
      <c r="C216" s="14">
        <f>24.0658 * CHOOSE(CONTROL!$C$15, $E$9, 100%, $G$9) + CHOOSE(CONTROL!$C$38, 0.0347, 0)</f>
        <v>24.1005</v>
      </c>
      <c r="D216" s="14">
        <f>24.058 * CHOOSE(CONTROL!$C$15, $E$9, 100%, $G$9) + CHOOSE(CONTROL!$C$38, 0.0347, 0)</f>
        <v>24.092700000000001</v>
      </c>
      <c r="E216" s="46">
        <f>25.9127 * CHOOSE(CONTROL!$C$15, $E$9, 100%, $G$9) + CHOOSE(CONTROL!$C$38, 0.0347, 0)</f>
        <v>25.947400000000002</v>
      </c>
      <c r="F216" s="45">
        <f>25.9127 * CHOOSE(CONTROL!$C$15, $E$9, 100%, $G$9) + CHOOSE(CONTROL!$C$38, 0.0256, 0)</f>
        <v>25.938300000000002</v>
      </c>
      <c r="G216" s="14">
        <f>24.0642 * CHOOSE(CONTROL!$C$15, $E$9, 100%, $G$9) + CHOOSE(CONTROL!$C$38, 0.0347, 0)</f>
        <v>24.0989</v>
      </c>
      <c r="H216" s="14">
        <f>24.0642 * CHOOSE(CONTROL!$C$15, $E$9, 100%, $G$9) + CHOOSE(CONTROL!$C$38, 0.0347, 0)</f>
        <v>24.0989</v>
      </c>
      <c r="I216" s="14">
        <f>24.0658 * CHOOSE(CONTROL!$C$15, $E$9, 100%, $G$9) + CHOOSE(CONTROL!$C$38, 0.0347, 0)</f>
        <v>24.1005</v>
      </c>
      <c r="J216" s="44">
        <f>143.8324</f>
        <v>143.83240000000001</v>
      </c>
    </row>
    <row r="217" spans="1:10" ht="15" x14ac:dyDescent="0.2">
      <c r="A217" s="13">
        <v>47515</v>
      </c>
      <c r="B217" s="14">
        <f>26.2897 * CHOOSE(CONTROL!$C$15, $E$9, 100%, $G$9) + CHOOSE(CONTROL!$C$38, 0.0256, 0)</f>
        <v>26.315300000000001</v>
      </c>
      <c r="C217" s="14">
        <f>24.2865 * CHOOSE(CONTROL!$C$15, $E$9, 100%, $G$9) + CHOOSE(CONTROL!$C$38, 0.0347, 0)</f>
        <v>24.321200000000001</v>
      </c>
      <c r="D217" s="14">
        <f>24.2787 * CHOOSE(CONTROL!$C$15, $E$9, 100%, $G$9) + CHOOSE(CONTROL!$C$38, 0.0347, 0)</f>
        <v>24.313400000000001</v>
      </c>
      <c r="E217" s="46">
        <f>26.1334 * CHOOSE(CONTROL!$C$15, $E$9, 100%, $G$9) + CHOOSE(CONTROL!$C$38, 0.0347, 0)</f>
        <v>26.168100000000003</v>
      </c>
      <c r="F217" s="45">
        <f>26.1334 * CHOOSE(CONTROL!$C$15, $E$9, 100%, $G$9) + CHOOSE(CONTROL!$C$38, 0.0256, 0)</f>
        <v>26.159000000000002</v>
      </c>
      <c r="G217" s="14">
        <f>24.285 * CHOOSE(CONTROL!$C$15, $E$9, 100%, $G$9) + CHOOSE(CONTROL!$C$38, 0.0347, 0)</f>
        <v>24.319700000000001</v>
      </c>
      <c r="H217" s="14">
        <f>24.285 * CHOOSE(CONTROL!$C$15, $E$9, 100%, $G$9) + CHOOSE(CONTROL!$C$38, 0.0347, 0)</f>
        <v>24.319700000000001</v>
      </c>
      <c r="I217" s="14">
        <f>24.2865 * CHOOSE(CONTROL!$C$15, $E$9, 100%, $G$9) + CHOOSE(CONTROL!$C$38, 0.0347, 0)</f>
        <v>24.321200000000001</v>
      </c>
      <c r="J217" s="44">
        <f>143.4326</f>
        <v>143.43260000000001</v>
      </c>
    </row>
    <row r="218" spans="1:10" ht="15" x14ac:dyDescent="0.2">
      <c r="A218" s="13">
        <v>47543</v>
      </c>
      <c r="B218" s="14">
        <f>25.7787 * CHOOSE(CONTROL!$C$15, $E$9, 100%, $G$9) + CHOOSE(CONTROL!$C$38, 0.0256, 0)</f>
        <v>25.804300000000001</v>
      </c>
      <c r="C218" s="14">
        <f>23.7755 * CHOOSE(CONTROL!$C$15, $E$9, 100%, $G$9) + CHOOSE(CONTROL!$C$38, 0.0347, 0)</f>
        <v>23.810200000000002</v>
      </c>
      <c r="D218" s="14">
        <f>23.7677 * CHOOSE(CONTROL!$C$15, $E$9, 100%, $G$9) + CHOOSE(CONTROL!$C$38, 0.0347, 0)</f>
        <v>23.802400000000002</v>
      </c>
      <c r="E218" s="46">
        <f>25.6224 * CHOOSE(CONTROL!$C$15, $E$9, 100%, $G$9) + CHOOSE(CONTROL!$C$38, 0.0347, 0)</f>
        <v>25.6571</v>
      </c>
      <c r="F218" s="45">
        <f>25.6224 * CHOOSE(CONTROL!$C$15, $E$9, 100%, $G$9) + CHOOSE(CONTROL!$C$38, 0.0256, 0)</f>
        <v>25.648</v>
      </c>
      <c r="G218" s="14">
        <f>23.7739 * CHOOSE(CONTROL!$C$15, $E$9, 100%, $G$9) + CHOOSE(CONTROL!$C$38, 0.0347, 0)</f>
        <v>23.808600000000002</v>
      </c>
      <c r="H218" s="14">
        <f>23.7739 * CHOOSE(CONTROL!$C$15, $E$9, 100%, $G$9) + CHOOSE(CONTROL!$C$38, 0.0347, 0)</f>
        <v>23.808600000000002</v>
      </c>
      <c r="I218" s="14">
        <f>23.7755 * CHOOSE(CONTROL!$C$15, $E$9, 100%, $G$9) + CHOOSE(CONTROL!$C$38, 0.0347, 0)</f>
        <v>23.810200000000002</v>
      </c>
      <c r="J218" s="44">
        <f>150.9923</f>
        <v>150.9923</v>
      </c>
    </row>
    <row r="219" spans="1:10" ht="15" x14ac:dyDescent="0.2">
      <c r="A219" s="13">
        <v>47574</v>
      </c>
      <c r="B219" s="14">
        <f>25.2835 * CHOOSE(CONTROL!$C$15, $E$9, 100%, $G$9) + CHOOSE(CONTROL!$C$38, 0.0256, 0)</f>
        <v>25.309100000000001</v>
      </c>
      <c r="C219" s="14">
        <f>23.2803 * CHOOSE(CONTROL!$C$15, $E$9, 100%, $G$9) + CHOOSE(CONTROL!$C$38, 0.0347, 0)</f>
        <v>23.315000000000001</v>
      </c>
      <c r="D219" s="14">
        <f>23.2725 * CHOOSE(CONTROL!$C$15, $E$9, 100%, $G$9) + CHOOSE(CONTROL!$C$38, 0.0347, 0)</f>
        <v>23.307200000000002</v>
      </c>
      <c r="E219" s="46">
        <f>25.1272 * CHOOSE(CONTROL!$C$15, $E$9, 100%, $G$9) + CHOOSE(CONTROL!$C$38, 0.0347, 0)</f>
        <v>25.161899999999999</v>
      </c>
      <c r="F219" s="45">
        <f>25.1272 * CHOOSE(CONTROL!$C$15, $E$9, 100%, $G$9) + CHOOSE(CONTROL!$C$38, 0.0256, 0)</f>
        <v>25.152799999999999</v>
      </c>
      <c r="G219" s="14">
        <f>23.2788 * CHOOSE(CONTROL!$C$15, $E$9, 100%, $G$9) + CHOOSE(CONTROL!$C$38, 0.0347, 0)</f>
        <v>23.313500000000001</v>
      </c>
      <c r="H219" s="14">
        <f>23.2788 * CHOOSE(CONTROL!$C$15, $E$9, 100%, $G$9) + CHOOSE(CONTROL!$C$38, 0.0347, 0)</f>
        <v>23.313500000000001</v>
      </c>
      <c r="I219" s="14">
        <f>23.2803 * CHOOSE(CONTROL!$C$15, $E$9, 100%, $G$9) + CHOOSE(CONTROL!$C$38, 0.0347, 0)</f>
        <v>23.315000000000001</v>
      </c>
      <c r="J219" s="44">
        <f>160.7955</f>
        <v>160.7955</v>
      </c>
    </row>
    <row r="220" spans="1:10" ht="15" x14ac:dyDescent="0.2">
      <c r="A220" s="13">
        <v>47604</v>
      </c>
      <c r="B220" s="14">
        <f>24.7674 * CHOOSE(CONTROL!$C$15, $E$9, 100%, $G$9) + CHOOSE(CONTROL!$C$38, 0.0278, 0)</f>
        <v>24.795199999999998</v>
      </c>
      <c r="C220" s="14">
        <f>22.7642 * CHOOSE(CONTROL!$C$15, $E$9, 100%, $G$9) + CHOOSE(CONTROL!$C$38, 0.0369, 0)</f>
        <v>22.801099999999998</v>
      </c>
      <c r="D220" s="14">
        <f>22.7564 * CHOOSE(CONTROL!$C$15, $E$9, 100%, $G$9) + CHOOSE(CONTROL!$C$38, 0.0369, 0)</f>
        <v>22.793299999999999</v>
      </c>
      <c r="E220" s="46">
        <f>24.6111 * CHOOSE(CONTROL!$C$15, $E$9, 100%, $G$9) + CHOOSE(CONTROL!$C$38, 0.0369, 0)</f>
        <v>24.648</v>
      </c>
      <c r="F220" s="45">
        <f>24.6111 * CHOOSE(CONTROL!$C$15, $E$9, 100%, $G$9) + CHOOSE(CONTROL!$C$38, 0.0278, 0)</f>
        <v>24.6389</v>
      </c>
      <c r="G220" s="14">
        <f>22.7626 * CHOOSE(CONTROL!$C$15, $E$9, 100%, $G$9) + CHOOSE(CONTROL!$C$38, 0.0369, 0)</f>
        <v>22.799499999999998</v>
      </c>
      <c r="H220" s="14">
        <f>22.7626 * CHOOSE(CONTROL!$C$15, $E$9, 100%, $G$9) + CHOOSE(CONTROL!$C$38, 0.0369, 0)</f>
        <v>22.799499999999998</v>
      </c>
      <c r="I220" s="14">
        <f>22.7642 * CHOOSE(CONTROL!$C$15, $E$9, 100%, $G$9) + CHOOSE(CONTROL!$C$38, 0.0369, 0)</f>
        <v>22.801099999999998</v>
      </c>
      <c r="J220" s="44">
        <f>166.1915</f>
        <v>166.19149999999999</v>
      </c>
    </row>
    <row r="221" spans="1:10" ht="15" x14ac:dyDescent="0.2">
      <c r="A221" s="13">
        <v>47635</v>
      </c>
      <c r="B221" s="14">
        <f>24.4055 * CHOOSE(CONTROL!$C$15, $E$9, 100%, $G$9) + CHOOSE(CONTROL!$C$38, 0.0278, 0)</f>
        <v>24.433299999999999</v>
      </c>
      <c r="C221" s="14">
        <f>22.4024 * CHOOSE(CONTROL!$C$15, $E$9, 100%, $G$9) + CHOOSE(CONTROL!$C$38, 0.0369, 0)</f>
        <v>22.439299999999999</v>
      </c>
      <c r="D221" s="14">
        <f>22.3946 * CHOOSE(CONTROL!$C$15, $E$9, 100%, $G$9) + CHOOSE(CONTROL!$C$38, 0.0369, 0)</f>
        <v>22.4315</v>
      </c>
      <c r="E221" s="46">
        <f>24.2493 * CHOOSE(CONTROL!$C$15, $E$9, 100%, $G$9) + CHOOSE(CONTROL!$C$38, 0.0369, 0)</f>
        <v>24.286200000000001</v>
      </c>
      <c r="F221" s="45">
        <f>24.2493 * CHOOSE(CONTROL!$C$15, $E$9, 100%, $G$9) + CHOOSE(CONTROL!$C$38, 0.0278, 0)</f>
        <v>24.277100000000001</v>
      </c>
      <c r="G221" s="14">
        <f>22.4008 * CHOOSE(CONTROL!$C$15, $E$9, 100%, $G$9) + CHOOSE(CONTROL!$C$38, 0.0369, 0)</f>
        <v>22.4377</v>
      </c>
      <c r="H221" s="14">
        <f>22.4008 * CHOOSE(CONTROL!$C$15, $E$9, 100%, $G$9) + CHOOSE(CONTROL!$C$38, 0.0369, 0)</f>
        <v>22.4377</v>
      </c>
      <c r="I221" s="14">
        <f>22.4024 * CHOOSE(CONTROL!$C$15, $E$9, 100%, $G$9) + CHOOSE(CONTROL!$C$38, 0.0369, 0)</f>
        <v>22.439299999999999</v>
      </c>
      <c r="J221" s="44">
        <f>168.5861</f>
        <v>168.58609999999999</v>
      </c>
    </row>
    <row r="222" spans="1:10" ht="15" x14ac:dyDescent="0.2">
      <c r="A222" s="13">
        <v>47665</v>
      </c>
      <c r="B222" s="14">
        <f>24.199 * CHOOSE(CONTROL!$C$15, $E$9, 100%, $G$9) + CHOOSE(CONTROL!$C$38, 0.0278, 0)</f>
        <v>24.226800000000001</v>
      </c>
      <c r="C222" s="14">
        <f>22.1959 * CHOOSE(CONTROL!$C$15, $E$9, 100%, $G$9) + CHOOSE(CONTROL!$C$38, 0.0369, 0)</f>
        <v>22.232800000000001</v>
      </c>
      <c r="D222" s="14">
        <f>22.1881 * CHOOSE(CONTROL!$C$15, $E$9, 100%, $G$9) + CHOOSE(CONTROL!$C$38, 0.0369, 0)</f>
        <v>22.224999999999998</v>
      </c>
      <c r="E222" s="46">
        <f>24.0428 * CHOOSE(CONTROL!$C$15, $E$9, 100%, $G$9) + CHOOSE(CONTROL!$C$38, 0.0369, 0)</f>
        <v>24.079699999999999</v>
      </c>
      <c r="F222" s="45">
        <f>24.0428 * CHOOSE(CONTROL!$C$15, $E$9, 100%, $G$9) + CHOOSE(CONTROL!$C$38, 0.0278, 0)</f>
        <v>24.070599999999999</v>
      </c>
      <c r="G222" s="14">
        <f>22.1943 * CHOOSE(CONTROL!$C$15, $E$9, 100%, $G$9) + CHOOSE(CONTROL!$C$38, 0.0369, 0)</f>
        <v>22.231199999999998</v>
      </c>
      <c r="H222" s="14">
        <f>22.1943 * CHOOSE(CONTROL!$C$15, $E$9, 100%, $G$9) + CHOOSE(CONTROL!$C$38, 0.0369, 0)</f>
        <v>22.231199999999998</v>
      </c>
      <c r="I222" s="14">
        <f>22.1959 * CHOOSE(CONTROL!$C$15, $E$9, 100%, $G$9) + CHOOSE(CONTROL!$C$38, 0.0369, 0)</f>
        <v>22.232800000000001</v>
      </c>
      <c r="J222" s="44">
        <f>167.7977</f>
        <v>167.79769999999999</v>
      </c>
    </row>
    <row r="223" spans="1:10" ht="15" x14ac:dyDescent="0.2">
      <c r="A223" s="13">
        <v>47696</v>
      </c>
      <c r="B223" s="14">
        <f>24.3009 * CHOOSE(CONTROL!$C$15, $E$9, 100%, $G$9) + CHOOSE(CONTROL!$C$38, 0.0278, 0)</f>
        <v>24.328699999999998</v>
      </c>
      <c r="C223" s="14">
        <f>22.2978 * CHOOSE(CONTROL!$C$15, $E$9, 100%, $G$9) + CHOOSE(CONTROL!$C$38, 0.0369, 0)</f>
        <v>22.334699999999998</v>
      </c>
      <c r="D223" s="14">
        <f>22.29 * CHOOSE(CONTROL!$C$15, $E$9, 100%, $G$9) + CHOOSE(CONTROL!$C$38, 0.0369, 0)</f>
        <v>22.326899999999998</v>
      </c>
      <c r="E223" s="46">
        <f>24.1447 * CHOOSE(CONTROL!$C$15, $E$9, 100%, $G$9) + CHOOSE(CONTROL!$C$38, 0.0369, 0)</f>
        <v>24.1816</v>
      </c>
      <c r="F223" s="45">
        <f>24.1447 * CHOOSE(CONTROL!$C$15, $E$9, 100%, $G$9) + CHOOSE(CONTROL!$C$38, 0.0278, 0)</f>
        <v>24.172499999999999</v>
      </c>
      <c r="G223" s="14">
        <f>22.2962 * CHOOSE(CONTROL!$C$15, $E$9, 100%, $G$9) + CHOOSE(CONTROL!$C$38, 0.0369, 0)</f>
        <v>22.333099999999998</v>
      </c>
      <c r="H223" s="14">
        <f>22.2962 * CHOOSE(CONTROL!$C$15, $E$9, 100%, $G$9) + CHOOSE(CONTROL!$C$38, 0.0369, 0)</f>
        <v>22.333099999999998</v>
      </c>
      <c r="I223" s="14">
        <f>22.2978 * CHOOSE(CONTROL!$C$15, $E$9, 100%, $G$9) + CHOOSE(CONTROL!$C$38, 0.0369, 0)</f>
        <v>22.334699999999998</v>
      </c>
      <c r="J223" s="44">
        <f>163.8914</f>
        <v>163.8914</v>
      </c>
    </row>
    <row r="224" spans="1:10" ht="15" x14ac:dyDescent="0.2">
      <c r="A224" s="13">
        <v>47727</v>
      </c>
      <c r="B224" s="14">
        <f>24.5777 * CHOOSE(CONTROL!$C$15, $E$9, 100%, $G$9) + CHOOSE(CONTROL!$C$38, 0.0278, 0)</f>
        <v>24.605499999999999</v>
      </c>
      <c r="C224" s="14">
        <f>22.5746 * CHOOSE(CONTROL!$C$15, $E$9, 100%, $G$9) + CHOOSE(CONTROL!$C$38, 0.0369, 0)</f>
        <v>22.611499999999999</v>
      </c>
      <c r="D224" s="14">
        <f>22.5668 * CHOOSE(CONTROL!$C$15, $E$9, 100%, $G$9) + CHOOSE(CONTROL!$C$38, 0.0369, 0)</f>
        <v>22.6037</v>
      </c>
      <c r="E224" s="46">
        <f>24.4215 * CHOOSE(CONTROL!$C$15, $E$9, 100%, $G$9) + CHOOSE(CONTROL!$C$38, 0.0369, 0)</f>
        <v>24.458400000000001</v>
      </c>
      <c r="F224" s="45">
        <f>24.4215 * CHOOSE(CONTROL!$C$15, $E$9, 100%, $G$9) + CHOOSE(CONTROL!$C$38, 0.0278, 0)</f>
        <v>24.449300000000001</v>
      </c>
      <c r="G224" s="14">
        <f>22.573 * CHOOSE(CONTROL!$C$15, $E$9, 100%, $G$9) + CHOOSE(CONTROL!$C$38, 0.0369, 0)</f>
        <v>22.6099</v>
      </c>
      <c r="H224" s="14">
        <f>22.573 * CHOOSE(CONTROL!$C$15, $E$9, 100%, $G$9) + CHOOSE(CONTROL!$C$38, 0.0369, 0)</f>
        <v>22.6099</v>
      </c>
      <c r="I224" s="14">
        <f>22.5746 * CHOOSE(CONTROL!$C$15, $E$9, 100%, $G$9) + CHOOSE(CONTROL!$C$38, 0.0369, 0)</f>
        <v>22.611499999999999</v>
      </c>
      <c r="J224" s="44">
        <f>158.444</f>
        <v>158.44399999999999</v>
      </c>
    </row>
    <row r="225" spans="1:10" ht="15" x14ac:dyDescent="0.2">
      <c r="A225" s="13">
        <v>47757</v>
      </c>
      <c r="B225" s="14">
        <f>24.8096 * CHOOSE(CONTROL!$C$15, $E$9, 100%, $G$9) + CHOOSE(CONTROL!$C$38, 0.0256, 0)</f>
        <v>24.8352</v>
      </c>
      <c r="C225" s="14">
        <f>22.8064 * CHOOSE(CONTROL!$C$15, $E$9, 100%, $G$9) + CHOOSE(CONTROL!$C$38, 0.0347, 0)</f>
        <v>22.841100000000001</v>
      </c>
      <c r="D225" s="14">
        <f>22.7986 * CHOOSE(CONTROL!$C$15, $E$9, 100%, $G$9) + CHOOSE(CONTROL!$C$38, 0.0347, 0)</f>
        <v>22.833300000000001</v>
      </c>
      <c r="E225" s="46">
        <f>24.6533 * CHOOSE(CONTROL!$C$15, $E$9, 100%, $G$9) + CHOOSE(CONTROL!$C$38, 0.0347, 0)</f>
        <v>24.688000000000002</v>
      </c>
      <c r="F225" s="45">
        <f>24.6533 * CHOOSE(CONTROL!$C$15, $E$9, 100%, $G$9) + CHOOSE(CONTROL!$C$38, 0.0256, 0)</f>
        <v>24.678900000000002</v>
      </c>
      <c r="G225" s="14">
        <f>22.8048 * CHOOSE(CONTROL!$C$15, $E$9, 100%, $G$9) + CHOOSE(CONTROL!$C$38, 0.0347, 0)</f>
        <v>22.839500000000001</v>
      </c>
      <c r="H225" s="14">
        <f>22.8048 * CHOOSE(CONTROL!$C$15, $E$9, 100%, $G$9) + CHOOSE(CONTROL!$C$38, 0.0347, 0)</f>
        <v>22.839500000000001</v>
      </c>
      <c r="I225" s="14">
        <f>22.8064 * CHOOSE(CONTROL!$C$15, $E$9, 100%, $G$9) + CHOOSE(CONTROL!$C$38, 0.0347, 0)</f>
        <v>22.841100000000001</v>
      </c>
      <c r="J225" s="44">
        <f>152.9648</f>
        <v>152.9648</v>
      </c>
    </row>
    <row r="226" spans="1:10" ht="15" x14ac:dyDescent="0.2">
      <c r="A226" s="13">
        <v>47788</v>
      </c>
      <c r="B226" s="14">
        <f>25.003 * CHOOSE(CONTROL!$C$15, $E$9, 100%, $G$9) + CHOOSE(CONTROL!$C$38, 0.0256, 0)</f>
        <v>25.028600000000001</v>
      </c>
      <c r="C226" s="14">
        <f>22.9999 * CHOOSE(CONTROL!$C$15, $E$9, 100%, $G$9) + CHOOSE(CONTROL!$C$38, 0.0347, 0)</f>
        <v>23.034600000000001</v>
      </c>
      <c r="D226" s="14">
        <f>22.992 * CHOOSE(CONTROL!$C$15, $E$9, 100%, $G$9) + CHOOSE(CONTROL!$C$38, 0.0347, 0)</f>
        <v>23.026700000000002</v>
      </c>
      <c r="E226" s="46">
        <f>24.8468 * CHOOSE(CONTROL!$C$15, $E$9, 100%, $G$9) + CHOOSE(CONTROL!$C$38, 0.0347, 0)</f>
        <v>24.881500000000003</v>
      </c>
      <c r="F226" s="45">
        <f>24.8468 * CHOOSE(CONTROL!$C$15, $E$9, 100%, $G$9) + CHOOSE(CONTROL!$C$38, 0.0256, 0)</f>
        <v>24.872400000000003</v>
      </c>
      <c r="G226" s="14">
        <f>22.9983 * CHOOSE(CONTROL!$C$15, $E$9, 100%, $G$9) + CHOOSE(CONTROL!$C$38, 0.0347, 0)</f>
        <v>23.033000000000001</v>
      </c>
      <c r="H226" s="14">
        <f>22.9983 * CHOOSE(CONTROL!$C$15, $E$9, 100%, $G$9) + CHOOSE(CONTROL!$C$38, 0.0347, 0)</f>
        <v>23.033000000000001</v>
      </c>
      <c r="I226" s="14">
        <f>22.9999 * CHOOSE(CONTROL!$C$15, $E$9, 100%, $G$9) + CHOOSE(CONTROL!$C$38, 0.0347, 0)</f>
        <v>23.034600000000001</v>
      </c>
      <c r="J226" s="44">
        <f>151.8749</f>
        <v>151.8749</v>
      </c>
    </row>
    <row r="227" spans="1:10" ht="15" x14ac:dyDescent="0.2">
      <c r="A227" s="13">
        <v>47818</v>
      </c>
      <c r="B227" s="14">
        <f>25.5991 * CHOOSE(CONTROL!$C$15, $E$9, 100%, $G$9) + CHOOSE(CONTROL!$C$38, 0.0256, 0)</f>
        <v>25.624700000000001</v>
      </c>
      <c r="C227" s="14">
        <f>23.5959 * CHOOSE(CONTROL!$C$15, $E$9, 100%, $G$9) + CHOOSE(CONTROL!$C$38, 0.0347, 0)</f>
        <v>23.630600000000001</v>
      </c>
      <c r="D227" s="14">
        <f>23.5881 * CHOOSE(CONTROL!$C$15, $E$9, 100%, $G$9) + CHOOSE(CONTROL!$C$38, 0.0347, 0)</f>
        <v>23.622800000000002</v>
      </c>
      <c r="E227" s="46">
        <f>25.4428 * CHOOSE(CONTROL!$C$15, $E$9, 100%, $G$9) + CHOOSE(CONTROL!$C$38, 0.0347, 0)</f>
        <v>25.477499999999999</v>
      </c>
      <c r="F227" s="45">
        <f>25.4428 * CHOOSE(CONTROL!$C$15, $E$9, 100%, $G$9) + CHOOSE(CONTROL!$C$38, 0.0256, 0)</f>
        <v>25.468399999999999</v>
      </c>
      <c r="G227" s="14">
        <f>23.5944 * CHOOSE(CONTROL!$C$15, $E$9, 100%, $G$9) + CHOOSE(CONTROL!$C$38, 0.0347, 0)</f>
        <v>23.629100000000001</v>
      </c>
      <c r="H227" s="14">
        <f>23.5944 * CHOOSE(CONTROL!$C$15, $E$9, 100%, $G$9) + CHOOSE(CONTROL!$C$38, 0.0347, 0)</f>
        <v>23.629100000000001</v>
      </c>
      <c r="I227" s="14">
        <f>23.5959 * CHOOSE(CONTROL!$C$15, $E$9, 100%, $G$9) + CHOOSE(CONTROL!$C$38, 0.0347, 0)</f>
        <v>23.630600000000001</v>
      </c>
      <c r="J227" s="44">
        <f>147.368</f>
        <v>147.36799999999999</v>
      </c>
    </row>
    <row r="228" spans="1:10" ht="15" x14ac:dyDescent="0.2">
      <c r="A228" s="13">
        <v>47849</v>
      </c>
      <c r="B228" s="14">
        <f>26.4702 * CHOOSE(CONTROL!$C$15, $E$9, 100%, $G$9) + CHOOSE(CONTROL!$C$38, 0.0256, 0)</f>
        <v>26.495799999999999</v>
      </c>
      <c r="C228" s="14">
        <f>24.4367 * CHOOSE(CONTROL!$C$15, $E$9, 100%, $G$9) + CHOOSE(CONTROL!$C$38, 0.0347, 0)</f>
        <v>24.471399999999999</v>
      </c>
      <c r="D228" s="14">
        <f>24.4289 * CHOOSE(CONTROL!$C$15, $E$9, 100%, $G$9) + CHOOSE(CONTROL!$C$38, 0.0347, 0)</f>
        <v>24.4636</v>
      </c>
      <c r="E228" s="46">
        <f>26.3139 * CHOOSE(CONTROL!$C$15, $E$9, 100%, $G$9) + CHOOSE(CONTROL!$C$38, 0.0347, 0)</f>
        <v>26.348600000000001</v>
      </c>
      <c r="F228" s="45">
        <f>26.3139 * CHOOSE(CONTROL!$C$15, $E$9, 100%, $G$9) + CHOOSE(CONTROL!$C$38, 0.0256, 0)</f>
        <v>26.339500000000001</v>
      </c>
      <c r="G228" s="14">
        <f>24.4352 * CHOOSE(CONTROL!$C$15, $E$9, 100%, $G$9) + CHOOSE(CONTROL!$C$38, 0.0347, 0)</f>
        <v>24.469899999999999</v>
      </c>
      <c r="H228" s="14">
        <f>24.4352 * CHOOSE(CONTROL!$C$15, $E$9, 100%, $G$9) + CHOOSE(CONTROL!$C$38, 0.0347, 0)</f>
        <v>24.469899999999999</v>
      </c>
      <c r="I228" s="14">
        <f>24.4367 * CHOOSE(CONTROL!$C$15, $E$9, 100%, $G$9) + CHOOSE(CONTROL!$C$38, 0.0347, 0)</f>
        <v>24.471399999999999</v>
      </c>
      <c r="J228" s="44">
        <f>147.0865</f>
        <v>147.0865</v>
      </c>
    </row>
    <row r="229" spans="1:10" ht="15" x14ac:dyDescent="0.2">
      <c r="A229" s="13">
        <v>47880</v>
      </c>
      <c r="B229" s="14">
        <f>26.6909 * CHOOSE(CONTROL!$C$15, $E$9, 100%, $G$9) + CHOOSE(CONTROL!$C$38, 0.0256, 0)</f>
        <v>26.7165</v>
      </c>
      <c r="C229" s="14">
        <f>24.6575 * CHOOSE(CONTROL!$C$15, $E$9, 100%, $G$9) + CHOOSE(CONTROL!$C$38, 0.0347, 0)</f>
        <v>24.6922</v>
      </c>
      <c r="D229" s="14">
        <f>24.6497 * CHOOSE(CONTROL!$C$15, $E$9, 100%, $G$9) + CHOOSE(CONTROL!$C$38, 0.0347, 0)</f>
        <v>24.6844</v>
      </c>
      <c r="E229" s="46">
        <f>26.5347 * CHOOSE(CONTROL!$C$15, $E$9, 100%, $G$9) + CHOOSE(CONTROL!$C$38, 0.0347, 0)</f>
        <v>26.569400000000002</v>
      </c>
      <c r="F229" s="45">
        <f>26.5347 * CHOOSE(CONTROL!$C$15, $E$9, 100%, $G$9) + CHOOSE(CONTROL!$C$38, 0.0256, 0)</f>
        <v>26.560300000000002</v>
      </c>
      <c r="G229" s="14">
        <f>24.6559 * CHOOSE(CONTROL!$C$15, $E$9, 100%, $G$9) + CHOOSE(CONTROL!$C$38, 0.0347, 0)</f>
        <v>24.6906</v>
      </c>
      <c r="H229" s="14">
        <f>24.6559 * CHOOSE(CONTROL!$C$15, $E$9, 100%, $G$9) + CHOOSE(CONTROL!$C$38, 0.0347, 0)</f>
        <v>24.6906</v>
      </c>
      <c r="I229" s="14">
        <f>24.6575 * CHOOSE(CONTROL!$C$15, $E$9, 100%, $G$9) + CHOOSE(CONTROL!$C$38, 0.0347, 0)</f>
        <v>24.6922</v>
      </c>
      <c r="J229" s="44">
        <f>146.6777</f>
        <v>146.67769999999999</v>
      </c>
    </row>
    <row r="230" spans="1:10" ht="15" x14ac:dyDescent="0.2">
      <c r="A230" s="13">
        <v>47908</v>
      </c>
      <c r="B230" s="14">
        <f>26.1799 * CHOOSE(CONTROL!$C$15, $E$9, 100%, $G$9) + CHOOSE(CONTROL!$C$38, 0.0256, 0)</f>
        <v>26.205500000000001</v>
      </c>
      <c r="C230" s="14">
        <f>24.1465 * CHOOSE(CONTROL!$C$15, $E$9, 100%, $G$9) + CHOOSE(CONTROL!$C$38, 0.0347, 0)</f>
        <v>24.1812</v>
      </c>
      <c r="D230" s="14">
        <f>24.1386 * CHOOSE(CONTROL!$C$15, $E$9, 100%, $G$9) + CHOOSE(CONTROL!$C$38, 0.0347, 0)</f>
        <v>24.173300000000001</v>
      </c>
      <c r="E230" s="46">
        <f>26.0236 * CHOOSE(CONTROL!$C$15, $E$9, 100%, $G$9) + CHOOSE(CONTROL!$C$38, 0.0347, 0)</f>
        <v>26.058299999999999</v>
      </c>
      <c r="F230" s="45">
        <f>26.0236 * CHOOSE(CONTROL!$C$15, $E$9, 100%, $G$9) + CHOOSE(CONTROL!$C$38, 0.0256, 0)</f>
        <v>26.049199999999999</v>
      </c>
      <c r="G230" s="14">
        <f>24.1449 * CHOOSE(CONTROL!$C$15, $E$9, 100%, $G$9) + CHOOSE(CONTROL!$C$38, 0.0347, 0)</f>
        <v>24.179600000000001</v>
      </c>
      <c r="H230" s="14">
        <f>24.1449 * CHOOSE(CONTROL!$C$15, $E$9, 100%, $G$9) + CHOOSE(CONTROL!$C$38, 0.0347, 0)</f>
        <v>24.179600000000001</v>
      </c>
      <c r="I230" s="14">
        <f>24.1465 * CHOOSE(CONTROL!$C$15, $E$9, 100%, $G$9) + CHOOSE(CONTROL!$C$38, 0.0347, 0)</f>
        <v>24.1812</v>
      </c>
      <c r="J230" s="44">
        <f>154.4085</f>
        <v>154.4085</v>
      </c>
    </row>
    <row r="231" spans="1:10" ht="15" x14ac:dyDescent="0.2">
      <c r="A231" s="13">
        <v>47939</v>
      </c>
      <c r="B231" s="14">
        <f>25.6847 * CHOOSE(CONTROL!$C$15, $E$9, 100%, $G$9) + CHOOSE(CONTROL!$C$38, 0.0256, 0)</f>
        <v>25.7103</v>
      </c>
      <c r="C231" s="14">
        <f>23.6513 * CHOOSE(CONTROL!$C$15, $E$9, 100%, $G$9) + CHOOSE(CONTROL!$C$38, 0.0347, 0)</f>
        <v>23.686</v>
      </c>
      <c r="D231" s="14">
        <f>23.6435 * CHOOSE(CONTROL!$C$15, $E$9, 100%, $G$9) + CHOOSE(CONTROL!$C$38, 0.0347, 0)</f>
        <v>23.6782</v>
      </c>
      <c r="E231" s="46">
        <f>25.5285 * CHOOSE(CONTROL!$C$15, $E$9, 100%, $G$9) + CHOOSE(CONTROL!$C$38, 0.0347, 0)</f>
        <v>25.563200000000002</v>
      </c>
      <c r="F231" s="45">
        <f>25.5285 * CHOOSE(CONTROL!$C$15, $E$9, 100%, $G$9) + CHOOSE(CONTROL!$C$38, 0.0256, 0)</f>
        <v>25.554100000000002</v>
      </c>
      <c r="G231" s="14">
        <f>23.6497 * CHOOSE(CONTROL!$C$15, $E$9, 100%, $G$9) + CHOOSE(CONTROL!$C$38, 0.0347, 0)</f>
        <v>23.6844</v>
      </c>
      <c r="H231" s="14">
        <f>23.6497 * CHOOSE(CONTROL!$C$15, $E$9, 100%, $G$9) + CHOOSE(CONTROL!$C$38, 0.0347, 0)</f>
        <v>23.6844</v>
      </c>
      <c r="I231" s="14">
        <f>23.6513 * CHOOSE(CONTROL!$C$15, $E$9, 100%, $G$9) + CHOOSE(CONTROL!$C$38, 0.0347, 0)</f>
        <v>23.686</v>
      </c>
      <c r="J231" s="44">
        <f>164.4334</f>
        <v>164.43340000000001</v>
      </c>
    </row>
    <row r="232" spans="1:10" ht="15" x14ac:dyDescent="0.2">
      <c r="A232" s="13">
        <v>47969</v>
      </c>
      <c r="B232" s="14">
        <f>25.1686 * CHOOSE(CONTROL!$C$15, $E$9, 100%, $G$9) + CHOOSE(CONTROL!$C$38, 0.0278, 0)</f>
        <v>25.196400000000001</v>
      </c>
      <c r="C232" s="14">
        <f>23.1352 * CHOOSE(CONTROL!$C$15, $E$9, 100%, $G$9) + CHOOSE(CONTROL!$C$38, 0.0369, 0)</f>
        <v>23.1721</v>
      </c>
      <c r="D232" s="14">
        <f>23.1274 * CHOOSE(CONTROL!$C$15, $E$9, 100%, $G$9) + CHOOSE(CONTROL!$C$38, 0.0369, 0)</f>
        <v>23.164300000000001</v>
      </c>
      <c r="E232" s="46">
        <f>25.0123 * CHOOSE(CONTROL!$C$15, $E$9, 100%, $G$9) + CHOOSE(CONTROL!$C$38, 0.0369, 0)</f>
        <v>25.049199999999999</v>
      </c>
      <c r="F232" s="45">
        <f>25.0123 * CHOOSE(CONTROL!$C$15, $E$9, 100%, $G$9) + CHOOSE(CONTROL!$C$38, 0.0278, 0)</f>
        <v>25.040099999999999</v>
      </c>
      <c r="G232" s="14">
        <f>23.1336 * CHOOSE(CONTROL!$C$15, $E$9, 100%, $G$9) + CHOOSE(CONTROL!$C$38, 0.0369, 0)</f>
        <v>23.170500000000001</v>
      </c>
      <c r="H232" s="14">
        <f>23.1336 * CHOOSE(CONTROL!$C$15, $E$9, 100%, $G$9) + CHOOSE(CONTROL!$C$38, 0.0369, 0)</f>
        <v>23.170500000000001</v>
      </c>
      <c r="I232" s="14">
        <f>23.1352 * CHOOSE(CONTROL!$C$15, $E$9, 100%, $G$9) + CHOOSE(CONTROL!$C$38, 0.0369, 0)</f>
        <v>23.1721</v>
      </c>
      <c r="J232" s="44">
        <f>169.9515</f>
        <v>169.95150000000001</v>
      </c>
    </row>
    <row r="233" spans="1:10" ht="15" x14ac:dyDescent="0.2">
      <c r="A233" s="13">
        <v>48000</v>
      </c>
      <c r="B233" s="14">
        <f>24.8068 * CHOOSE(CONTROL!$C$15, $E$9, 100%, $G$9) + CHOOSE(CONTROL!$C$38, 0.0278, 0)</f>
        <v>24.834599999999998</v>
      </c>
      <c r="C233" s="14">
        <f>22.7733 * CHOOSE(CONTROL!$C$15, $E$9, 100%, $G$9) + CHOOSE(CONTROL!$C$38, 0.0369, 0)</f>
        <v>22.810199999999998</v>
      </c>
      <c r="D233" s="14">
        <f>22.7655 * CHOOSE(CONTROL!$C$15, $E$9, 100%, $G$9) + CHOOSE(CONTROL!$C$38, 0.0369, 0)</f>
        <v>22.802399999999999</v>
      </c>
      <c r="E233" s="46">
        <f>24.6505 * CHOOSE(CONTROL!$C$15, $E$9, 100%, $G$9) + CHOOSE(CONTROL!$C$38, 0.0369, 0)</f>
        <v>24.6874</v>
      </c>
      <c r="F233" s="45">
        <f>24.6505 * CHOOSE(CONTROL!$C$15, $E$9, 100%, $G$9) + CHOOSE(CONTROL!$C$38, 0.0278, 0)</f>
        <v>24.6783</v>
      </c>
      <c r="G233" s="14">
        <f>22.7718 * CHOOSE(CONTROL!$C$15, $E$9, 100%, $G$9) + CHOOSE(CONTROL!$C$38, 0.0369, 0)</f>
        <v>22.808699999999998</v>
      </c>
      <c r="H233" s="14">
        <f>22.7718 * CHOOSE(CONTROL!$C$15, $E$9, 100%, $G$9) + CHOOSE(CONTROL!$C$38, 0.0369, 0)</f>
        <v>22.808699999999998</v>
      </c>
      <c r="I233" s="14">
        <f>22.7733 * CHOOSE(CONTROL!$C$15, $E$9, 100%, $G$9) + CHOOSE(CONTROL!$C$38, 0.0369, 0)</f>
        <v>22.810199999999998</v>
      </c>
      <c r="J233" s="44">
        <f>172.4003</f>
        <v>172.40029999999999</v>
      </c>
    </row>
    <row r="234" spans="1:10" ht="15" x14ac:dyDescent="0.2">
      <c r="A234" s="13">
        <v>48030</v>
      </c>
      <c r="B234" s="14">
        <f>24.6003 * CHOOSE(CONTROL!$C$15, $E$9, 100%, $G$9) + CHOOSE(CONTROL!$C$38, 0.0278, 0)</f>
        <v>24.6281</v>
      </c>
      <c r="C234" s="14">
        <f>22.5668 * CHOOSE(CONTROL!$C$15, $E$9, 100%, $G$9) + CHOOSE(CONTROL!$C$38, 0.0369, 0)</f>
        <v>22.6037</v>
      </c>
      <c r="D234" s="14">
        <f>22.559 * CHOOSE(CONTROL!$C$15, $E$9, 100%, $G$9) + CHOOSE(CONTROL!$C$38, 0.0369, 0)</f>
        <v>22.5959</v>
      </c>
      <c r="E234" s="46">
        <f>24.444 * CHOOSE(CONTROL!$C$15, $E$9, 100%, $G$9) + CHOOSE(CONTROL!$C$38, 0.0369, 0)</f>
        <v>24.480899999999998</v>
      </c>
      <c r="F234" s="45">
        <f>24.444 * CHOOSE(CONTROL!$C$15, $E$9, 100%, $G$9) + CHOOSE(CONTROL!$C$38, 0.0278, 0)</f>
        <v>24.471799999999998</v>
      </c>
      <c r="G234" s="14">
        <f>22.5653 * CHOOSE(CONTROL!$C$15, $E$9, 100%, $G$9) + CHOOSE(CONTROL!$C$38, 0.0369, 0)</f>
        <v>22.6022</v>
      </c>
      <c r="H234" s="14">
        <f>22.5653 * CHOOSE(CONTROL!$C$15, $E$9, 100%, $G$9) + CHOOSE(CONTROL!$C$38, 0.0369, 0)</f>
        <v>22.6022</v>
      </c>
      <c r="I234" s="14">
        <f>22.5668 * CHOOSE(CONTROL!$C$15, $E$9, 100%, $G$9) + CHOOSE(CONTROL!$C$38, 0.0369, 0)</f>
        <v>22.6037</v>
      </c>
      <c r="J234" s="44">
        <f>171.594</f>
        <v>171.59399999999999</v>
      </c>
    </row>
    <row r="235" spans="1:10" ht="15" x14ac:dyDescent="0.2">
      <c r="A235" s="13">
        <v>48061</v>
      </c>
      <c r="B235" s="14">
        <f>24.7022 * CHOOSE(CONTROL!$C$15, $E$9, 100%, $G$9) + CHOOSE(CONTROL!$C$38, 0.0278, 0)</f>
        <v>24.73</v>
      </c>
      <c r="C235" s="14">
        <f>22.6688 * CHOOSE(CONTROL!$C$15, $E$9, 100%, $G$9) + CHOOSE(CONTROL!$C$38, 0.0369, 0)</f>
        <v>22.7057</v>
      </c>
      <c r="D235" s="14">
        <f>22.6609 * CHOOSE(CONTROL!$C$15, $E$9, 100%, $G$9) + CHOOSE(CONTROL!$C$38, 0.0369, 0)</f>
        <v>22.697800000000001</v>
      </c>
      <c r="E235" s="46">
        <f>24.5459 * CHOOSE(CONTROL!$C$15, $E$9, 100%, $G$9) + CHOOSE(CONTROL!$C$38, 0.0369, 0)</f>
        <v>24.582799999999999</v>
      </c>
      <c r="F235" s="45">
        <f>24.5459 * CHOOSE(CONTROL!$C$15, $E$9, 100%, $G$9) + CHOOSE(CONTROL!$C$38, 0.0278, 0)</f>
        <v>24.573699999999999</v>
      </c>
      <c r="G235" s="14">
        <f>22.6672 * CHOOSE(CONTROL!$C$15, $E$9, 100%, $G$9) + CHOOSE(CONTROL!$C$38, 0.0369, 0)</f>
        <v>22.7041</v>
      </c>
      <c r="H235" s="14">
        <f>22.6672 * CHOOSE(CONTROL!$C$15, $E$9, 100%, $G$9) + CHOOSE(CONTROL!$C$38, 0.0369, 0)</f>
        <v>22.7041</v>
      </c>
      <c r="I235" s="14">
        <f>22.6688 * CHOOSE(CONTROL!$C$15, $E$9, 100%, $G$9) + CHOOSE(CONTROL!$C$38, 0.0369, 0)</f>
        <v>22.7057</v>
      </c>
      <c r="J235" s="44">
        <f>167.5994</f>
        <v>167.5994</v>
      </c>
    </row>
    <row r="236" spans="1:10" ht="15" x14ac:dyDescent="0.2">
      <c r="A236" s="13">
        <v>48092</v>
      </c>
      <c r="B236" s="14">
        <f>24.979 * CHOOSE(CONTROL!$C$15, $E$9, 100%, $G$9) + CHOOSE(CONTROL!$C$38, 0.0278, 0)</f>
        <v>25.006799999999998</v>
      </c>
      <c r="C236" s="14">
        <f>22.9455 * CHOOSE(CONTROL!$C$15, $E$9, 100%, $G$9) + CHOOSE(CONTROL!$C$38, 0.0369, 0)</f>
        <v>22.982399999999998</v>
      </c>
      <c r="D236" s="14">
        <f>22.9377 * CHOOSE(CONTROL!$C$15, $E$9, 100%, $G$9) + CHOOSE(CONTROL!$C$38, 0.0369, 0)</f>
        <v>22.974599999999999</v>
      </c>
      <c r="E236" s="46">
        <f>24.8227 * CHOOSE(CONTROL!$C$15, $E$9, 100%, $G$9) + CHOOSE(CONTROL!$C$38, 0.0369, 0)</f>
        <v>24.8596</v>
      </c>
      <c r="F236" s="45">
        <f>24.8227 * CHOOSE(CONTROL!$C$15, $E$9, 100%, $G$9) + CHOOSE(CONTROL!$C$38, 0.0278, 0)</f>
        <v>24.8505</v>
      </c>
      <c r="G236" s="14">
        <f>22.944 * CHOOSE(CONTROL!$C$15, $E$9, 100%, $G$9) + CHOOSE(CONTROL!$C$38, 0.0369, 0)</f>
        <v>22.980899999999998</v>
      </c>
      <c r="H236" s="14">
        <f>22.944 * CHOOSE(CONTROL!$C$15, $E$9, 100%, $G$9) + CHOOSE(CONTROL!$C$38, 0.0369, 0)</f>
        <v>22.980899999999998</v>
      </c>
      <c r="I236" s="14">
        <f>22.9455 * CHOOSE(CONTROL!$C$15, $E$9, 100%, $G$9) + CHOOSE(CONTROL!$C$38, 0.0369, 0)</f>
        <v>22.982399999999998</v>
      </c>
      <c r="J236" s="44">
        <f>162.0287</f>
        <v>162.02869999999999</v>
      </c>
    </row>
    <row r="237" spans="1:10" ht="15" x14ac:dyDescent="0.2">
      <c r="A237" s="13">
        <v>48122</v>
      </c>
      <c r="B237" s="14">
        <f>25.2108 * CHOOSE(CONTROL!$C$15, $E$9, 100%, $G$9) + CHOOSE(CONTROL!$C$38, 0.0256, 0)</f>
        <v>25.2364</v>
      </c>
      <c r="C237" s="14">
        <f>23.1774 * CHOOSE(CONTROL!$C$15, $E$9, 100%, $G$9) + CHOOSE(CONTROL!$C$38, 0.0347, 0)</f>
        <v>23.2121</v>
      </c>
      <c r="D237" s="14">
        <f>23.1696 * CHOOSE(CONTROL!$C$15, $E$9, 100%, $G$9) + CHOOSE(CONTROL!$C$38, 0.0347, 0)</f>
        <v>23.2043</v>
      </c>
      <c r="E237" s="46">
        <f>25.0546 * CHOOSE(CONTROL!$C$15, $E$9, 100%, $G$9) + CHOOSE(CONTROL!$C$38, 0.0347, 0)</f>
        <v>25.089300000000001</v>
      </c>
      <c r="F237" s="45">
        <f>25.0546 * CHOOSE(CONTROL!$C$15, $E$9, 100%, $G$9) + CHOOSE(CONTROL!$C$38, 0.0256, 0)</f>
        <v>25.080200000000001</v>
      </c>
      <c r="G237" s="14">
        <f>23.1758 * CHOOSE(CONTROL!$C$15, $E$9, 100%, $G$9) + CHOOSE(CONTROL!$C$38, 0.0347, 0)</f>
        <v>23.2105</v>
      </c>
      <c r="H237" s="14">
        <f>23.1758 * CHOOSE(CONTROL!$C$15, $E$9, 100%, $G$9) + CHOOSE(CONTROL!$C$38, 0.0347, 0)</f>
        <v>23.2105</v>
      </c>
      <c r="I237" s="14">
        <f>23.1774 * CHOOSE(CONTROL!$C$15, $E$9, 100%, $G$9) + CHOOSE(CONTROL!$C$38, 0.0347, 0)</f>
        <v>23.2121</v>
      </c>
      <c r="J237" s="44">
        <f>156.4256</f>
        <v>156.4256</v>
      </c>
    </row>
    <row r="238" spans="1:10" ht="15" x14ac:dyDescent="0.2">
      <c r="A238" s="13">
        <v>48153</v>
      </c>
      <c r="B238" s="14">
        <f>25.4042 * CHOOSE(CONTROL!$C$15, $E$9, 100%, $G$9) + CHOOSE(CONTROL!$C$38, 0.0256, 0)</f>
        <v>25.4298</v>
      </c>
      <c r="C238" s="14">
        <f>23.3708 * CHOOSE(CONTROL!$C$15, $E$9, 100%, $G$9) + CHOOSE(CONTROL!$C$38, 0.0347, 0)</f>
        <v>23.4055</v>
      </c>
      <c r="D238" s="14">
        <f>23.363 * CHOOSE(CONTROL!$C$15, $E$9, 100%, $G$9) + CHOOSE(CONTROL!$C$38, 0.0347, 0)</f>
        <v>23.3977</v>
      </c>
      <c r="E238" s="46">
        <f>25.248 * CHOOSE(CONTROL!$C$15, $E$9, 100%, $G$9) + CHOOSE(CONTROL!$C$38, 0.0347, 0)</f>
        <v>25.282700000000002</v>
      </c>
      <c r="F238" s="45">
        <f>25.248 * CHOOSE(CONTROL!$C$15, $E$9, 100%, $G$9) + CHOOSE(CONTROL!$C$38, 0.0256, 0)</f>
        <v>25.273600000000002</v>
      </c>
      <c r="G238" s="14">
        <f>23.3692 * CHOOSE(CONTROL!$C$15, $E$9, 100%, $G$9) + CHOOSE(CONTROL!$C$38, 0.0347, 0)</f>
        <v>23.4039</v>
      </c>
      <c r="H238" s="14">
        <f>23.3692 * CHOOSE(CONTROL!$C$15, $E$9, 100%, $G$9) + CHOOSE(CONTROL!$C$38, 0.0347, 0)</f>
        <v>23.4039</v>
      </c>
      <c r="I238" s="14">
        <f>23.3708 * CHOOSE(CONTROL!$C$15, $E$9, 100%, $G$9) + CHOOSE(CONTROL!$C$38, 0.0347, 0)</f>
        <v>23.4055</v>
      </c>
      <c r="J238" s="44">
        <f>155.311</f>
        <v>155.31100000000001</v>
      </c>
    </row>
    <row r="239" spans="1:10" ht="15" x14ac:dyDescent="0.2">
      <c r="A239" s="13">
        <v>48183</v>
      </c>
      <c r="B239" s="14">
        <f>26.0003 * CHOOSE(CONTROL!$C$15, $E$9, 100%, $G$9) + CHOOSE(CONTROL!$C$38, 0.0256, 0)</f>
        <v>26.0259</v>
      </c>
      <c r="C239" s="14">
        <f>23.9669 * CHOOSE(CONTROL!$C$15, $E$9, 100%, $G$9) + CHOOSE(CONTROL!$C$38, 0.0347, 0)</f>
        <v>24.0016</v>
      </c>
      <c r="D239" s="14">
        <f>23.9591 * CHOOSE(CONTROL!$C$15, $E$9, 100%, $G$9) + CHOOSE(CONTROL!$C$38, 0.0347, 0)</f>
        <v>23.9938</v>
      </c>
      <c r="E239" s="46">
        <f>25.8441 * CHOOSE(CONTROL!$C$15, $E$9, 100%, $G$9) + CHOOSE(CONTROL!$C$38, 0.0347, 0)</f>
        <v>25.878800000000002</v>
      </c>
      <c r="F239" s="45">
        <f>25.8441 * CHOOSE(CONTROL!$C$15, $E$9, 100%, $G$9) + CHOOSE(CONTROL!$C$38, 0.0256, 0)</f>
        <v>25.869700000000002</v>
      </c>
      <c r="G239" s="14">
        <f>23.9653 * CHOOSE(CONTROL!$C$15, $E$9, 100%, $G$9) + CHOOSE(CONTROL!$C$38, 0.0347, 0)</f>
        <v>24</v>
      </c>
      <c r="H239" s="14">
        <f>23.9653 * CHOOSE(CONTROL!$C$15, $E$9, 100%, $G$9) + CHOOSE(CONTROL!$C$38, 0.0347, 0)</f>
        <v>24</v>
      </c>
      <c r="I239" s="14">
        <f>23.9669 * CHOOSE(CONTROL!$C$15, $E$9, 100%, $G$9) + CHOOSE(CONTROL!$C$38, 0.0347, 0)</f>
        <v>24.0016</v>
      </c>
      <c r="J239" s="44">
        <f>150.7021</f>
        <v>150.7021</v>
      </c>
    </row>
    <row r="240" spans="1:10" ht="15" x14ac:dyDescent="0.2">
      <c r="A240" s="13">
        <v>48214</v>
      </c>
      <c r="B240" s="14">
        <f>26.878 * CHOOSE(CONTROL!$C$15, $E$9, 100%, $G$9) + CHOOSE(CONTROL!$C$38, 0.0256, 0)</f>
        <v>26.903600000000001</v>
      </c>
      <c r="C240" s="14">
        <f>24.8138 * CHOOSE(CONTROL!$C$15, $E$9, 100%, $G$9) + CHOOSE(CONTROL!$C$38, 0.0347, 0)</f>
        <v>24.848500000000001</v>
      </c>
      <c r="D240" s="14">
        <f>24.806 * CHOOSE(CONTROL!$C$15, $E$9, 100%, $G$9) + CHOOSE(CONTROL!$C$38, 0.0347, 0)</f>
        <v>24.840700000000002</v>
      </c>
      <c r="E240" s="46">
        <f>26.7217 * CHOOSE(CONTROL!$C$15, $E$9, 100%, $G$9) + CHOOSE(CONTROL!$C$38, 0.0347, 0)</f>
        <v>26.756399999999999</v>
      </c>
      <c r="F240" s="45">
        <f>26.7217 * CHOOSE(CONTROL!$C$15, $E$9, 100%, $G$9) + CHOOSE(CONTROL!$C$38, 0.0256, 0)</f>
        <v>26.747299999999999</v>
      </c>
      <c r="G240" s="14">
        <f>24.8122 * CHOOSE(CONTROL!$C$15, $E$9, 100%, $G$9) + CHOOSE(CONTROL!$C$38, 0.0347, 0)</f>
        <v>24.846900000000002</v>
      </c>
      <c r="H240" s="14">
        <f>24.8122 * CHOOSE(CONTROL!$C$15, $E$9, 100%, $G$9) + CHOOSE(CONTROL!$C$38, 0.0347, 0)</f>
        <v>24.846900000000002</v>
      </c>
      <c r="I240" s="14">
        <f>24.8138 * CHOOSE(CONTROL!$C$15, $E$9, 100%, $G$9) + CHOOSE(CONTROL!$C$38, 0.0347, 0)</f>
        <v>24.848500000000001</v>
      </c>
      <c r="J240" s="44">
        <f>150.4143</f>
        <v>150.4143</v>
      </c>
    </row>
    <row r="241" spans="1:10" ht="15" x14ac:dyDescent="0.2">
      <c r="A241" s="13">
        <v>48245</v>
      </c>
      <c r="B241" s="14">
        <f>27.0987 * CHOOSE(CONTROL!$C$15, $E$9, 100%, $G$9) + CHOOSE(CONTROL!$C$38, 0.0256, 0)</f>
        <v>27.124300000000002</v>
      </c>
      <c r="C241" s="14">
        <f>25.0345 * CHOOSE(CONTROL!$C$15, $E$9, 100%, $G$9) + CHOOSE(CONTROL!$C$38, 0.0347, 0)</f>
        <v>25.069200000000002</v>
      </c>
      <c r="D241" s="14">
        <f>25.0267 * CHOOSE(CONTROL!$C$15, $E$9, 100%, $G$9) + CHOOSE(CONTROL!$C$38, 0.0347, 0)</f>
        <v>25.061400000000003</v>
      </c>
      <c r="E241" s="46">
        <f>26.9425 * CHOOSE(CONTROL!$C$15, $E$9, 100%, $G$9) + CHOOSE(CONTROL!$C$38, 0.0347, 0)</f>
        <v>26.9772</v>
      </c>
      <c r="F241" s="45">
        <f>26.9425 * CHOOSE(CONTROL!$C$15, $E$9, 100%, $G$9) + CHOOSE(CONTROL!$C$38, 0.0256, 0)</f>
        <v>26.9681</v>
      </c>
      <c r="G241" s="14">
        <f>25.033 * CHOOSE(CONTROL!$C$15, $E$9, 100%, $G$9) + CHOOSE(CONTROL!$C$38, 0.0347, 0)</f>
        <v>25.067700000000002</v>
      </c>
      <c r="H241" s="14">
        <f>25.033 * CHOOSE(CONTROL!$C$15, $E$9, 100%, $G$9) + CHOOSE(CONTROL!$C$38, 0.0347, 0)</f>
        <v>25.067700000000002</v>
      </c>
      <c r="I241" s="14">
        <f>25.0345 * CHOOSE(CONTROL!$C$15, $E$9, 100%, $G$9) + CHOOSE(CONTROL!$C$38, 0.0347, 0)</f>
        <v>25.069200000000002</v>
      </c>
      <c r="J241" s="44">
        <f>149.9962</f>
        <v>149.99619999999999</v>
      </c>
    </row>
    <row r="242" spans="1:10" ht="15" x14ac:dyDescent="0.2">
      <c r="A242" s="13">
        <v>48274</v>
      </c>
      <c r="B242" s="14">
        <f>26.5877 * CHOOSE(CONTROL!$C$15, $E$9, 100%, $G$9) + CHOOSE(CONTROL!$C$38, 0.0256, 0)</f>
        <v>26.613300000000002</v>
      </c>
      <c r="C242" s="14">
        <f>24.5235 * CHOOSE(CONTROL!$C$15, $E$9, 100%, $G$9) + CHOOSE(CONTROL!$C$38, 0.0347, 0)</f>
        <v>24.558199999999999</v>
      </c>
      <c r="D242" s="14">
        <f>24.5157 * CHOOSE(CONTROL!$C$15, $E$9, 100%, $G$9) + CHOOSE(CONTROL!$C$38, 0.0347, 0)</f>
        <v>24.5504</v>
      </c>
      <c r="E242" s="46">
        <f>26.4315 * CHOOSE(CONTROL!$C$15, $E$9, 100%, $G$9) + CHOOSE(CONTROL!$C$38, 0.0347, 0)</f>
        <v>26.466200000000001</v>
      </c>
      <c r="F242" s="45">
        <f>26.4315 * CHOOSE(CONTROL!$C$15, $E$9, 100%, $G$9) + CHOOSE(CONTROL!$C$38, 0.0256, 0)</f>
        <v>26.457100000000001</v>
      </c>
      <c r="G242" s="14">
        <f>24.5219 * CHOOSE(CONTROL!$C$15, $E$9, 100%, $G$9) + CHOOSE(CONTROL!$C$38, 0.0347, 0)</f>
        <v>24.5566</v>
      </c>
      <c r="H242" s="14">
        <f>24.5219 * CHOOSE(CONTROL!$C$15, $E$9, 100%, $G$9) + CHOOSE(CONTROL!$C$38, 0.0347, 0)</f>
        <v>24.5566</v>
      </c>
      <c r="I242" s="14">
        <f>24.5235 * CHOOSE(CONTROL!$C$15, $E$9, 100%, $G$9) + CHOOSE(CONTROL!$C$38, 0.0347, 0)</f>
        <v>24.558199999999999</v>
      </c>
      <c r="J242" s="44">
        <f>157.9019</f>
        <v>157.90190000000001</v>
      </c>
    </row>
    <row r="243" spans="1:10" ht="15" x14ac:dyDescent="0.2">
      <c r="A243" s="13">
        <v>48305</v>
      </c>
      <c r="B243" s="14">
        <f>26.0925 * CHOOSE(CONTROL!$C$15, $E$9, 100%, $G$9) + CHOOSE(CONTROL!$C$38, 0.0256, 0)</f>
        <v>26.118100000000002</v>
      </c>
      <c r="C243" s="14">
        <f>24.0283 * CHOOSE(CONTROL!$C$15, $E$9, 100%, $G$9) + CHOOSE(CONTROL!$C$38, 0.0347, 0)</f>
        <v>24.063000000000002</v>
      </c>
      <c r="D243" s="14">
        <f>24.0205 * CHOOSE(CONTROL!$C$15, $E$9, 100%, $G$9) + CHOOSE(CONTROL!$C$38, 0.0347, 0)</f>
        <v>24.055199999999999</v>
      </c>
      <c r="E243" s="46">
        <f>25.9363 * CHOOSE(CONTROL!$C$15, $E$9, 100%, $G$9) + CHOOSE(CONTROL!$C$38, 0.0347, 0)</f>
        <v>25.971</v>
      </c>
      <c r="F243" s="45">
        <f>25.9363 * CHOOSE(CONTROL!$C$15, $E$9, 100%, $G$9) + CHOOSE(CONTROL!$C$38, 0.0256, 0)</f>
        <v>25.9619</v>
      </c>
      <c r="G243" s="14">
        <f>24.0268 * CHOOSE(CONTROL!$C$15, $E$9, 100%, $G$9) + CHOOSE(CONTROL!$C$38, 0.0347, 0)</f>
        <v>24.061500000000002</v>
      </c>
      <c r="H243" s="14">
        <f>24.0268 * CHOOSE(CONTROL!$C$15, $E$9, 100%, $G$9) + CHOOSE(CONTROL!$C$38, 0.0347, 0)</f>
        <v>24.061500000000002</v>
      </c>
      <c r="I243" s="14">
        <f>24.0283 * CHOOSE(CONTROL!$C$15, $E$9, 100%, $G$9) + CHOOSE(CONTROL!$C$38, 0.0347, 0)</f>
        <v>24.063000000000002</v>
      </c>
      <c r="J243" s="44">
        <f>168.1536</f>
        <v>168.15360000000001</v>
      </c>
    </row>
    <row r="244" spans="1:10" ht="15" x14ac:dyDescent="0.2">
      <c r="A244" s="13">
        <v>48335</v>
      </c>
      <c r="B244" s="14">
        <f>25.5764 * CHOOSE(CONTROL!$C$15, $E$9, 100%, $G$9) + CHOOSE(CONTROL!$C$38, 0.0278, 0)</f>
        <v>25.604199999999999</v>
      </c>
      <c r="C244" s="14">
        <f>23.5122 * CHOOSE(CONTROL!$C$15, $E$9, 100%, $G$9) + CHOOSE(CONTROL!$C$38, 0.0369, 0)</f>
        <v>23.549099999999999</v>
      </c>
      <c r="D244" s="14">
        <f>23.5044 * CHOOSE(CONTROL!$C$15, $E$9, 100%, $G$9) + CHOOSE(CONTROL!$C$38, 0.0369, 0)</f>
        <v>23.5413</v>
      </c>
      <c r="E244" s="46">
        <f>25.4202 * CHOOSE(CONTROL!$C$15, $E$9, 100%, $G$9) + CHOOSE(CONTROL!$C$38, 0.0369, 0)</f>
        <v>25.457100000000001</v>
      </c>
      <c r="F244" s="45">
        <f>25.4202 * CHOOSE(CONTROL!$C$15, $E$9, 100%, $G$9) + CHOOSE(CONTROL!$C$38, 0.0278, 0)</f>
        <v>25.448</v>
      </c>
      <c r="G244" s="14">
        <f>23.5106 * CHOOSE(CONTROL!$C$15, $E$9, 100%, $G$9) + CHOOSE(CONTROL!$C$38, 0.0369, 0)</f>
        <v>23.547499999999999</v>
      </c>
      <c r="H244" s="14">
        <f>23.5106 * CHOOSE(CONTROL!$C$15, $E$9, 100%, $G$9) + CHOOSE(CONTROL!$C$38, 0.0369, 0)</f>
        <v>23.547499999999999</v>
      </c>
      <c r="I244" s="14">
        <f>23.5122 * CHOOSE(CONTROL!$C$15, $E$9, 100%, $G$9) + CHOOSE(CONTROL!$C$38, 0.0369, 0)</f>
        <v>23.549099999999999</v>
      </c>
      <c r="J244" s="44">
        <f>173.7965</f>
        <v>173.79650000000001</v>
      </c>
    </row>
    <row r="245" spans="1:10" ht="15" x14ac:dyDescent="0.2">
      <c r="A245" s="13">
        <v>48366</v>
      </c>
      <c r="B245" s="14">
        <f>25.2146 * CHOOSE(CONTROL!$C$15, $E$9, 100%, $G$9) + CHOOSE(CONTROL!$C$38, 0.0278, 0)</f>
        <v>25.2424</v>
      </c>
      <c r="C245" s="14">
        <f>23.1504 * CHOOSE(CONTROL!$C$15, $E$9, 100%, $G$9) + CHOOSE(CONTROL!$C$38, 0.0369, 0)</f>
        <v>23.1873</v>
      </c>
      <c r="D245" s="14">
        <f>23.1426 * CHOOSE(CONTROL!$C$15, $E$9, 100%, $G$9) + CHOOSE(CONTROL!$C$38, 0.0369, 0)</f>
        <v>23.179500000000001</v>
      </c>
      <c r="E245" s="46">
        <f>25.0583 * CHOOSE(CONTROL!$C$15, $E$9, 100%, $G$9) + CHOOSE(CONTROL!$C$38, 0.0369, 0)</f>
        <v>25.095199999999998</v>
      </c>
      <c r="F245" s="45">
        <f>25.0583 * CHOOSE(CONTROL!$C$15, $E$9, 100%, $G$9) + CHOOSE(CONTROL!$C$38, 0.0278, 0)</f>
        <v>25.086099999999998</v>
      </c>
      <c r="G245" s="14">
        <f>23.1488 * CHOOSE(CONTROL!$C$15, $E$9, 100%, $G$9) + CHOOSE(CONTROL!$C$38, 0.0369, 0)</f>
        <v>23.185700000000001</v>
      </c>
      <c r="H245" s="14">
        <f>23.1488 * CHOOSE(CONTROL!$C$15, $E$9, 100%, $G$9) + CHOOSE(CONTROL!$C$38, 0.0369, 0)</f>
        <v>23.185700000000001</v>
      </c>
      <c r="I245" s="14">
        <f>23.1504 * CHOOSE(CONTROL!$C$15, $E$9, 100%, $G$9) + CHOOSE(CONTROL!$C$38, 0.0369, 0)</f>
        <v>23.1873</v>
      </c>
      <c r="J245" s="44">
        <f>176.3008</f>
        <v>176.30080000000001</v>
      </c>
    </row>
    <row r="246" spans="1:10" ht="15" x14ac:dyDescent="0.2">
      <c r="A246" s="13">
        <v>48396</v>
      </c>
      <c r="B246" s="14">
        <f>25.0081 * CHOOSE(CONTROL!$C$15, $E$9, 100%, $G$9) + CHOOSE(CONTROL!$C$38, 0.0278, 0)</f>
        <v>25.035899999999998</v>
      </c>
      <c r="C246" s="14">
        <f>22.9439 * CHOOSE(CONTROL!$C$15, $E$9, 100%, $G$9) + CHOOSE(CONTROL!$C$38, 0.0369, 0)</f>
        <v>22.980799999999999</v>
      </c>
      <c r="D246" s="14">
        <f>22.9361 * CHOOSE(CONTROL!$C$15, $E$9, 100%, $G$9) + CHOOSE(CONTROL!$C$38, 0.0369, 0)</f>
        <v>22.972999999999999</v>
      </c>
      <c r="E246" s="46">
        <f>24.8518 * CHOOSE(CONTROL!$C$15, $E$9, 100%, $G$9) + CHOOSE(CONTROL!$C$38, 0.0369, 0)</f>
        <v>24.8887</v>
      </c>
      <c r="F246" s="45">
        <f>24.8518 * CHOOSE(CONTROL!$C$15, $E$9, 100%, $G$9) + CHOOSE(CONTROL!$C$38, 0.0278, 0)</f>
        <v>24.8796</v>
      </c>
      <c r="G246" s="14">
        <f>22.9423 * CHOOSE(CONTROL!$C$15, $E$9, 100%, $G$9) + CHOOSE(CONTROL!$C$38, 0.0369, 0)</f>
        <v>22.979199999999999</v>
      </c>
      <c r="H246" s="14">
        <f>22.9423 * CHOOSE(CONTROL!$C$15, $E$9, 100%, $G$9) + CHOOSE(CONTROL!$C$38, 0.0369, 0)</f>
        <v>22.979199999999999</v>
      </c>
      <c r="I246" s="14">
        <f>22.9439 * CHOOSE(CONTROL!$C$15, $E$9, 100%, $G$9) + CHOOSE(CONTROL!$C$38, 0.0369, 0)</f>
        <v>22.980799999999999</v>
      </c>
      <c r="J246" s="44">
        <f>175.4762</f>
        <v>175.47620000000001</v>
      </c>
    </row>
    <row r="247" spans="1:10" ht="15" x14ac:dyDescent="0.2">
      <c r="A247" s="13">
        <v>48427</v>
      </c>
      <c r="B247" s="14">
        <f>25.11 * CHOOSE(CONTROL!$C$15, $E$9, 100%, $G$9) + CHOOSE(CONTROL!$C$38, 0.0278, 0)</f>
        <v>25.137799999999999</v>
      </c>
      <c r="C247" s="14">
        <f>23.0458 * CHOOSE(CONTROL!$C$15, $E$9, 100%, $G$9) + CHOOSE(CONTROL!$C$38, 0.0369, 0)</f>
        <v>23.082699999999999</v>
      </c>
      <c r="D247" s="14">
        <f>23.038 * CHOOSE(CONTROL!$C$15, $E$9, 100%, $G$9) + CHOOSE(CONTROL!$C$38, 0.0369, 0)</f>
        <v>23.0749</v>
      </c>
      <c r="E247" s="46">
        <f>24.9538 * CHOOSE(CONTROL!$C$15, $E$9, 100%, $G$9) + CHOOSE(CONTROL!$C$38, 0.0369, 0)</f>
        <v>24.9907</v>
      </c>
      <c r="F247" s="45">
        <f>24.9538 * CHOOSE(CONTROL!$C$15, $E$9, 100%, $G$9) + CHOOSE(CONTROL!$C$38, 0.0278, 0)</f>
        <v>24.9816</v>
      </c>
      <c r="G247" s="14">
        <f>23.0442 * CHOOSE(CONTROL!$C$15, $E$9, 100%, $G$9) + CHOOSE(CONTROL!$C$38, 0.0369, 0)</f>
        <v>23.081099999999999</v>
      </c>
      <c r="H247" s="14">
        <f>23.0442 * CHOOSE(CONTROL!$C$15, $E$9, 100%, $G$9) + CHOOSE(CONTROL!$C$38, 0.0369, 0)</f>
        <v>23.081099999999999</v>
      </c>
      <c r="I247" s="14">
        <f>23.0458 * CHOOSE(CONTROL!$C$15, $E$9, 100%, $G$9) + CHOOSE(CONTROL!$C$38, 0.0369, 0)</f>
        <v>23.082699999999999</v>
      </c>
      <c r="J247" s="44">
        <f>171.3912</f>
        <v>171.3912</v>
      </c>
    </row>
    <row r="248" spans="1:10" ht="15" x14ac:dyDescent="0.2">
      <c r="A248" s="13">
        <v>48458</v>
      </c>
      <c r="B248" s="14">
        <f>25.3868 * CHOOSE(CONTROL!$C$15, $E$9, 100%, $G$9) + CHOOSE(CONTROL!$C$38, 0.0278, 0)</f>
        <v>25.4146</v>
      </c>
      <c r="C248" s="14">
        <f>23.3226 * CHOOSE(CONTROL!$C$15, $E$9, 100%, $G$9) + CHOOSE(CONTROL!$C$38, 0.0369, 0)</f>
        <v>23.359500000000001</v>
      </c>
      <c r="D248" s="14">
        <f>23.3148 * CHOOSE(CONTROL!$C$15, $E$9, 100%, $G$9) + CHOOSE(CONTROL!$C$38, 0.0369, 0)</f>
        <v>23.351700000000001</v>
      </c>
      <c r="E248" s="46">
        <f>25.2306 * CHOOSE(CONTROL!$C$15, $E$9, 100%, $G$9) + CHOOSE(CONTROL!$C$38, 0.0369, 0)</f>
        <v>25.267499999999998</v>
      </c>
      <c r="F248" s="45">
        <f>25.2306 * CHOOSE(CONTROL!$C$15, $E$9, 100%, $G$9) + CHOOSE(CONTROL!$C$38, 0.0278, 0)</f>
        <v>25.258399999999998</v>
      </c>
      <c r="G248" s="14">
        <f>23.321 * CHOOSE(CONTROL!$C$15, $E$9, 100%, $G$9) + CHOOSE(CONTROL!$C$38, 0.0369, 0)</f>
        <v>23.357900000000001</v>
      </c>
      <c r="H248" s="14">
        <f>23.321 * CHOOSE(CONTROL!$C$15, $E$9, 100%, $G$9) + CHOOSE(CONTROL!$C$38, 0.0369, 0)</f>
        <v>23.357900000000001</v>
      </c>
      <c r="I248" s="14">
        <f>23.3226 * CHOOSE(CONTROL!$C$15, $E$9, 100%, $G$9) + CHOOSE(CONTROL!$C$38, 0.0369, 0)</f>
        <v>23.359500000000001</v>
      </c>
      <c r="J248" s="44">
        <f>165.6945</f>
        <v>165.69450000000001</v>
      </c>
    </row>
    <row r="249" spans="1:10" ht="15" x14ac:dyDescent="0.2">
      <c r="A249" s="13">
        <v>48488</v>
      </c>
      <c r="B249" s="14">
        <f>25.6186 * CHOOSE(CONTROL!$C$15, $E$9, 100%, $G$9) + CHOOSE(CONTROL!$C$38, 0.0256, 0)</f>
        <v>25.644200000000001</v>
      </c>
      <c r="C249" s="14">
        <f>23.5544 * CHOOSE(CONTROL!$C$15, $E$9, 100%, $G$9) + CHOOSE(CONTROL!$C$38, 0.0347, 0)</f>
        <v>23.589100000000002</v>
      </c>
      <c r="D249" s="14">
        <f>23.5466 * CHOOSE(CONTROL!$C$15, $E$9, 100%, $G$9) + CHOOSE(CONTROL!$C$38, 0.0347, 0)</f>
        <v>23.581300000000002</v>
      </c>
      <c r="E249" s="46">
        <f>25.4624 * CHOOSE(CONTROL!$C$15, $E$9, 100%, $G$9) + CHOOSE(CONTROL!$C$38, 0.0347, 0)</f>
        <v>25.4971</v>
      </c>
      <c r="F249" s="45">
        <f>25.4624 * CHOOSE(CONTROL!$C$15, $E$9, 100%, $G$9) + CHOOSE(CONTROL!$C$38, 0.0256, 0)</f>
        <v>25.488</v>
      </c>
      <c r="G249" s="14">
        <f>23.5529 * CHOOSE(CONTROL!$C$15, $E$9, 100%, $G$9) + CHOOSE(CONTROL!$C$38, 0.0347, 0)</f>
        <v>23.587600000000002</v>
      </c>
      <c r="H249" s="14">
        <f>23.5529 * CHOOSE(CONTROL!$C$15, $E$9, 100%, $G$9) + CHOOSE(CONTROL!$C$38, 0.0347, 0)</f>
        <v>23.587600000000002</v>
      </c>
      <c r="I249" s="14">
        <f>23.5544 * CHOOSE(CONTROL!$C$15, $E$9, 100%, $G$9) + CHOOSE(CONTROL!$C$38, 0.0347, 0)</f>
        <v>23.589100000000002</v>
      </c>
      <c r="J249" s="44">
        <f>159.9646</f>
        <v>159.96459999999999</v>
      </c>
    </row>
    <row r="250" spans="1:10" ht="15" x14ac:dyDescent="0.2">
      <c r="A250" s="13">
        <v>48519</v>
      </c>
      <c r="B250" s="14">
        <f>25.8121 * CHOOSE(CONTROL!$C$15, $E$9, 100%, $G$9) + CHOOSE(CONTROL!$C$38, 0.0256, 0)</f>
        <v>25.837700000000002</v>
      </c>
      <c r="C250" s="14">
        <f>23.7479 * CHOOSE(CONTROL!$C$15, $E$9, 100%, $G$9) + CHOOSE(CONTROL!$C$38, 0.0347, 0)</f>
        <v>23.782600000000002</v>
      </c>
      <c r="D250" s="14">
        <f>23.74 * CHOOSE(CONTROL!$C$15, $E$9, 100%, $G$9) + CHOOSE(CONTROL!$C$38, 0.0347, 0)</f>
        <v>23.774699999999999</v>
      </c>
      <c r="E250" s="46">
        <f>25.6558 * CHOOSE(CONTROL!$C$15, $E$9, 100%, $G$9) + CHOOSE(CONTROL!$C$38, 0.0347, 0)</f>
        <v>25.6905</v>
      </c>
      <c r="F250" s="45">
        <f>25.6558 * CHOOSE(CONTROL!$C$15, $E$9, 100%, $G$9) + CHOOSE(CONTROL!$C$38, 0.0256, 0)</f>
        <v>25.6814</v>
      </c>
      <c r="G250" s="14">
        <f>23.7463 * CHOOSE(CONTROL!$C$15, $E$9, 100%, $G$9) + CHOOSE(CONTROL!$C$38, 0.0347, 0)</f>
        <v>23.781000000000002</v>
      </c>
      <c r="H250" s="14">
        <f>23.7463 * CHOOSE(CONTROL!$C$15, $E$9, 100%, $G$9) + CHOOSE(CONTROL!$C$38, 0.0347, 0)</f>
        <v>23.781000000000002</v>
      </c>
      <c r="I250" s="14">
        <f>23.7479 * CHOOSE(CONTROL!$C$15, $E$9, 100%, $G$9) + CHOOSE(CONTROL!$C$38, 0.0347, 0)</f>
        <v>23.782600000000002</v>
      </c>
      <c r="J250" s="44">
        <f>158.8248</f>
        <v>158.82480000000001</v>
      </c>
    </row>
    <row r="251" spans="1:10" ht="15" x14ac:dyDescent="0.2">
      <c r="A251" s="13">
        <v>48549</v>
      </c>
      <c r="B251" s="14">
        <f>26.4081 * CHOOSE(CONTROL!$C$15, $E$9, 100%, $G$9) + CHOOSE(CONTROL!$C$38, 0.0256, 0)</f>
        <v>26.433700000000002</v>
      </c>
      <c r="C251" s="14">
        <f>24.3439 * CHOOSE(CONTROL!$C$15, $E$9, 100%, $G$9) + CHOOSE(CONTROL!$C$38, 0.0347, 0)</f>
        <v>24.378600000000002</v>
      </c>
      <c r="D251" s="14">
        <f>24.3361 * CHOOSE(CONTROL!$C$15, $E$9, 100%, $G$9) + CHOOSE(CONTROL!$C$38, 0.0347, 0)</f>
        <v>24.370799999999999</v>
      </c>
      <c r="E251" s="46">
        <f>26.2519 * CHOOSE(CONTROL!$C$15, $E$9, 100%, $G$9) + CHOOSE(CONTROL!$C$38, 0.0347, 0)</f>
        <v>26.2866</v>
      </c>
      <c r="F251" s="45">
        <f>26.2519 * CHOOSE(CONTROL!$C$15, $E$9, 100%, $G$9) + CHOOSE(CONTROL!$C$38, 0.0256, 0)</f>
        <v>26.2775</v>
      </c>
      <c r="G251" s="14">
        <f>24.3424 * CHOOSE(CONTROL!$C$15, $E$9, 100%, $G$9) + CHOOSE(CONTROL!$C$38, 0.0347, 0)</f>
        <v>24.377100000000002</v>
      </c>
      <c r="H251" s="14">
        <f>24.3424 * CHOOSE(CONTROL!$C$15, $E$9, 100%, $G$9) + CHOOSE(CONTROL!$C$38, 0.0347, 0)</f>
        <v>24.377100000000002</v>
      </c>
      <c r="I251" s="14">
        <f>24.3439 * CHOOSE(CONTROL!$C$15, $E$9, 100%, $G$9) + CHOOSE(CONTROL!$C$38, 0.0347, 0)</f>
        <v>24.378600000000002</v>
      </c>
      <c r="J251" s="44">
        <f>154.1117</f>
        <v>154.11170000000001</v>
      </c>
    </row>
    <row r="252" spans="1:10" ht="15" x14ac:dyDescent="0.2">
      <c r="A252" s="13">
        <v>48580</v>
      </c>
      <c r="B252" s="14">
        <f>27.2925 * CHOOSE(CONTROL!$C$15, $E$9, 100%, $G$9) + CHOOSE(CONTROL!$C$38, 0.0256, 0)</f>
        <v>27.318100000000001</v>
      </c>
      <c r="C252" s="14">
        <f>25.197 * CHOOSE(CONTROL!$C$15, $E$9, 100%, $G$9) + CHOOSE(CONTROL!$C$38, 0.0347, 0)</f>
        <v>25.2317</v>
      </c>
      <c r="D252" s="14">
        <f>25.1892 * CHOOSE(CONTROL!$C$15, $E$9, 100%, $G$9) + CHOOSE(CONTROL!$C$38, 0.0347, 0)</f>
        <v>25.2239</v>
      </c>
      <c r="E252" s="46">
        <f>27.1362 * CHOOSE(CONTROL!$C$15, $E$9, 100%, $G$9) + CHOOSE(CONTROL!$C$38, 0.0347, 0)</f>
        <v>27.1709</v>
      </c>
      <c r="F252" s="45">
        <f>27.1362 * CHOOSE(CONTROL!$C$15, $E$9, 100%, $G$9) + CHOOSE(CONTROL!$C$38, 0.0256, 0)</f>
        <v>27.161799999999999</v>
      </c>
      <c r="G252" s="14">
        <f>25.1954 * CHOOSE(CONTROL!$C$15, $E$9, 100%, $G$9) + CHOOSE(CONTROL!$C$38, 0.0347, 0)</f>
        <v>25.2301</v>
      </c>
      <c r="H252" s="14">
        <f>25.1954 * CHOOSE(CONTROL!$C$15, $E$9, 100%, $G$9) + CHOOSE(CONTROL!$C$38, 0.0347, 0)</f>
        <v>25.2301</v>
      </c>
      <c r="I252" s="14">
        <f>25.197 * CHOOSE(CONTROL!$C$15, $E$9, 100%, $G$9) + CHOOSE(CONTROL!$C$38, 0.0347, 0)</f>
        <v>25.2317</v>
      </c>
      <c r="J252" s="44">
        <f>153.8174</f>
        <v>153.81739999999999</v>
      </c>
    </row>
    <row r="253" spans="1:10" ht="15" x14ac:dyDescent="0.2">
      <c r="A253" s="13">
        <v>48611</v>
      </c>
      <c r="B253" s="14">
        <f>27.5133 * CHOOSE(CONTROL!$C$15, $E$9, 100%, $G$9) + CHOOSE(CONTROL!$C$38, 0.0256, 0)</f>
        <v>27.538900000000002</v>
      </c>
      <c r="C253" s="14">
        <f>25.4178 * CHOOSE(CONTROL!$C$15, $E$9, 100%, $G$9) + CHOOSE(CONTROL!$C$38, 0.0347, 0)</f>
        <v>25.452500000000001</v>
      </c>
      <c r="D253" s="14">
        <f>25.4099 * CHOOSE(CONTROL!$C$15, $E$9, 100%, $G$9) + CHOOSE(CONTROL!$C$38, 0.0347, 0)</f>
        <v>25.444600000000001</v>
      </c>
      <c r="E253" s="46">
        <f>27.357 * CHOOSE(CONTROL!$C$15, $E$9, 100%, $G$9) + CHOOSE(CONTROL!$C$38, 0.0347, 0)</f>
        <v>27.3917</v>
      </c>
      <c r="F253" s="45">
        <f>27.357 * CHOOSE(CONTROL!$C$15, $E$9, 100%, $G$9) + CHOOSE(CONTROL!$C$38, 0.0256, 0)</f>
        <v>27.3826</v>
      </c>
      <c r="G253" s="14">
        <f>25.4162 * CHOOSE(CONTROL!$C$15, $E$9, 100%, $G$9) + CHOOSE(CONTROL!$C$38, 0.0347, 0)</f>
        <v>25.450900000000001</v>
      </c>
      <c r="H253" s="14">
        <f>25.4162 * CHOOSE(CONTROL!$C$15, $E$9, 100%, $G$9) + CHOOSE(CONTROL!$C$38, 0.0347, 0)</f>
        <v>25.450900000000001</v>
      </c>
      <c r="I253" s="14">
        <f>25.4178 * CHOOSE(CONTROL!$C$15, $E$9, 100%, $G$9) + CHOOSE(CONTROL!$C$38, 0.0347, 0)</f>
        <v>25.452500000000001</v>
      </c>
      <c r="J253" s="44">
        <f>153.3898</f>
        <v>153.38980000000001</v>
      </c>
    </row>
    <row r="254" spans="1:10" ht="15" x14ac:dyDescent="0.2">
      <c r="A254" s="13">
        <v>48639</v>
      </c>
      <c r="B254" s="14">
        <f>27.0022 * CHOOSE(CONTROL!$C$15, $E$9, 100%, $G$9) + CHOOSE(CONTROL!$C$38, 0.0256, 0)</f>
        <v>27.027799999999999</v>
      </c>
      <c r="C254" s="14">
        <f>24.9067 * CHOOSE(CONTROL!$C$15, $E$9, 100%, $G$9) + CHOOSE(CONTROL!$C$38, 0.0347, 0)</f>
        <v>24.941400000000002</v>
      </c>
      <c r="D254" s="14">
        <f>24.8989 * CHOOSE(CONTROL!$C$15, $E$9, 100%, $G$9) + CHOOSE(CONTROL!$C$38, 0.0347, 0)</f>
        <v>24.933600000000002</v>
      </c>
      <c r="E254" s="46">
        <f>26.846 * CHOOSE(CONTROL!$C$15, $E$9, 100%, $G$9) + CHOOSE(CONTROL!$C$38, 0.0347, 0)</f>
        <v>26.880700000000001</v>
      </c>
      <c r="F254" s="45">
        <f>26.846 * CHOOSE(CONTROL!$C$15, $E$9, 100%, $G$9) + CHOOSE(CONTROL!$C$38, 0.0256, 0)</f>
        <v>26.871600000000001</v>
      </c>
      <c r="G254" s="14">
        <f>24.9052 * CHOOSE(CONTROL!$C$15, $E$9, 100%, $G$9) + CHOOSE(CONTROL!$C$38, 0.0347, 0)</f>
        <v>24.939900000000002</v>
      </c>
      <c r="H254" s="14">
        <f>24.9052 * CHOOSE(CONTROL!$C$15, $E$9, 100%, $G$9) + CHOOSE(CONTROL!$C$38, 0.0347, 0)</f>
        <v>24.939900000000002</v>
      </c>
      <c r="I254" s="14">
        <f>24.9067 * CHOOSE(CONTROL!$C$15, $E$9, 100%, $G$9) + CHOOSE(CONTROL!$C$38, 0.0347, 0)</f>
        <v>24.941400000000002</v>
      </c>
      <c r="J254" s="44">
        <f>161.4743</f>
        <v>161.4743</v>
      </c>
    </row>
    <row r="255" spans="1:10" ht="15" x14ac:dyDescent="0.2">
      <c r="A255" s="13">
        <v>48670</v>
      </c>
      <c r="B255" s="14">
        <f>26.507 * CHOOSE(CONTROL!$C$15, $E$9, 100%, $G$9) + CHOOSE(CONTROL!$C$38, 0.0256, 0)</f>
        <v>26.532600000000002</v>
      </c>
      <c r="C255" s="14">
        <f>24.4115 * CHOOSE(CONTROL!$C$15, $E$9, 100%, $G$9) + CHOOSE(CONTROL!$C$38, 0.0347, 0)</f>
        <v>24.446200000000001</v>
      </c>
      <c r="D255" s="14">
        <f>24.4037 * CHOOSE(CONTROL!$C$15, $E$9, 100%, $G$9) + CHOOSE(CONTROL!$C$38, 0.0347, 0)</f>
        <v>24.438400000000001</v>
      </c>
      <c r="E255" s="46">
        <f>26.3508 * CHOOSE(CONTROL!$C$15, $E$9, 100%, $G$9) + CHOOSE(CONTROL!$C$38, 0.0347, 0)</f>
        <v>26.3855</v>
      </c>
      <c r="F255" s="45">
        <f>26.3508 * CHOOSE(CONTROL!$C$15, $E$9, 100%, $G$9) + CHOOSE(CONTROL!$C$38, 0.0256, 0)</f>
        <v>26.3764</v>
      </c>
      <c r="G255" s="14">
        <f>24.41 * CHOOSE(CONTROL!$C$15, $E$9, 100%, $G$9) + CHOOSE(CONTROL!$C$38, 0.0347, 0)</f>
        <v>24.444700000000001</v>
      </c>
      <c r="H255" s="14">
        <f>24.41 * CHOOSE(CONTROL!$C$15, $E$9, 100%, $G$9) + CHOOSE(CONTROL!$C$38, 0.0347, 0)</f>
        <v>24.444700000000001</v>
      </c>
      <c r="I255" s="14">
        <f>24.4115 * CHOOSE(CONTROL!$C$15, $E$9, 100%, $G$9) + CHOOSE(CONTROL!$C$38, 0.0347, 0)</f>
        <v>24.446200000000001</v>
      </c>
      <c r="J255" s="44">
        <f>171.958</f>
        <v>171.958</v>
      </c>
    </row>
    <row r="256" spans="1:10" ht="15" x14ac:dyDescent="0.2">
      <c r="A256" s="13">
        <v>48700</v>
      </c>
      <c r="B256" s="14">
        <f>25.9909 * CHOOSE(CONTROL!$C$15, $E$9, 100%, $G$9) + CHOOSE(CONTROL!$C$38, 0.0278, 0)</f>
        <v>26.018699999999999</v>
      </c>
      <c r="C256" s="14">
        <f>23.8954 * CHOOSE(CONTROL!$C$15, $E$9, 100%, $G$9) + CHOOSE(CONTROL!$C$38, 0.0369, 0)</f>
        <v>23.932299999999998</v>
      </c>
      <c r="D256" s="14">
        <f>23.8876 * CHOOSE(CONTROL!$C$15, $E$9, 100%, $G$9) + CHOOSE(CONTROL!$C$38, 0.0369, 0)</f>
        <v>23.924499999999998</v>
      </c>
      <c r="E256" s="46">
        <f>25.8347 * CHOOSE(CONTROL!$C$15, $E$9, 100%, $G$9) + CHOOSE(CONTROL!$C$38, 0.0369, 0)</f>
        <v>25.871600000000001</v>
      </c>
      <c r="F256" s="45">
        <f>25.8347 * CHOOSE(CONTROL!$C$15, $E$9, 100%, $G$9) + CHOOSE(CONTROL!$C$38, 0.0278, 0)</f>
        <v>25.862500000000001</v>
      </c>
      <c r="G256" s="14">
        <f>23.8939 * CHOOSE(CONTROL!$C$15, $E$9, 100%, $G$9) + CHOOSE(CONTROL!$C$38, 0.0369, 0)</f>
        <v>23.930799999999998</v>
      </c>
      <c r="H256" s="14">
        <f>23.8939 * CHOOSE(CONTROL!$C$15, $E$9, 100%, $G$9) + CHOOSE(CONTROL!$C$38, 0.0369, 0)</f>
        <v>23.930799999999998</v>
      </c>
      <c r="I256" s="14">
        <f>23.8954 * CHOOSE(CONTROL!$C$15, $E$9, 100%, $G$9) + CHOOSE(CONTROL!$C$38, 0.0369, 0)</f>
        <v>23.932299999999998</v>
      </c>
      <c r="J256" s="44">
        <f>177.7286</f>
        <v>177.7286</v>
      </c>
    </row>
    <row r="257" spans="1:10" ht="15" x14ac:dyDescent="0.2">
      <c r="A257" s="13">
        <v>48731</v>
      </c>
      <c r="B257" s="14">
        <f>25.6291 * CHOOSE(CONTROL!$C$15, $E$9, 100%, $G$9) + CHOOSE(CONTROL!$C$38, 0.0278, 0)</f>
        <v>25.6569</v>
      </c>
      <c r="C257" s="14">
        <f>23.5336 * CHOOSE(CONTROL!$C$15, $E$9, 100%, $G$9) + CHOOSE(CONTROL!$C$38, 0.0369, 0)</f>
        <v>23.570499999999999</v>
      </c>
      <c r="D257" s="14">
        <f>23.5258 * CHOOSE(CONTROL!$C$15, $E$9, 100%, $G$9) + CHOOSE(CONTROL!$C$38, 0.0369, 0)</f>
        <v>23.5627</v>
      </c>
      <c r="E257" s="46">
        <f>25.4728 * CHOOSE(CONTROL!$C$15, $E$9, 100%, $G$9) + CHOOSE(CONTROL!$C$38, 0.0369, 0)</f>
        <v>25.509699999999999</v>
      </c>
      <c r="F257" s="45">
        <f>25.4728 * CHOOSE(CONTROL!$C$15, $E$9, 100%, $G$9) + CHOOSE(CONTROL!$C$38, 0.0278, 0)</f>
        <v>25.500599999999999</v>
      </c>
      <c r="G257" s="14">
        <f>23.532 * CHOOSE(CONTROL!$C$15, $E$9, 100%, $G$9) + CHOOSE(CONTROL!$C$38, 0.0369, 0)</f>
        <v>23.568899999999999</v>
      </c>
      <c r="H257" s="14">
        <f>23.532 * CHOOSE(CONTROL!$C$15, $E$9, 100%, $G$9) + CHOOSE(CONTROL!$C$38, 0.0369, 0)</f>
        <v>23.568899999999999</v>
      </c>
      <c r="I257" s="14">
        <f>23.5336 * CHOOSE(CONTROL!$C$15, $E$9, 100%, $G$9) + CHOOSE(CONTROL!$C$38, 0.0369, 0)</f>
        <v>23.570499999999999</v>
      </c>
      <c r="J257" s="44">
        <f>180.2895</f>
        <v>180.2895</v>
      </c>
    </row>
    <row r="258" spans="1:10" ht="15" x14ac:dyDescent="0.2">
      <c r="A258" s="13">
        <v>48761</v>
      </c>
      <c r="B258" s="14">
        <f>25.4226 * CHOOSE(CONTROL!$C$15, $E$9, 100%, $G$9) + CHOOSE(CONTROL!$C$38, 0.0278, 0)</f>
        <v>25.450399999999998</v>
      </c>
      <c r="C258" s="14">
        <f>23.3271 * CHOOSE(CONTROL!$C$15, $E$9, 100%, $G$9) + CHOOSE(CONTROL!$C$38, 0.0369, 0)</f>
        <v>23.364000000000001</v>
      </c>
      <c r="D258" s="14">
        <f>23.3193 * CHOOSE(CONTROL!$C$15, $E$9, 100%, $G$9) + CHOOSE(CONTROL!$C$38, 0.0369, 0)</f>
        <v>23.356199999999998</v>
      </c>
      <c r="E258" s="46">
        <f>25.2664 * CHOOSE(CONTROL!$C$15, $E$9, 100%, $G$9) + CHOOSE(CONTROL!$C$38, 0.0369, 0)</f>
        <v>25.3033</v>
      </c>
      <c r="F258" s="45">
        <f>25.2664 * CHOOSE(CONTROL!$C$15, $E$9, 100%, $G$9) + CHOOSE(CONTROL!$C$38, 0.0278, 0)</f>
        <v>25.2942</v>
      </c>
      <c r="G258" s="14">
        <f>23.3255 * CHOOSE(CONTROL!$C$15, $E$9, 100%, $G$9) + CHOOSE(CONTROL!$C$38, 0.0369, 0)</f>
        <v>23.362400000000001</v>
      </c>
      <c r="H258" s="14">
        <f>23.3255 * CHOOSE(CONTROL!$C$15, $E$9, 100%, $G$9) + CHOOSE(CONTROL!$C$38, 0.0369, 0)</f>
        <v>23.362400000000001</v>
      </c>
      <c r="I258" s="14">
        <f>23.3271 * CHOOSE(CONTROL!$C$15, $E$9, 100%, $G$9) + CHOOSE(CONTROL!$C$38, 0.0369, 0)</f>
        <v>23.364000000000001</v>
      </c>
      <c r="J258" s="44">
        <f>179.4463</f>
        <v>179.44630000000001</v>
      </c>
    </row>
    <row r="259" spans="1:10" ht="15" x14ac:dyDescent="0.2">
      <c r="A259" s="13">
        <v>48792</v>
      </c>
      <c r="B259" s="14">
        <f>25.5245 * CHOOSE(CONTROL!$C$15, $E$9, 100%, $G$9) + CHOOSE(CONTROL!$C$38, 0.0278, 0)</f>
        <v>25.552299999999999</v>
      </c>
      <c r="C259" s="14">
        <f>23.429 * CHOOSE(CONTROL!$C$15, $E$9, 100%, $G$9) + CHOOSE(CONTROL!$C$38, 0.0369, 0)</f>
        <v>23.465899999999998</v>
      </c>
      <c r="D259" s="14">
        <f>23.4212 * CHOOSE(CONTROL!$C$15, $E$9, 100%, $G$9) + CHOOSE(CONTROL!$C$38, 0.0369, 0)</f>
        <v>23.458099999999998</v>
      </c>
      <c r="E259" s="46">
        <f>25.3683 * CHOOSE(CONTROL!$C$15, $E$9, 100%, $G$9) + CHOOSE(CONTROL!$C$38, 0.0369, 0)</f>
        <v>25.405200000000001</v>
      </c>
      <c r="F259" s="45">
        <f>25.3683 * CHOOSE(CONTROL!$C$15, $E$9, 100%, $G$9) + CHOOSE(CONTROL!$C$38, 0.0278, 0)</f>
        <v>25.396100000000001</v>
      </c>
      <c r="G259" s="14">
        <f>23.4275 * CHOOSE(CONTROL!$C$15, $E$9, 100%, $G$9) + CHOOSE(CONTROL!$C$38, 0.0369, 0)</f>
        <v>23.464399999999998</v>
      </c>
      <c r="H259" s="14">
        <f>23.4275 * CHOOSE(CONTROL!$C$15, $E$9, 100%, $G$9) + CHOOSE(CONTROL!$C$38, 0.0369, 0)</f>
        <v>23.464399999999998</v>
      </c>
      <c r="I259" s="14">
        <f>23.429 * CHOOSE(CONTROL!$C$15, $E$9, 100%, $G$9) + CHOOSE(CONTROL!$C$38, 0.0369, 0)</f>
        <v>23.465899999999998</v>
      </c>
      <c r="J259" s="44">
        <f>175.2689</f>
        <v>175.2689</v>
      </c>
    </row>
    <row r="260" spans="1:10" ht="15" x14ac:dyDescent="0.2">
      <c r="A260" s="13">
        <v>48823</v>
      </c>
      <c r="B260" s="14">
        <f>25.8013 * CHOOSE(CONTROL!$C$15, $E$9, 100%, $G$9) + CHOOSE(CONTROL!$C$38, 0.0278, 0)</f>
        <v>25.8291</v>
      </c>
      <c r="C260" s="14">
        <f>23.7058 * CHOOSE(CONTROL!$C$15, $E$9, 100%, $G$9) + CHOOSE(CONTROL!$C$38, 0.0369, 0)</f>
        <v>23.742699999999999</v>
      </c>
      <c r="D260" s="14">
        <f>23.698 * CHOOSE(CONTROL!$C$15, $E$9, 100%, $G$9) + CHOOSE(CONTROL!$C$38, 0.0369, 0)</f>
        <v>23.7349</v>
      </c>
      <c r="E260" s="46">
        <f>25.6451 * CHOOSE(CONTROL!$C$15, $E$9, 100%, $G$9) + CHOOSE(CONTROL!$C$38, 0.0369, 0)</f>
        <v>25.681999999999999</v>
      </c>
      <c r="F260" s="45">
        <f>25.6451 * CHOOSE(CONTROL!$C$15, $E$9, 100%, $G$9) + CHOOSE(CONTROL!$C$38, 0.0278, 0)</f>
        <v>25.672899999999998</v>
      </c>
      <c r="G260" s="14">
        <f>23.7043 * CHOOSE(CONTROL!$C$15, $E$9, 100%, $G$9) + CHOOSE(CONTROL!$C$38, 0.0369, 0)</f>
        <v>23.741199999999999</v>
      </c>
      <c r="H260" s="14">
        <f>23.7043 * CHOOSE(CONTROL!$C$15, $E$9, 100%, $G$9) + CHOOSE(CONTROL!$C$38, 0.0369, 0)</f>
        <v>23.741199999999999</v>
      </c>
      <c r="I260" s="14">
        <f>23.7058 * CHOOSE(CONTROL!$C$15, $E$9, 100%, $G$9) + CHOOSE(CONTROL!$C$38, 0.0369, 0)</f>
        <v>23.742699999999999</v>
      </c>
      <c r="J260" s="44">
        <f>169.4432</f>
        <v>169.44319999999999</v>
      </c>
    </row>
    <row r="261" spans="1:10" ht="15" x14ac:dyDescent="0.2">
      <c r="A261" s="13">
        <v>48853</v>
      </c>
      <c r="B261" s="14">
        <f>26.0331 * CHOOSE(CONTROL!$C$15, $E$9, 100%, $G$9) + CHOOSE(CONTROL!$C$38, 0.0256, 0)</f>
        <v>26.058700000000002</v>
      </c>
      <c r="C261" s="14">
        <f>23.9376 * CHOOSE(CONTROL!$C$15, $E$9, 100%, $G$9) + CHOOSE(CONTROL!$C$38, 0.0347, 0)</f>
        <v>23.972300000000001</v>
      </c>
      <c r="D261" s="14">
        <f>23.9298 * CHOOSE(CONTROL!$C$15, $E$9, 100%, $G$9) + CHOOSE(CONTROL!$C$38, 0.0347, 0)</f>
        <v>23.964500000000001</v>
      </c>
      <c r="E261" s="46">
        <f>25.8769 * CHOOSE(CONTROL!$C$15, $E$9, 100%, $G$9) + CHOOSE(CONTROL!$C$38, 0.0347, 0)</f>
        <v>25.9116</v>
      </c>
      <c r="F261" s="45">
        <f>25.8769 * CHOOSE(CONTROL!$C$15, $E$9, 100%, $G$9) + CHOOSE(CONTROL!$C$38, 0.0256, 0)</f>
        <v>25.9025</v>
      </c>
      <c r="G261" s="14">
        <f>23.9361 * CHOOSE(CONTROL!$C$15, $E$9, 100%, $G$9) + CHOOSE(CONTROL!$C$38, 0.0347, 0)</f>
        <v>23.970800000000001</v>
      </c>
      <c r="H261" s="14">
        <f>23.9361 * CHOOSE(CONTROL!$C$15, $E$9, 100%, $G$9) + CHOOSE(CONTROL!$C$38, 0.0347, 0)</f>
        <v>23.970800000000001</v>
      </c>
      <c r="I261" s="14">
        <f>23.9376 * CHOOSE(CONTROL!$C$15, $E$9, 100%, $G$9) + CHOOSE(CONTROL!$C$38, 0.0347, 0)</f>
        <v>23.972300000000001</v>
      </c>
      <c r="J261" s="44">
        <f>163.5837</f>
        <v>163.58369999999999</v>
      </c>
    </row>
    <row r="262" spans="1:10" ht="15" x14ac:dyDescent="0.2">
      <c r="A262" s="13">
        <v>48884</v>
      </c>
      <c r="B262" s="14">
        <f>26.2266 * CHOOSE(CONTROL!$C$15, $E$9, 100%, $G$9) + CHOOSE(CONTROL!$C$38, 0.0256, 0)</f>
        <v>26.252200000000002</v>
      </c>
      <c r="C262" s="14">
        <f>24.1311 * CHOOSE(CONTROL!$C$15, $E$9, 100%, $G$9) + CHOOSE(CONTROL!$C$38, 0.0347, 0)</f>
        <v>24.165800000000001</v>
      </c>
      <c r="D262" s="14">
        <f>24.1233 * CHOOSE(CONTROL!$C$15, $E$9, 100%, $G$9) + CHOOSE(CONTROL!$C$38, 0.0347, 0)</f>
        <v>24.158000000000001</v>
      </c>
      <c r="E262" s="46">
        <f>26.0703 * CHOOSE(CONTROL!$C$15, $E$9, 100%, $G$9) + CHOOSE(CONTROL!$C$38, 0.0347, 0)</f>
        <v>26.105</v>
      </c>
      <c r="F262" s="45">
        <f>26.0703 * CHOOSE(CONTROL!$C$15, $E$9, 100%, $G$9) + CHOOSE(CONTROL!$C$38, 0.0256, 0)</f>
        <v>26.0959</v>
      </c>
      <c r="G262" s="14">
        <f>24.1295 * CHOOSE(CONTROL!$C$15, $E$9, 100%, $G$9) + CHOOSE(CONTROL!$C$38, 0.0347, 0)</f>
        <v>24.164200000000001</v>
      </c>
      <c r="H262" s="14">
        <f>24.1295 * CHOOSE(CONTROL!$C$15, $E$9, 100%, $G$9) + CHOOSE(CONTROL!$C$38, 0.0347, 0)</f>
        <v>24.164200000000001</v>
      </c>
      <c r="I262" s="14">
        <f>24.1311 * CHOOSE(CONTROL!$C$15, $E$9, 100%, $G$9) + CHOOSE(CONTROL!$C$38, 0.0347, 0)</f>
        <v>24.165800000000001</v>
      </c>
      <c r="J262" s="44">
        <f>162.4181</f>
        <v>162.41810000000001</v>
      </c>
    </row>
    <row r="263" spans="1:10" ht="15" x14ac:dyDescent="0.2">
      <c r="A263" s="13">
        <v>48914</v>
      </c>
      <c r="B263" s="14">
        <f>26.8226 * CHOOSE(CONTROL!$C$15, $E$9, 100%, $G$9) + CHOOSE(CONTROL!$C$38, 0.0256, 0)</f>
        <v>26.848200000000002</v>
      </c>
      <c r="C263" s="14">
        <f>24.7271 * CHOOSE(CONTROL!$C$15, $E$9, 100%, $G$9) + CHOOSE(CONTROL!$C$38, 0.0347, 0)</f>
        <v>24.761800000000001</v>
      </c>
      <c r="D263" s="14">
        <f>24.7193 * CHOOSE(CONTROL!$C$15, $E$9, 100%, $G$9) + CHOOSE(CONTROL!$C$38, 0.0347, 0)</f>
        <v>24.754000000000001</v>
      </c>
      <c r="E263" s="46">
        <f>26.6664 * CHOOSE(CONTROL!$C$15, $E$9, 100%, $G$9) + CHOOSE(CONTROL!$C$38, 0.0347, 0)</f>
        <v>26.7011</v>
      </c>
      <c r="F263" s="45">
        <f>26.6664 * CHOOSE(CONTROL!$C$15, $E$9, 100%, $G$9) + CHOOSE(CONTROL!$C$38, 0.0256, 0)</f>
        <v>26.692</v>
      </c>
      <c r="G263" s="14">
        <f>24.7256 * CHOOSE(CONTROL!$C$15, $E$9, 100%, $G$9) + CHOOSE(CONTROL!$C$38, 0.0347, 0)</f>
        <v>24.760300000000001</v>
      </c>
      <c r="H263" s="14">
        <f>24.7256 * CHOOSE(CONTROL!$C$15, $E$9, 100%, $G$9) + CHOOSE(CONTROL!$C$38, 0.0347, 0)</f>
        <v>24.760300000000001</v>
      </c>
      <c r="I263" s="14">
        <f>24.7271 * CHOOSE(CONTROL!$C$15, $E$9, 100%, $G$9) + CHOOSE(CONTROL!$C$38, 0.0347, 0)</f>
        <v>24.761800000000001</v>
      </c>
      <c r="J263" s="44">
        <f>157.5984</f>
        <v>157.5984</v>
      </c>
    </row>
    <row r="264" spans="1:10" ht="15" x14ac:dyDescent="0.2">
      <c r="A264" s="13">
        <v>48945</v>
      </c>
      <c r="B264" s="14">
        <f>27.7138 * CHOOSE(CONTROL!$C$15, $E$9, 100%, $G$9) + CHOOSE(CONTROL!$C$38, 0.0256, 0)</f>
        <v>27.7394</v>
      </c>
      <c r="C264" s="14">
        <f>25.5865 * CHOOSE(CONTROL!$C$15, $E$9, 100%, $G$9) + CHOOSE(CONTROL!$C$38, 0.0347, 0)</f>
        <v>25.621200000000002</v>
      </c>
      <c r="D264" s="14">
        <f>25.5787 * CHOOSE(CONTROL!$C$15, $E$9, 100%, $G$9) + CHOOSE(CONTROL!$C$38, 0.0347, 0)</f>
        <v>25.613400000000002</v>
      </c>
      <c r="E264" s="46">
        <f>27.5575 * CHOOSE(CONTROL!$C$15, $E$9, 100%, $G$9) + CHOOSE(CONTROL!$C$38, 0.0347, 0)</f>
        <v>27.592200000000002</v>
      </c>
      <c r="F264" s="45">
        <f>27.5575 * CHOOSE(CONTROL!$C$15, $E$9, 100%, $G$9) + CHOOSE(CONTROL!$C$38, 0.0256, 0)</f>
        <v>27.583100000000002</v>
      </c>
      <c r="G264" s="14">
        <f>25.5849 * CHOOSE(CONTROL!$C$15, $E$9, 100%, $G$9) + CHOOSE(CONTROL!$C$38, 0.0347, 0)</f>
        <v>25.619600000000002</v>
      </c>
      <c r="H264" s="14">
        <f>25.5849 * CHOOSE(CONTROL!$C$15, $E$9, 100%, $G$9) + CHOOSE(CONTROL!$C$38, 0.0347, 0)</f>
        <v>25.619600000000002</v>
      </c>
      <c r="I264" s="14">
        <f>25.5865 * CHOOSE(CONTROL!$C$15, $E$9, 100%, $G$9) + CHOOSE(CONTROL!$C$38, 0.0347, 0)</f>
        <v>25.621200000000002</v>
      </c>
      <c r="J264" s="44">
        <f>157.2974</f>
        <v>157.29740000000001</v>
      </c>
    </row>
    <row r="265" spans="1:10" ht="15" x14ac:dyDescent="0.2">
      <c r="A265" s="13">
        <v>48976</v>
      </c>
      <c r="B265" s="14">
        <f>27.9346 * CHOOSE(CONTROL!$C$15, $E$9, 100%, $G$9) + CHOOSE(CONTROL!$C$38, 0.0256, 0)</f>
        <v>27.9602</v>
      </c>
      <c r="C265" s="14">
        <f>25.8073 * CHOOSE(CONTROL!$C$15, $E$9, 100%, $G$9) + CHOOSE(CONTROL!$C$38, 0.0347, 0)</f>
        <v>25.842000000000002</v>
      </c>
      <c r="D265" s="14">
        <f>25.7995 * CHOOSE(CONTROL!$C$15, $E$9, 100%, $G$9) + CHOOSE(CONTROL!$C$38, 0.0347, 0)</f>
        <v>25.834199999999999</v>
      </c>
      <c r="E265" s="46">
        <f>27.7783 * CHOOSE(CONTROL!$C$15, $E$9, 100%, $G$9) + CHOOSE(CONTROL!$C$38, 0.0347, 0)</f>
        <v>27.813000000000002</v>
      </c>
      <c r="F265" s="45">
        <f>27.7783 * CHOOSE(CONTROL!$C$15, $E$9, 100%, $G$9) + CHOOSE(CONTROL!$C$38, 0.0256, 0)</f>
        <v>27.803900000000002</v>
      </c>
      <c r="G265" s="14">
        <f>25.8057 * CHOOSE(CONTROL!$C$15, $E$9, 100%, $G$9) + CHOOSE(CONTROL!$C$38, 0.0347, 0)</f>
        <v>25.840400000000002</v>
      </c>
      <c r="H265" s="14">
        <f>25.8057 * CHOOSE(CONTROL!$C$15, $E$9, 100%, $G$9) + CHOOSE(CONTROL!$C$38, 0.0347, 0)</f>
        <v>25.840400000000002</v>
      </c>
      <c r="I265" s="14">
        <f>25.8073 * CHOOSE(CONTROL!$C$15, $E$9, 100%, $G$9) + CHOOSE(CONTROL!$C$38, 0.0347, 0)</f>
        <v>25.842000000000002</v>
      </c>
      <c r="J265" s="44">
        <f>156.8602</f>
        <v>156.86019999999999</v>
      </c>
    </row>
    <row r="266" spans="1:10" ht="15" x14ac:dyDescent="0.2">
      <c r="A266" s="13">
        <v>49004</v>
      </c>
      <c r="B266" s="14">
        <f>27.4235 * CHOOSE(CONTROL!$C$15, $E$9, 100%, $G$9) + CHOOSE(CONTROL!$C$38, 0.0256, 0)</f>
        <v>27.449100000000001</v>
      </c>
      <c r="C266" s="14">
        <f>25.2962 * CHOOSE(CONTROL!$C$15, $E$9, 100%, $G$9) + CHOOSE(CONTROL!$C$38, 0.0347, 0)</f>
        <v>25.3309</v>
      </c>
      <c r="D266" s="14">
        <f>25.2884 * CHOOSE(CONTROL!$C$15, $E$9, 100%, $G$9) + CHOOSE(CONTROL!$C$38, 0.0347, 0)</f>
        <v>25.3231</v>
      </c>
      <c r="E266" s="46">
        <f>27.2673 * CHOOSE(CONTROL!$C$15, $E$9, 100%, $G$9) + CHOOSE(CONTROL!$C$38, 0.0347, 0)</f>
        <v>27.302</v>
      </c>
      <c r="F266" s="45">
        <f>27.2673 * CHOOSE(CONTROL!$C$15, $E$9, 100%, $G$9) + CHOOSE(CONTROL!$C$38, 0.0256, 0)</f>
        <v>27.292899999999999</v>
      </c>
      <c r="G266" s="14">
        <f>25.2947 * CHOOSE(CONTROL!$C$15, $E$9, 100%, $G$9) + CHOOSE(CONTROL!$C$38, 0.0347, 0)</f>
        <v>25.3294</v>
      </c>
      <c r="H266" s="14">
        <f>25.2947 * CHOOSE(CONTROL!$C$15, $E$9, 100%, $G$9) + CHOOSE(CONTROL!$C$38, 0.0347, 0)</f>
        <v>25.3294</v>
      </c>
      <c r="I266" s="14">
        <f>25.2962 * CHOOSE(CONTROL!$C$15, $E$9, 100%, $G$9) + CHOOSE(CONTROL!$C$38, 0.0347, 0)</f>
        <v>25.3309</v>
      </c>
      <c r="J266" s="44">
        <f>165.1276</f>
        <v>165.1276</v>
      </c>
    </row>
    <row r="267" spans="1:10" ht="15" x14ac:dyDescent="0.2">
      <c r="A267" s="13">
        <v>49035</v>
      </c>
      <c r="B267" s="14">
        <f>26.9283 * CHOOSE(CONTROL!$C$15, $E$9, 100%, $G$9) + CHOOSE(CONTROL!$C$38, 0.0256, 0)</f>
        <v>26.953900000000001</v>
      </c>
      <c r="C267" s="14">
        <f>24.8011 * CHOOSE(CONTROL!$C$15, $E$9, 100%, $G$9) + CHOOSE(CONTROL!$C$38, 0.0347, 0)</f>
        <v>24.835800000000003</v>
      </c>
      <c r="D267" s="14">
        <f>24.7932 * CHOOSE(CONTROL!$C$15, $E$9, 100%, $G$9) + CHOOSE(CONTROL!$C$38, 0.0347, 0)</f>
        <v>24.8279</v>
      </c>
      <c r="E267" s="46">
        <f>26.7721 * CHOOSE(CONTROL!$C$15, $E$9, 100%, $G$9) + CHOOSE(CONTROL!$C$38, 0.0347, 0)</f>
        <v>26.806799999999999</v>
      </c>
      <c r="F267" s="45">
        <f>26.7721 * CHOOSE(CONTROL!$C$15, $E$9, 100%, $G$9) + CHOOSE(CONTROL!$C$38, 0.0256, 0)</f>
        <v>26.797699999999999</v>
      </c>
      <c r="G267" s="14">
        <f>24.7995 * CHOOSE(CONTROL!$C$15, $E$9, 100%, $G$9) + CHOOSE(CONTROL!$C$38, 0.0347, 0)</f>
        <v>24.834199999999999</v>
      </c>
      <c r="H267" s="14">
        <f>24.7995 * CHOOSE(CONTROL!$C$15, $E$9, 100%, $G$9) + CHOOSE(CONTROL!$C$38, 0.0347, 0)</f>
        <v>24.834199999999999</v>
      </c>
      <c r="I267" s="14">
        <f>24.8011 * CHOOSE(CONTROL!$C$15, $E$9, 100%, $G$9) + CHOOSE(CONTROL!$C$38, 0.0347, 0)</f>
        <v>24.835800000000003</v>
      </c>
      <c r="J267" s="44">
        <f>175.8485</f>
        <v>175.8485</v>
      </c>
    </row>
    <row r="268" spans="1:10" ht="15" x14ac:dyDescent="0.2">
      <c r="A268" s="13">
        <v>49065</v>
      </c>
      <c r="B268" s="14">
        <f>26.4122 * CHOOSE(CONTROL!$C$15, $E$9, 100%, $G$9) + CHOOSE(CONTROL!$C$38, 0.0278, 0)</f>
        <v>26.439999999999998</v>
      </c>
      <c r="C268" s="14">
        <f>24.2849 * CHOOSE(CONTROL!$C$15, $E$9, 100%, $G$9) + CHOOSE(CONTROL!$C$38, 0.0369, 0)</f>
        <v>24.3218</v>
      </c>
      <c r="D268" s="14">
        <f>24.2771 * CHOOSE(CONTROL!$C$15, $E$9, 100%, $G$9) + CHOOSE(CONTROL!$C$38, 0.0369, 0)</f>
        <v>24.314</v>
      </c>
      <c r="E268" s="46">
        <f>26.256 * CHOOSE(CONTROL!$C$15, $E$9, 100%, $G$9) + CHOOSE(CONTROL!$C$38, 0.0369, 0)</f>
        <v>26.292899999999999</v>
      </c>
      <c r="F268" s="45">
        <f>26.256 * CHOOSE(CONTROL!$C$15, $E$9, 100%, $G$9) + CHOOSE(CONTROL!$C$38, 0.0278, 0)</f>
        <v>26.283799999999999</v>
      </c>
      <c r="G268" s="14">
        <f>24.2834 * CHOOSE(CONTROL!$C$15, $E$9, 100%, $G$9) + CHOOSE(CONTROL!$C$38, 0.0369, 0)</f>
        <v>24.3203</v>
      </c>
      <c r="H268" s="14">
        <f>24.2834 * CHOOSE(CONTROL!$C$15, $E$9, 100%, $G$9) + CHOOSE(CONTROL!$C$38, 0.0369, 0)</f>
        <v>24.3203</v>
      </c>
      <c r="I268" s="14">
        <f>24.2849 * CHOOSE(CONTROL!$C$15, $E$9, 100%, $G$9) + CHOOSE(CONTROL!$C$38, 0.0369, 0)</f>
        <v>24.3218</v>
      </c>
      <c r="J268" s="44">
        <f>181.7496</f>
        <v>181.74959999999999</v>
      </c>
    </row>
    <row r="269" spans="1:10" ht="15" x14ac:dyDescent="0.2">
      <c r="A269" s="13">
        <v>49096</v>
      </c>
      <c r="B269" s="14">
        <f>26.0504 * CHOOSE(CONTROL!$C$15, $E$9, 100%, $G$9) + CHOOSE(CONTROL!$C$38, 0.0278, 0)</f>
        <v>26.078199999999999</v>
      </c>
      <c r="C269" s="14">
        <f>23.9231 * CHOOSE(CONTROL!$C$15, $E$9, 100%, $G$9) + CHOOSE(CONTROL!$C$38, 0.0369, 0)</f>
        <v>23.96</v>
      </c>
      <c r="D269" s="14">
        <f>23.9153 * CHOOSE(CONTROL!$C$15, $E$9, 100%, $G$9) + CHOOSE(CONTROL!$C$38, 0.0369, 0)</f>
        <v>23.952199999999998</v>
      </c>
      <c r="E269" s="46">
        <f>25.8941 * CHOOSE(CONTROL!$C$15, $E$9, 100%, $G$9) + CHOOSE(CONTROL!$C$38, 0.0369, 0)</f>
        <v>25.931000000000001</v>
      </c>
      <c r="F269" s="45">
        <f>25.8941 * CHOOSE(CONTROL!$C$15, $E$9, 100%, $G$9) + CHOOSE(CONTROL!$C$38, 0.0278, 0)</f>
        <v>25.921900000000001</v>
      </c>
      <c r="G269" s="14">
        <f>23.9215 * CHOOSE(CONTROL!$C$15, $E$9, 100%, $G$9) + CHOOSE(CONTROL!$C$38, 0.0369, 0)</f>
        <v>23.958400000000001</v>
      </c>
      <c r="H269" s="14">
        <f>23.9215 * CHOOSE(CONTROL!$C$15, $E$9, 100%, $G$9) + CHOOSE(CONTROL!$C$38, 0.0369, 0)</f>
        <v>23.958400000000001</v>
      </c>
      <c r="I269" s="14">
        <f>23.9231 * CHOOSE(CONTROL!$C$15, $E$9, 100%, $G$9) + CHOOSE(CONTROL!$C$38, 0.0369, 0)</f>
        <v>23.96</v>
      </c>
      <c r="J269" s="44">
        <f>184.3684</f>
        <v>184.36840000000001</v>
      </c>
    </row>
    <row r="270" spans="1:10" ht="15" x14ac:dyDescent="0.2">
      <c r="A270" s="13">
        <v>49126</v>
      </c>
      <c r="B270" s="14">
        <f>25.8439 * CHOOSE(CONTROL!$C$15, $E$9, 100%, $G$9) + CHOOSE(CONTROL!$C$38, 0.0278, 0)</f>
        <v>25.871700000000001</v>
      </c>
      <c r="C270" s="14">
        <f>23.7166 * CHOOSE(CONTROL!$C$15, $E$9, 100%, $G$9) + CHOOSE(CONTROL!$C$38, 0.0369, 0)</f>
        <v>23.753499999999999</v>
      </c>
      <c r="D270" s="14">
        <f>23.7088 * CHOOSE(CONTROL!$C$15, $E$9, 100%, $G$9) + CHOOSE(CONTROL!$C$38, 0.0369, 0)</f>
        <v>23.745699999999999</v>
      </c>
      <c r="E270" s="46">
        <f>25.6877 * CHOOSE(CONTROL!$C$15, $E$9, 100%, $G$9) + CHOOSE(CONTROL!$C$38, 0.0369, 0)</f>
        <v>25.724599999999999</v>
      </c>
      <c r="F270" s="45">
        <f>25.6877 * CHOOSE(CONTROL!$C$15, $E$9, 100%, $G$9) + CHOOSE(CONTROL!$C$38, 0.0278, 0)</f>
        <v>25.715499999999999</v>
      </c>
      <c r="G270" s="14">
        <f>23.7151 * CHOOSE(CONTROL!$C$15, $E$9, 100%, $G$9) + CHOOSE(CONTROL!$C$38, 0.0369, 0)</f>
        <v>23.751999999999999</v>
      </c>
      <c r="H270" s="14">
        <f>23.7151 * CHOOSE(CONTROL!$C$15, $E$9, 100%, $G$9) + CHOOSE(CONTROL!$C$38, 0.0369, 0)</f>
        <v>23.751999999999999</v>
      </c>
      <c r="I270" s="14">
        <f>23.7166 * CHOOSE(CONTROL!$C$15, $E$9, 100%, $G$9) + CHOOSE(CONTROL!$C$38, 0.0369, 0)</f>
        <v>23.753499999999999</v>
      </c>
      <c r="J270" s="44">
        <f>183.5062</f>
        <v>183.50620000000001</v>
      </c>
    </row>
    <row r="271" spans="1:10" ht="15" x14ac:dyDescent="0.2">
      <c r="A271" s="13">
        <v>49157</v>
      </c>
      <c r="B271" s="14">
        <f>25.9458 * CHOOSE(CONTROL!$C$15, $E$9, 100%, $G$9) + CHOOSE(CONTROL!$C$38, 0.0278, 0)</f>
        <v>25.973599999999998</v>
      </c>
      <c r="C271" s="14">
        <f>23.8185 * CHOOSE(CONTROL!$C$15, $E$9, 100%, $G$9) + CHOOSE(CONTROL!$C$38, 0.0369, 0)</f>
        <v>23.855399999999999</v>
      </c>
      <c r="D271" s="14">
        <f>23.8107 * CHOOSE(CONTROL!$C$15, $E$9, 100%, $G$9) + CHOOSE(CONTROL!$C$38, 0.0369, 0)</f>
        <v>23.8476</v>
      </c>
      <c r="E271" s="46">
        <f>25.7896 * CHOOSE(CONTROL!$C$15, $E$9, 100%, $G$9) + CHOOSE(CONTROL!$C$38, 0.0369, 0)</f>
        <v>25.826499999999999</v>
      </c>
      <c r="F271" s="45">
        <f>25.7896 * CHOOSE(CONTROL!$C$15, $E$9, 100%, $G$9) + CHOOSE(CONTROL!$C$38, 0.0278, 0)</f>
        <v>25.817399999999999</v>
      </c>
      <c r="G271" s="14">
        <f>23.817 * CHOOSE(CONTROL!$C$15, $E$9, 100%, $G$9) + CHOOSE(CONTROL!$C$38, 0.0369, 0)</f>
        <v>23.853899999999999</v>
      </c>
      <c r="H271" s="14">
        <f>23.817 * CHOOSE(CONTROL!$C$15, $E$9, 100%, $G$9) + CHOOSE(CONTROL!$C$38, 0.0369, 0)</f>
        <v>23.853899999999999</v>
      </c>
      <c r="I271" s="14">
        <f>23.8185 * CHOOSE(CONTROL!$C$15, $E$9, 100%, $G$9) + CHOOSE(CONTROL!$C$38, 0.0369, 0)</f>
        <v>23.855399999999999</v>
      </c>
      <c r="J271" s="44">
        <f>179.2342</f>
        <v>179.23419999999999</v>
      </c>
    </row>
    <row r="272" spans="1:10" ht="15" x14ac:dyDescent="0.2">
      <c r="A272" s="13">
        <v>49188</v>
      </c>
      <c r="B272" s="14">
        <f>26.2226 * CHOOSE(CONTROL!$C$15, $E$9, 100%, $G$9) + CHOOSE(CONTROL!$C$38, 0.0278, 0)</f>
        <v>26.250399999999999</v>
      </c>
      <c r="C272" s="14">
        <f>24.0953 * CHOOSE(CONTROL!$C$15, $E$9, 100%, $G$9) + CHOOSE(CONTROL!$C$38, 0.0369, 0)</f>
        <v>24.132200000000001</v>
      </c>
      <c r="D272" s="14">
        <f>24.0875 * CHOOSE(CONTROL!$C$15, $E$9, 100%, $G$9) + CHOOSE(CONTROL!$C$38, 0.0369, 0)</f>
        <v>24.124399999999998</v>
      </c>
      <c r="E272" s="46">
        <f>26.0664 * CHOOSE(CONTROL!$C$15, $E$9, 100%, $G$9) + CHOOSE(CONTROL!$C$38, 0.0369, 0)</f>
        <v>26.103300000000001</v>
      </c>
      <c r="F272" s="45">
        <f>26.0664 * CHOOSE(CONTROL!$C$15, $E$9, 100%, $G$9) + CHOOSE(CONTROL!$C$38, 0.0278, 0)</f>
        <v>26.094200000000001</v>
      </c>
      <c r="G272" s="14">
        <f>24.0938 * CHOOSE(CONTROL!$C$15, $E$9, 100%, $G$9) + CHOOSE(CONTROL!$C$38, 0.0369, 0)</f>
        <v>24.130700000000001</v>
      </c>
      <c r="H272" s="14">
        <f>24.0938 * CHOOSE(CONTROL!$C$15, $E$9, 100%, $G$9) + CHOOSE(CONTROL!$C$38, 0.0369, 0)</f>
        <v>24.130700000000001</v>
      </c>
      <c r="I272" s="14">
        <f>24.0953 * CHOOSE(CONTROL!$C$15, $E$9, 100%, $G$9) + CHOOSE(CONTROL!$C$38, 0.0369, 0)</f>
        <v>24.132200000000001</v>
      </c>
      <c r="J272" s="44">
        <f>173.2768</f>
        <v>173.27680000000001</v>
      </c>
    </row>
    <row r="273" spans="1:10" ht="15" x14ac:dyDescent="0.2">
      <c r="A273" s="13">
        <v>49218</v>
      </c>
      <c r="B273" s="14">
        <f>26.4544 * CHOOSE(CONTROL!$C$15, $E$9, 100%, $G$9) + CHOOSE(CONTROL!$C$38, 0.0256, 0)</f>
        <v>26.48</v>
      </c>
      <c r="C273" s="14">
        <f>24.3271 * CHOOSE(CONTROL!$C$15, $E$9, 100%, $G$9) + CHOOSE(CONTROL!$C$38, 0.0347, 0)</f>
        <v>24.361800000000002</v>
      </c>
      <c r="D273" s="14">
        <f>24.3193 * CHOOSE(CONTROL!$C$15, $E$9, 100%, $G$9) + CHOOSE(CONTROL!$C$38, 0.0347, 0)</f>
        <v>24.353999999999999</v>
      </c>
      <c r="E273" s="46">
        <f>26.2982 * CHOOSE(CONTROL!$C$15, $E$9, 100%, $G$9) + CHOOSE(CONTROL!$C$38, 0.0347, 0)</f>
        <v>26.332900000000002</v>
      </c>
      <c r="F273" s="45">
        <f>26.2982 * CHOOSE(CONTROL!$C$15, $E$9, 100%, $G$9) + CHOOSE(CONTROL!$C$38, 0.0256, 0)</f>
        <v>26.323800000000002</v>
      </c>
      <c r="G273" s="14">
        <f>24.3256 * CHOOSE(CONTROL!$C$15, $E$9, 100%, $G$9) + CHOOSE(CONTROL!$C$38, 0.0347, 0)</f>
        <v>24.360300000000002</v>
      </c>
      <c r="H273" s="14">
        <f>24.3256 * CHOOSE(CONTROL!$C$15, $E$9, 100%, $G$9) + CHOOSE(CONTROL!$C$38, 0.0347, 0)</f>
        <v>24.360300000000002</v>
      </c>
      <c r="I273" s="14">
        <f>24.3271 * CHOOSE(CONTROL!$C$15, $E$9, 100%, $G$9) + CHOOSE(CONTROL!$C$38, 0.0347, 0)</f>
        <v>24.361800000000002</v>
      </c>
      <c r="J273" s="44">
        <f>167.2847</f>
        <v>167.28469999999999</v>
      </c>
    </row>
    <row r="274" spans="1:10" ht="15" x14ac:dyDescent="0.2">
      <c r="A274" s="13">
        <v>49249</v>
      </c>
      <c r="B274" s="14">
        <f>26.6479 * CHOOSE(CONTROL!$C$15, $E$9, 100%, $G$9) + CHOOSE(CONTROL!$C$38, 0.0256, 0)</f>
        <v>26.673500000000001</v>
      </c>
      <c r="C274" s="14">
        <f>24.5206 * CHOOSE(CONTROL!$C$15, $E$9, 100%, $G$9) + CHOOSE(CONTROL!$C$38, 0.0347, 0)</f>
        <v>24.555300000000003</v>
      </c>
      <c r="D274" s="14">
        <f>24.5128 * CHOOSE(CONTROL!$C$15, $E$9, 100%, $G$9) + CHOOSE(CONTROL!$C$38, 0.0347, 0)</f>
        <v>24.547499999999999</v>
      </c>
      <c r="E274" s="46">
        <f>26.4916 * CHOOSE(CONTROL!$C$15, $E$9, 100%, $G$9) + CHOOSE(CONTROL!$C$38, 0.0347, 0)</f>
        <v>26.526299999999999</v>
      </c>
      <c r="F274" s="45">
        <f>26.4916 * CHOOSE(CONTROL!$C$15, $E$9, 100%, $G$9) + CHOOSE(CONTROL!$C$38, 0.0256, 0)</f>
        <v>26.517199999999999</v>
      </c>
      <c r="G274" s="14">
        <f>24.519 * CHOOSE(CONTROL!$C$15, $E$9, 100%, $G$9) + CHOOSE(CONTROL!$C$38, 0.0347, 0)</f>
        <v>24.553699999999999</v>
      </c>
      <c r="H274" s="14">
        <f>24.519 * CHOOSE(CONTROL!$C$15, $E$9, 100%, $G$9) + CHOOSE(CONTROL!$C$38, 0.0347, 0)</f>
        <v>24.553699999999999</v>
      </c>
      <c r="I274" s="14">
        <f>24.5206 * CHOOSE(CONTROL!$C$15, $E$9, 100%, $G$9) + CHOOSE(CONTROL!$C$38, 0.0347, 0)</f>
        <v>24.555300000000003</v>
      </c>
      <c r="J274" s="44">
        <f>166.0928</f>
        <v>166.09280000000001</v>
      </c>
    </row>
    <row r="275" spans="1:10" ht="15" x14ac:dyDescent="0.2">
      <c r="A275" s="13">
        <v>49279</v>
      </c>
      <c r="B275" s="14">
        <f>27.2439 * CHOOSE(CONTROL!$C$15, $E$9, 100%, $G$9) + CHOOSE(CONTROL!$C$38, 0.0256, 0)</f>
        <v>27.269500000000001</v>
      </c>
      <c r="C275" s="14">
        <f>25.1167 * CHOOSE(CONTROL!$C$15, $E$9, 100%, $G$9) + CHOOSE(CONTROL!$C$38, 0.0347, 0)</f>
        <v>25.151400000000002</v>
      </c>
      <c r="D275" s="14">
        <f>25.1088 * CHOOSE(CONTROL!$C$15, $E$9, 100%, $G$9) + CHOOSE(CONTROL!$C$38, 0.0347, 0)</f>
        <v>25.1435</v>
      </c>
      <c r="E275" s="46">
        <f>27.0877 * CHOOSE(CONTROL!$C$15, $E$9, 100%, $G$9) + CHOOSE(CONTROL!$C$38, 0.0347, 0)</f>
        <v>27.122400000000003</v>
      </c>
      <c r="F275" s="45">
        <f>27.0877 * CHOOSE(CONTROL!$C$15, $E$9, 100%, $G$9) + CHOOSE(CONTROL!$C$38, 0.0256, 0)</f>
        <v>27.113300000000002</v>
      </c>
      <c r="G275" s="14">
        <f>25.1151 * CHOOSE(CONTROL!$C$15, $E$9, 100%, $G$9) + CHOOSE(CONTROL!$C$38, 0.0347, 0)</f>
        <v>25.149800000000003</v>
      </c>
      <c r="H275" s="14">
        <f>25.1151 * CHOOSE(CONTROL!$C$15, $E$9, 100%, $G$9) + CHOOSE(CONTROL!$C$38, 0.0347, 0)</f>
        <v>25.149800000000003</v>
      </c>
      <c r="I275" s="14">
        <f>25.1167 * CHOOSE(CONTROL!$C$15, $E$9, 100%, $G$9) + CHOOSE(CONTROL!$C$38, 0.0347, 0)</f>
        <v>25.151400000000002</v>
      </c>
      <c r="J275" s="44">
        <f>161.164</f>
        <v>161.16399999999999</v>
      </c>
    </row>
    <row r="276" spans="1:10" ht="15" x14ac:dyDescent="0.2">
      <c r="A276" s="13">
        <v>49310</v>
      </c>
      <c r="B276" s="14">
        <f>28.142 * CHOOSE(CONTROL!$C$15, $E$9, 100%, $G$9) + CHOOSE(CONTROL!$C$38, 0.0256, 0)</f>
        <v>28.1676</v>
      </c>
      <c r="C276" s="14">
        <f>25.9824 * CHOOSE(CONTROL!$C$15, $E$9, 100%, $G$9) + CHOOSE(CONTROL!$C$38, 0.0347, 0)</f>
        <v>26.017099999999999</v>
      </c>
      <c r="D276" s="14">
        <f>25.9746 * CHOOSE(CONTROL!$C$15, $E$9, 100%, $G$9) + CHOOSE(CONTROL!$C$38, 0.0347, 0)</f>
        <v>26.0093</v>
      </c>
      <c r="E276" s="46">
        <f>27.9857 * CHOOSE(CONTROL!$C$15, $E$9, 100%, $G$9) + CHOOSE(CONTROL!$C$38, 0.0347, 0)</f>
        <v>28.020400000000002</v>
      </c>
      <c r="F276" s="45">
        <f>27.9857 * CHOOSE(CONTROL!$C$15, $E$9, 100%, $G$9) + CHOOSE(CONTROL!$C$38, 0.0256, 0)</f>
        <v>28.011300000000002</v>
      </c>
      <c r="G276" s="14">
        <f>25.9808 * CHOOSE(CONTROL!$C$15, $E$9, 100%, $G$9) + CHOOSE(CONTROL!$C$38, 0.0347, 0)</f>
        <v>26.015499999999999</v>
      </c>
      <c r="H276" s="14">
        <f>25.9808 * CHOOSE(CONTROL!$C$15, $E$9, 100%, $G$9) + CHOOSE(CONTROL!$C$38, 0.0347, 0)</f>
        <v>26.015499999999999</v>
      </c>
      <c r="I276" s="14">
        <f>25.9824 * CHOOSE(CONTROL!$C$15, $E$9, 100%, $G$9) + CHOOSE(CONTROL!$C$38, 0.0347, 0)</f>
        <v>26.017099999999999</v>
      </c>
      <c r="J276" s="44">
        <f>160.8562</f>
        <v>160.8562</v>
      </c>
    </row>
    <row r="277" spans="1:10" ht="15" x14ac:dyDescent="0.2">
      <c r="A277" s="13">
        <v>49341</v>
      </c>
      <c r="B277" s="14">
        <f>28.3628 * CHOOSE(CONTROL!$C$15, $E$9, 100%, $G$9) + CHOOSE(CONTROL!$C$38, 0.0256, 0)</f>
        <v>28.388400000000001</v>
      </c>
      <c r="C277" s="14">
        <f>26.2032 * CHOOSE(CONTROL!$C$15, $E$9, 100%, $G$9) + CHOOSE(CONTROL!$C$38, 0.0347, 0)</f>
        <v>26.2379</v>
      </c>
      <c r="D277" s="14">
        <f>26.1953 * CHOOSE(CONTROL!$C$15, $E$9, 100%, $G$9) + CHOOSE(CONTROL!$C$38, 0.0347, 0)</f>
        <v>26.23</v>
      </c>
      <c r="E277" s="46">
        <f>28.2065 * CHOOSE(CONTROL!$C$15, $E$9, 100%, $G$9) + CHOOSE(CONTROL!$C$38, 0.0347, 0)</f>
        <v>28.241199999999999</v>
      </c>
      <c r="F277" s="45">
        <f>28.2065 * CHOOSE(CONTROL!$C$15, $E$9, 100%, $G$9) + CHOOSE(CONTROL!$C$38, 0.0256, 0)</f>
        <v>28.232099999999999</v>
      </c>
      <c r="G277" s="14">
        <f>26.2016 * CHOOSE(CONTROL!$C$15, $E$9, 100%, $G$9) + CHOOSE(CONTROL!$C$38, 0.0347, 0)</f>
        <v>26.2363</v>
      </c>
      <c r="H277" s="14">
        <f>26.2016 * CHOOSE(CONTROL!$C$15, $E$9, 100%, $G$9) + CHOOSE(CONTROL!$C$38, 0.0347, 0)</f>
        <v>26.2363</v>
      </c>
      <c r="I277" s="14">
        <f>26.2032 * CHOOSE(CONTROL!$C$15, $E$9, 100%, $G$9) + CHOOSE(CONTROL!$C$38, 0.0347, 0)</f>
        <v>26.2379</v>
      </c>
      <c r="J277" s="44">
        <f>160.409</f>
        <v>160.40899999999999</v>
      </c>
    </row>
    <row r="278" spans="1:10" ht="15" x14ac:dyDescent="0.2">
      <c r="A278" s="13">
        <v>49369</v>
      </c>
      <c r="B278" s="14">
        <f>27.8517 * CHOOSE(CONTROL!$C$15, $E$9, 100%, $G$9) + CHOOSE(CONTROL!$C$38, 0.0256, 0)</f>
        <v>27.877300000000002</v>
      </c>
      <c r="C278" s="14">
        <f>25.6921 * CHOOSE(CONTROL!$C$15, $E$9, 100%, $G$9) + CHOOSE(CONTROL!$C$38, 0.0347, 0)</f>
        <v>25.726800000000001</v>
      </c>
      <c r="D278" s="14">
        <f>25.6843 * CHOOSE(CONTROL!$C$15, $E$9, 100%, $G$9) + CHOOSE(CONTROL!$C$38, 0.0347, 0)</f>
        <v>25.719000000000001</v>
      </c>
      <c r="E278" s="46">
        <f>27.6955 * CHOOSE(CONTROL!$C$15, $E$9, 100%, $G$9) + CHOOSE(CONTROL!$C$38, 0.0347, 0)</f>
        <v>27.7302</v>
      </c>
      <c r="F278" s="45">
        <f>27.6955 * CHOOSE(CONTROL!$C$15, $E$9, 100%, $G$9) + CHOOSE(CONTROL!$C$38, 0.0256, 0)</f>
        <v>27.7211</v>
      </c>
      <c r="G278" s="14">
        <f>25.6906 * CHOOSE(CONTROL!$C$15, $E$9, 100%, $G$9) + CHOOSE(CONTROL!$C$38, 0.0347, 0)</f>
        <v>25.725300000000001</v>
      </c>
      <c r="H278" s="14">
        <f>25.6906 * CHOOSE(CONTROL!$C$15, $E$9, 100%, $G$9) + CHOOSE(CONTROL!$C$38, 0.0347, 0)</f>
        <v>25.725300000000001</v>
      </c>
      <c r="I278" s="14">
        <f>25.6921 * CHOOSE(CONTROL!$C$15, $E$9, 100%, $G$9) + CHOOSE(CONTROL!$C$38, 0.0347, 0)</f>
        <v>25.726800000000001</v>
      </c>
      <c r="J278" s="44">
        <f>168.8635</f>
        <v>168.86349999999999</v>
      </c>
    </row>
    <row r="279" spans="1:10" ht="15" x14ac:dyDescent="0.2">
      <c r="A279" s="13">
        <v>49400</v>
      </c>
      <c r="B279" s="14">
        <f>27.3565 * CHOOSE(CONTROL!$C$15, $E$9, 100%, $G$9) + CHOOSE(CONTROL!$C$38, 0.0256, 0)</f>
        <v>27.382100000000001</v>
      </c>
      <c r="C279" s="14">
        <f>25.1969 * CHOOSE(CONTROL!$C$15, $E$9, 100%, $G$9) + CHOOSE(CONTROL!$C$38, 0.0347, 0)</f>
        <v>25.2316</v>
      </c>
      <c r="D279" s="14">
        <f>25.1891 * CHOOSE(CONTROL!$C$15, $E$9, 100%, $G$9) + CHOOSE(CONTROL!$C$38, 0.0347, 0)</f>
        <v>25.223800000000001</v>
      </c>
      <c r="E279" s="46">
        <f>27.2003 * CHOOSE(CONTROL!$C$15, $E$9, 100%, $G$9) + CHOOSE(CONTROL!$C$38, 0.0347, 0)</f>
        <v>27.234999999999999</v>
      </c>
      <c r="F279" s="45">
        <f>27.2003 * CHOOSE(CONTROL!$C$15, $E$9, 100%, $G$9) + CHOOSE(CONTROL!$C$38, 0.0256, 0)</f>
        <v>27.225899999999999</v>
      </c>
      <c r="G279" s="14">
        <f>25.1954 * CHOOSE(CONTROL!$C$15, $E$9, 100%, $G$9) + CHOOSE(CONTROL!$C$38, 0.0347, 0)</f>
        <v>25.2301</v>
      </c>
      <c r="H279" s="14">
        <f>25.1954 * CHOOSE(CONTROL!$C$15, $E$9, 100%, $G$9) + CHOOSE(CONTROL!$C$38, 0.0347, 0)</f>
        <v>25.2301</v>
      </c>
      <c r="I279" s="14">
        <f>25.1969 * CHOOSE(CONTROL!$C$15, $E$9, 100%, $G$9) + CHOOSE(CONTROL!$C$38, 0.0347, 0)</f>
        <v>25.2316</v>
      </c>
      <c r="J279" s="44">
        <f>179.827</f>
        <v>179.827</v>
      </c>
    </row>
    <row r="280" spans="1:10" ht="15" x14ac:dyDescent="0.2">
      <c r="A280" s="13">
        <v>49430</v>
      </c>
      <c r="B280" s="14">
        <f>26.8404 * CHOOSE(CONTROL!$C$15, $E$9, 100%, $G$9) + CHOOSE(CONTROL!$C$38, 0.0278, 0)</f>
        <v>26.868199999999998</v>
      </c>
      <c r="C280" s="14">
        <f>24.6808 * CHOOSE(CONTROL!$C$15, $E$9, 100%, $G$9) + CHOOSE(CONTROL!$C$38, 0.0369, 0)</f>
        <v>24.717700000000001</v>
      </c>
      <c r="D280" s="14">
        <f>24.673 * CHOOSE(CONTROL!$C$15, $E$9, 100%, $G$9) + CHOOSE(CONTROL!$C$38, 0.0369, 0)</f>
        <v>24.709899999999998</v>
      </c>
      <c r="E280" s="46">
        <f>26.6842 * CHOOSE(CONTROL!$C$15, $E$9, 100%, $G$9) + CHOOSE(CONTROL!$C$38, 0.0369, 0)</f>
        <v>26.7211</v>
      </c>
      <c r="F280" s="45">
        <f>26.6842 * CHOOSE(CONTROL!$C$15, $E$9, 100%, $G$9) + CHOOSE(CONTROL!$C$38, 0.0278, 0)</f>
        <v>26.712</v>
      </c>
      <c r="G280" s="14">
        <f>24.6793 * CHOOSE(CONTROL!$C$15, $E$9, 100%, $G$9) + CHOOSE(CONTROL!$C$38, 0.0369, 0)</f>
        <v>24.716200000000001</v>
      </c>
      <c r="H280" s="14">
        <f>24.6793 * CHOOSE(CONTROL!$C$15, $E$9, 100%, $G$9) + CHOOSE(CONTROL!$C$38, 0.0369, 0)</f>
        <v>24.716200000000001</v>
      </c>
      <c r="I280" s="14">
        <f>24.6808 * CHOOSE(CONTROL!$C$15, $E$9, 100%, $G$9) + CHOOSE(CONTROL!$C$38, 0.0369, 0)</f>
        <v>24.717700000000001</v>
      </c>
      <c r="J280" s="44">
        <f>185.8616</f>
        <v>185.86160000000001</v>
      </c>
    </row>
    <row r="281" spans="1:10" ht="15" x14ac:dyDescent="0.2">
      <c r="A281" s="34">
        <v>49461</v>
      </c>
      <c r="B281" s="14">
        <f>26.4786 * CHOOSE(CONTROL!$C$15, $E$9, 100%, $G$9) + CHOOSE(CONTROL!$C$38, 0.0278, 0)</f>
        <v>26.506399999999999</v>
      </c>
      <c r="C281" s="14">
        <f>24.319 * CHOOSE(CONTROL!$C$15, $E$9, 100%, $G$9) + CHOOSE(CONTROL!$C$38, 0.0369, 0)</f>
        <v>24.355899999999998</v>
      </c>
      <c r="D281" s="14">
        <f>24.3112 * CHOOSE(CONTROL!$C$15, $E$9, 100%, $G$9) + CHOOSE(CONTROL!$C$38, 0.0369, 0)</f>
        <v>24.348099999999999</v>
      </c>
      <c r="E281" s="46">
        <f>26.3224 * CHOOSE(CONTROL!$C$15, $E$9, 100%, $G$9) + CHOOSE(CONTROL!$C$38, 0.0369, 0)</f>
        <v>26.359299999999998</v>
      </c>
      <c r="F281" s="45">
        <f>26.3224 * CHOOSE(CONTROL!$C$15, $E$9, 100%, $G$9) + CHOOSE(CONTROL!$C$38, 0.0278, 0)</f>
        <v>26.350199999999997</v>
      </c>
      <c r="G281" s="14">
        <f>24.3174 * CHOOSE(CONTROL!$C$15, $E$9, 100%, $G$9) + CHOOSE(CONTROL!$C$38, 0.0369, 0)</f>
        <v>24.354299999999999</v>
      </c>
      <c r="H281" s="14">
        <f>24.3174 * CHOOSE(CONTROL!$C$15, $E$9, 100%, $G$9) + CHOOSE(CONTROL!$C$38, 0.0369, 0)</f>
        <v>24.354299999999999</v>
      </c>
      <c r="I281" s="14">
        <f>24.319 * CHOOSE(CONTROL!$C$15, $E$9, 100%, $G$9) + CHOOSE(CONTROL!$C$38, 0.0369, 0)</f>
        <v>24.355899999999998</v>
      </c>
      <c r="J281" s="44">
        <f>188.5397</f>
        <v>188.53970000000001</v>
      </c>
    </row>
    <row r="282" spans="1:10" ht="15" x14ac:dyDescent="0.2">
      <c r="A282" s="34">
        <v>49491</v>
      </c>
      <c r="B282" s="14">
        <f>26.2721 * CHOOSE(CONTROL!$C$15, $E$9, 100%, $G$9) + CHOOSE(CONTROL!$C$38, 0.0278, 0)</f>
        <v>26.299899999999997</v>
      </c>
      <c r="C282" s="14">
        <f>24.1125 * CHOOSE(CONTROL!$C$15, $E$9, 100%, $G$9) + CHOOSE(CONTROL!$C$38, 0.0369, 0)</f>
        <v>24.1494</v>
      </c>
      <c r="D282" s="14">
        <f>24.1047 * CHOOSE(CONTROL!$C$15, $E$9, 100%, $G$9) + CHOOSE(CONTROL!$C$38, 0.0369, 0)</f>
        <v>24.1416</v>
      </c>
      <c r="E282" s="46">
        <f>26.1159 * CHOOSE(CONTROL!$C$15, $E$9, 100%, $G$9) + CHOOSE(CONTROL!$C$38, 0.0369, 0)</f>
        <v>26.152799999999999</v>
      </c>
      <c r="F282" s="45">
        <f>26.1159 * CHOOSE(CONTROL!$C$15, $E$9, 100%, $G$9) + CHOOSE(CONTROL!$C$38, 0.0278, 0)</f>
        <v>26.143699999999999</v>
      </c>
      <c r="G282" s="14">
        <f>24.1109 * CHOOSE(CONTROL!$C$15, $E$9, 100%, $G$9) + CHOOSE(CONTROL!$C$38, 0.0369, 0)</f>
        <v>24.1478</v>
      </c>
      <c r="H282" s="14">
        <f>24.1109 * CHOOSE(CONTROL!$C$15, $E$9, 100%, $G$9) + CHOOSE(CONTROL!$C$38, 0.0369, 0)</f>
        <v>24.1478</v>
      </c>
      <c r="I282" s="14">
        <f>24.1125 * CHOOSE(CONTROL!$C$15, $E$9, 100%, $G$9) + CHOOSE(CONTROL!$C$38, 0.0369, 0)</f>
        <v>24.1494</v>
      </c>
      <c r="J282" s="44">
        <f>187.6579</f>
        <v>187.65790000000001</v>
      </c>
    </row>
    <row r="283" spans="1:10" ht="15" x14ac:dyDescent="0.2">
      <c r="A283" s="34">
        <v>49522</v>
      </c>
      <c r="B283" s="14">
        <f>26.374 * CHOOSE(CONTROL!$C$15, $E$9, 100%, $G$9) + CHOOSE(CONTROL!$C$38, 0.0278, 0)</f>
        <v>26.401799999999998</v>
      </c>
      <c r="C283" s="14">
        <f>24.2144 * CHOOSE(CONTROL!$C$15, $E$9, 100%, $G$9) + CHOOSE(CONTROL!$C$38, 0.0369, 0)</f>
        <v>24.251300000000001</v>
      </c>
      <c r="D283" s="14">
        <f>24.2066 * CHOOSE(CONTROL!$C$15, $E$9, 100%, $G$9) + CHOOSE(CONTROL!$C$38, 0.0369, 0)</f>
        <v>24.243500000000001</v>
      </c>
      <c r="E283" s="46">
        <f>26.2178 * CHOOSE(CONTROL!$C$15, $E$9, 100%, $G$9) + CHOOSE(CONTROL!$C$38, 0.0369, 0)</f>
        <v>26.2547</v>
      </c>
      <c r="F283" s="45">
        <f>26.2178 * CHOOSE(CONTROL!$C$15, $E$9, 100%, $G$9) + CHOOSE(CONTROL!$C$38, 0.0278, 0)</f>
        <v>26.2456</v>
      </c>
      <c r="G283" s="14">
        <f>24.2129 * CHOOSE(CONTROL!$C$15, $E$9, 100%, $G$9) + CHOOSE(CONTROL!$C$38, 0.0369, 0)</f>
        <v>24.2498</v>
      </c>
      <c r="H283" s="14">
        <f>24.2129 * CHOOSE(CONTROL!$C$15, $E$9, 100%, $G$9) + CHOOSE(CONTROL!$C$38, 0.0369, 0)</f>
        <v>24.2498</v>
      </c>
      <c r="I283" s="14">
        <f>24.2144 * CHOOSE(CONTROL!$C$15, $E$9, 100%, $G$9) + CHOOSE(CONTROL!$C$38, 0.0369, 0)</f>
        <v>24.251300000000001</v>
      </c>
      <c r="J283" s="44">
        <f>183.2893</f>
        <v>183.2893</v>
      </c>
    </row>
    <row r="284" spans="1:10" ht="15" x14ac:dyDescent="0.2">
      <c r="A284" s="34">
        <v>49553</v>
      </c>
      <c r="B284" s="14">
        <f>26.6508 * CHOOSE(CONTROL!$C$15, $E$9, 100%, $G$9) + CHOOSE(CONTROL!$C$38, 0.0278, 0)</f>
        <v>26.678599999999999</v>
      </c>
      <c r="C284" s="14">
        <f>24.4912 * CHOOSE(CONTROL!$C$15, $E$9, 100%, $G$9) + CHOOSE(CONTROL!$C$38, 0.0369, 0)</f>
        <v>24.528099999999998</v>
      </c>
      <c r="D284" s="14">
        <f>24.4834 * CHOOSE(CONTROL!$C$15, $E$9, 100%, $G$9) + CHOOSE(CONTROL!$C$38, 0.0369, 0)</f>
        <v>24.520299999999999</v>
      </c>
      <c r="E284" s="46">
        <f>26.4946 * CHOOSE(CONTROL!$C$15, $E$9, 100%, $G$9) + CHOOSE(CONTROL!$C$38, 0.0369, 0)</f>
        <v>26.531499999999998</v>
      </c>
      <c r="F284" s="45">
        <f>26.4946 * CHOOSE(CONTROL!$C$15, $E$9, 100%, $G$9) + CHOOSE(CONTROL!$C$38, 0.0278, 0)</f>
        <v>26.522399999999998</v>
      </c>
      <c r="G284" s="14">
        <f>24.4897 * CHOOSE(CONTROL!$C$15, $E$9, 100%, $G$9) + CHOOSE(CONTROL!$C$38, 0.0369, 0)</f>
        <v>24.526599999999998</v>
      </c>
      <c r="H284" s="14">
        <f>24.4897 * CHOOSE(CONTROL!$C$15, $E$9, 100%, $G$9) + CHOOSE(CONTROL!$C$38, 0.0369, 0)</f>
        <v>24.526599999999998</v>
      </c>
      <c r="I284" s="14">
        <f>24.4912 * CHOOSE(CONTROL!$C$15, $E$9, 100%, $G$9) + CHOOSE(CONTROL!$C$38, 0.0369, 0)</f>
        <v>24.528099999999998</v>
      </c>
      <c r="J284" s="44">
        <f>177.1971</f>
        <v>177.19710000000001</v>
      </c>
    </row>
    <row r="285" spans="1:10" ht="15" x14ac:dyDescent="0.2">
      <c r="A285" s="34">
        <v>49583</v>
      </c>
      <c r="B285" s="14">
        <f>26.8826 * CHOOSE(CONTROL!$C$15, $E$9, 100%, $G$9) + CHOOSE(CONTROL!$C$38, 0.0256, 0)</f>
        <v>26.908200000000001</v>
      </c>
      <c r="C285" s="14">
        <f>24.723 * CHOOSE(CONTROL!$C$15, $E$9, 100%, $G$9) + CHOOSE(CONTROL!$C$38, 0.0347, 0)</f>
        <v>24.7577</v>
      </c>
      <c r="D285" s="14">
        <f>24.7152 * CHOOSE(CONTROL!$C$15, $E$9, 100%, $G$9) + CHOOSE(CONTROL!$C$38, 0.0347, 0)</f>
        <v>24.7499</v>
      </c>
      <c r="E285" s="46">
        <f>26.7264 * CHOOSE(CONTROL!$C$15, $E$9, 100%, $G$9) + CHOOSE(CONTROL!$C$38, 0.0347, 0)</f>
        <v>26.761100000000003</v>
      </c>
      <c r="F285" s="45">
        <f>26.7264 * CHOOSE(CONTROL!$C$15, $E$9, 100%, $G$9) + CHOOSE(CONTROL!$C$38, 0.0256, 0)</f>
        <v>26.752000000000002</v>
      </c>
      <c r="G285" s="14">
        <f>24.7215 * CHOOSE(CONTROL!$C$15, $E$9, 100%, $G$9) + CHOOSE(CONTROL!$C$38, 0.0347, 0)</f>
        <v>24.7562</v>
      </c>
      <c r="H285" s="14">
        <f>24.7215 * CHOOSE(CONTROL!$C$15, $E$9, 100%, $G$9) + CHOOSE(CONTROL!$C$38, 0.0347, 0)</f>
        <v>24.7562</v>
      </c>
      <c r="I285" s="14">
        <f>24.723 * CHOOSE(CONTROL!$C$15, $E$9, 100%, $G$9) + CHOOSE(CONTROL!$C$38, 0.0347, 0)</f>
        <v>24.7577</v>
      </c>
      <c r="J285" s="44">
        <f>171.0695</f>
        <v>171.06950000000001</v>
      </c>
    </row>
    <row r="286" spans="1:10" ht="15" x14ac:dyDescent="0.2">
      <c r="A286" s="34">
        <v>49614</v>
      </c>
      <c r="B286" s="14">
        <f>27.0761 * CHOOSE(CONTROL!$C$15, $E$9, 100%, $G$9) + CHOOSE(CONTROL!$C$38, 0.0256, 0)</f>
        <v>27.101700000000001</v>
      </c>
      <c r="C286" s="14">
        <f>24.9165 * CHOOSE(CONTROL!$C$15, $E$9, 100%, $G$9) + CHOOSE(CONTROL!$C$38, 0.0347, 0)</f>
        <v>24.9512</v>
      </c>
      <c r="D286" s="14">
        <f>24.9087 * CHOOSE(CONTROL!$C$15, $E$9, 100%, $G$9) + CHOOSE(CONTROL!$C$38, 0.0347, 0)</f>
        <v>24.9434</v>
      </c>
      <c r="E286" s="46">
        <f>26.9198 * CHOOSE(CONTROL!$C$15, $E$9, 100%, $G$9) + CHOOSE(CONTROL!$C$38, 0.0347, 0)</f>
        <v>26.954499999999999</v>
      </c>
      <c r="F286" s="45">
        <f>26.9198 * CHOOSE(CONTROL!$C$15, $E$9, 100%, $G$9) + CHOOSE(CONTROL!$C$38, 0.0256, 0)</f>
        <v>26.945399999999999</v>
      </c>
      <c r="G286" s="14">
        <f>24.9149 * CHOOSE(CONTROL!$C$15, $E$9, 100%, $G$9) + CHOOSE(CONTROL!$C$38, 0.0347, 0)</f>
        <v>24.9496</v>
      </c>
      <c r="H286" s="14">
        <f>24.9149 * CHOOSE(CONTROL!$C$15, $E$9, 100%, $G$9) + CHOOSE(CONTROL!$C$38, 0.0347, 0)</f>
        <v>24.9496</v>
      </c>
      <c r="I286" s="14">
        <f>24.9165 * CHOOSE(CONTROL!$C$15, $E$9, 100%, $G$9) + CHOOSE(CONTROL!$C$38, 0.0347, 0)</f>
        <v>24.9512</v>
      </c>
      <c r="J286" s="44">
        <f>169.8505</f>
        <v>169.85050000000001</v>
      </c>
    </row>
    <row r="287" spans="1:10" ht="15" x14ac:dyDescent="0.2">
      <c r="A287" s="34">
        <v>49644</v>
      </c>
      <c r="B287" s="14">
        <f>27.6722 * CHOOSE(CONTROL!$C$15, $E$9, 100%, $G$9) + CHOOSE(CONTROL!$C$38, 0.0256, 0)</f>
        <v>27.697800000000001</v>
      </c>
      <c r="C287" s="14">
        <f>25.5125 * CHOOSE(CONTROL!$C$15, $E$9, 100%, $G$9) + CHOOSE(CONTROL!$C$38, 0.0347, 0)</f>
        <v>25.5472</v>
      </c>
      <c r="D287" s="14">
        <f>25.5047 * CHOOSE(CONTROL!$C$15, $E$9, 100%, $G$9) + CHOOSE(CONTROL!$C$38, 0.0347, 0)</f>
        <v>25.539400000000001</v>
      </c>
      <c r="E287" s="46">
        <f>27.5159 * CHOOSE(CONTROL!$C$15, $E$9, 100%, $G$9) + CHOOSE(CONTROL!$C$38, 0.0347, 0)</f>
        <v>27.550599999999999</v>
      </c>
      <c r="F287" s="45">
        <f>27.5159 * CHOOSE(CONTROL!$C$15, $E$9, 100%, $G$9) + CHOOSE(CONTROL!$C$38, 0.0256, 0)</f>
        <v>27.541499999999999</v>
      </c>
      <c r="G287" s="14">
        <f>25.511 * CHOOSE(CONTROL!$C$15, $E$9, 100%, $G$9) + CHOOSE(CONTROL!$C$38, 0.0347, 0)</f>
        <v>25.5457</v>
      </c>
      <c r="H287" s="14">
        <f>25.511 * CHOOSE(CONTROL!$C$15, $E$9, 100%, $G$9) + CHOOSE(CONTROL!$C$38, 0.0347, 0)</f>
        <v>25.5457</v>
      </c>
      <c r="I287" s="14">
        <f>25.5125 * CHOOSE(CONTROL!$C$15, $E$9, 100%, $G$9) + CHOOSE(CONTROL!$C$38, 0.0347, 0)</f>
        <v>25.5472</v>
      </c>
      <c r="J287" s="44">
        <f>164.8102</f>
        <v>164.81020000000001</v>
      </c>
    </row>
    <row r="288" spans="1:10" ht="15" x14ac:dyDescent="0.2">
      <c r="A288" s="34">
        <v>49675</v>
      </c>
      <c r="B288" s="14">
        <f>28.5772 * CHOOSE(CONTROL!$C$15, $E$9, 100%, $G$9) + CHOOSE(CONTROL!$C$38, 0.0256, 0)</f>
        <v>28.602800000000002</v>
      </c>
      <c r="C288" s="14">
        <f>26.3848 * CHOOSE(CONTROL!$C$15, $E$9, 100%, $G$9) + CHOOSE(CONTROL!$C$38, 0.0347, 0)</f>
        <v>26.419499999999999</v>
      </c>
      <c r="D288" s="14">
        <f>26.377 * CHOOSE(CONTROL!$C$15, $E$9, 100%, $G$9) + CHOOSE(CONTROL!$C$38, 0.0347, 0)</f>
        <v>26.4117</v>
      </c>
      <c r="E288" s="46">
        <f>28.421 * CHOOSE(CONTROL!$C$15, $E$9, 100%, $G$9) + CHOOSE(CONTROL!$C$38, 0.0347, 0)</f>
        <v>28.4557</v>
      </c>
      <c r="F288" s="45">
        <f>28.421 * CHOOSE(CONTROL!$C$15, $E$9, 100%, $G$9) + CHOOSE(CONTROL!$C$38, 0.0256, 0)</f>
        <v>28.4466</v>
      </c>
      <c r="G288" s="14">
        <f>26.3832 * CHOOSE(CONTROL!$C$15, $E$9, 100%, $G$9) + CHOOSE(CONTROL!$C$38, 0.0347, 0)</f>
        <v>26.417899999999999</v>
      </c>
      <c r="H288" s="14">
        <f>26.3832 * CHOOSE(CONTROL!$C$15, $E$9, 100%, $G$9) + CHOOSE(CONTROL!$C$38, 0.0347, 0)</f>
        <v>26.417899999999999</v>
      </c>
      <c r="I288" s="14">
        <f>26.3848 * CHOOSE(CONTROL!$C$15, $E$9, 100%, $G$9) + CHOOSE(CONTROL!$C$38, 0.0347, 0)</f>
        <v>26.419499999999999</v>
      </c>
      <c r="J288" s="44">
        <f>164.4955</f>
        <v>164.49549999999999</v>
      </c>
    </row>
    <row r="289" spans="1:10" ht="15" x14ac:dyDescent="0.2">
      <c r="A289" s="34">
        <v>49706</v>
      </c>
      <c r="B289" s="14">
        <f>28.798 * CHOOSE(CONTROL!$C$15, $E$9, 100%, $G$9) + CHOOSE(CONTROL!$C$38, 0.0256, 0)</f>
        <v>28.823599999999999</v>
      </c>
      <c r="C289" s="14">
        <f>26.6055 * CHOOSE(CONTROL!$C$15, $E$9, 100%, $G$9) + CHOOSE(CONTROL!$C$38, 0.0347, 0)</f>
        <v>26.6402</v>
      </c>
      <c r="D289" s="14">
        <f>26.5977 * CHOOSE(CONTROL!$C$15, $E$9, 100%, $G$9) + CHOOSE(CONTROL!$C$38, 0.0347, 0)</f>
        <v>26.632400000000001</v>
      </c>
      <c r="E289" s="46">
        <f>28.6417 * CHOOSE(CONTROL!$C$15, $E$9, 100%, $G$9) + CHOOSE(CONTROL!$C$38, 0.0347, 0)</f>
        <v>28.676400000000001</v>
      </c>
      <c r="F289" s="45">
        <f>28.6417 * CHOOSE(CONTROL!$C$15, $E$9, 100%, $G$9) + CHOOSE(CONTROL!$C$38, 0.0256, 0)</f>
        <v>28.667300000000001</v>
      </c>
      <c r="G289" s="14">
        <f>26.604 * CHOOSE(CONTROL!$C$15, $E$9, 100%, $G$9) + CHOOSE(CONTROL!$C$38, 0.0347, 0)</f>
        <v>26.6387</v>
      </c>
      <c r="H289" s="14">
        <f>26.604 * CHOOSE(CONTROL!$C$15, $E$9, 100%, $G$9) + CHOOSE(CONTROL!$C$38, 0.0347, 0)</f>
        <v>26.6387</v>
      </c>
      <c r="I289" s="14">
        <f>26.6055 * CHOOSE(CONTROL!$C$15, $E$9, 100%, $G$9) + CHOOSE(CONTROL!$C$38, 0.0347, 0)</f>
        <v>26.6402</v>
      </c>
      <c r="J289" s="44">
        <f>164.0382</f>
        <v>164.03819999999999</v>
      </c>
    </row>
    <row r="290" spans="1:10" ht="15" x14ac:dyDescent="0.2">
      <c r="A290" s="34">
        <v>49735</v>
      </c>
      <c r="B290" s="14">
        <f>28.287 * CHOOSE(CONTROL!$C$15, $E$9, 100%, $G$9) + CHOOSE(CONTROL!$C$38, 0.0256, 0)</f>
        <v>28.3126</v>
      </c>
      <c r="C290" s="14">
        <f>26.0945 * CHOOSE(CONTROL!$C$15, $E$9, 100%, $G$9) + CHOOSE(CONTROL!$C$38, 0.0347, 0)</f>
        <v>26.129200000000001</v>
      </c>
      <c r="D290" s="14">
        <f>26.0867 * CHOOSE(CONTROL!$C$15, $E$9, 100%, $G$9) + CHOOSE(CONTROL!$C$38, 0.0347, 0)</f>
        <v>26.121400000000001</v>
      </c>
      <c r="E290" s="46">
        <f>28.1307 * CHOOSE(CONTROL!$C$15, $E$9, 100%, $G$9) + CHOOSE(CONTROL!$C$38, 0.0347, 0)</f>
        <v>28.165400000000002</v>
      </c>
      <c r="F290" s="45">
        <f>28.1307 * CHOOSE(CONTROL!$C$15, $E$9, 100%, $G$9) + CHOOSE(CONTROL!$C$38, 0.0256, 0)</f>
        <v>28.156300000000002</v>
      </c>
      <c r="G290" s="14">
        <f>26.0929 * CHOOSE(CONTROL!$C$15, $E$9, 100%, $G$9) + CHOOSE(CONTROL!$C$38, 0.0347, 0)</f>
        <v>26.127600000000001</v>
      </c>
      <c r="H290" s="14">
        <f>26.0929 * CHOOSE(CONTROL!$C$15, $E$9, 100%, $G$9) + CHOOSE(CONTROL!$C$38, 0.0347, 0)</f>
        <v>26.127600000000001</v>
      </c>
      <c r="I290" s="14">
        <f>26.0945 * CHOOSE(CONTROL!$C$15, $E$9, 100%, $G$9) + CHOOSE(CONTROL!$C$38, 0.0347, 0)</f>
        <v>26.129200000000001</v>
      </c>
      <c r="J290" s="44">
        <f>172.684</f>
        <v>172.684</v>
      </c>
    </row>
    <row r="291" spans="1:10" ht="15" x14ac:dyDescent="0.2">
      <c r="A291" s="34">
        <v>49766</v>
      </c>
      <c r="B291" s="14">
        <f>27.7918 * CHOOSE(CONTROL!$C$15, $E$9, 100%, $G$9) + CHOOSE(CONTROL!$C$38, 0.0256, 0)</f>
        <v>27.817399999999999</v>
      </c>
      <c r="C291" s="14">
        <f>25.5993 * CHOOSE(CONTROL!$C$15, $E$9, 100%, $G$9) + CHOOSE(CONTROL!$C$38, 0.0347, 0)</f>
        <v>25.634</v>
      </c>
      <c r="D291" s="14">
        <f>25.5915 * CHOOSE(CONTROL!$C$15, $E$9, 100%, $G$9) + CHOOSE(CONTROL!$C$38, 0.0347, 0)</f>
        <v>25.626200000000001</v>
      </c>
      <c r="E291" s="46">
        <f>27.6355 * CHOOSE(CONTROL!$C$15, $E$9, 100%, $G$9) + CHOOSE(CONTROL!$C$38, 0.0347, 0)</f>
        <v>27.670200000000001</v>
      </c>
      <c r="F291" s="45">
        <f>27.6355 * CHOOSE(CONTROL!$C$15, $E$9, 100%, $G$9) + CHOOSE(CONTROL!$C$38, 0.0256, 0)</f>
        <v>27.661100000000001</v>
      </c>
      <c r="G291" s="14">
        <f>25.5978 * CHOOSE(CONTROL!$C$15, $E$9, 100%, $G$9) + CHOOSE(CONTROL!$C$38, 0.0347, 0)</f>
        <v>25.6325</v>
      </c>
      <c r="H291" s="14">
        <f>25.5978 * CHOOSE(CONTROL!$C$15, $E$9, 100%, $G$9) + CHOOSE(CONTROL!$C$38, 0.0347, 0)</f>
        <v>25.6325</v>
      </c>
      <c r="I291" s="14">
        <f>25.5993 * CHOOSE(CONTROL!$C$15, $E$9, 100%, $G$9) + CHOOSE(CONTROL!$C$38, 0.0347, 0)</f>
        <v>25.634</v>
      </c>
      <c r="J291" s="44">
        <f>183.8955</f>
        <v>183.8955</v>
      </c>
    </row>
    <row r="292" spans="1:10" ht="15" x14ac:dyDescent="0.2">
      <c r="A292" s="34">
        <v>49796</v>
      </c>
      <c r="B292" s="14">
        <f>27.2757 * CHOOSE(CONTROL!$C$15, $E$9, 100%, $G$9) + CHOOSE(CONTROL!$C$38, 0.0278, 0)</f>
        <v>27.3035</v>
      </c>
      <c r="C292" s="14">
        <f>25.0832 * CHOOSE(CONTROL!$C$15, $E$9, 100%, $G$9) + CHOOSE(CONTROL!$C$38, 0.0369, 0)</f>
        <v>25.120100000000001</v>
      </c>
      <c r="D292" s="14">
        <f>25.0754 * CHOOSE(CONTROL!$C$15, $E$9, 100%, $G$9) + CHOOSE(CONTROL!$C$38, 0.0369, 0)</f>
        <v>25.112299999999998</v>
      </c>
      <c r="E292" s="46">
        <f>27.1194 * CHOOSE(CONTROL!$C$15, $E$9, 100%, $G$9) + CHOOSE(CONTROL!$C$38, 0.0369, 0)</f>
        <v>27.156299999999998</v>
      </c>
      <c r="F292" s="45">
        <f>27.1194 * CHOOSE(CONTROL!$C$15, $E$9, 100%, $G$9) + CHOOSE(CONTROL!$C$38, 0.0278, 0)</f>
        <v>27.147199999999998</v>
      </c>
      <c r="G292" s="14">
        <f>25.0817 * CHOOSE(CONTROL!$C$15, $E$9, 100%, $G$9) + CHOOSE(CONTROL!$C$38, 0.0369, 0)</f>
        <v>25.118600000000001</v>
      </c>
      <c r="H292" s="14">
        <f>25.0817 * CHOOSE(CONTROL!$C$15, $E$9, 100%, $G$9) + CHOOSE(CONTROL!$C$38, 0.0369, 0)</f>
        <v>25.118600000000001</v>
      </c>
      <c r="I292" s="14">
        <f>25.0832 * CHOOSE(CONTROL!$C$15, $E$9, 100%, $G$9) + CHOOSE(CONTROL!$C$38, 0.0369, 0)</f>
        <v>25.120100000000001</v>
      </c>
      <c r="J292" s="44">
        <f>190.0666</f>
        <v>190.06659999999999</v>
      </c>
    </row>
    <row r="293" spans="1:10" ht="15" x14ac:dyDescent="0.2">
      <c r="A293" s="34">
        <v>49827</v>
      </c>
      <c r="B293" s="14">
        <f>26.9138 * CHOOSE(CONTROL!$C$15, $E$9, 100%, $G$9) + CHOOSE(CONTROL!$C$38, 0.0278, 0)</f>
        <v>26.941599999999998</v>
      </c>
      <c r="C293" s="14">
        <f>24.7214 * CHOOSE(CONTROL!$C$15, $E$9, 100%, $G$9) + CHOOSE(CONTROL!$C$38, 0.0369, 0)</f>
        <v>24.758299999999998</v>
      </c>
      <c r="D293" s="14">
        <f>24.7136 * CHOOSE(CONTROL!$C$15, $E$9, 100%, $G$9) + CHOOSE(CONTROL!$C$38, 0.0369, 0)</f>
        <v>24.750499999999999</v>
      </c>
      <c r="E293" s="46">
        <f>26.7576 * CHOOSE(CONTROL!$C$15, $E$9, 100%, $G$9) + CHOOSE(CONTROL!$C$38, 0.0369, 0)</f>
        <v>26.794499999999999</v>
      </c>
      <c r="F293" s="45">
        <f>26.7576 * CHOOSE(CONTROL!$C$15, $E$9, 100%, $G$9) + CHOOSE(CONTROL!$C$38, 0.0278, 0)</f>
        <v>26.785399999999999</v>
      </c>
      <c r="G293" s="14">
        <f>24.7198 * CHOOSE(CONTROL!$C$15, $E$9, 100%, $G$9) + CHOOSE(CONTROL!$C$38, 0.0369, 0)</f>
        <v>24.756699999999999</v>
      </c>
      <c r="H293" s="14">
        <f>24.7198 * CHOOSE(CONTROL!$C$15, $E$9, 100%, $G$9) + CHOOSE(CONTROL!$C$38, 0.0369, 0)</f>
        <v>24.756699999999999</v>
      </c>
      <c r="I293" s="14">
        <f>24.7214 * CHOOSE(CONTROL!$C$15, $E$9, 100%, $G$9) + CHOOSE(CONTROL!$C$38, 0.0369, 0)</f>
        <v>24.758299999999998</v>
      </c>
      <c r="J293" s="44">
        <f>192.8053</f>
        <v>192.80529999999999</v>
      </c>
    </row>
    <row r="294" spans="1:10" ht="15" x14ac:dyDescent="0.2">
      <c r="A294" s="34">
        <v>49857</v>
      </c>
      <c r="B294" s="14">
        <f>26.7073 * CHOOSE(CONTROL!$C$15, $E$9, 100%, $G$9) + CHOOSE(CONTROL!$C$38, 0.0278, 0)</f>
        <v>26.735099999999999</v>
      </c>
      <c r="C294" s="14">
        <f>24.5149 * CHOOSE(CONTROL!$C$15, $E$9, 100%, $G$9) + CHOOSE(CONTROL!$C$38, 0.0369, 0)</f>
        <v>24.5518</v>
      </c>
      <c r="D294" s="14">
        <f>24.5071 * CHOOSE(CONTROL!$C$15, $E$9, 100%, $G$9) + CHOOSE(CONTROL!$C$38, 0.0369, 0)</f>
        <v>24.544</v>
      </c>
      <c r="E294" s="46">
        <f>26.5511 * CHOOSE(CONTROL!$C$15, $E$9, 100%, $G$9) + CHOOSE(CONTROL!$C$38, 0.0369, 0)</f>
        <v>26.588000000000001</v>
      </c>
      <c r="F294" s="45">
        <f>26.5511 * CHOOSE(CONTROL!$C$15, $E$9, 100%, $G$9) + CHOOSE(CONTROL!$C$38, 0.0278, 0)</f>
        <v>26.578900000000001</v>
      </c>
      <c r="G294" s="14">
        <f>24.5133 * CHOOSE(CONTROL!$C$15, $E$9, 100%, $G$9) + CHOOSE(CONTROL!$C$38, 0.0369, 0)</f>
        <v>24.5502</v>
      </c>
      <c r="H294" s="14">
        <f>24.5133 * CHOOSE(CONTROL!$C$15, $E$9, 100%, $G$9) + CHOOSE(CONTROL!$C$38, 0.0369, 0)</f>
        <v>24.5502</v>
      </c>
      <c r="I294" s="14">
        <f>24.5149 * CHOOSE(CONTROL!$C$15, $E$9, 100%, $G$9) + CHOOSE(CONTROL!$C$38, 0.0369, 0)</f>
        <v>24.5518</v>
      </c>
      <c r="J294" s="44">
        <f>191.9036</f>
        <v>191.90360000000001</v>
      </c>
    </row>
    <row r="295" spans="1:10" ht="15" x14ac:dyDescent="0.2">
      <c r="A295" s="34">
        <v>49888</v>
      </c>
      <c r="B295" s="14">
        <f>26.8093 * CHOOSE(CONTROL!$C$15, $E$9, 100%, $G$9) + CHOOSE(CONTROL!$C$38, 0.0278, 0)</f>
        <v>26.8371</v>
      </c>
      <c r="C295" s="14">
        <f>24.6168 * CHOOSE(CONTROL!$C$15, $E$9, 100%, $G$9) + CHOOSE(CONTROL!$C$38, 0.0369, 0)</f>
        <v>24.653700000000001</v>
      </c>
      <c r="D295" s="14">
        <f>24.609 * CHOOSE(CONTROL!$C$15, $E$9, 100%, $G$9) + CHOOSE(CONTROL!$C$38, 0.0369, 0)</f>
        <v>24.645900000000001</v>
      </c>
      <c r="E295" s="46">
        <f>26.653 * CHOOSE(CONTROL!$C$15, $E$9, 100%, $G$9) + CHOOSE(CONTROL!$C$38, 0.0369, 0)</f>
        <v>26.689899999999998</v>
      </c>
      <c r="F295" s="45">
        <f>26.653 * CHOOSE(CONTROL!$C$15, $E$9, 100%, $G$9) + CHOOSE(CONTROL!$C$38, 0.0278, 0)</f>
        <v>26.680799999999998</v>
      </c>
      <c r="G295" s="14">
        <f>24.6152 * CHOOSE(CONTROL!$C$15, $E$9, 100%, $G$9) + CHOOSE(CONTROL!$C$38, 0.0369, 0)</f>
        <v>24.652100000000001</v>
      </c>
      <c r="H295" s="14">
        <f>24.6152 * CHOOSE(CONTROL!$C$15, $E$9, 100%, $G$9) + CHOOSE(CONTROL!$C$38, 0.0369, 0)</f>
        <v>24.652100000000001</v>
      </c>
      <c r="I295" s="14">
        <f>24.6168 * CHOOSE(CONTROL!$C$15, $E$9, 100%, $G$9) + CHOOSE(CONTROL!$C$38, 0.0369, 0)</f>
        <v>24.653700000000001</v>
      </c>
      <c r="J295" s="44">
        <f>187.4362</f>
        <v>187.43620000000001</v>
      </c>
    </row>
    <row r="296" spans="1:10" ht="15" x14ac:dyDescent="0.2">
      <c r="A296" s="34">
        <v>49919</v>
      </c>
      <c r="B296" s="14">
        <f>27.086 * CHOOSE(CONTROL!$C$15, $E$9, 100%, $G$9) + CHOOSE(CONTROL!$C$38, 0.0278, 0)</f>
        <v>27.113799999999998</v>
      </c>
      <c r="C296" s="14">
        <f>24.8936 * CHOOSE(CONTROL!$C$15, $E$9, 100%, $G$9) + CHOOSE(CONTROL!$C$38, 0.0369, 0)</f>
        <v>24.930499999999999</v>
      </c>
      <c r="D296" s="14">
        <f>24.8858 * CHOOSE(CONTROL!$C$15, $E$9, 100%, $G$9) + CHOOSE(CONTROL!$C$38, 0.0369, 0)</f>
        <v>24.922699999999999</v>
      </c>
      <c r="E296" s="46">
        <f>26.9298 * CHOOSE(CONTROL!$C$15, $E$9, 100%, $G$9) + CHOOSE(CONTROL!$C$38, 0.0369, 0)</f>
        <v>26.966699999999999</v>
      </c>
      <c r="F296" s="45">
        <f>26.9298 * CHOOSE(CONTROL!$C$15, $E$9, 100%, $G$9) + CHOOSE(CONTROL!$C$38, 0.0278, 0)</f>
        <v>26.957599999999999</v>
      </c>
      <c r="G296" s="14">
        <f>24.892 * CHOOSE(CONTROL!$C$15, $E$9, 100%, $G$9) + CHOOSE(CONTROL!$C$38, 0.0369, 0)</f>
        <v>24.928899999999999</v>
      </c>
      <c r="H296" s="14">
        <f>24.892 * CHOOSE(CONTROL!$C$15, $E$9, 100%, $G$9) + CHOOSE(CONTROL!$C$38, 0.0369, 0)</f>
        <v>24.928899999999999</v>
      </c>
      <c r="I296" s="14">
        <f>24.8936 * CHOOSE(CONTROL!$C$15, $E$9, 100%, $G$9) + CHOOSE(CONTROL!$C$38, 0.0369, 0)</f>
        <v>24.930499999999999</v>
      </c>
      <c r="J296" s="44">
        <f>181.2061</f>
        <v>181.20609999999999</v>
      </c>
    </row>
    <row r="297" spans="1:10" ht="15" x14ac:dyDescent="0.2">
      <c r="A297" s="34">
        <v>49949</v>
      </c>
      <c r="B297" s="14">
        <f>27.3179 * CHOOSE(CONTROL!$C$15, $E$9, 100%, $G$9) + CHOOSE(CONTROL!$C$38, 0.0256, 0)</f>
        <v>27.343500000000002</v>
      </c>
      <c r="C297" s="14">
        <f>25.1254 * CHOOSE(CONTROL!$C$15, $E$9, 100%, $G$9) + CHOOSE(CONTROL!$C$38, 0.0347, 0)</f>
        <v>25.1601</v>
      </c>
      <c r="D297" s="14">
        <f>25.1176 * CHOOSE(CONTROL!$C$15, $E$9, 100%, $G$9) + CHOOSE(CONTROL!$C$38, 0.0347, 0)</f>
        <v>25.1523</v>
      </c>
      <c r="E297" s="46">
        <f>27.1616 * CHOOSE(CONTROL!$C$15, $E$9, 100%, $G$9) + CHOOSE(CONTROL!$C$38, 0.0347, 0)</f>
        <v>27.196300000000001</v>
      </c>
      <c r="F297" s="45">
        <f>27.1616 * CHOOSE(CONTROL!$C$15, $E$9, 100%, $G$9) + CHOOSE(CONTROL!$C$38, 0.0256, 0)</f>
        <v>27.187200000000001</v>
      </c>
      <c r="G297" s="14">
        <f>25.1239 * CHOOSE(CONTROL!$C$15, $E$9, 100%, $G$9) + CHOOSE(CONTROL!$C$38, 0.0347, 0)</f>
        <v>25.1586</v>
      </c>
      <c r="H297" s="14">
        <f>25.1239 * CHOOSE(CONTROL!$C$15, $E$9, 100%, $G$9) + CHOOSE(CONTROL!$C$38, 0.0347, 0)</f>
        <v>25.1586</v>
      </c>
      <c r="I297" s="14">
        <f>25.1254 * CHOOSE(CONTROL!$C$15, $E$9, 100%, $G$9) + CHOOSE(CONTROL!$C$38, 0.0347, 0)</f>
        <v>25.1601</v>
      </c>
      <c r="J297" s="44">
        <f>174.9398</f>
        <v>174.93979999999999</v>
      </c>
    </row>
    <row r="298" spans="1:10" ht="15" x14ac:dyDescent="0.2">
      <c r="A298" s="34">
        <v>49980</v>
      </c>
      <c r="B298" s="14">
        <f>27.5113 * CHOOSE(CONTROL!$C$15, $E$9, 100%, $G$9) + CHOOSE(CONTROL!$C$38, 0.0256, 0)</f>
        <v>27.536899999999999</v>
      </c>
      <c r="C298" s="14">
        <f>25.3189 * CHOOSE(CONTROL!$C$15, $E$9, 100%, $G$9) + CHOOSE(CONTROL!$C$38, 0.0347, 0)</f>
        <v>25.3536</v>
      </c>
      <c r="D298" s="14">
        <f>25.3111 * CHOOSE(CONTROL!$C$15, $E$9, 100%, $G$9) + CHOOSE(CONTROL!$C$38, 0.0347, 0)</f>
        <v>25.345800000000001</v>
      </c>
      <c r="E298" s="46">
        <f>27.3551 * CHOOSE(CONTROL!$C$15, $E$9, 100%, $G$9) + CHOOSE(CONTROL!$C$38, 0.0347, 0)</f>
        <v>27.389800000000001</v>
      </c>
      <c r="F298" s="45">
        <f>27.3551 * CHOOSE(CONTROL!$C$15, $E$9, 100%, $G$9) + CHOOSE(CONTROL!$C$38, 0.0256, 0)</f>
        <v>27.380700000000001</v>
      </c>
      <c r="G298" s="14">
        <f>25.3173 * CHOOSE(CONTROL!$C$15, $E$9, 100%, $G$9) + CHOOSE(CONTROL!$C$38, 0.0347, 0)</f>
        <v>25.352</v>
      </c>
      <c r="H298" s="14">
        <f>25.3173 * CHOOSE(CONTROL!$C$15, $E$9, 100%, $G$9) + CHOOSE(CONTROL!$C$38, 0.0347, 0)</f>
        <v>25.352</v>
      </c>
      <c r="I298" s="14">
        <f>25.3189 * CHOOSE(CONTROL!$C$15, $E$9, 100%, $G$9) + CHOOSE(CONTROL!$C$38, 0.0347, 0)</f>
        <v>25.3536</v>
      </c>
      <c r="J298" s="44">
        <f>173.6933</f>
        <v>173.69329999999999</v>
      </c>
    </row>
    <row r="299" spans="1:10" ht="15" x14ac:dyDescent="0.2">
      <c r="A299" s="34">
        <v>50010</v>
      </c>
      <c r="B299" s="14">
        <f>28.1074 * CHOOSE(CONTROL!$C$15, $E$9, 100%, $G$9) + CHOOSE(CONTROL!$C$38, 0.0256, 0)</f>
        <v>28.132999999999999</v>
      </c>
      <c r="C299" s="14">
        <f>25.9149 * CHOOSE(CONTROL!$C$15, $E$9, 100%, $G$9) + CHOOSE(CONTROL!$C$38, 0.0347, 0)</f>
        <v>25.9496</v>
      </c>
      <c r="D299" s="14">
        <f>25.9071 * CHOOSE(CONTROL!$C$15, $E$9, 100%, $G$9) + CHOOSE(CONTROL!$C$38, 0.0347, 0)</f>
        <v>25.941800000000001</v>
      </c>
      <c r="E299" s="46">
        <f>27.9511 * CHOOSE(CONTROL!$C$15, $E$9, 100%, $G$9) + CHOOSE(CONTROL!$C$38, 0.0347, 0)</f>
        <v>27.985800000000001</v>
      </c>
      <c r="F299" s="45">
        <f>27.9511 * CHOOSE(CONTROL!$C$15, $E$9, 100%, $G$9) + CHOOSE(CONTROL!$C$38, 0.0256, 0)</f>
        <v>27.976700000000001</v>
      </c>
      <c r="G299" s="14">
        <f>25.9134 * CHOOSE(CONTROL!$C$15, $E$9, 100%, $G$9) + CHOOSE(CONTROL!$C$38, 0.0347, 0)</f>
        <v>25.9481</v>
      </c>
      <c r="H299" s="14">
        <f>25.9134 * CHOOSE(CONTROL!$C$15, $E$9, 100%, $G$9) + CHOOSE(CONTROL!$C$38, 0.0347, 0)</f>
        <v>25.9481</v>
      </c>
      <c r="I299" s="14">
        <f>25.9149 * CHOOSE(CONTROL!$C$15, $E$9, 100%, $G$9) + CHOOSE(CONTROL!$C$38, 0.0347, 0)</f>
        <v>25.9496</v>
      </c>
      <c r="J299" s="44">
        <f>168.539</f>
        <v>168.53899999999999</v>
      </c>
    </row>
    <row r="300" spans="1:10" ht="15" x14ac:dyDescent="0.2">
      <c r="A300" s="34">
        <v>50041</v>
      </c>
      <c r="B300" s="14">
        <f>29.0196 * CHOOSE(CONTROL!$C$15, $E$9, 100%, $G$9) + CHOOSE(CONTROL!$C$38, 0.0256, 0)</f>
        <v>29.045200000000001</v>
      </c>
      <c r="C300" s="14">
        <f>26.7938 * CHOOSE(CONTROL!$C$15, $E$9, 100%, $G$9) + CHOOSE(CONTROL!$C$38, 0.0347, 0)</f>
        <v>26.828500000000002</v>
      </c>
      <c r="D300" s="14">
        <f>26.786 * CHOOSE(CONTROL!$C$15, $E$9, 100%, $G$9) + CHOOSE(CONTROL!$C$38, 0.0347, 0)</f>
        <v>26.820700000000002</v>
      </c>
      <c r="E300" s="46">
        <f>28.8633 * CHOOSE(CONTROL!$C$15, $E$9, 100%, $G$9) + CHOOSE(CONTROL!$C$38, 0.0347, 0)</f>
        <v>28.898</v>
      </c>
      <c r="F300" s="45">
        <f>28.8633 * CHOOSE(CONTROL!$C$15, $E$9, 100%, $G$9) + CHOOSE(CONTROL!$C$38, 0.0256, 0)</f>
        <v>28.8889</v>
      </c>
      <c r="G300" s="14">
        <f>26.7922 * CHOOSE(CONTROL!$C$15, $E$9, 100%, $G$9) + CHOOSE(CONTROL!$C$38, 0.0347, 0)</f>
        <v>26.826900000000002</v>
      </c>
      <c r="H300" s="14">
        <f>26.7922 * CHOOSE(CONTROL!$C$15, $E$9, 100%, $G$9) + CHOOSE(CONTROL!$C$38, 0.0347, 0)</f>
        <v>26.826900000000002</v>
      </c>
      <c r="I300" s="14">
        <f>26.7938 * CHOOSE(CONTROL!$C$15, $E$9, 100%, $G$9) + CHOOSE(CONTROL!$C$38, 0.0347, 0)</f>
        <v>26.828500000000002</v>
      </c>
      <c r="J300" s="44">
        <f>168.2171</f>
        <v>168.21709999999999</v>
      </c>
    </row>
    <row r="301" spans="1:10" ht="15" x14ac:dyDescent="0.2">
      <c r="A301" s="34">
        <v>50072</v>
      </c>
      <c r="B301" s="14">
        <f>29.2404 * CHOOSE(CONTROL!$C$15, $E$9, 100%, $G$9) + CHOOSE(CONTROL!$C$38, 0.0256, 0)</f>
        <v>29.266000000000002</v>
      </c>
      <c r="C301" s="14">
        <f>27.0145 * CHOOSE(CONTROL!$C$15, $E$9, 100%, $G$9) + CHOOSE(CONTROL!$C$38, 0.0347, 0)</f>
        <v>27.049200000000003</v>
      </c>
      <c r="D301" s="14">
        <f>27.0067 * CHOOSE(CONTROL!$C$15, $E$9, 100%, $G$9) + CHOOSE(CONTROL!$C$38, 0.0347, 0)</f>
        <v>27.041399999999999</v>
      </c>
      <c r="E301" s="46">
        <f>29.0841 * CHOOSE(CONTROL!$C$15, $E$9, 100%, $G$9) + CHOOSE(CONTROL!$C$38, 0.0347, 0)</f>
        <v>29.1188</v>
      </c>
      <c r="F301" s="45">
        <f>29.0841 * CHOOSE(CONTROL!$C$15, $E$9, 100%, $G$9) + CHOOSE(CONTROL!$C$38, 0.0256, 0)</f>
        <v>29.1097</v>
      </c>
      <c r="G301" s="14">
        <f>27.013 * CHOOSE(CONTROL!$C$15, $E$9, 100%, $G$9) + CHOOSE(CONTROL!$C$38, 0.0347, 0)</f>
        <v>27.047700000000003</v>
      </c>
      <c r="H301" s="14">
        <f>27.013 * CHOOSE(CONTROL!$C$15, $E$9, 100%, $G$9) + CHOOSE(CONTROL!$C$38, 0.0347, 0)</f>
        <v>27.047700000000003</v>
      </c>
      <c r="I301" s="14">
        <f>27.0145 * CHOOSE(CONTROL!$C$15, $E$9, 100%, $G$9) + CHOOSE(CONTROL!$C$38, 0.0347, 0)</f>
        <v>27.049200000000003</v>
      </c>
      <c r="J301" s="44">
        <f>167.7495</f>
        <v>167.74950000000001</v>
      </c>
    </row>
    <row r="302" spans="1:10" ht="15" x14ac:dyDescent="0.2">
      <c r="A302" s="34">
        <v>50100</v>
      </c>
      <c r="B302" s="14">
        <f>28.7293 * CHOOSE(CONTROL!$C$15, $E$9, 100%, $G$9) + CHOOSE(CONTROL!$C$38, 0.0256, 0)</f>
        <v>28.754899999999999</v>
      </c>
      <c r="C302" s="14">
        <f>26.5035 * CHOOSE(CONTROL!$C$15, $E$9, 100%, $G$9) + CHOOSE(CONTROL!$C$38, 0.0347, 0)</f>
        <v>26.5382</v>
      </c>
      <c r="D302" s="14">
        <f>26.4957 * CHOOSE(CONTROL!$C$15, $E$9, 100%, $G$9) + CHOOSE(CONTROL!$C$38, 0.0347, 0)</f>
        <v>26.5304</v>
      </c>
      <c r="E302" s="46">
        <f>28.5731 * CHOOSE(CONTROL!$C$15, $E$9, 100%, $G$9) + CHOOSE(CONTROL!$C$38, 0.0347, 0)</f>
        <v>28.607800000000001</v>
      </c>
      <c r="F302" s="45">
        <f>28.5731 * CHOOSE(CONTROL!$C$15, $E$9, 100%, $G$9) + CHOOSE(CONTROL!$C$38, 0.0256, 0)</f>
        <v>28.598700000000001</v>
      </c>
      <c r="G302" s="14">
        <f>26.5019 * CHOOSE(CONTROL!$C$15, $E$9, 100%, $G$9) + CHOOSE(CONTROL!$C$38, 0.0347, 0)</f>
        <v>26.5366</v>
      </c>
      <c r="H302" s="14">
        <f>26.5019 * CHOOSE(CONTROL!$C$15, $E$9, 100%, $G$9) + CHOOSE(CONTROL!$C$38, 0.0347, 0)</f>
        <v>26.5366</v>
      </c>
      <c r="I302" s="14">
        <f>26.5035 * CHOOSE(CONTROL!$C$15, $E$9, 100%, $G$9) + CHOOSE(CONTROL!$C$38, 0.0347, 0)</f>
        <v>26.5382</v>
      </c>
      <c r="J302" s="44">
        <f>176.5909</f>
        <v>176.5909</v>
      </c>
    </row>
    <row r="303" spans="1:10" ht="15" x14ac:dyDescent="0.2">
      <c r="A303" s="34">
        <v>50131</v>
      </c>
      <c r="B303" s="14">
        <f>28.2341 * CHOOSE(CONTROL!$C$15, $E$9, 100%, $G$9) + CHOOSE(CONTROL!$C$38, 0.0256, 0)</f>
        <v>28.259700000000002</v>
      </c>
      <c r="C303" s="14">
        <f>26.0083 * CHOOSE(CONTROL!$C$15, $E$9, 100%, $G$9) + CHOOSE(CONTROL!$C$38, 0.0347, 0)</f>
        <v>26.042999999999999</v>
      </c>
      <c r="D303" s="14">
        <f>26.0005 * CHOOSE(CONTROL!$C$15, $E$9, 100%, $G$9) + CHOOSE(CONTROL!$C$38, 0.0347, 0)</f>
        <v>26.0352</v>
      </c>
      <c r="E303" s="46">
        <f>28.0779 * CHOOSE(CONTROL!$C$15, $E$9, 100%, $G$9) + CHOOSE(CONTROL!$C$38, 0.0347, 0)</f>
        <v>28.1126</v>
      </c>
      <c r="F303" s="45">
        <f>28.0779 * CHOOSE(CONTROL!$C$15, $E$9, 100%, $G$9) + CHOOSE(CONTROL!$C$38, 0.0256, 0)</f>
        <v>28.1035</v>
      </c>
      <c r="G303" s="14">
        <f>26.0068 * CHOOSE(CONTROL!$C$15, $E$9, 100%, $G$9) + CHOOSE(CONTROL!$C$38, 0.0347, 0)</f>
        <v>26.041499999999999</v>
      </c>
      <c r="H303" s="14">
        <f>26.0068 * CHOOSE(CONTROL!$C$15, $E$9, 100%, $G$9) + CHOOSE(CONTROL!$C$38, 0.0347, 0)</f>
        <v>26.041499999999999</v>
      </c>
      <c r="I303" s="14">
        <f>26.0083 * CHOOSE(CONTROL!$C$15, $E$9, 100%, $G$9) + CHOOSE(CONTROL!$C$38, 0.0347, 0)</f>
        <v>26.042999999999999</v>
      </c>
      <c r="J303" s="44">
        <f>188.056</f>
        <v>188.05600000000001</v>
      </c>
    </row>
    <row r="304" spans="1:10" ht="15" x14ac:dyDescent="0.2">
      <c r="A304" s="34">
        <v>50161</v>
      </c>
      <c r="B304" s="14">
        <f>27.718 * CHOOSE(CONTROL!$C$15, $E$9, 100%, $G$9) + CHOOSE(CONTROL!$C$38, 0.0278, 0)</f>
        <v>27.745799999999999</v>
      </c>
      <c r="C304" s="14">
        <f>25.4922 * CHOOSE(CONTROL!$C$15, $E$9, 100%, $G$9) + CHOOSE(CONTROL!$C$38, 0.0369, 0)</f>
        <v>25.5291</v>
      </c>
      <c r="D304" s="14">
        <f>25.4844 * CHOOSE(CONTROL!$C$15, $E$9, 100%, $G$9) + CHOOSE(CONTROL!$C$38, 0.0369, 0)</f>
        <v>25.5213</v>
      </c>
      <c r="E304" s="46">
        <f>27.5618 * CHOOSE(CONTROL!$C$15, $E$9, 100%, $G$9) + CHOOSE(CONTROL!$C$38, 0.0369, 0)</f>
        <v>27.598700000000001</v>
      </c>
      <c r="F304" s="45">
        <f>27.5618 * CHOOSE(CONTROL!$C$15, $E$9, 100%, $G$9) + CHOOSE(CONTROL!$C$38, 0.0278, 0)</f>
        <v>27.589600000000001</v>
      </c>
      <c r="G304" s="14">
        <f>25.4906 * CHOOSE(CONTROL!$C$15, $E$9, 100%, $G$9) + CHOOSE(CONTROL!$C$38, 0.0369, 0)</f>
        <v>25.5275</v>
      </c>
      <c r="H304" s="14">
        <f>25.4906 * CHOOSE(CONTROL!$C$15, $E$9, 100%, $G$9) + CHOOSE(CONTROL!$C$38, 0.0369, 0)</f>
        <v>25.5275</v>
      </c>
      <c r="I304" s="14">
        <f>25.4922 * CHOOSE(CONTROL!$C$15, $E$9, 100%, $G$9) + CHOOSE(CONTROL!$C$38, 0.0369, 0)</f>
        <v>25.5291</v>
      </c>
      <c r="J304" s="44">
        <f>194.3668</f>
        <v>194.36680000000001</v>
      </c>
    </row>
    <row r="305" spans="1:10" ht="15" x14ac:dyDescent="0.2">
      <c r="A305" s="34">
        <v>50192</v>
      </c>
      <c r="B305" s="14">
        <f>27.3562 * CHOOSE(CONTROL!$C$15, $E$9, 100%, $G$9) + CHOOSE(CONTROL!$C$38, 0.0278, 0)</f>
        <v>27.384</v>
      </c>
      <c r="C305" s="14">
        <f>25.1304 * CHOOSE(CONTROL!$C$15, $E$9, 100%, $G$9) + CHOOSE(CONTROL!$C$38, 0.0369, 0)</f>
        <v>25.167300000000001</v>
      </c>
      <c r="D305" s="14">
        <f>25.1226 * CHOOSE(CONTROL!$C$15, $E$9, 100%, $G$9) + CHOOSE(CONTROL!$C$38, 0.0369, 0)</f>
        <v>25.159499999999998</v>
      </c>
      <c r="E305" s="46">
        <f>27.1999 * CHOOSE(CONTROL!$C$15, $E$9, 100%, $G$9) + CHOOSE(CONTROL!$C$38, 0.0369, 0)</f>
        <v>27.236799999999999</v>
      </c>
      <c r="F305" s="45">
        <f>27.1999 * CHOOSE(CONTROL!$C$15, $E$9, 100%, $G$9) + CHOOSE(CONTROL!$C$38, 0.0278, 0)</f>
        <v>27.227699999999999</v>
      </c>
      <c r="G305" s="14">
        <f>25.1288 * CHOOSE(CONTROL!$C$15, $E$9, 100%, $G$9) + CHOOSE(CONTROL!$C$38, 0.0369, 0)</f>
        <v>25.165699999999998</v>
      </c>
      <c r="H305" s="14">
        <f>25.1288 * CHOOSE(CONTROL!$C$15, $E$9, 100%, $G$9) + CHOOSE(CONTROL!$C$38, 0.0369, 0)</f>
        <v>25.165699999999998</v>
      </c>
      <c r="I305" s="14">
        <f>25.1304 * CHOOSE(CONTROL!$C$15, $E$9, 100%, $G$9) + CHOOSE(CONTROL!$C$38, 0.0369, 0)</f>
        <v>25.167300000000001</v>
      </c>
      <c r="J305" s="44">
        <f>197.1674</f>
        <v>197.16739999999999</v>
      </c>
    </row>
    <row r="306" spans="1:10" ht="15" x14ac:dyDescent="0.2">
      <c r="A306" s="34">
        <v>50222</v>
      </c>
      <c r="B306" s="14">
        <f>27.1497 * CHOOSE(CONTROL!$C$15, $E$9, 100%, $G$9) + CHOOSE(CONTROL!$C$38, 0.0278, 0)</f>
        <v>27.177499999999998</v>
      </c>
      <c r="C306" s="14">
        <f>24.9239 * CHOOSE(CONTROL!$C$15, $E$9, 100%, $G$9) + CHOOSE(CONTROL!$C$38, 0.0369, 0)</f>
        <v>24.960799999999999</v>
      </c>
      <c r="D306" s="14">
        <f>24.9161 * CHOOSE(CONTROL!$C$15, $E$9, 100%, $G$9) + CHOOSE(CONTROL!$C$38, 0.0369, 0)</f>
        <v>24.952999999999999</v>
      </c>
      <c r="E306" s="46">
        <f>26.9935 * CHOOSE(CONTROL!$C$15, $E$9, 100%, $G$9) + CHOOSE(CONTROL!$C$38, 0.0369, 0)</f>
        <v>27.0304</v>
      </c>
      <c r="F306" s="45">
        <f>26.9935 * CHOOSE(CONTROL!$C$15, $E$9, 100%, $G$9) + CHOOSE(CONTROL!$C$38, 0.0278, 0)</f>
        <v>27.0213</v>
      </c>
      <c r="G306" s="14">
        <f>24.9223 * CHOOSE(CONTROL!$C$15, $E$9, 100%, $G$9) + CHOOSE(CONTROL!$C$38, 0.0369, 0)</f>
        <v>24.959199999999999</v>
      </c>
      <c r="H306" s="14">
        <f>24.9223 * CHOOSE(CONTROL!$C$15, $E$9, 100%, $G$9) + CHOOSE(CONTROL!$C$38, 0.0369, 0)</f>
        <v>24.959199999999999</v>
      </c>
      <c r="I306" s="14">
        <f>24.9239 * CHOOSE(CONTROL!$C$15, $E$9, 100%, $G$9) + CHOOSE(CONTROL!$C$38, 0.0369, 0)</f>
        <v>24.960799999999999</v>
      </c>
      <c r="J306" s="44">
        <f>196.2453</f>
        <v>196.24529999999999</v>
      </c>
    </row>
    <row r="307" spans="1:10" ht="15" x14ac:dyDescent="0.2">
      <c r="A307" s="34">
        <v>50253</v>
      </c>
      <c r="B307" s="14">
        <f>27.2516 * CHOOSE(CONTROL!$C$15, $E$9, 100%, $G$9) + CHOOSE(CONTROL!$C$38, 0.0278, 0)</f>
        <v>27.279399999999999</v>
      </c>
      <c r="C307" s="14">
        <f>25.0258 * CHOOSE(CONTROL!$C$15, $E$9, 100%, $G$9) + CHOOSE(CONTROL!$C$38, 0.0369, 0)</f>
        <v>25.0627</v>
      </c>
      <c r="D307" s="14">
        <f>25.018 * CHOOSE(CONTROL!$C$15, $E$9, 100%, $G$9) + CHOOSE(CONTROL!$C$38, 0.0369, 0)</f>
        <v>25.0549</v>
      </c>
      <c r="E307" s="46">
        <f>27.0954 * CHOOSE(CONTROL!$C$15, $E$9, 100%, $G$9) + CHOOSE(CONTROL!$C$38, 0.0369, 0)</f>
        <v>27.132300000000001</v>
      </c>
      <c r="F307" s="45">
        <f>27.0954 * CHOOSE(CONTROL!$C$15, $E$9, 100%, $G$9) + CHOOSE(CONTROL!$C$38, 0.0278, 0)</f>
        <v>27.123200000000001</v>
      </c>
      <c r="G307" s="14">
        <f>25.0242 * CHOOSE(CONTROL!$C$15, $E$9, 100%, $G$9) + CHOOSE(CONTROL!$C$38, 0.0369, 0)</f>
        <v>25.0611</v>
      </c>
      <c r="H307" s="14">
        <f>25.0242 * CHOOSE(CONTROL!$C$15, $E$9, 100%, $G$9) + CHOOSE(CONTROL!$C$38, 0.0369, 0)</f>
        <v>25.0611</v>
      </c>
      <c r="I307" s="14">
        <f>25.0258 * CHOOSE(CONTROL!$C$15, $E$9, 100%, $G$9) + CHOOSE(CONTROL!$C$38, 0.0369, 0)</f>
        <v>25.0627</v>
      </c>
      <c r="J307" s="44">
        <f>191.6768</f>
        <v>191.67679999999999</v>
      </c>
    </row>
    <row r="308" spans="1:10" ht="15" x14ac:dyDescent="0.2">
      <c r="A308" s="34">
        <v>50284</v>
      </c>
      <c r="B308" s="14">
        <f>27.5284 * CHOOSE(CONTROL!$C$15, $E$9, 100%, $G$9) + CHOOSE(CONTROL!$C$38, 0.0278, 0)</f>
        <v>27.5562</v>
      </c>
      <c r="C308" s="14">
        <f>25.3026 * CHOOSE(CONTROL!$C$15, $E$9, 100%, $G$9) + CHOOSE(CONTROL!$C$38, 0.0369, 0)</f>
        <v>25.339500000000001</v>
      </c>
      <c r="D308" s="14">
        <f>25.2948 * CHOOSE(CONTROL!$C$15, $E$9, 100%, $G$9) + CHOOSE(CONTROL!$C$38, 0.0369, 0)</f>
        <v>25.331699999999998</v>
      </c>
      <c r="E308" s="46">
        <f>27.3722 * CHOOSE(CONTROL!$C$15, $E$9, 100%, $G$9) + CHOOSE(CONTROL!$C$38, 0.0369, 0)</f>
        <v>27.409099999999999</v>
      </c>
      <c r="F308" s="45">
        <f>27.3722 * CHOOSE(CONTROL!$C$15, $E$9, 100%, $G$9) + CHOOSE(CONTROL!$C$38, 0.0278, 0)</f>
        <v>27.4</v>
      </c>
      <c r="G308" s="14">
        <f>25.301 * CHOOSE(CONTROL!$C$15, $E$9, 100%, $G$9) + CHOOSE(CONTROL!$C$38, 0.0369, 0)</f>
        <v>25.337899999999998</v>
      </c>
      <c r="H308" s="14">
        <f>25.301 * CHOOSE(CONTROL!$C$15, $E$9, 100%, $G$9) + CHOOSE(CONTROL!$C$38, 0.0369, 0)</f>
        <v>25.337899999999998</v>
      </c>
      <c r="I308" s="14">
        <f>25.3026 * CHOOSE(CONTROL!$C$15, $E$9, 100%, $G$9) + CHOOSE(CONTROL!$C$38, 0.0369, 0)</f>
        <v>25.339500000000001</v>
      </c>
      <c r="J308" s="44">
        <f>185.3058</f>
        <v>185.3058</v>
      </c>
    </row>
    <row r="309" spans="1:10" ht="15" x14ac:dyDescent="0.2">
      <c r="A309" s="34">
        <v>50314</v>
      </c>
      <c r="B309" s="14">
        <f>27.7602 * CHOOSE(CONTROL!$C$15, $E$9, 100%, $G$9) + CHOOSE(CONTROL!$C$38, 0.0256, 0)</f>
        <v>27.785800000000002</v>
      </c>
      <c r="C309" s="14">
        <f>25.5344 * CHOOSE(CONTROL!$C$15, $E$9, 100%, $G$9) + CHOOSE(CONTROL!$C$38, 0.0347, 0)</f>
        <v>25.569100000000002</v>
      </c>
      <c r="D309" s="14">
        <f>25.5266 * CHOOSE(CONTROL!$C$15, $E$9, 100%, $G$9) + CHOOSE(CONTROL!$C$38, 0.0347, 0)</f>
        <v>25.561299999999999</v>
      </c>
      <c r="E309" s="46">
        <f>27.604 * CHOOSE(CONTROL!$C$15, $E$9, 100%, $G$9) + CHOOSE(CONTROL!$C$38, 0.0347, 0)</f>
        <v>27.6387</v>
      </c>
      <c r="F309" s="45">
        <f>27.604 * CHOOSE(CONTROL!$C$15, $E$9, 100%, $G$9) + CHOOSE(CONTROL!$C$38, 0.0256, 0)</f>
        <v>27.6296</v>
      </c>
      <c r="G309" s="14">
        <f>25.5328 * CHOOSE(CONTROL!$C$15, $E$9, 100%, $G$9) + CHOOSE(CONTROL!$C$38, 0.0347, 0)</f>
        <v>25.567500000000003</v>
      </c>
      <c r="H309" s="14">
        <f>25.5328 * CHOOSE(CONTROL!$C$15, $E$9, 100%, $G$9) + CHOOSE(CONTROL!$C$38, 0.0347, 0)</f>
        <v>25.567500000000003</v>
      </c>
      <c r="I309" s="14">
        <f>25.5344 * CHOOSE(CONTROL!$C$15, $E$9, 100%, $G$9) + CHOOSE(CONTROL!$C$38, 0.0347, 0)</f>
        <v>25.569100000000002</v>
      </c>
      <c r="J309" s="44">
        <f>178.8977</f>
        <v>178.89769999999999</v>
      </c>
    </row>
    <row r="310" spans="1:10" ht="15" x14ac:dyDescent="0.2">
      <c r="A310" s="34">
        <v>50345</v>
      </c>
      <c r="B310" s="14">
        <f>27.9537 * CHOOSE(CONTROL!$C$15, $E$9, 100%, $G$9) + CHOOSE(CONTROL!$C$38, 0.0256, 0)</f>
        <v>27.979300000000002</v>
      </c>
      <c r="C310" s="14">
        <f>25.7278 * CHOOSE(CONTROL!$C$15, $E$9, 100%, $G$9) + CHOOSE(CONTROL!$C$38, 0.0347, 0)</f>
        <v>25.762499999999999</v>
      </c>
      <c r="D310" s="14">
        <f>25.72 * CHOOSE(CONTROL!$C$15, $E$9, 100%, $G$9) + CHOOSE(CONTROL!$C$38, 0.0347, 0)</f>
        <v>25.7547</v>
      </c>
      <c r="E310" s="46">
        <f>27.7974 * CHOOSE(CONTROL!$C$15, $E$9, 100%, $G$9) + CHOOSE(CONTROL!$C$38, 0.0347, 0)</f>
        <v>27.832100000000001</v>
      </c>
      <c r="F310" s="45">
        <f>27.7974 * CHOOSE(CONTROL!$C$15, $E$9, 100%, $G$9) + CHOOSE(CONTROL!$C$38, 0.0256, 0)</f>
        <v>27.823</v>
      </c>
      <c r="G310" s="14">
        <f>25.7263 * CHOOSE(CONTROL!$C$15, $E$9, 100%, $G$9) + CHOOSE(CONTROL!$C$38, 0.0347, 0)</f>
        <v>25.760999999999999</v>
      </c>
      <c r="H310" s="14">
        <f>25.7263 * CHOOSE(CONTROL!$C$15, $E$9, 100%, $G$9) + CHOOSE(CONTROL!$C$38, 0.0347, 0)</f>
        <v>25.760999999999999</v>
      </c>
      <c r="I310" s="14">
        <f>25.7278 * CHOOSE(CONTROL!$C$15, $E$9, 100%, $G$9) + CHOOSE(CONTROL!$C$38, 0.0347, 0)</f>
        <v>25.762499999999999</v>
      </c>
      <c r="J310" s="44">
        <f>177.623</f>
        <v>177.62299999999999</v>
      </c>
    </row>
    <row r="311" spans="1:10" ht="15" x14ac:dyDescent="0.2">
      <c r="A311" s="34">
        <v>50375</v>
      </c>
      <c r="B311" s="14">
        <f>28.5497 * CHOOSE(CONTROL!$C$15, $E$9, 100%, $G$9) + CHOOSE(CONTROL!$C$38, 0.0256, 0)</f>
        <v>28.575300000000002</v>
      </c>
      <c r="C311" s="14">
        <f>26.3239 * CHOOSE(CONTROL!$C$15, $E$9, 100%, $G$9) + CHOOSE(CONTROL!$C$38, 0.0347, 0)</f>
        <v>26.358599999999999</v>
      </c>
      <c r="D311" s="14">
        <f>26.3161 * CHOOSE(CONTROL!$C$15, $E$9, 100%, $G$9) + CHOOSE(CONTROL!$C$38, 0.0347, 0)</f>
        <v>26.3508</v>
      </c>
      <c r="E311" s="46">
        <f>28.3935 * CHOOSE(CONTROL!$C$15, $E$9, 100%, $G$9) + CHOOSE(CONTROL!$C$38, 0.0347, 0)</f>
        <v>28.4282</v>
      </c>
      <c r="F311" s="45">
        <f>28.3935 * CHOOSE(CONTROL!$C$15, $E$9, 100%, $G$9) + CHOOSE(CONTROL!$C$38, 0.0256, 0)</f>
        <v>28.4191</v>
      </c>
      <c r="G311" s="14">
        <f>26.3224 * CHOOSE(CONTROL!$C$15, $E$9, 100%, $G$9) + CHOOSE(CONTROL!$C$38, 0.0347, 0)</f>
        <v>26.357099999999999</v>
      </c>
      <c r="H311" s="14">
        <f>26.3224 * CHOOSE(CONTROL!$C$15, $E$9, 100%, $G$9) + CHOOSE(CONTROL!$C$38, 0.0347, 0)</f>
        <v>26.357099999999999</v>
      </c>
      <c r="I311" s="14">
        <f>26.3239 * CHOOSE(CONTROL!$C$15, $E$9, 100%, $G$9) + CHOOSE(CONTROL!$C$38, 0.0347, 0)</f>
        <v>26.358599999999999</v>
      </c>
      <c r="J311" s="44">
        <f>172.3521</f>
        <v>172.35210000000001</v>
      </c>
    </row>
    <row r="312" spans="1:10" ht="15.75" x14ac:dyDescent="0.25">
      <c r="A312" s="33">
        <v>50436</v>
      </c>
      <c r="B312" s="14">
        <f>29.4692 * CHOOSE(CONTROL!$C$15, $E$9, 100%, $G$9) + CHOOSE(CONTROL!$C$38, 0.0256, 0)</f>
        <v>29.494800000000001</v>
      </c>
      <c r="C312" s="14">
        <f>27.2094 * CHOOSE(CONTROL!$C$15, $E$9, 100%, $G$9) + CHOOSE(CONTROL!$C$38, 0.0347, 0)</f>
        <v>27.2441</v>
      </c>
      <c r="D312" s="14">
        <f>27.2016 * CHOOSE(CONTROL!$C$15, $E$9, 100%, $G$9) + CHOOSE(CONTROL!$C$38, 0.0347, 0)</f>
        <v>27.2363</v>
      </c>
      <c r="E312" s="46">
        <f>29.313 * CHOOSE(CONTROL!$C$15, $E$9, 100%, $G$9) + CHOOSE(CONTROL!$C$38, 0.0347, 0)</f>
        <v>29.3477</v>
      </c>
      <c r="F312" s="45">
        <f>29.313 * CHOOSE(CONTROL!$C$15, $E$9, 100%, $G$9) + CHOOSE(CONTROL!$C$38, 0.0256, 0)</f>
        <v>29.3386</v>
      </c>
      <c r="G312" s="14">
        <f>27.2079 * CHOOSE(CONTROL!$C$15, $E$9, 100%, $G$9) + CHOOSE(CONTROL!$C$38, 0.0347, 0)</f>
        <v>27.242599999999999</v>
      </c>
      <c r="H312" s="14">
        <f>27.2079 * CHOOSE(CONTROL!$C$15, $E$9, 100%, $G$9) + CHOOSE(CONTROL!$C$38, 0.0347, 0)</f>
        <v>27.242599999999999</v>
      </c>
      <c r="I312" s="14">
        <f>27.2094 * CHOOSE(CONTROL!$C$15, $E$9, 100%, $G$9) + CHOOSE(CONTROL!$C$38, 0.0347, 0)</f>
        <v>27.2441</v>
      </c>
      <c r="J312" s="44">
        <f>172.0229</f>
        <v>172.02289999999999</v>
      </c>
    </row>
    <row r="313" spans="1:10" ht="15.75" x14ac:dyDescent="0.25">
      <c r="A313" s="33">
        <v>50464</v>
      </c>
      <c r="B313" s="14">
        <f>29.69 * CHOOSE(CONTROL!$C$15, $E$9, 100%, $G$9) + CHOOSE(CONTROL!$C$38, 0.0256, 0)</f>
        <v>29.715600000000002</v>
      </c>
      <c r="C313" s="14">
        <f>27.4302 * CHOOSE(CONTROL!$C$15, $E$9, 100%, $G$9) + CHOOSE(CONTROL!$C$38, 0.0347, 0)</f>
        <v>27.4649</v>
      </c>
      <c r="D313" s="14">
        <f>27.4224 * CHOOSE(CONTROL!$C$15, $E$9, 100%, $G$9) + CHOOSE(CONTROL!$C$38, 0.0347, 0)</f>
        <v>27.457100000000001</v>
      </c>
      <c r="E313" s="46">
        <f>29.5337 * CHOOSE(CONTROL!$C$15, $E$9, 100%, $G$9) + CHOOSE(CONTROL!$C$38, 0.0347, 0)</f>
        <v>29.5684</v>
      </c>
      <c r="F313" s="45">
        <f>29.5337 * CHOOSE(CONTROL!$C$15, $E$9, 100%, $G$9) + CHOOSE(CONTROL!$C$38, 0.0256, 0)</f>
        <v>29.5593</v>
      </c>
      <c r="G313" s="14">
        <f>27.4286 * CHOOSE(CONTROL!$C$15, $E$9, 100%, $G$9) + CHOOSE(CONTROL!$C$38, 0.0347, 0)</f>
        <v>27.4633</v>
      </c>
      <c r="H313" s="14">
        <f>27.4286 * CHOOSE(CONTROL!$C$15, $E$9, 100%, $G$9) + CHOOSE(CONTROL!$C$38, 0.0347, 0)</f>
        <v>27.4633</v>
      </c>
      <c r="I313" s="14">
        <f>27.4302 * CHOOSE(CONTROL!$C$15, $E$9, 100%, $G$9) + CHOOSE(CONTROL!$C$38, 0.0347, 0)</f>
        <v>27.4649</v>
      </c>
      <c r="J313" s="44">
        <f>171.5447</f>
        <v>171.54470000000001</v>
      </c>
    </row>
    <row r="314" spans="1:10" ht="15.75" x14ac:dyDescent="0.25">
      <c r="A314" s="33">
        <v>50495</v>
      </c>
      <c r="B314" s="14">
        <f>29.1789 * CHOOSE(CONTROL!$C$15, $E$9, 100%, $G$9) + CHOOSE(CONTROL!$C$38, 0.0256, 0)</f>
        <v>29.204499999999999</v>
      </c>
      <c r="C314" s="14">
        <f>26.9192 * CHOOSE(CONTROL!$C$15, $E$9, 100%, $G$9) + CHOOSE(CONTROL!$C$38, 0.0347, 0)</f>
        <v>26.953900000000001</v>
      </c>
      <c r="D314" s="14">
        <f>26.9114 * CHOOSE(CONTROL!$C$15, $E$9, 100%, $G$9) + CHOOSE(CONTROL!$C$38, 0.0347, 0)</f>
        <v>26.946100000000001</v>
      </c>
      <c r="E314" s="46">
        <f>29.0227 * CHOOSE(CONTROL!$C$15, $E$9, 100%, $G$9) + CHOOSE(CONTROL!$C$38, 0.0347, 0)</f>
        <v>29.057400000000001</v>
      </c>
      <c r="F314" s="45">
        <f>29.0227 * CHOOSE(CONTROL!$C$15, $E$9, 100%, $G$9) + CHOOSE(CONTROL!$C$38, 0.0256, 0)</f>
        <v>29.048300000000001</v>
      </c>
      <c r="G314" s="14">
        <f>26.9176 * CHOOSE(CONTROL!$C$15, $E$9, 100%, $G$9) + CHOOSE(CONTROL!$C$38, 0.0347, 0)</f>
        <v>26.952300000000001</v>
      </c>
      <c r="H314" s="14">
        <f>26.9176 * CHOOSE(CONTROL!$C$15, $E$9, 100%, $G$9) + CHOOSE(CONTROL!$C$38, 0.0347, 0)</f>
        <v>26.952300000000001</v>
      </c>
      <c r="I314" s="14">
        <f>26.9192 * CHOOSE(CONTROL!$C$15, $E$9, 100%, $G$9) + CHOOSE(CONTROL!$C$38, 0.0347, 0)</f>
        <v>26.953900000000001</v>
      </c>
      <c r="J314" s="44">
        <f>180.5861</f>
        <v>180.58609999999999</v>
      </c>
    </row>
    <row r="315" spans="1:10" ht="15.75" x14ac:dyDescent="0.25">
      <c r="A315" s="33">
        <v>50525</v>
      </c>
      <c r="B315" s="14">
        <f>28.6838 * CHOOSE(CONTROL!$C$15, $E$9, 100%, $G$9) + CHOOSE(CONTROL!$C$38, 0.0256, 0)</f>
        <v>28.709400000000002</v>
      </c>
      <c r="C315" s="14">
        <f>26.424 * CHOOSE(CONTROL!$C$15, $E$9, 100%, $G$9) + CHOOSE(CONTROL!$C$38, 0.0347, 0)</f>
        <v>26.4587</v>
      </c>
      <c r="D315" s="14">
        <f>26.4162 * CHOOSE(CONTROL!$C$15, $E$9, 100%, $G$9) + CHOOSE(CONTROL!$C$38, 0.0347, 0)</f>
        <v>26.450900000000001</v>
      </c>
      <c r="E315" s="46">
        <f>28.5275 * CHOOSE(CONTROL!$C$15, $E$9, 100%, $G$9) + CHOOSE(CONTROL!$C$38, 0.0347, 0)</f>
        <v>28.562200000000001</v>
      </c>
      <c r="F315" s="45">
        <f>28.5275 * CHOOSE(CONTROL!$C$15, $E$9, 100%, $G$9) + CHOOSE(CONTROL!$C$38, 0.0256, 0)</f>
        <v>28.553100000000001</v>
      </c>
      <c r="G315" s="14">
        <f>26.4224 * CHOOSE(CONTROL!$C$15, $E$9, 100%, $G$9) + CHOOSE(CONTROL!$C$38, 0.0347, 0)</f>
        <v>26.457100000000001</v>
      </c>
      <c r="H315" s="14">
        <f>26.4224 * CHOOSE(CONTROL!$C$15, $E$9, 100%, $G$9) + CHOOSE(CONTROL!$C$38, 0.0347, 0)</f>
        <v>26.457100000000001</v>
      </c>
      <c r="I315" s="14">
        <f>26.424 * CHOOSE(CONTROL!$C$15, $E$9, 100%, $G$9) + CHOOSE(CONTROL!$C$38, 0.0347, 0)</f>
        <v>26.4587</v>
      </c>
      <c r="J315" s="44">
        <f>192.3107</f>
        <v>192.3107</v>
      </c>
    </row>
    <row r="316" spans="1:10" ht="15.75" x14ac:dyDescent="0.25">
      <c r="A316" s="33">
        <v>50556</v>
      </c>
      <c r="B316" s="14">
        <f>28.1676 * CHOOSE(CONTROL!$C$15, $E$9, 100%, $G$9) + CHOOSE(CONTROL!$C$38, 0.0278, 0)</f>
        <v>28.195399999999999</v>
      </c>
      <c r="C316" s="14">
        <f>25.9079 * CHOOSE(CONTROL!$C$15, $E$9, 100%, $G$9) + CHOOSE(CONTROL!$C$38, 0.0369, 0)</f>
        <v>25.944800000000001</v>
      </c>
      <c r="D316" s="14">
        <f>25.9001 * CHOOSE(CONTROL!$C$15, $E$9, 100%, $G$9) + CHOOSE(CONTROL!$C$38, 0.0369, 0)</f>
        <v>25.936999999999998</v>
      </c>
      <c r="E316" s="46">
        <f>28.0114 * CHOOSE(CONTROL!$C$15, $E$9, 100%, $G$9) + CHOOSE(CONTROL!$C$38, 0.0369, 0)</f>
        <v>28.048299999999998</v>
      </c>
      <c r="F316" s="45">
        <f>28.0114 * CHOOSE(CONTROL!$C$15, $E$9, 100%, $G$9) + CHOOSE(CONTROL!$C$38, 0.0278, 0)</f>
        <v>28.039199999999997</v>
      </c>
      <c r="G316" s="14">
        <f>25.9063 * CHOOSE(CONTROL!$C$15, $E$9, 100%, $G$9) + CHOOSE(CONTROL!$C$38, 0.0369, 0)</f>
        <v>25.943200000000001</v>
      </c>
      <c r="H316" s="14">
        <f>25.9063 * CHOOSE(CONTROL!$C$15, $E$9, 100%, $G$9) + CHOOSE(CONTROL!$C$38, 0.0369, 0)</f>
        <v>25.943200000000001</v>
      </c>
      <c r="I316" s="14">
        <f>25.9079 * CHOOSE(CONTROL!$C$15, $E$9, 100%, $G$9) + CHOOSE(CONTROL!$C$38, 0.0369, 0)</f>
        <v>25.944800000000001</v>
      </c>
      <c r="J316" s="44">
        <f>198.7642</f>
        <v>198.76419999999999</v>
      </c>
    </row>
    <row r="317" spans="1:10" ht="15.75" x14ac:dyDescent="0.25">
      <c r="A317" s="33">
        <v>50586</v>
      </c>
      <c r="B317" s="14">
        <f>27.8058 * CHOOSE(CONTROL!$C$15, $E$9, 100%, $G$9) + CHOOSE(CONTROL!$C$38, 0.0278, 0)</f>
        <v>27.833600000000001</v>
      </c>
      <c r="C317" s="14">
        <f>25.5461 * CHOOSE(CONTROL!$C$15, $E$9, 100%, $G$9) + CHOOSE(CONTROL!$C$38, 0.0369, 0)</f>
        <v>25.582999999999998</v>
      </c>
      <c r="D317" s="14">
        <f>25.5382 * CHOOSE(CONTROL!$C$15, $E$9, 100%, $G$9) + CHOOSE(CONTROL!$C$38, 0.0369, 0)</f>
        <v>25.575099999999999</v>
      </c>
      <c r="E317" s="46">
        <f>27.6496 * CHOOSE(CONTROL!$C$15, $E$9, 100%, $G$9) + CHOOSE(CONTROL!$C$38, 0.0369, 0)</f>
        <v>27.686499999999999</v>
      </c>
      <c r="F317" s="45">
        <f>27.6496 * CHOOSE(CONTROL!$C$15, $E$9, 100%, $G$9) + CHOOSE(CONTROL!$C$38, 0.0278, 0)</f>
        <v>27.677399999999999</v>
      </c>
      <c r="G317" s="14">
        <f>25.5445 * CHOOSE(CONTROL!$C$15, $E$9, 100%, $G$9) + CHOOSE(CONTROL!$C$38, 0.0369, 0)</f>
        <v>25.581399999999999</v>
      </c>
      <c r="H317" s="14">
        <f>25.5445 * CHOOSE(CONTROL!$C$15, $E$9, 100%, $G$9) + CHOOSE(CONTROL!$C$38, 0.0369, 0)</f>
        <v>25.581399999999999</v>
      </c>
      <c r="I317" s="14">
        <f>25.5461 * CHOOSE(CONTROL!$C$15, $E$9, 100%, $G$9) + CHOOSE(CONTROL!$C$38, 0.0369, 0)</f>
        <v>25.582999999999998</v>
      </c>
      <c r="J317" s="44">
        <f>201.6282</f>
        <v>201.62819999999999</v>
      </c>
    </row>
    <row r="318" spans="1:10" ht="15.75" x14ac:dyDescent="0.25">
      <c r="A318" s="33">
        <v>50617</v>
      </c>
      <c r="B318" s="14">
        <f>27.5993 * CHOOSE(CONTROL!$C$15, $E$9, 100%, $G$9) + CHOOSE(CONTROL!$C$38, 0.0278, 0)</f>
        <v>27.627099999999999</v>
      </c>
      <c r="C318" s="14">
        <f>25.3396 * CHOOSE(CONTROL!$C$15, $E$9, 100%, $G$9) + CHOOSE(CONTROL!$C$38, 0.0369, 0)</f>
        <v>25.3765</v>
      </c>
      <c r="D318" s="14">
        <f>25.3318 * CHOOSE(CONTROL!$C$15, $E$9, 100%, $G$9) + CHOOSE(CONTROL!$C$38, 0.0369, 0)</f>
        <v>25.3687</v>
      </c>
      <c r="E318" s="46">
        <f>27.4431 * CHOOSE(CONTROL!$C$15, $E$9, 100%, $G$9) + CHOOSE(CONTROL!$C$38, 0.0369, 0)</f>
        <v>27.48</v>
      </c>
      <c r="F318" s="45">
        <f>27.4431 * CHOOSE(CONTROL!$C$15, $E$9, 100%, $G$9) + CHOOSE(CONTROL!$C$38, 0.0278, 0)</f>
        <v>27.4709</v>
      </c>
      <c r="G318" s="14">
        <f>25.338 * CHOOSE(CONTROL!$C$15, $E$9, 100%, $G$9) + CHOOSE(CONTROL!$C$38, 0.0369, 0)</f>
        <v>25.3749</v>
      </c>
      <c r="H318" s="14">
        <f>25.338 * CHOOSE(CONTROL!$C$15, $E$9, 100%, $G$9) + CHOOSE(CONTROL!$C$38, 0.0369, 0)</f>
        <v>25.3749</v>
      </c>
      <c r="I318" s="14">
        <f>25.3396 * CHOOSE(CONTROL!$C$15, $E$9, 100%, $G$9) + CHOOSE(CONTROL!$C$38, 0.0369, 0)</f>
        <v>25.3765</v>
      </c>
      <c r="J318" s="44">
        <f>200.6853</f>
        <v>200.68530000000001</v>
      </c>
    </row>
    <row r="319" spans="1:10" ht="15.75" x14ac:dyDescent="0.25">
      <c r="A319" s="33">
        <v>50648</v>
      </c>
      <c r="B319" s="14">
        <f>27.7012 * CHOOSE(CONTROL!$C$15, $E$9, 100%, $G$9) + CHOOSE(CONTROL!$C$38, 0.0278, 0)</f>
        <v>27.728999999999999</v>
      </c>
      <c r="C319" s="14">
        <f>25.4415 * CHOOSE(CONTROL!$C$15, $E$9, 100%, $G$9) + CHOOSE(CONTROL!$C$38, 0.0369, 0)</f>
        <v>25.478400000000001</v>
      </c>
      <c r="D319" s="14">
        <f>25.4337 * CHOOSE(CONTROL!$C$15, $E$9, 100%, $G$9) + CHOOSE(CONTROL!$C$38, 0.0369, 0)</f>
        <v>25.470600000000001</v>
      </c>
      <c r="E319" s="46">
        <f>27.545 * CHOOSE(CONTROL!$C$15, $E$9, 100%, $G$9) + CHOOSE(CONTROL!$C$38, 0.0369, 0)</f>
        <v>27.581900000000001</v>
      </c>
      <c r="F319" s="45">
        <f>27.545 * CHOOSE(CONTROL!$C$15, $E$9, 100%, $G$9) + CHOOSE(CONTROL!$C$38, 0.0278, 0)</f>
        <v>27.572800000000001</v>
      </c>
      <c r="G319" s="14">
        <f>25.4399 * CHOOSE(CONTROL!$C$15, $E$9, 100%, $G$9) + CHOOSE(CONTROL!$C$38, 0.0369, 0)</f>
        <v>25.476800000000001</v>
      </c>
      <c r="H319" s="14">
        <f>25.4399 * CHOOSE(CONTROL!$C$15, $E$9, 100%, $G$9) + CHOOSE(CONTROL!$C$38, 0.0369, 0)</f>
        <v>25.476800000000001</v>
      </c>
      <c r="I319" s="14">
        <f>25.4415 * CHOOSE(CONTROL!$C$15, $E$9, 100%, $G$9) + CHOOSE(CONTROL!$C$38, 0.0369, 0)</f>
        <v>25.478400000000001</v>
      </c>
      <c r="J319" s="44">
        <f>196.0134</f>
        <v>196.01339999999999</v>
      </c>
    </row>
    <row r="320" spans="1:10" ht="15.75" x14ac:dyDescent="0.25">
      <c r="A320" s="33">
        <v>50678</v>
      </c>
      <c r="B320" s="14">
        <f>27.978 * CHOOSE(CONTROL!$C$15, $E$9, 100%, $G$9) + CHOOSE(CONTROL!$C$38, 0.0278, 0)</f>
        <v>28.005800000000001</v>
      </c>
      <c r="C320" s="14">
        <f>25.7183 * CHOOSE(CONTROL!$C$15, $E$9, 100%, $G$9) + CHOOSE(CONTROL!$C$38, 0.0369, 0)</f>
        <v>25.755199999999999</v>
      </c>
      <c r="D320" s="14">
        <f>25.7105 * CHOOSE(CONTROL!$C$15, $E$9, 100%, $G$9) + CHOOSE(CONTROL!$C$38, 0.0369, 0)</f>
        <v>25.747399999999999</v>
      </c>
      <c r="E320" s="46">
        <f>27.8218 * CHOOSE(CONTROL!$C$15, $E$9, 100%, $G$9) + CHOOSE(CONTROL!$C$38, 0.0369, 0)</f>
        <v>27.858699999999999</v>
      </c>
      <c r="F320" s="45">
        <f>27.8218 * CHOOSE(CONTROL!$C$15, $E$9, 100%, $G$9) + CHOOSE(CONTROL!$C$38, 0.0278, 0)</f>
        <v>27.849599999999999</v>
      </c>
      <c r="G320" s="14">
        <f>25.7167 * CHOOSE(CONTROL!$C$15, $E$9, 100%, $G$9) + CHOOSE(CONTROL!$C$38, 0.0369, 0)</f>
        <v>25.753599999999999</v>
      </c>
      <c r="H320" s="14">
        <f>25.7167 * CHOOSE(CONTROL!$C$15, $E$9, 100%, $G$9) + CHOOSE(CONTROL!$C$38, 0.0369, 0)</f>
        <v>25.753599999999999</v>
      </c>
      <c r="I320" s="14">
        <f>25.7183 * CHOOSE(CONTROL!$C$15, $E$9, 100%, $G$9) + CHOOSE(CONTROL!$C$38, 0.0369, 0)</f>
        <v>25.755199999999999</v>
      </c>
      <c r="J320" s="44">
        <f>189.4983</f>
        <v>189.4983</v>
      </c>
    </row>
    <row r="321" spans="1:10" ht="15.75" x14ac:dyDescent="0.25">
      <c r="A321" s="33">
        <v>50709</v>
      </c>
      <c r="B321" s="14">
        <f>28.2099 * CHOOSE(CONTROL!$C$15, $E$9, 100%, $G$9) + CHOOSE(CONTROL!$C$38, 0.0256, 0)</f>
        <v>28.235500000000002</v>
      </c>
      <c r="C321" s="14">
        <f>25.9501 * CHOOSE(CONTROL!$C$15, $E$9, 100%, $G$9) + CHOOSE(CONTROL!$C$38, 0.0347, 0)</f>
        <v>25.9848</v>
      </c>
      <c r="D321" s="14">
        <f>25.9423 * CHOOSE(CONTROL!$C$15, $E$9, 100%, $G$9) + CHOOSE(CONTROL!$C$38, 0.0347, 0)</f>
        <v>25.977</v>
      </c>
      <c r="E321" s="46">
        <f>28.0536 * CHOOSE(CONTROL!$C$15, $E$9, 100%, $G$9) + CHOOSE(CONTROL!$C$38, 0.0347, 0)</f>
        <v>28.0883</v>
      </c>
      <c r="F321" s="45">
        <f>28.0536 * CHOOSE(CONTROL!$C$15, $E$9, 100%, $G$9) + CHOOSE(CONTROL!$C$38, 0.0256, 0)</f>
        <v>28.0792</v>
      </c>
      <c r="G321" s="14">
        <f>25.9485 * CHOOSE(CONTROL!$C$15, $E$9, 100%, $G$9) + CHOOSE(CONTROL!$C$38, 0.0347, 0)</f>
        <v>25.9832</v>
      </c>
      <c r="H321" s="14">
        <f>25.9485 * CHOOSE(CONTROL!$C$15, $E$9, 100%, $G$9) + CHOOSE(CONTROL!$C$38, 0.0347, 0)</f>
        <v>25.9832</v>
      </c>
      <c r="I321" s="14">
        <f>25.9501 * CHOOSE(CONTROL!$C$15, $E$9, 100%, $G$9) + CHOOSE(CONTROL!$C$38, 0.0347, 0)</f>
        <v>25.9848</v>
      </c>
      <c r="J321" s="44">
        <f>182.9452</f>
        <v>182.9452</v>
      </c>
    </row>
    <row r="322" spans="1:10" ht="15.75" x14ac:dyDescent="0.25">
      <c r="A322" s="33">
        <v>50739</v>
      </c>
      <c r="B322" s="14">
        <f>28.4033 * CHOOSE(CONTROL!$C$15, $E$9, 100%, $G$9) + CHOOSE(CONTROL!$C$38, 0.0256, 0)</f>
        <v>28.428900000000002</v>
      </c>
      <c r="C322" s="14">
        <f>26.1435 * CHOOSE(CONTROL!$C$15, $E$9, 100%, $G$9) + CHOOSE(CONTROL!$C$38, 0.0347, 0)</f>
        <v>26.1782</v>
      </c>
      <c r="D322" s="14">
        <f>26.1357 * CHOOSE(CONTROL!$C$15, $E$9, 100%, $G$9) + CHOOSE(CONTROL!$C$38, 0.0347, 0)</f>
        <v>26.170400000000001</v>
      </c>
      <c r="E322" s="46">
        <f>28.247 * CHOOSE(CONTROL!$C$15, $E$9, 100%, $G$9) + CHOOSE(CONTROL!$C$38, 0.0347, 0)</f>
        <v>28.281700000000001</v>
      </c>
      <c r="F322" s="45">
        <f>28.247 * CHOOSE(CONTROL!$C$15, $E$9, 100%, $G$9) + CHOOSE(CONTROL!$C$38, 0.0256, 0)</f>
        <v>28.272600000000001</v>
      </c>
      <c r="G322" s="14">
        <f>26.142 * CHOOSE(CONTROL!$C$15, $E$9, 100%, $G$9) + CHOOSE(CONTROL!$C$38, 0.0347, 0)</f>
        <v>26.1767</v>
      </c>
      <c r="H322" s="14">
        <f>26.142 * CHOOSE(CONTROL!$C$15, $E$9, 100%, $G$9) + CHOOSE(CONTROL!$C$38, 0.0347, 0)</f>
        <v>26.1767</v>
      </c>
      <c r="I322" s="14">
        <f>26.1435 * CHOOSE(CONTROL!$C$15, $E$9, 100%, $G$9) + CHOOSE(CONTROL!$C$38, 0.0347, 0)</f>
        <v>26.1782</v>
      </c>
      <c r="J322" s="44">
        <f>181.6417</f>
        <v>181.64169999999999</v>
      </c>
    </row>
    <row r="323" spans="1:10" ht="15.75" x14ac:dyDescent="0.25">
      <c r="A323" s="33">
        <v>50770</v>
      </c>
      <c r="B323" s="14">
        <f>28.9994 * CHOOSE(CONTROL!$C$15, $E$9, 100%, $G$9) + CHOOSE(CONTROL!$C$38, 0.0256, 0)</f>
        <v>29.025000000000002</v>
      </c>
      <c r="C323" s="14">
        <f>26.7396 * CHOOSE(CONTROL!$C$15, $E$9, 100%, $G$9) + CHOOSE(CONTROL!$C$38, 0.0347, 0)</f>
        <v>26.7743</v>
      </c>
      <c r="D323" s="14">
        <f>26.7318 * CHOOSE(CONTROL!$C$15, $E$9, 100%, $G$9) + CHOOSE(CONTROL!$C$38, 0.0347, 0)</f>
        <v>26.766500000000001</v>
      </c>
      <c r="E323" s="46">
        <f>28.8431 * CHOOSE(CONTROL!$C$15, $E$9, 100%, $G$9) + CHOOSE(CONTROL!$C$38, 0.0347, 0)</f>
        <v>28.877800000000001</v>
      </c>
      <c r="F323" s="45">
        <f>28.8431 * CHOOSE(CONTROL!$C$15, $E$9, 100%, $G$9) + CHOOSE(CONTROL!$C$38, 0.0256, 0)</f>
        <v>28.8687</v>
      </c>
      <c r="G323" s="14">
        <f>26.738 * CHOOSE(CONTROL!$C$15, $E$9, 100%, $G$9) + CHOOSE(CONTROL!$C$38, 0.0347, 0)</f>
        <v>26.7727</v>
      </c>
      <c r="H323" s="14">
        <f>26.738 * CHOOSE(CONTROL!$C$15, $E$9, 100%, $G$9) + CHOOSE(CONTROL!$C$38, 0.0347, 0)</f>
        <v>26.7727</v>
      </c>
      <c r="I323" s="14">
        <f>26.7396 * CHOOSE(CONTROL!$C$15, $E$9, 100%, $G$9) + CHOOSE(CONTROL!$C$38, 0.0347, 0)</f>
        <v>26.7743</v>
      </c>
      <c r="J323" s="44">
        <f>176.2514</f>
        <v>176.25139999999999</v>
      </c>
    </row>
    <row r="324" spans="1:10" ht="15.75" x14ac:dyDescent="0.25">
      <c r="A324" s="33">
        <v>50801</v>
      </c>
      <c r="B324" s="14">
        <f>29.9262 * CHOOSE(CONTROL!$C$15, $E$9, 100%, $G$9) + CHOOSE(CONTROL!$C$38, 0.0256, 0)</f>
        <v>29.951800000000002</v>
      </c>
      <c r="C324" s="14">
        <f>27.632 * CHOOSE(CONTROL!$C$15, $E$9, 100%, $G$9) + CHOOSE(CONTROL!$C$38, 0.0347, 0)</f>
        <v>27.666700000000002</v>
      </c>
      <c r="D324" s="14">
        <f>27.6241 * CHOOSE(CONTROL!$C$15, $E$9, 100%, $G$9) + CHOOSE(CONTROL!$C$38, 0.0347, 0)</f>
        <v>27.658799999999999</v>
      </c>
      <c r="E324" s="46">
        <f>29.77 * CHOOSE(CONTROL!$C$15, $E$9, 100%, $G$9) + CHOOSE(CONTROL!$C$38, 0.0347, 0)</f>
        <v>29.8047</v>
      </c>
      <c r="F324" s="45">
        <f>29.77 * CHOOSE(CONTROL!$C$15, $E$9, 100%, $G$9) + CHOOSE(CONTROL!$C$38, 0.0256, 0)</f>
        <v>29.7956</v>
      </c>
      <c r="G324" s="14">
        <f>27.6304 * CHOOSE(CONTROL!$C$15, $E$9, 100%, $G$9) + CHOOSE(CONTROL!$C$38, 0.0347, 0)</f>
        <v>27.665100000000002</v>
      </c>
      <c r="H324" s="14">
        <f>27.6304 * CHOOSE(CONTROL!$C$15, $E$9, 100%, $G$9) + CHOOSE(CONTROL!$C$38, 0.0347, 0)</f>
        <v>27.665100000000002</v>
      </c>
      <c r="I324" s="14">
        <f>27.632 * CHOOSE(CONTROL!$C$15, $E$9, 100%, $G$9) + CHOOSE(CONTROL!$C$38, 0.0347, 0)</f>
        <v>27.666700000000002</v>
      </c>
      <c r="J324" s="44">
        <f>175.9148</f>
        <v>175.91480000000001</v>
      </c>
    </row>
    <row r="325" spans="1:10" ht="15.75" x14ac:dyDescent="0.25">
      <c r="A325" s="33">
        <v>50829</v>
      </c>
      <c r="B325" s="14">
        <f>30.147 * CHOOSE(CONTROL!$C$15, $E$9, 100%, $G$9) + CHOOSE(CONTROL!$C$38, 0.0256, 0)</f>
        <v>30.172599999999999</v>
      </c>
      <c r="C325" s="14">
        <f>27.8527 * CHOOSE(CONTROL!$C$15, $E$9, 100%, $G$9) + CHOOSE(CONTROL!$C$38, 0.0347, 0)</f>
        <v>27.8874</v>
      </c>
      <c r="D325" s="14">
        <f>27.8449 * CHOOSE(CONTROL!$C$15, $E$9, 100%, $G$9) + CHOOSE(CONTROL!$C$38, 0.0347, 0)</f>
        <v>27.8796</v>
      </c>
      <c r="E325" s="46">
        <f>29.9907 * CHOOSE(CONTROL!$C$15, $E$9, 100%, $G$9) + CHOOSE(CONTROL!$C$38, 0.0347, 0)</f>
        <v>30.025400000000001</v>
      </c>
      <c r="F325" s="45">
        <f>29.9907 * CHOOSE(CONTROL!$C$15, $E$9, 100%, $G$9) + CHOOSE(CONTROL!$C$38, 0.0256, 0)</f>
        <v>30.016300000000001</v>
      </c>
      <c r="G325" s="14">
        <f>27.8512 * CHOOSE(CONTROL!$C$15, $E$9, 100%, $G$9) + CHOOSE(CONTROL!$C$38, 0.0347, 0)</f>
        <v>27.885899999999999</v>
      </c>
      <c r="H325" s="14">
        <f>27.8512 * CHOOSE(CONTROL!$C$15, $E$9, 100%, $G$9) + CHOOSE(CONTROL!$C$38, 0.0347, 0)</f>
        <v>27.885899999999999</v>
      </c>
      <c r="I325" s="14">
        <f>27.8527 * CHOOSE(CONTROL!$C$15, $E$9, 100%, $G$9) + CHOOSE(CONTROL!$C$38, 0.0347, 0)</f>
        <v>27.8874</v>
      </c>
      <c r="J325" s="44">
        <f>175.4259</f>
        <v>175.42590000000001</v>
      </c>
    </row>
    <row r="326" spans="1:10" ht="15.75" x14ac:dyDescent="0.25">
      <c r="A326" s="33">
        <v>50860</v>
      </c>
      <c r="B326" s="14">
        <f>29.6359 * CHOOSE(CONTROL!$C$15, $E$9, 100%, $G$9) + CHOOSE(CONTROL!$C$38, 0.0256, 0)</f>
        <v>29.6615</v>
      </c>
      <c r="C326" s="14">
        <f>27.3417 * CHOOSE(CONTROL!$C$15, $E$9, 100%, $G$9) + CHOOSE(CONTROL!$C$38, 0.0347, 0)</f>
        <v>27.3764</v>
      </c>
      <c r="D326" s="14">
        <f>27.3339 * CHOOSE(CONTROL!$C$15, $E$9, 100%, $G$9) + CHOOSE(CONTROL!$C$38, 0.0347, 0)</f>
        <v>27.368600000000001</v>
      </c>
      <c r="E326" s="46">
        <f>29.4797 * CHOOSE(CONTROL!$C$15, $E$9, 100%, $G$9) + CHOOSE(CONTROL!$C$38, 0.0347, 0)</f>
        <v>29.514400000000002</v>
      </c>
      <c r="F326" s="45">
        <f>29.4797 * CHOOSE(CONTROL!$C$15, $E$9, 100%, $G$9) + CHOOSE(CONTROL!$C$38, 0.0256, 0)</f>
        <v>29.505300000000002</v>
      </c>
      <c r="G326" s="14">
        <f>27.3401 * CHOOSE(CONTROL!$C$15, $E$9, 100%, $G$9) + CHOOSE(CONTROL!$C$38, 0.0347, 0)</f>
        <v>27.3748</v>
      </c>
      <c r="H326" s="14">
        <f>27.3401 * CHOOSE(CONTROL!$C$15, $E$9, 100%, $G$9) + CHOOSE(CONTROL!$C$38, 0.0347, 0)</f>
        <v>27.3748</v>
      </c>
      <c r="I326" s="14">
        <f>27.3417 * CHOOSE(CONTROL!$C$15, $E$9, 100%, $G$9) + CHOOSE(CONTROL!$C$38, 0.0347, 0)</f>
        <v>27.3764</v>
      </c>
      <c r="J326" s="44">
        <f>184.6718</f>
        <v>184.67179999999999</v>
      </c>
    </row>
    <row r="327" spans="1:10" ht="15.75" x14ac:dyDescent="0.25">
      <c r="A327" s="33">
        <v>50890</v>
      </c>
      <c r="B327" s="14">
        <f>29.1408 * CHOOSE(CONTROL!$C$15, $E$9, 100%, $G$9) + CHOOSE(CONTROL!$C$38, 0.0256, 0)</f>
        <v>29.166399999999999</v>
      </c>
      <c r="C327" s="14">
        <f>26.8465 * CHOOSE(CONTROL!$C$15, $E$9, 100%, $G$9) + CHOOSE(CONTROL!$C$38, 0.0347, 0)</f>
        <v>26.8812</v>
      </c>
      <c r="D327" s="14">
        <f>26.8387 * CHOOSE(CONTROL!$C$15, $E$9, 100%, $G$9) + CHOOSE(CONTROL!$C$38, 0.0347, 0)</f>
        <v>26.8734</v>
      </c>
      <c r="E327" s="46">
        <f>28.9845 * CHOOSE(CONTROL!$C$15, $E$9, 100%, $G$9) + CHOOSE(CONTROL!$C$38, 0.0347, 0)</f>
        <v>29.019200000000001</v>
      </c>
      <c r="F327" s="45">
        <f>28.9845 * CHOOSE(CONTROL!$C$15, $E$9, 100%, $G$9) + CHOOSE(CONTROL!$C$38, 0.0256, 0)</f>
        <v>29.010100000000001</v>
      </c>
      <c r="G327" s="14">
        <f>26.8449 * CHOOSE(CONTROL!$C$15, $E$9, 100%, $G$9) + CHOOSE(CONTROL!$C$38, 0.0347, 0)</f>
        <v>26.8796</v>
      </c>
      <c r="H327" s="14">
        <f>26.8449 * CHOOSE(CONTROL!$C$15, $E$9, 100%, $G$9) + CHOOSE(CONTROL!$C$38, 0.0347, 0)</f>
        <v>26.8796</v>
      </c>
      <c r="I327" s="14">
        <f>26.8465 * CHOOSE(CONTROL!$C$15, $E$9, 100%, $G$9) + CHOOSE(CONTROL!$C$38, 0.0347, 0)</f>
        <v>26.8812</v>
      </c>
      <c r="J327" s="44">
        <f>196.6616</f>
        <v>196.66159999999999</v>
      </c>
    </row>
    <row r="328" spans="1:10" ht="15.75" x14ac:dyDescent="0.25">
      <c r="A328" s="33">
        <v>50921</v>
      </c>
      <c r="B328" s="14">
        <f>28.6246 * CHOOSE(CONTROL!$C$15, $E$9, 100%, $G$9) + CHOOSE(CONTROL!$C$38, 0.0278, 0)</f>
        <v>28.6524</v>
      </c>
      <c r="C328" s="14">
        <f>26.3304 * CHOOSE(CONTROL!$C$15, $E$9, 100%, $G$9) + CHOOSE(CONTROL!$C$38, 0.0369, 0)</f>
        <v>26.3673</v>
      </c>
      <c r="D328" s="14">
        <f>26.3226 * CHOOSE(CONTROL!$C$15, $E$9, 100%, $G$9) + CHOOSE(CONTROL!$C$38, 0.0369, 0)</f>
        <v>26.359500000000001</v>
      </c>
      <c r="E328" s="46">
        <f>28.4684 * CHOOSE(CONTROL!$C$15, $E$9, 100%, $G$9) + CHOOSE(CONTROL!$C$38, 0.0369, 0)</f>
        <v>28.505299999999998</v>
      </c>
      <c r="F328" s="45">
        <f>28.4684 * CHOOSE(CONTROL!$C$15, $E$9, 100%, $G$9) + CHOOSE(CONTROL!$C$38, 0.0278, 0)</f>
        <v>28.496199999999998</v>
      </c>
      <c r="G328" s="14">
        <f>26.3288 * CHOOSE(CONTROL!$C$15, $E$9, 100%, $G$9) + CHOOSE(CONTROL!$C$38, 0.0369, 0)</f>
        <v>26.3657</v>
      </c>
      <c r="H328" s="14">
        <f>26.3288 * CHOOSE(CONTROL!$C$15, $E$9, 100%, $G$9) + CHOOSE(CONTROL!$C$38, 0.0369, 0)</f>
        <v>26.3657</v>
      </c>
      <c r="I328" s="14">
        <f>26.3304 * CHOOSE(CONTROL!$C$15, $E$9, 100%, $G$9) + CHOOSE(CONTROL!$C$38, 0.0369, 0)</f>
        <v>26.3673</v>
      </c>
      <c r="J328" s="44">
        <f>203.2612</f>
        <v>203.2612</v>
      </c>
    </row>
    <row r="329" spans="1:10" ht="15.75" x14ac:dyDescent="0.25">
      <c r="A329" s="33">
        <v>50951</v>
      </c>
      <c r="B329" s="14">
        <f>28.2628 * CHOOSE(CONTROL!$C$15, $E$9, 100%, $G$9) + CHOOSE(CONTROL!$C$38, 0.0278, 0)</f>
        <v>28.290599999999998</v>
      </c>
      <c r="C329" s="14">
        <f>25.9686 * CHOOSE(CONTROL!$C$15, $E$9, 100%, $G$9) + CHOOSE(CONTROL!$C$38, 0.0369, 0)</f>
        <v>26.005499999999998</v>
      </c>
      <c r="D329" s="14">
        <f>25.9607 * CHOOSE(CONTROL!$C$15, $E$9, 100%, $G$9) + CHOOSE(CONTROL!$C$38, 0.0369, 0)</f>
        <v>25.997599999999998</v>
      </c>
      <c r="E329" s="46">
        <f>28.1066 * CHOOSE(CONTROL!$C$15, $E$9, 100%, $G$9) + CHOOSE(CONTROL!$C$38, 0.0369, 0)</f>
        <v>28.1435</v>
      </c>
      <c r="F329" s="45">
        <f>28.1066 * CHOOSE(CONTROL!$C$15, $E$9, 100%, $G$9) + CHOOSE(CONTROL!$C$38, 0.0278, 0)</f>
        <v>28.134399999999999</v>
      </c>
      <c r="G329" s="14">
        <f>25.967 * CHOOSE(CONTROL!$C$15, $E$9, 100%, $G$9) + CHOOSE(CONTROL!$C$38, 0.0369, 0)</f>
        <v>26.003899999999998</v>
      </c>
      <c r="H329" s="14">
        <f>25.967 * CHOOSE(CONTROL!$C$15, $E$9, 100%, $G$9) + CHOOSE(CONTROL!$C$38, 0.0369, 0)</f>
        <v>26.003899999999998</v>
      </c>
      <c r="I329" s="14">
        <f>25.9686 * CHOOSE(CONTROL!$C$15, $E$9, 100%, $G$9) + CHOOSE(CONTROL!$C$38, 0.0369, 0)</f>
        <v>26.005499999999998</v>
      </c>
      <c r="J329" s="44">
        <f>206.19</f>
        <v>206.19</v>
      </c>
    </row>
    <row r="330" spans="1:10" ht="15.75" x14ac:dyDescent="0.25">
      <c r="A330" s="33">
        <v>50982</v>
      </c>
      <c r="B330" s="14">
        <f>28.0563 * CHOOSE(CONTROL!$C$15, $E$9, 100%, $G$9) + CHOOSE(CONTROL!$C$38, 0.0278, 0)</f>
        <v>28.084099999999999</v>
      </c>
      <c r="C330" s="14">
        <f>25.7621 * CHOOSE(CONTROL!$C$15, $E$9, 100%, $G$9) + CHOOSE(CONTROL!$C$38, 0.0369, 0)</f>
        <v>25.798999999999999</v>
      </c>
      <c r="D330" s="14">
        <f>25.7543 * CHOOSE(CONTROL!$C$15, $E$9, 100%, $G$9) + CHOOSE(CONTROL!$C$38, 0.0369, 0)</f>
        <v>25.7912</v>
      </c>
      <c r="E330" s="46">
        <f>27.9001 * CHOOSE(CONTROL!$C$15, $E$9, 100%, $G$9) + CHOOSE(CONTROL!$C$38, 0.0369, 0)</f>
        <v>27.936999999999998</v>
      </c>
      <c r="F330" s="45">
        <f>27.9001 * CHOOSE(CONTROL!$C$15, $E$9, 100%, $G$9) + CHOOSE(CONTROL!$C$38, 0.0278, 0)</f>
        <v>27.927899999999998</v>
      </c>
      <c r="G330" s="14">
        <f>25.7605 * CHOOSE(CONTROL!$C$15, $E$9, 100%, $G$9) + CHOOSE(CONTROL!$C$38, 0.0369, 0)</f>
        <v>25.7974</v>
      </c>
      <c r="H330" s="14">
        <f>25.7605 * CHOOSE(CONTROL!$C$15, $E$9, 100%, $G$9) + CHOOSE(CONTROL!$C$38, 0.0369, 0)</f>
        <v>25.7974</v>
      </c>
      <c r="I330" s="14">
        <f>25.7621 * CHOOSE(CONTROL!$C$15, $E$9, 100%, $G$9) + CHOOSE(CONTROL!$C$38, 0.0369, 0)</f>
        <v>25.798999999999999</v>
      </c>
      <c r="J330" s="44">
        <f>205.2257</f>
        <v>205.22569999999999</v>
      </c>
    </row>
    <row r="331" spans="1:10" ht="15.75" x14ac:dyDescent="0.25">
      <c r="A331" s="33">
        <v>51013</v>
      </c>
      <c r="B331" s="14">
        <f>28.1582 * CHOOSE(CONTROL!$C$15, $E$9, 100%, $G$9) + CHOOSE(CONTROL!$C$38, 0.0278, 0)</f>
        <v>28.186</v>
      </c>
      <c r="C331" s="14">
        <f>25.864 * CHOOSE(CONTROL!$C$15, $E$9, 100%, $G$9) + CHOOSE(CONTROL!$C$38, 0.0369, 0)</f>
        <v>25.9009</v>
      </c>
      <c r="D331" s="14">
        <f>25.8562 * CHOOSE(CONTROL!$C$15, $E$9, 100%, $G$9) + CHOOSE(CONTROL!$C$38, 0.0369, 0)</f>
        <v>25.8931</v>
      </c>
      <c r="E331" s="46">
        <f>28.002 * CHOOSE(CONTROL!$C$15, $E$9, 100%, $G$9) + CHOOSE(CONTROL!$C$38, 0.0369, 0)</f>
        <v>28.038899999999998</v>
      </c>
      <c r="F331" s="45">
        <f>28.002 * CHOOSE(CONTROL!$C$15, $E$9, 100%, $G$9) + CHOOSE(CONTROL!$C$38, 0.0278, 0)</f>
        <v>28.029799999999998</v>
      </c>
      <c r="G331" s="14">
        <f>25.8624 * CHOOSE(CONTROL!$C$15, $E$9, 100%, $G$9) + CHOOSE(CONTROL!$C$38, 0.0369, 0)</f>
        <v>25.8993</v>
      </c>
      <c r="H331" s="14">
        <f>25.8624 * CHOOSE(CONTROL!$C$15, $E$9, 100%, $G$9) + CHOOSE(CONTROL!$C$38, 0.0369, 0)</f>
        <v>25.8993</v>
      </c>
      <c r="I331" s="14">
        <f>25.864 * CHOOSE(CONTROL!$C$15, $E$9, 100%, $G$9) + CHOOSE(CONTROL!$C$38, 0.0369, 0)</f>
        <v>25.9009</v>
      </c>
      <c r="J331" s="44">
        <f>200.4481</f>
        <v>200.44810000000001</v>
      </c>
    </row>
    <row r="332" spans="1:10" ht="15.75" x14ac:dyDescent="0.25">
      <c r="A332" s="33">
        <v>51043</v>
      </c>
      <c r="B332" s="14">
        <f>28.435 * CHOOSE(CONTROL!$C$15, $E$9, 100%, $G$9) + CHOOSE(CONTROL!$C$38, 0.0278, 0)</f>
        <v>28.462799999999998</v>
      </c>
      <c r="C332" s="14">
        <f>26.1408 * CHOOSE(CONTROL!$C$15, $E$9, 100%, $G$9) + CHOOSE(CONTROL!$C$38, 0.0369, 0)</f>
        <v>26.177699999999998</v>
      </c>
      <c r="D332" s="14">
        <f>26.133 * CHOOSE(CONTROL!$C$15, $E$9, 100%, $G$9) + CHOOSE(CONTROL!$C$38, 0.0369, 0)</f>
        <v>26.169899999999998</v>
      </c>
      <c r="E332" s="46">
        <f>28.2788 * CHOOSE(CONTROL!$C$15, $E$9, 100%, $G$9) + CHOOSE(CONTROL!$C$38, 0.0369, 0)</f>
        <v>28.3157</v>
      </c>
      <c r="F332" s="45">
        <f>28.2788 * CHOOSE(CONTROL!$C$15, $E$9, 100%, $G$9) + CHOOSE(CONTROL!$C$38, 0.0278, 0)</f>
        <v>28.3066</v>
      </c>
      <c r="G332" s="14">
        <f>26.1392 * CHOOSE(CONTROL!$C$15, $E$9, 100%, $G$9) + CHOOSE(CONTROL!$C$38, 0.0369, 0)</f>
        <v>26.176099999999998</v>
      </c>
      <c r="H332" s="14">
        <f>26.1392 * CHOOSE(CONTROL!$C$15, $E$9, 100%, $G$9) + CHOOSE(CONTROL!$C$38, 0.0369, 0)</f>
        <v>26.176099999999998</v>
      </c>
      <c r="I332" s="14">
        <f>26.1408 * CHOOSE(CONTROL!$C$15, $E$9, 100%, $G$9) + CHOOSE(CONTROL!$C$38, 0.0369, 0)</f>
        <v>26.177699999999998</v>
      </c>
      <c r="J332" s="44">
        <f>193.7856</f>
        <v>193.78559999999999</v>
      </c>
    </row>
    <row r="333" spans="1:10" ht="15.75" x14ac:dyDescent="0.25">
      <c r="A333" s="33">
        <v>51074</v>
      </c>
      <c r="B333" s="14">
        <f>28.6668 * CHOOSE(CONTROL!$C$15, $E$9, 100%, $G$9) + CHOOSE(CONTROL!$C$38, 0.0256, 0)</f>
        <v>28.692399999999999</v>
      </c>
      <c r="C333" s="14">
        <f>26.3726 * CHOOSE(CONTROL!$C$15, $E$9, 100%, $G$9) + CHOOSE(CONTROL!$C$38, 0.0347, 0)</f>
        <v>26.407299999999999</v>
      </c>
      <c r="D333" s="14">
        <f>26.3648 * CHOOSE(CONTROL!$C$15, $E$9, 100%, $G$9) + CHOOSE(CONTROL!$C$38, 0.0347, 0)</f>
        <v>26.3995</v>
      </c>
      <c r="E333" s="46">
        <f>28.5106 * CHOOSE(CONTROL!$C$15, $E$9, 100%, $G$9) + CHOOSE(CONTROL!$C$38, 0.0347, 0)</f>
        <v>28.545300000000001</v>
      </c>
      <c r="F333" s="45">
        <f>28.5106 * CHOOSE(CONTROL!$C$15, $E$9, 100%, $G$9) + CHOOSE(CONTROL!$C$38, 0.0256, 0)</f>
        <v>28.536200000000001</v>
      </c>
      <c r="G333" s="14">
        <f>26.371 * CHOOSE(CONTROL!$C$15, $E$9, 100%, $G$9) + CHOOSE(CONTROL!$C$38, 0.0347, 0)</f>
        <v>26.4057</v>
      </c>
      <c r="H333" s="14">
        <f>26.371 * CHOOSE(CONTROL!$C$15, $E$9, 100%, $G$9) + CHOOSE(CONTROL!$C$38, 0.0347, 0)</f>
        <v>26.4057</v>
      </c>
      <c r="I333" s="14">
        <f>26.3726 * CHOOSE(CONTROL!$C$15, $E$9, 100%, $G$9) + CHOOSE(CONTROL!$C$38, 0.0347, 0)</f>
        <v>26.407299999999999</v>
      </c>
      <c r="J333" s="44">
        <f>187.0843</f>
        <v>187.08430000000001</v>
      </c>
    </row>
    <row r="334" spans="1:10" ht="15.75" x14ac:dyDescent="0.25">
      <c r="A334" s="33">
        <v>51104</v>
      </c>
      <c r="B334" s="14">
        <f>28.8603 * CHOOSE(CONTROL!$C$15, $E$9, 100%, $G$9) + CHOOSE(CONTROL!$C$38, 0.0256, 0)</f>
        <v>28.885899999999999</v>
      </c>
      <c r="C334" s="14">
        <f>26.566 * CHOOSE(CONTROL!$C$15, $E$9, 100%, $G$9) + CHOOSE(CONTROL!$C$38, 0.0347, 0)</f>
        <v>26.6007</v>
      </c>
      <c r="D334" s="14">
        <f>26.5582 * CHOOSE(CONTROL!$C$15, $E$9, 100%, $G$9) + CHOOSE(CONTROL!$C$38, 0.0347, 0)</f>
        <v>26.5929</v>
      </c>
      <c r="E334" s="46">
        <f>28.704 * CHOOSE(CONTROL!$C$15, $E$9, 100%, $G$9) + CHOOSE(CONTROL!$C$38, 0.0347, 0)</f>
        <v>28.738700000000001</v>
      </c>
      <c r="F334" s="45">
        <f>28.704 * CHOOSE(CONTROL!$C$15, $E$9, 100%, $G$9) + CHOOSE(CONTROL!$C$38, 0.0256, 0)</f>
        <v>28.729600000000001</v>
      </c>
      <c r="G334" s="14">
        <f>26.5645 * CHOOSE(CONTROL!$C$15, $E$9, 100%, $G$9) + CHOOSE(CONTROL!$C$38, 0.0347, 0)</f>
        <v>26.5992</v>
      </c>
      <c r="H334" s="14">
        <f>26.5645 * CHOOSE(CONTROL!$C$15, $E$9, 100%, $G$9) + CHOOSE(CONTROL!$C$38, 0.0347, 0)</f>
        <v>26.5992</v>
      </c>
      <c r="I334" s="14">
        <f>26.566 * CHOOSE(CONTROL!$C$15, $E$9, 100%, $G$9) + CHOOSE(CONTROL!$C$38, 0.0347, 0)</f>
        <v>26.6007</v>
      </c>
      <c r="J334" s="44">
        <f>185.7512</f>
        <v>185.75120000000001</v>
      </c>
    </row>
    <row r="335" spans="1:10" ht="15.75" x14ac:dyDescent="0.25">
      <c r="A335" s="33">
        <v>51135</v>
      </c>
      <c r="B335" s="14">
        <f>29.4564 * CHOOSE(CONTROL!$C$15, $E$9, 100%, $G$9) + CHOOSE(CONTROL!$C$38, 0.0256, 0)</f>
        <v>29.481999999999999</v>
      </c>
      <c r="C335" s="14">
        <f>27.1621 * CHOOSE(CONTROL!$C$15, $E$9, 100%, $G$9) + CHOOSE(CONTROL!$C$38, 0.0347, 0)</f>
        <v>27.1968</v>
      </c>
      <c r="D335" s="14">
        <f>27.1543 * CHOOSE(CONTROL!$C$15, $E$9, 100%, $G$9) + CHOOSE(CONTROL!$C$38, 0.0347, 0)</f>
        <v>27.189</v>
      </c>
      <c r="E335" s="46">
        <f>29.3001 * CHOOSE(CONTROL!$C$15, $E$9, 100%, $G$9) + CHOOSE(CONTROL!$C$38, 0.0347, 0)</f>
        <v>29.334800000000001</v>
      </c>
      <c r="F335" s="45">
        <f>29.3001 * CHOOSE(CONTROL!$C$15, $E$9, 100%, $G$9) + CHOOSE(CONTROL!$C$38, 0.0256, 0)</f>
        <v>29.325700000000001</v>
      </c>
      <c r="G335" s="14">
        <f>27.1605 * CHOOSE(CONTROL!$C$15, $E$9, 100%, $G$9) + CHOOSE(CONTROL!$C$38, 0.0347, 0)</f>
        <v>27.1952</v>
      </c>
      <c r="H335" s="14">
        <f>27.1605 * CHOOSE(CONTROL!$C$15, $E$9, 100%, $G$9) + CHOOSE(CONTROL!$C$38, 0.0347, 0)</f>
        <v>27.1952</v>
      </c>
      <c r="I335" s="14">
        <f>27.1621 * CHOOSE(CONTROL!$C$15, $E$9, 100%, $G$9) + CHOOSE(CONTROL!$C$38, 0.0347, 0)</f>
        <v>27.1968</v>
      </c>
      <c r="J335" s="44">
        <f>180.239</f>
        <v>180.239</v>
      </c>
    </row>
    <row r="336" spans="1:10" ht="15.75" x14ac:dyDescent="0.25">
      <c r="A336" s="33">
        <v>51166</v>
      </c>
      <c r="B336" s="14">
        <f>30.3907 * CHOOSE(CONTROL!$C$15, $E$9, 100%, $G$9) + CHOOSE(CONTROL!$C$38, 0.0256, 0)</f>
        <v>30.4163</v>
      </c>
      <c r="C336" s="14">
        <f>28.0614 * CHOOSE(CONTROL!$C$15, $E$9, 100%, $G$9) + CHOOSE(CONTROL!$C$38, 0.0347, 0)</f>
        <v>28.0961</v>
      </c>
      <c r="D336" s="14">
        <f>28.0536 * CHOOSE(CONTROL!$C$15, $E$9, 100%, $G$9) + CHOOSE(CONTROL!$C$38, 0.0347, 0)</f>
        <v>28.0883</v>
      </c>
      <c r="E336" s="46">
        <f>30.2344 * CHOOSE(CONTROL!$C$15, $E$9, 100%, $G$9) + CHOOSE(CONTROL!$C$38, 0.0347, 0)</f>
        <v>30.269100000000002</v>
      </c>
      <c r="F336" s="45">
        <f>30.2344 * CHOOSE(CONTROL!$C$15, $E$9, 100%, $G$9) + CHOOSE(CONTROL!$C$38, 0.0256, 0)</f>
        <v>30.26</v>
      </c>
      <c r="G336" s="14">
        <f>28.0598 * CHOOSE(CONTROL!$C$15, $E$9, 100%, $G$9) + CHOOSE(CONTROL!$C$38, 0.0347, 0)</f>
        <v>28.0945</v>
      </c>
      <c r="H336" s="14">
        <f>28.0598 * CHOOSE(CONTROL!$C$15, $E$9, 100%, $G$9) + CHOOSE(CONTROL!$C$38, 0.0347, 0)</f>
        <v>28.0945</v>
      </c>
      <c r="I336" s="14">
        <f>28.0614 * CHOOSE(CONTROL!$C$15, $E$9, 100%, $G$9) + CHOOSE(CONTROL!$C$38, 0.0347, 0)</f>
        <v>28.0961</v>
      </c>
      <c r="J336" s="44">
        <f>179.8948</f>
        <v>179.8948</v>
      </c>
    </row>
    <row r="337" spans="1:10" ht="15.75" x14ac:dyDescent="0.25">
      <c r="A337" s="33">
        <v>51194</v>
      </c>
      <c r="B337" s="14">
        <f>30.6114 * CHOOSE(CONTROL!$C$15, $E$9, 100%, $G$9) + CHOOSE(CONTROL!$C$38, 0.0256, 0)</f>
        <v>30.637</v>
      </c>
      <c r="C337" s="14">
        <f>28.2821 * CHOOSE(CONTROL!$C$15, $E$9, 100%, $G$9) + CHOOSE(CONTROL!$C$38, 0.0347, 0)</f>
        <v>28.316800000000001</v>
      </c>
      <c r="D337" s="14">
        <f>28.2743 * CHOOSE(CONTROL!$C$15, $E$9, 100%, $G$9) + CHOOSE(CONTROL!$C$38, 0.0347, 0)</f>
        <v>28.309000000000001</v>
      </c>
      <c r="E337" s="46">
        <f>30.4552 * CHOOSE(CONTROL!$C$15, $E$9, 100%, $G$9) + CHOOSE(CONTROL!$C$38, 0.0347, 0)</f>
        <v>30.489900000000002</v>
      </c>
      <c r="F337" s="45">
        <f>30.4552 * CHOOSE(CONTROL!$C$15, $E$9, 100%, $G$9) + CHOOSE(CONTROL!$C$38, 0.0256, 0)</f>
        <v>30.480800000000002</v>
      </c>
      <c r="G337" s="14">
        <f>28.2806 * CHOOSE(CONTROL!$C$15, $E$9, 100%, $G$9) + CHOOSE(CONTROL!$C$38, 0.0347, 0)</f>
        <v>28.315300000000001</v>
      </c>
      <c r="H337" s="14">
        <f>28.2806 * CHOOSE(CONTROL!$C$15, $E$9, 100%, $G$9) + CHOOSE(CONTROL!$C$38, 0.0347, 0)</f>
        <v>28.315300000000001</v>
      </c>
      <c r="I337" s="14">
        <f>28.2821 * CHOOSE(CONTROL!$C$15, $E$9, 100%, $G$9) + CHOOSE(CONTROL!$C$38, 0.0347, 0)</f>
        <v>28.316800000000001</v>
      </c>
      <c r="J337" s="44">
        <f>179.3948</f>
        <v>179.3948</v>
      </c>
    </row>
    <row r="338" spans="1:10" ht="15.75" x14ac:dyDescent="0.25">
      <c r="A338" s="33">
        <v>51226</v>
      </c>
      <c r="B338" s="14">
        <f>30.1004 * CHOOSE(CONTROL!$C$15, $E$9, 100%, $G$9) + CHOOSE(CONTROL!$C$38, 0.0256, 0)</f>
        <v>30.126000000000001</v>
      </c>
      <c r="C338" s="14">
        <f>27.7711 * CHOOSE(CONTROL!$C$15, $E$9, 100%, $G$9) + CHOOSE(CONTROL!$C$38, 0.0347, 0)</f>
        <v>27.805800000000001</v>
      </c>
      <c r="D338" s="14">
        <f>27.7633 * CHOOSE(CONTROL!$C$15, $E$9, 100%, $G$9) + CHOOSE(CONTROL!$C$38, 0.0347, 0)</f>
        <v>27.798000000000002</v>
      </c>
      <c r="E338" s="46">
        <f>29.9442 * CHOOSE(CONTROL!$C$15, $E$9, 100%, $G$9) + CHOOSE(CONTROL!$C$38, 0.0347, 0)</f>
        <v>29.978899999999999</v>
      </c>
      <c r="F338" s="45">
        <f>29.9442 * CHOOSE(CONTROL!$C$15, $E$9, 100%, $G$9) + CHOOSE(CONTROL!$C$38, 0.0256, 0)</f>
        <v>29.969799999999999</v>
      </c>
      <c r="G338" s="14">
        <f>27.7695 * CHOOSE(CONTROL!$C$15, $E$9, 100%, $G$9) + CHOOSE(CONTROL!$C$38, 0.0347, 0)</f>
        <v>27.804200000000002</v>
      </c>
      <c r="H338" s="14">
        <f>27.7695 * CHOOSE(CONTROL!$C$15, $E$9, 100%, $G$9) + CHOOSE(CONTROL!$C$38, 0.0347, 0)</f>
        <v>27.804200000000002</v>
      </c>
      <c r="I338" s="14">
        <f>27.7711 * CHOOSE(CONTROL!$C$15, $E$9, 100%, $G$9) + CHOOSE(CONTROL!$C$38, 0.0347, 0)</f>
        <v>27.805800000000001</v>
      </c>
      <c r="J338" s="44">
        <f>188.8499</f>
        <v>188.84989999999999</v>
      </c>
    </row>
    <row r="339" spans="1:10" ht="15.75" x14ac:dyDescent="0.25">
      <c r="A339" s="33">
        <v>51256</v>
      </c>
      <c r="B339" s="14">
        <f>29.6052 * CHOOSE(CONTROL!$C$15, $E$9, 100%, $G$9) + CHOOSE(CONTROL!$C$38, 0.0256, 0)</f>
        <v>29.630800000000001</v>
      </c>
      <c r="C339" s="14">
        <f>27.2759 * CHOOSE(CONTROL!$C$15, $E$9, 100%, $G$9) + CHOOSE(CONTROL!$C$38, 0.0347, 0)</f>
        <v>27.310600000000001</v>
      </c>
      <c r="D339" s="14">
        <f>27.2681 * CHOOSE(CONTROL!$C$15, $E$9, 100%, $G$9) + CHOOSE(CONTROL!$C$38, 0.0347, 0)</f>
        <v>27.302800000000001</v>
      </c>
      <c r="E339" s="46">
        <f>29.449 * CHOOSE(CONTROL!$C$15, $E$9, 100%, $G$9) + CHOOSE(CONTROL!$C$38, 0.0347, 0)</f>
        <v>29.483700000000002</v>
      </c>
      <c r="F339" s="45">
        <f>29.449 * CHOOSE(CONTROL!$C$15, $E$9, 100%, $G$9) + CHOOSE(CONTROL!$C$38, 0.0256, 0)</f>
        <v>29.474600000000002</v>
      </c>
      <c r="G339" s="14">
        <f>27.2744 * CHOOSE(CONTROL!$C$15, $E$9, 100%, $G$9) + CHOOSE(CONTROL!$C$38, 0.0347, 0)</f>
        <v>27.309100000000001</v>
      </c>
      <c r="H339" s="14">
        <f>27.2744 * CHOOSE(CONTROL!$C$15, $E$9, 100%, $G$9) + CHOOSE(CONTROL!$C$38, 0.0347, 0)</f>
        <v>27.309100000000001</v>
      </c>
      <c r="I339" s="14">
        <f>27.2759 * CHOOSE(CONTROL!$C$15, $E$9, 100%, $G$9) + CHOOSE(CONTROL!$C$38, 0.0347, 0)</f>
        <v>27.310600000000001</v>
      </c>
      <c r="J339" s="44">
        <f>201.111</f>
        <v>201.11099999999999</v>
      </c>
    </row>
    <row r="340" spans="1:10" ht="15.75" x14ac:dyDescent="0.25">
      <c r="A340" s="33">
        <v>51287</v>
      </c>
      <c r="B340" s="14">
        <f>29.0891 * CHOOSE(CONTROL!$C$15, $E$9, 100%, $G$9) + CHOOSE(CONTROL!$C$38, 0.0278, 0)</f>
        <v>29.116899999999998</v>
      </c>
      <c r="C340" s="14">
        <f>26.7598 * CHOOSE(CONTROL!$C$15, $E$9, 100%, $G$9) + CHOOSE(CONTROL!$C$38, 0.0369, 0)</f>
        <v>26.796699999999998</v>
      </c>
      <c r="D340" s="14">
        <f>26.752 * CHOOSE(CONTROL!$C$15, $E$9, 100%, $G$9) + CHOOSE(CONTROL!$C$38, 0.0369, 0)</f>
        <v>26.788899999999998</v>
      </c>
      <c r="E340" s="46">
        <f>28.9329 * CHOOSE(CONTROL!$C$15, $E$9, 100%, $G$9) + CHOOSE(CONTROL!$C$38, 0.0369, 0)</f>
        <v>28.969799999999999</v>
      </c>
      <c r="F340" s="45">
        <f>28.9329 * CHOOSE(CONTROL!$C$15, $E$9, 100%, $G$9) + CHOOSE(CONTROL!$C$38, 0.0278, 0)</f>
        <v>28.960699999999999</v>
      </c>
      <c r="G340" s="14">
        <f>26.7583 * CHOOSE(CONTROL!$C$15, $E$9, 100%, $G$9) + CHOOSE(CONTROL!$C$38, 0.0369, 0)</f>
        <v>26.795199999999998</v>
      </c>
      <c r="H340" s="14">
        <f>26.7583 * CHOOSE(CONTROL!$C$15, $E$9, 100%, $G$9) + CHOOSE(CONTROL!$C$38, 0.0369, 0)</f>
        <v>26.795199999999998</v>
      </c>
      <c r="I340" s="14">
        <f>26.7598 * CHOOSE(CONTROL!$C$15, $E$9, 100%, $G$9) + CHOOSE(CONTROL!$C$38, 0.0369, 0)</f>
        <v>26.796699999999998</v>
      </c>
      <c r="J340" s="44">
        <f>207.8599</f>
        <v>207.85990000000001</v>
      </c>
    </row>
    <row r="341" spans="1:10" ht="15.75" x14ac:dyDescent="0.25">
      <c r="A341" s="33">
        <v>51317</v>
      </c>
      <c r="B341" s="14">
        <f>28.7273 * CHOOSE(CONTROL!$C$15, $E$9, 100%, $G$9) + CHOOSE(CONTROL!$C$38, 0.0278, 0)</f>
        <v>28.755099999999999</v>
      </c>
      <c r="C341" s="14">
        <f>26.398 * CHOOSE(CONTROL!$C$15, $E$9, 100%, $G$9) + CHOOSE(CONTROL!$C$38, 0.0369, 0)</f>
        <v>26.434899999999999</v>
      </c>
      <c r="D341" s="14">
        <f>26.3902 * CHOOSE(CONTROL!$C$15, $E$9, 100%, $G$9) + CHOOSE(CONTROL!$C$38, 0.0369, 0)</f>
        <v>26.427099999999999</v>
      </c>
      <c r="E341" s="46">
        <f>28.571 * CHOOSE(CONTROL!$C$15, $E$9, 100%, $G$9) + CHOOSE(CONTROL!$C$38, 0.0369, 0)</f>
        <v>28.607900000000001</v>
      </c>
      <c r="F341" s="45">
        <f>28.571 * CHOOSE(CONTROL!$C$15, $E$9, 100%, $G$9) + CHOOSE(CONTROL!$C$38, 0.0278, 0)</f>
        <v>28.598800000000001</v>
      </c>
      <c r="G341" s="14">
        <f>26.3964 * CHOOSE(CONTROL!$C$15, $E$9, 100%, $G$9) + CHOOSE(CONTROL!$C$38, 0.0369, 0)</f>
        <v>26.433299999999999</v>
      </c>
      <c r="H341" s="14">
        <f>26.3964 * CHOOSE(CONTROL!$C$15, $E$9, 100%, $G$9) + CHOOSE(CONTROL!$C$38, 0.0369, 0)</f>
        <v>26.433299999999999</v>
      </c>
      <c r="I341" s="14">
        <f>26.398 * CHOOSE(CONTROL!$C$15, $E$9, 100%, $G$9) + CHOOSE(CONTROL!$C$38, 0.0369, 0)</f>
        <v>26.434899999999999</v>
      </c>
      <c r="J341" s="44">
        <f>210.8549</f>
        <v>210.85489999999999</v>
      </c>
    </row>
    <row r="342" spans="1:10" ht="15.75" x14ac:dyDescent="0.25">
      <c r="A342" s="33">
        <v>51348</v>
      </c>
      <c r="B342" s="14">
        <f>28.5208 * CHOOSE(CONTROL!$C$15, $E$9, 100%, $G$9) + CHOOSE(CONTROL!$C$38, 0.0278, 0)</f>
        <v>28.5486</v>
      </c>
      <c r="C342" s="14">
        <f>26.1915 * CHOOSE(CONTROL!$C$15, $E$9, 100%, $G$9) + CHOOSE(CONTROL!$C$38, 0.0369, 0)</f>
        <v>26.228400000000001</v>
      </c>
      <c r="D342" s="14">
        <f>26.1837 * CHOOSE(CONTROL!$C$15, $E$9, 100%, $G$9) + CHOOSE(CONTROL!$C$38, 0.0369, 0)</f>
        <v>26.220600000000001</v>
      </c>
      <c r="E342" s="46">
        <f>28.3645 * CHOOSE(CONTROL!$C$15, $E$9, 100%, $G$9) + CHOOSE(CONTROL!$C$38, 0.0369, 0)</f>
        <v>28.401399999999999</v>
      </c>
      <c r="F342" s="45">
        <f>28.3645 * CHOOSE(CONTROL!$C$15, $E$9, 100%, $G$9) + CHOOSE(CONTROL!$C$38, 0.0278, 0)</f>
        <v>28.392299999999999</v>
      </c>
      <c r="G342" s="14">
        <f>26.1899 * CHOOSE(CONTROL!$C$15, $E$9, 100%, $G$9) + CHOOSE(CONTROL!$C$38, 0.0369, 0)</f>
        <v>26.226800000000001</v>
      </c>
      <c r="H342" s="14">
        <f>26.1899 * CHOOSE(CONTROL!$C$15, $E$9, 100%, $G$9) + CHOOSE(CONTROL!$C$38, 0.0369, 0)</f>
        <v>26.226800000000001</v>
      </c>
      <c r="I342" s="14">
        <f>26.1915 * CHOOSE(CONTROL!$C$15, $E$9, 100%, $G$9) + CHOOSE(CONTROL!$C$38, 0.0369, 0)</f>
        <v>26.228400000000001</v>
      </c>
      <c r="J342" s="44">
        <f>209.8688</f>
        <v>209.86879999999999</v>
      </c>
    </row>
    <row r="343" spans="1:10" ht="15.75" x14ac:dyDescent="0.25">
      <c r="A343" s="33">
        <v>51379</v>
      </c>
      <c r="B343" s="14">
        <f>28.6227 * CHOOSE(CONTROL!$C$15, $E$9, 100%, $G$9) + CHOOSE(CONTROL!$C$38, 0.0278, 0)</f>
        <v>28.650499999999997</v>
      </c>
      <c r="C343" s="14">
        <f>26.2934 * CHOOSE(CONTROL!$C$15, $E$9, 100%, $G$9) + CHOOSE(CONTROL!$C$38, 0.0369, 0)</f>
        <v>26.330299999999998</v>
      </c>
      <c r="D343" s="14">
        <f>26.2856 * CHOOSE(CONTROL!$C$15, $E$9, 100%, $G$9) + CHOOSE(CONTROL!$C$38, 0.0369, 0)</f>
        <v>26.322499999999998</v>
      </c>
      <c r="E343" s="46">
        <f>28.4665 * CHOOSE(CONTROL!$C$15, $E$9, 100%, $G$9) + CHOOSE(CONTROL!$C$38, 0.0369, 0)</f>
        <v>28.503399999999999</v>
      </c>
      <c r="F343" s="45">
        <f>28.4665 * CHOOSE(CONTROL!$C$15, $E$9, 100%, $G$9) + CHOOSE(CONTROL!$C$38, 0.0278, 0)</f>
        <v>28.494299999999999</v>
      </c>
      <c r="G343" s="14">
        <f>26.2918 * CHOOSE(CONTROL!$C$15, $E$9, 100%, $G$9) + CHOOSE(CONTROL!$C$38, 0.0369, 0)</f>
        <v>26.328699999999998</v>
      </c>
      <c r="H343" s="14">
        <f>26.2918 * CHOOSE(CONTROL!$C$15, $E$9, 100%, $G$9) + CHOOSE(CONTROL!$C$38, 0.0369, 0)</f>
        <v>26.328699999999998</v>
      </c>
      <c r="I343" s="14">
        <f>26.2934 * CHOOSE(CONTROL!$C$15, $E$9, 100%, $G$9) + CHOOSE(CONTROL!$C$38, 0.0369, 0)</f>
        <v>26.330299999999998</v>
      </c>
      <c r="J343" s="44">
        <f>204.9831</f>
        <v>204.98310000000001</v>
      </c>
    </row>
    <row r="344" spans="1:10" ht="15.75" x14ac:dyDescent="0.25">
      <c r="A344" s="33">
        <v>51409</v>
      </c>
      <c r="B344" s="14">
        <f>28.8995 * CHOOSE(CONTROL!$C$15, $E$9, 100%, $G$9) + CHOOSE(CONTROL!$C$38, 0.0278, 0)</f>
        <v>28.927299999999999</v>
      </c>
      <c r="C344" s="14">
        <f>26.5702 * CHOOSE(CONTROL!$C$15, $E$9, 100%, $G$9) + CHOOSE(CONTROL!$C$38, 0.0369, 0)</f>
        <v>26.607099999999999</v>
      </c>
      <c r="D344" s="14">
        <f>26.5624 * CHOOSE(CONTROL!$C$15, $E$9, 100%, $G$9) + CHOOSE(CONTROL!$C$38, 0.0369, 0)</f>
        <v>26.599299999999999</v>
      </c>
      <c r="E344" s="46">
        <f>28.7433 * CHOOSE(CONTROL!$C$15, $E$9, 100%, $G$9) + CHOOSE(CONTROL!$C$38, 0.0369, 0)</f>
        <v>28.780200000000001</v>
      </c>
      <c r="F344" s="45">
        <f>28.7433 * CHOOSE(CONTROL!$C$15, $E$9, 100%, $G$9) + CHOOSE(CONTROL!$C$38, 0.0278, 0)</f>
        <v>28.771100000000001</v>
      </c>
      <c r="G344" s="14">
        <f>26.5686 * CHOOSE(CONTROL!$C$15, $E$9, 100%, $G$9) + CHOOSE(CONTROL!$C$38, 0.0369, 0)</f>
        <v>26.605499999999999</v>
      </c>
      <c r="H344" s="14">
        <f>26.5686 * CHOOSE(CONTROL!$C$15, $E$9, 100%, $G$9) + CHOOSE(CONTROL!$C$38, 0.0369, 0)</f>
        <v>26.605499999999999</v>
      </c>
      <c r="I344" s="14">
        <f>26.5702 * CHOOSE(CONTROL!$C$15, $E$9, 100%, $G$9) + CHOOSE(CONTROL!$C$38, 0.0369, 0)</f>
        <v>26.607099999999999</v>
      </c>
      <c r="J344" s="44">
        <f>198.1699</f>
        <v>198.16990000000001</v>
      </c>
    </row>
    <row r="345" spans="1:10" ht="15.75" x14ac:dyDescent="0.25">
      <c r="A345" s="33">
        <v>51440</v>
      </c>
      <c r="B345" s="14">
        <f>29.1313 * CHOOSE(CONTROL!$C$15, $E$9, 100%, $G$9) + CHOOSE(CONTROL!$C$38, 0.0256, 0)</f>
        <v>29.1569</v>
      </c>
      <c r="C345" s="14">
        <f>26.802 * CHOOSE(CONTROL!$C$15, $E$9, 100%, $G$9) + CHOOSE(CONTROL!$C$38, 0.0347, 0)</f>
        <v>26.8367</v>
      </c>
      <c r="D345" s="14">
        <f>26.7942 * CHOOSE(CONTROL!$C$15, $E$9, 100%, $G$9) + CHOOSE(CONTROL!$C$38, 0.0347, 0)</f>
        <v>26.828900000000001</v>
      </c>
      <c r="E345" s="46">
        <f>28.9751 * CHOOSE(CONTROL!$C$15, $E$9, 100%, $G$9) + CHOOSE(CONTROL!$C$38, 0.0347, 0)</f>
        <v>29.009800000000002</v>
      </c>
      <c r="F345" s="45">
        <f>28.9751 * CHOOSE(CONTROL!$C$15, $E$9, 100%, $G$9) + CHOOSE(CONTROL!$C$38, 0.0256, 0)</f>
        <v>29.000700000000002</v>
      </c>
      <c r="G345" s="14">
        <f>26.8005 * CHOOSE(CONTROL!$C$15, $E$9, 100%, $G$9) + CHOOSE(CONTROL!$C$38, 0.0347, 0)</f>
        <v>26.8352</v>
      </c>
      <c r="H345" s="14">
        <f>26.8005 * CHOOSE(CONTROL!$C$15, $E$9, 100%, $G$9) + CHOOSE(CONTROL!$C$38, 0.0347, 0)</f>
        <v>26.8352</v>
      </c>
      <c r="I345" s="14">
        <f>26.802 * CHOOSE(CONTROL!$C$15, $E$9, 100%, $G$9) + CHOOSE(CONTROL!$C$38, 0.0347, 0)</f>
        <v>26.8367</v>
      </c>
      <c r="J345" s="44">
        <f>191.3169</f>
        <v>191.3169</v>
      </c>
    </row>
    <row r="346" spans="1:10" ht="15.75" x14ac:dyDescent="0.25">
      <c r="A346" s="33">
        <v>51470</v>
      </c>
      <c r="B346" s="14">
        <f>29.3248 * CHOOSE(CONTROL!$C$15, $E$9, 100%, $G$9) + CHOOSE(CONTROL!$C$38, 0.0256, 0)</f>
        <v>29.3504</v>
      </c>
      <c r="C346" s="14">
        <f>26.9955 * CHOOSE(CONTROL!$C$15, $E$9, 100%, $G$9) + CHOOSE(CONTROL!$C$38, 0.0347, 0)</f>
        <v>27.030200000000001</v>
      </c>
      <c r="D346" s="14">
        <f>26.9877 * CHOOSE(CONTROL!$C$15, $E$9, 100%, $G$9) + CHOOSE(CONTROL!$C$38, 0.0347, 0)</f>
        <v>27.022400000000001</v>
      </c>
      <c r="E346" s="46">
        <f>29.1685 * CHOOSE(CONTROL!$C$15, $E$9, 100%, $G$9) + CHOOSE(CONTROL!$C$38, 0.0347, 0)</f>
        <v>29.203200000000002</v>
      </c>
      <c r="F346" s="45">
        <f>29.1685 * CHOOSE(CONTROL!$C$15, $E$9, 100%, $G$9) + CHOOSE(CONTROL!$C$38, 0.0256, 0)</f>
        <v>29.194100000000002</v>
      </c>
      <c r="G346" s="14">
        <f>26.9939 * CHOOSE(CONTROL!$C$15, $E$9, 100%, $G$9) + CHOOSE(CONTROL!$C$38, 0.0347, 0)</f>
        <v>27.028600000000001</v>
      </c>
      <c r="H346" s="14">
        <f>26.9939 * CHOOSE(CONTROL!$C$15, $E$9, 100%, $G$9) + CHOOSE(CONTROL!$C$38, 0.0347, 0)</f>
        <v>27.028600000000001</v>
      </c>
      <c r="I346" s="14">
        <f>26.9955 * CHOOSE(CONTROL!$C$15, $E$9, 100%, $G$9) + CHOOSE(CONTROL!$C$38, 0.0347, 0)</f>
        <v>27.030200000000001</v>
      </c>
      <c r="J346" s="44">
        <f>189.9538</f>
        <v>189.9538</v>
      </c>
    </row>
    <row r="347" spans="1:10" ht="15.75" x14ac:dyDescent="0.25">
      <c r="A347" s="33">
        <v>51501</v>
      </c>
      <c r="B347" s="14">
        <f>29.9208 * CHOOSE(CONTROL!$C$15, $E$9, 100%, $G$9) + CHOOSE(CONTROL!$C$38, 0.0256, 0)</f>
        <v>29.946400000000001</v>
      </c>
      <c r="C347" s="14">
        <f>27.5915 * CHOOSE(CONTROL!$C$15, $E$9, 100%, $G$9) + CHOOSE(CONTROL!$C$38, 0.0347, 0)</f>
        <v>27.626200000000001</v>
      </c>
      <c r="D347" s="14">
        <f>27.5837 * CHOOSE(CONTROL!$C$15, $E$9, 100%, $G$9) + CHOOSE(CONTROL!$C$38, 0.0347, 0)</f>
        <v>27.618400000000001</v>
      </c>
      <c r="E347" s="46">
        <f>29.7646 * CHOOSE(CONTROL!$C$15, $E$9, 100%, $G$9) + CHOOSE(CONTROL!$C$38, 0.0347, 0)</f>
        <v>29.799300000000002</v>
      </c>
      <c r="F347" s="45">
        <f>29.7646 * CHOOSE(CONTROL!$C$15, $E$9, 100%, $G$9) + CHOOSE(CONTROL!$C$38, 0.0256, 0)</f>
        <v>29.790200000000002</v>
      </c>
      <c r="G347" s="14">
        <f>27.59 * CHOOSE(CONTROL!$C$15, $E$9, 100%, $G$9) + CHOOSE(CONTROL!$C$38, 0.0347, 0)</f>
        <v>27.624700000000001</v>
      </c>
      <c r="H347" s="14">
        <f>27.59 * CHOOSE(CONTROL!$C$15, $E$9, 100%, $G$9) + CHOOSE(CONTROL!$C$38, 0.0347, 0)</f>
        <v>27.624700000000001</v>
      </c>
      <c r="I347" s="14">
        <f>27.5915 * CHOOSE(CONTROL!$C$15, $E$9, 100%, $G$9) + CHOOSE(CONTROL!$C$38, 0.0347, 0)</f>
        <v>27.626200000000001</v>
      </c>
      <c r="J347" s="44">
        <f>184.3169</f>
        <v>184.3169</v>
      </c>
    </row>
    <row r="348" spans="1:10" ht="15.75" x14ac:dyDescent="0.25">
      <c r="A348" s="33">
        <v>51532</v>
      </c>
      <c r="B348" s="14">
        <f>30.8628 * CHOOSE(CONTROL!$C$15, $E$9, 100%, $G$9) + CHOOSE(CONTROL!$C$38, 0.0256, 0)</f>
        <v>30.888400000000001</v>
      </c>
      <c r="C348" s="14">
        <f>28.4979 * CHOOSE(CONTROL!$C$15, $E$9, 100%, $G$9) + CHOOSE(CONTROL!$C$38, 0.0347, 0)</f>
        <v>28.532600000000002</v>
      </c>
      <c r="D348" s="14">
        <f>28.49 * CHOOSE(CONTROL!$C$15, $E$9, 100%, $G$9) + CHOOSE(CONTROL!$C$38, 0.0347, 0)</f>
        <v>28.524699999999999</v>
      </c>
      <c r="E348" s="46">
        <f>30.7065 * CHOOSE(CONTROL!$C$15, $E$9, 100%, $G$9) + CHOOSE(CONTROL!$C$38, 0.0347, 0)</f>
        <v>30.741199999999999</v>
      </c>
      <c r="F348" s="45">
        <f>30.7065 * CHOOSE(CONTROL!$C$15, $E$9, 100%, $G$9) + CHOOSE(CONTROL!$C$38, 0.0256, 0)</f>
        <v>30.732099999999999</v>
      </c>
      <c r="G348" s="14">
        <f>28.4963 * CHOOSE(CONTROL!$C$15, $E$9, 100%, $G$9) + CHOOSE(CONTROL!$C$38, 0.0347, 0)</f>
        <v>28.531000000000002</v>
      </c>
      <c r="H348" s="14">
        <f>28.4963 * CHOOSE(CONTROL!$C$15, $E$9, 100%, $G$9) + CHOOSE(CONTROL!$C$38, 0.0347, 0)</f>
        <v>28.531000000000002</v>
      </c>
      <c r="I348" s="14">
        <f>28.4979 * CHOOSE(CONTROL!$C$15, $E$9, 100%, $G$9) + CHOOSE(CONTROL!$C$38, 0.0347, 0)</f>
        <v>28.532600000000002</v>
      </c>
      <c r="J348" s="44">
        <f>183.9649</f>
        <v>183.9649</v>
      </c>
    </row>
    <row r="349" spans="1:10" ht="15.75" x14ac:dyDescent="0.25">
      <c r="A349" s="33">
        <v>51560</v>
      </c>
      <c r="B349" s="14">
        <f>31.0835 * CHOOSE(CONTROL!$C$15, $E$9, 100%, $G$9) + CHOOSE(CONTROL!$C$38, 0.0256, 0)</f>
        <v>31.109100000000002</v>
      </c>
      <c r="C349" s="14">
        <f>28.7186 * CHOOSE(CONTROL!$C$15, $E$9, 100%, $G$9) + CHOOSE(CONTROL!$C$38, 0.0347, 0)</f>
        <v>28.753299999999999</v>
      </c>
      <c r="D349" s="14">
        <f>28.7108 * CHOOSE(CONTROL!$C$15, $E$9, 100%, $G$9) + CHOOSE(CONTROL!$C$38, 0.0347, 0)</f>
        <v>28.7455</v>
      </c>
      <c r="E349" s="46">
        <f>30.9273 * CHOOSE(CONTROL!$C$15, $E$9, 100%, $G$9) + CHOOSE(CONTROL!$C$38, 0.0347, 0)</f>
        <v>30.962</v>
      </c>
      <c r="F349" s="45">
        <f>30.9273 * CHOOSE(CONTROL!$C$15, $E$9, 100%, $G$9) + CHOOSE(CONTROL!$C$38, 0.0256, 0)</f>
        <v>30.9529</v>
      </c>
      <c r="G349" s="14">
        <f>28.7171 * CHOOSE(CONTROL!$C$15, $E$9, 100%, $G$9) + CHOOSE(CONTROL!$C$38, 0.0347, 0)</f>
        <v>28.751799999999999</v>
      </c>
      <c r="H349" s="14">
        <f>28.7171 * CHOOSE(CONTROL!$C$15, $E$9, 100%, $G$9) + CHOOSE(CONTROL!$C$38, 0.0347, 0)</f>
        <v>28.751799999999999</v>
      </c>
      <c r="I349" s="14">
        <f>28.7186 * CHOOSE(CONTROL!$C$15, $E$9, 100%, $G$9) + CHOOSE(CONTROL!$C$38, 0.0347, 0)</f>
        <v>28.753299999999999</v>
      </c>
      <c r="J349" s="44">
        <f>183.4535</f>
        <v>183.45349999999999</v>
      </c>
    </row>
    <row r="350" spans="1:10" ht="15.75" x14ac:dyDescent="0.25">
      <c r="A350" s="33">
        <v>51591</v>
      </c>
      <c r="B350" s="14">
        <f>30.5725 * CHOOSE(CONTROL!$C$15, $E$9, 100%, $G$9) + CHOOSE(CONTROL!$C$38, 0.0256, 0)</f>
        <v>30.598100000000002</v>
      </c>
      <c r="C350" s="14">
        <f>28.2076 * CHOOSE(CONTROL!$C$15, $E$9, 100%, $G$9) + CHOOSE(CONTROL!$C$38, 0.0347, 0)</f>
        <v>28.2423</v>
      </c>
      <c r="D350" s="14">
        <f>28.1998 * CHOOSE(CONTROL!$C$15, $E$9, 100%, $G$9) + CHOOSE(CONTROL!$C$38, 0.0347, 0)</f>
        <v>28.234500000000001</v>
      </c>
      <c r="E350" s="46">
        <f>30.4163 * CHOOSE(CONTROL!$C$15, $E$9, 100%, $G$9) + CHOOSE(CONTROL!$C$38, 0.0347, 0)</f>
        <v>30.451000000000001</v>
      </c>
      <c r="F350" s="45">
        <f>30.4163 * CHOOSE(CONTROL!$C$15, $E$9, 100%, $G$9) + CHOOSE(CONTROL!$C$38, 0.0256, 0)</f>
        <v>30.4419</v>
      </c>
      <c r="G350" s="14">
        <f>28.206 * CHOOSE(CONTROL!$C$15, $E$9, 100%, $G$9) + CHOOSE(CONTROL!$C$38, 0.0347, 0)</f>
        <v>28.2407</v>
      </c>
      <c r="H350" s="14">
        <f>28.206 * CHOOSE(CONTROL!$C$15, $E$9, 100%, $G$9) + CHOOSE(CONTROL!$C$38, 0.0347, 0)</f>
        <v>28.2407</v>
      </c>
      <c r="I350" s="14">
        <f>28.2076 * CHOOSE(CONTROL!$C$15, $E$9, 100%, $G$9) + CHOOSE(CONTROL!$C$38, 0.0347, 0)</f>
        <v>28.2423</v>
      </c>
      <c r="J350" s="44">
        <f>193.1226</f>
        <v>193.12260000000001</v>
      </c>
    </row>
    <row r="351" spans="1:10" ht="15.75" x14ac:dyDescent="0.25">
      <c r="A351" s="33">
        <v>51621</v>
      </c>
      <c r="B351" s="14">
        <f>30.0773 * CHOOSE(CONTROL!$C$15, $E$9, 100%, $G$9) + CHOOSE(CONTROL!$C$38, 0.0256, 0)</f>
        <v>30.102900000000002</v>
      </c>
      <c r="C351" s="14">
        <f>27.7124 * CHOOSE(CONTROL!$C$15, $E$9, 100%, $G$9) + CHOOSE(CONTROL!$C$38, 0.0347, 0)</f>
        <v>27.7471</v>
      </c>
      <c r="D351" s="14">
        <f>27.7046 * CHOOSE(CONTROL!$C$15, $E$9, 100%, $G$9) + CHOOSE(CONTROL!$C$38, 0.0347, 0)</f>
        <v>27.7393</v>
      </c>
      <c r="E351" s="46">
        <f>29.9211 * CHOOSE(CONTROL!$C$15, $E$9, 100%, $G$9) + CHOOSE(CONTROL!$C$38, 0.0347, 0)</f>
        <v>29.9558</v>
      </c>
      <c r="F351" s="45">
        <f>29.9211 * CHOOSE(CONTROL!$C$15, $E$9, 100%, $G$9) + CHOOSE(CONTROL!$C$38, 0.0256, 0)</f>
        <v>29.9467</v>
      </c>
      <c r="G351" s="14">
        <f>27.7108 * CHOOSE(CONTROL!$C$15, $E$9, 100%, $G$9) + CHOOSE(CONTROL!$C$38, 0.0347, 0)</f>
        <v>27.7455</v>
      </c>
      <c r="H351" s="14">
        <f>27.7108 * CHOOSE(CONTROL!$C$15, $E$9, 100%, $G$9) + CHOOSE(CONTROL!$C$38, 0.0347, 0)</f>
        <v>27.7455</v>
      </c>
      <c r="I351" s="14">
        <f>27.7124 * CHOOSE(CONTROL!$C$15, $E$9, 100%, $G$9) + CHOOSE(CONTROL!$C$38, 0.0347, 0)</f>
        <v>27.7471</v>
      </c>
      <c r="J351" s="44">
        <f>205.661</f>
        <v>205.661</v>
      </c>
    </row>
    <row r="352" spans="1:10" ht="15.75" x14ac:dyDescent="0.25">
      <c r="A352" s="33">
        <v>51652</v>
      </c>
      <c r="B352" s="14">
        <f>29.5612 * CHOOSE(CONTROL!$C$15, $E$9, 100%, $G$9) + CHOOSE(CONTROL!$C$38, 0.0278, 0)</f>
        <v>29.588999999999999</v>
      </c>
      <c r="C352" s="14">
        <f>27.1963 * CHOOSE(CONTROL!$C$15, $E$9, 100%, $G$9) + CHOOSE(CONTROL!$C$38, 0.0369, 0)</f>
        <v>27.2332</v>
      </c>
      <c r="D352" s="14">
        <f>27.1885 * CHOOSE(CONTROL!$C$15, $E$9, 100%, $G$9) + CHOOSE(CONTROL!$C$38, 0.0369, 0)</f>
        <v>27.2254</v>
      </c>
      <c r="E352" s="46">
        <f>29.405 * CHOOSE(CONTROL!$C$15, $E$9, 100%, $G$9) + CHOOSE(CONTROL!$C$38, 0.0369, 0)</f>
        <v>29.4419</v>
      </c>
      <c r="F352" s="45">
        <f>29.405 * CHOOSE(CONTROL!$C$15, $E$9, 100%, $G$9) + CHOOSE(CONTROL!$C$38, 0.0278, 0)</f>
        <v>29.4328</v>
      </c>
      <c r="G352" s="14">
        <f>27.1947 * CHOOSE(CONTROL!$C$15, $E$9, 100%, $G$9) + CHOOSE(CONTROL!$C$38, 0.0369, 0)</f>
        <v>27.2316</v>
      </c>
      <c r="H352" s="14">
        <f>27.1947 * CHOOSE(CONTROL!$C$15, $E$9, 100%, $G$9) + CHOOSE(CONTROL!$C$38, 0.0369, 0)</f>
        <v>27.2316</v>
      </c>
      <c r="I352" s="14">
        <f>27.1963 * CHOOSE(CONTROL!$C$15, $E$9, 100%, $G$9) + CHOOSE(CONTROL!$C$38, 0.0369, 0)</f>
        <v>27.2332</v>
      </c>
      <c r="J352" s="44">
        <f>212.5626</f>
        <v>212.5626</v>
      </c>
    </row>
    <row r="353" spans="1:10" ht="15.75" x14ac:dyDescent="0.25">
      <c r="A353" s="33">
        <v>51682</v>
      </c>
      <c r="B353" s="14">
        <f>29.1994 * CHOOSE(CONTROL!$C$15, $E$9, 100%, $G$9) + CHOOSE(CONTROL!$C$38, 0.0278, 0)</f>
        <v>29.2272</v>
      </c>
      <c r="C353" s="14">
        <f>26.8345 * CHOOSE(CONTROL!$C$15, $E$9, 100%, $G$9) + CHOOSE(CONTROL!$C$38, 0.0369, 0)</f>
        <v>26.871399999999998</v>
      </c>
      <c r="D353" s="14">
        <f>26.8266 * CHOOSE(CONTROL!$C$15, $E$9, 100%, $G$9) + CHOOSE(CONTROL!$C$38, 0.0369, 0)</f>
        <v>26.863499999999998</v>
      </c>
      <c r="E353" s="46">
        <f>29.0431 * CHOOSE(CONTROL!$C$15, $E$9, 100%, $G$9) + CHOOSE(CONTROL!$C$38, 0.0369, 0)</f>
        <v>29.08</v>
      </c>
      <c r="F353" s="45">
        <f>29.0431 * CHOOSE(CONTROL!$C$15, $E$9, 100%, $G$9) + CHOOSE(CONTROL!$C$38, 0.0278, 0)</f>
        <v>29.070899999999998</v>
      </c>
      <c r="G353" s="14">
        <f>26.8329 * CHOOSE(CONTROL!$C$15, $E$9, 100%, $G$9) + CHOOSE(CONTROL!$C$38, 0.0369, 0)</f>
        <v>26.869799999999998</v>
      </c>
      <c r="H353" s="14">
        <f>26.8329 * CHOOSE(CONTROL!$C$15, $E$9, 100%, $G$9) + CHOOSE(CONTROL!$C$38, 0.0369, 0)</f>
        <v>26.869799999999998</v>
      </c>
      <c r="I353" s="14">
        <f>26.8345 * CHOOSE(CONTROL!$C$15, $E$9, 100%, $G$9) + CHOOSE(CONTROL!$C$38, 0.0369, 0)</f>
        <v>26.871399999999998</v>
      </c>
      <c r="J353" s="44">
        <f>215.6254</f>
        <v>215.62540000000001</v>
      </c>
    </row>
    <row r="354" spans="1:10" ht="15.75" x14ac:dyDescent="0.25">
      <c r="A354" s="33">
        <v>51713</v>
      </c>
      <c r="B354" s="14">
        <f>28.9929 * CHOOSE(CONTROL!$C$15, $E$9, 100%, $G$9) + CHOOSE(CONTROL!$C$38, 0.0278, 0)</f>
        <v>29.020699999999998</v>
      </c>
      <c r="C354" s="14">
        <f>26.628 * CHOOSE(CONTROL!$C$15, $E$9, 100%, $G$9) + CHOOSE(CONTROL!$C$38, 0.0369, 0)</f>
        <v>26.664899999999999</v>
      </c>
      <c r="D354" s="14">
        <f>26.6202 * CHOOSE(CONTROL!$C$15, $E$9, 100%, $G$9) + CHOOSE(CONTROL!$C$38, 0.0369, 0)</f>
        <v>26.6571</v>
      </c>
      <c r="E354" s="46">
        <f>28.8366 * CHOOSE(CONTROL!$C$15, $E$9, 100%, $G$9) + CHOOSE(CONTROL!$C$38, 0.0369, 0)</f>
        <v>28.8735</v>
      </c>
      <c r="F354" s="45">
        <f>28.8366 * CHOOSE(CONTROL!$C$15, $E$9, 100%, $G$9) + CHOOSE(CONTROL!$C$38, 0.0278, 0)</f>
        <v>28.8644</v>
      </c>
      <c r="G354" s="14">
        <f>26.6264 * CHOOSE(CONTROL!$C$15, $E$9, 100%, $G$9) + CHOOSE(CONTROL!$C$38, 0.0369, 0)</f>
        <v>26.6633</v>
      </c>
      <c r="H354" s="14">
        <f>26.6264 * CHOOSE(CONTROL!$C$15, $E$9, 100%, $G$9) + CHOOSE(CONTROL!$C$38, 0.0369, 0)</f>
        <v>26.6633</v>
      </c>
      <c r="I354" s="14">
        <f>26.628 * CHOOSE(CONTROL!$C$15, $E$9, 100%, $G$9) + CHOOSE(CONTROL!$C$38, 0.0369, 0)</f>
        <v>26.664899999999999</v>
      </c>
      <c r="J354" s="44">
        <f>214.617</f>
        <v>214.61699999999999</v>
      </c>
    </row>
    <row r="355" spans="1:10" ht="15.75" x14ac:dyDescent="0.25">
      <c r="A355" s="33">
        <v>51744</v>
      </c>
      <c r="B355" s="14">
        <f>29.0948 * CHOOSE(CONTROL!$C$15, $E$9, 100%, $G$9) + CHOOSE(CONTROL!$C$38, 0.0278, 0)</f>
        <v>29.122599999999998</v>
      </c>
      <c r="C355" s="14">
        <f>26.7299 * CHOOSE(CONTROL!$C$15, $E$9, 100%, $G$9) + CHOOSE(CONTROL!$C$38, 0.0369, 0)</f>
        <v>26.7668</v>
      </c>
      <c r="D355" s="14">
        <f>26.7221 * CHOOSE(CONTROL!$C$15, $E$9, 100%, $G$9) + CHOOSE(CONTROL!$C$38, 0.0369, 0)</f>
        <v>26.759</v>
      </c>
      <c r="E355" s="46">
        <f>28.9386 * CHOOSE(CONTROL!$C$15, $E$9, 100%, $G$9) + CHOOSE(CONTROL!$C$38, 0.0369, 0)</f>
        <v>28.9755</v>
      </c>
      <c r="F355" s="45">
        <f>28.9386 * CHOOSE(CONTROL!$C$15, $E$9, 100%, $G$9) + CHOOSE(CONTROL!$C$38, 0.0278, 0)</f>
        <v>28.9664</v>
      </c>
      <c r="G355" s="14">
        <f>26.7283 * CHOOSE(CONTROL!$C$15, $E$9, 100%, $G$9) + CHOOSE(CONTROL!$C$38, 0.0369, 0)</f>
        <v>26.7652</v>
      </c>
      <c r="H355" s="14">
        <f>26.7283 * CHOOSE(CONTROL!$C$15, $E$9, 100%, $G$9) + CHOOSE(CONTROL!$C$38, 0.0369, 0)</f>
        <v>26.7652</v>
      </c>
      <c r="I355" s="14">
        <f>26.7299 * CHOOSE(CONTROL!$C$15, $E$9, 100%, $G$9) + CHOOSE(CONTROL!$C$38, 0.0369, 0)</f>
        <v>26.7668</v>
      </c>
      <c r="J355" s="44">
        <f>209.6208</f>
        <v>209.6208</v>
      </c>
    </row>
    <row r="356" spans="1:10" ht="15.75" x14ac:dyDescent="0.25">
      <c r="A356" s="33">
        <v>51774</v>
      </c>
      <c r="B356" s="14">
        <f>29.3716 * CHOOSE(CONTROL!$C$15, $E$9, 100%, $G$9) + CHOOSE(CONTROL!$C$38, 0.0278, 0)</f>
        <v>29.3994</v>
      </c>
      <c r="C356" s="14">
        <f>27.0067 * CHOOSE(CONTROL!$C$15, $E$9, 100%, $G$9) + CHOOSE(CONTROL!$C$38, 0.0369, 0)</f>
        <v>27.043599999999998</v>
      </c>
      <c r="D356" s="14">
        <f>26.9989 * CHOOSE(CONTROL!$C$15, $E$9, 100%, $G$9) + CHOOSE(CONTROL!$C$38, 0.0369, 0)</f>
        <v>27.035799999999998</v>
      </c>
      <c r="E356" s="46">
        <f>29.2154 * CHOOSE(CONTROL!$C$15, $E$9, 100%, $G$9) + CHOOSE(CONTROL!$C$38, 0.0369, 0)</f>
        <v>29.252299999999998</v>
      </c>
      <c r="F356" s="45">
        <f>29.2154 * CHOOSE(CONTROL!$C$15, $E$9, 100%, $G$9) + CHOOSE(CONTROL!$C$38, 0.0278, 0)</f>
        <v>29.243199999999998</v>
      </c>
      <c r="G356" s="14">
        <f>27.0051 * CHOOSE(CONTROL!$C$15, $E$9, 100%, $G$9) + CHOOSE(CONTROL!$C$38, 0.0369, 0)</f>
        <v>27.041999999999998</v>
      </c>
      <c r="H356" s="14">
        <f>27.0051 * CHOOSE(CONTROL!$C$15, $E$9, 100%, $G$9) + CHOOSE(CONTROL!$C$38, 0.0369, 0)</f>
        <v>27.041999999999998</v>
      </c>
      <c r="I356" s="14">
        <f>27.0067 * CHOOSE(CONTROL!$C$15, $E$9, 100%, $G$9) + CHOOSE(CONTROL!$C$38, 0.0369, 0)</f>
        <v>27.043599999999998</v>
      </c>
      <c r="J356" s="44">
        <f>202.6534</f>
        <v>202.6534</v>
      </c>
    </row>
    <row r="357" spans="1:10" ht="15.75" x14ac:dyDescent="0.25">
      <c r="A357" s="33">
        <v>51805</v>
      </c>
      <c r="B357" s="14">
        <f>29.6034 * CHOOSE(CONTROL!$C$15, $E$9, 100%, $G$9) + CHOOSE(CONTROL!$C$38, 0.0256, 0)</f>
        <v>29.629000000000001</v>
      </c>
      <c r="C357" s="14">
        <f>27.2385 * CHOOSE(CONTROL!$C$15, $E$9, 100%, $G$9) + CHOOSE(CONTROL!$C$38, 0.0347, 0)</f>
        <v>27.273199999999999</v>
      </c>
      <c r="D357" s="14">
        <f>27.2307 * CHOOSE(CONTROL!$C$15, $E$9, 100%, $G$9) + CHOOSE(CONTROL!$C$38, 0.0347, 0)</f>
        <v>27.2654</v>
      </c>
      <c r="E357" s="46">
        <f>29.4472 * CHOOSE(CONTROL!$C$15, $E$9, 100%, $G$9) + CHOOSE(CONTROL!$C$38, 0.0347, 0)</f>
        <v>29.4819</v>
      </c>
      <c r="F357" s="45">
        <f>29.4472 * CHOOSE(CONTROL!$C$15, $E$9, 100%, $G$9) + CHOOSE(CONTROL!$C$38, 0.0256, 0)</f>
        <v>29.472799999999999</v>
      </c>
      <c r="G357" s="14">
        <f>27.2369 * CHOOSE(CONTROL!$C$15, $E$9, 100%, $G$9) + CHOOSE(CONTROL!$C$38, 0.0347, 0)</f>
        <v>27.271599999999999</v>
      </c>
      <c r="H357" s="14">
        <f>27.2369 * CHOOSE(CONTROL!$C$15, $E$9, 100%, $G$9) + CHOOSE(CONTROL!$C$38, 0.0347, 0)</f>
        <v>27.271599999999999</v>
      </c>
      <c r="I357" s="14">
        <f>27.2385 * CHOOSE(CONTROL!$C$15, $E$9, 100%, $G$9) + CHOOSE(CONTROL!$C$38, 0.0347, 0)</f>
        <v>27.273199999999999</v>
      </c>
      <c r="J357" s="44">
        <f>195.6454</f>
        <v>195.6454</v>
      </c>
    </row>
    <row r="358" spans="1:10" ht="15.75" x14ac:dyDescent="0.25">
      <c r="A358" s="33">
        <v>51835</v>
      </c>
      <c r="B358" s="14">
        <f>29.7969 * CHOOSE(CONTROL!$C$15, $E$9, 100%, $G$9) + CHOOSE(CONTROL!$C$38, 0.0256, 0)</f>
        <v>29.822500000000002</v>
      </c>
      <c r="C358" s="14">
        <f>27.4319 * CHOOSE(CONTROL!$C$15, $E$9, 100%, $G$9) + CHOOSE(CONTROL!$C$38, 0.0347, 0)</f>
        <v>27.4666</v>
      </c>
      <c r="D358" s="14">
        <f>27.4241 * CHOOSE(CONTROL!$C$15, $E$9, 100%, $G$9) + CHOOSE(CONTROL!$C$38, 0.0347, 0)</f>
        <v>27.4588</v>
      </c>
      <c r="E358" s="46">
        <f>29.6406 * CHOOSE(CONTROL!$C$15, $E$9, 100%, $G$9) + CHOOSE(CONTROL!$C$38, 0.0347, 0)</f>
        <v>29.6753</v>
      </c>
      <c r="F358" s="45">
        <f>29.6406 * CHOOSE(CONTROL!$C$15, $E$9, 100%, $G$9) + CHOOSE(CONTROL!$C$38, 0.0256, 0)</f>
        <v>29.6662</v>
      </c>
      <c r="G358" s="14">
        <f>27.4304 * CHOOSE(CONTROL!$C$15, $E$9, 100%, $G$9) + CHOOSE(CONTROL!$C$38, 0.0347, 0)</f>
        <v>27.4651</v>
      </c>
      <c r="H358" s="14">
        <f>27.4304 * CHOOSE(CONTROL!$C$15, $E$9, 100%, $G$9) + CHOOSE(CONTROL!$C$38, 0.0347, 0)</f>
        <v>27.4651</v>
      </c>
      <c r="I358" s="14">
        <f>27.4319 * CHOOSE(CONTROL!$C$15, $E$9, 100%, $G$9) + CHOOSE(CONTROL!$C$38, 0.0347, 0)</f>
        <v>27.4666</v>
      </c>
      <c r="J358" s="44">
        <f>194.2514</f>
        <v>194.25139999999999</v>
      </c>
    </row>
    <row r="359" spans="1:10" ht="15.75" x14ac:dyDescent="0.25">
      <c r="A359" s="33">
        <v>51866</v>
      </c>
      <c r="B359" s="14">
        <f>30.3929 * CHOOSE(CONTROL!$C$15, $E$9, 100%, $G$9) + CHOOSE(CONTROL!$C$38, 0.0256, 0)</f>
        <v>30.418500000000002</v>
      </c>
      <c r="C359" s="14">
        <f>28.028 * CHOOSE(CONTROL!$C$15, $E$9, 100%, $G$9) + CHOOSE(CONTROL!$C$38, 0.0347, 0)</f>
        <v>28.0627</v>
      </c>
      <c r="D359" s="14">
        <f>28.0202 * CHOOSE(CONTROL!$C$15, $E$9, 100%, $G$9) + CHOOSE(CONTROL!$C$38, 0.0347, 0)</f>
        <v>28.0549</v>
      </c>
      <c r="E359" s="46">
        <f>30.2367 * CHOOSE(CONTROL!$C$15, $E$9, 100%, $G$9) + CHOOSE(CONTROL!$C$38, 0.0347, 0)</f>
        <v>30.2714</v>
      </c>
      <c r="F359" s="45">
        <f>30.2367 * CHOOSE(CONTROL!$C$15, $E$9, 100%, $G$9) + CHOOSE(CONTROL!$C$38, 0.0256, 0)</f>
        <v>30.2623</v>
      </c>
      <c r="G359" s="14">
        <f>28.0264 * CHOOSE(CONTROL!$C$15, $E$9, 100%, $G$9) + CHOOSE(CONTROL!$C$38, 0.0347, 0)</f>
        <v>28.0611</v>
      </c>
      <c r="H359" s="14">
        <f>28.0264 * CHOOSE(CONTROL!$C$15, $E$9, 100%, $G$9) + CHOOSE(CONTROL!$C$38, 0.0347, 0)</f>
        <v>28.0611</v>
      </c>
      <c r="I359" s="14">
        <f>28.028 * CHOOSE(CONTROL!$C$15, $E$9, 100%, $G$9) + CHOOSE(CONTROL!$C$38, 0.0347, 0)</f>
        <v>28.0627</v>
      </c>
      <c r="J359" s="44">
        <f>188.4869</f>
        <v>188.48689999999999</v>
      </c>
    </row>
    <row r="360" spans="1:10" ht="15.75" x14ac:dyDescent="0.25">
      <c r="A360" s="33">
        <v>51897</v>
      </c>
      <c r="B360" s="14">
        <f>31.3426 * CHOOSE(CONTROL!$C$15, $E$9, 100%, $G$9) + CHOOSE(CONTROL!$C$38, 0.0256, 0)</f>
        <v>31.368200000000002</v>
      </c>
      <c r="C360" s="14">
        <f>28.9415 * CHOOSE(CONTROL!$C$15, $E$9, 100%, $G$9) + CHOOSE(CONTROL!$C$38, 0.0347, 0)</f>
        <v>28.976200000000002</v>
      </c>
      <c r="D360" s="14">
        <f>28.9337 * CHOOSE(CONTROL!$C$15, $E$9, 100%, $G$9) + CHOOSE(CONTROL!$C$38, 0.0347, 0)</f>
        <v>28.968400000000003</v>
      </c>
      <c r="E360" s="46">
        <f>31.1864 * CHOOSE(CONTROL!$C$15, $E$9, 100%, $G$9) + CHOOSE(CONTROL!$C$38, 0.0347, 0)</f>
        <v>31.2211</v>
      </c>
      <c r="F360" s="45">
        <f>31.1864 * CHOOSE(CONTROL!$C$15, $E$9, 100%, $G$9) + CHOOSE(CONTROL!$C$38, 0.0256, 0)</f>
        <v>31.212</v>
      </c>
      <c r="G360" s="14">
        <f>28.9399 * CHOOSE(CONTROL!$C$15, $E$9, 100%, $G$9) + CHOOSE(CONTROL!$C$38, 0.0347, 0)</f>
        <v>28.974600000000002</v>
      </c>
      <c r="H360" s="14">
        <f>28.9399 * CHOOSE(CONTROL!$C$15, $E$9, 100%, $G$9) + CHOOSE(CONTROL!$C$38, 0.0347, 0)</f>
        <v>28.974600000000002</v>
      </c>
      <c r="I360" s="14">
        <f>28.9415 * CHOOSE(CONTROL!$C$15, $E$9, 100%, $G$9) + CHOOSE(CONTROL!$C$38, 0.0347, 0)</f>
        <v>28.976200000000002</v>
      </c>
      <c r="J360" s="44">
        <f>188.127</f>
        <v>188.12700000000001</v>
      </c>
    </row>
    <row r="361" spans="1:10" ht="15.75" x14ac:dyDescent="0.25">
      <c r="A361" s="33">
        <v>51925</v>
      </c>
      <c r="B361" s="14">
        <f>31.5634 * CHOOSE(CONTROL!$C$15, $E$9, 100%, $G$9) + CHOOSE(CONTROL!$C$38, 0.0256, 0)</f>
        <v>31.589000000000002</v>
      </c>
      <c r="C361" s="14">
        <f>29.1622 * CHOOSE(CONTROL!$C$15, $E$9, 100%, $G$9) + CHOOSE(CONTROL!$C$38, 0.0347, 0)</f>
        <v>29.196899999999999</v>
      </c>
      <c r="D361" s="14">
        <f>29.1544 * CHOOSE(CONTROL!$C$15, $E$9, 100%, $G$9) + CHOOSE(CONTROL!$C$38, 0.0347, 0)</f>
        <v>29.1891</v>
      </c>
      <c r="E361" s="46">
        <f>31.4071 * CHOOSE(CONTROL!$C$15, $E$9, 100%, $G$9) + CHOOSE(CONTROL!$C$38, 0.0347, 0)</f>
        <v>31.441800000000001</v>
      </c>
      <c r="F361" s="45">
        <f>31.4071 * CHOOSE(CONTROL!$C$15, $E$9, 100%, $G$9) + CHOOSE(CONTROL!$C$38, 0.0256, 0)</f>
        <v>31.432700000000001</v>
      </c>
      <c r="G361" s="14">
        <f>29.1607 * CHOOSE(CONTROL!$C$15, $E$9, 100%, $G$9) + CHOOSE(CONTROL!$C$38, 0.0347, 0)</f>
        <v>29.195399999999999</v>
      </c>
      <c r="H361" s="14">
        <f>29.1607 * CHOOSE(CONTROL!$C$15, $E$9, 100%, $G$9) + CHOOSE(CONTROL!$C$38, 0.0347, 0)</f>
        <v>29.195399999999999</v>
      </c>
      <c r="I361" s="14">
        <f>29.1622 * CHOOSE(CONTROL!$C$15, $E$9, 100%, $G$9) + CHOOSE(CONTROL!$C$38, 0.0347, 0)</f>
        <v>29.196899999999999</v>
      </c>
      <c r="J361" s="44">
        <f>187.604</f>
        <v>187.60400000000001</v>
      </c>
    </row>
    <row r="362" spans="1:10" ht="15.75" x14ac:dyDescent="0.25">
      <c r="A362" s="33">
        <v>51956</v>
      </c>
      <c r="B362" s="14">
        <f>31.0523 * CHOOSE(CONTROL!$C$15, $E$9, 100%, $G$9) + CHOOSE(CONTROL!$C$38, 0.0256, 0)</f>
        <v>31.0779</v>
      </c>
      <c r="C362" s="14">
        <f>28.6512 * CHOOSE(CONTROL!$C$15, $E$9, 100%, $G$9) + CHOOSE(CONTROL!$C$38, 0.0347, 0)</f>
        <v>28.6859</v>
      </c>
      <c r="D362" s="14">
        <f>28.6434 * CHOOSE(CONTROL!$C$15, $E$9, 100%, $G$9) + CHOOSE(CONTROL!$C$38, 0.0347, 0)</f>
        <v>28.678100000000001</v>
      </c>
      <c r="E362" s="46">
        <f>30.8961 * CHOOSE(CONTROL!$C$15, $E$9, 100%, $G$9) + CHOOSE(CONTROL!$C$38, 0.0347, 0)</f>
        <v>30.930800000000001</v>
      </c>
      <c r="F362" s="45">
        <f>30.8961 * CHOOSE(CONTROL!$C$15, $E$9, 100%, $G$9) + CHOOSE(CONTROL!$C$38, 0.0256, 0)</f>
        <v>30.921700000000001</v>
      </c>
      <c r="G362" s="14">
        <f>28.6496 * CHOOSE(CONTROL!$C$15, $E$9, 100%, $G$9) + CHOOSE(CONTROL!$C$38, 0.0347, 0)</f>
        <v>28.6843</v>
      </c>
      <c r="H362" s="14">
        <f>28.6496 * CHOOSE(CONTROL!$C$15, $E$9, 100%, $G$9) + CHOOSE(CONTROL!$C$38, 0.0347, 0)</f>
        <v>28.6843</v>
      </c>
      <c r="I362" s="14">
        <f>28.6512 * CHOOSE(CONTROL!$C$15, $E$9, 100%, $G$9) + CHOOSE(CONTROL!$C$38, 0.0347, 0)</f>
        <v>28.6859</v>
      </c>
      <c r="J362" s="44">
        <f>197.4919</f>
        <v>197.49189999999999</v>
      </c>
    </row>
    <row r="363" spans="1:10" ht="15.75" x14ac:dyDescent="0.25">
      <c r="A363" s="33">
        <v>51986</v>
      </c>
      <c r="B363" s="14">
        <f>30.5572 * CHOOSE(CONTROL!$C$15, $E$9, 100%, $G$9) + CHOOSE(CONTROL!$C$38, 0.0256, 0)</f>
        <v>30.582800000000002</v>
      </c>
      <c r="C363" s="14">
        <f>28.156 * CHOOSE(CONTROL!$C$15, $E$9, 100%, $G$9) + CHOOSE(CONTROL!$C$38, 0.0347, 0)</f>
        <v>28.1907</v>
      </c>
      <c r="D363" s="14">
        <f>28.1482 * CHOOSE(CONTROL!$C$15, $E$9, 100%, $G$9) + CHOOSE(CONTROL!$C$38, 0.0347, 0)</f>
        <v>28.1829</v>
      </c>
      <c r="E363" s="46">
        <f>30.4009 * CHOOSE(CONTROL!$C$15, $E$9, 100%, $G$9) + CHOOSE(CONTROL!$C$38, 0.0347, 0)</f>
        <v>30.435600000000001</v>
      </c>
      <c r="F363" s="45">
        <f>30.4009 * CHOOSE(CONTROL!$C$15, $E$9, 100%, $G$9) + CHOOSE(CONTROL!$C$38, 0.0256, 0)</f>
        <v>30.426500000000001</v>
      </c>
      <c r="G363" s="14">
        <f>28.1545 * CHOOSE(CONTROL!$C$15, $E$9, 100%, $G$9) + CHOOSE(CONTROL!$C$38, 0.0347, 0)</f>
        <v>28.1892</v>
      </c>
      <c r="H363" s="14">
        <f>28.1545 * CHOOSE(CONTROL!$C$15, $E$9, 100%, $G$9) + CHOOSE(CONTROL!$C$38, 0.0347, 0)</f>
        <v>28.1892</v>
      </c>
      <c r="I363" s="14">
        <f>28.156 * CHOOSE(CONTROL!$C$15, $E$9, 100%, $G$9) + CHOOSE(CONTROL!$C$38, 0.0347, 0)</f>
        <v>28.1907</v>
      </c>
      <c r="J363" s="44">
        <f>210.314</f>
        <v>210.31399999999999</v>
      </c>
    </row>
    <row r="364" spans="1:10" ht="15.75" x14ac:dyDescent="0.25">
      <c r="A364" s="33">
        <v>52017</v>
      </c>
      <c r="B364" s="14">
        <f>30.0411 * CHOOSE(CONTROL!$C$15, $E$9, 100%, $G$9) + CHOOSE(CONTROL!$C$38, 0.0278, 0)</f>
        <v>30.068899999999999</v>
      </c>
      <c r="C364" s="14">
        <f>27.6399 * CHOOSE(CONTROL!$C$15, $E$9, 100%, $G$9) + CHOOSE(CONTROL!$C$38, 0.0369, 0)</f>
        <v>27.6768</v>
      </c>
      <c r="D364" s="14">
        <f>27.6321 * CHOOSE(CONTROL!$C$15, $E$9, 100%, $G$9) + CHOOSE(CONTROL!$C$38, 0.0369, 0)</f>
        <v>27.669</v>
      </c>
      <c r="E364" s="46">
        <f>29.8848 * CHOOSE(CONTROL!$C$15, $E$9, 100%, $G$9) + CHOOSE(CONTROL!$C$38, 0.0369, 0)</f>
        <v>29.921699999999998</v>
      </c>
      <c r="F364" s="45">
        <f>29.8848 * CHOOSE(CONTROL!$C$15, $E$9, 100%, $G$9) + CHOOSE(CONTROL!$C$38, 0.0278, 0)</f>
        <v>29.912599999999998</v>
      </c>
      <c r="G364" s="14">
        <f>27.6384 * CHOOSE(CONTROL!$C$15, $E$9, 100%, $G$9) + CHOOSE(CONTROL!$C$38, 0.0369, 0)</f>
        <v>27.6753</v>
      </c>
      <c r="H364" s="14">
        <f>27.6384 * CHOOSE(CONTROL!$C$15, $E$9, 100%, $G$9) + CHOOSE(CONTROL!$C$38, 0.0369, 0)</f>
        <v>27.6753</v>
      </c>
      <c r="I364" s="14">
        <f>27.6399 * CHOOSE(CONTROL!$C$15, $E$9, 100%, $G$9) + CHOOSE(CONTROL!$C$38, 0.0369, 0)</f>
        <v>27.6768</v>
      </c>
      <c r="J364" s="44">
        <f>217.3717</f>
        <v>217.3717</v>
      </c>
    </row>
    <row r="365" spans="1:10" ht="15.75" x14ac:dyDescent="0.25">
      <c r="A365" s="33">
        <v>52047</v>
      </c>
      <c r="B365" s="14">
        <f>29.6792 * CHOOSE(CONTROL!$C$15, $E$9, 100%, $G$9) + CHOOSE(CONTROL!$C$38, 0.0278, 0)</f>
        <v>29.707000000000001</v>
      </c>
      <c r="C365" s="14">
        <f>27.2781 * CHOOSE(CONTROL!$C$15, $E$9, 100%, $G$9) + CHOOSE(CONTROL!$C$38, 0.0369, 0)</f>
        <v>27.314999999999998</v>
      </c>
      <c r="D365" s="14">
        <f>27.2703 * CHOOSE(CONTROL!$C$15, $E$9, 100%, $G$9) + CHOOSE(CONTROL!$C$38, 0.0369, 0)</f>
        <v>27.307199999999998</v>
      </c>
      <c r="E365" s="46">
        <f>29.523 * CHOOSE(CONTROL!$C$15, $E$9, 100%, $G$9) + CHOOSE(CONTROL!$C$38, 0.0369, 0)</f>
        <v>29.559899999999999</v>
      </c>
      <c r="F365" s="45">
        <f>29.523 * CHOOSE(CONTROL!$C$15, $E$9, 100%, $G$9) + CHOOSE(CONTROL!$C$38, 0.0278, 0)</f>
        <v>29.550799999999999</v>
      </c>
      <c r="G365" s="14">
        <f>27.2765 * CHOOSE(CONTROL!$C$15, $E$9, 100%, $G$9) + CHOOSE(CONTROL!$C$38, 0.0369, 0)</f>
        <v>27.313399999999998</v>
      </c>
      <c r="H365" s="14">
        <f>27.2765 * CHOOSE(CONTROL!$C$15, $E$9, 100%, $G$9) + CHOOSE(CONTROL!$C$38, 0.0369, 0)</f>
        <v>27.313399999999998</v>
      </c>
      <c r="I365" s="14">
        <f>27.2781 * CHOOSE(CONTROL!$C$15, $E$9, 100%, $G$9) + CHOOSE(CONTROL!$C$38, 0.0369, 0)</f>
        <v>27.314999999999998</v>
      </c>
      <c r="J365" s="44">
        <f>220.5038</f>
        <v>220.50380000000001</v>
      </c>
    </row>
    <row r="366" spans="1:10" ht="15.75" x14ac:dyDescent="0.25">
      <c r="A366" s="33">
        <v>52078</v>
      </c>
      <c r="B366" s="14">
        <f>29.4727 * CHOOSE(CONTROL!$C$15, $E$9, 100%, $G$9) + CHOOSE(CONTROL!$C$38, 0.0278, 0)</f>
        <v>29.500499999999999</v>
      </c>
      <c r="C366" s="14">
        <f>27.0716 * CHOOSE(CONTROL!$C$15, $E$9, 100%, $G$9) + CHOOSE(CONTROL!$C$38, 0.0369, 0)</f>
        <v>27.108499999999999</v>
      </c>
      <c r="D366" s="14">
        <f>27.0638 * CHOOSE(CONTROL!$C$15, $E$9, 100%, $G$9) + CHOOSE(CONTROL!$C$38, 0.0369, 0)</f>
        <v>27.1007</v>
      </c>
      <c r="E366" s="46">
        <f>29.3165 * CHOOSE(CONTROL!$C$15, $E$9, 100%, $G$9) + CHOOSE(CONTROL!$C$38, 0.0369, 0)</f>
        <v>29.353400000000001</v>
      </c>
      <c r="F366" s="45">
        <f>29.3165 * CHOOSE(CONTROL!$C$15, $E$9, 100%, $G$9) + CHOOSE(CONTROL!$C$38, 0.0278, 0)</f>
        <v>29.3443</v>
      </c>
      <c r="G366" s="14">
        <f>27.07 * CHOOSE(CONTROL!$C$15, $E$9, 100%, $G$9) + CHOOSE(CONTROL!$C$38, 0.0369, 0)</f>
        <v>27.1069</v>
      </c>
      <c r="H366" s="14">
        <f>27.07 * CHOOSE(CONTROL!$C$15, $E$9, 100%, $G$9) + CHOOSE(CONTROL!$C$38, 0.0369, 0)</f>
        <v>27.1069</v>
      </c>
      <c r="I366" s="14">
        <f>27.0716 * CHOOSE(CONTROL!$C$15, $E$9, 100%, $G$9) + CHOOSE(CONTROL!$C$38, 0.0369, 0)</f>
        <v>27.108499999999999</v>
      </c>
      <c r="J366" s="44">
        <f>219.4726</f>
        <v>219.4726</v>
      </c>
    </row>
    <row r="367" spans="1:10" ht="15.75" x14ac:dyDescent="0.25">
      <c r="A367" s="33">
        <v>52109</v>
      </c>
      <c r="B367" s="14">
        <f>29.5746 * CHOOSE(CONTROL!$C$15, $E$9, 100%, $G$9) + CHOOSE(CONTROL!$C$38, 0.0278, 0)</f>
        <v>29.602399999999999</v>
      </c>
      <c r="C367" s="14">
        <f>27.1735 * CHOOSE(CONTROL!$C$15, $E$9, 100%, $G$9) + CHOOSE(CONTROL!$C$38, 0.0369, 0)</f>
        <v>27.2104</v>
      </c>
      <c r="D367" s="14">
        <f>27.1657 * CHOOSE(CONTROL!$C$15, $E$9, 100%, $G$9) + CHOOSE(CONTROL!$C$38, 0.0369, 0)</f>
        <v>27.2026</v>
      </c>
      <c r="E367" s="46">
        <f>29.4184 * CHOOSE(CONTROL!$C$15, $E$9, 100%, $G$9) + CHOOSE(CONTROL!$C$38, 0.0369, 0)</f>
        <v>29.455299999999998</v>
      </c>
      <c r="F367" s="45">
        <f>29.4184 * CHOOSE(CONTROL!$C$15, $E$9, 100%, $G$9) + CHOOSE(CONTROL!$C$38, 0.0278, 0)</f>
        <v>29.446199999999997</v>
      </c>
      <c r="G367" s="14">
        <f>27.1719 * CHOOSE(CONTROL!$C$15, $E$9, 100%, $G$9) + CHOOSE(CONTROL!$C$38, 0.0369, 0)</f>
        <v>27.2088</v>
      </c>
      <c r="H367" s="14">
        <f>27.1719 * CHOOSE(CONTROL!$C$15, $E$9, 100%, $G$9) + CHOOSE(CONTROL!$C$38, 0.0369, 0)</f>
        <v>27.2088</v>
      </c>
      <c r="I367" s="14">
        <f>27.1735 * CHOOSE(CONTROL!$C$15, $E$9, 100%, $G$9) + CHOOSE(CONTROL!$C$38, 0.0369, 0)</f>
        <v>27.2104</v>
      </c>
      <c r="J367" s="44">
        <f>214.3634</f>
        <v>214.36340000000001</v>
      </c>
    </row>
    <row r="368" spans="1:10" ht="15.75" x14ac:dyDescent="0.25">
      <c r="A368" s="33">
        <v>52139</v>
      </c>
      <c r="B368" s="14">
        <f>29.8514 * CHOOSE(CONTROL!$C$15, $E$9, 100%, $G$9) + CHOOSE(CONTROL!$C$38, 0.0278, 0)</f>
        <v>29.879200000000001</v>
      </c>
      <c r="C368" s="14">
        <f>27.4503 * CHOOSE(CONTROL!$C$15, $E$9, 100%, $G$9) + CHOOSE(CONTROL!$C$38, 0.0369, 0)</f>
        <v>27.487199999999998</v>
      </c>
      <c r="D368" s="14">
        <f>27.4425 * CHOOSE(CONTROL!$C$15, $E$9, 100%, $G$9) + CHOOSE(CONTROL!$C$38, 0.0369, 0)</f>
        <v>27.479399999999998</v>
      </c>
      <c r="E368" s="46">
        <f>29.6952 * CHOOSE(CONTROL!$C$15, $E$9, 100%, $G$9) + CHOOSE(CONTROL!$C$38, 0.0369, 0)</f>
        <v>29.732099999999999</v>
      </c>
      <c r="F368" s="45">
        <f>29.6952 * CHOOSE(CONTROL!$C$15, $E$9, 100%, $G$9) + CHOOSE(CONTROL!$C$38, 0.0278, 0)</f>
        <v>29.722999999999999</v>
      </c>
      <c r="G368" s="14">
        <f>27.4487 * CHOOSE(CONTROL!$C$15, $E$9, 100%, $G$9) + CHOOSE(CONTROL!$C$38, 0.0369, 0)</f>
        <v>27.485599999999998</v>
      </c>
      <c r="H368" s="14">
        <f>27.4487 * CHOOSE(CONTROL!$C$15, $E$9, 100%, $G$9) + CHOOSE(CONTROL!$C$38, 0.0369, 0)</f>
        <v>27.485599999999998</v>
      </c>
      <c r="I368" s="14">
        <f>27.4503 * CHOOSE(CONTROL!$C$15, $E$9, 100%, $G$9) + CHOOSE(CONTROL!$C$38, 0.0369, 0)</f>
        <v>27.487199999999998</v>
      </c>
      <c r="J368" s="44">
        <f>207.2383</f>
        <v>207.23830000000001</v>
      </c>
    </row>
    <row r="369" spans="1:10" ht="15.75" x14ac:dyDescent="0.25">
      <c r="A369" s="33">
        <v>52170</v>
      </c>
      <c r="B369" s="14">
        <f>30.0833 * CHOOSE(CONTROL!$C$15, $E$9, 100%, $G$9) + CHOOSE(CONTROL!$C$38, 0.0256, 0)</f>
        <v>30.108900000000002</v>
      </c>
      <c r="C369" s="14">
        <f>27.6821 * CHOOSE(CONTROL!$C$15, $E$9, 100%, $G$9) + CHOOSE(CONTROL!$C$38, 0.0347, 0)</f>
        <v>27.716799999999999</v>
      </c>
      <c r="D369" s="14">
        <f>27.6743 * CHOOSE(CONTROL!$C$15, $E$9, 100%, $G$9) + CHOOSE(CONTROL!$C$38, 0.0347, 0)</f>
        <v>27.709</v>
      </c>
      <c r="E369" s="46">
        <f>29.927 * CHOOSE(CONTROL!$C$15, $E$9, 100%, $G$9) + CHOOSE(CONTROL!$C$38, 0.0347, 0)</f>
        <v>29.9617</v>
      </c>
      <c r="F369" s="45">
        <f>29.927 * CHOOSE(CONTROL!$C$15, $E$9, 100%, $G$9) + CHOOSE(CONTROL!$C$38, 0.0256, 0)</f>
        <v>29.9526</v>
      </c>
      <c r="G369" s="14">
        <f>27.6806 * CHOOSE(CONTROL!$C$15, $E$9, 100%, $G$9) + CHOOSE(CONTROL!$C$38, 0.0347, 0)</f>
        <v>27.715299999999999</v>
      </c>
      <c r="H369" s="14">
        <f>27.6806 * CHOOSE(CONTROL!$C$15, $E$9, 100%, $G$9) + CHOOSE(CONTROL!$C$38, 0.0347, 0)</f>
        <v>27.715299999999999</v>
      </c>
      <c r="I369" s="14">
        <f>27.6821 * CHOOSE(CONTROL!$C$15, $E$9, 100%, $G$9) + CHOOSE(CONTROL!$C$38, 0.0347, 0)</f>
        <v>27.716799999999999</v>
      </c>
      <c r="J369" s="44">
        <f>200.0718</f>
        <v>200.0718</v>
      </c>
    </row>
    <row r="370" spans="1:10" ht="15.75" x14ac:dyDescent="0.25">
      <c r="A370" s="33">
        <v>52200</v>
      </c>
      <c r="B370" s="14">
        <f>30.2767 * CHOOSE(CONTROL!$C$15, $E$9, 100%, $G$9) + CHOOSE(CONTROL!$C$38, 0.0256, 0)</f>
        <v>30.302300000000002</v>
      </c>
      <c r="C370" s="14">
        <f>27.8756 * CHOOSE(CONTROL!$C$15, $E$9, 100%, $G$9) + CHOOSE(CONTROL!$C$38, 0.0347, 0)</f>
        <v>27.910299999999999</v>
      </c>
      <c r="D370" s="14">
        <f>27.8677 * CHOOSE(CONTROL!$C$15, $E$9, 100%, $G$9) + CHOOSE(CONTROL!$C$38, 0.0347, 0)</f>
        <v>27.9024</v>
      </c>
      <c r="E370" s="46">
        <f>30.1205 * CHOOSE(CONTROL!$C$15, $E$9, 100%, $G$9) + CHOOSE(CONTROL!$C$38, 0.0347, 0)</f>
        <v>30.155200000000001</v>
      </c>
      <c r="F370" s="45">
        <f>30.1205 * CHOOSE(CONTROL!$C$15, $E$9, 100%, $G$9) + CHOOSE(CONTROL!$C$38, 0.0256, 0)</f>
        <v>30.146100000000001</v>
      </c>
      <c r="G370" s="14">
        <f>27.874 * CHOOSE(CONTROL!$C$15, $E$9, 100%, $G$9) + CHOOSE(CONTROL!$C$38, 0.0347, 0)</f>
        <v>27.9087</v>
      </c>
      <c r="H370" s="14">
        <f>27.874 * CHOOSE(CONTROL!$C$15, $E$9, 100%, $G$9) + CHOOSE(CONTROL!$C$38, 0.0347, 0)</f>
        <v>27.9087</v>
      </c>
      <c r="I370" s="14">
        <f>27.8756 * CHOOSE(CONTROL!$C$15, $E$9, 100%, $G$9) + CHOOSE(CONTROL!$C$38, 0.0347, 0)</f>
        <v>27.910299999999999</v>
      </c>
      <c r="J370" s="44">
        <f>198.6462</f>
        <v>198.64619999999999</v>
      </c>
    </row>
    <row r="371" spans="1:10" ht="15.75" x14ac:dyDescent="0.25">
      <c r="A371" s="33">
        <v>52231</v>
      </c>
      <c r="B371" s="14">
        <f>30.8728 * CHOOSE(CONTROL!$C$15, $E$9, 100%, $G$9) + CHOOSE(CONTROL!$C$38, 0.0256, 0)</f>
        <v>30.898400000000002</v>
      </c>
      <c r="C371" s="14">
        <f>28.4716 * CHOOSE(CONTROL!$C$15, $E$9, 100%, $G$9) + CHOOSE(CONTROL!$C$38, 0.0347, 0)</f>
        <v>28.5063</v>
      </c>
      <c r="D371" s="14">
        <f>28.4638 * CHOOSE(CONTROL!$C$15, $E$9, 100%, $G$9) + CHOOSE(CONTROL!$C$38, 0.0347, 0)</f>
        <v>28.4985</v>
      </c>
      <c r="E371" s="46">
        <f>30.7165 * CHOOSE(CONTROL!$C$15, $E$9, 100%, $G$9) + CHOOSE(CONTROL!$C$38, 0.0347, 0)</f>
        <v>30.751200000000001</v>
      </c>
      <c r="F371" s="45">
        <f>30.7165 * CHOOSE(CONTROL!$C$15, $E$9, 100%, $G$9) + CHOOSE(CONTROL!$C$38, 0.0256, 0)</f>
        <v>30.742100000000001</v>
      </c>
      <c r="G371" s="14">
        <f>28.4701 * CHOOSE(CONTROL!$C$15, $E$9, 100%, $G$9) + CHOOSE(CONTROL!$C$38, 0.0347, 0)</f>
        <v>28.504799999999999</v>
      </c>
      <c r="H371" s="14">
        <f>28.4701 * CHOOSE(CONTROL!$C$15, $E$9, 100%, $G$9) + CHOOSE(CONTROL!$C$38, 0.0347, 0)</f>
        <v>28.504799999999999</v>
      </c>
      <c r="I371" s="14">
        <f>28.4716 * CHOOSE(CONTROL!$C$15, $E$9, 100%, $G$9) + CHOOSE(CONTROL!$C$38, 0.0347, 0)</f>
        <v>28.5063</v>
      </c>
      <c r="J371" s="44">
        <f>192.7514</f>
        <v>192.75139999999999</v>
      </c>
    </row>
    <row r="372" spans="1:10" ht="15.75" x14ac:dyDescent="0.25">
      <c r="A372" s="33">
        <v>52262</v>
      </c>
      <c r="B372" s="14">
        <f>31.8303 * CHOOSE(CONTROL!$C$15, $E$9, 100%, $G$9) + CHOOSE(CONTROL!$C$38, 0.0256, 0)</f>
        <v>31.855900000000002</v>
      </c>
      <c r="C372" s="14">
        <f>29.3924 * CHOOSE(CONTROL!$C$15, $E$9, 100%, $G$9) + CHOOSE(CONTROL!$C$38, 0.0347, 0)</f>
        <v>29.427099999999999</v>
      </c>
      <c r="D372" s="14">
        <f>29.3846 * CHOOSE(CONTROL!$C$15, $E$9, 100%, $G$9) + CHOOSE(CONTROL!$C$38, 0.0347, 0)</f>
        <v>29.4193</v>
      </c>
      <c r="E372" s="46">
        <f>31.6741 * CHOOSE(CONTROL!$C$15, $E$9, 100%, $G$9) + CHOOSE(CONTROL!$C$38, 0.0347, 0)</f>
        <v>31.7088</v>
      </c>
      <c r="F372" s="45">
        <f>31.6741 * CHOOSE(CONTROL!$C$15, $E$9, 100%, $G$9) + CHOOSE(CONTROL!$C$38, 0.0256, 0)</f>
        <v>31.6997</v>
      </c>
      <c r="G372" s="14">
        <f>29.3908 * CHOOSE(CONTROL!$C$15, $E$9, 100%, $G$9) + CHOOSE(CONTROL!$C$38, 0.0347, 0)</f>
        <v>29.4255</v>
      </c>
      <c r="H372" s="14">
        <f>29.3908 * CHOOSE(CONTROL!$C$15, $E$9, 100%, $G$9) + CHOOSE(CONTROL!$C$38, 0.0347, 0)</f>
        <v>29.4255</v>
      </c>
      <c r="I372" s="14">
        <f>29.3924 * CHOOSE(CONTROL!$C$15, $E$9, 100%, $G$9) + CHOOSE(CONTROL!$C$38, 0.0347, 0)</f>
        <v>29.427099999999999</v>
      </c>
      <c r="J372" s="44">
        <f>192.3833</f>
        <v>192.38329999999999</v>
      </c>
    </row>
    <row r="373" spans="1:10" ht="15.75" x14ac:dyDescent="0.25">
      <c r="A373" s="33">
        <v>52290</v>
      </c>
      <c r="B373" s="14">
        <f>32.0511 * CHOOSE(CONTROL!$C$15, $E$9, 100%, $G$9) + CHOOSE(CONTROL!$C$38, 0.0256, 0)</f>
        <v>32.076699999999995</v>
      </c>
      <c r="C373" s="14">
        <f>29.6131 * CHOOSE(CONTROL!$C$15, $E$9, 100%, $G$9) + CHOOSE(CONTROL!$C$38, 0.0347, 0)</f>
        <v>29.6478</v>
      </c>
      <c r="D373" s="14">
        <f>29.6053 * CHOOSE(CONTROL!$C$15, $E$9, 100%, $G$9) + CHOOSE(CONTROL!$C$38, 0.0347, 0)</f>
        <v>29.64</v>
      </c>
      <c r="E373" s="46">
        <f>31.8948 * CHOOSE(CONTROL!$C$15, $E$9, 100%, $G$9) + CHOOSE(CONTROL!$C$38, 0.0347, 0)</f>
        <v>31.929500000000001</v>
      </c>
      <c r="F373" s="45">
        <f>31.8948 * CHOOSE(CONTROL!$C$15, $E$9, 100%, $G$9) + CHOOSE(CONTROL!$C$38, 0.0256, 0)</f>
        <v>31.920400000000001</v>
      </c>
      <c r="G373" s="14">
        <f>29.6116 * CHOOSE(CONTROL!$C$15, $E$9, 100%, $G$9) + CHOOSE(CONTROL!$C$38, 0.0347, 0)</f>
        <v>29.6463</v>
      </c>
      <c r="H373" s="14">
        <f>29.6116 * CHOOSE(CONTROL!$C$15, $E$9, 100%, $G$9) + CHOOSE(CONTROL!$C$38, 0.0347, 0)</f>
        <v>29.6463</v>
      </c>
      <c r="I373" s="14">
        <f>29.6131 * CHOOSE(CONTROL!$C$15, $E$9, 100%, $G$9) + CHOOSE(CONTROL!$C$38, 0.0347, 0)</f>
        <v>29.6478</v>
      </c>
      <c r="J373" s="44">
        <f>191.8485</f>
        <v>191.8485</v>
      </c>
    </row>
    <row r="374" spans="1:10" ht="15.75" x14ac:dyDescent="0.25">
      <c r="A374" s="33">
        <v>52321</v>
      </c>
      <c r="B374" s="14">
        <f>31.5401 * CHOOSE(CONTROL!$C$15, $E$9, 100%, $G$9) + CHOOSE(CONTROL!$C$38, 0.0256, 0)</f>
        <v>31.5657</v>
      </c>
      <c r="C374" s="14">
        <f>29.1021 * CHOOSE(CONTROL!$C$15, $E$9, 100%, $G$9) + CHOOSE(CONTROL!$C$38, 0.0347, 0)</f>
        <v>29.136800000000001</v>
      </c>
      <c r="D374" s="14">
        <f>29.0943 * CHOOSE(CONTROL!$C$15, $E$9, 100%, $G$9) + CHOOSE(CONTROL!$C$38, 0.0347, 0)</f>
        <v>29.129000000000001</v>
      </c>
      <c r="E374" s="46">
        <f>31.3838 * CHOOSE(CONTROL!$C$15, $E$9, 100%, $G$9) + CHOOSE(CONTROL!$C$38, 0.0347, 0)</f>
        <v>31.418500000000002</v>
      </c>
      <c r="F374" s="45">
        <f>31.3838 * CHOOSE(CONTROL!$C$15, $E$9, 100%, $G$9) + CHOOSE(CONTROL!$C$38, 0.0256, 0)</f>
        <v>31.409400000000002</v>
      </c>
      <c r="G374" s="14">
        <f>29.1005 * CHOOSE(CONTROL!$C$15, $E$9, 100%, $G$9) + CHOOSE(CONTROL!$C$38, 0.0347, 0)</f>
        <v>29.135200000000001</v>
      </c>
      <c r="H374" s="14">
        <f>29.1005 * CHOOSE(CONTROL!$C$15, $E$9, 100%, $G$9) + CHOOSE(CONTROL!$C$38, 0.0347, 0)</f>
        <v>29.135200000000001</v>
      </c>
      <c r="I374" s="14">
        <f>29.1021 * CHOOSE(CONTROL!$C$15, $E$9, 100%, $G$9) + CHOOSE(CONTROL!$C$38, 0.0347, 0)</f>
        <v>29.136800000000001</v>
      </c>
      <c r="J374" s="44">
        <f>201.96</f>
        <v>201.96</v>
      </c>
    </row>
    <row r="375" spans="1:10" ht="15.75" x14ac:dyDescent="0.25">
      <c r="A375" s="33">
        <v>52351</v>
      </c>
      <c r="B375" s="14">
        <f>31.0449 * CHOOSE(CONTROL!$C$15, $E$9, 100%, $G$9) + CHOOSE(CONTROL!$C$38, 0.0256, 0)</f>
        <v>31.070499999999999</v>
      </c>
      <c r="C375" s="14">
        <f>28.6069 * CHOOSE(CONTROL!$C$15, $E$9, 100%, $G$9) + CHOOSE(CONTROL!$C$38, 0.0347, 0)</f>
        <v>28.6416</v>
      </c>
      <c r="D375" s="14">
        <f>28.5991 * CHOOSE(CONTROL!$C$15, $E$9, 100%, $G$9) + CHOOSE(CONTROL!$C$38, 0.0347, 0)</f>
        <v>28.633800000000001</v>
      </c>
      <c r="E375" s="46">
        <f>30.8886 * CHOOSE(CONTROL!$C$15, $E$9, 100%, $G$9) + CHOOSE(CONTROL!$C$38, 0.0347, 0)</f>
        <v>30.923300000000001</v>
      </c>
      <c r="F375" s="45">
        <f>30.8886 * CHOOSE(CONTROL!$C$15, $E$9, 100%, $G$9) + CHOOSE(CONTROL!$C$38, 0.0256, 0)</f>
        <v>30.914200000000001</v>
      </c>
      <c r="G375" s="14">
        <f>28.6054 * CHOOSE(CONTROL!$C$15, $E$9, 100%, $G$9) + CHOOSE(CONTROL!$C$38, 0.0347, 0)</f>
        <v>28.6401</v>
      </c>
      <c r="H375" s="14">
        <f>28.6054 * CHOOSE(CONTROL!$C$15, $E$9, 100%, $G$9) + CHOOSE(CONTROL!$C$38, 0.0347, 0)</f>
        <v>28.6401</v>
      </c>
      <c r="I375" s="14">
        <f>28.6069 * CHOOSE(CONTROL!$C$15, $E$9, 100%, $G$9) + CHOOSE(CONTROL!$C$38, 0.0347, 0)</f>
        <v>28.6416</v>
      </c>
      <c r="J375" s="44">
        <f>215.0722</f>
        <v>215.07220000000001</v>
      </c>
    </row>
    <row r="376" spans="1:10" ht="15.75" x14ac:dyDescent="0.25">
      <c r="A376" s="33">
        <v>52382</v>
      </c>
      <c r="B376" s="14">
        <f>30.5288 * CHOOSE(CONTROL!$C$15, $E$9, 100%, $G$9) + CHOOSE(CONTROL!$C$38, 0.0278, 0)</f>
        <v>30.5566</v>
      </c>
      <c r="C376" s="14">
        <f>28.0908 * CHOOSE(CONTROL!$C$15, $E$9, 100%, $G$9) + CHOOSE(CONTROL!$C$38, 0.0369, 0)</f>
        <v>28.127700000000001</v>
      </c>
      <c r="D376" s="14">
        <f>28.083 * CHOOSE(CONTROL!$C$15, $E$9, 100%, $G$9) + CHOOSE(CONTROL!$C$38, 0.0369, 0)</f>
        <v>28.119899999999998</v>
      </c>
      <c r="E376" s="46">
        <f>30.3725 * CHOOSE(CONTROL!$C$15, $E$9, 100%, $G$9) + CHOOSE(CONTROL!$C$38, 0.0369, 0)</f>
        <v>30.409399999999998</v>
      </c>
      <c r="F376" s="45">
        <f>30.3725 * CHOOSE(CONTROL!$C$15, $E$9, 100%, $G$9) + CHOOSE(CONTROL!$C$38, 0.0278, 0)</f>
        <v>30.400299999999998</v>
      </c>
      <c r="G376" s="14">
        <f>28.0892 * CHOOSE(CONTROL!$C$15, $E$9, 100%, $G$9) + CHOOSE(CONTROL!$C$38, 0.0369, 0)</f>
        <v>28.126100000000001</v>
      </c>
      <c r="H376" s="14">
        <f>28.0892 * CHOOSE(CONTROL!$C$15, $E$9, 100%, $G$9) + CHOOSE(CONTROL!$C$38, 0.0369, 0)</f>
        <v>28.126100000000001</v>
      </c>
      <c r="I376" s="14">
        <f>28.0908 * CHOOSE(CONTROL!$C$15, $E$9, 100%, $G$9) + CHOOSE(CONTROL!$C$38, 0.0369, 0)</f>
        <v>28.127700000000001</v>
      </c>
      <c r="J376" s="44">
        <f>222.2896</f>
        <v>222.28960000000001</v>
      </c>
    </row>
    <row r="377" spans="1:10" ht="15.75" x14ac:dyDescent="0.25">
      <c r="A377" s="33">
        <v>52412</v>
      </c>
      <c r="B377" s="14">
        <f>30.1669 * CHOOSE(CONTROL!$C$15, $E$9, 100%, $G$9) + CHOOSE(CONTROL!$C$38, 0.0278, 0)</f>
        <v>30.194699999999997</v>
      </c>
      <c r="C377" s="14">
        <f>27.729 * CHOOSE(CONTROL!$C$15, $E$9, 100%, $G$9) + CHOOSE(CONTROL!$C$38, 0.0369, 0)</f>
        <v>27.765899999999998</v>
      </c>
      <c r="D377" s="14">
        <f>27.7212 * CHOOSE(CONTROL!$C$15, $E$9, 100%, $G$9) + CHOOSE(CONTROL!$C$38, 0.0369, 0)</f>
        <v>27.758099999999999</v>
      </c>
      <c r="E377" s="46">
        <f>30.0107 * CHOOSE(CONTROL!$C$15, $E$9, 100%, $G$9) + CHOOSE(CONTROL!$C$38, 0.0369, 0)</f>
        <v>30.047599999999999</v>
      </c>
      <c r="F377" s="45">
        <f>30.0107 * CHOOSE(CONTROL!$C$15, $E$9, 100%, $G$9) + CHOOSE(CONTROL!$C$38, 0.0278, 0)</f>
        <v>30.038499999999999</v>
      </c>
      <c r="G377" s="14">
        <f>27.7274 * CHOOSE(CONTROL!$C$15, $E$9, 100%, $G$9) + CHOOSE(CONTROL!$C$38, 0.0369, 0)</f>
        <v>27.764299999999999</v>
      </c>
      <c r="H377" s="14">
        <f>27.7274 * CHOOSE(CONTROL!$C$15, $E$9, 100%, $G$9) + CHOOSE(CONTROL!$C$38, 0.0369, 0)</f>
        <v>27.764299999999999</v>
      </c>
      <c r="I377" s="14">
        <f>27.729 * CHOOSE(CONTROL!$C$15, $E$9, 100%, $G$9) + CHOOSE(CONTROL!$C$38, 0.0369, 0)</f>
        <v>27.765899999999998</v>
      </c>
      <c r="J377" s="44">
        <f>225.4926</f>
        <v>225.49260000000001</v>
      </c>
    </row>
    <row r="378" spans="1:10" ht="15.75" x14ac:dyDescent="0.25">
      <c r="A378" s="33">
        <v>52443</v>
      </c>
      <c r="B378" s="14">
        <f>29.9604 * CHOOSE(CONTROL!$C$15, $E$9, 100%, $G$9) + CHOOSE(CONTROL!$C$38, 0.0278, 0)</f>
        <v>29.988199999999999</v>
      </c>
      <c r="C378" s="14">
        <f>27.5225 * CHOOSE(CONTROL!$C$15, $E$9, 100%, $G$9) + CHOOSE(CONTROL!$C$38, 0.0369, 0)</f>
        <v>27.5594</v>
      </c>
      <c r="D378" s="14">
        <f>27.5147 * CHOOSE(CONTROL!$C$15, $E$9, 100%, $G$9) + CHOOSE(CONTROL!$C$38, 0.0369, 0)</f>
        <v>27.551600000000001</v>
      </c>
      <c r="E378" s="46">
        <f>29.8042 * CHOOSE(CONTROL!$C$15, $E$9, 100%, $G$9) + CHOOSE(CONTROL!$C$38, 0.0369, 0)</f>
        <v>29.841100000000001</v>
      </c>
      <c r="F378" s="45">
        <f>29.8042 * CHOOSE(CONTROL!$C$15, $E$9, 100%, $G$9) + CHOOSE(CONTROL!$C$38, 0.0278, 0)</f>
        <v>29.832000000000001</v>
      </c>
      <c r="G378" s="14">
        <f>27.5209 * CHOOSE(CONTROL!$C$15, $E$9, 100%, $G$9) + CHOOSE(CONTROL!$C$38, 0.0369, 0)</f>
        <v>27.5578</v>
      </c>
      <c r="H378" s="14">
        <f>27.5209 * CHOOSE(CONTROL!$C$15, $E$9, 100%, $G$9) + CHOOSE(CONTROL!$C$38, 0.0369, 0)</f>
        <v>27.5578</v>
      </c>
      <c r="I378" s="14">
        <f>27.5225 * CHOOSE(CONTROL!$C$15, $E$9, 100%, $G$9) + CHOOSE(CONTROL!$C$38, 0.0369, 0)</f>
        <v>27.5594</v>
      </c>
      <c r="J378" s="44">
        <f>224.438</f>
        <v>224.43799999999999</v>
      </c>
    </row>
    <row r="379" spans="1:10" ht="15.75" x14ac:dyDescent="0.25">
      <c r="A379" s="33">
        <v>52474</v>
      </c>
      <c r="B379" s="14">
        <f>30.0623 * CHOOSE(CONTROL!$C$15, $E$9, 100%, $G$9) + CHOOSE(CONTROL!$C$38, 0.0278, 0)</f>
        <v>30.0901</v>
      </c>
      <c r="C379" s="14">
        <f>27.6244 * CHOOSE(CONTROL!$C$15, $E$9, 100%, $G$9) + CHOOSE(CONTROL!$C$38, 0.0369, 0)</f>
        <v>27.661300000000001</v>
      </c>
      <c r="D379" s="14">
        <f>27.6166 * CHOOSE(CONTROL!$C$15, $E$9, 100%, $G$9) + CHOOSE(CONTROL!$C$38, 0.0369, 0)</f>
        <v>27.653499999999998</v>
      </c>
      <c r="E379" s="46">
        <f>29.9061 * CHOOSE(CONTROL!$C$15, $E$9, 100%, $G$9) + CHOOSE(CONTROL!$C$38, 0.0369, 0)</f>
        <v>29.942999999999998</v>
      </c>
      <c r="F379" s="45">
        <f>29.9061 * CHOOSE(CONTROL!$C$15, $E$9, 100%, $G$9) + CHOOSE(CONTROL!$C$38, 0.0278, 0)</f>
        <v>29.933899999999998</v>
      </c>
      <c r="G379" s="14">
        <f>27.6228 * CHOOSE(CONTROL!$C$15, $E$9, 100%, $G$9) + CHOOSE(CONTROL!$C$38, 0.0369, 0)</f>
        <v>27.659700000000001</v>
      </c>
      <c r="H379" s="14">
        <f>27.6228 * CHOOSE(CONTROL!$C$15, $E$9, 100%, $G$9) + CHOOSE(CONTROL!$C$38, 0.0369, 0)</f>
        <v>27.659700000000001</v>
      </c>
      <c r="I379" s="14">
        <f>27.6244 * CHOOSE(CONTROL!$C$15, $E$9, 100%, $G$9) + CHOOSE(CONTROL!$C$38, 0.0369, 0)</f>
        <v>27.661300000000001</v>
      </c>
      <c r="J379" s="44">
        <f>219.2132</f>
        <v>219.2132</v>
      </c>
    </row>
    <row r="380" spans="1:10" ht="15.75" x14ac:dyDescent="0.25">
      <c r="A380" s="33">
        <v>52504</v>
      </c>
      <c r="B380" s="14">
        <f>30.3391 * CHOOSE(CONTROL!$C$15, $E$9, 100%, $G$9) + CHOOSE(CONTROL!$C$38, 0.0278, 0)</f>
        <v>30.366899999999998</v>
      </c>
      <c r="C380" s="14">
        <f>27.9012 * CHOOSE(CONTROL!$C$15, $E$9, 100%, $G$9) + CHOOSE(CONTROL!$C$38, 0.0369, 0)</f>
        <v>27.938099999999999</v>
      </c>
      <c r="D380" s="14">
        <f>27.8934 * CHOOSE(CONTROL!$C$15, $E$9, 100%, $G$9) + CHOOSE(CONTROL!$C$38, 0.0369, 0)</f>
        <v>27.930299999999999</v>
      </c>
      <c r="E380" s="46">
        <f>30.1829 * CHOOSE(CONTROL!$C$15, $E$9, 100%, $G$9) + CHOOSE(CONTROL!$C$38, 0.0369, 0)</f>
        <v>30.219799999999999</v>
      </c>
      <c r="F380" s="45">
        <f>30.1829 * CHOOSE(CONTROL!$C$15, $E$9, 100%, $G$9) + CHOOSE(CONTROL!$C$38, 0.0278, 0)</f>
        <v>30.210699999999999</v>
      </c>
      <c r="G380" s="14">
        <f>27.8996 * CHOOSE(CONTROL!$C$15, $E$9, 100%, $G$9) + CHOOSE(CONTROL!$C$38, 0.0369, 0)</f>
        <v>27.936499999999999</v>
      </c>
      <c r="H380" s="14">
        <f>27.8996 * CHOOSE(CONTROL!$C$15, $E$9, 100%, $G$9) + CHOOSE(CONTROL!$C$38, 0.0369, 0)</f>
        <v>27.936499999999999</v>
      </c>
      <c r="I380" s="14">
        <f>27.9012 * CHOOSE(CONTROL!$C$15, $E$9, 100%, $G$9) + CHOOSE(CONTROL!$C$38, 0.0369, 0)</f>
        <v>27.938099999999999</v>
      </c>
      <c r="J380" s="44">
        <f>211.9269</f>
        <v>211.92689999999999</v>
      </c>
    </row>
    <row r="381" spans="1:10" ht="15.75" x14ac:dyDescent="0.25">
      <c r="A381" s="33">
        <v>52535</v>
      </c>
      <c r="B381" s="14">
        <f>30.571 * CHOOSE(CONTROL!$C$15, $E$9, 100%, $G$9) + CHOOSE(CONTROL!$C$38, 0.0256, 0)</f>
        <v>30.596600000000002</v>
      </c>
      <c r="C381" s="14">
        <f>28.133 * CHOOSE(CONTROL!$C$15, $E$9, 100%, $G$9) + CHOOSE(CONTROL!$C$38, 0.0347, 0)</f>
        <v>28.1677</v>
      </c>
      <c r="D381" s="14">
        <f>28.1252 * CHOOSE(CONTROL!$C$15, $E$9, 100%, $G$9) + CHOOSE(CONTROL!$C$38, 0.0347, 0)</f>
        <v>28.1599</v>
      </c>
      <c r="E381" s="46">
        <f>30.4147 * CHOOSE(CONTROL!$C$15, $E$9, 100%, $G$9) + CHOOSE(CONTROL!$C$38, 0.0347, 0)</f>
        <v>30.449400000000001</v>
      </c>
      <c r="F381" s="45">
        <f>30.4147 * CHOOSE(CONTROL!$C$15, $E$9, 100%, $G$9) + CHOOSE(CONTROL!$C$38, 0.0256, 0)</f>
        <v>30.440300000000001</v>
      </c>
      <c r="G381" s="14">
        <f>28.1315 * CHOOSE(CONTROL!$C$15, $E$9, 100%, $G$9) + CHOOSE(CONTROL!$C$38, 0.0347, 0)</f>
        <v>28.1662</v>
      </c>
      <c r="H381" s="14">
        <f>28.1315 * CHOOSE(CONTROL!$C$15, $E$9, 100%, $G$9) + CHOOSE(CONTROL!$C$38, 0.0347, 0)</f>
        <v>28.1662</v>
      </c>
      <c r="I381" s="14">
        <f>28.133 * CHOOSE(CONTROL!$C$15, $E$9, 100%, $G$9) + CHOOSE(CONTROL!$C$38, 0.0347, 0)</f>
        <v>28.1677</v>
      </c>
      <c r="J381" s="44">
        <f>204.5983</f>
        <v>204.59829999999999</v>
      </c>
    </row>
    <row r="382" spans="1:10" ht="15.75" x14ac:dyDescent="0.25">
      <c r="A382" s="33">
        <v>52565</v>
      </c>
      <c r="B382" s="14">
        <f>30.7644 * CHOOSE(CONTROL!$C$15, $E$9, 100%, $G$9) + CHOOSE(CONTROL!$C$38, 0.0256, 0)</f>
        <v>30.79</v>
      </c>
      <c r="C382" s="14">
        <f>28.3265 * CHOOSE(CONTROL!$C$15, $E$9, 100%, $G$9) + CHOOSE(CONTROL!$C$38, 0.0347, 0)</f>
        <v>28.3612</v>
      </c>
      <c r="D382" s="14">
        <f>28.3186 * CHOOSE(CONTROL!$C$15, $E$9, 100%, $G$9) + CHOOSE(CONTROL!$C$38, 0.0347, 0)</f>
        <v>28.353300000000001</v>
      </c>
      <c r="E382" s="46">
        <f>30.6082 * CHOOSE(CONTROL!$C$15, $E$9, 100%, $G$9) + CHOOSE(CONTROL!$C$38, 0.0347, 0)</f>
        <v>30.642900000000001</v>
      </c>
      <c r="F382" s="45">
        <f>30.6082 * CHOOSE(CONTROL!$C$15, $E$9, 100%, $G$9) + CHOOSE(CONTROL!$C$38, 0.0256, 0)</f>
        <v>30.633800000000001</v>
      </c>
      <c r="G382" s="14">
        <f>28.3249 * CHOOSE(CONTROL!$C$15, $E$9, 100%, $G$9) + CHOOSE(CONTROL!$C$38, 0.0347, 0)</f>
        <v>28.3596</v>
      </c>
      <c r="H382" s="14">
        <f>28.3249 * CHOOSE(CONTROL!$C$15, $E$9, 100%, $G$9) + CHOOSE(CONTROL!$C$38, 0.0347, 0)</f>
        <v>28.3596</v>
      </c>
      <c r="I382" s="14">
        <f>28.3265 * CHOOSE(CONTROL!$C$15, $E$9, 100%, $G$9) + CHOOSE(CONTROL!$C$38, 0.0347, 0)</f>
        <v>28.3612</v>
      </c>
      <c r="J382" s="44">
        <f>203.1405</f>
        <v>203.1405</v>
      </c>
    </row>
    <row r="383" spans="1:10" ht="15.75" x14ac:dyDescent="0.25">
      <c r="A383" s="33">
        <v>52596</v>
      </c>
      <c r="B383" s="14">
        <f>31.3605 * CHOOSE(CONTROL!$C$15, $E$9, 100%, $G$9) + CHOOSE(CONTROL!$C$38, 0.0256, 0)</f>
        <v>31.386099999999999</v>
      </c>
      <c r="C383" s="14">
        <f>28.9225 * CHOOSE(CONTROL!$C$15, $E$9, 100%, $G$9) + CHOOSE(CONTROL!$C$38, 0.0347, 0)</f>
        <v>28.9572</v>
      </c>
      <c r="D383" s="14">
        <f>28.9147 * CHOOSE(CONTROL!$C$15, $E$9, 100%, $G$9) + CHOOSE(CONTROL!$C$38, 0.0347, 0)</f>
        <v>28.949400000000001</v>
      </c>
      <c r="E383" s="46">
        <f>31.2042 * CHOOSE(CONTROL!$C$15, $E$9, 100%, $G$9) + CHOOSE(CONTROL!$C$38, 0.0347, 0)</f>
        <v>31.238900000000001</v>
      </c>
      <c r="F383" s="45">
        <f>31.2042 * CHOOSE(CONTROL!$C$15, $E$9, 100%, $G$9) + CHOOSE(CONTROL!$C$38, 0.0256, 0)</f>
        <v>31.229800000000001</v>
      </c>
      <c r="G383" s="14">
        <f>28.921 * CHOOSE(CONTROL!$C$15, $E$9, 100%, $G$9) + CHOOSE(CONTROL!$C$38, 0.0347, 0)</f>
        <v>28.9557</v>
      </c>
      <c r="H383" s="14">
        <f>28.921 * CHOOSE(CONTROL!$C$15, $E$9, 100%, $G$9) + CHOOSE(CONTROL!$C$38, 0.0347, 0)</f>
        <v>28.9557</v>
      </c>
      <c r="I383" s="14">
        <f>28.9225 * CHOOSE(CONTROL!$C$15, $E$9, 100%, $G$9) + CHOOSE(CONTROL!$C$38, 0.0347, 0)</f>
        <v>28.9572</v>
      </c>
      <c r="J383" s="44">
        <f>197.1123</f>
        <v>197.1123</v>
      </c>
    </row>
    <row r="384" spans="1:10" ht="15.75" x14ac:dyDescent="0.25">
      <c r="A384" s="33">
        <v>52627</v>
      </c>
      <c r="B384" s="14">
        <f>32.326 * CHOOSE(CONTROL!$C$15, $E$9, 100%, $G$9) + CHOOSE(CONTROL!$C$38, 0.0256, 0)</f>
        <v>32.351599999999998</v>
      </c>
      <c r="C384" s="14">
        <f>29.8507 * CHOOSE(CONTROL!$C$15, $E$9, 100%, $G$9) + CHOOSE(CONTROL!$C$38, 0.0347, 0)</f>
        <v>29.885400000000001</v>
      </c>
      <c r="D384" s="14">
        <f>29.8429 * CHOOSE(CONTROL!$C$15, $E$9, 100%, $G$9) + CHOOSE(CONTROL!$C$38, 0.0347, 0)</f>
        <v>29.877600000000001</v>
      </c>
      <c r="E384" s="46">
        <f>32.1698 * CHOOSE(CONTROL!$C$15, $E$9, 100%, $G$9) + CHOOSE(CONTROL!$C$38, 0.0347, 0)</f>
        <v>32.204500000000003</v>
      </c>
      <c r="F384" s="45">
        <f>32.1698 * CHOOSE(CONTROL!$C$15, $E$9, 100%, $G$9) + CHOOSE(CONTROL!$C$38, 0.0256, 0)</f>
        <v>32.195399999999999</v>
      </c>
      <c r="G384" s="14">
        <f>29.8491 * CHOOSE(CONTROL!$C$15, $E$9, 100%, $G$9) + CHOOSE(CONTROL!$C$38, 0.0347, 0)</f>
        <v>29.883800000000001</v>
      </c>
      <c r="H384" s="14">
        <f>29.8491 * CHOOSE(CONTROL!$C$15, $E$9, 100%, $G$9) + CHOOSE(CONTROL!$C$38, 0.0347, 0)</f>
        <v>29.883800000000001</v>
      </c>
      <c r="I384" s="14">
        <f>29.8507 * CHOOSE(CONTROL!$C$15, $E$9, 100%, $G$9) + CHOOSE(CONTROL!$C$38, 0.0347, 0)</f>
        <v>29.885400000000001</v>
      </c>
      <c r="J384" s="44">
        <f>196.7358</f>
        <v>196.73580000000001</v>
      </c>
    </row>
    <row r="385" spans="1:10" ht="15.75" x14ac:dyDescent="0.25">
      <c r="A385" s="33">
        <v>52655</v>
      </c>
      <c r="B385" s="14">
        <f>32.5468 * CHOOSE(CONTROL!$C$15, $E$9, 100%, $G$9) + CHOOSE(CONTROL!$C$38, 0.0256, 0)</f>
        <v>32.572399999999995</v>
      </c>
      <c r="C385" s="14">
        <f>30.0714 * CHOOSE(CONTROL!$C$15, $E$9, 100%, $G$9) + CHOOSE(CONTROL!$C$38, 0.0347, 0)</f>
        <v>30.106100000000001</v>
      </c>
      <c r="D385" s="14">
        <f>30.0636 * CHOOSE(CONTROL!$C$15, $E$9, 100%, $G$9) + CHOOSE(CONTROL!$C$38, 0.0347, 0)</f>
        <v>30.098300000000002</v>
      </c>
      <c r="E385" s="46">
        <f>32.3905 * CHOOSE(CONTROL!$C$15, $E$9, 100%, $G$9) + CHOOSE(CONTROL!$C$38, 0.0347, 0)</f>
        <v>32.425200000000004</v>
      </c>
      <c r="F385" s="45">
        <f>32.3905 * CHOOSE(CONTROL!$C$15, $E$9, 100%, $G$9) + CHOOSE(CONTROL!$C$38, 0.0256, 0)</f>
        <v>32.4161</v>
      </c>
      <c r="G385" s="14">
        <f>30.0699 * CHOOSE(CONTROL!$C$15, $E$9, 100%, $G$9) + CHOOSE(CONTROL!$C$38, 0.0347, 0)</f>
        <v>30.104600000000001</v>
      </c>
      <c r="H385" s="14">
        <f>30.0699 * CHOOSE(CONTROL!$C$15, $E$9, 100%, $G$9) + CHOOSE(CONTROL!$C$38, 0.0347, 0)</f>
        <v>30.104600000000001</v>
      </c>
      <c r="I385" s="14">
        <f>30.0714 * CHOOSE(CONTROL!$C$15, $E$9, 100%, $G$9) + CHOOSE(CONTROL!$C$38, 0.0347, 0)</f>
        <v>30.106100000000001</v>
      </c>
      <c r="J385" s="44">
        <f>196.189</f>
        <v>196.18899999999999</v>
      </c>
    </row>
    <row r="386" spans="1:10" ht="15.75" x14ac:dyDescent="0.25">
      <c r="A386" s="33">
        <v>52687</v>
      </c>
      <c r="B386" s="14">
        <f>32.0358 * CHOOSE(CONTROL!$C$15, $E$9, 100%, $G$9) + CHOOSE(CONTROL!$C$38, 0.0256, 0)</f>
        <v>32.061399999999999</v>
      </c>
      <c r="C386" s="14">
        <f>29.5604 * CHOOSE(CONTROL!$C$15, $E$9, 100%, $G$9) + CHOOSE(CONTROL!$C$38, 0.0347, 0)</f>
        <v>29.595100000000002</v>
      </c>
      <c r="D386" s="14">
        <f>29.5526 * CHOOSE(CONTROL!$C$15, $E$9, 100%, $G$9) + CHOOSE(CONTROL!$C$38, 0.0347, 0)</f>
        <v>29.587300000000003</v>
      </c>
      <c r="E386" s="46">
        <f>31.8795 * CHOOSE(CONTROL!$C$15, $E$9, 100%, $G$9) + CHOOSE(CONTROL!$C$38, 0.0347, 0)</f>
        <v>31.914200000000001</v>
      </c>
      <c r="F386" s="45">
        <f>31.8795 * CHOOSE(CONTROL!$C$15, $E$9, 100%, $G$9) + CHOOSE(CONTROL!$C$38, 0.0256, 0)</f>
        <v>31.905100000000001</v>
      </c>
      <c r="G386" s="14">
        <f>29.5588 * CHOOSE(CONTROL!$C$15, $E$9, 100%, $G$9) + CHOOSE(CONTROL!$C$38, 0.0347, 0)</f>
        <v>29.593500000000002</v>
      </c>
      <c r="H386" s="14">
        <f>29.5588 * CHOOSE(CONTROL!$C$15, $E$9, 100%, $G$9) + CHOOSE(CONTROL!$C$38, 0.0347, 0)</f>
        <v>29.593500000000002</v>
      </c>
      <c r="I386" s="14">
        <f>29.5604 * CHOOSE(CONTROL!$C$15, $E$9, 100%, $G$9) + CHOOSE(CONTROL!$C$38, 0.0347, 0)</f>
        <v>29.595100000000002</v>
      </c>
      <c r="J386" s="44">
        <f>206.5293</f>
        <v>206.52930000000001</v>
      </c>
    </row>
    <row r="387" spans="1:10" ht="15.75" x14ac:dyDescent="0.25">
      <c r="A387" s="33">
        <v>52717</v>
      </c>
      <c r="B387" s="14">
        <f>31.5406 * CHOOSE(CONTROL!$C$15, $E$9, 100%, $G$9) + CHOOSE(CONTROL!$C$38, 0.0256, 0)</f>
        <v>31.566200000000002</v>
      </c>
      <c r="C387" s="14">
        <f>29.0652 * CHOOSE(CONTROL!$C$15, $E$9, 100%, $G$9) + CHOOSE(CONTROL!$C$38, 0.0347, 0)</f>
        <v>29.099900000000002</v>
      </c>
      <c r="D387" s="14">
        <f>29.0574 * CHOOSE(CONTROL!$C$15, $E$9, 100%, $G$9) + CHOOSE(CONTROL!$C$38, 0.0347, 0)</f>
        <v>29.092100000000002</v>
      </c>
      <c r="E387" s="46">
        <f>31.3843 * CHOOSE(CONTROL!$C$15, $E$9, 100%, $G$9) + CHOOSE(CONTROL!$C$38, 0.0347, 0)</f>
        <v>31.419</v>
      </c>
      <c r="F387" s="45">
        <f>31.3843 * CHOOSE(CONTROL!$C$15, $E$9, 100%, $G$9) + CHOOSE(CONTROL!$C$38, 0.0256, 0)</f>
        <v>31.4099</v>
      </c>
      <c r="G387" s="14">
        <f>29.0637 * CHOOSE(CONTROL!$C$15, $E$9, 100%, $G$9) + CHOOSE(CONTROL!$C$38, 0.0347, 0)</f>
        <v>29.098400000000002</v>
      </c>
      <c r="H387" s="14">
        <f>29.0637 * CHOOSE(CONTROL!$C$15, $E$9, 100%, $G$9) + CHOOSE(CONTROL!$C$38, 0.0347, 0)</f>
        <v>29.098400000000002</v>
      </c>
      <c r="I387" s="14">
        <f>29.0652 * CHOOSE(CONTROL!$C$15, $E$9, 100%, $G$9) + CHOOSE(CONTROL!$C$38, 0.0347, 0)</f>
        <v>29.099900000000002</v>
      </c>
      <c r="J387" s="44">
        <f>219.9381</f>
        <v>219.93809999999999</v>
      </c>
    </row>
    <row r="388" spans="1:10" ht="15.75" x14ac:dyDescent="0.25">
      <c r="A388" s="33">
        <v>52748</v>
      </c>
      <c r="B388" s="14">
        <f>31.0245 * CHOOSE(CONTROL!$C$15, $E$9, 100%, $G$9) + CHOOSE(CONTROL!$C$38, 0.0278, 0)</f>
        <v>31.052299999999999</v>
      </c>
      <c r="C388" s="14">
        <f>28.5491 * CHOOSE(CONTROL!$C$15, $E$9, 100%, $G$9) + CHOOSE(CONTROL!$C$38, 0.0369, 0)</f>
        <v>28.585999999999999</v>
      </c>
      <c r="D388" s="14">
        <f>28.5413 * CHOOSE(CONTROL!$C$15, $E$9, 100%, $G$9) + CHOOSE(CONTROL!$C$38, 0.0369, 0)</f>
        <v>28.578199999999999</v>
      </c>
      <c r="E388" s="46">
        <f>30.8682 * CHOOSE(CONTROL!$C$15, $E$9, 100%, $G$9) + CHOOSE(CONTROL!$C$38, 0.0369, 0)</f>
        <v>30.905100000000001</v>
      </c>
      <c r="F388" s="45">
        <f>30.8682 * CHOOSE(CONTROL!$C$15, $E$9, 100%, $G$9) + CHOOSE(CONTROL!$C$38, 0.0278, 0)</f>
        <v>30.896000000000001</v>
      </c>
      <c r="G388" s="14">
        <f>28.5475 * CHOOSE(CONTROL!$C$15, $E$9, 100%, $G$9) + CHOOSE(CONTROL!$C$38, 0.0369, 0)</f>
        <v>28.584399999999999</v>
      </c>
      <c r="H388" s="14">
        <f>28.5475 * CHOOSE(CONTROL!$C$15, $E$9, 100%, $G$9) + CHOOSE(CONTROL!$C$38, 0.0369, 0)</f>
        <v>28.584399999999999</v>
      </c>
      <c r="I388" s="14">
        <f>28.5491 * CHOOSE(CONTROL!$C$15, $E$9, 100%, $G$9) + CHOOSE(CONTROL!$C$38, 0.0369, 0)</f>
        <v>28.585999999999999</v>
      </c>
      <c r="J388" s="44">
        <f>227.3188</f>
        <v>227.31880000000001</v>
      </c>
    </row>
    <row r="389" spans="1:10" ht="15.75" x14ac:dyDescent="0.25">
      <c r="A389" s="33">
        <v>52778</v>
      </c>
      <c r="B389" s="14">
        <f>30.6626 * CHOOSE(CONTROL!$C$15, $E$9, 100%, $G$9) + CHOOSE(CONTROL!$C$38, 0.0278, 0)</f>
        <v>30.6904</v>
      </c>
      <c r="C389" s="14">
        <f>28.1873 * CHOOSE(CONTROL!$C$15, $E$9, 100%, $G$9) + CHOOSE(CONTROL!$C$38, 0.0369, 0)</f>
        <v>28.2242</v>
      </c>
      <c r="D389" s="14">
        <f>28.1795 * CHOOSE(CONTROL!$C$15, $E$9, 100%, $G$9) + CHOOSE(CONTROL!$C$38, 0.0369, 0)</f>
        <v>28.2164</v>
      </c>
      <c r="E389" s="46">
        <f>30.5064 * CHOOSE(CONTROL!$C$15, $E$9, 100%, $G$9) + CHOOSE(CONTROL!$C$38, 0.0369, 0)</f>
        <v>30.543299999999999</v>
      </c>
      <c r="F389" s="45">
        <f>30.5064 * CHOOSE(CONTROL!$C$15, $E$9, 100%, $G$9) + CHOOSE(CONTROL!$C$38, 0.0278, 0)</f>
        <v>30.534199999999998</v>
      </c>
      <c r="G389" s="14">
        <f>28.1857 * CHOOSE(CONTROL!$C$15, $E$9, 100%, $G$9) + CHOOSE(CONTROL!$C$38, 0.0369, 0)</f>
        <v>28.2226</v>
      </c>
      <c r="H389" s="14">
        <f>28.1857 * CHOOSE(CONTROL!$C$15, $E$9, 100%, $G$9) + CHOOSE(CONTROL!$C$38, 0.0369, 0)</f>
        <v>28.2226</v>
      </c>
      <c r="I389" s="14">
        <f>28.1873 * CHOOSE(CONTROL!$C$15, $E$9, 100%, $G$9) + CHOOSE(CONTROL!$C$38, 0.0369, 0)</f>
        <v>28.2242</v>
      </c>
      <c r="J389" s="44">
        <f>230.5943</f>
        <v>230.5943</v>
      </c>
    </row>
    <row r="390" spans="1:10" ht="15.75" x14ac:dyDescent="0.25">
      <c r="A390" s="33">
        <v>52809</v>
      </c>
      <c r="B390" s="14">
        <f>30.4561 * CHOOSE(CONTROL!$C$15, $E$9, 100%, $G$9) + CHOOSE(CONTROL!$C$38, 0.0278, 0)</f>
        <v>30.483899999999998</v>
      </c>
      <c r="C390" s="14">
        <f>27.9808 * CHOOSE(CONTROL!$C$15, $E$9, 100%, $G$9) + CHOOSE(CONTROL!$C$38, 0.0369, 0)</f>
        <v>28.017699999999998</v>
      </c>
      <c r="D390" s="14">
        <f>27.973 * CHOOSE(CONTROL!$C$15, $E$9, 100%, $G$9) + CHOOSE(CONTROL!$C$38, 0.0369, 0)</f>
        <v>28.009899999999998</v>
      </c>
      <c r="E390" s="46">
        <f>30.2999 * CHOOSE(CONTROL!$C$15, $E$9, 100%, $G$9) + CHOOSE(CONTROL!$C$38, 0.0369, 0)</f>
        <v>30.3368</v>
      </c>
      <c r="F390" s="45">
        <f>30.2999 * CHOOSE(CONTROL!$C$15, $E$9, 100%, $G$9) + CHOOSE(CONTROL!$C$38, 0.0278, 0)</f>
        <v>30.3277</v>
      </c>
      <c r="G390" s="14">
        <f>27.9792 * CHOOSE(CONTROL!$C$15, $E$9, 100%, $G$9) + CHOOSE(CONTROL!$C$38, 0.0369, 0)</f>
        <v>28.016099999999998</v>
      </c>
      <c r="H390" s="14">
        <f>27.9792 * CHOOSE(CONTROL!$C$15, $E$9, 100%, $G$9) + CHOOSE(CONTROL!$C$38, 0.0369, 0)</f>
        <v>28.016099999999998</v>
      </c>
      <c r="I390" s="14">
        <f>27.9808 * CHOOSE(CONTROL!$C$15, $E$9, 100%, $G$9) + CHOOSE(CONTROL!$C$38, 0.0369, 0)</f>
        <v>28.017699999999998</v>
      </c>
      <c r="J390" s="44">
        <f>229.5158</f>
        <v>229.51580000000001</v>
      </c>
    </row>
    <row r="391" spans="1:10" ht="15.75" x14ac:dyDescent="0.25">
      <c r="A391" s="33">
        <v>52840</v>
      </c>
      <c r="B391" s="14">
        <f>30.558 * CHOOSE(CONTROL!$C$15, $E$9, 100%, $G$9) + CHOOSE(CONTROL!$C$38, 0.0278, 0)</f>
        <v>30.585799999999999</v>
      </c>
      <c r="C391" s="14">
        <f>28.0827 * CHOOSE(CONTROL!$C$15, $E$9, 100%, $G$9) + CHOOSE(CONTROL!$C$38, 0.0369, 0)</f>
        <v>28.119599999999998</v>
      </c>
      <c r="D391" s="14">
        <f>28.0749 * CHOOSE(CONTROL!$C$15, $E$9, 100%, $G$9) + CHOOSE(CONTROL!$C$38, 0.0369, 0)</f>
        <v>28.111799999999999</v>
      </c>
      <c r="E391" s="46">
        <f>30.4018 * CHOOSE(CONTROL!$C$15, $E$9, 100%, $G$9) + CHOOSE(CONTROL!$C$38, 0.0369, 0)</f>
        <v>30.438700000000001</v>
      </c>
      <c r="F391" s="45">
        <f>30.4018 * CHOOSE(CONTROL!$C$15, $E$9, 100%, $G$9) + CHOOSE(CONTROL!$C$38, 0.0278, 0)</f>
        <v>30.429600000000001</v>
      </c>
      <c r="G391" s="14">
        <f>28.0811 * CHOOSE(CONTROL!$C$15, $E$9, 100%, $G$9) + CHOOSE(CONTROL!$C$38, 0.0369, 0)</f>
        <v>28.117999999999999</v>
      </c>
      <c r="H391" s="14">
        <f>28.0811 * CHOOSE(CONTROL!$C$15, $E$9, 100%, $G$9) + CHOOSE(CONTROL!$C$38, 0.0369, 0)</f>
        <v>28.117999999999999</v>
      </c>
      <c r="I391" s="14">
        <f>28.0827 * CHOOSE(CONTROL!$C$15, $E$9, 100%, $G$9) + CHOOSE(CONTROL!$C$38, 0.0369, 0)</f>
        <v>28.119599999999998</v>
      </c>
      <c r="J391" s="44">
        <f>224.1728</f>
        <v>224.1728</v>
      </c>
    </row>
    <row r="392" spans="1:10" ht="15.75" x14ac:dyDescent="0.25">
      <c r="A392" s="33">
        <v>52870</v>
      </c>
      <c r="B392" s="14">
        <f>30.8348 * CHOOSE(CONTROL!$C$15, $E$9, 100%, $G$9) + CHOOSE(CONTROL!$C$38, 0.0278, 0)</f>
        <v>30.8626</v>
      </c>
      <c r="C392" s="14">
        <f>28.3595 * CHOOSE(CONTROL!$C$15, $E$9, 100%, $G$9) + CHOOSE(CONTROL!$C$38, 0.0369, 0)</f>
        <v>28.3964</v>
      </c>
      <c r="D392" s="14">
        <f>28.3517 * CHOOSE(CONTROL!$C$15, $E$9, 100%, $G$9) + CHOOSE(CONTROL!$C$38, 0.0369, 0)</f>
        <v>28.3886</v>
      </c>
      <c r="E392" s="46">
        <f>30.6786 * CHOOSE(CONTROL!$C$15, $E$9, 100%, $G$9) + CHOOSE(CONTROL!$C$38, 0.0369, 0)</f>
        <v>30.715499999999999</v>
      </c>
      <c r="F392" s="45">
        <f>30.6786 * CHOOSE(CONTROL!$C$15, $E$9, 100%, $G$9) + CHOOSE(CONTROL!$C$38, 0.0278, 0)</f>
        <v>30.706399999999999</v>
      </c>
      <c r="G392" s="14">
        <f>28.3579 * CHOOSE(CONTROL!$C$15, $E$9, 100%, $G$9) + CHOOSE(CONTROL!$C$38, 0.0369, 0)</f>
        <v>28.3948</v>
      </c>
      <c r="H392" s="14">
        <f>28.3579 * CHOOSE(CONTROL!$C$15, $E$9, 100%, $G$9) + CHOOSE(CONTROL!$C$38, 0.0369, 0)</f>
        <v>28.3948</v>
      </c>
      <c r="I392" s="14">
        <f>28.3595 * CHOOSE(CONTROL!$C$15, $E$9, 100%, $G$9) + CHOOSE(CONTROL!$C$38, 0.0369, 0)</f>
        <v>28.3964</v>
      </c>
      <c r="J392" s="44">
        <f>216.7217</f>
        <v>216.7217</v>
      </c>
    </row>
    <row r="393" spans="1:10" ht="15.75" x14ac:dyDescent="0.25">
      <c r="A393" s="33">
        <v>52901</v>
      </c>
      <c r="B393" s="14">
        <f>31.0667 * CHOOSE(CONTROL!$C$15, $E$9, 100%, $G$9) + CHOOSE(CONTROL!$C$38, 0.0256, 0)</f>
        <v>31.092300000000002</v>
      </c>
      <c r="C393" s="14">
        <f>28.5913 * CHOOSE(CONTROL!$C$15, $E$9, 100%, $G$9) + CHOOSE(CONTROL!$C$38, 0.0347, 0)</f>
        <v>28.626000000000001</v>
      </c>
      <c r="D393" s="14">
        <f>28.5835 * CHOOSE(CONTROL!$C$15, $E$9, 100%, $G$9) + CHOOSE(CONTROL!$C$38, 0.0347, 0)</f>
        <v>28.618200000000002</v>
      </c>
      <c r="E393" s="46">
        <f>30.9104 * CHOOSE(CONTROL!$C$15, $E$9, 100%, $G$9) + CHOOSE(CONTROL!$C$38, 0.0347, 0)</f>
        <v>30.9451</v>
      </c>
      <c r="F393" s="45">
        <f>30.9104 * CHOOSE(CONTROL!$C$15, $E$9, 100%, $G$9) + CHOOSE(CONTROL!$C$38, 0.0256, 0)</f>
        <v>30.936</v>
      </c>
      <c r="G393" s="14">
        <f>28.5897 * CHOOSE(CONTROL!$C$15, $E$9, 100%, $G$9) + CHOOSE(CONTROL!$C$38, 0.0347, 0)</f>
        <v>28.624400000000001</v>
      </c>
      <c r="H393" s="14">
        <f>28.5897 * CHOOSE(CONTROL!$C$15, $E$9, 100%, $G$9) + CHOOSE(CONTROL!$C$38, 0.0347, 0)</f>
        <v>28.624400000000001</v>
      </c>
      <c r="I393" s="14">
        <f>28.5913 * CHOOSE(CONTROL!$C$15, $E$9, 100%, $G$9) + CHOOSE(CONTROL!$C$38, 0.0347, 0)</f>
        <v>28.626000000000001</v>
      </c>
      <c r="J393" s="44">
        <f>209.2272</f>
        <v>209.22720000000001</v>
      </c>
    </row>
    <row r="394" spans="1:10" ht="15.75" x14ac:dyDescent="0.25">
      <c r="A394" s="33">
        <v>52931</v>
      </c>
      <c r="B394" s="14">
        <f>31.2601 * CHOOSE(CONTROL!$C$15, $E$9, 100%, $G$9) + CHOOSE(CONTROL!$C$38, 0.0256, 0)</f>
        <v>31.285700000000002</v>
      </c>
      <c r="C394" s="14">
        <f>28.7848 * CHOOSE(CONTROL!$C$15, $E$9, 100%, $G$9) + CHOOSE(CONTROL!$C$38, 0.0347, 0)</f>
        <v>28.819500000000001</v>
      </c>
      <c r="D394" s="14">
        <f>28.7769 * CHOOSE(CONTROL!$C$15, $E$9, 100%, $G$9) + CHOOSE(CONTROL!$C$38, 0.0347, 0)</f>
        <v>28.811600000000002</v>
      </c>
      <c r="E394" s="46">
        <f>31.1039 * CHOOSE(CONTROL!$C$15, $E$9, 100%, $G$9) + CHOOSE(CONTROL!$C$38, 0.0347, 0)</f>
        <v>31.1386</v>
      </c>
      <c r="F394" s="45">
        <f>31.1039 * CHOOSE(CONTROL!$C$15, $E$9, 100%, $G$9) + CHOOSE(CONTROL!$C$38, 0.0256, 0)</f>
        <v>31.1295</v>
      </c>
      <c r="G394" s="14">
        <f>28.7832 * CHOOSE(CONTROL!$C$15, $E$9, 100%, $G$9) + CHOOSE(CONTROL!$C$38, 0.0347, 0)</f>
        <v>28.817900000000002</v>
      </c>
      <c r="H394" s="14">
        <f>28.7832 * CHOOSE(CONTROL!$C$15, $E$9, 100%, $G$9) + CHOOSE(CONTROL!$C$38, 0.0347, 0)</f>
        <v>28.817900000000002</v>
      </c>
      <c r="I394" s="14">
        <f>28.7848 * CHOOSE(CONTROL!$C$15, $E$9, 100%, $G$9) + CHOOSE(CONTROL!$C$38, 0.0347, 0)</f>
        <v>28.819500000000001</v>
      </c>
      <c r="J394" s="44">
        <f>207.7364</f>
        <v>207.7364</v>
      </c>
    </row>
    <row r="395" spans="1:10" ht="15.75" x14ac:dyDescent="0.25">
      <c r="A395" s="33">
        <v>52962</v>
      </c>
      <c r="B395" s="14">
        <f>31.8562 * CHOOSE(CONTROL!$C$15, $E$9, 100%, $G$9) + CHOOSE(CONTROL!$C$38, 0.0256, 0)</f>
        <v>31.881800000000002</v>
      </c>
      <c r="C395" s="14">
        <f>29.3808 * CHOOSE(CONTROL!$C$15, $E$9, 100%, $G$9) + CHOOSE(CONTROL!$C$38, 0.0347, 0)</f>
        <v>29.415500000000002</v>
      </c>
      <c r="D395" s="14">
        <f>29.373 * CHOOSE(CONTROL!$C$15, $E$9, 100%, $G$9) + CHOOSE(CONTROL!$C$38, 0.0347, 0)</f>
        <v>29.407700000000002</v>
      </c>
      <c r="E395" s="46">
        <f>31.6999 * CHOOSE(CONTROL!$C$15, $E$9, 100%, $G$9) + CHOOSE(CONTROL!$C$38, 0.0347, 0)</f>
        <v>31.7346</v>
      </c>
      <c r="F395" s="45">
        <f>31.6999 * CHOOSE(CONTROL!$C$15, $E$9, 100%, $G$9) + CHOOSE(CONTROL!$C$38, 0.0256, 0)</f>
        <v>31.7255</v>
      </c>
      <c r="G395" s="14">
        <f>29.3793 * CHOOSE(CONTROL!$C$15, $E$9, 100%, $G$9) + CHOOSE(CONTROL!$C$38, 0.0347, 0)</f>
        <v>29.414000000000001</v>
      </c>
      <c r="H395" s="14">
        <f>29.3793 * CHOOSE(CONTROL!$C$15, $E$9, 100%, $G$9) + CHOOSE(CONTROL!$C$38, 0.0347, 0)</f>
        <v>29.414000000000001</v>
      </c>
      <c r="I395" s="14">
        <f>29.3808 * CHOOSE(CONTROL!$C$15, $E$9, 100%, $G$9) + CHOOSE(CONTROL!$C$38, 0.0347, 0)</f>
        <v>29.415500000000002</v>
      </c>
      <c r="J395" s="44">
        <f>201.5718</f>
        <v>201.5718</v>
      </c>
    </row>
    <row r="396" spans="1:10" ht="15.75" x14ac:dyDescent="0.25">
      <c r="A396" s="33">
        <v>52993</v>
      </c>
      <c r="B396" s="14">
        <f>32.8299 * CHOOSE(CONTROL!$C$15, $E$9, 100%, $G$9) + CHOOSE(CONTROL!$C$38, 0.0256, 0)</f>
        <v>32.855499999999999</v>
      </c>
      <c r="C396" s="14">
        <f>30.3165 * CHOOSE(CONTROL!$C$15, $E$9, 100%, $G$9) + CHOOSE(CONTROL!$C$38, 0.0347, 0)</f>
        <v>30.351200000000002</v>
      </c>
      <c r="D396" s="14">
        <f>30.3087 * CHOOSE(CONTROL!$C$15, $E$9, 100%, $G$9) + CHOOSE(CONTROL!$C$38, 0.0347, 0)</f>
        <v>30.343400000000003</v>
      </c>
      <c r="E396" s="46">
        <f>32.6736 * CHOOSE(CONTROL!$C$15, $E$9, 100%, $G$9) + CHOOSE(CONTROL!$C$38, 0.0347, 0)</f>
        <v>32.708300000000001</v>
      </c>
      <c r="F396" s="45">
        <f>32.6736 * CHOOSE(CONTROL!$C$15, $E$9, 100%, $G$9) + CHOOSE(CONTROL!$C$38, 0.0256, 0)</f>
        <v>32.699199999999998</v>
      </c>
      <c r="G396" s="14">
        <f>30.3149 * CHOOSE(CONTROL!$C$15, $E$9, 100%, $G$9) + CHOOSE(CONTROL!$C$38, 0.0347, 0)</f>
        <v>30.349600000000002</v>
      </c>
      <c r="H396" s="14">
        <f>30.3149 * CHOOSE(CONTROL!$C$15, $E$9, 100%, $G$9) + CHOOSE(CONTROL!$C$38, 0.0347, 0)</f>
        <v>30.349600000000002</v>
      </c>
      <c r="I396" s="14">
        <f>30.3165 * CHOOSE(CONTROL!$C$15, $E$9, 100%, $G$9) + CHOOSE(CONTROL!$C$38, 0.0347, 0)</f>
        <v>30.351200000000002</v>
      </c>
      <c r="J396" s="44">
        <f>201.1869</f>
        <v>201.18690000000001</v>
      </c>
    </row>
    <row r="397" spans="1:10" ht="15.75" x14ac:dyDescent="0.25">
      <c r="A397" s="33">
        <v>53021</v>
      </c>
      <c r="B397" s="14">
        <f>33.0506 * CHOOSE(CONTROL!$C$15, $E$9, 100%, $G$9) + CHOOSE(CONTROL!$C$38, 0.0256, 0)</f>
        <v>33.0762</v>
      </c>
      <c r="C397" s="14">
        <f>30.5372 * CHOOSE(CONTROL!$C$15, $E$9, 100%, $G$9) + CHOOSE(CONTROL!$C$38, 0.0347, 0)</f>
        <v>30.571899999999999</v>
      </c>
      <c r="D397" s="14">
        <f>30.5294 * CHOOSE(CONTROL!$C$15, $E$9, 100%, $G$9) + CHOOSE(CONTROL!$C$38, 0.0347, 0)</f>
        <v>30.5641</v>
      </c>
      <c r="E397" s="46">
        <f>32.8944 * CHOOSE(CONTROL!$C$15, $E$9, 100%, $G$9) + CHOOSE(CONTROL!$C$38, 0.0347, 0)</f>
        <v>32.929099999999998</v>
      </c>
      <c r="F397" s="45">
        <f>32.8944 * CHOOSE(CONTROL!$C$15, $E$9, 100%, $G$9) + CHOOSE(CONTROL!$C$38, 0.0256, 0)</f>
        <v>32.919999999999995</v>
      </c>
      <c r="G397" s="14">
        <f>30.5357 * CHOOSE(CONTROL!$C$15, $E$9, 100%, $G$9) + CHOOSE(CONTROL!$C$38, 0.0347, 0)</f>
        <v>30.570399999999999</v>
      </c>
      <c r="H397" s="14">
        <f>30.5357 * CHOOSE(CONTROL!$C$15, $E$9, 100%, $G$9) + CHOOSE(CONTROL!$C$38, 0.0347, 0)</f>
        <v>30.570399999999999</v>
      </c>
      <c r="I397" s="14">
        <f>30.5372 * CHOOSE(CONTROL!$C$15, $E$9, 100%, $G$9) + CHOOSE(CONTROL!$C$38, 0.0347, 0)</f>
        <v>30.571899999999999</v>
      </c>
      <c r="J397" s="44">
        <f>200.6276</f>
        <v>200.6276</v>
      </c>
    </row>
    <row r="398" spans="1:10" ht="15.75" x14ac:dyDescent="0.25">
      <c r="A398" s="33">
        <v>53052</v>
      </c>
      <c r="B398" s="14">
        <f>32.5396 * CHOOSE(CONTROL!$C$15, $E$9, 100%, $G$9) + CHOOSE(CONTROL!$C$38, 0.0256, 0)</f>
        <v>32.565199999999997</v>
      </c>
      <c r="C398" s="14">
        <f>30.0262 * CHOOSE(CONTROL!$C$15, $E$9, 100%, $G$9) + CHOOSE(CONTROL!$C$38, 0.0347, 0)</f>
        <v>30.0609</v>
      </c>
      <c r="D398" s="14">
        <f>30.0184 * CHOOSE(CONTROL!$C$15, $E$9, 100%, $G$9) + CHOOSE(CONTROL!$C$38, 0.0347, 0)</f>
        <v>30.053100000000001</v>
      </c>
      <c r="E398" s="46">
        <f>32.3833 * CHOOSE(CONTROL!$C$15, $E$9, 100%, $G$9) + CHOOSE(CONTROL!$C$38, 0.0347, 0)</f>
        <v>32.417999999999999</v>
      </c>
      <c r="F398" s="45">
        <f>32.3833 * CHOOSE(CONTROL!$C$15, $E$9, 100%, $G$9) + CHOOSE(CONTROL!$C$38, 0.0256, 0)</f>
        <v>32.408899999999996</v>
      </c>
      <c r="G398" s="14">
        <f>30.0246 * CHOOSE(CONTROL!$C$15, $E$9, 100%, $G$9) + CHOOSE(CONTROL!$C$38, 0.0347, 0)</f>
        <v>30.0593</v>
      </c>
      <c r="H398" s="14">
        <f>30.0246 * CHOOSE(CONTROL!$C$15, $E$9, 100%, $G$9) + CHOOSE(CONTROL!$C$38, 0.0347, 0)</f>
        <v>30.0593</v>
      </c>
      <c r="I398" s="14">
        <f>30.0262 * CHOOSE(CONTROL!$C$15, $E$9, 100%, $G$9) + CHOOSE(CONTROL!$C$38, 0.0347, 0)</f>
        <v>30.0609</v>
      </c>
      <c r="J398" s="44">
        <f>211.2019</f>
        <v>211.20189999999999</v>
      </c>
    </row>
    <row r="399" spans="1:10" ht="15.75" x14ac:dyDescent="0.25">
      <c r="A399" s="33">
        <v>53082</v>
      </c>
      <c r="B399" s="14">
        <f>32.0444 * CHOOSE(CONTROL!$C$15, $E$9, 100%, $G$9) + CHOOSE(CONTROL!$C$38, 0.0256, 0)</f>
        <v>32.07</v>
      </c>
      <c r="C399" s="14">
        <f>29.531 * CHOOSE(CONTROL!$C$15, $E$9, 100%, $G$9) + CHOOSE(CONTROL!$C$38, 0.0347, 0)</f>
        <v>29.5657</v>
      </c>
      <c r="D399" s="14">
        <f>29.5232 * CHOOSE(CONTROL!$C$15, $E$9, 100%, $G$9) + CHOOSE(CONTROL!$C$38, 0.0347, 0)</f>
        <v>29.5579</v>
      </c>
      <c r="E399" s="46">
        <f>31.8882 * CHOOSE(CONTROL!$C$15, $E$9, 100%, $G$9) + CHOOSE(CONTROL!$C$38, 0.0347, 0)</f>
        <v>31.922900000000002</v>
      </c>
      <c r="F399" s="45">
        <f>31.8882 * CHOOSE(CONTROL!$C$15, $E$9, 100%, $G$9) + CHOOSE(CONTROL!$C$38, 0.0256, 0)</f>
        <v>31.913800000000002</v>
      </c>
      <c r="G399" s="14">
        <f>29.5295 * CHOOSE(CONTROL!$C$15, $E$9, 100%, $G$9) + CHOOSE(CONTROL!$C$38, 0.0347, 0)</f>
        <v>29.5642</v>
      </c>
      <c r="H399" s="14">
        <f>29.5295 * CHOOSE(CONTROL!$C$15, $E$9, 100%, $G$9) + CHOOSE(CONTROL!$C$38, 0.0347, 0)</f>
        <v>29.5642</v>
      </c>
      <c r="I399" s="14">
        <f>29.531 * CHOOSE(CONTROL!$C$15, $E$9, 100%, $G$9) + CHOOSE(CONTROL!$C$38, 0.0347, 0)</f>
        <v>29.5657</v>
      </c>
      <c r="J399" s="44">
        <f>224.9141</f>
        <v>224.91409999999999</v>
      </c>
    </row>
    <row r="400" spans="1:10" ht="15.75" x14ac:dyDescent="0.25">
      <c r="A400" s="33">
        <v>53113</v>
      </c>
      <c r="B400" s="14">
        <f>31.5283 * CHOOSE(CONTROL!$C$15, $E$9, 100%, $G$9) + CHOOSE(CONTROL!$C$38, 0.0278, 0)</f>
        <v>31.556100000000001</v>
      </c>
      <c r="C400" s="14">
        <f>29.0149 * CHOOSE(CONTROL!$C$15, $E$9, 100%, $G$9) + CHOOSE(CONTROL!$C$38, 0.0369, 0)</f>
        <v>29.0518</v>
      </c>
      <c r="D400" s="14">
        <f>29.0071 * CHOOSE(CONTROL!$C$15, $E$9, 100%, $G$9) + CHOOSE(CONTROL!$C$38, 0.0369, 0)</f>
        <v>29.044</v>
      </c>
      <c r="E400" s="46">
        <f>31.372 * CHOOSE(CONTROL!$C$15, $E$9, 100%, $G$9) + CHOOSE(CONTROL!$C$38, 0.0369, 0)</f>
        <v>31.408899999999999</v>
      </c>
      <c r="F400" s="45">
        <f>31.372 * CHOOSE(CONTROL!$C$15, $E$9, 100%, $G$9) + CHOOSE(CONTROL!$C$38, 0.0278, 0)</f>
        <v>31.399799999999999</v>
      </c>
      <c r="G400" s="14">
        <f>29.0133 * CHOOSE(CONTROL!$C$15, $E$9, 100%, $G$9) + CHOOSE(CONTROL!$C$38, 0.0369, 0)</f>
        <v>29.0502</v>
      </c>
      <c r="H400" s="14">
        <f>29.0133 * CHOOSE(CONTROL!$C$15, $E$9, 100%, $G$9) + CHOOSE(CONTROL!$C$38, 0.0369, 0)</f>
        <v>29.0502</v>
      </c>
      <c r="I400" s="14">
        <f>29.0149 * CHOOSE(CONTROL!$C$15, $E$9, 100%, $G$9) + CHOOSE(CONTROL!$C$38, 0.0369, 0)</f>
        <v>29.0518</v>
      </c>
      <c r="J400" s="44">
        <f>232.4618</f>
        <v>232.46180000000001</v>
      </c>
    </row>
    <row r="401" spans="1:10" ht="15.75" x14ac:dyDescent="0.25">
      <c r="A401" s="33">
        <v>53143</v>
      </c>
      <c r="B401" s="14">
        <f>31.1665 * CHOOSE(CONTROL!$C$15, $E$9, 100%, $G$9) + CHOOSE(CONTROL!$C$38, 0.0278, 0)</f>
        <v>31.194299999999998</v>
      </c>
      <c r="C401" s="14">
        <f>28.6531 * CHOOSE(CONTROL!$C$15, $E$9, 100%, $G$9) + CHOOSE(CONTROL!$C$38, 0.0369, 0)</f>
        <v>28.689999999999998</v>
      </c>
      <c r="D401" s="14">
        <f>28.6453 * CHOOSE(CONTROL!$C$15, $E$9, 100%, $G$9) + CHOOSE(CONTROL!$C$38, 0.0369, 0)</f>
        <v>28.682199999999998</v>
      </c>
      <c r="E401" s="46">
        <f>31.0102 * CHOOSE(CONTROL!$C$15, $E$9, 100%, $G$9) + CHOOSE(CONTROL!$C$38, 0.0369, 0)</f>
        <v>31.0471</v>
      </c>
      <c r="F401" s="45">
        <f>31.0102 * CHOOSE(CONTROL!$C$15, $E$9, 100%, $G$9) + CHOOSE(CONTROL!$C$38, 0.0278, 0)</f>
        <v>31.038</v>
      </c>
      <c r="G401" s="14">
        <f>28.6515 * CHOOSE(CONTROL!$C$15, $E$9, 100%, $G$9) + CHOOSE(CONTROL!$C$38, 0.0369, 0)</f>
        <v>28.688399999999998</v>
      </c>
      <c r="H401" s="14">
        <f>28.6515 * CHOOSE(CONTROL!$C$15, $E$9, 100%, $G$9) + CHOOSE(CONTROL!$C$38, 0.0369, 0)</f>
        <v>28.688399999999998</v>
      </c>
      <c r="I401" s="14">
        <f>28.6531 * CHOOSE(CONTROL!$C$15, $E$9, 100%, $G$9) + CHOOSE(CONTROL!$C$38, 0.0369, 0)</f>
        <v>28.689999999999998</v>
      </c>
      <c r="J401" s="44">
        <f>235.8113</f>
        <v>235.81129999999999</v>
      </c>
    </row>
    <row r="402" spans="1:10" ht="15.75" x14ac:dyDescent="0.25">
      <c r="A402" s="33">
        <v>53174</v>
      </c>
      <c r="B402" s="14">
        <f>30.96 * CHOOSE(CONTROL!$C$15, $E$9, 100%, $G$9) + CHOOSE(CONTROL!$C$38, 0.0278, 0)</f>
        <v>30.9878</v>
      </c>
      <c r="C402" s="14">
        <f>28.4466 * CHOOSE(CONTROL!$C$15, $E$9, 100%, $G$9) + CHOOSE(CONTROL!$C$38, 0.0369, 0)</f>
        <v>28.483499999999999</v>
      </c>
      <c r="D402" s="14">
        <f>28.4388 * CHOOSE(CONTROL!$C$15, $E$9, 100%, $G$9) + CHOOSE(CONTROL!$C$38, 0.0369, 0)</f>
        <v>28.4757</v>
      </c>
      <c r="E402" s="46">
        <f>30.8037 * CHOOSE(CONTROL!$C$15, $E$9, 100%, $G$9) + CHOOSE(CONTROL!$C$38, 0.0369, 0)</f>
        <v>30.840599999999998</v>
      </c>
      <c r="F402" s="45">
        <f>30.8037 * CHOOSE(CONTROL!$C$15, $E$9, 100%, $G$9) + CHOOSE(CONTROL!$C$38, 0.0278, 0)</f>
        <v>30.831499999999998</v>
      </c>
      <c r="G402" s="14">
        <f>28.445 * CHOOSE(CONTROL!$C$15, $E$9, 100%, $G$9) + CHOOSE(CONTROL!$C$38, 0.0369, 0)</f>
        <v>28.4819</v>
      </c>
      <c r="H402" s="14">
        <f>28.445 * CHOOSE(CONTROL!$C$15, $E$9, 100%, $G$9) + CHOOSE(CONTROL!$C$38, 0.0369, 0)</f>
        <v>28.4819</v>
      </c>
      <c r="I402" s="14">
        <f>28.4466 * CHOOSE(CONTROL!$C$15, $E$9, 100%, $G$9) + CHOOSE(CONTROL!$C$38, 0.0369, 0)</f>
        <v>28.483499999999999</v>
      </c>
      <c r="J402" s="44">
        <f>234.7085</f>
        <v>234.70849999999999</v>
      </c>
    </row>
    <row r="403" spans="1:10" ht="15.75" x14ac:dyDescent="0.25">
      <c r="A403" s="33">
        <v>53205</v>
      </c>
      <c r="B403" s="14">
        <f>31.0619 * CHOOSE(CONTROL!$C$15, $E$9, 100%, $G$9) + CHOOSE(CONTROL!$C$38, 0.0278, 0)</f>
        <v>31.089700000000001</v>
      </c>
      <c r="C403" s="14">
        <f>28.5485 * CHOOSE(CONTROL!$C$15, $E$9, 100%, $G$9) + CHOOSE(CONTROL!$C$38, 0.0369, 0)</f>
        <v>28.5854</v>
      </c>
      <c r="D403" s="14">
        <f>28.5407 * CHOOSE(CONTROL!$C$15, $E$9, 100%, $G$9) + CHOOSE(CONTROL!$C$38, 0.0369, 0)</f>
        <v>28.5776</v>
      </c>
      <c r="E403" s="46">
        <f>30.9056 * CHOOSE(CONTROL!$C$15, $E$9, 100%, $G$9) + CHOOSE(CONTROL!$C$38, 0.0369, 0)</f>
        <v>30.942499999999999</v>
      </c>
      <c r="F403" s="45">
        <f>30.9056 * CHOOSE(CONTROL!$C$15, $E$9, 100%, $G$9) + CHOOSE(CONTROL!$C$38, 0.0278, 0)</f>
        <v>30.933399999999999</v>
      </c>
      <c r="G403" s="14">
        <f>28.5469 * CHOOSE(CONTROL!$C$15, $E$9, 100%, $G$9) + CHOOSE(CONTROL!$C$38, 0.0369, 0)</f>
        <v>28.5838</v>
      </c>
      <c r="H403" s="14">
        <f>28.5469 * CHOOSE(CONTROL!$C$15, $E$9, 100%, $G$9) + CHOOSE(CONTROL!$C$38, 0.0369, 0)</f>
        <v>28.5838</v>
      </c>
      <c r="I403" s="14">
        <f>28.5485 * CHOOSE(CONTROL!$C$15, $E$9, 100%, $G$9) + CHOOSE(CONTROL!$C$38, 0.0369, 0)</f>
        <v>28.5854</v>
      </c>
      <c r="J403" s="44">
        <f>229.2446</f>
        <v>229.24459999999999</v>
      </c>
    </row>
    <row r="404" spans="1:10" ht="15.75" x14ac:dyDescent="0.25">
      <c r="A404" s="33">
        <v>53235</v>
      </c>
      <c r="B404" s="14">
        <f>31.3387 * CHOOSE(CONTROL!$C$15, $E$9, 100%, $G$9) + CHOOSE(CONTROL!$C$38, 0.0278, 0)</f>
        <v>31.366499999999998</v>
      </c>
      <c r="C404" s="14">
        <f>28.8253 * CHOOSE(CONTROL!$C$15, $E$9, 100%, $G$9) + CHOOSE(CONTROL!$C$38, 0.0369, 0)</f>
        <v>28.862199999999998</v>
      </c>
      <c r="D404" s="14">
        <f>28.8175 * CHOOSE(CONTROL!$C$15, $E$9, 100%, $G$9) + CHOOSE(CONTROL!$C$38, 0.0369, 0)</f>
        <v>28.854399999999998</v>
      </c>
      <c r="E404" s="46">
        <f>31.1824 * CHOOSE(CONTROL!$C$15, $E$9, 100%, $G$9) + CHOOSE(CONTROL!$C$38, 0.0369, 0)</f>
        <v>31.2193</v>
      </c>
      <c r="F404" s="45">
        <f>31.1824 * CHOOSE(CONTROL!$C$15, $E$9, 100%, $G$9) + CHOOSE(CONTROL!$C$38, 0.0278, 0)</f>
        <v>31.2102</v>
      </c>
      <c r="G404" s="14">
        <f>28.8237 * CHOOSE(CONTROL!$C$15, $E$9, 100%, $G$9) + CHOOSE(CONTROL!$C$38, 0.0369, 0)</f>
        <v>28.860599999999998</v>
      </c>
      <c r="H404" s="14">
        <f>28.8237 * CHOOSE(CONTROL!$C$15, $E$9, 100%, $G$9) + CHOOSE(CONTROL!$C$38, 0.0369, 0)</f>
        <v>28.860599999999998</v>
      </c>
      <c r="I404" s="14">
        <f>28.8253 * CHOOSE(CONTROL!$C$15, $E$9, 100%, $G$9) + CHOOSE(CONTROL!$C$38, 0.0369, 0)</f>
        <v>28.862199999999998</v>
      </c>
      <c r="J404" s="44">
        <f>221.6249</f>
        <v>221.6249</v>
      </c>
    </row>
    <row r="405" spans="1:10" ht="15.75" x14ac:dyDescent="0.25">
      <c r="A405" s="33">
        <v>53266</v>
      </c>
      <c r="B405" s="14">
        <f>31.5705 * CHOOSE(CONTROL!$C$15, $E$9, 100%, $G$9) + CHOOSE(CONTROL!$C$38, 0.0256, 0)</f>
        <v>31.5961</v>
      </c>
      <c r="C405" s="14">
        <f>29.0571 * CHOOSE(CONTROL!$C$15, $E$9, 100%, $G$9) + CHOOSE(CONTROL!$C$38, 0.0347, 0)</f>
        <v>29.091799999999999</v>
      </c>
      <c r="D405" s="14">
        <f>29.0493 * CHOOSE(CONTROL!$C$15, $E$9, 100%, $G$9) + CHOOSE(CONTROL!$C$38, 0.0347, 0)</f>
        <v>29.084</v>
      </c>
      <c r="E405" s="46">
        <f>31.4142 * CHOOSE(CONTROL!$C$15, $E$9, 100%, $G$9) + CHOOSE(CONTROL!$C$38, 0.0347, 0)</f>
        <v>31.448900000000002</v>
      </c>
      <c r="F405" s="45">
        <f>31.4142 * CHOOSE(CONTROL!$C$15, $E$9, 100%, $G$9) + CHOOSE(CONTROL!$C$38, 0.0256, 0)</f>
        <v>31.439800000000002</v>
      </c>
      <c r="G405" s="14">
        <f>29.0556 * CHOOSE(CONTROL!$C$15, $E$9, 100%, $G$9) + CHOOSE(CONTROL!$C$38, 0.0347, 0)</f>
        <v>29.090299999999999</v>
      </c>
      <c r="H405" s="14">
        <f>29.0556 * CHOOSE(CONTROL!$C$15, $E$9, 100%, $G$9) + CHOOSE(CONTROL!$C$38, 0.0347, 0)</f>
        <v>29.090299999999999</v>
      </c>
      <c r="I405" s="14">
        <f>29.0571 * CHOOSE(CONTROL!$C$15, $E$9, 100%, $G$9) + CHOOSE(CONTROL!$C$38, 0.0347, 0)</f>
        <v>29.091799999999999</v>
      </c>
      <c r="J405" s="44">
        <f>213.9609</f>
        <v>213.96090000000001</v>
      </c>
    </row>
    <row r="406" spans="1:10" ht="15.75" x14ac:dyDescent="0.25">
      <c r="A406" s="33">
        <v>53296</v>
      </c>
      <c r="B406" s="14">
        <f>31.7639 * CHOOSE(CONTROL!$C$15, $E$9, 100%, $G$9) + CHOOSE(CONTROL!$C$38, 0.0256, 0)</f>
        <v>31.7895</v>
      </c>
      <c r="C406" s="14">
        <f>29.2506 * CHOOSE(CONTROL!$C$15, $E$9, 100%, $G$9) + CHOOSE(CONTROL!$C$38, 0.0347, 0)</f>
        <v>29.285299999999999</v>
      </c>
      <c r="D406" s="14">
        <f>29.2427 * CHOOSE(CONTROL!$C$15, $E$9, 100%, $G$9) + CHOOSE(CONTROL!$C$38, 0.0347, 0)</f>
        <v>29.2774</v>
      </c>
      <c r="E406" s="46">
        <f>31.6077 * CHOOSE(CONTROL!$C$15, $E$9, 100%, $G$9) + CHOOSE(CONTROL!$C$38, 0.0347, 0)</f>
        <v>31.642400000000002</v>
      </c>
      <c r="F406" s="45">
        <f>31.6077 * CHOOSE(CONTROL!$C$15, $E$9, 100%, $G$9) + CHOOSE(CONTROL!$C$38, 0.0256, 0)</f>
        <v>31.633300000000002</v>
      </c>
      <c r="G406" s="14">
        <f>29.249 * CHOOSE(CONTROL!$C$15, $E$9, 100%, $G$9) + CHOOSE(CONTROL!$C$38, 0.0347, 0)</f>
        <v>29.2837</v>
      </c>
      <c r="H406" s="14">
        <f>29.249 * CHOOSE(CONTROL!$C$15, $E$9, 100%, $G$9) + CHOOSE(CONTROL!$C$38, 0.0347, 0)</f>
        <v>29.2837</v>
      </c>
      <c r="I406" s="14">
        <f>29.2506 * CHOOSE(CONTROL!$C$15, $E$9, 100%, $G$9) + CHOOSE(CONTROL!$C$38, 0.0347, 0)</f>
        <v>29.285299999999999</v>
      </c>
      <c r="J406" s="44">
        <f>212.4364</f>
        <v>212.43639999999999</v>
      </c>
    </row>
    <row r="407" spans="1:10" ht="15.75" x14ac:dyDescent="0.25">
      <c r="A407" s="33">
        <v>53327</v>
      </c>
      <c r="B407" s="14">
        <f>32.36 * CHOOSE(CONTROL!$C$15, $E$9, 100%, $G$9) + CHOOSE(CONTROL!$C$38, 0.0256, 0)</f>
        <v>32.385599999999997</v>
      </c>
      <c r="C407" s="14">
        <f>29.8466 * CHOOSE(CONTROL!$C$15, $E$9, 100%, $G$9) + CHOOSE(CONTROL!$C$38, 0.0347, 0)</f>
        <v>29.8813</v>
      </c>
      <c r="D407" s="14">
        <f>29.8388 * CHOOSE(CONTROL!$C$15, $E$9, 100%, $G$9) + CHOOSE(CONTROL!$C$38, 0.0347, 0)</f>
        <v>29.8735</v>
      </c>
      <c r="E407" s="46">
        <f>32.2038 * CHOOSE(CONTROL!$C$15, $E$9, 100%, $G$9) + CHOOSE(CONTROL!$C$38, 0.0347, 0)</f>
        <v>32.238500000000002</v>
      </c>
      <c r="F407" s="45">
        <f>32.2038 * CHOOSE(CONTROL!$C$15, $E$9, 100%, $G$9) + CHOOSE(CONTROL!$C$38, 0.0256, 0)</f>
        <v>32.229399999999998</v>
      </c>
      <c r="G407" s="14">
        <f>29.8451 * CHOOSE(CONTROL!$C$15, $E$9, 100%, $G$9) + CHOOSE(CONTROL!$C$38, 0.0347, 0)</f>
        <v>29.879799999999999</v>
      </c>
      <c r="H407" s="14">
        <f>29.8451 * CHOOSE(CONTROL!$C$15, $E$9, 100%, $G$9) + CHOOSE(CONTROL!$C$38, 0.0347, 0)</f>
        <v>29.879799999999999</v>
      </c>
      <c r="I407" s="14">
        <f>29.8466 * CHOOSE(CONTROL!$C$15, $E$9, 100%, $G$9) + CHOOSE(CONTROL!$C$38, 0.0347, 0)</f>
        <v>29.8813</v>
      </c>
      <c r="J407" s="44">
        <f>206.1323</f>
        <v>206.13229999999999</v>
      </c>
    </row>
    <row r="408" spans="1:10" ht="15.75" x14ac:dyDescent="0.25">
      <c r="A408" s="33">
        <v>53358</v>
      </c>
      <c r="B408" s="14">
        <f>33.3419 * CHOOSE(CONTROL!$C$15, $E$9, 100%, $G$9) + CHOOSE(CONTROL!$C$38, 0.0256, 0)</f>
        <v>33.3675</v>
      </c>
      <c r="C408" s="14">
        <f>30.7899 * CHOOSE(CONTROL!$C$15, $E$9, 100%, $G$9) + CHOOSE(CONTROL!$C$38, 0.0347, 0)</f>
        <v>30.8246</v>
      </c>
      <c r="D408" s="14">
        <f>30.7821 * CHOOSE(CONTROL!$C$15, $E$9, 100%, $G$9) + CHOOSE(CONTROL!$C$38, 0.0347, 0)</f>
        <v>30.816800000000001</v>
      </c>
      <c r="E408" s="46">
        <f>33.1857 * CHOOSE(CONTROL!$C$15, $E$9, 100%, $G$9) + CHOOSE(CONTROL!$C$38, 0.0347, 0)</f>
        <v>33.220399999999998</v>
      </c>
      <c r="F408" s="45">
        <f>33.1857 * CHOOSE(CONTROL!$C$15, $E$9, 100%, $G$9) + CHOOSE(CONTROL!$C$38, 0.0256, 0)</f>
        <v>33.211299999999994</v>
      </c>
      <c r="G408" s="14">
        <f>30.7884 * CHOOSE(CONTROL!$C$15, $E$9, 100%, $G$9) + CHOOSE(CONTROL!$C$38, 0.0347, 0)</f>
        <v>30.8231</v>
      </c>
      <c r="H408" s="14">
        <f>30.7884 * CHOOSE(CONTROL!$C$15, $E$9, 100%, $G$9) + CHOOSE(CONTROL!$C$38, 0.0347, 0)</f>
        <v>30.8231</v>
      </c>
      <c r="I408" s="14">
        <f>30.7899 * CHOOSE(CONTROL!$C$15, $E$9, 100%, $G$9) + CHOOSE(CONTROL!$C$38, 0.0347, 0)</f>
        <v>30.8246</v>
      </c>
      <c r="J408" s="44">
        <f>205.7386</f>
        <v>205.73859999999999</v>
      </c>
    </row>
    <row r="409" spans="1:10" ht="15.75" x14ac:dyDescent="0.25">
      <c r="A409" s="33">
        <v>53386</v>
      </c>
      <c r="B409" s="14">
        <f>33.5627 * CHOOSE(CONTROL!$C$15, $E$9, 100%, $G$9) + CHOOSE(CONTROL!$C$38, 0.0256, 0)</f>
        <v>33.588299999999997</v>
      </c>
      <c r="C409" s="14">
        <f>31.0107 * CHOOSE(CONTROL!$C$15, $E$9, 100%, $G$9) + CHOOSE(CONTROL!$C$38, 0.0347, 0)</f>
        <v>31.045400000000001</v>
      </c>
      <c r="D409" s="14">
        <f>31.0029 * CHOOSE(CONTROL!$C$15, $E$9, 100%, $G$9) + CHOOSE(CONTROL!$C$38, 0.0347, 0)</f>
        <v>31.037600000000001</v>
      </c>
      <c r="E409" s="46">
        <f>33.4065 * CHOOSE(CONTROL!$C$15, $E$9, 100%, $G$9) + CHOOSE(CONTROL!$C$38, 0.0347, 0)</f>
        <v>33.441200000000002</v>
      </c>
      <c r="F409" s="45">
        <f>33.4065 * CHOOSE(CONTROL!$C$15, $E$9, 100%, $G$9) + CHOOSE(CONTROL!$C$38, 0.0256, 0)</f>
        <v>33.432099999999998</v>
      </c>
      <c r="G409" s="14">
        <f>31.0091 * CHOOSE(CONTROL!$C$15, $E$9, 100%, $G$9) + CHOOSE(CONTROL!$C$38, 0.0347, 0)</f>
        <v>31.043800000000001</v>
      </c>
      <c r="H409" s="14">
        <f>31.0091 * CHOOSE(CONTROL!$C$15, $E$9, 100%, $G$9) + CHOOSE(CONTROL!$C$38, 0.0347, 0)</f>
        <v>31.043800000000001</v>
      </c>
      <c r="I409" s="14">
        <f>31.0107 * CHOOSE(CONTROL!$C$15, $E$9, 100%, $G$9) + CHOOSE(CONTROL!$C$38, 0.0347, 0)</f>
        <v>31.045400000000001</v>
      </c>
      <c r="J409" s="44">
        <f>205.1667</f>
        <v>205.16669999999999</v>
      </c>
    </row>
    <row r="410" spans="1:10" ht="15.75" x14ac:dyDescent="0.25">
      <c r="A410" s="33">
        <v>53417</v>
      </c>
      <c r="B410" s="14">
        <f>33.0517 * CHOOSE(CONTROL!$C$15, $E$9, 100%, $G$9) + CHOOSE(CONTROL!$C$38, 0.0256, 0)</f>
        <v>33.077299999999994</v>
      </c>
      <c r="C410" s="14">
        <f>30.4996 * CHOOSE(CONTROL!$C$15, $E$9, 100%, $G$9) + CHOOSE(CONTROL!$C$38, 0.0347, 0)</f>
        <v>30.534300000000002</v>
      </c>
      <c r="D410" s="14">
        <f>30.4918 * CHOOSE(CONTROL!$C$15, $E$9, 100%, $G$9) + CHOOSE(CONTROL!$C$38, 0.0347, 0)</f>
        <v>30.526500000000002</v>
      </c>
      <c r="E410" s="46">
        <f>32.8954 * CHOOSE(CONTROL!$C$15, $E$9, 100%, $G$9) + CHOOSE(CONTROL!$C$38, 0.0347, 0)</f>
        <v>32.930100000000003</v>
      </c>
      <c r="F410" s="45">
        <f>32.8954 * CHOOSE(CONTROL!$C$15, $E$9, 100%, $G$9) + CHOOSE(CONTROL!$C$38, 0.0256, 0)</f>
        <v>32.920999999999999</v>
      </c>
      <c r="G410" s="14">
        <f>30.4981 * CHOOSE(CONTROL!$C$15, $E$9, 100%, $G$9) + CHOOSE(CONTROL!$C$38, 0.0347, 0)</f>
        <v>30.532800000000002</v>
      </c>
      <c r="H410" s="14">
        <f>30.4981 * CHOOSE(CONTROL!$C$15, $E$9, 100%, $G$9) + CHOOSE(CONTROL!$C$38, 0.0347, 0)</f>
        <v>30.532800000000002</v>
      </c>
      <c r="I410" s="14">
        <f>30.4996 * CHOOSE(CONTROL!$C$15, $E$9, 100%, $G$9) + CHOOSE(CONTROL!$C$38, 0.0347, 0)</f>
        <v>30.534300000000002</v>
      </c>
      <c r="J410" s="44">
        <f>215.9802</f>
        <v>215.9802</v>
      </c>
    </row>
    <row r="411" spans="1:10" ht="15.75" x14ac:dyDescent="0.25">
      <c r="A411" s="33">
        <v>53447</v>
      </c>
      <c r="B411" s="14">
        <f>32.5565 * CHOOSE(CONTROL!$C$15, $E$9, 100%, $G$9) + CHOOSE(CONTROL!$C$38, 0.0256, 0)</f>
        <v>32.582099999999997</v>
      </c>
      <c r="C411" s="14">
        <f>30.0045 * CHOOSE(CONTROL!$C$15, $E$9, 100%, $G$9) + CHOOSE(CONTROL!$C$38, 0.0347, 0)</f>
        <v>30.039200000000001</v>
      </c>
      <c r="D411" s="14">
        <f>29.9967 * CHOOSE(CONTROL!$C$15, $E$9, 100%, $G$9) + CHOOSE(CONTROL!$C$38, 0.0347, 0)</f>
        <v>30.031400000000001</v>
      </c>
      <c r="E411" s="46">
        <f>32.4002 * CHOOSE(CONTROL!$C$15, $E$9, 100%, $G$9) + CHOOSE(CONTROL!$C$38, 0.0347, 0)</f>
        <v>32.434899999999999</v>
      </c>
      <c r="F411" s="45">
        <f>32.4002 * CHOOSE(CONTROL!$C$15, $E$9, 100%, $G$9) + CHOOSE(CONTROL!$C$38, 0.0256, 0)</f>
        <v>32.425799999999995</v>
      </c>
      <c r="G411" s="14">
        <f>30.0029 * CHOOSE(CONTROL!$C$15, $E$9, 100%, $G$9) + CHOOSE(CONTROL!$C$38, 0.0347, 0)</f>
        <v>30.037600000000001</v>
      </c>
      <c r="H411" s="14">
        <f>30.0029 * CHOOSE(CONTROL!$C$15, $E$9, 100%, $G$9) + CHOOSE(CONTROL!$C$38, 0.0347, 0)</f>
        <v>30.037600000000001</v>
      </c>
      <c r="I411" s="14">
        <f>30.0045 * CHOOSE(CONTROL!$C$15, $E$9, 100%, $G$9) + CHOOSE(CONTROL!$C$38, 0.0347, 0)</f>
        <v>30.039200000000001</v>
      </c>
      <c r="J411" s="44">
        <f>230.0027</f>
        <v>230.0027</v>
      </c>
    </row>
    <row r="412" spans="1:10" ht="15.75" x14ac:dyDescent="0.25">
      <c r="A412" s="33">
        <v>53478</v>
      </c>
      <c r="B412" s="14">
        <f>32.0404 * CHOOSE(CONTROL!$C$15, $E$9, 100%, $G$9) + CHOOSE(CONTROL!$C$38, 0.0278, 0)</f>
        <v>32.068199999999997</v>
      </c>
      <c r="C412" s="14">
        <f>29.4884 * CHOOSE(CONTROL!$C$15, $E$9, 100%, $G$9) + CHOOSE(CONTROL!$C$38, 0.0369, 0)</f>
        <v>29.525299999999998</v>
      </c>
      <c r="D412" s="14">
        <f>29.4805 * CHOOSE(CONTROL!$C$15, $E$9, 100%, $G$9) + CHOOSE(CONTROL!$C$38, 0.0369, 0)</f>
        <v>29.517399999999999</v>
      </c>
      <c r="E412" s="46">
        <f>31.8841 * CHOOSE(CONTROL!$C$15, $E$9, 100%, $G$9) + CHOOSE(CONTROL!$C$38, 0.0369, 0)</f>
        <v>31.920999999999999</v>
      </c>
      <c r="F412" s="45">
        <f>31.8841 * CHOOSE(CONTROL!$C$15, $E$9, 100%, $G$9) + CHOOSE(CONTROL!$C$38, 0.0278, 0)</f>
        <v>31.911899999999999</v>
      </c>
      <c r="G412" s="14">
        <f>29.4868 * CHOOSE(CONTROL!$C$15, $E$9, 100%, $G$9) + CHOOSE(CONTROL!$C$38, 0.0369, 0)</f>
        <v>29.523699999999998</v>
      </c>
      <c r="H412" s="14">
        <f>29.4868 * CHOOSE(CONTROL!$C$15, $E$9, 100%, $G$9) + CHOOSE(CONTROL!$C$38, 0.0369, 0)</f>
        <v>29.523699999999998</v>
      </c>
      <c r="I412" s="14">
        <f>29.4884 * CHOOSE(CONTROL!$C$15, $E$9, 100%, $G$9) + CHOOSE(CONTROL!$C$38, 0.0369, 0)</f>
        <v>29.525299999999998</v>
      </c>
      <c r="J412" s="44">
        <f>237.7211</f>
        <v>237.72110000000001</v>
      </c>
    </row>
    <row r="413" spans="1:10" ht="15.75" x14ac:dyDescent="0.25">
      <c r="A413" s="33">
        <v>53508</v>
      </c>
      <c r="B413" s="14">
        <f>31.6785 * CHOOSE(CONTROL!$C$15, $E$9, 100%, $G$9) + CHOOSE(CONTROL!$C$38, 0.0278, 0)</f>
        <v>31.706299999999999</v>
      </c>
      <c r="C413" s="14">
        <f>29.1265 * CHOOSE(CONTROL!$C$15, $E$9, 100%, $G$9) + CHOOSE(CONTROL!$C$38, 0.0369, 0)</f>
        <v>29.163399999999999</v>
      </c>
      <c r="D413" s="14">
        <f>29.1187 * CHOOSE(CONTROL!$C$15, $E$9, 100%, $G$9) + CHOOSE(CONTROL!$C$38, 0.0369, 0)</f>
        <v>29.1556</v>
      </c>
      <c r="E413" s="46">
        <f>31.5223 * CHOOSE(CONTROL!$C$15, $E$9, 100%, $G$9) + CHOOSE(CONTROL!$C$38, 0.0369, 0)</f>
        <v>31.559200000000001</v>
      </c>
      <c r="F413" s="45">
        <f>31.5223 * CHOOSE(CONTROL!$C$15, $E$9, 100%, $G$9) + CHOOSE(CONTROL!$C$38, 0.0278, 0)</f>
        <v>31.5501</v>
      </c>
      <c r="G413" s="14">
        <f>29.125 * CHOOSE(CONTROL!$C$15, $E$9, 100%, $G$9) + CHOOSE(CONTROL!$C$38, 0.0369, 0)</f>
        <v>29.161899999999999</v>
      </c>
      <c r="H413" s="14">
        <f>29.125 * CHOOSE(CONTROL!$C$15, $E$9, 100%, $G$9) + CHOOSE(CONTROL!$C$38, 0.0369, 0)</f>
        <v>29.161899999999999</v>
      </c>
      <c r="I413" s="14">
        <f>29.1265 * CHOOSE(CONTROL!$C$15, $E$9, 100%, $G$9) + CHOOSE(CONTROL!$C$38, 0.0369, 0)</f>
        <v>29.163399999999999</v>
      </c>
      <c r="J413" s="44">
        <f>241.1464</f>
        <v>241.1464</v>
      </c>
    </row>
    <row r="414" spans="1:10" ht="15.75" x14ac:dyDescent="0.25">
      <c r="A414" s="33">
        <v>53539</v>
      </c>
      <c r="B414" s="14">
        <f>31.4721 * CHOOSE(CONTROL!$C$15, $E$9, 100%, $G$9) + CHOOSE(CONTROL!$C$38, 0.0278, 0)</f>
        <v>31.4999</v>
      </c>
      <c r="C414" s="14">
        <f>28.92 * CHOOSE(CONTROL!$C$15, $E$9, 100%, $G$9) + CHOOSE(CONTROL!$C$38, 0.0369, 0)</f>
        <v>28.956900000000001</v>
      </c>
      <c r="D414" s="14">
        <f>28.9122 * CHOOSE(CONTROL!$C$15, $E$9, 100%, $G$9) + CHOOSE(CONTROL!$C$38, 0.0369, 0)</f>
        <v>28.949099999999998</v>
      </c>
      <c r="E414" s="46">
        <f>31.3158 * CHOOSE(CONTROL!$C$15, $E$9, 100%, $G$9) + CHOOSE(CONTROL!$C$38, 0.0369, 0)</f>
        <v>31.352699999999999</v>
      </c>
      <c r="F414" s="45">
        <f>31.3158 * CHOOSE(CONTROL!$C$15, $E$9, 100%, $G$9) + CHOOSE(CONTROL!$C$38, 0.0278, 0)</f>
        <v>31.343599999999999</v>
      </c>
      <c r="G414" s="14">
        <f>28.9185 * CHOOSE(CONTROL!$C$15, $E$9, 100%, $G$9) + CHOOSE(CONTROL!$C$38, 0.0369, 0)</f>
        <v>28.955400000000001</v>
      </c>
      <c r="H414" s="14">
        <f>28.9185 * CHOOSE(CONTROL!$C$15, $E$9, 100%, $G$9) + CHOOSE(CONTROL!$C$38, 0.0369, 0)</f>
        <v>28.955400000000001</v>
      </c>
      <c r="I414" s="14">
        <f>28.92 * CHOOSE(CONTROL!$C$15, $E$9, 100%, $G$9) + CHOOSE(CONTROL!$C$38, 0.0369, 0)</f>
        <v>28.956900000000001</v>
      </c>
      <c r="J414" s="44">
        <f>240.0187</f>
        <v>240.0187</v>
      </c>
    </row>
    <row r="415" spans="1:10" ht="15.75" x14ac:dyDescent="0.25">
      <c r="A415" s="33">
        <v>53570</v>
      </c>
      <c r="B415" s="14">
        <f>31.574 * CHOOSE(CONTROL!$C$15, $E$9, 100%, $G$9) + CHOOSE(CONTROL!$C$38, 0.0278, 0)</f>
        <v>31.601800000000001</v>
      </c>
      <c r="C415" s="14">
        <f>29.0219 * CHOOSE(CONTROL!$C$15, $E$9, 100%, $G$9) + CHOOSE(CONTROL!$C$38, 0.0369, 0)</f>
        <v>29.058799999999998</v>
      </c>
      <c r="D415" s="14">
        <f>29.0141 * CHOOSE(CONTROL!$C$15, $E$9, 100%, $G$9) + CHOOSE(CONTROL!$C$38, 0.0369, 0)</f>
        <v>29.050999999999998</v>
      </c>
      <c r="E415" s="46">
        <f>31.4177 * CHOOSE(CONTROL!$C$15, $E$9, 100%, $G$9) + CHOOSE(CONTROL!$C$38, 0.0369, 0)</f>
        <v>31.454599999999999</v>
      </c>
      <c r="F415" s="45">
        <f>31.4177 * CHOOSE(CONTROL!$C$15, $E$9, 100%, $G$9) + CHOOSE(CONTROL!$C$38, 0.0278, 0)</f>
        <v>31.445499999999999</v>
      </c>
      <c r="G415" s="14">
        <f>29.0204 * CHOOSE(CONTROL!$C$15, $E$9, 100%, $G$9) + CHOOSE(CONTROL!$C$38, 0.0369, 0)</f>
        <v>29.057299999999998</v>
      </c>
      <c r="H415" s="14">
        <f>29.0204 * CHOOSE(CONTROL!$C$15, $E$9, 100%, $G$9) + CHOOSE(CONTROL!$C$38, 0.0369, 0)</f>
        <v>29.057299999999998</v>
      </c>
      <c r="I415" s="14">
        <f>29.0219 * CHOOSE(CONTROL!$C$15, $E$9, 100%, $G$9) + CHOOSE(CONTROL!$C$38, 0.0369, 0)</f>
        <v>29.058799999999998</v>
      </c>
      <c r="J415" s="44">
        <f>234.4311</f>
        <v>234.43109999999999</v>
      </c>
    </row>
    <row r="416" spans="1:10" ht="15.75" x14ac:dyDescent="0.25">
      <c r="A416" s="33">
        <v>53600</v>
      </c>
      <c r="B416" s="14">
        <f>31.8508 * CHOOSE(CONTROL!$C$15, $E$9, 100%, $G$9) + CHOOSE(CONTROL!$C$38, 0.0278, 0)</f>
        <v>31.878599999999999</v>
      </c>
      <c r="C416" s="14">
        <f>29.2987 * CHOOSE(CONTROL!$C$15, $E$9, 100%, $G$9) + CHOOSE(CONTROL!$C$38, 0.0369, 0)</f>
        <v>29.335599999999999</v>
      </c>
      <c r="D416" s="14">
        <f>29.2909 * CHOOSE(CONTROL!$C$15, $E$9, 100%, $G$9) + CHOOSE(CONTROL!$C$38, 0.0369, 0)</f>
        <v>29.3278</v>
      </c>
      <c r="E416" s="46">
        <f>31.6945 * CHOOSE(CONTROL!$C$15, $E$9, 100%, $G$9) + CHOOSE(CONTROL!$C$38, 0.0369, 0)</f>
        <v>31.731400000000001</v>
      </c>
      <c r="F416" s="45">
        <f>31.6945 * CHOOSE(CONTROL!$C$15, $E$9, 100%, $G$9) + CHOOSE(CONTROL!$C$38, 0.0278, 0)</f>
        <v>31.722300000000001</v>
      </c>
      <c r="G416" s="14">
        <f>29.2972 * CHOOSE(CONTROL!$C$15, $E$9, 100%, $G$9) + CHOOSE(CONTROL!$C$38, 0.0369, 0)</f>
        <v>29.334099999999999</v>
      </c>
      <c r="H416" s="14">
        <f>29.2972 * CHOOSE(CONTROL!$C$15, $E$9, 100%, $G$9) + CHOOSE(CONTROL!$C$38, 0.0369, 0)</f>
        <v>29.334099999999999</v>
      </c>
      <c r="I416" s="14">
        <f>29.2987 * CHOOSE(CONTROL!$C$15, $E$9, 100%, $G$9) + CHOOSE(CONTROL!$C$38, 0.0369, 0)</f>
        <v>29.335599999999999</v>
      </c>
      <c r="J416" s="44">
        <f>226.6391</f>
        <v>226.63910000000001</v>
      </c>
    </row>
    <row r="417" spans="1:10" ht="15.75" x14ac:dyDescent="0.25">
      <c r="A417" s="33">
        <v>53631</v>
      </c>
      <c r="B417" s="14">
        <f>32.0826 * CHOOSE(CONTROL!$C$15, $E$9, 100%, $G$9) + CHOOSE(CONTROL!$C$38, 0.0256, 0)</f>
        <v>32.108199999999997</v>
      </c>
      <c r="C417" s="14">
        <f>29.5306 * CHOOSE(CONTROL!$C$15, $E$9, 100%, $G$9) + CHOOSE(CONTROL!$C$38, 0.0347, 0)</f>
        <v>29.565300000000001</v>
      </c>
      <c r="D417" s="14">
        <f>29.5227 * CHOOSE(CONTROL!$C$15, $E$9, 100%, $G$9) + CHOOSE(CONTROL!$C$38, 0.0347, 0)</f>
        <v>29.557400000000001</v>
      </c>
      <c r="E417" s="46">
        <f>31.9263 * CHOOSE(CONTROL!$C$15, $E$9, 100%, $G$9) + CHOOSE(CONTROL!$C$38, 0.0347, 0)</f>
        <v>31.961000000000002</v>
      </c>
      <c r="F417" s="45">
        <f>31.9263 * CHOOSE(CONTROL!$C$15, $E$9, 100%, $G$9) + CHOOSE(CONTROL!$C$38, 0.0256, 0)</f>
        <v>31.951900000000002</v>
      </c>
      <c r="G417" s="14">
        <f>29.529 * CHOOSE(CONTROL!$C$15, $E$9, 100%, $G$9) + CHOOSE(CONTROL!$C$38, 0.0347, 0)</f>
        <v>29.563700000000001</v>
      </c>
      <c r="H417" s="14">
        <f>29.529 * CHOOSE(CONTROL!$C$15, $E$9, 100%, $G$9) + CHOOSE(CONTROL!$C$38, 0.0347, 0)</f>
        <v>29.563700000000001</v>
      </c>
      <c r="I417" s="14">
        <f>29.5306 * CHOOSE(CONTROL!$C$15, $E$9, 100%, $G$9) + CHOOSE(CONTROL!$C$38, 0.0347, 0)</f>
        <v>29.565300000000001</v>
      </c>
      <c r="J417" s="44">
        <f>218.8016</f>
        <v>218.80160000000001</v>
      </c>
    </row>
    <row r="418" spans="1:10" ht="15.75" x14ac:dyDescent="0.25">
      <c r="A418" s="33">
        <v>53661</v>
      </c>
      <c r="B418" s="14">
        <f>32.276 * CHOOSE(CONTROL!$C$15, $E$9, 100%, $G$9) + CHOOSE(CONTROL!$C$38, 0.0256, 0)</f>
        <v>32.301600000000001</v>
      </c>
      <c r="C418" s="14">
        <f>29.724 * CHOOSE(CONTROL!$C$15, $E$9, 100%, $G$9) + CHOOSE(CONTROL!$C$38, 0.0347, 0)</f>
        <v>29.758700000000001</v>
      </c>
      <c r="D418" s="14">
        <f>29.7162 * CHOOSE(CONTROL!$C$15, $E$9, 100%, $G$9) + CHOOSE(CONTROL!$C$38, 0.0347, 0)</f>
        <v>29.750900000000001</v>
      </c>
      <c r="E418" s="46">
        <f>32.1198 * CHOOSE(CONTROL!$C$15, $E$9, 100%, $G$9) + CHOOSE(CONTROL!$C$38, 0.0347, 0)</f>
        <v>32.154499999999999</v>
      </c>
      <c r="F418" s="45">
        <f>32.1198 * CHOOSE(CONTROL!$C$15, $E$9, 100%, $G$9) + CHOOSE(CONTROL!$C$38, 0.0256, 0)</f>
        <v>32.145399999999995</v>
      </c>
      <c r="G418" s="14">
        <f>29.7224 * CHOOSE(CONTROL!$C$15, $E$9, 100%, $G$9) + CHOOSE(CONTROL!$C$38, 0.0347, 0)</f>
        <v>29.757100000000001</v>
      </c>
      <c r="H418" s="14">
        <f>29.7224 * CHOOSE(CONTROL!$C$15, $E$9, 100%, $G$9) + CHOOSE(CONTROL!$C$38, 0.0347, 0)</f>
        <v>29.757100000000001</v>
      </c>
      <c r="I418" s="14">
        <f>29.724 * CHOOSE(CONTROL!$C$15, $E$9, 100%, $G$9) + CHOOSE(CONTROL!$C$38, 0.0347, 0)</f>
        <v>29.758700000000001</v>
      </c>
      <c r="J418" s="44">
        <f>217.2426</f>
        <v>217.24260000000001</v>
      </c>
    </row>
    <row r="419" spans="1:10" ht="15.75" x14ac:dyDescent="0.25">
      <c r="A419" s="33">
        <v>53692</v>
      </c>
      <c r="B419" s="14">
        <f>32.8721 * CHOOSE(CONTROL!$C$15, $E$9, 100%, $G$9) + CHOOSE(CONTROL!$C$38, 0.0256, 0)</f>
        <v>32.8977</v>
      </c>
      <c r="C419" s="14">
        <f>30.3201 * CHOOSE(CONTROL!$C$15, $E$9, 100%, $G$9) + CHOOSE(CONTROL!$C$38, 0.0347, 0)</f>
        <v>30.354800000000001</v>
      </c>
      <c r="D419" s="14">
        <f>30.3123 * CHOOSE(CONTROL!$C$15, $E$9, 100%, $G$9) + CHOOSE(CONTROL!$C$38, 0.0347, 0)</f>
        <v>30.347000000000001</v>
      </c>
      <c r="E419" s="46">
        <f>32.7158 * CHOOSE(CONTROL!$C$15, $E$9, 100%, $G$9) + CHOOSE(CONTROL!$C$38, 0.0347, 0)</f>
        <v>32.750500000000002</v>
      </c>
      <c r="F419" s="45">
        <f>32.7158 * CHOOSE(CONTROL!$C$15, $E$9, 100%, $G$9) + CHOOSE(CONTROL!$C$38, 0.0256, 0)</f>
        <v>32.741399999999999</v>
      </c>
      <c r="G419" s="14">
        <f>30.3185 * CHOOSE(CONTROL!$C$15, $E$9, 100%, $G$9) + CHOOSE(CONTROL!$C$38, 0.0347, 0)</f>
        <v>30.353200000000001</v>
      </c>
      <c r="H419" s="14">
        <f>30.3185 * CHOOSE(CONTROL!$C$15, $E$9, 100%, $G$9) + CHOOSE(CONTROL!$C$38, 0.0347, 0)</f>
        <v>30.353200000000001</v>
      </c>
      <c r="I419" s="14">
        <f>30.3201 * CHOOSE(CONTROL!$C$15, $E$9, 100%, $G$9) + CHOOSE(CONTROL!$C$38, 0.0347, 0)</f>
        <v>30.354800000000001</v>
      </c>
      <c r="J419" s="44">
        <f>210.7959</f>
        <v>210.79589999999999</v>
      </c>
    </row>
    <row r="420" spans="1:10" ht="15.75" x14ac:dyDescent="0.25">
      <c r="A420" s="33">
        <v>53723</v>
      </c>
      <c r="B420" s="14">
        <f>33.8624 * CHOOSE(CONTROL!$C$15, $E$9, 100%, $G$9) + CHOOSE(CONTROL!$C$38, 0.0256, 0)</f>
        <v>33.887999999999998</v>
      </c>
      <c r="C420" s="14">
        <f>31.2711 * CHOOSE(CONTROL!$C$15, $E$9, 100%, $G$9) + CHOOSE(CONTROL!$C$38, 0.0347, 0)</f>
        <v>31.305800000000001</v>
      </c>
      <c r="D420" s="14">
        <f>31.2633 * CHOOSE(CONTROL!$C$15, $E$9, 100%, $G$9) + CHOOSE(CONTROL!$C$38, 0.0347, 0)</f>
        <v>31.298000000000002</v>
      </c>
      <c r="E420" s="46">
        <f>33.7062 * CHOOSE(CONTROL!$C$15, $E$9, 100%, $G$9) + CHOOSE(CONTROL!$C$38, 0.0347, 0)</f>
        <v>33.740900000000003</v>
      </c>
      <c r="F420" s="45">
        <f>33.7062 * CHOOSE(CONTROL!$C$15, $E$9, 100%, $G$9) + CHOOSE(CONTROL!$C$38, 0.0256, 0)</f>
        <v>33.7318</v>
      </c>
      <c r="G420" s="14">
        <f>31.2696 * CHOOSE(CONTROL!$C$15, $E$9, 100%, $G$9) + CHOOSE(CONTROL!$C$38, 0.0347, 0)</f>
        <v>31.304300000000001</v>
      </c>
      <c r="H420" s="14">
        <f>31.2696 * CHOOSE(CONTROL!$C$15, $E$9, 100%, $G$9) + CHOOSE(CONTROL!$C$38, 0.0347, 0)</f>
        <v>31.304300000000001</v>
      </c>
      <c r="I420" s="14">
        <f>31.2711 * CHOOSE(CONTROL!$C$15, $E$9, 100%, $G$9) + CHOOSE(CONTROL!$C$38, 0.0347, 0)</f>
        <v>31.305800000000001</v>
      </c>
      <c r="J420" s="44">
        <f>210.3934</f>
        <v>210.39340000000001</v>
      </c>
    </row>
    <row r="421" spans="1:10" ht="15.75" x14ac:dyDescent="0.25">
      <c r="A421" s="33">
        <v>53751</v>
      </c>
      <c r="B421" s="14">
        <f>34.0832 * CHOOSE(CONTROL!$C$15, $E$9, 100%, $G$9) + CHOOSE(CONTROL!$C$38, 0.0256, 0)</f>
        <v>34.108799999999995</v>
      </c>
      <c r="C421" s="14">
        <f>31.4919 * CHOOSE(CONTROL!$C$15, $E$9, 100%, $G$9) + CHOOSE(CONTROL!$C$38, 0.0347, 0)</f>
        <v>31.526600000000002</v>
      </c>
      <c r="D421" s="14">
        <f>31.4841 * CHOOSE(CONTROL!$C$15, $E$9, 100%, $G$9) + CHOOSE(CONTROL!$C$38, 0.0347, 0)</f>
        <v>31.518800000000002</v>
      </c>
      <c r="E421" s="46">
        <f>33.9269 * CHOOSE(CONTROL!$C$15, $E$9, 100%, $G$9) + CHOOSE(CONTROL!$C$38, 0.0347, 0)</f>
        <v>33.961600000000004</v>
      </c>
      <c r="F421" s="45">
        <f>33.9269 * CHOOSE(CONTROL!$C$15, $E$9, 100%, $G$9) + CHOOSE(CONTROL!$C$38, 0.0256, 0)</f>
        <v>33.952500000000001</v>
      </c>
      <c r="G421" s="14">
        <f>31.4903 * CHOOSE(CONTROL!$C$15, $E$9, 100%, $G$9) + CHOOSE(CONTROL!$C$38, 0.0347, 0)</f>
        <v>31.525000000000002</v>
      </c>
      <c r="H421" s="14">
        <f>31.4903 * CHOOSE(CONTROL!$C$15, $E$9, 100%, $G$9) + CHOOSE(CONTROL!$C$38, 0.0347, 0)</f>
        <v>31.525000000000002</v>
      </c>
      <c r="I421" s="14">
        <f>31.4919 * CHOOSE(CONTROL!$C$15, $E$9, 100%, $G$9) + CHOOSE(CONTROL!$C$38, 0.0347, 0)</f>
        <v>31.526600000000002</v>
      </c>
      <c r="J421" s="44">
        <f>209.8085</f>
        <v>209.80850000000001</v>
      </c>
    </row>
    <row r="422" spans="1:10" ht="15.75" x14ac:dyDescent="0.25">
      <c r="A422" s="33">
        <v>53782</v>
      </c>
      <c r="B422" s="14">
        <f>33.5722 * CHOOSE(CONTROL!$C$15, $E$9, 100%, $G$9) + CHOOSE(CONTROL!$C$38, 0.0256, 0)</f>
        <v>33.597799999999999</v>
      </c>
      <c r="C422" s="14">
        <f>30.9808 * CHOOSE(CONTROL!$C$15, $E$9, 100%, $G$9) + CHOOSE(CONTROL!$C$38, 0.0347, 0)</f>
        <v>31.015499999999999</v>
      </c>
      <c r="D422" s="14">
        <f>30.973 * CHOOSE(CONTROL!$C$15, $E$9, 100%, $G$9) + CHOOSE(CONTROL!$C$38, 0.0347, 0)</f>
        <v>31.0077</v>
      </c>
      <c r="E422" s="46">
        <f>33.4159 * CHOOSE(CONTROL!$C$15, $E$9, 100%, $G$9) + CHOOSE(CONTROL!$C$38, 0.0347, 0)</f>
        <v>33.450600000000001</v>
      </c>
      <c r="F422" s="45">
        <f>33.4159 * CHOOSE(CONTROL!$C$15, $E$9, 100%, $G$9) + CHOOSE(CONTROL!$C$38, 0.0256, 0)</f>
        <v>33.441499999999998</v>
      </c>
      <c r="G422" s="14">
        <f>30.9793 * CHOOSE(CONTROL!$C$15, $E$9, 100%, $G$9) + CHOOSE(CONTROL!$C$38, 0.0347, 0)</f>
        <v>31.013999999999999</v>
      </c>
      <c r="H422" s="14">
        <f>30.9793 * CHOOSE(CONTROL!$C$15, $E$9, 100%, $G$9) + CHOOSE(CONTROL!$C$38, 0.0347, 0)</f>
        <v>31.013999999999999</v>
      </c>
      <c r="I422" s="14">
        <f>30.9808 * CHOOSE(CONTROL!$C$15, $E$9, 100%, $G$9) + CHOOSE(CONTROL!$C$38, 0.0347, 0)</f>
        <v>31.015499999999999</v>
      </c>
      <c r="J422" s="44">
        <f>220.8667</f>
        <v>220.86670000000001</v>
      </c>
    </row>
    <row r="423" spans="1:10" ht="15.75" x14ac:dyDescent="0.25">
      <c r="A423" s="33">
        <v>53812</v>
      </c>
      <c r="B423" s="14">
        <f>33.077 * CHOOSE(CONTROL!$C$15, $E$9, 100%, $G$9) + CHOOSE(CONTROL!$C$38, 0.0256, 0)</f>
        <v>33.102599999999995</v>
      </c>
      <c r="C423" s="14">
        <f>30.4857 * CHOOSE(CONTROL!$C$15, $E$9, 100%, $G$9) + CHOOSE(CONTROL!$C$38, 0.0347, 0)</f>
        <v>30.520400000000002</v>
      </c>
      <c r="D423" s="14">
        <f>30.4779 * CHOOSE(CONTROL!$C$15, $E$9, 100%, $G$9) + CHOOSE(CONTROL!$C$38, 0.0347, 0)</f>
        <v>30.512600000000003</v>
      </c>
      <c r="E423" s="46">
        <f>32.9207 * CHOOSE(CONTROL!$C$15, $E$9, 100%, $G$9) + CHOOSE(CONTROL!$C$38, 0.0347, 0)</f>
        <v>32.955399999999997</v>
      </c>
      <c r="F423" s="45">
        <f>32.9207 * CHOOSE(CONTROL!$C$15, $E$9, 100%, $G$9) + CHOOSE(CONTROL!$C$38, 0.0256, 0)</f>
        <v>32.946299999999994</v>
      </c>
      <c r="G423" s="14">
        <f>30.4841 * CHOOSE(CONTROL!$C$15, $E$9, 100%, $G$9) + CHOOSE(CONTROL!$C$38, 0.0347, 0)</f>
        <v>30.518800000000002</v>
      </c>
      <c r="H423" s="14">
        <f>30.4841 * CHOOSE(CONTROL!$C$15, $E$9, 100%, $G$9) + CHOOSE(CONTROL!$C$38, 0.0347, 0)</f>
        <v>30.518800000000002</v>
      </c>
      <c r="I423" s="14">
        <f>30.4857 * CHOOSE(CONTROL!$C$15, $E$9, 100%, $G$9) + CHOOSE(CONTROL!$C$38, 0.0347, 0)</f>
        <v>30.520400000000002</v>
      </c>
      <c r="J423" s="44">
        <f>235.2064</f>
        <v>235.2064</v>
      </c>
    </row>
    <row r="424" spans="1:10" ht="15.75" x14ac:dyDescent="0.25">
      <c r="A424" s="33">
        <v>53843</v>
      </c>
      <c r="B424" s="14">
        <f>32.5609 * CHOOSE(CONTROL!$C$15, $E$9, 100%, $G$9) + CHOOSE(CONTROL!$C$38, 0.0278, 0)</f>
        <v>32.588699999999996</v>
      </c>
      <c r="C424" s="14">
        <f>29.9696 * CHOOSE(CONTROL!$C$15, $E$9, 100%, $G$9) + CHOOSE(CONTROL!$C$38, 0.0369, 0)</f>
        <v>30.006499999999999</v>
      </c>
      <c r="D424" s="14">
        <f>29.9617 * CHOOSE(CONTROL!$C$15, $E$9, 100%, $G$9) + CHOOSE(CONTROL!$C$38, 0.0369, 0)</f>
        <v>29.9986</v>
      </c>
      <c r="E424" s="46">
        <f>32.4046 * CHOOSE(CONTROL!$C$15, $E$9, 100%, $G$9) + CHOOSE(CONTROL!$C$38, 0.0369, 0)</f>
        <v>32.441500000000005</v>
      </c>
      <c r="F424" s="45">
        <f>32.4046 * CHOOSE(CONTROL!$C$15, $E$9, 100%, $G$9) + CHOOSE(CONTROL!$C$38, 0.0278, 0)</f>
        <v>32.432400000000001</v>
      </c>
      <c r="G424" s="14">
        <f>29.968 * CHOOSE(CONTROL!$C$15, $E$9, 100%, $G$9) + CHOOSE(CONTROL!$C$38, 0.0369, 0)</f>
        <v>30.004899999999999</v>
      </c>
      <c r="H424" s="14">
        <f>29.968 * CHOOSE(CONTROL!$C$15, $E$9, 100%, $G$9) + CHOOSE(CONTROL!$C$38, 0.0369, 0)</f>
        <v>30.004899999999999</v>
      </c>
      <c r="I424" s="14">
        <f>29.9696 * CHOOSE(CONTROL!$C$15, $E$9, 100%, $G$9) + CHOOSE(CONTROL!$C$38, 0.0369, 0)</f>
        <v>30.006499999999999</v>
      </c>
      <c r="J424" s="44">
        <f>243.0995</f>
        <v>243.09950000000001</v>
      </c>
    </row>
    <row r="425" spans="1:10" ht="15.75" x14ac:dyDescent="0.25">
      <c r="A425" s="33">
        <v>53873</v>
      </c>
      <c r="B425" s="14">
        <f>32.199 * CHOOSE(CONTROL!$C$15, $E$9, 100%, $G$9) + CHOOSE(CONTROL!$C$38, 0.0278, 0)</f>
        <v>32.226799999999997</v>
      </c>
      <c r="C425" s="14">
        <f>29.6077 * CHOOSE(CONTROL!$C$15, $E$9, 100%, $G$9) + CHOOSE(CONTROL!$C$38, 0.0369, 0)</f>
        <v>29.644600000000001</v>
      </c>
      <c r="D425" s="14">
        <f>29.5999 * CHOOSE(CONTROL!$C$15, $E$9, 100%, $G$9) + CHOOSE(CONTROL!$C$38, 0.0369, 0)</f>
        <v>29.636800000000001</v>
      </c>
      <c r="E425" s="46">
        <f>32.0428 * CHOOSE(CONTROL!$C$15, $E$9, 100%, $G$9) + CHOOSE(CONTROL!$C$38, 0.0369, 0)</f>
        <v>32.079700000000003</v>
      </c>
      <c r="F425" s="45">
        <f>32.0428 * CHOOSE(CONTROL!$C$15, $E$9, 100%, $G$9) + CHOOSE(CONTROL!$C$38, 0.0278, 0)</f>
        <v>32.070599999999999</v>
      </c>
      <c r="G425" s="14">
        <f>29.6062 * CHOOSE(CONTROL!$C$15, $E$9, 100%, $G$9) + CHOOSE(CONTROL!$C$38, 0.0369, 0)</f>
        <v>29.6431</v>
      </c>
      <c r="H425" s="14">
        <f>29.6062 * CHOOSE(CONTROL!$C$15, $E$9, 100%, $G$9) + CHOOSE(CONTROL!$C$38, 0.0369, 0)</f>
        <v>29.6431</v>
      </c>
      <c r="I425" s="14">
        <f>29.6077 * CHOOSE(CONTROL!$C$15, $E$9, 100%, $G$9) + CHOOSE(CONTROL!$C$38, 0.0369, 0)</f>
        <v>29.644600000000001</v>
      </c>
      <c r="J425" s="44">
        <f>246.6023</f>
        <v>246.60230000000001</v>
      </c>
    </row>
    <row r="426" spans="1:10" ht="15.75" x14ac:dyDescent="0.25">
      <c r="A426" s="33">
        <v>53904</v>
      </c>
      <c r="B426" s="14">
        <f>31.9925 * CHOOSE(CONTROL!$C$15, $E$9, 100%, $G$9) + CHOOSE(CONTROL!$C$38, 0.0278, 0)</f>
        <v>32.020299999999999</v>
      </c>
      <c r="C426" s="14">
        <f>29.4012 * CHOOSE(CONTROL!$C$15, $E$9, 100%, $G$9) + CHOOSE(CONTROL!$C$38, 0.0369, 0)</f>
        <v>29.438099999999999</v>
      </c>
      <c r="D426" s="14">
        <f>29.3934 * CHOOSE(CONTROL!$C$15, $E$9, 100%, $G$9) + CHOOSE(CONTROL!$C$38, 0.0369, 0)</f>
        <v>29.430299999999999</v>
      </c>
      <c r="E426" s="46">
        <f>31.8363 * CHOOSE(CONTROL!$C$15, $E$9, 100%, $G$9) + CHOOSE(CONTROL!$C$38, 0.0369, 0)</f>
        <v>31.873200000000001</v>
      </c>
      <c r="F426" s="45">
        <f>31.8363 * CHOOSE(CONTROL!$C$15, $E$9, 100%, $G$9) + CHOOSE(CONTROL!$C$38, 0.0278, 0)</f>
        <v>31.864100000000001</v>
      </c>
      <c r="G426" s="14">
        <f>29.3997 * CHOOSE(CONTROL!$C$15, $E$9, 100%, $G$9) + CHOOSE(CONTROL!$C$38, 0.0369, 0)</f>
        <v>29.436599999999999</v>
      </c>
      <c r="H426" s="14">
        <f>29.3997 * CHOOSE(CONTROL!$C$15, $E$9, 100%, $G$9) + CHOOSE(CONTROL!$C$38, 0.0369, 0)</f>
        <v>29.436599999999999</v>
      </c>
      <c r="I426" s="14">
        <f>29.4012 * CHOOSE(CONTROL!$C$15, $E$9, 100%, $G$9) + CHOOSE(CONTROL!$C$38, 0.0369, 0)</f>
        <v>29.438099999999999</v>
      </c>
      <c r="J426" s="44">
        <f>245.449</f>
        <v>245.44900000000001</v>
      </c>
    </row>
    <row r="427" spans="1:10" ht="15.75" x14ac:dyDescent="0.25">
      <c r="A427" s="33">
        <v>53935</v>
      </c>
      <c r="B427" s="14">
        <f>32.0944 * CHOOSE(CONTROL!$C$15, $E$9, 100%, $G$9) + CHOOSE(CONTROL!$C$38, 0.0278, 0)</f>
        <v>32.122199999999999</v>
      </c>
      <c r="C427" s="14">
        <f>29.5031 * CHOOSE(CONTROL!$C$15, $E$9, 100%, $G$9) + CHOOSE(CONTROL!$C$38, 0.0369, 0)</f>
        <v>29.54</v>
      </c>
      <c r="D427" s="14">
        <f>29.4953 * CHOOSE(CONTROL!$C$15, $E$9, 100%, $G$9) + CHOOSE(CONTROL!$C$38, 0.0369, 0)</f>
        <v>29.5322</v>
      </c>
      <c r="E427" s="46">
        <f>31.9382 * CHOOSE(CONTROL!$C$15, $E$9, 100%, $G$9) + CHOOSE(CONTROL!$C$38, 0.0369, 0)</f>
        <v>31.975099999999998</v>
      </c>
      <c r="F427" s="45">
        <f>31.9382 * CHOOSE(CONTROL!$C$15, $E$9, 100%, $G$9) + CHOOSE(CONTROL!$C$38, 0.0278, 0)</f>
        <v>31.965999999999998</v>
      </c>
      <c r="G427" s="14">
        <f>29.5016 * CHOOSE(CONTROL!$C$15, $E$9, 100%, $G$9) + CHOOSE(CONTROL!$C$38, 0.0369, 0)</f>
        <v>29.538499999999999</v>
      </c>
      <c r="H427" s="14">
        <f>29.5016 * CHOOSE(CONTROL!$C$15, $E$9, 100%, $G$9) + CHOOSE(CONTROL!$C$38, 0.0369, 0)</f>
        <v>29.538499999999999</v>
      </c>
      <c r="I427" s="14">
        <f>29.5031 * CHOOSE(CONTROL!$C$15, $E$9, 100%, $G$9) + CHOOSE(CONTROL!$C$38, 0.0369, 0)</f>
        <v>29.54</v>
      </c>
      <c r="J427" s="44">
        <f>239.735</f>
        <v>239.73500000000001</v>
      </c>
    </row>
    <row r="428" spans="1:10" ht="15.75" x14ac:dyDescent="0.25">
      <c r="A428" s="33">
        <v>53965</v>
      </c>
      <c r="B428" s="14">
        <f>32.3712 * CHOOSE(CONTROL!$C$15, $E$9, 100%, $G$9) + CHOOSE(CONTROL!$C$38, 0.0278, 0)</f>
        <v>32.399000000000001</v>
      </c>
      <c r="C428" s="14">
        <f>29.7799 * CHOOSE(CONTROL!$C$15, $E$9, 100%, $G$9) + CHOOSE(CONTROL!$C$38, 0.0369, 0)</f>
        <v>29.816800000000001</v>
      </c>
      <c r="D428" s="14">
        <f>29.7721 * CHOOSE(CONTROL!$C$15, $E$9, 100%, $G$9) + CHOOSE(CONTROL!$C$38, 0.0369, 0)</f>
        <v>29.808999999999997</v>
      </c>
      <c r="E428" s="46">
        <f>32.215 * CHOOSE(CONTROL!$C$15, $E$9, 100%, $G$9) + CHOOSE(CONTROL!$C$38, 0.0369, 0)</f>
        <v>32.251900000000006</v>
      </c>
      <c r="F428" s="45">
        <f>32.215 * CHOOSE(CONTROL!$C$15, $E$9, 100%, $G$9) + CHOOSE(CONTROL!$C$38, 0.0278, 0)</f>
        <v>32.242800000000003</v>
      </c>
      <c r="G428" s="14">
        <f>29.7784 * CHOOSE(CONTROL!$C$15, $E$9, 100%, $G$9) + CHOOSE(CONTROL!$C$38, 0.0369, 0)</f>
        <v>29.815300000000001</v>
      </c>
      <c r="H428" s="14">
        <f>29.7784 * CHOOSE(CONTROL!$C$15, $E$9, 100%, $G$9) + CHOOSE(CONTROL!$C$38, 0.0369, 0)</f>
        <v>29.815300000000001</v>
      </c>
      <c r="I428" s="14">
        <f>29.7799 * CHOOSE(CONTROL!$C$15, $E$9, 100%, $G$9) + CHOOSE(CONTROL!$C$38, 0.0369, 0)</f>
        <v>29.816800000000001</v>
      </c>
      <c r="J428" s="44">
        <f>231.7667</f>
        <v>231.76669999999999</v>
      </c>
    </row>
    <row r="429" spans="1:10" ht="15.75" x14ac:dyDescent="0.25">
      <c r="A429" s="33">
        <v>53996</v>
      </c>
      <c r="B429" s="14">
        <f>32.6031 * CHOOSE(CONTROL!$C$15, $E$9, 100%, $G$9) + CHOOSE(CONTROL!$C$38, 0.0256, 0)</f>
        <v>32.628699999999995</v>
      </c>
      <c r="C429" s="14">
        <f>30.0118 * CHOOSE(CONTROL!$C$15, $E$9, 100%, $G$9) + CHOOSE(CONTROL!$C$38, 0.0347, 0)</f>
        <v>30.046500000000002</v>
      </c>
      <c r="D429" s="14">
        <f>30.0039 * CHOOSE(CONTROL!$C$15, $E$9, 100%, $G$9) + CHOOSE(CONTROL!$C$38, 0.0347, 0)</f>
        <v>30.038600000000002</v>
      </c>
      <c r="E429" s="46">
        <f>32.4468 * CHOOSE(CONTROL!$C$15, $E$9, 100%, $G$9) + CHOOSE(CONTROL!$C$38, 0.0347, 0)</f>
        <v>32.481500000000004</v>
      </c>
      <c r="F429" s="45">
        <f>32.4468 * CHOOSE(CONTROL!$C$15, $E$9, 100%, $G$9) + CHOOSE(CONTROL!$C$38, 0.0256, 0)</f>
        <v>32.4724</v>
      </c>
      <c r="G429" s="14">
        <f>30.0102 * CHOOSE(CONTROL!$C$15, $E$9, 100%, $G$9) + CHOOSE(CONTROL!$C$38, 0.0347, 0)</f>
        <v>30.044900000000002</v>
      </c>
      <c r="H429" s="14">
        <f>30.0102 * CHOOSE(CONTROL!$C$15, $E$9, 100%, $G$9) + CHOOSE(CONTROL!$C$38, 0.0347, 0)</f>
        <v>30.044900000000002</v>
      </c>
      <c r="I429" s="14">
        <f>30.0118 * CHOOSE(CONTROL!$C$15, $E$9, 100%, $G$9) + CHOOSE(CONTROL!$C$38, 0.0347, 0)</f>
        <v>30.046500000000002</v>
      </c>
      <c r="J429" s="44">
        <f>223.7519</f>
        <v>223.75190000000001</v>
      </c>
    </row>
    <row r="430" spans="1:10" ht="15.75" x14ac:dyDescent="0.25">
      <c r="A430" s="33">
        <v>54026</v>
      </c>
      <c r="B430" s="14">
        <f>32.7965 * CHOOSE(CONTROL!$C$15, $E$9, 100%, $G$9) + CHOOSE(CONTROL!$C$38, 0.0256, 0)</f>
        <v>32.822099999999999</v>
      </c>
      <c r="C430" s="14">
        <f>30.2052 * CHOOSE(CONTROL!$C$15, $E$9, 100%, $G$9) + CHOOSE(CONTROL!$C$38, 0.0347, 0)</f>
        <v>30.239900000000002</v>
      </c>
      <c r="D430" s="14">
        <f>30.1974 * CHOOSE(CONTROL!$C$15, $E$9, 100%, $G$9) + CHOOSE(CONTROL!$C$38, 0.0347, 0)</f>
        <v>30.232099999999999</v>
      </c>
      <c r="E430" s="46">
        <f>32.6403 * CHOOSE(CONTROL!$C$15, $E$9, 100%, $G$9) + CHOOSE(CONTROL!$C$38, 0.0347, 0)</f>
        <v>32.675000000000004</v>
      </c>
      <c r="F430" s="45">
        <f>32.6403 * CHOOSE(CONTROL!$C$15, $E$9, 100%, $G$9) + CHOOSE(CONTROL!$C$38, 0.0256, 0)</f>
        <v>32.665900000000001</v>
      </c>
      <c r="G430" s="14">
        <f>30.2036 * CHOOSE(CONTROL!$C$15, $E$9, 100%, $G$9) + CHOOSE(CONTROL!$C$38, 0.0347, 0)</f>
        <v>30.238300000000002</v>
      </c>
      <c r="H430" s="14">
        <f>30.2036 * CHOOSE(CONTROL!$C$15, $E$9, 100%, $G$9) + CHOOSE(CONTROL!$C$38, 0.0347, 0)</f>
        <v>30.238300000000002</v>
      </c>
      <c r="I430" s="14">
        <f>30.2052 * CHOOSE(CONTROL!$C$15, $E$9, 100%, $G$9) + CHOOSE(CONTROL!$C$38, 0.0347, 0)</f>
        <v>30.239900000000002</v>
      </c>
      <c r="J430" s="44">
        <f>222.1576</f>
        <v>222.1576</v>
      </c>
    </row>
    <row r="431" spans="1:10" ht="15.75" x14ac:dyDescent="0.25">
      <c r="A431" s="33">
        <v>54057</v>
      </c>
      <c r="B431" s="14">
        <f>33.3926 * CHOOSE(CONTROL!$C$15, $E$9, 100%, $G$9) + CHOOSE(CONTROL!$C$38, 0.0256, 0)</f>
        <v>33.418199999999999</v>
      </c>
      <c r="C431" s="14">
        <f>30.8013 * CHOOSE(CONTROL!$C$15, $E$9, 100%, $G$9) + CHOOSE(CONTROL!$C$38, 0.0347, 0)</f>
        <v>30.836000000000002</v>
      </c>
      <c r="D431" s="14">
        <f>30.7935 * CHOOSE(CONTROL!$C$15, $E$9, 100%, $G$9) + CHOOSE(CONTROL!$C$38, 0.0347, 0)</f>
        <v>30.828200000000002</v>
      </c>
      <c r="E431" s="46">
        <f>33.2363 * CHOOSE(CONTROL!$C$15, $E$9, 100%, $G$9) + CHOOSE(CONTROL!$C$38, 0.0347, 0)</f>
        <v>33.271000000000001</v>
      </c>
      <c r="F431" s="45">
        <f>33.2363 * CHOOSE(CONTROL!$C$15, $E$9, 100%, $G$9) + CHOOSE(CONTROL!$C$38, 0.0256, 0)</f>
        <v>33.261899999999997</v>
      </c>
      <c r="G431" s="14">
        <f>30.7997 * CHOOSE(CONTROL!$C$15, $E$9, 100%, $G$9) + CHOOSE(CONTROL!$C$38, 0.0347, 0)</f>
        <v>30.834400000000002</v>
      </c>
      <c r="H431" s="14">
        <f>30.7997 * CHOOSE(CONTROL!$C$15, $E$9, 100%, $G$9) + CHOOSE(CONTROL!$C$38, 0.0347, 0)</f>
        <v>30.834400000000002</v>
      </c>
      <c r="I431" s="14">
        <f>30.8013 * CHOOSE(CONTROL!$C$15, $E$9, 100%, $G$9) + CHOOSE(CONTROL!$C$38, 0.0347, 0)</f>
        <v>30.836000000000002</v>
      </c>
      <c r="J431" s="44">
        <f>215.5651</f>
        <v>215.5651</v>
      </c>
    </row>
    <row r="432" spans="1:10" ht="15.75" x14ac:dyDescent="0.25">
      <c r="A432" s="33">
        <v>54088</v>
      </c>
      <c r="B432" s="14">
        <f>34.3914 * CHOOSE(CONTROL!$C$15, $E$9, 100%, $G$9) + CHOOSE(CONTROL!$C$38, 0.0256, 0)</f>
        <v>34.416999999999994</v>
      </c>
      <c r="C432" s="14">
        <f>31.7602 * CHOOSE(CONTROL!$C$15, $E$9, 100%, $G$9) + CHOOSE(CONTROL!$C$38, 0.0347, 0)</f>
        <v>31.794900000000002</v>
      </c>
      <c r="D432" s="14">
        <f>31.7524 * CHOOSE(CONTROL!$C$15, $E$9, 100%, $G$9) + CHOOSE(CONTROL!$C$38, 0.0347, 0)</f>
        <v>31.787100000000002</v>
      </c>
      <c r="E432" s="46">
        <f>34.2352 * CHOOSE(CONTROL!$C$15, $E$9, 100%, $G$9) + CHOOSE(CONTROL!$C$38, 0.0347, 0)</f>
        <v>34.2699</v>
      </c>
      <c r="F432" s="45">
        <f>34.2352 * CHOOSE(CONTROL!$C$15, $E$9, 100%, $G$9) + CHOOSE(CONTROL!$C$38, 0.0256, 0)</f>
        <v>34.260799999999996</v>
      </c>
      <c r="G432" s="14">
        <f>31.7587 * CHOOSE(CONTROL!$C$15, $E$9, 100%, $G$9) + CHOOSE(CONTROL!$C$38, 0.0347, 0)</f>
        <v>31.793400000000002</v>
      </c>
      <c r="H432" s="14">
        <f>31.7587 * CHOOSE(CONTROL!$C$15, $E$9, 100%, $G$9) + CHOOSE(CONTROL!$C$38, 0.0347, 0)</f>
        <v>31.793400000000002</v>
      </c>
      <c r="I432" s="14">
        <f>31.7602 * CHOOSE(CONTROL!$C$15, $E$9, 100%, $G$9) + CHOOSE(CONTROL!$C$38, 0.0347, 0)</f>
        <v>31.794900000000002</v>
      </c>
      <c r="J432" s="44">
        <f>215.1534</f>
        <v>215.1534</v>
      </c>
    </row>
    <row r="433" spans="1:10" ht="15.75" x14ac:dyDescent="0.25">
      <c r="A433" s="33">
        <v>54116</v>
      </c>
      <c r="B433" s="14">
        <f>34.6122 * CHOOSE(CONTROL!$C$15, $E$9, 100%, $G$9) + CHOOSE(CONTROL!$C$38, 0.0256, 0)</f>
        <v>34.637799999999999</v>
      </c>
      <c r="C433" s="14">
        <f>31.981 * CHOOSE(CONTROL!$C$15, $E$9, 100%, $G$9) + CHOOSE(CONTROL!$C$38, 0.0347, 0)</f>
        <v>32.015700000000002</v>
      </c>
      <c r="D433" s="14">
        <f>31.9732 * CHOOSE(CONTROL!$C$15, $E$9, 100%, $G$9) + CHOOSE(CONTROL!$C$38, 0.0347, 0)</f>
        <v>32.007899999999999</v>
      </c>
      <c r="E433" s="46">
        <f>34.456 * CHOOSE(CONTROL!$C$15, $E$9, 100%, $G$9) + CHOOSE(CONTROL!$C$38, 0.0347, 0)</f>
        <v>34.490700000000004</v>
      </c>
      <c r="F433" s="45">
        <f>34.456 * CHOOSE(CONTROL!$C$15, $E$9, 100%, $G$9) + CHOOSE(CONTROL!$C$38, 0.0256, 0)</f>
        <v>34.4816</v>
      </c>
      <c r="G433" s="14">
        <f>31.9794 * CHOOSE(CONTROL!$C$15, $E$9, 100%, $G$9) + CHOOSE(CONTROL!$C$38, 0.0347, 0)</f>
        <v>32.014099999999999</v>
      </c>
      <c r="H433" s="14">
        <f>31.9794 * CHOOSE(CONTROL!$C$15, $E$9, 100%, $G$9) + CHOOSE(CONTROL!$C$38, 0.0347, 0)</f>
        <v>32.014099999999999</v>
      </c>
      <c r="I433" s="14">
        <f>31.981 * CHOOSE(CONTROL!$C$15, $E$9, 100%, $G$9) + CHOOSE(CONTROL!$C$38, 0.0347, 0)</f>
        <v>32.015700000000002</v>
      </c>
      <c r="J433" s="44">
        <f>214.5554</f>
        <v>214.55539999999999</v>
      </c>
    </row>
    <row r="434" spans="1:10" ht="15.75" x14ac:dyDescent="0.25">
      <c r="A434" s="33">
        <v>54148</v>
      </c>
      <c r="B434" s="14">
        <f>34.1012 * CHOOSE(CONTROL!$C$15, $E$9, 100%, $G$9) + CHOOSE(CONTROL!$C$38, 0.0256, 0)</f>
        <v>34.126799999999996</v>
      </c>
      <c r="C434" s="14">
        <f>31.4699 * CHOOSE(CONTROL!$C$15, $E$9, 100%, $G$9) + CHOOSE(CONTROL!$C$38, 0.0347, 0)</f>
        <v>31.5046</v>
      </c>
      <c r="D434" s="14">
        <f>31.4621 * CHOOSE(CONTROL!$C$15, $E$9, 100%, $G$9) + CHOOSE(CONTROL!$C$38, 0.0347, 0)</f>
        <v>31.4968</v>
      </c>
      <c r="E434" s="46">
        <f>33.9449 * CHOOSE(CONTROL!$C$15, $E$9, 100%, $G$9) + CHOOSE(CONTROL!$C$38, 0.0347, 0)</f>
        <v>33.979599999999998</v>
      </c>
      <c r="F434" s="45">
        <f>33.9449 * CHOOSE(CONTROL!$C$15, $E$9, 100%, $G$9) + CHOOSE(CONTROL!$C$38, 0.0256, 0)</f>
        <v>33.970499999999994</v>
      </c>
      <c r="G434" s="14">
        <f>31.4684 * CHOOSE(CONTROL!$C$15, $E$9, 100%, $G$9) + CHOOSE(CONTROL!$C$38, 0.0347, 0)</f>
        <v>31.5031</v>
      </c>
      <c r="H434" s="14">
        <f>31.4684 * CHOOSE(CONTROL!$C$15, $E$9, 100%, $G$9) + CHOOSE(CONTROL!$C$38, 0.0347, 0)</f>
        <v>31.5031</v>
      </c>
      <c r="I434" s="14">
        <f>31.4699 * CHOOSE(CONTROL!$C$15, $E$9, 100%, $G$9) + CHOOSE(CONTROL!$C$38, 0.0347, 0)</f>
        <v>31.5046</v>
      </c>
      <c r="J434" s="44">
        <f>225.8637</f>
        <v>225.86369999999999</v>
      </c>
    </row>
    <row r="435" spans="1:10" ht="15.75" x14ac:dyDescent="0.25">
      <c r="A435" s="33">
        <v>54178</v>
      </c>
      <c r="B435" s="14">
        <f>33.606 * CHOOSE(CONTROL!$C$15, $E$9, 100%, $G$9) + CHOOSE(CONTROL!$C$38, 0.0256, 0)</f>
        <v>33.631599999999999</v>
      </c>
      <c r="C435" s="14">
        <f>30.9748 * CHOOSE(CONTROL!$C$15, $E$9, 100%, $G$9) + CHOOSE(CONTROL!$C$38, 0.0347, 0)</f>
        <v>31.009499999999999</v>
      </c>
      <c r="D435" s="14">
        <f>30.967 * CHOOSE(CONTROL!$C$15, $E$9, 100%, $G$9) + CHOOSE(CONTROL!$C$38, 0.0347, 0)</f>
        <v>31.0017</v>
      </c>
      <c r="E435" s="46">
        <f>33.4497 * CHOOSE(CONTROL!$C$15, $E$9, 100%, $G$9) + CHOOSE(CONTROL!$C$38, 0.0347, 0)</f>
        <v>33.484400000000001</v>
      </c>
      <c r="F435" s="45">
        <f>33.4497 * CHOOSE(CONTROL!$C$15, $E$9, 100%, $G$9) + CHOOSE(CONTROL!$C$38, 0.0256, 0)</f>
        <v>33.475299999999997</v>
      </c>
      <c r="G435" s="14">
        <f>30.9732 * CHOOSE(CONTROL!$C$15, $E$9, 100%, $G$9) + CHOOSE(CONTROL!$C$38, 0.0347, 0)</f>
        <v>31.007899999999999</v>
      </c>
      <c r="H435" s="14">
        <f>30.9732 * CHOOSE(CONTROL!$C$15, $E$9, 100%, $G$9) + CHOOSE(CONTROL!$C$38, 0.0347, 0)</f>
        <v>31.007899999999999</v>
      </c>
      <c r="I435" s="14">
        <f>30.9748 * CHOOSE(CONTROL!$C$15, $E$9, 100%, $G$9) + CHOOSE(CONTROL!$C$38, 0.0347, 0)</f>
        <v>31.009499999999999</v>
      </c>
      <c r="J435" s="44">
        <f>240.5278</f>
        <v>240.52780000000001</v>
      </c>
    </row>
    <row r="436" spans="1:10" ht="15.75" x14ac:dyDescent="0.25">
      <c r="A436" s="33">
        <v>54209</v>
      </c>
      <c r="B436" s="14">
        <f>33.0899 * CHOOSE(CONTROL!$C$15, $E$9, 100%, $G$9) + CHOOSE(CONTROL!$C$38, 0.0278, 0)</f>
        <v>33.117699999999999</v>
      </c>
      <c r="C436" s="14">
        <f>30.4587 * CHOOSE(CONTROL!$C$15, $E$9, 100%, $G$9) + CHOOSE(CONTROL!$C$38, 0.0369, 0)</f>
        <v>30.4956</v>
      </c>
      <c r="D436" s="14">
        <f>30.4508 * CHOOSE(CONTROL!$C$15, $E$9, 100%, $G$9) + CHOOSE(CONTROL!$C$38, 0.0369, 0)</f>
        <v>30.4877</v>
      </c>
      <c r="E436" s="46">
        <f>32.9336 * CHOOSE(CONTROL!$C$15, $E$9, 100%, $G$9) + CHOOSE(CONTROL!$C$38, 0.0369, 0)</f>
        <v>32.970500000000001</v>
      </c>
      <c r="F436" s="45">
        <f>32.9336 * CHOOSE(CONTROL!$C$15, $E$9, 100%, $G$9) + CHOOSE(CONTROL!$C$38, 0.0278, 0)</f>
        <v>32.961399999999998</v>
      </c>
      <c r="G436" s="14">
        <f>30.4571 * CHOOSE(CONTROL!$C$15, $E$9, 100%, $G$9) + CHOOSE(CONTROL!$C$38, 0.0369, 0)</f>
        <v>30.494</v>
      </c>
      <c r="H436" s="14">
        <f>30.4571 * CHOOSE(CONTROL!$C$15, $E$9, 100%, $G$9) + CHOOSE(CONTROL!$C$38, 0.0369, 0)</f>
        <v>30.494</v>
      </c>
      <c r="I436" s="14">
        <f>30.4587 * CHOOSE(CONTROL!$C$15, $E$9, 100%, $G$9) + CHOOSE(CONTROL!$C$38, 0.0369, 0)</f>
        <v>30.4956</v>
      </c>
      <c r="J436" s="44">
        <f>248.5995</f>
        <v>248.59950000000001</v>
      </c>
    </row>
    <row r="437" spans="1:10" ht="15.75" x14ac:dyDescent="0.25">
      <c r="A437" s="33">
        <v>54239</v>
      </c>
      <c r="B437" s="14">
        <f>32.728 * CHOOSE(CONTROL!$C$15, $E$9, 100%, $G$9) + CHOOSE(CONTROL!$C$38, 0.0278, 0)</f>
        <v>32.755800000000001</v>
      </c>
      <c r="C437" s="14">
        <f>30.0968 * CHOOSE(CONTROL!$C$15, $E$9, 100%, $G$9) + CHOOSE(CONTROL!$C$38, 0.0369, 0)</f>
        <v>30.133700000000001</v>
      </c>
      <c r="D437" s="14">
        <f>30.089 * CHOOSE(CONTROL!$C$15, $E$9, 100%, $G$9) + CHOOSE(CONTROL!$C$38, 0.0369, 0)</f>
        <v>30.125899999999998</v>
      </c>
      <c r="E437" s="46">
        <f>32.5718 * CHOOSE(CONTROL!$C$15, $E$9, 100%, $G$9) + CHOOSE(CONTROL!$C$38, 0.0369, 0)</f>
        <v>32.608700000000006</v>
      </c>
      <c r="F437" s="45">
        <f>32.5718 * CHOOSE(CONTROL!$C$15, $E$9, 100%, $G$9) + CHOOSE(CONTROL!$C$38, 0.0278, 0)</f>
        <v>32.599600000000002</v>
      </c>
      <c r="G437" s="14">
        <f>30.0953 * CHOOSE(CONTROL!$C$15, $E$9, 100%, $G$9) + CHOOSE(CONTROL!$C$38, 0.0369, 0)</f>
        <v>30.132200000000001</v>
      </c>
      <c r="H437" s="14">
        <f>30.0953 * CHOOSE(CONTROL!$C$15, $E$9, 100%, $G$9) + CHOOSE(CONTROL!$C$38, 0.0369, 0)</f>
        <v>30.132200000000001</v>
      </c>
      <c r="I437" s="14">
        <f>30.0968 * CHOOSE(CONTROL!$C$15, $E$9, 100%, $G$9) + CHOOSE(CONTROL!$C$38, 0.0369, 0)</f>
        <v>30.133700000000001</v>
      </c>
      <c r="J437" s="44">
        <f>252.1815</f>
        <v>252.1815</v>
      </c>
    </row>
    <row r="438" spans="1:10" ht="15.75" x14ac:dyDescent="0.25">
      <c r="A438" s="33">
        <v>54270</v>
      </c>
      <c r="B438" s="14">
        <f>32.5216 * CHOOSE(CONTROL!$C$15, $E$9, 100%, $G$9) + CHOOSE(CONTROL!$C$38, 0.0278, 0)</f>
        <v>32.549399999999999</v>
      </c>
      <c r="C438" s="14">
        <f>29.8903 * CHOOSE(CONTROL!$C$15, $E$9, 100%, $G$9) + CHOOSE(CONTROL!$C$38, 0.0369, 0)</f>
        <v>29.927199999999999</v>
      </c>
      <c r="D438" s="14">
        <f>29.8825 * CHOOSE(CONTROL!$C$15, $E$9, 100%, $G$9) + CHOOSE(CONTROL!$C$38, 0.0369, 0)</f>
        <v>29.9194</v>
      </c>
      <c r="E438" s="46">
        <f>32.3653 * CHOOSE(CONTROL!$C$15, $E$9, 100%, $G$9) + CHOOSE(CONTROL!$C$38, 0.0369, 0)</f>
        <v>32.402200000000001</v>
      </c>
      <c r="F438" s="45">
        <f>32.3653 * CHOOSE(CONTROL!$C$15, $E$9, 100%, $G$9) + CHOOSE(CONTROL!$C$38, 0.0278, 0)</f>
        <v>32.393099999999997</v>
      </c>
      <c r="G438" s="14">
        <f>29.8888 * CHOOSE(CONTROL!$C$15, $E$9, 100%, $G$9) + CHOOSE(CONTROL!$C$38, 0.0369, 0)</f>
        <v>29.925699999999999</v>
      </c>
      <c r="H438" s="14">
        <f>29.8888 * CHOOSE(CONTROL!$C$15, $E$9, 100%, $G$9) + CHOOSE(CONTROL!$C$38, 0.0369, 0)</f>
        <v>29.925699999999999</v>
      </c>
      <c r="I438" s="14">
        <f>29.8903 * CHOOSE(CONTROL!$C$15, $E$9, 100%, $G$9) + CHOOSE(CONTROL!$C$38, 0.0369, 0)</f>
        <v>29.927199999999999</v>
      </c>
      <c r="J438" s="44">
        <f>251.0021</f>
        <v>251.00210000000001</v>
      </c>
    </row>
    <row r="439" spans="1:10" ht="15.75" x14ac:dyDescent="0.25">
      <c r="A439" s="33">
        <v>54301</v>
      </c>
      <c r="B439" s="14">
        <f>32.6235 * CHOOSE(CONTROL!$C$15, $E$9, 100%, $G$9) + CHOOSE(CONTROL!$C$38, 0.0278, 0)</f>
        <v>32.651299999999999</v>
      </c>
      <c r="C439" s="14">
        <f>29.9922 * CHOOSE(CONTROL!$C$15, $E$9, 100%, $G$9) + CHOOSE(CONTROL!$C$38, 0.0369, 0)</f>
        <v>30.0291</v>
      </c>
      <c r="D439" s="14">
        <f>29.9844 * CHOOSE(CONTROL!$C$15, $E$9, 100%, $G$9) + CHOOSE(CONTROL!$C$38, 0.0369, 0)</f>
        <v>30.0213</v>
      </c>
      <c r="E439" s="46">
        <f>32.4672 * CHOOSE(CONTROL!$C$15, $E$9, 100%, $G$9) + CHOOSE(CONTROL!$C$38, 0.0369, 0)</f>
        <v>32.504100000000001</v>
      </c>
      <c r="F439" s="45">
        <f>32.4672 * CHOOSE(CONTROL!$C$15, $E$9, 100%, $G$9) + CHOOSE(CONTROL!$C$38, 0.0278, 0)</f>
        <v>32.494999999999997</v>
      </c>
      <c r="G439" s="14">
        <f>29.9907 * CHOOSE(CONTROL!$C$15, $E$9, 100%, $G$9) + CHOOSE(CONTROL!$C$38, 0.0369, 0)</f>
        <v>30.0276</v>
      </c>
      <c r="H439" s="14">
        <f>29.9907 * CHOOSE(CONTROL!$C$15, $E$9, 100%, $G$9) + CHOOSE(CONTROL!$C$38, 0.0369, 0)</f>
        <v>30.0276</v>
      </c>
      <c r="I439" s="14">
        <f>29.9922 * CHOOSE(CONTROL!$C$15, $E$9, 100%, $G$9) + CHOOSE(CONTROL!$C$38, 0.0369, 0)</f>
        <v>30.0291</v>
      </c>
      <c r="J439" s="44">
        <f>245.1589</f>
        <v>245.15889999999999</v>
      </c>
    </row>
    <row r="440" spans="1:10" ht="15.75" x14ac:dyDescent="0.25">
      <c r="A440" s="33">
        <v>54331</v>
      </c>
      <c r="B440" s="14">
        <f>32.9003 * CHOOSE(CONTROL!$C$15, $E$9, 100%, $G$9) + CHOOSE(CONTROL!$C$38, 0.0278, 0)</f>
        <v>32.928100000000001</v>
      </c>
      <c r="C440" s="14">
        <f>30.269 * CHOOSE(CONTROL!$C$15, $E$9, 100%, $G$9) + CHOOSE(CONTROL!$C$38, 0.0369, 0)</f>
        <v>30.305899999999998</v>
      </c>
      <c r="D440" s="14">
        <f>30.2612 * CHOOSE(CONTROL!$C$15, $E$9, 100%, $G$9) + CHOOSE(CONTROL!$C$38, 0.0369, 0)</f>
        <v>30.298099999999998</v>
      </c>
      <c r="E440" s="46">
        <f>32.744 * CHOOSE(CONTROL!$C$15, $E$9, 100%, $G$9) + CHOOSE(CONTROL!$C$38, 0.0369, 0)</f>
        <v>32.780900000000003</v>
      </c>
      <c r="F440" s="45">
        <f>32.744 * CHOOSE(CONTROL!$C$15, $E$9, 100%, $G$9) + CHOOSE(CONTROL!$C$38, 0.0278, 0)</f>
        <v>32.771799999999999</v>
      </c>
      <c r="G440" s="14">
        <f>30.2675 * CHOOSE(CONTROL!$C$15, $E$9, 100%, $G$9) + CHOOSE(CONTROL!$C$38, 0.0369, 0)</f>
        <v>30.304399999999998</v>
      </c>
      <c r="H440" s="14">
        <f>30.2675 * CHOOSE(CONTROL!$C$15, $E$9, 100%, $G$9) + CHOOSE(CONTROL!$C$38, 0.0369, 0)</f>
        <v>30.304399999999998</v>
      </c>
      <c r="I440" s="14">
        <f>30.269 * CHOOSE(CONTROL!$C$15, $E$9, 100%, $G$9) + CHOOSE(CONTROL!$C$38, 0.0369, 0)</f>
        <v>30.305899999999998</v>
      </c>
      <c r="J440" s="44">
        <f>237.0103</f>
        <v>237.0103</v>
      </c>
    </row>
    <row r="441" spans="1:10" ht="15.75" x14ac:dyDescent="0.25">
      <c r="A441" s="33">
        <v>54362</v>
      </c>
      <c r="B441" s="14">
        <f>33.1321 * CHOOSE(CONTROL!$C$15, $E$9, 100%, $G$9) + CHOOSE(CONTROL!$C$38, 0.0256, 0)</f>
        <v>33.157699999999998</v>
      </c>
      <c r="C441" s="14">
        <f>30.5009 * CHOOSE(CONTROL!$C$15, $E$9, 100%, $G$9) + CHOOSE(CONTROL!$C$38, 0.0347, 0)</f>
        <v>30.535600000000002</v>
      </c>
      <c r="D441" s="14">
        <f>30.493 * CHOOSE(CONTROL!$C$15, $E$9, 100%, $G$9) + CHOOSE(CONTROL!$C$38, 0.0347, 0)</f>
        <v>30.527699999999999</v>
      </c>
      <c r="E441" s="46">
        <f>32.9758 * CHOOSE(CONTROL!$C$15, $E$9, 100%, $G$9) + CHOOSE(CONTROL!$C$38, 0.0347, 0)</f>
        <v>33.0105</v>
      </c>
      <c r="F441" s="45">
        <f>32.9758 * CHOOSE(CONTROL!$C$15, $E$9, 100%, $G$9) + CHOOSE(CONTROL!$C$38, 0.0256, 0)</f>
        <v>33.001399999999997</v>
      </c>
      <c r="G441" s="14">
        <f>30.4993 * CHOOSE(CONTROL!$C$15, $E$9, 100%, $G$9) + CHOOSE(CONTROL!$C$38, 0.0347, 0)</f>
        <v>30.534000000000002</v>
      </c>
      <c r="H441" s="14">
        <f>30.4993 * CHOOSE(CONTROL!$C$15, $E$9, 100%, $G$9) + CHOOSE(CONTROL!$C$38, 0.0347, 0)</f>
        <v>30.534000000000002</v>
      </c>
      <c r="I441" s="14">
        <f>30.5009 * CHOOSE(CONTROL!$C$15, $E$9, 100%, $G$9) + CHOOSE(CONTROL!$C$38, 0.0347, 0)</f>
        <v>30.535600000000002</v>
      </c>
      <c r="J441" s="44">
        <f>228.8142</f>
        <v>228.8142</v>
      </c>
    </row>
    <row r="442" spans="1:10" ht="15.75" x14ac:dyDescent="0.25">
      <c r="A442" s="33">
        <v>54392</v>
      </c>
      <c r="B442" s="14">
        <f>33.3255 * CHOOSE(CONTROL!$C$15, $E$9, 100%, $G$9) + CHOOSE(CONTROL!$C$38, 0.0256, 0)</f>
        <v>33.351099999999995</v>
      </c>
      <c r="C442" s="14">
        <f>30.6943 * CHOOSE(CONTROL!$C$15, $E$9, 100%, $G$9) + CHOOSE(CONTROL!$C$38, 0.0347, 0)</f>
        <v>30.728999999999999</v>
      </c>
      <c r="D442" s="14">
        <f>30.6865 * CHOOSE(CONTROL!$C$15, $E$9, 100%, $G$9) + CHOOSE(CONTROL!$C$38, 0.0347, 0)</f>
        <v>30.7212</v>
      </c>
      <c r="E442" s="46">
        <f>33.1693 * CHOOSE(CONTROL!$C$15, $E$9, 100%, $G$9) + CHOOSE(CONTROL!$C$38, 0.0347, 0)</f>
        <v>33.204000000000001</v>
      </c>
      <c r="F442" s="45">
        <f>33.1693 * CHOOSE(CONTROL!$C$15, $E$9, 100%, $G$9) + CHOOSE(CONTROL!$C$38, 0.0256, 0)</f>
        <v>33.194899999999997</v>
      </c>
      <c r="G442" s="14">
        <f>30.6927 * CHOOSE(CONTROL!$C$15, $E$9, 100%, $G$9) + CHOOSE(CONTROL!$C$38, 0.0347, 0)</f>
        <v>30.727399999999999</v>
      </c>
      <c r="H442" s="14">
        <f>30.6927 * CHOOSE(CONTROL!$C$15, $E$9, 100%, $G$9) + CHOOSE(CONTROL!$C$38, 0.0347, 0)</f>
        <v>30.727399999999999</v>
      </c>
      <c r="I442" s="14">
        <f>30.6943 * CHOOSE(CONTROL!$C$15, $E$9, 100%, $G$9) + CHOOSE(CONTROL!$C$38, 0.0347, 0)</f>
        <v>30.728999999999999</v>
      </c>
      <c r="J442" s="44">
        <f>227.1838</f>
        <v>227.18379999999999</v>
      </c>
    </row>
    <row r="443" spans="1:10" ht="15.75" x14ac:dyDescent="0.25">
      <c r="A443" s="33">
        <v>54423</v>
      </c>
      <c r="B443" s="14">
        <f>33.9216 * CHOOSE(CONTROL!$C$15, $E$9, 100%, $G$9) + CHOOSE(CONTROL!$C$38, 0.0256, 0)</f>
        <v>33.947199999999995</v>
      </c>
      <c r="C443" s="14">
        <f>31.2904 * CHOOSE(CONTROL!$C$15, $E$9, 100%, $G$9) + CHOOSE(CONTROL!$C$38, 0.0347, 0)</f>
        <v>31.325100000000003</v>
      </c>
      <c r="D443" s="14">
        <f>31.2826 * CHOOSE(CONTROL!$C$15, $E$9, 100%, $G$9) + CHOOSE(CONTROL!$C$38, 0.0347, 0)</f>
        <v>31.317299999999999</v>
      </c>
      <c r="E443" s="46">
        <f>33.7653 * CHOOSE(CONTROL!$C$15, $E$9, 100%, $G$9) + CHOOSE(CONTROL!$C$38, 0.0347, 0)</f>
        <v>33.800000000000004</v>
      </c>
      <c r="F443" s="45">
        <f>33.7653 * CHOOSE(CONTROL!$C$15, $E$9, 100%, $G$9) + CHOOSE(CONTROL!$C$38, 0.0256, 0)</f>
        <v>33.790900000000001</v>
      </c>
      <c r="G443" s="14">
        <f>31.2888 * CHOOSE(CONTROL!$C$15, $E$9, 100%, $G$9) + CHOOSE(CONTROL!$C$38, 0.0347, 0)</f>
        <v>31.323499999999999</v>
      </c>
      <c r="H443" s="14">
        <f>31.2888 * CHOOSE(CONTROL!$C$15, $E$9, 100%, $G$9) + CHOOSE(CONTROL!$C$38, 0.0347, 0)</f>
        <v>31.323499999999999</v>
      </c>
      <c r="I443" s="14">
        <f>31.2904 * CHOOSE(CONTROL!$C$15, $E$9, 100%, $G$9) + CHOOSE(CONTROL!$C$38, 0.0347, 0)</f>
        <v>31.325100000000003</v>
      </c>
      <c r="J443" s="44">
        <f>220.4421</f>
        <v>220.44210000000001</v>
      </c>
    </row>
    <row r="444" spans="1:10" ht="15.75" x14ac:dyDescent="0.25">
      <c r="A444" s="33">
        <v>54454</v>
      </c>
      <c r="B444" s="14">
        <f>34.9291 * CHOOSE(CONTROL!$C$15, $E$9, 100%, $G$9) + CHOOSE(CONTROL!$C$38, 0.0256, 0)</f>
        <v>34.954699999999995</v>
      </c>
      <c r="C444" s="14">
        <f>32.2573 * CHOOSE(CONTROL!$C$15, $E$9, 100%, $G$9) + CHOOSE(CONTROL!$C$38, 0.0347, 0)</f>
        <v>32.292000000000002</v>
      </c>
      <c r="D444" s="14">
        <f>32.2495 * CHOOSE(CONTROL!$C$15, $E$9, 100%, $G$9) + CHOOSE(CONTROL!$C$38, 0.0347, 0)</f>
        <v>32.284199999999998</v>
      </c>
      <c r="E444" s="46">
        <f>34.7729 * CHOOSE(CONTROL!$C$15, $E$9, 100%, $G$9) + CHOOSE(CONTROL!$C$38, 0.0347, 0)</f>
        <v>34.807600000000001</v>
      </c>
      <c r="F444" s="45">
        <f>34.7729 * CHOOSE(CONTROL!$C$15, $E$9, 100%, $G$9) + CHOOSE(CONTROL!$C$38, 0.0256, 0)</f>
        <v>34.798499999999997</v>
      </c>
      <c r="G444" s="14">
        <f>32.2558 * CHOOSE(CONTROL!$C$15, $E$9, 100%, $G$9) + CHOOSE(CONTROL!$C$38, 0.0347, 0)</f>
        <v>32.290500000000002</v>
      </c>
      <c r="H444" s="14">
        <f>32.2558 * CHOOSE(CONTROL!$C$15, $E$9, 100%, $G$9) + CHOOSE(CONTROL!$C$38, 0.0347, 0)</f>
        <v>32.290500000000002</v>
      </c>
      <c r="I444" s="14">
        <f>32.2573 * CHOOSE(CONTROL!$C$15, $E$9, 100%, $G$9) + CHOOSE(CONTROL!$C$38, 0.0347, 0)</f>
        <v>32.292000000000002</v>
      </c>
      <c r="J444" s="44">
        <f>220.0211</f>
        <v>220.02109999999999</v>
      </c>
    </row>
    <row r="445" spans="1:10" ht="15.75" x14ac:dyDescent="0.25">
      <c r="A445" s="33">
        <v>54482</v>
      </c>
      <c r="B445" s="14">
        <f>35.1499 * CHOOSE(CONTROL!$C$15, $E$9, 100%, $G$9) + CHOOSE(CONTROL!$C$38, 0.0256, 0)</f>
        <v>35.1755</v>
      </c>
      <c r="C445" s="14">
        <f>32.4781 * CHOOSE(CONTROL!$C$15, $E$9, 100%, $G$9) + CHOOSE(CONTROL!$C$38, 0.0347, 0)</f>
        <v>32.512799999999999</v>
      </c>
      <c r="D445" s="14">
        <f>32.4703 * CHOOSE(CONTROL!$C$15, $E$9, 100%, $G$9) + CHOOSE(CONTROL!$C$38, 0.0347, 0)</f>
        <v>32.505000000000003</v>
      </c>
      <c r="E445" s="46">
        <f>34.9936 * CHOOSE(CONTROL!$C$15, $E$9, 100%, $G$9) + CHOOSE(CONTROL!$C$38, 0.0347, 0)</f>
        <v>35.028300000000002</v>
      </c>
      <c r="F445" s="45">
        <f>34.9936 * CHOOSE(CONTROL!$C$15, $E$9, 100%, $G$9) + CHOOSE(CONTROL!$C$38, 0.0256, 0)</f>
        <v>35.019199999999998</v>
      </c>
      <c r="G445" s="14">
        <f>32.4765 * CHOOSE(CONTROL!$C$15, $E$9, 100%, $G$9) + CHOOSE(CONTROL!$C$38, 0.0347, 0)</f>
        <v>32.511200000000002</v>
      </c>
      <c r="H445" s="14">
        <f>32.4765 * CHOOSE(CONTROL!$C$15, $E$9, 100%, $G$9) + CHOOSE(CONTROL!$C$38, 0.0347, 0)</f>
        <v>32.511200000000002</v>
      </c>
      <c r="I445" s="14">
        <f>32.4781 * CHOOSE(CONTROL!$C$15, $E$9, 100%, $G$9) + CHOOSE(CONTROL!$C$38, 0.0347, 0)</f>
        <v>32.512799999999999</v>
      </c>
      <c r="J445" s="44">
        <f>219.4096</f>
        <v>219.40960000000001</v>
      </c>
    </row>
    <row r="446" spans="1:10" ht="15.75" x14ac:dyDescent="0.25">
      <c r="A446" s="33">
        <v>54513</v>
      </c>
      <c r="B446" s="14">
        <f>34.6389 * CHOOSE(CONTROL!$C$15, $E$9, 100%, $G$9) + CHOOSE(CONTROL!$C$38, 0.0256, 0)</f>
        <v>34.664499999999997</v>
      </c>
      <c r="C446" s="14">
        <f>31.9671 * CHOOSE(CONTROL!$C$15, $E$9, 100%, $G$9) + CHOOSE(CONTROL!$C$38, 0.0347, 0)</f>
        <v>32.001799999999996</v>
      </c>
      <c r="D446" s="14">
        <f>31.9592 * CHOOSE(CONTROL!$C$15, $E$9, 100%, $G$9) + CHOOSE(CONTROL!$C$38, 0.0347, 0)</f>
        <v>31.9939</v>
      </c>
      <c r="E446" s="46">
        <f>34.4826 * CHOOSE(CONTROL!$C$15, $E$9, 100%, $G$9) + CHOOSE(CONTROL!$C$38, 0.0347, 0)</f>
        <v>34.517299999999999</v>
      </c>
      <c r="F446" s="45">
        <f>34.4826 * CHOOSE(CONTROL!$C$15, $E$9, 100%, $G$9) + CHOOSE(CONTROL!$C$38, 0.0256, 0)</f>
        <v>34.508199999999995</v>
      </c>
      <c r="G446" s="14">
        <f>31.9655 * CHOOSE(CONTROL!$C$15, $E$9, 100%, $G$9) + CHOOSE(CONTROL!$C$38, 0.0347, 0)</f>
        <v>32.0002</v>
      </c>
      <c r="H446" s="14">
        <f>31.9655 * CHOOSE(CONTROL!$C$15, $E$9, 100%, $G$9) + CHOOSE(CONTROL!$C$38, 0.0347, 0)</f>
        <v>32.0002</v>
      </c>
      <c r="I446" s="14">
        <f>31.9671 * CHOOSE(CONTROL!$C$15, $E$9, 100%, $G$9) + CHOOSE(CONTROL!$C$38, 0.0347, 0)</f>
        <v>32.001799999999996</v>
      </c>
      <c r="J446" s="44">
        <f>230.9737</f>
        <v>230.97370000000001</v>
      </c>
    </row>
    <row r="447" spans="1:10" ht="15.75" x14ac:dyDescent="0.25">
      <c r="A447" s="33">
        <v>54543</v>
      </c>
      <c r="B447" s="14">
        <f>34.1437 * CHOOSE(CONTROL!$C$15, $E$9, 100%, $G$9) + CHOOSE(CONTROL!$C$38, 0.0256, 0)</f>
        <v>34.1693</v>
      </c>
      <c r="C447" s="14">
        <f>31.4719 * CHOOSE(CONTROL!$C$15, $E$9, 100%, $G$9) + CHOOSE(CONTROL!$C$38, 0.0347, 0)</f>
        <v>31.506600000000002</v>
      </c>
      <c r="D447" s="14">
        <f>31.4641 * CHOOSE(CONTROL!$C$15, $E$9, 100%, $G$9) + CHOOSE(CONTROL!$C$38, 0.0347, 0)</f>
        <v>31.498799999999999</v>
      </c>
      <c r="E447" s="46">
        <f>33.9874 * CHOOSE(CONTROL!$C$15, $E$9, 100%, $G$9) + CHOOSE(CONTROL!$C$38, 0.0347, 0)</f>
        <v>34.022100000000002</v>
      </c>
      <c r="F447" s="45">
        <f>33.9874 * CHOOSE(CONTROL!$C$15, $E$9, 100%, $G$9) + CHOOSE(CONTROL!$C$38, 0.0256, 0)</f>
        <v>34.012999999999998</v>
      </c>
      <c r="G447" s="14">
        <f>31.4703 * CHOOSE(CONTROL!$C$15, $E$9, 100%, $G$9) + CHOOSE(CONTROL!$C$38, 0.0347, 0)</f>
        <v>31.505000000000003</v>
      </c>
      <c r="H447" s="14">
        <f>31.4703 * CHOOSE(CONTROL!$C$15, $E$9, 100%, $G$9) + CHOOSE(CONTROL!$C$38, 0.0347, 0)</f>
        <v>31.505000000000003</v>
      </c>
      <c r="I447" s="14">
        <f>31.4719 * CHOOSE(CONTROL!$C$15, $E$9, 100%, $G$9) + CHOOSE(CONTROL!$C$38, 0.0347, 0)</f>
        <v>31.506600000000002</v>
      </c>
      <c r="J447" s="44">
        <f>245.9697</f>
        <v>245.96969999999999</v>
      </c>
    </row>
    <row r="448" spans="1:10" ht="15.75" x14ac:dyDescent="0.25">
      <c r="A448" s="33">
        <v>54574</v>
      </c>
      <c r="B448" s="14">
        <f>33.6276 * CHOOSE(CONTROL!$C$15, $E$9, 100%, $G$9) + CHOOSE(CONTROL!$C$38, 0.0278, 0)</f>
        <v>33.6554</v>
      </c>
      <c r="C448" s="14">
        <f>30.9558 * CHOOSE(CONTROL!$C$15, $E$9, 100%, $G$9) + CHOOSE(CONTROL!$C$38, 0.0369, 0)</f>
        <v>30.992699999999999</v>
      </c>
      <c r="D448" s="14">
        <f>30.948 * CHOOSE(CONTROL!$C$15, $E$9, 100%, $G$9) + CHOOSE(CONTROL!$C$38, 0.0369, 0)</f>
        <v>30.9849</v>
      </c>
      <c r="E448" s="46">
        <f>33.4713 * CHOOSE(CONTROL!$C$15, $E$9, 100%, $G$9) + CHOOSE(CONTROL!$C$38, 0.0369, 0)</f>
        <v>33.508200000000002</v>
      </c>
      <c r="F448" s="45">
        <f>33.4713 * CHOOSE(CONTROL!$C$15, $E$9, 100%, $G$9) + CHOOSE(CONTROL!$C$38, 0.0278, 0)</f>
        <v>33.499099999999999</v>
      </c>
      <c r="G448" s="14">
        <f>30.9542 * CHOOSE(CONTROL!$C$15, $E$9, 100%, $G$9) + CHOOSE(CONTROL!$C$38, 0.0369, 0)</f>
        <v>30.991099999999999</v>
      </c>
      <c r="H448" s="14">
        <f>30.9542 * CHOOSE(CONTROL!$C$15, $E$9, 100%, $G$9) + CHOOSE(CONTROL!$C$38, 0.0369, 0)</f>
        <v>30.991099999999999</v>
      </c>
      <c r="I448" s="14">
        <f>30.9558 * CHOOSE(CONTROL!$C$15, $E$9, 100%, $G$9) + CHOOSE(CONTROL!$C$38, 0.0369, 0)</f>
        <v>30.992699999999999</v>
      </c>
      <c r="J448" s="44">
        <f>254.2239</f>
        <v>254.22389999999999</v>
      </c>
    </row>
    <row r="449" spans="1:10" ht="15.75" x14ac:dyDescent="0.25">
      <c r="A449" s="33">
        <v>54604</v>
      </c>
      <c r="B449" s="14">
        <f>33.2657 * CHOOSE(CONTROL!$C$15, $E$9, 100%, $G$9) + CHOOSE(CONTROL!$C$38, 0.0278, 0)</f>
        <v>33.293500000000002</v>
      </c>
      <c r="C449" s="14">
        <f>30.5939 * CHOOSE(CONTROL!$C$15, $E$9, 100%, $G$9) + CHOOSE(CONTROL!$C$38, 0.0369, 0)</f>
        <v>30.630800000000001</v>
      </c>
      <c r="D449" s="14">
        <f>30.5861 * CHOOSE(CONTROL!$C$15, $E$9, 100%, $G$9) + CHOOSE(CONTROL!$C$38, 0.0369, 0)</f>
        <v>30.622999999999998</v>
      </c>
      <c r="E449" s="46">
        <f>33.1095 * CHOOSE(CONTROL!$C$15, $E$9, 100%, $G$9) + CHOOSE(CONTROL!$C$38, 0.0369, 0)</f>
        <v>33.1464</v>
      </c>
      <c r="F449" s="45">
        <f>33.1095 * CHOOSE(CONTROL!$C$15, $E$9, 100%, $G$9) + CHOOSE(CONTROL!$C$38, 0.0278, 0)</f>
        <v>33.137299999999996</v>
      </c>
      <c r="G449" s="14">
        <f>30.5924 * CHOOSE(CONTROL!$C$15, $E$9, 100%, $G$9) + CHOOSE(CONTROL!$C$38, 0.0369, 0)</f>
        <v>30.629300000000001</v>
      </c>
      <c r="H449" s="14">
        <f>30.5924 * CHOOSE(CONTROL!$C$15, $E$9, 100%, $G$9) + CHOOSE(CONTROL!$C$38, 0.0369, 0)</f>
        <v>30.629300000000001</v>
      </c>
      <c r="I449" s="14">
        <f>30.5939 * CHOOSE(CONTROL!$C$15, $E$9, 100%, $G$9) + CHOOSE(CONTROL!$C$38, 0.0369, 0)</f>
        <v>30.630800000000001</v>
      </c>
      <c r="J449" s="44">
        <f>257.887</f>
        <v>257.887</v>
      </c>
    </row>
    <row r="450" spans="1:10" ht="15.75" x14ac:dyDescent="0.25">
      <c r="A450" s="33">
        <v>54635</v>
      </c>
      <c r="B450" s="14">
        <f>33.0592 * CHOOSE(CONTROL!$C$15, $E$9, 100%, $G$9) + CHOOSE(CONTROL!$C$38, 0.0278, 0)</f>
        <v>33.086999999999996</v>
      </c>
      <c r="C450" s="14">
        <f>30.3874 * CHOOSE(CONTROL!$C$15, $E$9, 100%, $G$9) + CHOOSE(CONTROL!$C$38, 0.0369, 0)</f>
        <v>30.424299999999999</v>
      </c>
      <c r="D450" s="14">
        <f>30.3796 * CHOOSE(CONTROL!$C$15, $E$9, 100%, $G$9) + CHOOSE(CONTROL!$C$38, 0.0369, 0)</f>
        <v>30.416499999999999</v>
      </c>
      <c r="E450" s="46">
        <f>32.903 * CHOOSE(CONTROL!$C$15, $E$9, 100%, $G$9) + CHOOSE(CONTROL!$C$38, 0.0369, 0)</f>
        <v>32.939900000000002</v>
      </c>
      <c r="F450" s="45">
        <f>32.903 * CHOOSE(CONTROL!$C$15, $E$9, 100%, $G$9) + CHOOSE(CONTROL!$C$38, 0.0278, 0)</f>
        <v>32.930799999999998</v>
      </c>
      <c r="G450" s="14">
        <f>30.3859 * CHOOSE(CONTROL!$C$15, $E$9, 100%, $G$9) + CHOOSE(CONTROL!$C$38, 0.0369, 0)</f>
        <v>30.422799999999999</v>
      </c>
      <c r="H450" s="14">
        <f>30.3859 * CHOOSE(CONTROL!$C$15, $E$9, 100%, $G$9) + CHOOSE(CONTROL!$C$38, 0.0369, 0)</f>
        <v>30.422799999999999</v>
      </c>
      <c r="I450" s="14">
        <f>30.3874 * CHOOSE(CONTROL!$C$15, $E$9, 100%, $G$9) + CHOOSE(CONTROL!$C$38, 0.0369, 0)</f>
        <v>30.424299999999999</v>
      </c>
      <c r="J450" s="44">
        <f>256.6809</f>
        <v>256.68090000000001</v>
      </c>
    </row>
    <row r="451" spans="1:10" ht="15.75" x14ac:dyDescent="0.25">
      <c r="A451" s="33">
        <v>54666</v>
      </c>
      <c r="B451" s="14">
        <f>33.1612 * CHOOSE(CONTROL!$C$15, $E$9, 100%, $G$9) + CHOOSE(CONTROL!$C$38, 0.0278, 0)</f>
        <v>33.189</v>
      </c>
      <c r="C451" s="14">
        <f>30.4893 * CHOOSE(CONTROL!$C$15, $E$9, 100%, $G$9) + CHOOSE(CONTROL!$C$38, 0.0369, 0)</f>
        <v>30.526199999999999</v>
      </c>
      <c r="D451" s="14">
        <f>30.4815 * CHOOSE(CONTROL!$C$15, $E$9, 100%, $G$9) + CHOOSE(CONTROL!$C$38, 0.0369, 0)</f>
        <v>30.5184</v>
      </c>
      <c r="E451" s="46">
        <f>33.0049 * CHOOSE(CONTROL!$C$15, $E$9, 100%, $G$9) + CHOOSE(CONTROL!$C$38, 0.0369, 0)</f>
        <v>33.041800000000002</v>
      </c>
      <c r="F451" s="45">
        <f>33.0049 * CHOOSE(CONTROL!$C$15, $E$9, 100%, $G$9) + CHOOSE(CONTROL!$C$38, 0.0278, 0)</f>
        <v>33.032699999999998</v>
      </c>
      <c r="G451" s="14">
        <f>30.4878 * CHOOSE(CONTROL!$C$15, $E$9, 100%, $G$9) + CHOOSE(CONTROL!$C$38, 0.0369, 0)</f>
        <v>30.524699999999999</v>
      </c>
      <c r="H451" s="14">
        <f>30.4878 * CHOOSE(CONTROL!$C$15, $E$9, 100%, $G$9) + CHOOSE(CONTROL!$C$38, 0.0369, 0)</f>
        <v>30.524699999999999</v>
      </c>
      <c r="I451" s="14">
        <f>30.4893 * CHOOSE(CONTROL!$C$15, $E$9, 100%, $G$9) + CHOOSE(CONTROL!$C$38, 0.0369, 0)</f>
        <v>30.526199999999999</v>
      </c>
      <c r="J451" s="44">
        <f>250.7055</f>
        <v>250.7055</v>
      </c>
    </row>
    <row r="452" spans="1:10" ht="15.75" x14ac:dyDescent="0.25">
      <c r="A452" s="33">
        <v>54696</v>
      </c>
      <c r="B452" s="14">
        <f>33.438 * CHOOSE(CONTROL!$C$15, $E$9, 100%, $G$9) + CHOOSE(CONTROL!$C$38, 0.0278, 0)</f>
        <v>33.465800000000002</v>
      </c>
      <c r="C452" s="14">
        <f>30.7661 * CHOOSE(CONTROL!$C$15, $E$9, 100%, $G$9) + CHOOSE(CONTROL!$C$38, 0.0369, 0)</f>
        <v>30.803000000000001</v>
      </c>
      <c r="D452" s="14">
        <f>30.7583 * CHOOSE(CONTROL!$C$15, $E$9, 100%, $G$9) + CHOOSE(CONTROL!$C$38, 0.0369, 0)</f>
        <v>30.795199999999998</v>
      </c>
      <c r="E452" s="46">
        <f>33.2817 * CHOOSE(CONTROL!$C$15, $E$9, 100%, $G$9) + CHOOSE(CONTROL!$C$38, 0.0369, 0)</f>
        <v>33.318600000000004</v>
      </c>
      <c r="F452" s="45">
        <f>33.2817 * CHOOSE(CONTROL!$C$15, $E$9, 100%, $G$9) + CHOOSE(CONTROL!$C$38, 0.0278, 0)</f>
        <v>33.3095</v>
      </c>
      <c r="G452" s="14">
        <f>30.7646 * CHOOSE(CONTROL!$C$15, $E$9, 100%, $G$9) + CHOOSE(CONTROL!$C$38, 0.0369, 0)</f>
        <v>30.801500000000001</v>
      </c>
      <c r="H452" s="14">
        <f>30.7646 * CHOOSE(CONTROL!$C$15, $E$9, 100%, $G$9) + CHOOSE(CONTROL!$C$38, 0.0369, 0)</f>
        <v>30.801500000000001</v>
      </c>
      <c r="I452" s="14">
        <f>30.7661 * CHOOSE(CONTROL!$C$15, $E$9, 100%, $G$9) + CHOOSE(CONTROL!$C$38, 0.0369, 0)</f>
        <v>30.803000000000001</v>
      </c>
      <c r="J452" s="44">
        <f>242.3725</f>
        <v>242.3725</v>
      </c>
    </row>
    <row r="453" spans="1:10" ht="15.75" x14ac:dyDescent="0.25">
      <c r="A453" s="33">
        <v>54727</v>
      </c>
      <c r="B453" s="14">
        <f>33.6698 * CHOOSE(CONTROL!$C$15, $E$9, 100%, $G$9) + CHOOSE(CONTROL!$C$38, 0.0256, 0)</f>
        <v>33.695399999999999</v>
      </c>
      <c r="C453" s="14">
        <f>30.998 * CHOOSE(CONTROL!$C$15, $E$9, 100%, $G$9) + CHOOSE(CONTROL!$C$38, 0.0347, 0)</f>
        <v>31.032700000000002</v>
      </c>
      <c r="D453" s="14">
        <f>30.9902 * CHOOSE(CONTROL!$C$15, $E$9, 100%, $G$9) + CHOOSE(CONTROL!$C$38, 0.0347, 0)</f>
        <v>31.024900000000002</v>
      </c>
      <c r="E453" s="46">
        <f>33.5135 * CHOOSE(CONTROL!$C$15, $E$9, 100%, $G$9) + CHOOSE(CONTROL!$C$38, 0.0347, 0)</f>
        <v>33.548200000000001</v>
      </c>
      <c r="F453" s="45">
        <f>33.5135 * CHOOSE(CONTROL!$C$15, $E$9, 100%, $G$9) + CHOOSE(CONTROL!$C$38, 0.0256, 0)</f>
        <v>33.539099999999998</v>
      </c>
      <c r="G453" s="14">
        <f>30.9964 * CHOOSE(CONTROL!$C$15, $E$9, 100%, $G$9) + CHOOSE(CONTROL!$C$38, 0.0347, 0)</f>
        <v>31.031100000000002</v>
      </c>
      <c r="H453" s="14">
        <f>30.9964 * CHOOSE(CONTROL!$C$15, $E$9, 100%, $G$9) + CHOOSE(CONTROL!$C$38, 0.0347, 0)</f>
        <v>31.031100000000002</v>
      </c>
      <c r="I453" s="14">
        <f>30.998 * CHOOSE(CONTROL!$C$15, $E$9, 100%, $G$9) + CHOOSE(CONTROL!$C$38, 0.0347, 0)</f>
        <v>31.032700000000002</v>
      </c>
      <c r="J453" s="44">
        <f>233.991</f>
        <v>233.99100000000001</v>
      </c>
    </row>
    <row r="454" spans="1:10" ht="15.75" x14ac:dyDescent="0.25">
      <c r="A454" s="33">
        <v>54757</v>
      </c>
      <c r="B454" s="14">
        <f>33.8632 * CHOOSE(CONTROL!$C$15, $E$9, 100%, $G$9) + CHOOSE(CONTROL!$C$38, 0.0256, 0)</f>
        <v>33.888799999999996</v>
      </c>
      <c r="C454" s="14">
        <f>31.1914 * CHOOSE(CONTROL!$C$15, $E$9, 100%, $G$9) + CHOOSE(CONTROL!$C$38, 0.0347, 0)</f>
        <v>31.226100000000002</v>
      </c>
      <c r="D454" s="14">
        <f>31.1836 * CHOOSE(CONTROL!$C$15, $E$9, 100%, $G$9) + CHOOSE(CONTROL!$C$38, 0.0347, 0)</f>
        <v>31.218299999999999</v>
      </c>
      <c r="E454" s="46">
        <f>33.707 * CHOOSE(CONTROL!$C$15, $E$9, 100%, $G$9) + CHOOSE(CONTROL!$C$38, 0.0347, 0)</f>
        <v>33.741700000000002</v>
      </c>
      <c r="F454" s="45">
        <f>33.707 * CHOOSE(CONTROL!$C$15, $E$9, 100%, $G$9) + CHOOSE(CONTROL!$C$38, 0.0256, 0)</f>
        <v>33.732599999999998</v>
      </c>
      <c r="G454" s="14">
        <f>31.1898 * CHOOSE(CONTROL!$C$15, $E$9, 100%, $G$9) + CHOOSE(CONTROL!$C$38, 0.0347, 0)</f>
        <v>31.224500000000003</v>
      </c>
      <c r="H454" s="14">
        <f>31.1898 * CHOOSE(CONTROL!$C$15, $E$9, 100%, $G$9) + CHOOSE(CONTROL!$C$38, 0.0347, 0)</f>
        <v>31.224500000000003</v>
      </c>
      <c r="I454" s="14">
        <f>31.1914 * CHOOSE(CONTROL!$C$15, $E$9, 100%, $G$9) + CHOOSE(CONTROL!$C$38, 0.0347, 0)</f>
        <v>31.226100000000002</v>
      </c>
      <c r="J454" s="44">
        <f>232.3238</f>
        <v>232.32380000000001</v>
      </c>
    </row>
    <row r="455" spans="1:10" ht="15.75" x14ac:dyDescent="0.25">
      <c r="A455" s="33">
        <v>54788</v>
      </c>
      <c r="B455" s="14">
        <f>34.4593 * CHOOSE(CONTROL!$C$15, $E$9, 100%, $G$9) + CHOOSE(CONTROL!$C$38, 0.0256, 0)</f>
        <v>34.484899999999996</v>
      </c>
      <c r="C455" s="14">
        <f>31.7875 * CHOOSE(CONTROL!$C$15, $E$9, 100%, $G$9) + CHOOSE(CONTROL!$C$38, 0.0347, 0)</f>
        <v>31.822200000000002</v>
      </c>
      <c r="D455" s="14">
        <f>31.7797 * CHOOSE(CONTROL!$C$15, $E$9, 100%, $G$9) + CHOOSE(CONTROL!$C$38, 0.0347, 0)</f>
        <v>31.814399999999999</v>
      </c>
      <c r="E455" s="46">
        <f>34.303 * CHOOSE(CONTROL!$C$15, $E$9, 100%, $G$9) + CHOOSE(CONTROL!$C$38, 0.0347, 0)</f>
        <v>34.337699999999998</v>
      </c>
      <c r="F455" s="45">
        <f>34.303 * CHOOSE(CONTROL!$C$15, $E$9, 100%, $G$9) + CHOOSE(CONTROL!$C$38, 0.0256, 0)</f>
        <v>34.328599999999994</v>
      </c>
      <c r="G455" s="14">
        <f>31.7859 * CHOOSE(CONTROL!$C$15, $E$9, 100%, $G$9) + CHOOSE(CONTROL!$C$38, 0.0347, 0)</f>
        <v>31.820600000000002</v>
      </c>
      <c r="H455" s="14">
        <f>31.7859 * CHOOSE(CONTROL!$C$15, $E$9, 100%, $G$9) + CHOOSE(CONTROL!$C$38, 0.0347, 0)</f>
        <v>31.820600000000002</v>
      </c>
      <c r="I455" s="14">
        <f>31.7875 * CHOOSE(CONTROL!$C$15, $E$9, 100%, $G$9) + CHOOSE(CONTROL!$C$38, 0.0347, 0)</f>
        <v>31.822200000000002</v>
      </c>
      <c r="J455" s="44">
        <f>225.4295</f>
        <v>225.42949999999999</v>
      </c>
    </row>
    <row r="456" spans="1:10" ht="15.75" x14ac:dyDescent="0.25">
      <c r="A456" s="33">
        <v>54819</v>
      </c>
      <c r="B456" s="14">
        <f>35.4756 * CHOOSE(CONTROL!$C$15, $E$9, 100%, $G$9) + CHOOSE(CONTROL!$C$38, 0.0256, 0)</f>
        <v>35.501199999999997</v>
      </c>
      <c r="C456" s="14">
        <f>32.7626 * CHOOSE(CONTROL!$C$15, $E$9, 100%, $G$9) + CHOOSE(CONTROL!$C$38, 0.0347, 0)</f>
        <v>32.7973</v>
      </c>
      <c r="D456" s="14">
        <f>32.7548 * CHOOSE(CONTROL!$C$15, $E$9, 100%, $G$9) + CHOOSE(CONTROL!$C$38, 0.0347, 0)</f>
        <v>32.789500000000004</v>
      </c>
      <c r="E456" s="46">
        <f>35.3194 * CHOOSE(CONTROL!$C$15, $E$9, 100%, $G$9) + CHOOSE(CONTROL!$C$38, 0.0347, 0)</f>
        <v>35.354100000000003</v>
      </c>
      <c r="F456" s="45">
        <f>35.3194 * CHOOSE(CONTROL!$C$15, $E$9, 100%, $G$9) + CHOOSE(CONTROL!$C$38, 0.0256, 0)</f>
        <v>35.344999999999999</v>
      </c>
      <c r="G456" s="14">
        <f>32.761 * CHOOSE(CONTROL!$C$15, $E$9, 100%, $G$9) + CHOOSE(CONTROL!$C$38, 0.0347, 0)</f>
        <v>32.795700000000004</v>
      </c>
      <c r="H456" s="14">
        <f>32.761 * CHOOSE(CONTROL!$C$15, $E$9, 100%, $G$9) + CHOOSE(CONTROL!$C$38, 0.0347, 0)</f>
        <v>32.795700000000004</v>
      </c>
      <c r="I456" s="14">
        <f>32.7626 * CHOOSE(CONTROL!$C$15, $E$9, 100%, $G$9) + CHOOSE(CONTROL!$C$38, 0.0347, 0)</f>
        <v>32.7973</v>
      </c>
      <c r="J456" s="44">
        <f>224.999</f>
        <v>224.999</v>
      </c>
    </row>
    <row r="457" spans="1:10" ht="15.75" x14ac:dyDescent="0.25">
      <c r="A457" s="33">
        <v>54847</v>
      </c>
      <c r="B457" s="14">
        <f>35.6964 * CHOOSE(CONTROL!$C$15, $E$9, 100%, $G$9) + CHOOSE(CONTROL!$C$38, 0.0256, 0)</f>
        <v>35.721999999999994</v>
      </c>
      <c r="C457" s="14">
        <f>32.9834 * CHOOSE(CONTROL!$C$15, $E$9, 100%, $G$9) + CHOOSE(CONTROL!$C$38, 0.0347, 0)</f>
        <v>33.018100000000004</v>
      </c>
      <c r="D457" s="14">
        <f>32.9755 * CHOOSE(CONTROL!$C$15, $E$9, 100%, $G$9) + CHOOSE(CONTROL!$C$38, 0.0347, 0)</f>
        <v>33.010199999999998</v>
      </c>
      <c r="E457" s="46">
        <f>35.5402 * CHOOSE(CONTROL!$C$15, $E$9, 100%, $G$9) + CHOOSE(CONTROL!$C$38, 0.0347, 0)</f>
        <v>35.5749</v>
      </c>
      <c r="F457" s="45">
        <f>35.5402 * CHOOSE(CONTROL!$C$15, $E$9, 100%, $G$9) + CHOOSE(CONTROL!$C$38, 0.0256, 0)</f>
        <v>35.565799999999996</v>
      </c>
      <c r="G457" s="14">
        <f>32.9818 * CHOOSE(CONTROL!$C$15, $E$9, 100%, $G$9) + CHOOSE(CONTROL!$C$38, 0.0347, 0)</f>
        <v>33.016500000000001</v>
      </c>
      <c r="H457" s="14">
        <f>32.9818 * CHOOSE(CONTROL!$C$15, $E$9, 100%, $G$9) + CHOOSE(CONTROL!$C$38, 0.0347, 0)</f>
        <v>33.016500000000001</v>
      </c>
      <c r="I457" s="14">
        <f>32.9834 * CHOOSE(CONTROL!$C$15, $E$9, 100%, $G$9) + CHOOSE(CONTROL!$C$38, 0.0347, 0)</f>
        <v>33.018100000000004</v>
      </c>
      <c r="J457" s="44">
        <f>224.3736</f>
        <v>224.37360000000001</v>
      </c>
    </row>
    <row r="458" spans="1:10" ht="15.75" x14ac:dyDescent="0.25">
      <c r="A458" s="33">
        <v>54878</v>
      </c>
      <c r="B458" s="14">
        <f>35.1854 * CHOOSE(CONTROL!$C$15, $E$9, 100%, $G$9) + CHOOSE(CONTROL!$C$38, 0.0256, 0)</f>
        <v>35.210999999999999</v>
      </c>
      <c r="C458" s="14">
        <f>32.4723 * CHOOSE(CONTROL!$C$15, $E$9, 100%, $G$9) + CHOOSE(CONTROL!$C$38, 0.0347, 0)</f>
        <v>32.506999999999998</v>
      </c>
      <c r="D458" s="14">
        <f>32.4645 * CHOOSE(CONTROL!$C$15, $E$9, 100%, $G$9) + CHOOSE(CONTROL!$C$38, 0.0347, 0)</f>
        <v>32.499200000000002</v>
      </c>
      <c r="E458" s="46">
        <f>35.0291 * CHOOSE(CONTROL!$C$15, $E$9, 100%, $G$9) + CHOOSE(CONTROL!$C$38, 0.0347, 0)</f>
        <v>35.063800000000001</v>
      </c>
      <c r="F458" s="45">
        <f>35.0291 * CHOOSE(CONTROL!$C$15, $E$9, 100%, $G$9) + CHOOSE(CONTROL!$C$38, 0.0256, 0)</f>
        <v>35.054699999999997</v>
      </c>
      <c r="G458" s="14">
        <f>32.4708 * CHOOSE(CONTROL!$C$15, $E$9, 100%, $G$9) + CHOOSE(CONTROL!$C$38, 0.0347, 0)</f>
        <v>32.505499999999998</v>
      </c>
      <c r="H458" s="14">
        <f>32.4708 * CHOOSE(CONTROL!$C$15, $E$9, 100%, $G$9) + CHOOSE(CONTROL!$C$38, 0.0347, 0)</f>
        <v>32.505499999999998</v>
      </c>
      <c r="I458" s="14">
        <f>32.4723 * CHOOSE(CONTROL!$C$15, $E$9, 100%, $G$9) + CHOOSE(CONTROL!$C$38, 0.0347, 0)</f>
        <v>32.506999999999998</v>
      </c>
      <c r="J458" s="44">
        <f>236.1994</f>
        <v>236.1994</v>
      </c>
    </row>
    <row r="459" spans="1:10" ht="15.75" x14ac:dyDescent="0.25">
      <c r="A459" s="33">
        <v>54908</v>
      </c>
      <c r="B459" s="14">
        <f>34.6902 * CHOOSE(CONTROL!$C$15, $E$9, 100%, $G$9) + CHOOSE(CONTROL!$C$38, 0.0256, 0)</f>
        <v>34.715799999999994</v>
      </c>
      <c r="C459" s="14">
        <f>31.9771 * CHOOSE(CONTROL!$C$15, $E$9, 100%, $G$9) + CHOOSE(CONTROL!$C$38, 0.0347, 0)</f>
        <v>32.011800000000001</v>
      </c>
      <c r="D459" s="14">
        <f>31.9693 * CHOOSE(CONTROL!$C$15, $E$9, 100%, $G$9) + CHOOSE(CONTROL!$C$38, 0.0347, 0)</f>
        <v>32.003999999999998</v>
      </c>
      <c r="E459" s="46">
        <f>34.5339 * CHOOSE(CONTROL!$C$15, $E$9, 100%, $G$9) + CHOOSE(CONTROL!$C$38, 0.0347, 0)</f>
        <v>34.568600000000004</v>
      </c>
      <c r="F459" s="45">
        <f>34.5339 * CHOOSE(CONTROL!$C$15, $E$9, 100%, $G$9) + CHOOSE(CONTROL!$C$38, 0.0256, 0)</f>
        <v>34.5595</v>
      </c>
      <c r="G459" s="14">
        <f>31.9756 * CHOOSE(CONTROL!$C$15, $E$9, 100%, $G$9) + CHOOSE(CONTROL!$C$38, 0.0347, 0)</f>
        <v>32.010300000000001</v>
      </c>
      <c r="H459" s="14">
        <f>31.9756 * CHOOSE(CONTROL!$C$15, $E$9, 100%, $G$9) + CHOOSE(CONTROL!$C$38, 0.0347, 0)</f>
        <v>32.010300000000001</v>
      </c>
      <c r="I459" s="14">
        <f>31.9771 * CHOOSE(CONTROL!$C$15, $E$9, 100%, $G$9) + CHOOSE(CONTROL!$C$38, 0.0347, 0)</f>
        <v>32.011800000000001</v>
      </c>
      <c r="J459" s="44">
        <f>251.5346</f>
        <v>251.53460000000001</v>
      </c>
    </row>
    <row r="460" spans="1:10" ht="15.75" x14ac:dyDescent="0.25">
      <c r="A460" s="33">
        <v>54939</v>
      </c>
      <c r="B460" s="14">
        <f>34.1741 * CHOOSE(CONTROL!$C$15, $E$9, 100%, $G$9) + CHOOSE(CONTROL!$C$38, 0.0278, 0)</f>
        <v>34.201900000000002</v>
      </c>
      <c r="C460" s="14">
        <f>31.461 * CHOOSE(CONTROL!$C$15, $E$9, 100%, $G$9) + CHOOSE(CONTROL!$C$38, 0.0369, 0)</f>
        <v>31.497899999999998</v>
      </c>
      <c r="D460" s="14">
        <f>31.4532 * CHOOSE(CONTROL!$C$15, $E$9, 100%, $G$9) + CHOOSE(CONTROL!$C$38, 0.0369, 0)</f>
        <v>31.490099999999998</v>
      </c>
      <c r="E460" s="46">
        <f>34.0178 * CHOOSE(CONTROL!$C$15, $E$9, 100%, $G$9) + CHOOSE(CONTROL!$C$38, 0.0369, 0)</f>
        <v>34.054700000000004</v>
      </c>
      <c r="F460" s="45">
        <f>34.0178 * CHOOSE(CONTROL!$C$15, $E$9, 100%, $G$9) + CHOOSE(CONTROL!$C$38, 0.0278, 0)</f>
        <v>34.0456</v>
      </c>
      <c r="G460" s="14">
        <f>31.4595 * CHOOSE(CONTROL!$C$15, $E$9, 100%, $G$9) + CHOOSE(CONTROL!$C$38, 0.0369, 0)</f>
        <v>31.496399999999998</v>
      </c>
      <c r="H460" s="14">
        <f>31.4595 * CHOOSE(CONTROL!$C$15, $E$9, 100%, $G$9) + CHOOSE(CONTROL!$C$38, 0.0369, 0)</f>
        <v>31.496399999999998</v>
      </c>
      <c r="I460" s="14">
        <f>31.461 * CHOOSE(CONTROL!$C$15, $E$9, 100%, $G$9) + CHOOSE(CONTROL!$C$38, 0.0369, 0)</f>
        <v>31.497899999999998</v>
      </c>
      <c r="J460" s="44">
        <f>259.9756</f>
        <v>259.97559999999999</v>
      </c>
    </row>
    <row r="461" spans="1:10" ht="15.75" x14ac:dyDescent="0.25">
      <c r="A461" s="33">
        <v>54969</v>
      </c>
      <c r="B461" s="14">
        <f>33.8122 * CHOOSE(CONTROL!$C$15, $E$9, 100%, $G$9) + CHOOSE(CONTROL!$C$38, 0.0278, 0)</f>
        <v>33.839999999999996</v>
      </c>
      <c r="C461" s="14">
        <f>31.0992 * CHOOSE(CONTROL!$C$15, $E$9, 100%, $G$9) + CHOOSE(CONTROL!$C$38, 0.0369, 0)</f>
        <v>31.136099999999999</v>
      </c>
      <c r="D461" s="14">
        <f>31.0914 * CHOOSE(CONTROL!$C$15, $E$9, 100%, $G$9) + CHOOSE(CONTROL!$C$38, 0.0369, 0)</f>
        <v>31.128299999999999</v>
      </c>
      <c r="E461" s="46">
        <f>33.656 * CHOOSE(CONTROL!$C$15, $E$9, 100%, $G$9) + CHOOSE(CONTROL!$C$38, 0.0369, 0)</f>
        <v>33.692900000000002</v>
      </c>
      <c r="F461" s="45">
        <f>33.656 * CHOOSE(CONTROL!$C$15, $E$9, 100%, $G$9) + CHOOSE(CONTROL!$C$38, 0.0278, 0)</f>
        <v>33.683799999999998</v>
      </c>
      <c r="G461" s="14">
        <f>31.0976 * CHOOSE(CONTROL!$C$15, $E$9, 100%, $G$9) + CHOOSE(CONTROL!$C$38, 0.0369, 0)</f>
        <v>31.134499999999999</v>
      </c>
      <c r="H461" s="14">
        <f>31.0976 * CHOOSE(CONTROL!$C$15, $E$9, 100%, $G$9) + CHOOSE(CONTROL!$C$38, 0.0369, 0)</f>
        <v>31.134499999999999</v>
      </c>
      <c r="I461" s="14">
        <f>31.0992 * CHOOSE(CONTROL!$C$15, $E$9, 100%, $G$9) + CHOOSE(CONTROL!$C$38, 0.0369, 0)</f>
        <v>31.136099999999999</v>
      </c>
      <c r="J461" s="44">
        <f>263.7216</f>
        <v>263.72160000000002</v>
      </c>
    </row>
    <row r="462" spans="1:10" ht="15.75" x14ac:dyDescent="0.25">
      <c r="A462" s="33">
        <v>55000</v>
      </c>
      <c r="B462" s="14">
        <f>33.6058 * CHOOSE(CONTROL!$C$15, $E$9, 100%, $G$9) + CHOOSE(CONTROL!$C$38, 0.0278, 0)</f>
        <v>33.633600000000001</v>
      </c>
      <c r="C462" s="14">
        <f>30.8927 * CHOOSE(CONTROL!$C$15, $E$9, 100%, $G$9) + CHOOSE(CONTROL!$C$38, 0.0369, 0)</f>
        <v>30.929600000000001</v>
      </c>
      <c r="D462" s="14">
        <f>30.8849 * CHOOSE(CONTROL!$C$15, $E$9, 100%, $G$9) + CHOOSE(CONTROL!$C$38, 0.0369, 0)</f>
        <v>30.921799999999998</v>
      </c>
      <c r="E462" s="46">
        <f>33.4495 * CHOOSE(CONTROL!$C$15, $E$9, 100%, $G$9) + CHOOSE(CONTROL!$C$38, 0.0369, 0)</f>
        <v>33.486400000000003</v>
      </c>
      <c r="F462" s="45">
        <f>33.4495 * CHOOSE(CONTROL!$C$15, $E$9, 100%, $G$9) + CHOOSE(CONTROL!$C$38, 0.0278, 0)</f>
        <v>33.4773</v>
      </c>
      <c r="G462" s="14">
        <f>30.8911 * CHOOSE(CONTROL!$C$15, $E$9, 100%, $G$9) + CHOOSE(CONTROL!$C$38, 0.0369, 0)</f>
        <v>30.928000000000001</v>
      </c>
      <c r="H462" s="14">
        <f>30.8911 * CHOOSE(CONTROL!$C$15, $E$9, 100%, $G$9) + CHOOSE(CONTROL!$C$38, 0.0369, 0)</f>
        <v>30.928000000000001</v>
      </c>
      <c r="I462" s="14">
        <f>30.8927 * CHOOSE(CONTROL!$C$15, $E$9, 100%, $G$9) + CHOOSE(CONTROL!$C$38, 0.0369, 0)</f>
        <v>30.929600000000001</v>
      </c>
      <c r="J462" s="44">
        <f>262.4882</f>
        <v>262.48820000000001</v>
      </c>
    </row>
    <row r="463" spans="1:10" ht="15.75" x14ac:dyDescent="0.25">
      <c r="A463" s="33">
        <v>55031</v>
      </c>
      <c r="B463" s="14">
        <f>33.7077 * CHOOSE(CONTROL!$C$15, $E$9, 100%, $G$9) + CHOOSE(CONTROL!$C$38, 0.0278, 0)</f>
        <v>33.735500000000002</v>
      </c>
      <c r="C463" s="14">
        <f>30.9946 * CHOOSE(CONTROL!$C$15, $E$9, 100%, $G$9) + CHOOSE(CONTROL!$C$38, 0.0369, 0)</f>
        <v>31.031499999999998</v>
      </c>
      <c r="D463" s="14">
        <f>30.9868 * CHOOSE(CONTROL!$C$15, $E$9, 100%, $G$9) + CHOOSE(CONTROL!$C$38, 0.0369, 0)</f>
        <v>31.023699999999998</v>
      </c>
      <c r="E463" s="46">
        <f>33.5514 * CHOOSE(CONTROL!$C$15, $E$9, 100%, $G$9) + CHOOSE(CONTROL!$C$38, 0.0369, 0)</f>
        <v>33.588300000000004</v>
      </c>
      <c r="F463" s="45">
        <f>33.5514 * CHOOSE(CONTROL!$C$15, $E$9, 100%, $G$9) + CHOOSE(CONTROL!$C$38, 0.0278, 0)</f>
        <v>33.5792</v>
      </c>
      <c r="G463" s="14">
        <f>30.993 * CHOOSE(CONTROL!$C$15, $E$9, 100%, $G$9) + CHOOSE(CONTROL!$C$38, 0.0369, 0)</f>
        <v>31.029899999999998</v>
      </c>
      <c r="H463" s="14">
        <f>30.993 * CHOOSE(CONTROL!$C$15, $E$9, 100%, $G$9) + CHOOSE(CONTROL!$C$38, 0.0369, 0)</f>
        <v>31.029899999999998</v>
      </c>
      <c r="I463" s="14">
        <f>30.9946 * CHOOSE(CONTROL!$C$15, $E$9, 100%, $G$9) + CHOOSE(CONTROL!$C$38, 0.0369, 0)</f>
        <v>31.031499999999998</v>
      </c>
      <c r="J463" s="44">
        <f>256.3776</f>
        <v>256.37759999999997</v>
      </c>
    </row>
    <row r="464" spans="1:10" ht="15.75" x14ac:dyDescent="0.25">
      <c r="A464" s="33">
        <v>55061</v>
      </c>
      <c r="B464" s="14">
        <f>33.9845 * CHOOSE(CONTROL!$C$15, $E$9, 100%, $G$9) + CHOOSE(CONTROL!$C$38, 0.0278, 0)</f>
        <v>34.012299999999996</v>
      </c>
      <c r="C464" s="14">
        <f>31.2714 * CHOOSE(CONTROL!$C$15, $E$9, 100%, $G$9) + CHOOSE(CONTROL!$C$38, 0.0369, 0)</f>
        <v>31.308299999999999</v>
      </c>
      <c r="D464" s="14">
        <f>31.2636 * CHOOSE(CONTROL!$C$15, $E$9, 100%, $G$9) + CHOOSE(CONTROL!$C$38, 0.0369, 0)</f>
        <v>31.3005</v>
      </c>
      <c r="E464" s="46">
        <f>33.8282 * CHOOSE(CONTROL!$C$15, $E$9, 100%, $G$9) + CHOOSE(CONTROL!$C$38, 0.0369, 0)</f>
        <v>33.865100000000005</v>
      </c>
      <c r="F464" s="45">
        <f>33.8282 * CHOOSE(CONTROL!$C$15, $E$9, 100%, $G$9) + CHOOSE(CONTROL!$C$38, 0.0278, 0)</f>
        <v>33.856000000000002</v>
      </c>
      <c r="G464" s="14">
        <f>31.2698 * CHOOSE(CONTROL!$C$15, $E$9, 100%, $G$9) + CHOOSE(CONTROL!$C$38, 0.0369, 0)</f>
        <v>31.306699999999999</v>
      </c>
      <c r="H464" s="14">
        <f>31.2698 * CHOOSE(CONTROL!$C$15, $E$9, 100%, $G$9) + CHOOSE(CONTROL!$C$38, 0.0369, 0)</f>
        <v>31.306699999999999</v>
      </c>
      <c r="I464" s="14">
        <f>31.2714 * CHOOSE(CONTROL!$C$15, $E$9, 100%, $G$9) + CHOOSE(CONTROL!$C$38, 0.0369, 0)</f>
        <v>31.308299999999999</v>
      </c>
      <c r="J464" s="44">
        <f>247.8561</f>
        <v>247.8561</v>
      </c>
    </row>
    <row r="465" spans="1:10" ht="15.75" x14ac:dyDescent="0.25">
      <c r="A465" s="33">
        <v>55092</v>
      </c>
      <c r="B465" s="14">
        <f>34.2163 * CHOOSE(CONTROL!$C$15, $E$9, 100%, $G$9) + CHOOSE(CONTROL!$C$38, 0.0256, 0)</f>
        <v>34.241899999999994</v>
      </c>
      <c r="C465" s="14">
        <f>31.5032 * CHOOSE(CONTROL!$C$15, $E$9, 100%, $G$9) + CHOOSE(CONTROL!$C$38, 0.0347, 0)</f>
        <v>31.5379</v>
      </c>
      <c r="D465" s="14">
        <f>31.4954 * CHOOSE(CONTROL!$C$15, $E$9, 100%, $G$9) + CHOOSE(CONTROL!$C$38, 0.0347, 0)</f>
        <v>31.530100000000001</v>
      </c>
      <c r="E465" s="46">
        <f>34.06 * CHOOSE(CONTROL!$C$15, $E$9, 100%, $G$9) + CHOOSE(CONTROL!$C$38, 0.0347, 0)</f>
        <v>34.094700000000003</v>
      </c>
      <c r="F465" s="45">
        <f>34.06 * CHOOSE(CONTROL!$C$15, $E$9, 100%, $G$9) + CHOOSE(CONTROL!$C$38, 0.0256, 0)</f>
        <v>34.085599999999999</v>
      </c>
      <c r="G465" s="14">
        <f>31.5017 * CHOOSE(CONTROL!$C$15, $E$9, 100%, $G$9) + CHOOSE(CONTROL!$C$38, 0.0347, 0)</f>
        <v>31.5364</v>
      </c>
      <c r="H465" s="14">
        <f>31.5017 * CHOOSE(CONTROL!$C$15, $E$9, 100%, $G$9) + CHOOSE(CONTROL!$C$38, 0.0347, 0)</f>
        <v>31.5364</v>
      </c>
      <c r="I465" s="14">
        <f>31.5032 * CHOOSE(CONTROL!$C$15, $E$9, 100%, $G$9) + CHOOSE(CONTROL!$C$38, 0.0347, 0)</f>
        <v>31.5379</v>
      </c>
      <c r="J465" s="44">
        <f>239.2849</f>
        <v>239.28489999999999</v>
      </c>
    </row>
    <row r="466" spans="1:10" ht="15.75" x14ac:dyDescent="0.25">
      <c r="A466" s="33">
        <v>55122</v>
      </c>
      <c r="B466" s="14">
        <f>34.4097 * CHOOSE(CONTROL!$C$15, $E$9, 100%, $G$9) + CHOOSE(CONTROL!$C$38, 0.0256, 0)</f>
        <v>34.435299999999998</v>
      </c>
      <c r="C466" s="14">
        <f>31.6967 * CHOOSE(CONTROL!$C$15, $E$9, 100%, $G$9) + CHOOSE(CONTROL!$C$38, 0.0347, 0)</f>
        <v>31.731400000000001</v>
      </c>
      <c r="D466" s="14">
        <f>31.6889 * CHOOSE(CONTROL!$C$15, $E$9, 100%, $G$9) + CHOOSE(CONTROL!$C$38, 0.0347, 0)</f>
        <v>31.723600000000001</v>
      </c>
      <c r="E466" s="46">
        <f>34.2535 * CHOOSE(CONTROL!$C$15, $E$9, 100%, $G$9) + CHOOSE(CONTROL!$C$38, 0.0347, 0)</f>
        <v>34.288200000000003</v>
      </c>
      <c r="F466" s="45">
        <f>34.2535 * CHOOSE(CONTROL!$C$15, $E$9, 100%, $G$9) + CHOOSE(CONTROL!$C$38, 0.0256, 0)</f>
        <v>34.2791</v>
      </c>
      <c r="G466" s="14">
        <f>31.6951 * CHOOSE(CONTROL!$C$15, $E$9, 100%, $G$9) + CHOOSE(CONTROL!$C$38, 0.0347, 0)</f>
        <v>31.729800000000001</v>
      </c>
      <c r="H466" s="14">
        <f>31.6951 * CHOOSE(CONTROL!$C$15, $E$9, 100%, $G$9) + CHOOSE(CONTROL!$C$38, 0.0347, 0)</f>
        <v>31.729800000000001</v>
      </c>
      <c r="I466" s="14">
        <f>31.6967 * CHOOSE(CONTROL!$C$15, $E$9, 100%, $G$9) + CHOOSE(CONTROL!$C$38, 0.0347, 0)</f>
        <v>31.731400000000001</v>
      </c>
      <c r="J466" s="44">
        <f>237.58</f>
        <v>237.58</v>
      </c>
    </row>
    <row r="467" spans="1:10" ht="15.75" x14ac:dyDescent="0.25">
      <c r="A467" s="33">
        <v>55153</v>
      </c>
      <c r="B467" s="14">
        <f>35.0058 * CHOOSE(CONTROL!$C$15, $E$9, 100%, $G$9) + CHOOSE(CONTROL!$C$38, 0.0256, 0)</f>
        <v>35.031399999999998</v>
      </c>
      <c r="C467" s="14">
        <f>32.2927 * CHOOSE(CONTROL!$C$15, $E$9, 100%, $G$9) + CHOOSE(CONTROL!$C$38, 0.0347, 0)</f>
        <v>32.327400000000004</v>
      </c>
      <c r="D467" s="14">
        <f>32.2849 * CHOOSE(CONTROL!$C$15, $E$9, 100%, $G$9) + CHOOSE(CONTROL!$C$38, 0.0347, 0)</f>
        <v>32.319600000000001</v>
      </c>
      <c r="E467" s="46">
        <f>34.8495 * CHOOSE(CONTROL!$C$15, $E$9, 100%, $G$9) + CHOOSE(CONTROL!$C$38, 0.0347, 0)</f>
        <v>34.8842</v>
      </c>
      <c r="F467" s="45">
        <f>34.8495 * CHOOSE(CONTROL!$C$15, $E$9, 100%, $G$9) + CHOOSE(CONTROL!$C$38, 0.0256, 0)</f>
        <v>34.875099999999996</v>
      </c>
      <c r="G467" s="14">
        <f>32.2912 * CHOOSE(CONTROL!$C$15, $E$9, 100%, $G$9) + CHOOSE(CONTROL!$C$38, 0.0347, 0)</f>
        <v>32.325900000000004</v>
      </c>
      <c r="H467" s="14">
        <f>32.2912 * CHOOSE(CONTROL!$C$15, $E$9, 100%, $G$9) + CHOOSE(CONTROL!$C$38, 0.0347, 0)</f>
        <v>32.325900000000004</v>
      </c>
      <c r="I467" s="14">
        <f>32.2927 * CHOOSE(CONTROL!$C$15, $E$9, 100%, $G$9) + CHOOSE(CONTROL!$C$38, 0.0347, 0)</f>
        <v>32.327400000000004</v>
      </c>
      <c r="J467" s="44">
        <f>230.5298</f>
        <v>230.52979999999999</v>
      </c>
    </row>
    <row r="468" spans="1:10" ht="15.75" x14ac:dyDescent="0.25">
      <c r="A468" s="33">
        <v>55184</v>
      </c>
      <c r="B468" s="14">
        <f>36.0311 * CHOOSE(CONTROL!$C$15, $E$9, 100%, $G$9) + CHOOSE(CONTROL!$C$38, 0.0256, 0)</f>
        <v>36.056699999999999</v>
      </c>
      <c r="C468" s="14">
        <f>33.2761 * CHOOSE(CONTROL!$C$15, $E$9, 100%, $G$9) + CHOOSE(CONTROL!$C$38, 0.0347, 0)</f>
        <v>33.3108</v>
      </c>
      <c r="D468" s="14">
        <f>33.2683 * CHOOSE(CONTROL!$C$15, $E$9, 100%, $G$9) + CHOOSE(CONTROL!$C$38, 0.0347, 0)</f>
        <v>33.303000000000004</v>
      </c>
      <c r="E468" s="46">
        <f>35.8749 * CHOOSE(CONTROL!$C$15, $E$9, 100%, $G$9) + CHOOSE(CONTROL!$C$38, 0.0347, 0)</f>
        <v>35.909599999999998</v>
      </c>
      <c r="F468" s="45">
        <f>35.8749 * CHOOSE(CONTROL!$C$15, $E$9, 100%, $G$9) + CHOOSE(CONTROL!$C$38, 0.0256, 0)</f>
        <v>35.900499999999994</v>
      </c>
      <c r="G468" s="14">
        <f>33.2746 * CHOOSE(CONTROL!$C$15, $E$9, 100%, $G$9) + CHOOSE(CONTROL!$C$38, 0.0347, 0)</f>
        <v>33.3093</v>
      </c>
      <c r="H468" s="14">
        <f>33.2746 * CHOOSE(CONTROL!$C$15, $E$9, 100%, $G$9) + CHOOSE(CONTROL!$C$38, 0.0347, 0)</f>
        <v>33.3093</v>
      </c>
      <c r="I468" s="14">
        <f>33.2761 * CHOOSE(CONTROL!$C$15, $E$9, 100%, $G$9) + CHOOSE(CONTROL!$C$38, 0.0347, 0)</f>
        <v>33.3108</v>
      </c>
      <c r="J468" s="44">
        <f>230.0895</f>
        <v>230.08949999999999</v>
      </c>
    </row>
    <row r="469" spans="1:10" ht="15.75" x14ac:dyDescent="0.25">
      <c r="A469" s="33">
        <v>55212</v>
      </c>
      <c r="B469" s="14">
        <f>36.2519 * CHOOSE(CONTROL!$C$15, $E$9, 100%, $G$9) + CHOOSE(CONTROL!$C$38, 0.0256, 0)</f>
        <v>36.277499999999996</v>
      </c>
      <c r="C469" s="14">
        <f>33.4969 * CHOOSE(CONTROL!$C$15, $E$9, 100%, $G$9) + CHOOSE(CONTROL!$C$38, 0.0347, 0)</f>
        <v>33.531599999999997</v>
      </c>
      <c r="D469" s="14">
        <f>33.4891 * CHOOSE(CONTROL!$C$15, $E$9, 100%, $G$9) + CHOOSE(CONTROL!$C$38, 0.0347, 0)</f>
        <v>33.523800000000001</v>
      </c>
      <c r="E469" s="46">
        <f>36.0956 * CHOOSE(CONTROL!$C$15, $E$9, 100%, $G$9) + CHOOSE(CONTROL!$C$38, 0.0347, 0)</f>
        <v>36.130299999999998</v>
      </c>
      <c r="F469" s="45">
        <f>36.0956 * CHOOSE(CONTROL!$C$15, $E$9, 100%, $G$9) + CHOOSE(CONTROL!$C$38, 0.0256, 0)</f>
        <v>36.121199999999995</v>
      </c>
      <c r="G469" s="14">
        <f>33.4953 * CHOOSE(CONTROL!$C$15, $E$9, 100%, $G$9) + CHOOSE(CONTROL!$C$38, 0.0347, 0)</f>
        <v>33.53</v>
      </c>
      <c r="H469" s="14">
        <f>33.4953 * CHOOSE(CONTROL!$C$15, $E$9, 100%, $G$9) + CHOOSE(CONTROL!$C$38, 0.0347, 0)</f>
        <v>33.53</v>
      </c>
      <c r="I469" s="14">
        <f>33.4969 * CHOOSE(CONTROL!$C$15, $E$9, 100%, $G$9) + CHOOSE(CONTROL!$C$38, 0.0347, 0)</f>
        <v>33.531599999999997</v>
      </c>
      <c r="J469" s="44">
        <f>229.4499</f>
        <v>229.44990000000001</v>
      </c>
    </row>
    <row r="470" spans="1:10" ht="15.75" x14ac:dyDescent="0.25">
      <c r="A470" s="33">
        <v>55243</v>
      </c>
      <c r="B470" s="14">
        <f>35.7408 * CHOOSE(CONTROL!$C$15, $E$9, 100%, $G$9) + CHOOSE(CONTROL!$C$38, 0.0256, 0)</f>
        <v>35.766399999999997</v>
      </c>
      <c r="C470" s="14">
        <f>32.9859 * CHOOSE(CONTROL!$C$15, $E$9, 100%, $G$9) + CHOOSE(CONTROL!$C$38, 0.0347, 0)</f>
        <v>33.020600000000002</v>
      </c>
      <c r="D470" s="14">
        <f>32.9781 * CHOOSE(CONTROL!$C$15, $E$9, 100%, $G$9) + CHOOSE(CONTROL!$C$38, 0.0347, 0)</f>
        <v>33.012799999999999</v>
      </c>
      <c r="E470" s="46">
        <f>35.5846 * CHOOSE(CONTROL!$C$15, $E$9, 100%, $G$9) + CHOOSE(CONTROL!$C$38, 0.0347, 0)</f>
        <v>35.619300000000003</v>
      </c>
      <c r="F470" s="45">
        <f>35.5846 * CHOOSE(CONTROL!$C$15, $E$9, 100%, $G$9) + CHOOSE(CONTROL!$C$38, 0.0256, 0)</f>
        <v>35.610199999999999</v>
      </c>
      <c r="G470" s="14">
        <f>32.9843 * CHOOSE(CONTROL!$C$15, $E$9, 100%, $G$9) + CHOOSE(CONTROL!$C$38, 0.0347, 0)</f>
        <v>33.018999999999998</v>
      </c>
      <c r="H470" s="14">
        <f>32.9843 * CHOOSE(CONTROL!$C$15, $E$9, 100%, $G$9) + CHOOSE(CONTROL!$C$38, 0.0347, 0)</f>
        <v>33.018999999999998</v>
      </c>
      <c r="I470" s="14">
        <f>32.9859 * CHOOSE(CONTROL!$C$15, $E$9, 100%, $G$9) + CHOOSE(CONTROL!$C$38, 0.0347, 0)</f>
        <v>33.020600000000002</v>
      </c>
      <c r="J470" s="44">
        <f>241.5433</f>
        <v>241.54329999999999</v>
      </c>
    </row>
    <row r="471" spans="1:10" ht="15.75" x14ac:dyDescent="0.25">
      <c r="A471" s="33">
        <v>55273</v>
      </c>
      <c r="B471" s="14">
        <f>35.2457 * CHOOSE(CONTROL!$C$15, $E$9, 100%, $G$9) + CHOOSE(CONTROL!$C$38, 0.0256, 0)</f>
        <v>35.271299999999997</v>
      </c>
      <c r="C471" s="14">
        <f>32.4907 * CHOOSE(CONTROL!$C$15, $E$9, 100%, $G$9) + CHOOSE(CONTROL!$C$38, 0.0347, 0)</f>
        <v>32.525399999999998</v>
      </c>
      <c r="D471" s="14">
        <f>32.4829 * CHOOSE(CONTROL!$C$15, $E$9, 100%, $G$9) + CHOOSE(CONTROL!$C$38, 0.0347, 0)</f>
        <v>32.517600000000002</v>
      </c>
      <c r="E471" s="46">
        <f>35.0894 * CHOOSE(CONTROL!$C$15, $E$9, 100%, $G$9) + CHOOSE(CONTROL!$C$38, 0.0347, 0)</f>
        <v>35.124099999999999</v>
      </c>
      <c r="F471" s="45">
        <f>35.0894 * CHOOSE(CONTROL!$C$15, $E$9, 100%, $G$9) + CHOOSE(CONTROL!$C$38, 0.0256, 0)</f>
        <v>35.114999999999995</v>
      </c>
      <c r="G471" s="14">
        <f>32.4891 * CHOOSE(CONTROL!$C$15, $E$9, 100%, $G$9) + CHOOSE(CONTROL!$C$38, 0.0347, 0)</f>
        <v>32.523800000000001</v>
      </c>
      <c r="H471" s="14">
        <f>32.4891 * CHOOSE(CONTROL!$C$15, $E$9, 100%, $G$9) + CHOOSE(CONTROL!$C$38, 0.0347, 0)</f>
        <v>32.523800000000001</v>
      </c>
      <c r="I471" s="14">
        <f>32.4907 * CHOOSE(CONTROL!$C$15, $E$9, 100%, $G$9) + CHOOSE(CONTROL!$C$38, 0.0347, 0)</f>
        <v>32.525399999999998</v>
      </c>
      <c r="J471" s="44">
        <f>257.2254</f>
        <v>257.22539999999998</v>
      </c>
    </row>
    <row r="472" spans="1:10" ht="15.75" x14ac:dyDescent="0.25">
      <c r="A472" s="33">
        <v>55304</v>
      </c>
      <c r="B472" s="14">
        <f>34.7295 * CHOOSE(CONTROL!$C$15, $E$9, 100%, $G$9) + CHOOSE(CONTROL!$C$38, 0.0278, 0)</f>
        <v>34.757300000000001</v>
      </c>
      <c r="C472" s="14">
        <f>31.9746 * CHOOSE(CONTROL!$C$15, $E$9, 100%, $G$9) + CHOOSE(CONTROL!$C$38, 0.0369, 0)</f>
        <v>32.011499999999998</v>
      </c>
      <c r="D472" s="14">
        <f>31.9668 * CHOOSE(CONTROL!$C$15, $E$9, 100%, $G$9) + CHOOSE(CONTROL!$C$38, 0.0369, 0)</f>
        <v>32.003700000000002</v>
      </c>
      <c r="E472" s="46">
        <f>34.5733 * CHOOSE(CONTROL!$C$15, $E$9, 100%, $G$9) + CHOOSE(CONTROL!$C$38, 0.0369, 0)</f>
        <v>34.610200000000006</v>
      </c>
      <c r="F472" s="45">
        <f>34.5733 * CHOOSE(CONTROL!$C$15, $E$9, 100%, $G$9) + CHOOSE(CONTROL!$C$38, 0.0278, 0)</f>
        <v>34.601100000000002</v>
      </c>
      <c r="G472" s="14">
        <f>31.973 * CHOOSE(CONTROL!$C$15, $E$9, 100%, $G$9) + CHOOSE(CONTROL!$C$38, 0.0369, 0)</f>
        <v>32.009900000000002</v>
      </c>
      <c r="H472" s="14">
        <f>31.973 * CHOOSE(CONTROL!$C$15, $E$9, 100%, $G$9) + CHOOSE(CONTROL!$C$38, 0.0369, 0)</f>
        <v>32.009900000000002</v>
      </c>
      <c r="I472" s="14">
        <f>31.9746 * CHOOSE(CONTROL!$C$15, $E$9, 100%, $G$9) + CHOOSE(CONTROL!$C$38, 0.0369, 0)</f>
        <v>32.011499999999998</v>
      </c>
      <c r="J472" s="44">
        <f>265.8574</f>
        <v>265.85739999999998</v>
      </c>
    </row>
    <row r="473" spans="1:10" ht="15.75" x14ac:dyDescent="0.25">
      <c r="A473" s="33">
        <v>55334</v>
      </c>
      <c r="B473" s="14">
        <f>34.3677 * CHOOSE(CONTROL!$C$15, $E$9, 100%, $G$9) + CHOOSE(CONTROL!$C$38, 0.0278, 0)</f>
        <v>34.395499999999998</v>
      </c>
      <c r="C473" s="14">
        <f>31.6127 * CHOOSE(CONTROL!$C$15, $E$9, 100%, $G$9) + CHOOSE(CONTROL!$C$38, 0.0369, 0)</f>
        <v>31.6496</v>
      </c>
      <c r="D473" s="14">
        <f>31.6049 * CHOOSE(CONTROL!$C$15, $E$9, 100%, $G$9) + CHOOSE(CONTROL!$C$38, 0.0369, 0)</f>
        <v>31.6418</v>
      </c>
      <c r="E473" s="46">
        <f>34.2115 * CHOOSE(CONTROL!$C$15, $E$9, 100%, $G$9) + CHOOSE(CONTROL!$C$38, 0.0369, 0)</f>
        <v>34.248400000000004</v>
      </c>
      <c r="F473" s="45">
        <f>34.2115 * CHOOSE(CONTROL!$C$15, $E$9, 100%, $G$9) + CHOOSE(CONTROL!$C$38, 0.0278, 0)</f>
        <v>34.2393</v>
      </c>
      <c r="G473" s="14">
        <f>31.6112 * CHOOSE(CONTROL!$C$15, $E$9, 100%, $G$9) + CHOOSE(CONTROL!$C$38, 0.0369, 0)</f>
        <v>31.648099999999999</v>
      </c>
      <c r="H473" s="14">
        <f>31.6112 * CHOOSE(CONTROL!$C$15, $E$9, 100%, $G$9) + CHOOSE(CONTROL!$C$38, 0.0369, 0)</f>
        <v>31.648099999999999</v>
      </c>
      <c r="I473" s="14">
        <f>31.6127 * CHOOSE(CONTROL!$C$15, $E$9, 100%, $G$9) + CHOOSE(CONTROL!$C$38, 0.0369, 0)</f>
        <v>31.6496</v>
      </c>
      <c r="J473" s="44">
        <f>269.6881</f>
        <v>269.68810000000002</v>
      </c>
    </row>
    <row r="474" spans="1:10" ht="15.75" x14ac:dyDescent="0.25">
      <c r="A474" s="33">
        <v>55365</v>
      </c>
      <c r="B474" s="14">
        <f>34.1612 * CHOOSE(CONTROL!$C$15, $E$9, 100%, $G$9) + CHOOSE(CONTROL!$C$38, 0.0278, 0)</f>
        <v>34.189</v>
      </c>
      <c r="C474" s="14">
        <f>31.4063 * CHOOSE(CONTROL!$C$15, $E$9, 100%, $G$9) + CHOOSE(CONTROL!$C$38, 0.0369, 0)</f>
        <v>31.443200000000001</v>
      </c>
      <c r="D474" s="14">
        <f>31.3984 * CHOOSE(CONTROL!$C$15, $E$9, 100%, $G$9) + CHOOSE(CONTROL!$C$38, 0.0369, 0)</f>
        <v>31.435299999999998</v>
      </c>
      <c r="E474" s="46">
        <f>34.005 * CHOOSE(CONTROL!$C$15, $E$9, 100%, $G$9) + CHOOSE(CONTROL!$C$38, 0.0369, 0)</f>
        <v>34.041900000000005</v>
      </c>
      <c r="F474" s="45">
        <f>34.005 * CHOOSE(CONTROL!$C$15, $E$9, 100%, $G$9) + CHOOSE(CONTROL!$C$38, 0.0278, 0)</f>
        <v>34.032800000000002</v>
      </c>
      <c r="G474" s="14">
        <f>31.4047 * CHOOSE(CONTROL!$C$15, $E$9, 100%, $G$9) + CHOOSE(CONTROL!$C$38, 0.0369, 0)</f>
        <v>31.441599999999998</v>
      </c>
      <c r="H474" s="14">
        <f>31.4047 * CHOOSE(CONTROL!$C$15, $E$9, 100%, $G$9) + CHOOSE(CONTROL!$C$38, 0.0369, 0)</f>
        <v>31.441599999999998</v>
      </c>
      <c r="I474" s="14">
        <f>31.4063 * CHOOSE(CONTROL!$C$15, $E$9, 100%, $G$9) + CHOOSE(CONTROL!$C$38, 0.0369, 0)</f>
        <v>31.443200000000001</v>
      </c>
      <c r="J474" s="44">
        <f>268.4269</f>
        <v>268.42689999999999</v>
      </c>
    </row>
    <row r="475" spans="1:10" ht="15.75" x14ac:dyDescent="0.25">
      <c r="A475" s="33">
        <v>55396</v>
      </c>
      <c r="B475" s="14">
        <f>34.2631 * CHOOSE(CONTROL!$C$15, $E$9, 100%, $G$9) + CHOOSE(CONTROL!$C$38, 0.0278, 0)</f>
        <v>34.290900000000001</v>
      </c>
      <c r="C475" s="14">
        <f>31.5082 * CHOOSE(CONTROL!$C$15, $E$9, 100%, $G$9) + CHOOSE(CONTROL!$C$38, 0.0369, 0)</f>
        <v>31.545099999999998</v>
      </c>
      <c r="D475" s="14">
        <f>31.5003 * CHOOSE(CONTROL!$C$15, $E$9, 100%, $G$9) + CHOOSE(CONTROL!$C$38, 0.0369, 0)</f>
        <v>31.537199999999999</v>
      </c>
      <c r="E475" s="46">
        <f>34.1069 * CHOOSE(CONTROL!$C$15, $E$9, 100%, $G$9) + CHOOSE(CONTROL!$C$38, 0.0369, 0)</f>
        <v>34.143800000000006</v>
      </c>
      <c r="F475" s="45">
        <f>34.1069 * CHOOSE(CONTROL!$C$15, $E$9, 100%, $G$9) + CHOOSE(CONTROL!$C$38, 0.0278, 0)</f>
        <v>34.134700000000002</v>
      </c>
      <c r="G475" s="14">
        <f>31.5066 * CHOOSE(CONTROL!$C$15, $E$9, 100%, $G$9) + CHOOSE(CONTROL!$C$38, 0.0369, 0)</f>
        <v>31.543499999999998</v>
      </c>
      <c r="H475" s="14">
        <f>31.5066 * CHOOSE(CONTROL!$C$15, $E$9, 100%, $G$9) + CHOOSE(CONTROL!$C$38, 0.0369, 0)</f>
        <v>31.543499999999998</v>
      </c>
      <c r="I475" s="14">
        <f>31.5082 * CHOOSE(CONTROL!$C$15, $E$9, 100%, $G$9) + CHOOSE(CONTROL!$C$38, 0.0369, 0)</f>
        <v>31.545099999999998</v>
      </c>
      <c r="J475" s="44">
        <f>262.178</f>
        <v>262.178</v>
      </c>
    </row>
    <row r="476" spans="1:10" ht="15.75" x14ac:dyDescent="0.25">
      <c r="A476" s="33">
        <v>55426</v>
      </c>
      <c r="B476" s="14">
        <f>34.5399 * CHOOSE(CONTROL!$C$15, $E$9, 100%, $G$9) + CHOOSE(CONTROL!$C$38, 0.0278, 0)</f>
        <v>34.567700000000002</v>
      </c>
      <c r="C476" s="14">
        <f>31.785 * CHOOSE(CONTROL!$C$15, $E$9, 100%, $G$9) + CHOOSE(CONTROL!$C$38, 0.0369, 0)</f>
        <v>31.821899999999999</v>
      </c>
      <c r="D476" s="14">
        <f>31.7771 * CHOOSE(CONTROL!$C$15, $E$9, 100%, $G$9) + CHOOSE(CONTROL!$C$38, 0.0369, 0)</f>
        <v>31.814</v>
      </c>
      <c r="E476" s="46">
        <f>34.3837 * CHOOSE(CONTROL!$C$15, $E$9, 100%, $G$9) + CHOOSE(CONTROL!$C$38, 0.0369, 0)</f>
        <v>34.4206</v>
      </c>
      <c r="F476" s="45">
        <f>34.3837 * CHOOSE(CONTROL!$C$15, $E$9, 100%, $G$9) + CHOOSE(CONTROL!$C$38, 0.0278, 0)</f>
        <v>34.411499999999997</v>
      </c>
      <c r="G476" s="14">
        <f>31.7834 * CHOOSE(CONTROL!$C$15, $E$9, 100%, $G$9) + CHOOSE(CONTROL!$C$38, 0.0369, 0)</f>
        <v>31.8203</v>
      </c>
      <c r="H476" s="14">
        <f>31.7834 * CHOOSE(CONTROL!$C$15, $E$9, 100%, $G$9) + CHOOSE(CONTROL!$C$38, 0.0369, 0)</f>
        <v>31.8203</v>
      </c>
      <c r="I476" s="14">
        <f>31.785 * CHOOSE(CONTROL!$C$15, $E$9, 100%, $G$9) + CHOOSE(CONTROL!$C$38, 0.0369, 0)</f>
        <v>31.821899999999999</v>
      </c>
      <c r="J476" s="44">
        <f>253.4637</f>
        <v>253.46369999999999</v>
      </c>
    </row>
    <row r="477" spans="1:10" ht="15.75" x14ac:dyDescent="0.25">
      <c r="A477" s="33">
        <v>55457</v>
      </c>
      <c r="B477" s="14">
        <f>34.7717 * CHOOSE(CONTROL!$C$15, $E$9, 100%, $G$9) + CHOOSE(CONTROL!$C$38, 0.0256, 0)</f>
        <v>34.7973</v>
      </c>
      <c r="C477" s="14">
        <f>32.0168 * CHOOSE(CONTROL!$C$15, $E$9, 100%, $G$9) + CHOOSE(CONTROL!$C$38, 0.0347, 0)</f>
        <v>32.051500000000004</v>
      </c>
      <c r="D477" s="14">
        <f>32.009 * CHOOSE(CONTROL!$C$15, $E$9, 100%, $G$9) + CHOOSE(CONTROL!$C$38, 0.0347, 0)</f>
        <v>32.043700000000001</v>
      </c>
      <c r="E477" s="46">
        <f>34.6155 * CHOOSE(CONTROL!$C$15, $E$9, 100%, $G$9) + CHOOSE(CONTROL!$C$38, 0.0347, 0)</f>
        <v>34.650199999999998</v>
      </c>
      <c r="F477" s="45">
        <f>34.6155 * CHOOSE(CONTROL!$C$15, $E$9, 100%, $G$9) + CHOOSE(CONTROL!$C$38, 0.0256, 0)</f>
        <v>34.641099999999994</v>
      </c>
      <c r="G477" s="14">
        <f>32.0152 * CHOOSE(CONTROL!$C$15, $E$9, 100%, $G$9) + CHOOSE(CONTROL!$C$38, 0.0347, 0)</f>
        <v>32.049900000000001</v>
      </c>
      <c r="H477" s="14">
        <f>32.0152 * CHOOSE(CONTROL!$C$15, $E$9, 100%, $G$9) + CHOOSE(CONTROL!$C$38, 0.0347, 0)</f>
        <v>32.049900000000001</v>
      </c>
      <c r="I477" s="14">
        <f>32.0168 * CHOOSE(CONTROL!$C$15, $E$9, 100%, $G$9) + CHOOSE(CONTROL!$C$38, 0.0347, 0)</f>
        <v>32.051500000000004</v>
      </c>
      <c r="J477" s="44">
        <f>244.6986</f>
        <v>244.6986</v>
      </c>
    </row>
    <row r="478" spans="1:10" ht="15.75" x14ac:dyDescent="0.25">
      <c r="A478" s="33">
        <v>55487</v>
      </c>
      <c r="B478" s="14">
        <f>34.9652 * CHOOSE(CONTROL!$C$15, $E$9, 100%, $G$9) + CHOOSE(CONTROL!$C$38, 0.0256, 0)</f>
        <v>34.9908</v>
      </c>
      <c r="C478" s="14">
        <f>32.2102 * CHOOSE(CONTROL!$C$15, $E$9, 100%, $G$9) + CHOOSE(CONTROL!$C$38, 0.0347, 0)</f>
        <v>32.244900000000001</v>
      </c>
      <c r="D478" s="14">
        <f>32.2024 * CHOOSE(CONTROL!$C$15, $E$9, 100%, $G$9) + CHOOSE(CONTROL!$C$38, 0.0347, 0)</f>
        <v>32.237099999999998</v>
      </c>
      <c r="E478" s="46">
        <f>34.8089 * CHOOSE(CONTROL!$C$15, $E$9, 100%, $G$9) + CHOOSE(CONTROL!$C$38, 0.0347, 0)</f>
        <v>34.843600000000002</v>
      </c>
      <c r="F478" s="45">
        <f>34.8089 * CHOOSE(CONTROL!$C$15, $E$9, 100%, $G$9) + CHOOSE(CONTROL!$C$38, 0.0256, 0)</f>
        <v>34.834499999999998</v>
      </c>
      <c r="G478" s="14">
        <f>32.2087 * CHOOSE(CONTROL!$C$15, $E$9, 100%, $G$9) + CHOOSE(CONTROL!$C$38, 0.0347, 0)</f>
        <v>32.243400000000001</v>
      </c>
      <c r="H478" s="14">
        <f>32.2087 * CHOOSE(CONTROL!$C$15, $E$9, 100%, $G$9) + CHOOSE(CONTROL!$C$38, 0.0347, 0)</f>
        <v>32.243400000000001</v>
      </c>
      <c r="I478" s="14">
        <f>32.2102 * CHOOSE(CONTROL!$C$15, $E$9, 100%, $G$9) + CHOOSE(CONTROL!$C$38, 0.0347, 0)</f>
        <v>32.244900000000001</v>
      </c>
      <c r="J478" s="44">
        <f>242.9551</f>
        <v>242.95509999999999</v>
      </c>
    </row>
    <row r="479" spans="1:10" ht="15.75" x14ac:dyDescent="0.25">
      <c r="A479" s="33">
        <v>55518</v>
      </c>
      <c r="B479" s="14">
        <f>35.5613 * CHOOSE(CONTROL!$C$15, $E$9, 100%, $G$9) + CHOOSE(CONTROL!$C$38, 0.0256, 0)</f>
        <v>35.5869</v>
      </c>
      <c r="C479" s="14">
        <f>32.8063 * CHOOSE(CONTROL!$C$15, $E$9, 100%, $G$9) + CHOOSE(CONTROL!$C$38, 0.0347, 0)</f>
        <v>32.841000000000001</v>
      </c>
      <c r="D479" s="14">
        <f>32.7985 * CHOOSE(CONTROL!$C$15, $E$9, 100%, $G$9) + CHOOSE(CONTROL!$C$38, 0.0347, 0)</f>
        <v>32.833199999999998</v>
      </c>
      <c r="E479" s="46">
        <f>35.405 * CHOOSE(CONTROL!$C$15, $E$9, 100%, $G$9) + CHOOSE(CONTROL!$C$38, 0.0347, 0)</f>
        <v>35.439700000000002</v>
      </c>
      <c r="F479" s="45">
        <f>35.405 * CHOOSE(CONTROL!$C$15, $E$9, 100%, $G$9) + CHOOSE(CONTROL!$C$38, 0.0256, 0)</f>
        <v>35.430599999999998</v>
      </c>
      <c r="G479" s="14">
        <f>32.8047 * CHOOSE(CONTROL!$C$15, $E$9, 100%, $G$9) + CHOOSE(CONTROL!$C$38, 0.0347, 0)</f>
        <v>32.839399999999998</v>
      </c>
      <c r="H479" s="14">
        <f>32.8047 * CHOOSE(CONTROL!$C$15, $E$9, 100%, $G$9) + CHOOSE(CONTROL!$C$38, 0.0347, 0)</f>
        <v>32.839399999999998</v>
      </c>
      <c r="I479" s="14">
        <f>32.8063 * CHOOSE(CONTROL!$C$15, $E$9, 100%, $G$9) + CHOOSE(CONTROL!$C$38, 0.0347, 0)</f>
        <v>32.841000000000001</v>
      </c>
      <c r="J479" s="44">
        <f>235.7454</f>
        <v>235.74539999999999</v>
      </c>
    </row>
    <row r="480" spans="1:10" ht="15.75" x14ac:dyDescent="0.25">
      <c r="A480" s="33">
        <v>55549</v>
      </c>
      <c r="B480" s="14">
        <f>36.5957 * CHOOSE(CONTROL!$C$15, $E$9, 100%, $G$9) + CHOOSE(CONTROL!$C$38, 0.0256, 0)</f>
        <v>36.621299999999998</v>
      </c>
      <c r="C480" s="14">
        <f>33.7981 * CHOOSE(CONTROL!$C$15, $E$9, 100%, $G$9) + CHOOSE(CONTROL!$C$38, 0.0347, 0)</f>
        <v>33.832799999999999</v>
      </c>
      <c r="D480" s="14">
        <f>33.7903 * CHOOSE(CONTROL!$C$15, $E$9, 100%, $G$9) + CHOOSE(CONTROL!$C$38, 0.0347, 0)</f>
        <v>33.825000000000003</v>
      </c>
      <c r="E480" s="46">
        <f>36.4394 * CHOOSE(CONTROL!$C$15, $E$9, 100%, $G$9) + CHOOSE(CONTROL!$C$38, 0.0347, 0)</f>
        <v>36.4741</v>
      </c>
      <c r="F480" s="45">
        <f>36.4394 * CHOOSE(CONTROL!$C$15, $E$9, 100%, $G$9) + CHOOSE(CONTROL!$C$38, 0.0256, 0)</f>
        <v>36.464999999999996</v>
      </c>
      <c r="G480" s="14">
        <f>33.7965 * CHOOSE(CONTROL!$C$15, $E$9, 100%, $G$9) + CHOOSE(CONTROL!$C$38, 0.0347, 0)</f>
        <v>33.831200000000003</v>
      </c>
      <c r="H480" s="14">
        <f>33.7965 * CHOOSE(CONTROL!$C$15, $E$9, 100%, $G$9) + CHOOSE(CONTROL!$C$38, 0.0347, 0)</f>
        <v>33.831200000000003</v>
      </c>
      <c r="I480" s="14">
        <f>33.7981 * CHOOSE(CONTROL!$C$15, $E$9, 100%, $G$9) + CHOOSE(CONTROL!$C$38, 0.0347, 0)</f>
        <v>33.832799999999999</v>
      </c>
      <c r="J480" s="44">
        <f>235.2952</f>
        <v>235.29519999999999</v>
      </c>
    </row>
    <row r="481" spans="1:10" ht="15.75" x14ac:dyDescent="0.25">
      <c r="A481" s="33">
        <v>55577</v>
      </c>
      <c r="B481" s="14">
        <f>36.8164 * CHOOSE(CONTROL!$C$15, $E$9, 100%, $G$9) + CHOOSE(CONTROL!$C$38, 0.0256, 0)</f>
        <v>36.841999999999999</v>
      </c>
      <c r="C481" s="14">
        <f>34.0189 * CHOOSE(CONTROL!$C$15, $E$9, 100%, $G$9) + CHOOSE(CONTROL!$C$38, 0.0347, 0)</f>
        <v>34.053600000000003</v>
      </c>
      <c r="D481" s="14">
        <f>34.0111 * CHOOSE(CONTROL!$C$15, $E$9, 100%, $G$9) + CHOOSE(CONTROL!$C$38, 0.0347, 0)</f>
        <v>34.0458</v>
      </c>
      <c r="E481" s="46">
        <f>36.6602 * CHOOSE(CONTROL!$C$15, $E$9, 100%, $G$9) + CHOOSE(CONTROL!$C$38, 0.0347, 0)</f>
        <v>36.694900000000004</v>
      </c>
      <c r="F481" s="45">
        <f>36.6602 * CHOOSE(CONTROL!$C$15, $E$9, 100%, $G$9) + CHOOSE(CONTROL!$C$38, 0.0256, 0)</f>
        <v>36.6858</v>
      </c>
      <c r="G481" s="14">
        <f>34.0173 * CHOOSE(CONTROL!$C$15, $E$9, 100%, $G$9) + CHOOSE(CONTROL!$C$38, 0.0347, 0)</f>
        <v>34.052</v>
      </c>
      <c r="H481" s="14">
        <f>34.0173 * CHOOSE(CONTROL!$C$15, $E$9, 100%, $G$9) + CHOOSE(CONTROL!$C$38, 0.0347, 0)</f>
        <v>34.052</v>
      </c>
      <c r="I481" s="14">
        <f>34.0189 * CHOOSE(CONTROL!$C$15, $E$9, 100%, $G$9) + CHOOSE(CONTROL!$C$38, 0.0347, 0)</f>
        <v>34.053600000000003</v>
      </c>
      <c r="J481" s="44">
        <f>234.6411</f>
        <v>234.64109999999999</v>
      </c>
    </row>
    <row r="482" spans="1:10" ht="15.75" x14ac:dyDescent="0.25">
      <c r="A482" s="33">
        <v>55609</v>
      </c>
      <c r="B482" s="14">
        <f>36.3054 * CHOOSE(CONTROL!$C$15, $E$9, 100%, $G$9) + CHOOSE(CONTROL!$C$38, 0.0256, 0)</f>
        <v>36.330999999999996</v>
      </c>
      <c r="C482" s="14">
        <f>33.5078 * CHOOSE(CONTROL!$C$15, $E$9, 100%, $G$9) + CHOOSE(CONTROL!$C$38, 0.0347, 0)</f>
        <v>33.542500000000004</v>
      </c>
      <c r="D482" s="14">
        <f>33.5 * CHOOSE(CONTROL!$C$15, $E$9, 100%, $G$9) + CHOOSE(CONTROL!$C$38, 0.0347, 0)</f>
        <v>33.534700000000001</v>
      </c>
      <c r="E482" s="46">
        <f>36.1492 * CHOOSE(CONTROL!$C$15, $E$9, 100%, $G$9) + CHOOSE(CONTROL!$C$38, 0.0347, 0)</f>
        <v>36.183900000000001</v>
      </c>
      <c r="F482" s="45">
        <f>36.1492 * CHOOSE(CONTROL!$C$15, $E$9, 100%, $G$9) + CHOOSE(CONTROL!$C$38, 0.0256, 0)</f>
        <v>36.174799999999998</v>
      </c>
      <c r="G482" s="14">
        <f>33.5063 * CHOOSE(CONTROL!$C$15, $E$9, 100%, $G$9) + CHOOSE(CONTROL!$C$38, 0.0347, 0)</f>
        <v>33.541000000000004</v>
      </c>
      <c r="H482" s="14">
        <f>33.5063 * CHOOSE(CONTROL!$C$15, $E$9, 100%, $G$9) + CHOOSE(CONTROL!$C$38, 0.0347, 0)</f>
        <v>33.541000000000004</v>
      </c>
      <c r="I482" s="14">
        <f>33.5078 * CHOOSE(CONTROL!$C$15, $E$9, 100%, $G$9) + CHOOSE(CONTROL!$C$38, 0.0347, 0)</f>
        <v>33.542500000000004</v>
      </c>
      <c r="J482" s="44">
        <f>247.0081</f>
        <v>247.00810000000001</v>
      </c>
    </row>
    <row r="483" spans="1:10" ht="15.75" x14ac:dyDescent="0.25">
      <c r="A483" s="33">
        <v>55639</v>
      </c>
      <c r="B483" s="14">
        <f>35.8102 * CHOOSE(CONTROL!$C$15, $E$9, 100%, $G$9) + CHOOSE(CONTROL!$C$38, 0.0256, 0)</f>
        <v>35.835799999999999</v>
      </c>
      <c r="C483" s="14">
        <f>33.0127 * CHOOSE(CONTROL!$C$15, $E$9, 100%, $G$9) + CHOOSE(CONTROL!$C$38, 0.0347, 0)</f>
        <v>33.047400000000003</v>
      </c>
      <c r="D483" s="14">
        <f>33.0048 * CHOOSE(CONTROL!$C$15, $E$9, 100%, $G$9) + CHOOSE(CONTROL!$C$38, 0.0347, 0)</f>
        <v>33.039500000000004</v>
      </c>
      <c r="E483" s="46">
        <f>35.654 * CHOOSE(CONTROL!$C$15, $E$9, 100%, $G$9) + CHOOSE(CONTROL!$C$38, 0.0347, 0)</f>
        <v>35.688700000000004</v>
      </c>
      <c r="F483" s="45">
        <f>35.654 * CHOOSE(CONTROL!$C$15, $E$9, 100%, $G$9) + CHOOSE(CONTROL!$C$38, 0.0256, 0)</f>
        <v>35.679600000000001</v>
      </c>
      <c r="G483" s="14">
        <f>33.0111 * CHOOSE(CONTROL!$C$15, $E$9, 100%, $G$9) + CHOOSE(CONTROL!$C$38, 0.0347, 0)</f>
        <v>33.0458</v>
      </c>
      <c r="H483" s="14">
        <f>33.0111 * CHOOSE(CONTROL!$C$15, $E$9, 100%, $G$9) + CHOOSE(CONTROL!$C$38, 0.0347, 0)</f>
        <v>33.0458</v>
      </c>
      <c r="I483" s="14">
        <f>33.0127 * CHOOSE(CONTROL!$C$15, $E$9, 100%, $G$9) + CHOOSE(CONTROL!$C$38, 0.0347, 0)</f>
        <v>33.047400000000003</v>
      </c>
      <c r="J483" s="44">
        <f>263.045</f>
        <v>263.04500000000002</v>
      </c>
    </row>
    <row r="484" spans="1:10" ht="15.75" x14ac:dyDescent="0.25">
      <c r="A484" s="33">
        <v>55670</v>
      </c>
      <c r="B484" s="14">
        <f>35.2941 * CHOOSE(CONTROL!$C$15, $E$9, 100%, $G$9) + CHOOSE(CONTROL!$C$38, 0.0278, 0)</f>
        <v>35.321899999999999</v>
      </c>
      <c r="C484" s="14">
        <f>32.4965 * CHOOSE(CONTROL!$C$15, $E$9, 100%, $G$9) + CHOOSE(CONTROL!$C$38, 0.0369, 0)</f>
        <v>32.5334</v>
      </c>
      <c r="D484" s="14">
        <f>32.4887 * CHOOSE(CONTROL!$C$15, $E$9, 100%, $G$9) + CHOOSE(CONTROL!$C$38, 0.0369, 0)</f>
        <v>32.525600000000004</v>
      </c>
      <c r="E484" s="46">
        <f>35.1379 * CHOOSE(CONTROL!$C$15, $E$9, 100%, $G$9) + CHOOSE(CONTROL!$C$38, 0.0369, 0)</f>
        <v>35.174800000000005</v>
      </c>
      <c r="F484" s="45">
        <f>35.1379 * CHOOSE(CONTROL!$C$15, $E$9, 100%, $G$9) + CHOOSE(CONTROL!$C$38, 0.0278, 0)</f>
        <v>35.165700000000001</v>
      </c>
      <c r="G484" s="14">
        <f>32.495 * CHOOSE(CONTROL!$C$15, $E$9, 100%, $G$9) + CHOOSE(CONTROL!$C$38, 0.0369, 0)</f>
        <v>32.5319</v>
      </c>
      <c r="H484" s="14">
        <f>32.495 * CHOOSE(CONTROL!$C$15, $E$9, 100%, $G$9) + CHOOSE(CONTROL!$C$38, 0.0369, 0)</f>
        <v>32.5319</v>
      </c>
      <c r="I484" s="14">
        <f>32.4965 * CHOOSE(CONTROL!$C$15, $E$9, 100%, $G$9) + CHOOSE(CONTROL!$C$38, 0.0369, 0)</f>
        <v>32.5334</v>
      </c>
      <c r="J484" s="44">
        <f>271.8723</f>
        <v>271.8723</v>
      </c>
    </row>
    <row r="485" spans="1:10" ht="15.75" x14ac:dyDescent="0.25">
      <c r="A485" s="33">
        <v>55700</v>
      </c>
      <c r="B485" s="14">
        <f>34.9323 * CHOOSE(CONTROL!$C$15, $E$9, 100%, $G$9) + CHOOSE(CONTROL!$C$38, 0.0278, 0)</f>
        <v>34.960099999999997</v>
      </c>
      <c r="C485" s="14">
        <f>32.1347 * CHOOSE(CONTROL!$C$15, $E$9, 100%, $G$9) + CHOOSE(CONTROL!$C$38, 0.0369, 0)</f>
        <v>32.171600000000005</v>
      </c>
      <c r="D485" s="14">
        <f>32.1269 * CHOOSE(CONTROL!$C$15, $E$9, 100%, $G$9) + CHOOSE(CONTROL!$C$38, 0.0369, 0)</f>
        <v>32.163800000000002</v>
      </c>
      <c r="E485" s="46">
        <f>34.776 * CHOOSE(CONTROL!$C$15, $E$9, 100%, $G$9) + CHOOSE(CONTROL!$C$38, 0.0369, 0)</f>
        <v>34.812900000000006</v>
      </c>
      <c r="F485" s="45">
        <f>34.776 * CHOOSE(CONTROL!$C$15, $E$9, 100%, $G$9) + CHOOSE(CONTROL!$C$38, 0.0278, 0)</f>
        <v>34.803800000000003</v>
      </c>
      <c r="G485" s="14">
        <f>32.1331 * CHOOSE(CONTROL!$C$15, $E$9, 100%, $G$9) + CHOOSE(CONTROL!$C$38, 0.0369, 0)</f>
        <v>32.17</v>
      </c>
      <c r="H485" s="14">
        <f>32.1331 * CHOOSE(CONTROL!$C$15, $E$9, 100%, $G$9) + CHOOSE(CONTROL!$C$38, 0.0369, 0)</f>
        <v>32.17</v>
      </c>
      <c r="I485" s="14">
        <f>32.1347 * CHOOSE(CONTROL!$C$15, $E$9, 100%, $G$9) + CHOOSE(CONTROL!$C$38, 0.0369, 0)</f>
        <v>32.171600000000005</v>
      </c>
      <c r="J485" s="44">
        <f>275.7897</f>
        <v>275.78969999999998</v>
      </c>
    </row>
    <row r="486" spans="1:10" ht="15.75" x14ac:dyDescent="0.25">
      <c r="A486" s="33">
        <v>55731</v>
      </c>
      <c r="B486" s="14">
        <f>34.7258 * CHOOSE(CONTROL!$C$15, $E$9, 100%, $G$9) + CHOOSE(CONTROL!$C$38, 0.0278, 0)</f>
        <v>34.753599999999999</v>
      </c>
      <c r="C486" s="14">
        <f>31.9282 * CHOOSE(CONTROL!$C$15, $E$9, 100%, $G$9) + CHOOSE(CONTROL!$C$38, 0.0369, 0)</f>
        <v>31.9651</v>
      </c>
      <c r="D486" s="14">
        <f>31.9204 * CHOOSE(CONTROL!$C$15, $E$9, 100%, $G$9) + CHOOSE(CONTROL!$C$38, 0.0369, 0)</f>
        <v>31.9573</v>
      </c>
      <c r="E486" s="46">
        <f>34.5695 * CHOOSE(CONTROL!$C$15, $E$9, 100%, $G$9) + CHOOSE(CONTROL!$C$38, 0.0369, 0)</f>
        <v>34.606400000000001</v>
      </c>
      <c r="F486" s="45">
        <f>34.5695 * CHOOSE(CONTROL!$C$15, $E$9, 100%, $G$9) + CHOOSE(CONTROL!$C$38, 0.0278, 0)</f>
        <v>34.597299999999997</v>
      </c>
      <c r="G486" s="14">
        <f>31.9267 * CHOOSE(CONTROL!$C$15, $E$9, 100%, $G$9) + CHOOSE(CONTROL!$C$38, 0.0369, 0)</f>
        <v>31.9636</v>
      </c>
      <c r="H486" s="14">
        <f>31.9267 * CHOOSE(CONTROL!$C$15, $E$9, 100%, $G$9) + CHOOSE(CONTROL!$C$38, 0.0369, 0)</f>
        <v>31.9636</v>
      </c>
      <c r="I486" s="14">
        <f>31.9282 * CHOOSE(CONTROL!$C$15, $E$9, 100%, $G$9) + CHOOSE(CONTROL!$C$38, 0.0369, 0)</f>
        <v>31.9651</v>
      </c>
      <c r="J486" s="44">
        <f>274.4999</f>
        <v>274.49990000000003</v>
      </c>
    </row>
    <row r="487" spans="1:10" ht="15.75" x14ac:dyDescent="0.25">
      <c r="A487" s="33">
        <v>55762</v>
      </c>
      <c r="B487" s="14">
        <f>34.8277 * CHOOSE(CONTROL!$C$15, $E$9, 100%, $G$9) + CHOOSE(CONTROL!$C$38, 0.0278, 0)</f>
        <v>34.855499999999999</v>
      </c>
      <c r="C487" s="14">
        <f>32.0301 * CHOOSE(CONTROL!$C$15, $E$9, 100%, $G$9) + CHOOSE(CONTROL!$C$38, 0.0369, 0)</f>
        <v>32.067</v>
      </c>
      <c r="D487" s="14">
        <f>32.0223 * CHOOSE(CONTROL!$C$15, $E$9, 100%, $G$9) + CHOOSE(CONTROL!$C$38, 0.0369, 0)</f>
        <v>32.059200000000004</v>
      </c>
      <c r="E487" s="46">
        <f>34.6715 * CHOOSE(CONTROL!$C$15, $E$9, 100%, $G$9) + CHOOSE(CONTROL!$C$38, 0.0369, 0)</f>
        <v>34.708400000000005</v>
      </c>
      <c r="F487" s="45">
        <f>34.6715 * CHOOSE(CONTROL!$C$15, $E$9, 100%, $G$9) + CHOOSE(CONTROL!$C$38, 0.0278, 0)</f>
        <v>34.699300000000001</v>
      </c>
      <c r="G487" s="14">
        <f>32.0286 * CHOOSE(CONTROL!$C$15, $E$9, 100%, $G$9) + CHOOSE(CONTROL!$C$38, 0.0369, 0)</f>
        <v>32.0655</v>
      </c>
      <c r="H487" s="14">
        <f>32.0286 * CHOOSE(CONTROL!$C$15, $E$9, 100%, $G$9) + CHOOSE(CONTROL!$C$38, 0.0369, 0)</f>
        <v>32.0655</v>
      </c>
      <c r="I487" s="14">
        <f>32.0301 * CHOOSE(CONTROL!$C$15, $E$9, 100%, $G$9) + CHOOSE(CONTROL!$C$38, 0.0369, 0)</f>
        <v>32.067</v>
      </c>
      <c r="J487" s="44">
        <f>268.1097</f>
        <v>268.10969999999998</v>
      </c>
    </row>
    <row r="488" spans="1:10" ht="15.75" x14ac:dyDescent="0.25">
      <c r="A488" s="33">
        <v>55792</v>
      </c>
      <c r="B488" s="14">
        <f>35.1045 * CHOOSE(CONTROL!$C$15, $E$9, 100%, $G$9) + CHOOSE(CONTROL!$C$38, 0.0278, 0)</f>
        <v>35.132300000000001</v>
      </c>
      <c r="C488" s="14">
        <f>32.3069 * CHOOSE(CONTROL!$C$15, $E$9, 100%, $G$9) + CHOOSE(CONTROL!$C$38, 0.0369, 0)</f>
        <v>32.343800000000002</v>
      </c>
      <c r="D488" s="14">
        <f>32.2991 * CHOOSE(CONTROL!$C$15, $E$9, 100%, $G$9) + CHOOSE(CONTROL!$C$38, 0.0369, 0)</f>
        <v>32.336000000000006</v>
      </c>
      <c r="E488" s="46">
        <f>34.9482 * CHOOSE(CONTROL!$C$15, $E$9, 100%, $G$9) + CHOOSE(CONTROL!$C$38, 0.0369, 0)</f>
        <v>34.985100000000003</v>
      </c>
      <c r="F488" s="45">
        <f>34.9482 * CHOOSE(CONTROL!$C$15, $E$9, 100%, $G$9) + CHOOSE(CONTROL!$C$38, 0.0278, 0)</f>
        <v>34.975999999999999</v>
      </c>
      <c r="G488" s="14">
        <f>32.3054 * CHOOSE(CONTROL!$C$15, $E$9, 100%, $G$9) + CHOOSE(CONTROL!$C$38, 0.0369, 0)</f>
        <v>32.342300000000002</v>
      </c>
      <c r="H488" s="14">
        <f>32.3054 * CHOOSE(CONTROL!$C$15, $E$9, 100%, $G$9) + CHOOSE(CONTROL!$C$38, 0.0369, 0)</f>
        <v>32.342300000000002</v>
      </c>
      <c r="I488" s="14">
        <f>32.3069 * CHOOSE(CONTROL!$C$15, $E$9, 100%, $G$9) + CHOOSE(CONTROL!$C$38, 0.0369, 0)</f>
        <v>32.343800000000002</v>
      </c>
      <c r="J488" s="44">
        <f>259.1982</f>
        <v>259.19819999999999</v>
      </c>
    </row>
    <row r="489" spans="1:10" ht="15.75" x14ac:dyDescent="0.25">
      <c r="A489" s="33">
        <v>55823</v>
      </c>
      <c r="B489" s="14">
        <f>35.3363 * CHOOSE(CONTROL!$C$15, $E$9, 100%, $G$9) + CHOOSE(CONTROL!$C$38, 0.0256, 0)</f>
        <v>35.361899999999999</v>
      </c>
      <c r="C489" s="14">
        <f>32.5387 * CHOOSE(CONTROL!$C$15, $E$9, 100%, $G$9) + CHOOSE(CONTROL!$C$38, 0.0347, 0)</f>
        <v>32.573399999999999</v>
      </c>
      <c r="D489" s="14">
        <f>32.5309 * CHOOSE(CONTROL!$C$15, $E$9, 100%, $G$9) + CHOOSE(CONTROL!$C$38, 0.0347, 0)</f>
        <v>32.565600000000003</v>
      </c>
      <c r="E489" s="46">
        <f>35.1801 * CHOOSE(CONTROL!$C$15, $E$9, 100%, $G$9) + CHOOSE(CONTROL!$C$38, 0.0347, 0)</f>
        <v>35.214800000000004</v>
      </c>
      <c r="F489" s="45">
        <f>35.1801 * CHOOSE(CONTROL!$C$15, $E$9, 100%, $G$9) + CHOOSE(CONTROL!$C$38, 0.0256, 0)</f>
        <v>35.2057</v>
      </c>
      <c r="G489" s="14">
        <f>32.5372 * CHOOSE(CONTROL!$C$15, $E$9, 100%, $G$9) + CHOOSE(CONTROL!$C$38, 0.0347, 0)</f>
        <v>32.571899999999999</v>
      </c>
      <c r="H489" s="14">
        <f>32.5372 * CHOOSE(CONTROL!$C$15, $E$9, 100%, $G$9) + CHOOSE(CONTROL!$C$38, 0.0347, 0)</f>
        <v>32.571899999999999</v>
      </c>
      <c r="I489" s="14">
        <f>32.5387 * CHOOSE(CONTROL!$C$15, $E$9, 100%, $G$9) + CHOOSE(CONTROL!$C$38, 0.0347, 0)</f>
        <v>32.573399999999999</v>
      </c>
      <c r="J489" s="44">
        <f>250.2348</f>
        <v>250.23480000000001</v>
      </c>
    </row>
    <row r="490" spans="1:10" ht="15.75" x14ac:dyDescent="0.25">
      <c r="A490" s="33">
        <v>55853</v>
      </c>
      <c r="B490" s="14">
        <f>35.5298 * CHOOSE(CONTROL!$C$15, $E$9, 100%, $G$9) + CHOOSE(CONTROL!$C$38, 0.0256, 0)</f>
        <v>35.555399999999999</v>
      </c>
      <c r="C490" s="14">
        <f>32.7322 * CHOOSE(CONTROL!$C$15, $E$9, 100%, $G$9) + CHOOSE(CONTROL!$C$38, 0.0347, 0)</f>
        <v>32.7669</v>
      </c>
      <c r="D490" s="14">
        <f>32.7244 * CHOOSE(CONTROL!$C$15, $E$9, 100%, $G$9) + CHOOSE(CONTROL!$C$38, 0.0347, 0)</f>
        <v>32.759100000000004</v>
      </c>
      <c r="E490" s="46">
        <f>35.3735 * CHOOSE(CONTROL!$C$15, $E$9, 100%, $G$9) + CHOOSE(CONTROL!$C$38, 0.0347, 0)</f>
        <v>35.408200000000001</v>
      </c>
      <c r="F490" s="45">
        <f>35.3735 * CHOOSE(CONTROL!$C$15, $E$9, 100%, $G$9) + CHOOSE(CONTROL!$C$38, 0.0256, 0)</f>
        <v>35.399099999999997</v>
      </c>
      <c r="G490" s="14">
        <f>32.7306 * CHOOSE(CONTROL!$C$15, $E$9, 100%, $G$9) + CHOOSE(CONTROL!$C$38, 0.0347, 0)</f>
        <v>32.765300000000003</v>
      </c>
      <c r="H490" s="14">
        <f>32.7306 * CHOOSE(CONTROL!$C$15, $E$9, 100%, $G$9) + CHOOSE(CONTROL!$C$38, 0.0347, 0)</f>
        <v>32.765300000000003</v>
      </c>
      <c r="I490" s="14">
        <f>32.7322 * CHOOSE(CONTROL!$C$15, $E$9, 100%, $G$9) + CHOOSE(CONTROL!$C$38, 0.0347, 0)</f>
        <v>32.7669</v>
      </c>
      <c r="J490" s="44">
        <f>248.4518</f>
        <v>248.45179999999999</v>
      </c>
    </row>
    <row r="491" spans="1:10" ht="15.75" x14ac:dyDescent="0.25">
      <c r="A491" s="33">
        <v>55884</v>
      </c>
      <c r="B491" s="14">
        <f>36.1258 * CHOOSE(CONTROL!$C$15, $E$9, 100%, $G$9) + CHOOSE(CONTROL!$C$38, 0.0256, 0)</f>
        <v>36.151399999999995</v>
      </c>
      <c r="C491" s="14">
        <f>33.3283 * CHOOSE(CONTROL!$C$15, $E$9, 100%, $G$9) + CHOOSE(CONTROL!$C$38, 0.0347, 0)</f>
        <v>33.363</v>
      </c>
      <c r="D491" s="14">
        <f>33.3204 * CHOOSE(CONTROL!$C$15, $E$9, 100%, $G$9) + CHOOSE(CONTROL!$C$38, 0.0347, 0)</f>
        <v>33.3551</v>
      </c>
      <c r="E491" s="46">
        <f>35.9696 * CHOOSE(CONTROL!$C$15, $E$9, 100%, $G$9) + CHOOSE(CONTROL!$C$38, 0.0347, 0)</f>
        <v>36.004300000000001</v>
      </c>
      <c r="F491" s="45">
        <f>35.9696 * CHOOSE(CONTROL!$C$15, $E$9, 100%, $G$9) + CHOOSE(CONTROL!$C$38, 0.0256, 0)</f>
        <v>35.995199999999997</v>
      </c>
      <c r="G491" s="14">
        <f>33.3267 * CHOOSE(CONTROL!$C$15, $E$9, 100%, $G$9) + CHOOSE(CONTROL!$C$38, 0.0347, 0)</f>
        <v>33.361400000000003</v>
      </c>
      <c r="H491" s="14">
        <f>33.3267 * CHOOSE(CONTROL!$C$15, $E$9, 100%, $G$9) + CHOOSE(CONTROL!$C$38, 0.0347, 0)</f>
        <v>33.361400000000003</v>
      </c>
      <c r="I491" s="14">
        <f>33.3283 * CHOOSE(CONTROL!$C$15, $E$9, 100%, $G$9) + CHOOSE(CONTROL!$C$38, 0.0347, 0)</f>
        <v>33.363</v>
      </c>
      <c r="J491" s="44">
        <f>241.079</f>
        <v>241.07900000000001</v>
      </c>
    </row>
    <row r="492" spans="1:10" ht="15.75" x14ac:dyDescent="0.25">
      <c r="A492" s="33">
        <v>55915</v>
      </c>
      <c r="B492" s="14">
        <f>37.1695 * CHOOSE(CONTROL!$C$15, $E$9, 100%, $G$9) + CHOOSE(CONTROL!$C$38, 0.0256, 0)</f>
        <v>37.195099999999996</v>
      </c>
      <c r="C492" s="14">
        <f>34.3286 * CHOOSE(CONTROL!$C$15, $E$9, 100%, $G$9) + CHOOSE(CONTROL!$C$38, 0.0347, 0)</f>
        <v>34.363300000000002</v>
      </c>
      <c r="D492" s="14">
        <f>34.3208 * CHOOSE(CONTROL!$C$15, $E$9, 100%, $G$9) + CHOOSE(CONTROL!$C$38, 0.0347, 0)</f>
        <v>34.355499999999999</v>
      </c>
      <c r="E492" s="46">
        <f>37.0133 * CHOOSE(CONTROL!$C$15, $E$9, 100%, $G$9) + CHOOSE(CONTROL!$C$38, 0.0347, 0)</f>
        <v>37.048000000000002</v>
      </c>
      <c r="F492" s="45">
        <f>37.0133 * CHOOSE(CONTROL!$C$15, $E$9, 100%, $G$9) + CHOOSE(CONTROL!$C$38, 0.0256, 0)</f>
        <v>37.038899999999998</v>
      </c>
      <c r="G492" s="14">
        <f>34.3271 * CHOOSE(CONTROL!$C$15, $E$9, 100%, $G$9) + CHOOSE(CONTROL!$C$38, 0.0347, 0)</f>
        <v>34.361800000000002</v>
      </c>
      <c r="H492" s="14">
        <f>34.3271 * CHOOSE(CONTROL!$C$15, $E$9, 100%, $G$9) + CHOOSE(CONTROL!$C$38, 0.0347, 0)</f>
        <v>34.361800000000002</v>
      </c>
      <c r="I492" s="14">
        <f>34.3286 * CHOOSE(CONTROL!$C$15, $E$9, 100%, $G$9) + CHOOSE(CONTROL!$C$38, 0.0347, 0)</f>
        <v>34.363300000000002</v>
      </c>
      <c r="J492" s="44">
        <f>240.6186</f>
        <v>240.61859999999999</v>
      </c>
    </row>
    <row r="493" spans="1:10" ht="15.75" x14ac:dyDescent="0.25">
      <c r="A493" s="33">
        <v>55943</v>
      </c>
      <c r="B493" s="14">
        <f>37.3903 * CHOOSE(CONTROL!$C$15, $E$9, 100%, $G$9) + CHOOSE(CONTROL!$C$38, 0.0256, 0)</f>
        <v>37.415900000000001</v>
      </c>
      <c r="C493" s="14">
        <f>34.5494 * CHOOSE(CONTROL!$C$15, $E$9, 100%, $G$9) + CHOOSE(CONTROL!$C$38, 0.0347, 0)</f>
        <v>34.584099999999999</v>
      </c>
      <c r="D493" s="14">
        <f>34.5416 * CHOOSE(CONTROL!$C$15, $E$9, 100%, $G$9) + CHOOSE(CONTROL!$C$38, 0.0347, 0)</f>
        <v>34.576300000000003</v>
      </c>
      <c r="E493" s="46">
        <f>37.234 * CHOOSE(CONTROL!$C$15, $E$9, 100%, $G$9) + CHOOSE(CONTROL!$C$38, 0.0347, 0)</f>
        <v>37.268700000000003</v>
      </c>
      <c r="F493" s="45">
        <f>37.234 * CHOOSE(CONTROL!$C$15, $E$9, 100%, $G$9) + CHOOSE(CONTROL!$C$38, 0.0256, 0)</f>
        <v>37.259599999999999</v>
      </c>
      <c r="G493" s="14">
        <f>34.5478 * CHOOSE(CONTROL!$C$15, $E$9, 100%, $G$9) + CHOOSE(CONTROL!$C$38, 0.0347, 0)</f>
        <v>34.582500000000003</v>
      </c>
      <c r="H493" s="14">
        <f>34.5478 * CHOOSE(CONTROL!$C$15, $E$9, 100%, $G$9) + CHOOSE(CONTROL!$C$38, 0.0347, 0)</f>
        <v>34.582500000000003</v>
      </c>
      <c r="I493" s="14">
        <f>34.5494 * CHOOSE(CONTROL!$C$15, $E$9, 100%, $G$9) + CHOOSE(CONTROL!$C$38, 0.0347, 0)</f>
        <v>34.584099999999999</v>
      </c>
      <c r="J493" s="44">
        <f>239.9498</f>
        <v>239.94980000000001</v>
      </c>
    </row>
    <row r="494" spans="1:10" ht="15.75" x14ac:dyDescent="0.25">
      <c r="A494" s="33">
        <v>55974</v>
      </c>
      <c r="B494" s="14">
        <f>36.8792 * CHOOSE(CONTROL!$C$15, $E$9, 100%, $G$9) + CHOOSE(CONTROL!$C$38, 0.0256, 0)</f>
        <v>36.904799999999994</v>
      </c>
      <c r="C494" s="14">
        <f>34.0384 * CHOOSE(CONTROL!$C$15, $E$9, 100%, $G$9) + CHOOSE(CONTROL!$C$38, 0.0347, 0)</f>
        <v>34.073100000000004</v>
      </c>
      <c r="D494" s="14">
        <f>34.0305 * CHOOSE(CONTROL!$C$15, $E$9, 100%, $G$9) + CHOOSE(CONTROL!$C$38, 0.0347, 0)</f>
        <v>34.065200000000004</v>
      </c>
      <c r="E494" s="46">
        <f>36.723 * CHOOSE(CONTROL!$C$15, $E$9, 100%, $G$9) + CHOOSE(CONTROL!$C$38, 0.0347, 0)</f>
        <v>36.7577</v>
      </c>
      <c r="F494" s="45">
        <f>36.723 * CHOOSE(CONTROL!$C$15, $E$9, 100%, $G$9) + CHOOSE(CONTROL!$C$38, 0.0256, 0)</f>
        <v>36.748599999999996</v>
      </c>
      <c r="G494" s="14">
        <f>34.0368 * CHOOSE(CONTROL!$C$15, $E$9, 100%, $G$9) + CHOOSE(CONTROL!$C$38, 0.0347, 0)</f>
        <v>34.0715</v>
      </c>
      <c r="H494" s="14">
        <f>34.0368 * CHOOSE(CONTROL!$C$15, $E$9, 100%, $G$9) + CHOOSE(CONTROL!$C$38, 0.0347, 0)</f>
        <v>34.0715</v>
      </c>
      <c r="I494" s="14">
        <f>34.0384 * CHOOSE(CONTROL!$C$15, $E$9, 100%, $G$9) + CHOOSE(CONTROL!$C$38, 0.0347, 0)</f>
        <v>34.073100000000004</v>
      </c>
      <c r="J494" s="44">
        <f>252.5965</f>
        <v>252.59649999999999</v>
      </c>
    </row>
    <row r="495" spans="1:10" ht="15.75" x14ac:dyDescent="0.25">
      <c r="A495" s="33">
        <v>56004</v>
      </c>
      <c r="B495" s="14">
        <f>36.3841 * CHOOSE(CONTROL!$C$15, $E$9, 100%, $G$9) + CHOOSE(CONTROL!$C$38, 0.0256, 0)</f>
        <v>36.409699999999994</v>
      </c>
      <c r="C495" s="14">
        <f>33.5432 * CHOOSE(CONTROL!$C$15, $E$9, 100%, $G$9) + CHOOSE(CONTROL!$C$38, 0.0347, 0)</f>
        <v>33.5779</v>
      </c>
      <c r="D495" s="14">
        <f>33.5354 * CHOOSE(CONTROL!$C$15, $E$9, 100%, $G$9) + CHOOSE(CONTROL!$C$38, 0.0347, 0)</f>
        <v>33.570100000000004</v>
      </c>
      <c r="E495" s="46">
        <f>36.2278 * CHOOSE(CONTROL!$C$15, $E$9, 100%, $G$9) + CHOOSE(CONTROL!$C$38, 0.0347, 0)</f>
        <v>36.262500000000003</v>
      </c>
      <c r="F495" s="45">
        <f>36.2278 * CHOOSE(CONTROL!$C$15, $E$9, 100%, $G$9) + CHOOSE(CONTROL!$C$38, 0.0256, 0)</f>
        <v>36.253399999999999</v>
      </c>
      <c r="G495" s="14">
        <f>33.5416 * CHOOSE(CONTROL!$C$15, $E$9, 100%, $G$9) + CHOOSE(CONTROL!$C$38, 0.0347, 0)</f>
        <v>33.576300000000003</v>
      </c>
      <c r="H495" s="14">
        <f>33.5416 * CHOOSE(CONTROL!$C$15, $E$9, 100%, $G$9) + CHOOSE(CONTROL!$C$38, 0.0347, 0)</f>
        <v>33.576300000000003</v>
      </c>
      <c r="I495" s="14">
        <f>33.5432 * CHOOSE(CONTROL!$C$15, $E$9, 100%, $G$9) + CHOOSE(CONTROL!$C$38, 0.0347, 0)</f>
        <v>33.5779</v>
      </c>
      <c r="J495" s="44">
        <f>268.9963</f>
        <v>268.99630000000002</v>
      </c>
    </row>
    <row r="496" spans="1:10" ht="15.75" x14ac:dyDescent="0.25">
      <c r="A496" s="33">
        <v>56035</v>
      </c>
      <c r="B496" s="14">
        <f>35.8679 * CHOOSE(CONTROL!$C$15, $E$9, 100%, $G$9) + CHOOSE(CONTROL!$C$38, 0.0278, 0)</f>
        <v>35.895699999999998</v>
      </c>
      <c r="C496" s="14">
        <f>33.0271 * CHOOSE(CONTROL!$C$15, $E$9, 100%, $G$9) + CHOOSE(CONTROL!$C$38, 0.0369, 0)</f>
        <v>33.064</v>
      </c>
      <c r="D496" s="14">
        <f>33.0193 * CHOOSE(CONTROL!$C$15, $E$9, 100%, $G$9) + CHOOSE(CONTROL!$C$38, 0.0369, 0)</f>
        <v>33.056200000000004</v>
      </c>
      <c r="E496" s="46">
        <f>35.7117 * CHOOSE(CONTROL!$C$15, $E$9, 100%, $G$9) + CHOOSE(CONTROL!$C$38, 0.0369, 0)</f>
        <v>35.748600000000003</v>
      </c>
      <c r="F496" s="45">
        <f>35.7117 * CHOOSE(CONTROL!$C$15, $E$9, 100%, $G$9) + CHOOSE(CONTROL!$C$38, 0.0278, 0)</f>
        <v>35.7395</v>
      </c>
      <c r="G496" s="14">
        <f>33.0255 * CHOOSE(CONTROL!$C$15, $E$9, 100%, $G$9) + CHOOSE(CONTROL!$C$38, 0.0369, 0)</f>
        <v>33.062400000000004</v>
      </c>
      <c r="H496" s="14">
        <f>33.0255 * CHOOSE(CONTROL!$C$15, $E$9, 100%, $G$9) + CHOOSE(CONTROL!$C$38, 0.0369, 0)</f>
        <v>33.062400000000004</v>
      </c>
      <c r="I496" s="14">
        <f>33.0271 * CHOOSE(CONTROL!$C$15, $E$9, 100%, $G$9) + CHOOSE(CONTROL!$C$38, 0.0369, 0)</f>
        <v>33.064</v>
      </c>
      <c r="J496" s="44">
        <f>278.0233</f>
        <v>278.02330000000001</v>
      </c>
    </row>
    <row r="497" spans="1:10" ht="15.75" x14ac:dyDescent="0.25">
      <c r="A497" s="33">
        <v>56065</v>
      </c>
      <c r="B497" s="14">
        <f>35.5061 * CHOOSE(CONTROL!$C$15, $E$9, 100%, $G$9) + CHOOSE(CONTROL!$C$38, 0.0278, 0)</f>
        <v>35.533900000000003</v>
      </c>
      <c r="C497" s="14">
        <f>32.6652 * CHOOSE(CONTROL!$C$15, $E$9, 100%, $G$9) + CHOOSE(CONTROL!$C$38, 0.0369, 0)</f>
        <v>32.702100000000002</v>
      </c>
      <c r="D497" s="14">
        <f>32.6574 * CHOOSE(CONTROL!$C$15, $E$9, 100%, $G$9) + CHOOSE(CONTROL!$C$38, 0.0369, 0)</f>
        <v>32.694300000000005</v>
      </c>
      <c r="E497" s="46">
        <f>35.3499 * CHOOSE(CONTROL!$C$15, $E$9, 100%, $G$9) + CHOOSE(CONTROL!$C$38, 0.0369, 0)</f>
        <v>35.386800000000001</v>
      </c>
      <c r="F497" s="45">
        <f>35.3499 * CHOOSE(CONTROL!$C$15, $E$9, 100%, $G$9) + CHOOSE(CONTROL!$C$38, 0.0278, 0)</f>
        <v>35.377699999999997</v>
      </c>
      <c r="G497" s="14">
        <f>32.6637 * CHOOSE(CONTROL!$C$15, $E$9, 100%, $G$9) + CHOOSE(CONTROL!$C$38, 0.0369, 0)</f>
        <v>32.700600000000001</v>
      </c>
      <c r="H497" s="14">
        <f>32.6637 * CHOOSE(CONTROL!$C$15, $E$9, 100%, $G$9) + CHOOSE(CONTROL!$C$38, 0.0369, 0)</f>
        <v>32.700600000000001</v>
      </c>
      <c r="I497" s="14">
        <f>32.6652 * CHOOSE(CONTROL!$C$15, $E$9, 100%, $G$9) + CHOOSE(CONTROL!$C$38, 0.0369, 0)</f>
        <v>32.702100000000002</v>
      </c>
      <c r="J497" s="44">
        <f>282.0293</f>
        <v>282.02929999999998</v>
      </c>
    </row>
    <row r="498" spans="1:10" ht="15.75" x14ac:dyDescent="0.25">
      <c r="A498" s="33">
        <v>56096</v>
      </c>
      <c r="B498" s="14">
        <f>35.2996 * CHOOSE(CONTROL!$C$15, $E$9, 100%, $G$9) + CHOOSE(CONTROL!$C$38, 0.0278, 0)</f>
        <v>35.327399999999997</v>
      </c>
      <c r="C498" s="14">
        <f>32.4587 * CHOOSE(CONTROL!$C$15, $E$9, 100%, $G$9) + CHOOSE(CONTROL!$C$38, 0.0369, 0)</f>
        <v>32.495600000000003</v>
      </c>
      <c r="D498" s="14">
        <f>32.4509 * CHOOSE(CONTROL!$C$15, $E$9, 100%, $G$9) + CHOOSE(CONTROL!$C$38, 0.0369, 0)</f>
        <v>32.4878</v>
      </c>
      <c r="E498" s="46">
        <f>35.1434 * CHOOSE(CONTROL!$C$15, $E$9, 100%, $G$9) + CHOOSE(CONTROL!$C$38, 0.0369, 0)</f>
        <v>35.180300000000003</v>
      </c>
      <c r="F498" s="45">
        <f>35.1434 * CHOOSE(CONTROL!$C$15, $E$9, 100%, $G$9) + CHOOSE(CONTROL!$C$38, 0.0278, 0)</f>
        <v>35.171199999999999</v>
      </c>
      <c r="G498" s="14">
        <f>32.4572 * CHOOSE(CONTROL!$C$15, $E$9, 100%, $G$9) + CHOOSE(CONTROL!$C$38, 0.0369, 0)</f>
        <v>32.494100000000003</v>
      </c>
      <c r="H498" s="14">
        <f>32.4572 * CHOOSE(CONTROL!$C$15, $E$9, 100%, $G$9) + CHOOSE(CONTROL!$C$38, 0.0369, 0)</f>
        <v>32.494100000000003</v>
      </c>
      <c r="I498" s="14">
        <f>32.4587 * CHOOSE(CONTROL!$C$15, $E$9, 100%, $G$9) + CHOOSE(CONTROL!$C$38, 0.0369, 0)</f>
        <v>32.495600000000003</v>
      </c>
      <c r="J498" s="44">
        <f>280.7103</f>
        <v>280.71030000000002</v>
      </c>
    </row>
    <row r="499" spans="1:10" ht="15.75" x14ac:dyDescent="0.25">
      <c r="A499" s="33">
        <v>56127</v>
      </c>
      <c r="B499" s="14">
        <f>35.4015 * CHOOSE(CONTROL!$C$15, $E$9, 100%, $G$9) + CHOOSE(CONTROL!$C$38, 0.0278, 0)</f>
        <v>35.429299999999998</v>
      </c>
      <c r="C499" s="14">
        <f>32.5607 * CHOOSE(CONTROL!$C$15, $E$9, 100%, $G$9) + CHOOSE(CONTROL!$C$38, 0.0369, 0)</f>
        <v>32.5976</v>
      </c>
      <c r="D499" s="14">
        <f>32.5528 * CHOOSE(CONTROL!$C$15, $E$9, 100%, $G$9) + CHOOSE(CONTROL!$C$38, 0.0369, 0)</f>
        <v>32.589700000000001</v>
      </c>
      <c r="E499" s="46">
        <f>35.2453 * CHOOSE(CONTROL!$C$15, $E$9, 100%, $G$9) + CHOOSE(CONTROL!$C$38, 0.0369, 0)</f>
        <v>35.282200000000003</v>
      </c>
      <c r="F499" s="45">
        <f>35.2453 * CHOOSE(CONTROL!$C$15, $E$9, 100%, $G$9) + CHOOSE(CONTROL!$C$38, 0.0278, 0)</f>
        <v>35.273099999999999</v>
      </c>
      <c r="G499" s="14">
        <f>32.5591 * CHOOSE(CONTROL!$C$15, $E$9, 100%, $G$9) + CHOOSE(CONTROL!$C$38, 0.0369, 0)</f>
        <v>32.596000000000004</v>
      </c>
      <c r="H499" s="14">
        <f>32.5591 * CHOOSE(CONTROL!$C$15, $E$9, 100%, $G$9) + CHOOSE(CONTROL!$C$38, 0.0369, 0)</f>
        <v>32.596000000000004</v>
      </c>
      <c r="I499" s="14">
        <f>32.5607 * CHOOSE(CONTROL!$C$15, $E$9, 100%, $G$9) + CHOOSE(CONTROL!$C$38, 0.0369, 0)</f>
        <v>32.5976</v>
      </c>
      <c r="J499" s="44">
        <f>274.1755</f>
        <v>274.1755</v>
      </c>
    </row>
    <row r="500" spans="1:10" ht="15.75" x14ac:dyDescent="0.25">
      <c r="A500" s="33">
        <v>56157</v>
      </c>
      <c r="B500" s="14">
        <f>35.6783 * CHOOSE(CONTROL!$C$15, $E$9, 100%, $G$9) + CHOOSE(CONTROL!$C$38, 0.0278, 0)</f>
        <v>35.706099999999999</v>
      </c>
      <c r="C500" s="14">
        <f>32.8374 * CHOOSE(CONTROL!$C$15, $E$9, 100%, $G$9) + CHOOSE(CONTROL!$C$38, 0.0369, 0)</f>
        <v>32.874300000000005</v>
      </c>
      <c r="D500" s="14">
        <f>32.8296 * CHOOSE(CONTROL!$C$15, $E$9, 100%, $G$9) + CHOOSE(CONTROL!$C$38, 0.0369, 0)</f>
        <v>32.866500000000002</v>
      </c>
      <c r="E500" s="46">
        <f>35.5221 * CHOOSE(CONTROL!$C$15, $E$9, 100%, $G$9) + CHOOSE(CONTROL!$C$38, 0.0369, 0)</f>
        <v>35.559000000000005</v>
      </c>
      <c r="F500" s="45">
        <f>35.5221 * CHOOSE(CONTROL!$C$15, $E$9, 100%, $G$9) + CHOOSE(CONTROL!$C$38, 0.0278, 0)</f>
        <v>35.549900000000001</v>
      </c>
      <c r="G500" s="14">
        <f>32.8359 * CHOOSE(CONTROL!$C$15, $E$9, 100%, $G$9) + CHOOSE(CONTROL!$C$38, 0.0369, 0)</f>
        <v>32.872800000000005</v>
      </c>
      <c r="H500" s="14">
        <f>32.8359 * CHOOSE(CONTROL!$C$15, $E$9, 100%, $G$9) + CHOOSE(CONTROL!$C$38, 0.0369, 0)</f>
        <v>32.872800000000005</v>
      </c>
      <c r="I500" s="14">
        <f>32.8374 * CHOOSE(CONTROL!$C$15, $E$9, 100%, $G$9) + CHOOSE(CONTROL!$C$38, 0.0369, 0)</f>
        <v>32.874300000000005</v>
      </c>
      <c r="J500" s="44">
        <f>265.0624</f>
        <v>265.06240000000003</v>
      </c>
    </row>
    <row r="501" spans="1:10" ht="15.75" x14ac:dyDescent="0.25">
      <c r="A501" s="33">
        <v>56188</v>
      </c>
      <c r="B501" s="14">
        <f>35.9101 * CHOOSE(CONTROL!$C$15, $E$9, 100%, $G$9) + CHOOSE(CONTROL!$C$38, 0.0256, 0)</f>
        <v>35.935699999999997</v>
      </c>
      <c r="C501" s="14">
        <f>33.0693 * CHOOSE(CONTROL!$C$15, $E$9, 100%, $G$9) + CHOOSE(CONTROL!$C$38, 0.0347, 0)</f>
        <v>33.103999999999999</v>
      </c>
      <c r="D501" s="14">
        <f>33.0615 * CHOOSE(CONTROL!$C$15, $E$9, 100%, $G$9) + CHOOSE(CONTROL!$C$38, 0.0347, 0)</f>
        <v>33.096200000000003</v>
      </c>
      <c r="E501" s="46">
        <f>35.7539 * CHOOSE(CONTROL!$C$15, $E$9, 100%, $G$9) + CHOOSE(CONTROL!$C$38, 0.0347, 0)</f>
        <v>35.788600000000002</v>
      </c>
      <c r="F501" s="45">
        <f>35.7539 * CHOOSE(CONTROL!$C$15, $E$9, 100%, $G$9) + CHOOSE(CONTROL!$C$38, 0.0256, 0)</f>
        <v>35.779499999999999</v>
      </c>
      <c r="G501" s="14">
        <f>33.0677 * CHOOSE(CONTROL!$C$15, $E$9, 100%, $G$9) + CHOOSE(CONTROL!$C$38, 0.0347, 0)</f>
        <v>33.102400000000003</v>
      </c>
      <c r="H501" s="14">
        <f>33.0677 * CHOOSE(CONTROL!$C$15, $E$9, 100%, $G$9) + CHOOSE(CONTROL!$C$38, 0.0347, 0)</f>
        <v>33.102400000000003</v>
      </c>
      <c r="I501" s="14">
        <f>33.0693 * CHOOSE(CONTROL!$C$15, $E$9, 100%, $G$9) + CHOOSE(CONTROL!$C$38, 0.0347, 0)</f>
        <v>33.103999999999999</v>
      </c>
      <c r="J501" s="44">
        <f>255.8963</f>
        <v>255.8963</v>
      </c>
    </row>
    <row r="502" spans="1:10" ht="15.75" x14ac:dyDescent="0.25">
      <c r="A502" s="33">
        <v>56218</v>
      </c>
      <c r="B502" s="14">
        <f>36.1036 * CHOOSE(CONTROL!$C$15, $E$9, 100%, $G$9) + CHOOSE(CONTROL!$C$38, 0.0256, 0)</f>
        <v>36.129199999999997</v>
      </c>
      <c r="C502" s="14">
        <f>33.2627 * CHOOSE(CONTROL!$C$15, $E$9, 100%, $G$9) + CHOOSE(CONTROL!$C$38, 0.0347, 0)</f>
        <v>33.297400000000003</v>
      </c>
      <c r="D502" s="14">
        <f>33.2549 * CHOOSE(CONTROL!$C$15, $E$9, 100%, $G$9) + CHOOSE(CONTROL!$C$38, 0.0347, 0)</f>
        <v>33.2896</v>
      </c>
      <c r="E502" s="46">
        <f>35.9473 * CHOOSE(CONTROL!$C$15, $E$9, 100%, $G$9) + CHOOSE(CONTROL!$C$38, 0.0347, 0)</f>
        <v>35.981999999999999</v>
      </c>
      <c r="F502" s="45">
        <f>35.9473 * CHOOSE(CONTROL!$C$15, $E$9, 100%, $G$9) + CHOOSE(CONTROL!$C$38, 0.0256, 0)</f>
        <v>35.972899999999996</v>
      </c>
      <c r="G502" s="14">
        <f>33.2611 * CHOOSE(CONTROL!$C$15, $E$9, 100%, $G$9) + CHOOSE(CONTROL!$C$38, 0.0347, 0)</f>
        <v>33.2958</v>
      </c>
      <c r="H502" s="14">
        <f>33.2611 * CHOOSE(CONTROL!$C$15, $E$9, 100%, $G$9) + CHOOSE(CONTROL!$C$38, 0.0347, 0)</f>
        <v>33.2958</v>
      </c>
      <c r="I502" s="14">
        <f>33.2627 * CHOOSE(CONTROL!$C$15, $E$9, 100%, $G$9) + CHOOSE(CONTROL!$C$38, 0.0347, 0)</f>
        <v>33.297400000000003</v>
      </c>
      <c r="J502" s="44">
        <f>254.0729</f>
        <v>254.0729</v>
      </c>
    </row>
    <row r="503" spans="1:10" ht="15.75" x14ac:dyDescent="0.25">
      <c r="A503" s="33">
        <v>56249</v>
      </c>
      <c r="B503" s="14">
        <f>36.6997 * CHOOSE(CONTROL!$C$15, $E$9, 100%, $G$9) + CHOOSE(CONTROL!$C$38, 0.0256, 0)</f>
        <v>36.725299999999997</v>
      </c>
      <c r="C503" s="14">
        <f>33.8588 * CHOOSE(CONTROL!$C$15, $E$9, 100%, $G$9) + CHOOSE(CONTROL!$C$38, 0.0347, 0)</f>
        <v>33.893500000000003</v>
      </c>
      <c r="D503" s="14">
        <f>33.851 * CHOOSE(CONTROL!$C$15, $E$9, 100%, $G$9) + CHOOSE(CONTROL!$C$38, 0.0347, 0)</f>
        <v>33.8857</v>
      </c>
      <c r="E503" s="46">
        <f>36.5434 * CHOOSE(CONTROL!$C$15, $E$9, 100%, $G$9) + CHOOSE(CONTROL!$C$38, 0.0347, 0)</f>
        <v>36.578099999999999</v>
      </c>
      <c r="F503" s="45">
        <f>36.5434 * CHOOSE(CONTROL!$C$15, $E$9, 100%, $G$9) + CHOOSE(CONTROL!$C$38, 0.0256, 0)</f>
        <v>36.568999999999996</v>
      </c>
      <c r="G503" s="14">
        <f>33.8572 * CHOOSE(CONTROL!$C$15, $E$9, 100%, $G$9) + CHOOSE(CONTROL!$C$38, 0.0347, 0)</f>
        <v>33.8919</v>
      </c>
      <c r="H503" s="14">
        <f>33.8572 * CHOOSE(CONTROL!$C$15, $E$9, 100%, $G$9) + CHOOSE(CONTROL!$C$38, 0.0347, 0)</f>
        <v>33.8919</v>
      </c>
      <c r="I503" s="14">
        <f>33.8588 * CHOOSE(CONTROL!$C$15, $E$9, 100%, $G$9) + CHOOSE(CONTROL!$C$38, 0.0347, 0)</f>
        <v>33.893500000000003</v>
      </c>
      <c r="J503" s="44">
        <f>246.5333</f>
        <v>246.5333</v>
      </c>
    </row>
    <row r="504" spans="1:10" ht="15.75" x14ac:dyDescent="0.25">
      <c r="A504" s="33">
        <v>56280</v>
      </c>
      <c r="B504" s="14">
        <f>37.7527 * CHOOSE(CONTROL!$C$15, $E$9, 100%, $G$9) + CHOOSE(CONTROL!$C$38, 0.0256, 0)</f>
        <v>37.778299999999994</v>
      </c>
      <c r="C504" s="14">
        <f>34.8679 * CHOOSE(CONTROL!$C$15, $E$9, 100%, $G$9) + CHOOSE(CONTROL!$C$38, 0.0347, 0)</f>
        <v>34.9026</v>
      </c>
      <c r="D504" s="14">
        <f>34.86 * CHOOSE(CONTROL!$C$15, $E$9, 100%, $G$9) + CHOOSE(CONTROL!$C$38, 0.0347, 0)</f>
        <v>34.8947</v>
      </c>
      <c r="E504" s="46">
        <f>37.5965 * CHOOSE(CONTROL!$C$15, $E$9, 100%, $G$9) + CHOOSE(CONTROL!$C$38, 0.0347, 0)</f>
        <v>37.6312</v>
      </c>
      <c r="F504" s="45">
        <f>37.5965 * CHOOSE(CONTROL!$C$15, $E$9, 100%, $G$9) + CHOOSE(CONTROL!$C$38, 0.0256, 0)</f>
        <v>37.622099999999996</v>
      </c>
      <c r="G504" s="14">
        <f>34.8663 * CHOOSE(CONTROL!$C$15, $E$9, 100%, $G$9) + CHOOSE(CONTROL!$C$38, 0.0347, 0)</f>
        <v>34.901000000000003</v>
      </c>
      <c r="H504" s="14">
        <f>34.8663 * CHOOSE(CONTROL!$C$15, $E$9, 100%, $G$9) + CHOOSE(CONTROL!$C$38, 0.0347, 0)</f>
        <v>34.901000000000003</v>
      </c>
      <c r="I504" s="14">
        <f>34.8679 * CHOOSE(CONTROL!$C$15, $E$9, 100%, $G$9) + CHOOSE(CONTROL!$C$38, 0.0347, 0)</f>
        <v>34.9026</v>
      </c>
      <c r="J504" s="44">
        <f>246.0625</f>
        <v>246.0625</v>
      </c>
    </row>
    <row r="505" spans="1:10" ht="15.75" x14ac:dyDescent="0.25">
      <c r="A505" s="33">
        <v>56308</v>
      </c>
      <c r="B505" s="14">
        <f>37.9735 * CHOOSE(CONTROL!$C$15, $E$9, 100%, $G$9) + CHOOSE(CONTROL!$C$38, 0.0256, 0)</f>
        <v>37.999099999999999</v>
      </c>
      <c r="C505" s="14">
        <f>35.0886 * CHOOSE(CONTROL!$C$15, $E$9, 100%, $G$9) + CHOOSE(CONTROL!$C$38, 0.0347, 0)</f>
        <v>35.1233</v>
      </c>
      <c r="D505" s="14">
        <f>35.0808 * CHOOSE(CONTROL!$C$15, $E$9, 100%, $G$9) + CHOOSE(CONTROL!$C$38, 0.0347, 0)</f>
        <v>35.115500000000004</v>
      </c>
      <c r="E505" s="46">
        <f>37.8173 * CHOOSE(CONTROL!$C$15, $E$9, 100%, $G$9) + CHOOSE(CONTROL!$C$38, 0.0347, 0)</f>
        <v>37.852000000000004</v>
      </c>
      <c r="F505" s="45">
        <f>37.8173 * CHOOSE(CONTROL!$C$15, $E$9, 100%, $G$9) + CHOOSE(CONTROL!$C$38, 0.0256, 0)</f>
        <v>37.8429</v>
      </c>
      <c r="G505" s="14">
        <f>35.0871 * CHOOSE(CONTROL!$C$15, $E$9, 100%, $G$9) + CHOOSE(CONTROL!$C$38, 0.0347, 0)</f>
        <v>35.1218</v>
      </c>
      <c r="H505" s="14">
        <f>35.0871 * CHOOSE(CONTROL!$C$15, $E$9, 100%, $G$9) + CHOOSE(CONTROL!$C$38, 0.0347, 0)</f>
        <v>35.1218</v>
      </c>
      <c r="I505" s="14">
        <f>35.0886 * CHOOSE(CONTROL!$C$15, $E$9, 100%, $G$9) + CHOOSE(CONTROL!$C$38, 0.0347, 0)</f>
        <v>35.1233</v>
      </c>
      <c r="J505" s="44">
        <f>245.3785</f>
        <v>245.3785</v>
      </c>
    </row>
    <row r="506" spans="1:10" ht="15.75" x14ac:dyDescent="0.25">
      <c r="A506" s="33">
        <v>56339</v>
      </c>
      <c r="B506" s="14">
        <f>37.4625 * CHOOSE(CONTROL!$C$15, $E$9, 100%, $G$9) + CHOOSE(CONTROL!$C$38, 0.0256, 0)</f>
        <v>37.488099999999996</v>
      </c>
      <c r="C506" s="14">
        <f>34.5776 * CHOOSE(CONTROL!$C$15, $E$9, 100%, $G$9) + CHOOSE(CONTROL!$C$38, 0.0347, 0)</f>
        <v>34.612299999999998</v>
      </c>
      <c r="D506" s="14">
        <f>34.5698 * CHOOSE(CONTROL!$C$15, $E$9, 100%, $G$9) + CHOOSE(CONTROL!$C$38, 0.0347, 0)</f>
        <v>34.604500000000002</v>
      </c>
      <c r="E506" s="46">
        <f>37.3062 * CHOOSE(CONTROL!$C$15, $E$9, 100%, $G$9) + CHOOSE(CONTROL!$C$38, 0.0347, 0)</f>
        <v>37.340899999999998</v>
      </c>
      <c r="F506" s="45">
        <f>37.3062 * CHOOSE(CONTROL!$C$15, $E$9, 100%, $G$9) + CHOOSE(CONTROL!$C$38, 0.0256, 0)</f>
        <v>37.331799999999994</v>
      </c>
      <c r="G506" s="14">
        <f>34.576 * CHOOSE(CONTROL!$C$15, $E$9, 100%, $G$9) + CHOOSE(CONTROL!$C$38, 0.0347, 0)</f>
        <v>34.610700000000001</v>
      </c>
      <c r="H506" s="14">
        <f>34.576 * CHOOSE(CONTROL!$C$15, $E$9, 100%, $G$9) + CHOOSE(CONTROL!$C$38, 0.0347, 0)</f>
        <v>34.610700000000001</v>
      </c>
      <c r="I506" s="14">
        <f>34.5776 * CHOOSE(CONTROL!$C$15, $E$9, 100%, $G$9) + CHOOSE(CONTROL!$C$38, 0.0347, 0)</f>
        <v>34.612299999999998</v>
      </c>
      <c r="J506" s="44">
        <f>258.3114</f>
        <v>258.31139999999999</v>
      </c>
    </row>
    <row r="507" spans="1:10" ht="15.75" x14ac:dyDescent="0.25">
      <c r="A507" s="33">
        <v>56369</v>
      </c>
      <c r="B507" s="14">
        <f>36.9673 * CHOOSE(CONTROL!$C$15, $E$9, 100%, $G$9) + CHOOSE(CONTROL!$C$38, 0.0256, 0)</f>
        <v>36.992899999999999</v>
      </c>
      <c r="C507" s="14">
        <f>34.0824 * CHOOSE(CONTROL!$C$15, $E$9, 100%, $G$9) + CHOOSE(CONTROL!$C$38, 0.0347, 0)</f>
        <v>34.117100000000001</v>
      </c>
      <c r="D507" s="14">
        <f>34.0746 * CHOOSE(CONTROL!$C$15, $E$9, 100%, $G$9) + CHOOSE(CONTROL!$C$38, 0.0347, 0)</f>
        <v>34.109299999999998</v>
      </c>
      <c r="E507" s="46">
        <f>36.811 * CHOOSE(CONTROL!$C$15, $E$9, 100%, $G$9) + CHOOSE(CONTROL!$C$38, 0.0347, 0)</f>
        <v>36.845700000000001</v>
      </c>
      <c r="F507" s="45">
        <f>36.811 * CHOOSE(CONTROL!$C$15, $E$9, 100%, $G$9) + CHOOSE(CONTROL!$C$38, 0.0256, 0)</f>
        <v>36.836599999999997</v>
      </c>
      <c r="G507" s="14">
        <f>34.0808 * CHOOSE(CONTROL!$C$15, $E$9, 100%, $G$9) + CHOOSE(CONTROL!$C$38, 0.0347, 0)</f>
        <v>34.115500000000004</v>
      </c>
      <c r="H507" s="14">
        <f>34.0808 * CHOOSE(CONTROL!$C$15, $E$9, 100%, $G$9) + CHOOSE(CONTROL!$C$38, 0.0347, 0)</f>
        <v>34.115500000000004</v>
      </c>
      <c r="I507" s="14">
        <f>34.0824 * CHOOSE(CONTROL!$C$15, $E$9, 100%, $G$9) + CHOOSE(CONTROL!$C$38, 0.0347, 0)</f>
        <v>34.117100000000001</v>
      </c>
      <c r="J507" s="44">
        <f>275.0822</f>
        <v>275.0822</v>
      </c>
    </row>
    <row r="508" spans="1:10" ht="15.75" x14ac:dyDescent="0.25">
      <c r="A508" s="33">
        <v>56400</v>
      </c>
      <c r="B508" s="14">
        <f>36.4512 * CHOOSE(CONTROL!$C$15, $E$9, 100%, $G$9) + CHOOSE(CONTROL!$C$38, 0.0278, 0)</f>
        <v>36.478999999999999</v>
      </c>
      <c r="C508" s="14">
        <f>33.5663 * CHOOSE(CONTROL!$C$15, $E$9, 100%, $G$9) + CHOOSE(CONTROL!$C$38, 0.0369, 0)</f>
        <v>33.603200000000001</v>
      </c>
      <c r="D508" s="14">
        <f>33.5585 * CHOOSE(CONTROL!$C$15, $E$9, 100%, $G$9) + CHOOSE(CONTROL!$C$38, 0.0369, 0)</f>
        <v>33.595400000000005</v>
      </c>
      <c r="E508" s="46">
        <f>36.2949 * CHOOSE(CONTROL!$C$15, $E$9, 100%, $G$9) + CHOOSE(CONTROL!$C$38, 0.0369, 0)</f>
        <v>36.331800000000001</v>
      </c>
      <c r="F508" s="45">
        <f>36.2949 * CHOOSE(CONTROL!$C$15, $E$9, 100%, $G$9) + CHOOSE(CONTROL!$C$38, 0.0278, 0)</f>
        <v>36.322699999999998</v>
      </c>
      <c r="G508" s="14">
        <f>33.5647 * CHOOSE(CONTROL!$C$15, $E$9, 100%, $G$9) + CHOOSE(CONTROL!$C$38, 0.0369, 0)</f>
        <v>33.601600000000005</v>
      </c>
      <c r="H508" s="14">
        <f>33.5647 * CHOOSE(CONTROL!$C$15, $E$9, 100%, $G$9) + CHOOSE(CONTROL!$C$38, 0.0369, 0)</f>
        <v>33.601600000000005</v>
      </c>
      <c r="I508" s="14">
        <f>33.5663 * CHOOSE(CONTROL!$C$15, $E$9, 100%, $G$9) + CHOOSE(CONTROL!$C$38, 0.0369, 0)</f>
        <v>33.603200000000001</v>
      </c>
      <c r="J508" s="44">
        <f>284.3134</f>
        <v>284.3134</v>
      </c>
    </row>
    <row r="509" spans="1:10" ht="15.75" x14ac:dyDescent="0.25">
      <c r="A509" s="33">
        <v>56430</v>
      </c>
      <c r="B509" s="14">
        <f>36.0893 * CHOOSE(CONTROL!$C$15, $E$9, 100%, $G$9) + CHOOSE(CONTROL!$C$38, 0.0278, 0)</f>
        <v>36.117100000000001</v>
      </c>
      <c r="C509" s="14">
        <f>33.2045 * CHOOSE(CONTROL!$C$15, $E$9, 100%, $G$9) + CHOOSE(CONTROL!$C$38, 0.0369, 0)</f>
        <v>33.241400000000006</v>
      </c>
      <c r="D509" s="14">
        <f>33.1966 * CHOOSE(CONTROL!$C$15, $E$9, 100%, $G$9) + CHOOSE(CONTROL!$C$38, 0.0369, 0)</f>
        <v>33.233499999999999</v>
      </c>
      <c r="E509" s="46">
        <f>35.9331 * CHOOSE(CONTROL!$C$15, $E$9, 100%, $G$9) + CHOOSE(CONTROL!$C$38, 0.0369, 0)</f>
        <v>35.970000000000006</v>
      </c>
      <c r="F509" s="45">
        <f>35.9331 * CHOOSE(CONTROL!$C$15, $E$9, 100%, $G$9) + CHOOSE(CONTROL!$C$38, 0.0278, 0)</f>
        <v>35.960900000000002</v>
      </c>
      <c r="G509" s="14">
        <f>33.2029 * CHOOSE(CONTROL!$C$15, $E$9, 100%, $G$9) + CHOOSE(CONTROL!$C$38, 0.0369, 0)</f>
        <v>33.239800000000002</v>
      </c>
      <c r="H509" s="14">
        <f>33.2029 * CHOOSE(CONTROL!$C$15, $E$9, 100%, $G$9) + CHOOSE(CONTROL!$C$38, 0.0369, 0)</f>
        <v>33.239800000000002</v>
      </c>
      <c r="I509" s="14">
        <f>33.2045 * CHOOSE(CONTROL!$C$15, $E$9, 100%, $G$9) + CHOOSE(CONTROL!$C$38, 0.0369, 0)</f>
        <v>33.241400000000006</v>
      </c>
      <c r="J509" s="44">
        <f>288.4101</f>
        <v>288.4101</v>
      </c>
    </row>
    <row r="510" spans="1:10" ht="15.75" x14ac:dyDescent="0.25">
      <c r="A510" s="33">
        <v>56461</v>
      </c>
      <c r="B510" s="14">
        <f>35.8829 * CHOOSE(CONTROL!$C$15, $E$9, 100%, $G$9) + CHOOSE(CONTROL!$C$38, 0.0278, 0)</f>
        <v>35.910699999999999</v>
      </c>
      <c r="C510" s="14">
        <f>32.998 * CHOOSE(CONTROL!$C$15, $E$9, 100%, $G$9) + CHOOSE(CONTROL!$C$38, 0.0369, 0)</f>
        <v>33.0349</v>
      </c>
      <c r="D510" s="14">
        <f>32.9902 * CHOOSE(CONTROL!$C$15, $E$9, 100%, $G$9) + CHOOSE(CONTROL!$C$38, 0.0369, 0)</f>
        <v>33.027100000000004</v>
      </c>
      <c r="E510" s="46">
        <f>35.7266 * CHOOSE(CONTROL!$C$15, $E$9, 100%, $G$9) + CHOOSE(CONTROL!$C$38, 0.0369, 0)</f>
        <v>35.763500000000001</v>
      </c>
      <c r="F510" s="45">
        <f>35.7266 * CHOOSE(CONTROL!$C$15, $E$9, 100%, $G$9) + CHOOSE(CONTROL!$C$38, 0.0278, 0)</f>
        <v>35.754399999999997</v>
      </c>
      <c r="G510" s="14">
        <f>32.9964 * CHOOSE(CONTROL!$C$15, $E$9, 100%, $G$9) + CHOOSE(CONTROL!$C$38, 0.0369, 0)</f>
        <v>33.033300000000004</v>
      </c>
      <c r="H510" s="14">
        <f>32.9964 * CHOOSE(CONTROL!$C$15, $E$9, 100%, $G$9) + CHOOSE(CONTROL!$C$38, 0.0369, 0)</f>
        <v>33.033300000000004</v>
      </c>
      <c r="I510" s="14">
        <f>32.998 * CHOOSE(CONTROL!$C$15, $E$9, 100%, $G$9) + CHOOSE(CONTROL!$C$38, 0.0369, 0)</f>
        <v>33.0349</v>
      </c>
      <c r="J510" s="44">
        <f>287.0613</f>
        <v>287.06130000000002</v>
      </c>
    </row>
    <row r="511" spans="1:10" ht="15.75" x14ac:dyDescent="0.25">
      <c r="A511" s="33">
        <v>56492</v>
      </c>
      <c r="B511" s="14">
        <f>35.9848 * CHOOSE(CONTROL!$C$15, $E$9, 100%, $G$9) + CHOOSE(CONTROL!$C$38, 0.0278, 0)</f>
        <v>36.012599999999999</v>
      </c>
      <c r="C511" s="14">
        <f>33.0999 * CHOOSE(CONTROL!$C$15, $E$9, 100%, $G$9) + CHOOSE(CONTROL!$C$38, 0.0369, 0)</f>
        <v>33.136800000000001</v>
      </c>
      <c r="D511" s="14">
        <f>33.0921 * CHOOSE(CONTROL!$C$15, $E$9, 100%, $G$9) + CHOOSE(CONTROL!$C$38, 0.0369, 0)</f>
        <v>33.129000000000005</v>
      </c>
      <c r="E511" s="46">
        <f>35.8285 * CHOOSE(CONTROL!$C$15, $E$9, 100%, $G$9) + CHOOSE(CONTROL!$C$38, 0.0369, 0)</f>
        <v>35.865400000000001</v>
      </c>
      <c r="F511" s="45">
        <f>35.8285 * CHOOSE(CONTROL!$C$15, $E$9, 100%, $G$9) + CHOOSE(CONTROL!$C$38, 0.0278, 0)</f>
        <v>35.856299999999997</v>
      </c>
      <c r="G511" s="14">
        <f>33.0983 * CHOOSE(CONTROL!$C$15, $E$9, 100%, $G$9) + CHOOSE(CONTROL!$C$38, 0.0369, 0)</f>
        <v>33.135200000000005</v>
      </c>
      <c r="H511" s="14">
        <f>33.0983 * CHOOSE(CONTROL!$C$15, $E$9, 100%, $G$9) + CHOOSE(CONTROL!$C$38, 0.0369, 0)</f>
        <v>33.135200000000005</v>
      </c>
      <c r="I511" s="14">
        <f>33.0999 * CHOOSE(CONTROL!$C$15, $E$9, 100%, $G$9) + CHOOSE(CONTROL!$C$38, 0.0369, 0)</f>
        <v>33.136800000000001</v>
      </c>
      <c r="J511" s="44">
        <f>280.3786</f>
        <v>280.37860000000001</v>
      </c>
    </row>
    <row r="512" spans="1:10" ht="15.75" x14ac:dyDescent="0.25">
      <c r="A512" s="33">
        <v>56522</v>
      </c>
      <c r="B512" s="14">
        <f>36.2616 * CHOOSE(CONTROL!$C$15, $E$9, 100%, $G$9) + CHOOSE(CONTROL!$C$38, 0.0278, 0)</f>
        <v>36.289400000000001</v>
      </c>
      <c r="C512" s="14">
        <f>33.3767 * CHOOSE(CONTROL!$C$15, $E$9, 100%, $G$9) + CHOOSE(CONTROL!$C$38, 0.0369, 0)</f>
        <v>33.413600000000002</v>
      </c>
      <c r="D512" s="14">
        <f>33.3689 * CHOOSE(CONTROL!$C$15, $E$9, 100%, $G$9) + CHOOSE(CONTROL!$C$38, 0.0369, 0)</f>
        <v>33.405799999999999</v>
      </c>
      <c r="E512" s="46">
        <f>36.1053 * CHOOSE(CONTROL!$C$15, $E$9, 100%, $G$9) + CHOOSE(CONTROL!$C$38, 0.0369, 0)</f>
        <v>36.142200000000003</v>
      </c>
      <c r="F512" s="45">
        <f>36.1053 * CHOOSE(CONTROL!$C$15, $E$9, 100%, $G$9) + CHOOSE(CONTROL!$C$38, 0.0278, 0)</f>
        <v>36.133099999999999</v>
      </c>
      <c r="G512" s="14">
        <f>33.3751 * CHOOSE(CONTROL!$C$15, $E$9, 100%, $G$9) + CHOOSE(CONTROL!$C$38, 0.0369, 0)</f>
        <v>33.412000000000006</v>
      </c>
      <c r="H512" s="14">
        <f>33.3751 * CHOOSE(CONTROL!$C$15, $E$9, 100%, $G$9) + CHOOSE(CONTROL!$C$38, 0.0369, 0)</f>
        <v>33.412000000000006</v>
      </c>
      <c r="I512" s="14">
        <f>33.3767 * CHOOSE(CONTROL!$C$15, $E$9, 100%, $G$9) + CHOOSE(CONTROL!$C$38, 0.0369, 0)</f>
        <v>33.413600000000002</v>
      </c>
      <c r="J512" s="44">
        <f>271.0593</f>
        <v>271.05930000000001</v>
      </c>
    </row>
    <row r="513" spans="1:10" ht="15.75" x14ac:dyDescent="0.25">
      <c r="A513" s="33">
        <v>56553</v>
      </c>
      <c r="B513" s="14">
        <f>36.4934 * CHOOSE(CONTROL!$C$15, $E$9, 100%, $G$9) + CHOOSE(CONTROL!$C$38, 0.0256, 0)</f>
        <v>36.518999999999998</v>
      </c>
      <c r="C513" s="14">
        <f>33.6085 * CHOOSE(CONTROL!$C$15, $E$9, 100%, $G$9) + CHOOSE(CONTROL!$C$38, 0.0347, 0)</f>
        <v>33.6432</v>
      </c>
      <c r="D513" s="14">
        <f>33.6007 * CHOOSE(CONTROL!$C$15, $E$9, 100%, $G$9) + CHOOSE(CONTROL!$C$38, 0.0347, 0)</f>
        <v>33.635400000000004</v>
      </c>
      <c r="E513" s="46">
        <f>36.3371 * CHOOSE(CONTROL!$C$15, $E$9, 100%, $G$9) + CHOOSE(CONTROL!$C$38, 0.0347, 0)</f>
        <v>36.3718</v>
      </c>
      <c r="F513" s="45">
        <f>36.3371 * CHOOSE(CONTROL!$C$15, $E$9, 100%, $G$9) + CHOOSE(CONTROL!$C$38, 0.0256, 0)</f>
        <v>36.362699999999997</v>
      </c>
      <c r="G513" s="14">
        <f>33.6069 * CHOOSE(CONTROL!$C$15, $E$9, 100%, $G$9) + CHOOSE(CONTROL!$C$38, 0.0347, 0)</f>
        <v>33.641600000000004</v>
      </c>
      <c r="H513" s="14">
        <f>33.6069 * CHOOSE(CONTROL!$C$15, $E$9, 100%, $G$9) + CHOOSE(CONTROL!$C$38, 0.0347, 0)</f>
        <v>33.641600000000004</v>
      </c>
      <c r="I513" s="14">
        <f>33.6085 * CHOOSE(CONTROL!$C$15, $E$9, 100%, $G$9) + CHOOSE(CONTROL!$C$38, 0.0347, 0)</f>
        <v>33.6432</v>
      </c>
      <c r="J513" s="44">
        <f>261.6858</f>
        <v>261.68579999999997</v>
      </c>
    </row>
    <row r="514" spans="1:10" ht="15.75" x14ac:dyDescent="0.25">
      <c r="A514" s="33">
        <v>56583</v>
      </c>
      <c r="B514" s="14">
        <f>36.6868 * CHOOSE(CONTROL!$C$15, $E$9, 100%, $G$9) + CHOOSE(CONTROL!$C$38, 0.0256, 0)</f>
        <v>36.712399999999995</v>
      </c>
      <c r="C514" s="14">
        <f>33.8019 * CHOOSE(CONTROL!$C$15, $E$9, 100%, $G$9) + CHOOSE(CONTROL!$C$38, 0.0347, 0)</f>
        <v>33.836600000000004</v>
      </c>
      <c r="D514" s="14">
        <f>33.7941 * CHOOSE(CONTROL!$C$15, $E$9, 100%, $G$9) + CHOOSE(CONTROL!$C$38, 0.0347, 0)</f>
        <v>33.828800000000001</v>
      </c>
      <c r="E514" s="46">
        <f>36.5306 * CHOOSE(CONTROL!$C$15, $E$9, 100%, $G$9) + CHOOSE(CONTROL!$C$38, 0.0347, 0)</f>
        <v>36.565300000000001</v>
      </c>
      <c r="F514" s="45">
        <f>36.5306 * CHOOSE(CONTROL!$C$15, $E$9, 100%, $G$9) + CHOOSE(CONTROL!$C$38, 0.0256, 0)</f>
        <v>36.556199999999997</v>
      </c>
      <c r="G514" s="14">
        <f>33.8004 * CHOOSE(CONTROL!$C$15, $E$9, 100%, $G$9) + CHOOSE(CONTROL!$C$38, 0.0347, 0)</f>
        <v>33.835100000000004</v>
      </c>
      <c r="H514" s="14">
        <f>33.8004 * CHOOSE(CONTROL!$C$15, $E$9, 100%, $G$9) + CHOOSE(CONTROL!$C$38, 0.0347, 0)</f>
        <v>33.835100000000004</v>
      </c>
      <c r="I514" s="14">
        <f>33.8019 * CHOOSE(CONTROL!$C$15, $E$9, 100%, $G$9) + CHOOSE(CONTROL!$C$38, 0.0347, 0)</f>
        <v>33.836600000000004</v>
      </c>
      <c r="J514" s="44">
        <f>259.8212</f>
        <v>259.82119999999998</v>
      </c>
    </row>
    <row r="515" spans="1:10" ht="15.75" x14ac:dyDescent="0.25">
      <c r="A515" s="33">
        <v>56614</v>
      </c>
      <c r="B515" s="14">
        <f>37.2829 * CHOOSE(CONTROL!$C$15, $E$9, 100%, $G$9) + CHOOSE(CONTROL!$C$38, 0.0256, 0)</f>
        <v>37.308499999999995</v>
      </c>
      <c r="C515" s="14">
        <f>34.398 * CHOOSE(CONTROL!$C$15, $E$9, 100%, $G$9) + CHOOSE(CONTROL!$C$38, 0.0347, 0)</f>
        <v>34.432700000000004</v>
      </c>
      <c r="D515" s="14">
        <f>34.3902 * CHOOSE(CONTROL!$C$15, $E$9, 100%, $G$9) + CHOOSE(CONTROL!$C$38, 0.0347, 0)</f>
        <v>34.424900000000001</v>
      </c>
      <c r="E515" s="46">
        <f>37.1266 * CHOOSE(CONTROL!$C$15, $E$9, 100%, $G$9) + CHOOSE(CONTROL!$C$38, 0.0347, 0)</f>
        <v>37.161300000000004</v>
      </c>
      <c r="F515" s="45">
        <f>37.1266 * CHOOSE(CONTROL!$C$15, $E$9, 100%, $G$9) + CHOOSE(CONTROL!$C$38, 0.0256, 0)</f>
        <v>37.152200000000001</v>
      </c>
      <c r="G515" s="14">
        <f>34.3964 * CHOOSE(CONTROL!$C$15, $E$9, 100%, $G$9) + CHOOSE(CONTROL!$C$38, 0.0347, 0)</f>
        <v>34.431100000000001</v>
      </c>
      <c r="H515" s="14">
        <f>34.3964 * CHOOSE(CONTROL!$C$15, $E$9, 100%, $G$9) + CHOOSE(CONTROL!$C$38, 0.0347, 0)</f>
        <v>34.431100000000001</v>
      </c>
      <c r="I515" s="14">
        <f>34.398 * CHOOSE(CONTROL!$C$15, $E$9, 100%, $G$9) + CHOOSE(CONTROL!$C$38, 0.0347, 0)</f>
        <v>34.432700000000004</v>
      </c>
      <c r="J515" s="44">
        <f>252.111</f>
        <v>252.11099999999999</v>
      </c>
    </row>
    <row r="516" spans="1:10" ht="15.75" x14ac:dyDescent="0.25">
      <c r="A516" s="32">
        <v>56645</v>
      </c>
      <c r="B516" s="14">
        <f>38.3455 * CHOOSE(CONTROL!$C$15, $E$9, 100%, $G$9) + CHOOSE(CONTROL!$C$38, 0.0256, 0)</f>
        <v>38.371099999999998</v>
      </c>
      <c r="C516" s="14">
        <f>35.4159 * CHOOSE(CONTROL!$C$15, $E$9, 100%, $G$9) + CHOOSE(CONTROL!$C$38, 0.0347, 0)</f>
        <v>35.450600000000001</v>
      </c>
      <c r="D516" s="14">
        <f>35.4081 * CHOOSE(CONTROL!$C$15, $E$9, 100%, $G$9) + CHOOSE(CONTROL!$C$38, 0.0347, 0)</f>
        <v>35.442799999999998</v>
      </c>
      <c r="E516" s="46">
        <f>38.1893 * CHOOSE(CONTROL!$C$15, $E$9, 100%, $G$9) + CHOOSE(CONTROL!$C$38, 0.0347, 0)</f>
        <v>38.224000000000004</v>
      </c>
      <c r="F516" s="45">
        <f>38.1893 * CHOOSE(CONTROL!$C$15, $E$9, 100%, $G$9) + CHOOSE(CONTROL!$C$38, 0.0256, 0)</f>
        <v>38.2149</v>
      </c>
      <c r="G516" s="14">
        <f>35.4144 * CHOOSE(CONTROL!$C$15, $E$9, 100%, $G$9) + CHOOSE(CONTROL!$C$38, 0.0347, 0)</f>
        <v>35.449100000000001</v>
      </c>
      <c r="H516" s="14">
        <f>35.4144 * CHOOSE(CONTROL!$C$15, $E$9, 100%, $G$9) + CHOOSE(CONTROL!$C$38, 0.0347, 0)</f>
        <v>35.449100000000001</v>
      </c>
      <c r="I516" s="14">
        <f>35.4159 * CHOOSE(CONTROL!$C$15, $E$9, 100%, $G$9) + CHOOSE(CONTROL!$C$38, 0.0347, 0)</f>
        <v>35.450600000000001</v>
      </c>
      <c r="J516" s="44">
        <f>251.6295</f>
        <v>251.62950000000001</v>
      </c>
    </row>
    <row r="517" spans="1:10" ht="15.75" x14ac:dyDescent="0.25">
      <c r="A517" s="32">
        <v>56673</v>
      </c>
      <c r="B517" s="14">
        <f>38.5663 * CHOOSE(CONTROL!$C$15, $E$9, 100%, $G$9) + CHOOSE(CONTROL!$C$38, 0.0256, 0)</f>
        <v>38.591899999999995</v>
      </c>
      <c r="C517" s="14">
        <f>35.6367 * CHOOSE(CONTROL!$C$15, $E$9, 100%, $G$9) + CHOOSE(CONTROL!$C$38, 0.0347, 0)</f>
        <v>35.671399999999998</v>
      </c>
      <c r="D517" s="14">
        <f>35.6289 * CHOOSE(CONTROL!$C$15, $E$9, 100%, $G$9) + CHOOSE(CONTROL!$C$38, 0.0347, 0)</f>
        <v>35.663600000000002</v>
      </c>
      <c r="E517" s="46">
        <f>38.4101 * CHOOSE(CONTROL!$C$15, $E$9, 100%, $G$9) + CHOOSE(CONTROL!$C$38, 0.0347, 0)</f>
        <v>38.444800000000001</v>
      </c>
      <c r="F517" s="45">
        <f>38.4101 * CHOOSE(CONTROL!$C$15, $E$9, 100%, $G$9) + CHOOSE(CONTROL!$C$38, 0.0256, 0)</f>
        <v>38.435699999999997</v>
      </c>
      <c r="G517" s="14">
        <f>35.6351 * CHOOSE(CONTROL!$C$15, $E$9, 100%, $G$9) + CHOOSE(CONTROL!$C$38, 0.0347, 0)</f>
        <v>35.669800000000002</v>
      </c>
      <c r="H517" s="14">
        <f>35.6351 * CHOOSE(CONTROL!$C$15, $E$9, 100%, $G$9) + CHOOSE(CONTROL!$C$38, 0.0347, 0)</f>
        <v>35.669800000000002</v>
      </c>
      <c r="I517" s="14">
        <f>35.6367 * CHOOSE(CONTROL!$C$15, $E$9, 100%, $G$9) + CHOOSE(CONTROL!$C$38, 0.0347, 0)</f>
        <v>35.671399999999998</v>
      </c>
      <c r="J517" s="44">
        <f>250.9301</f>
        <v>250.93010000000001</v>
      </c>
    </row>
    <row r="518" spans="1:10" ht="15.75" x14ac:dyDescent="0.25">
      <c r="A518" s="32">
        <v>56704</v>
      </c>
      <c r="B518" s="14">
        <f>38.0553 * CHOOSE(CONTROL!$C$15, $E$9, 100%, $G$9) + CHOOSE(CONTROL!$C$38, 0.0256, 0)</f>
        <v>38.0809</v>
      </c>
      <c r="C518" s="14">
        <f>35.1256 * CHOOSE(CONTROL!$C$15, $E$9, 100%, $G$9) + CHOOSE(CONTROL!$C$38, 0.0347, 0)</f>
        <v>35.160299999999999</v>
      </c>
      <c r="D518" s="14">
        <f>35.1178 * CHOOSE(CONTROL!$C$15, $E$9, 100%, $G$9) + CHOOSE(CONTROL!$C$38, 0.0347, 0)</f>
        <v>35.152500000000003</v>
      </c>
      <c r="E518" s="46">
        <f>37.899 * CHOOSE(CONTROL!$C$15, $E$9, 100%, $G$9) + CHOOSE(CONTROL!$C$38, 0.0347, 0)</f>
        <v>37.933700000000002</v>
      </c>
      <c r="F518" s="45">
        <f>37.899 * CHOOSE(CONTROL!$C$15, $E$9, 100%, $G$9) + CHOOSE(CONTROL!$C$38, 0.0256, 0)</f>
        <v>37.924599999999998</v>
      </c>
      <c r="G518" s="14">
        <f>35.1241 * CHOOSE(CONTROL!$C$15, $E$9, 100%, $G$9) + CHOOSE(CONTROL!$C$38, 0.0347, 0)</f>
        <v>35.158799999999999</v>
      </c>
      <c r="H518" s="14">
        <f>35.1241 * CHOOSE(CONTROL!$C$15, $E$9, 100%, $G$9) + CHOOSE(CONTROL!$C$38, 0.0347, 0)</f>
        <v>35.158799999999999</v>
      </c>
      <c r="I518" s="14">
        <f>35.1256 * CHOOSE(CONTROL!$C$15, $E$9, 100%, $G$9) + CHOOSE(CONTROL!$C$38, 0.0347, 0)</f>
        <v>35.160299999999999</v>
      </c>
      <c r="J518" s="44">
        <f>264.1555</f>
        <v>264.15550000000002</v>
      </c>
    </row>
    <row r="519" spans="1:10" ht="15.75" x14ac:dyDescent="0.25">
      <c r="A519" s="32">
        <v>56734</v>
      </c>
      <c r="B519" s="14">
        <f>37.5601 * CHOOSE(CONTROL!$C$15, $E$9, 100%, $G$9) + CHOOSE(CONTROL!$C$38, 0.0256, 0)</f>
        <v>37.585699999999996</v>
      </c>
      <c r="C519" s="14">
        <f>34.6305 * CHOOSE(CONTROL!$C$15, $E$9, 100%, $G$9) + CHOOSE(CONTROL!$C$38, 0.0347, 0)</f>
        <v>34.665199999999999</v>
      </c>
      <c r="D519" s="14">
        <f>34.6227 * CHOOSE(CONTROL!$C$15, $E$9, 100%, $G$9) + CHOOSE(CONTROL!$C$38, 0.0347, 0)</f>
        <v>34.657400000000003</v>
      </c>
      <c r="E519" s="46">
        <f>37.4038 * CHOOSE(CONTROL!$C$15, $E$9, 100%, $G$9) + CHOOSE(CONTROL!$C$38, 0.0347, 0)</f>
        <v>37.438499999999998</v>
      </c>
      <c r="F519" s="45">
        <f>37.4038 * CHOOSE(CONTROL!$C$15, $E$9, 100%, $G$9) + CHOOSE(CONTROL!$C$38, 0.0256, 0)</f>
        <v>37.429399999999994</v>
      </c>
      <c r="G519" s="14">
        <f>34.6289 * CHOOSE(CONTROL!$C$15, $E$9, 100%, $G$9) + CHOOSE(CONTROL!$C$38, 0.0347, 0)</f>
        <v>34.663600000000002</v>
      </c>
      <c r="H519" s="14">
        <f>34.6289 * CHOOSE(CONTROL!$C$15, $E$9, 100%, $G$9) + CHOOSE(CONTROL!$C$38, 0.0347, 0)</f>
        <v>34.663600000000002</v>
      </c>
      <c r="I519" s="14">
        <f>34.6305 * CHOOSE(CONTROL!$C$15, $E$9, 100%, $G$9) + CHOOSE(CONTROL!$C$38, 0.0347, 0)</f>
        <v>34.665199999999999</v>
      </c>
      <c r="J519" s="44">
        <f>281.3058</f>
        <v>281.30579999999998</v>
      </c>
    </row>
    <row r="520" spans="1:10" ht="15.75" x14ac:dyDescent="0.25">
      <c r="A520" s="32">
        <v>56765</v>
      </c>
      <c r="B520" s="14">
        <f>37.044 * CHOOSE(CONTROL!$C$15, $E$9, 100%, $G$9) + CHOOSE(CONTROL!$C$38, 0.0278, 0)</f>
        <v>37.071799999999996</v>
      </c>
      <c r="C520" s="14">
        <f>34.1144 * CHOOSE(CONTROL!$C$15, $E$9, 100%, $G$9) + CHOOSE(CONTROL!$C$38, 0.0369, 0)</f>
        <v>34.151300000000006</v>
      </c>
      <c r="D520" s="14">
        <f>34.1065 * CHOOSE(CONTROL!$C$15, $E$9, 100%, $G$9) + CHOOSE(CONTROL!$C$38, 0.0369, 0)</f>
        <v>34.1434</v>
      </c>
      <c r="E520" s="46">
        <f>36.8877 * CHOOSE(CONTROL!$C$15, $E$9, 100%, $G$9) + CHOOSE(CONTROL!$C$38, 0.0369, 0)</f>
        <v>36.924600000000005</v>
      </c>
      <c r="F520" s="45">
        <f>36.8877 * CHOOSE(CONTROL!$C$15, $E$9, 100%, $G$9) + CHOOSE(CONTROL!$C$38, 0.0278, 0)</f>
        <v>36.915500000000002</v>
      </c>
      <c r="G520" s="14">
        <f>34.1128 * CHOOSE(CONTROL!$C$15, $E$9, 100%, $G$9) + CHOOSE(CONTROL!$C$38, 0.0369, 0)</f>
        <v>34.149700000000003</v>
      </c>
      <c r="H520" s="14">
        <f>34.1128 * CHOOSE(CONTROL!$C$15, $E$9, 100%, $G$9) + CHOOSE(CONTROL!$C$38, 0.0369, 0)</f>
        <v>34.149700000000003</v>
      </c>
      <c r="I520" s="14">
        <f>34.1144 * CHOOSE(CONTROL!$C$15, $E$9, 100%, $G$9) + CHOOSE(CONTROL!$C$38, 0.0369, 0)</f>
        <v>34.151300000000006</v>
      </c>
      <c r="J520" s="44">
        <f>290.7459</f>
        <v>290.74590000000001</v>
      </c>
    </row>
    <row r="521" spans="1:10" ht="15.75" x14ac:dyDescent="0.25">
      <c r="A521" s="32">
        <v>56795</v>
      </c>
      <c r="B521" s="14">
        <f>36.6821 * CHOOSE(CONTROL!$C$15, $E$9, 100%, $G$9) + CHOOSE(CONTROL!$C$38, 0.0278, 0)</f>
        <v>36.709899999999998</v>
      </c>
      <c r="C521" s="14">
        <f>33.7525 * CHOOSE(CONTROL!$C$15, $E$9, 100%, $G$9) + CHOOSE(CONTROL!$C$38, 0.0369, 0)</f>
        <v>33.789400000000001</v>
      </c>
      <c r="D521" s="14">
        <f>33.7447 * CHOOSE(CONTROL!$C$15, $E$9, 100%, $G$9) + CHOOSE(CONTROL!$C$38, 0.0369, 0)</f>
        <v>33.781600000000005</v>
      </c>
      <c r="E521" s="46">
        <f>36.5259 * CHOOSE(CONTROL!$C$15, $E$9, 100%, $G$9) + CHOOSE(CONTROL!$C$38, 0.0369, 0)</f>
        <v>36.562800000000003</v>
      </c>
      <c r="F521" s="45">
        <f>36.5259 * CHOOSE(CONTROL!$C$15, $E$9, 100%, $G$9) + CHOOSE(CONTROL!$C$38, 0.0278, 0)</f>
        <v>36.553699999999999</v>
      </c>
      <c r="G521" s="14">
        <f>33.751 * CHOOSE(CONTROL!$C$15, $E$9, 100%, $G$9) + CHOOSE(CONTROL!$C$38, 0.0369, 0)</f>
        <v>33.7879</v>
      </c>
      <c r="H521" s="14">
        <f>33.751 * CHOOSE(CONTROL!$C$15, $E$9, 100%, $G$9) + CHOOSE(CONTROL!$C$38, 0.0369, 0)</f>
        <v>33.7879</v>
      </c>
      <c r="I521" s="14">
        <f>33.7525 * CHOOSE(CONTROL!$C$15, $E$9, 100%, $G$9) + CHOOSE(CONTROL!$C$38, 0.0369, 0)</f>
        <v>33.789400000000001</v>
      </c>
      <c r="J521" s="44">
        <f>294.9352</f>
        <v>294.93520000000001</v>
      </c>
    </row>
    <row r="522" spans="1:10" ht="15.75" x14ac:dyDescent="0.25">
      <c r="A522" s="32">
        <v>56826</v>
      </c>
      <c r="B522" s="14">
        <f>36.4757 * CHOOSE(CONTROL!$C$15, $E$9, 100%, $G$9) + CHOOSE(CONTROL!$C$38, 0.0278, 0)</f>
        <v>36.503500000000003</v>
      </c>
      <c r="C522" s="14">
        <f>33.546 * CHOOSE(CONTROL!$C$15, $E$9, 100%, $G$9) + CHOOSE(CONTROL!$C$38, 0.0369, 0)</f>
        <v>33.582900000000002</v>
      </c>
      <c r="D522" s="14">
        <f>33.5382 * CHOOSE(CONTROL!$C$15, $E$9, 100%, $G$9) + CHOOSE(CONTROL!$C$38, 0.0369, 0)</f>
        <v>33.575100000000006</v>
      </c>
      <c r="E522" s="46">
        <f>36.3194 * CHOOSE(CONTROL!$C$15, $E$9, 100%, $G$9) + CHOOSE(CONTROL!$C$38, 0.0369, 0)</f>
        <v>36.356300000000005</v>
      </c>
      <c r="F522" s="45">
        <f>36.3194 * CHOOSE(CONTROL!$C$15, $E$9, 100%, $G$9) + CHOOSE(CONTROL!$C$38, 0.0278, 0)</f>
        <v>36.347200000000001</v>
      </c>
      <c r="G522" s="14">
        <f>33.5445 * CHOOSE(CONTROL!$C$15, $E$9, 100%, $G$9) + CHOOSE(CONTROL!$C$38, 0.0369, 0)</f>
        <v>33.581400000000002</v>
      </c>
      <c r="H522" s="14">
        <f>33.5445 * CHOOSE(CONTROL!$C$15, $E$9, 100%, $G$9) + CHOOSE(CONTROL!$C$38, 0.0369, 0)</f>
        <v>33.581400000000002</v>
      </c>
      <c r="I522" s="14">
        <f>33.546 * CHOOSE(CONTROL!$C$15, $E$9, 100%, $G$9) + CHOOSE(CONTROL!$C$38, 0.0369, 0)</f>
        <v>33.582900000000002</v>
      </c>
      <c r="J522" s="44">
        <f>293.5559</f>
        <v>293.55590000000001</v>
      </c>
    </row>
    <row r="523" spans="1:10" ht="15.75" x14ac:dyDescent="0.25">
      <c r="A523" s="32">
        <v>56857</v>
      </c>
      <c r="B523" s="14">
        <f>36.5776 * CHOOSE(CONTROL!$C$15, $E$9, 100%, $G$9) + CHOOSE(CONTROL!$C$38, 0.0278, 0)</f>
        <v>36.605399999999996</v>
      </c>
      <c r="C523" s="14">
        <f>33.6479 * CHOOSE(CONTROL!$C$15, $E$9, 100%, $G$9) + CHOOSE(CONTROL!$C$38, 0.0369, 0)</f>
        <v>33.684800000000003</v>
      </c>
      <c r="D523" s="14">
        <f>33.6401 * CHOOSE(CONTROL!$C$15, $E$9, 100%, $G$9) + CHOOSE(CONTROL!$C$38, 0.0369, 0)</f>
        <v>33.677</v>
      </c>
      <c r="E523" s="46">
        <f>36.4213 * CHOOSE(CONTROL!$C$15, $E$9, 100%, $G$9) + CHOOSE(CONTROL!$C$38, 0.0369, 0)</f>
        <v>36.458200000000005</v>
      </c>
      <c r="F523" s="45">
        <f>36.4213 * CHOOSE(CONTROL!$C$15, $E$9, 100%, $G$9) + CHOOSE(CONTROL!$C$38, 0.0278, 0)</f>
        <v>36.449100000000001</v>
      </c>
      <c r="G523" s="14">
        <f>33.6464 * CHOOSE(CONTROL!$C$15, $E$9, 100%, $G$9) + CHOOSE(CONTROL!$C$38, 0.0369, 0)</f>
        <v>33.683300000000003</v>
      </c>
      <c r="H523" s="14">
        <f>33.6464 * CHOOSE(CONTROL!$C$15, $E$9, 100%, $G$9) + CHOOSE(CONTROL!$C$38, 0.0369, 0)</f>
        <v>33.683300000000003</v>
      </c>
      <c r="I523" s="14">
        <f>33.6479 * CHOOSE(CONTROL!$C$15, $E$9, 100%, $G$9) + CHOOSE(CONTROL!$C$38, 0.0369, 0)</f>
        <v>33.684800000000003</v>
      </c>
      <c r="J523" s="44">
        <f>286.722</f>
        <v>286.72199999999998</v>
      </c>
    </row>
    <row r="524" spans="1:10" ht="15.75" x14ac:dyDescent="0.25">
      <c r="A524" s="32">
        <v>56887</v>
      </c>
      <c r="B524" s="14">
        <f>36.8544 * CHOOSE(CONTROL!$C$15, $E$9, 100%, $G$9) + CHOOSE(CONTROL!$C$38, 0.0278, 0)</f>
        <v>36.882199999999997</v>
      </c>
      <c r="C524" s="14">
        <f>33.9247 * CHOOSE(CONTROL!$C$15, $E$9, 100%, $G$9) + CHOOSE(CONTROL!$C$38, 0.0369, 0)</f>
        <v>33.961600000000004</v>
      </c>
      <c r="D524" s="14">
        <f>33.9169 * CHOOSE(CONTROL!$C$15, $E$9, 100%, $G$9) + CHOOSE(CONTROL!$C$38, 0.0369, 0)</f>
        <v>33.953800000000001</v>
      </c>
      <c r="E524" s="46">
        <f>36.6981 * CHOOSE(CONTROL!$C$15, $E$9, 100%, $G$9) + CHOOSE(CONTROL!$C$38, 0.0369, 0)</f>
        <v>36.734999999999999</v>
      </c>
      <c r="F524" s="45">
        <f>36.6981 * CHOOSE(CONTROL!$C$15, $E$9, 100%, $G$9) + CHOOSE(CONTROL!$C$38, 0.0278, 0)</f>
        <v>36.725899999999996</v>
      </c>
      <c r="G524" s="14">
        <f>33.9232 * CHOOSE(CONTROL!$C$15, $E$9, 100%, $G$9) + CHOOSE(CONTROL!$C$38, 0.0369, 0)</f>
        <v>33.960100000000004</v>
      </c>
      <c r="H524" s="14">
        <f>33.9232 * CHOOSE(CONTROL!$C$15, $E$9, 100%, $G$9) + CHOOSE(CONTROL!$C$38, 0.0369, 0)</f>
        <v>33.960100000000004</v>
      </c>
      <c r="I524" s="14">
        <f>33.9247 * CHOOSE(CONTROL!$C$15, $E$9, 100%, $G$9) + CHOOSE(CONTROL!$C$38, 0.0369, 0)</f>
        <v>33.961600000000004</v>
      </c>
      <c r="J524" s="44">
        <f>277.1919</f>
        <v>277.19189999999998</v>
      </c>
    </row>
    <row r="525" spans="1:10" ht="15.75" x14ac:dyDescent="0.25">
      <c r="A525" s="32">
        <v>56918</v>
      </c>
      <c r="B525" s="14">
        <f>37.0862 * CHOOSE(CONTROL!$C$15, $E$9, 100%, $G$9) + CHOOSE(CONTROL!$C$38, 0.0256, 0)</f>
        <v>37.111799999999995</v>
      </c>
      <c r="C525" s="14">
        <f>34.1566 * CHOOSE(CONTROL!$C$15, $E$9, 100%, $G$9) + CHOOSE(CONTROL!$C$38, 0.0347, 0)</f>
        <v>34.191299999999998</v>
      </c>
      <c r="D525" s="14">
        <f>34.1487 * CHOOSE(CONTROL!$C$15, $E$9, 100%, $G$9) + CHOOSE(CONTROL!$C$38, 0.0347, 0)</f>
        <v>34.183399999999999</v>
      </c>
      <c r="E525" s="46">
        <f>36.9299 * CHOOSE(CONTROL!$C$15, $E$9, 100%, $G$9) + CHOOSE(CONTROL!$C$38, 0.0347, 0)</f>
        <v>36.964600000000004</v>
      </c>
      <c r="F525" s="45">
        <f>36.9299 * CHOOSE(CONTROL!$C$15, $E$9, 100%, $G$9) + CHOOSE(CONTROL!$C$38, 0.0256, 0)</f>
        <v>36.955500000000001</v>
      </c>
      <c r="G525" s="14">
        <f>34.155 * CHOOSE(CONTROL!$C$15, $E$9, 100%, $G$9) + CHOOSE(CONTROL!$C$38, 0.0347, 0)</f>
        <v>34.189700000000002</v>
      </c>
      <c r="H525" s="14">
        <f>34.155 * CHOOSE(CONTROL!$C$15, $E$9, 100%, $G$9) + CHOOSE(CONTROL!$C$38, 0.0347, 0)</f>
        <v>34.189700000000002</v>
      </c>
      <c r="I525" s="14">
        <f>34.1566 * CHOOSE(CONTROL!$C$15, $E$9, 100%, $G$9) + CHOOSE(CONTROL!$C$38, 0.0347, 0)</f>
        <v>34.191299999999998</v>
      </c>
      <c r="J525" s="44">
        <f>267.6063</f>
        <v>267.60629999999998</v>
      </c>
    </row>
    <row r="526" spans="1:10" ht="15.75" x14ac:dyDescent="0.25">
      <c r="A526" s="32">
        <v>56948</v>
      </c>
      <c r="B526" s="14">
        <f>37.2796 * CHOOSE(CONTROL!$C$15, $E$9, 100%, $G$9) + CHOOSE(CONTROL!$C$38, 0.0256, 0)</f>
        <v>37.305199999999999</v>
      </c>
      <c r="C526" s="14">
        <f>34.35 * CHOOSE(CONTROL!$C$15, $E$9, 100%, $G$9) + CHOOSE(CONTROL!$C$38, 0.0347, 0)</f>
        <v>34.384700000000002</v>
      </c>
      <c r="D526" s="14">
        <f>34.3422 * CHOOSE(CONTROL!$C$15, $E$9, 100%, $G$9) + CHOOSE(CONTROL!$C$38, 0.0347, 0)</f>
        <v>34.376899999999999</v>
      </c>
      <c r="E526" s="46">
        <f>37.1234 * CHOOSE(CONTROL!$C$15, $E$9, 100%, $G$9) + CHOOSE(CONTROL!$C$38, 0.0347, 0)</f>
        <v>37.158099999999997</v>
      </c>
      <c r="F526" s="45">
        <f>37.1234 * CHOOSE(CONTROL!$C$15, $E$9, 100%, $G$9) + CHOOSE(CONTROL!$C$38, 0.0256, 0)</f>
        <v>37.148999999999994</v>
      </c>
      <c r="G526" s="14">
        <f>34.3484 * CHOOSE(CONTROL!$C$15, $E$9, 100%, $G$9) + CHOOSE(CONTROL!$C$38, 0.0347, 0)</f>
        <v>34.383099999999999</v>
      </c>
      <c r="H526" s="14">
        <f>34.3484 * CHOOSE(CONTROL!$C$15, $E$9, 100%, $G$9) + CHOOSE(CONTROL!$C$38, 0.0347, 0)</f>
        <v>34.383099999999999</v>
      </c>
      <c r="I526" s="14">
        <f>34.35 * CHOOSE(CONTROL!$C$15, $E$9, 100%, $G$9) + CHOOSE(CONTROL!$C$38, 0.0347, 0)</f>
        <v>34.384700000000002</v>
      </c>
      <c r="J526" s="44">
        <f>265.6995</f>
        <v>265.6995</v>
      </c>
    </row>
    <row r="527" spans="1:10" ht="15.75" x14ac:dyDescent="0.25">
      <c r="A527" s="32">
        <v>56979</v>
      </c>
      <c r="B527" s="14">
        <f>37.8757 * CHOOSE(CONTROL!$C$15, $E$9, 100%, $G$9) + CHOOSE(CONTROL!$C$38, 0.0256, 0)</f>
        <v>37.901299999999999</v>
      </c>
      <c r="C527" s="14">
        <f>34.9461 * CHOOSE(CONTROL!$C$15, $E$9, 100%, $G$9) + CHOOSE(CONTROL!$C$38, 0.0347, 0)</f>
        <v>34.980800000000002</v>
      </c>
      <c r="D527" s="14">
        <f>34.9383 * CHOOSE(CONTROL!$C$15, $E$9, 100%, $G$9) + CHOOSE(CONTROL!$C$38, 0.0347, 0)</f>
        <v>34.972999999999999</v>
      </c>
      <c r="E527" s="46">
        <f>37.7194 * CHOOSE(CONTROL!$C$15, $E$9, 100%, $G$9) + CHOOSE(CONTROL!$C$38, 0.0347, 0)</f>
        <v>37.754100000000001</v>
      </c>
      <c r="F527" s="45">
        <f>37.7194 * CHOOSE(CONTROL!$C$15, $E$9, 100%, $G$9) + CHOOSE(CONTROL!$C$38, 0.0256, 0)</f>
        <v>37.744999999999997</v>
      </c>
      <c r="G527" s="14">
        <f>34.9445 * CHOOSE(CONTROL!$C$15, $E$9, 100%, $G$9) + CHOOSE(CONTROL!$C$38, 0.0347, 0)</f>
        <v>34.979199999999999</v>
      </c>
      <c r="H527" s="14">
        <f>34.9445 * CHOOSE(CONTROL!$C$15, $E$9, 100%, $G$9) + CHOOSE(CONTROL!$C$38, 0.0347, 0)</f>
        <v>34.979199999999999</v>
      </c>
      <c r="I527" s="14">
        <f>34.9461 * CHOOSE(CONTROL!$C$15, $E$9, 100%, $G$9) + CHOOSE(CONTROL!$C$38, 0.0347, 0)</f>
        <v>34.980800000000002</v>
      </c>
      <c r="J527" s="44">
        <f>257.8149</f>
        <v>257.81490000000002</v>
      </c>
    </row>
    <row r="528" spans="1:10" ht="15.75" x14ac:dyDescent="0.25">
      <c r="A528" s="32">
        <v>57010</v>
      </c>
      <c r="B528" s="14">
        <f>38.9481 * CHOOSE(CONTROL!$C$15, $E$9, 100%, $G$9) + CHOOSE(CONTROL!$C$38, 0.0256, 0)</f>
        <v>38.973699999999994</v>
      </c>
      <c r="C528" s="14">
        <f>35.973 * CHOOSE(CONTROL!$C$15, $E$9, 100%, $G$9) + CHOOSE(CONTROL!$C$38, 0.0347, 0)</f>
        <v>36.0077</v>
      </c>
      <c r="D528" s="14">
        <f>35.9652 * CHOOSE(CONTROL!$C$15, $E$9, 100%, $G$9) + CHOOSE(CONTROL!$C$38, 0.0347, 0)</f>
        <v>35.999900000000004</v>
      </c>
      <c r="E528" s="46">
        <f>38.7918 * CHOOSE(CONTROL!$C$15, $E$9, 100%, $G$9) + CHOOSE(CONTROL!$C$38, 0.0347, 0)</f>
        <v>38.826500000000003</v>
      </c>
      <c r="F528" s="45">
        <f>38.7918 * CHOOSE(CONTROL!$C$15, $E$9, 100%, $G$9) + CHOOSE(CONTROL!$C$38, 0.0256, 0)</f>
        <v>38.817399999999999</v>
      </c>
      <c r="G528" s="14">
        <f>35.9714 * CHOOSE(CONTROL!$C$15, $E$9, 100%, $G$9) + CHOOSE(CONTROL!$C$38, 0.0347, 0)</f>
        <v>36.006100000000004</v>
      </c>
      <c r="H528" s="14">
        <f>35.9714 * CHOOSE(CONTROL!$C$15, $E$9, 100%, $G$9) + CHOOSE(CONTROL!$C$38, 0.0347, 0)</f>
        <v>36.006100000000004</v>
      </c>
      <c r="I528" s="14">
        <f>35.973 * CHOOSE(CONTROL!$C$15, $E$9, 100%, $G$9) + CHOOSE(CONTROL!$C$38, 0.0347, 0)</f>
        <v>36.0077</v>
      </c>
      <c r="J528" s="44">
        <f>257.3225</f>
        <v>257.32249999999999</v>
      </c>
    </row>
    <row r="529" spans="1:10" ht="15.75" x14ac:dyDescent="0.25">
      <c r="A529" s="32">
        <v>57038</v>
      </c>
      <c r="B529" s="14">
        <f>39.1688 * CHOOSE(CONTROL!$C$15, $E$9, 100%, $G$9) + CHOOSE(CONTROL!$C$38, 0.0256, 0)</f>
        <v>39.194399999999995</v>
      </c>
      <c r="C529" s="14">
        <f>36.1937 * CHOOSE(CONTROL!$C$15, $E$9, 100%, $G$9) + CHOOSE(CONTROL!$C$38, 0.0347, 0)</f>
        <v>36.228400000000001</v>
      </c>
      <c r="D529" s="14">
        <f>36.1859 * CHOOSE(CONTROL!$C$15, $E$9, 100%, $G$9) + CHOOSE(CONTROL!$C$38, 0.0347, 0)</f>
        <v>36.220599999999997</v>
      </c>
      <c r="E529" s="46">
        <f>39.0126 * CHOOSE(CONTROL!$C$15, $E$9, 100%, $G$9) + CHOOSE(CONTROL!$C$38, 0.0347, 0)</f>
        <v>39.0473</v>
      </c>
      <c r="F529" s="45">
        <f>39.0126 * CHOOSE(CONTROL!$C$15, $E$9, 100%, $G$9) + CHOOSE(CONTROL!$C$38, 0.0256, 0)</f>
        <v>39.038199999999996</v>
      </c>
      <c r="G529" s="14">
        <f>36.1922 * CHOOSE(CONTROL!$C$15, $E$9, 100%, $G$9) + CHOOSE(CONTROL!$C$38, 0.0347, 0)</f>
        <v>36.226900000000001</v>
      </c>
      <c r="H529" s="14">
        <f>36.1922 * CHOOSE(CONTROL!$C$15, $E$9, 100%, $G$9) + CHOOSE(CONTROL!$C$38, 0.0347, 0)</f>
        <v>36.226900000000001</v>
      </c>
      <c r="I529" s="14">
        <f>36.1937 * CHOOSE(CONTROL!$C$15, $E$9, 100%, $G$9) + CHOOSE(CONTROL!$C$38, 0.0347, 0)</f>
        <v>36.228400000000001</v>
      </c>
      <c r="J529" s="44">
        <f>256.6072</f>
        <v>256.60719999999998</v>
      </c>
    </row>
    <row r="530" spans="1:10" ht="15.75" x14ac:dyDescent="0.25">
      <c r="A530" s="32">
        <v>57070</v>
      </c>
      <c r="B530" s="14">
        <f>38.6578 * CHOOSE(CONTROL!$C$15, $E$9, 100%, $G$9) + CHOOSE(CONTROL!$C$38, 0.0256, 0)</f>
        <v>38.683399999999999</v>
      </c>
      <c r="C530" s="14">
        <f>35.6827 * CHOOSE(CONTROL!$C$15, $E$9, 100%, $G$9) + CHOOSE(CONTROL!$C$38, 0.0347, 0)</f>
        <v>35.717399999999998</v>
      </c>
      <c r="D530" s="14">
        <f>35.6749 * CHOOSE(CONTROL!$C$15, $E$9, 100%, $G$9) + CHOOSE(CONTROL!$C$38, 0.0347, 0)</f>
        <v>35.709600000000002</v>
      </c>
      <c r="E530" s="46">
        <f>38.5015 * CHOOSE(CONTROL!$C$15, $E$9, 100%, $G$9) + CHOOSE(CONTROL!$C$38, 0.0347, 0)</f>
        <v>38.536200000000001</v>
      </c>
      <c r="F530" s="45">
        <f>38.5015 * CHOOSE(CONTROL!$C$15, $E$9, 100%, $G$9) + CHOOSE(CONTROL!$C$38, 0.0256, 0)</f>
        <v>38.527099999999997</v>
      </c>
      <c r="G530" s="14">
        <f>35.6811 * CHOOSE(CONTROL!$C$15, $E$9, 100%, $G$9) + CHOOSE(CONTROL!$C$38, 0.0347, 0)</f>
        <v>35.715800000000002</v>
      </c>
      <c r="H530" s="14">
        <f>35.6811 * CHOOSE(CONTROL!$C$15, $E$9, 100%, $G$9) + CHOOSE(CONTROL!$C$38, 0.0347, 0)</f>
        <v>35.715800000000002</v>
      </c>
      <c r="I530" s="14">
        <f>35.6827 * CHOOSE(CONTROL!$C$15, $E$9, 100%, $G$9) + CHOOSE(CONTROL!$C$38, 0.0347, 0)</f>
        <v>35.717399999999998</v>
      </c>
      <c r="J530" s="44">
        <f>270.1319</f>
        <v>270.13189999999997</v>
      </c>
    </row>
    <row r="531" spans="1:10" ht="15.75" x14ac:dyDescent="0.25">
      <c r="A531" s="32">
        <v>57100</v>
      </c>
      <c r="B531" s="14">
        <f>38.1626 * CHOOSE(CONTROL!$C$15, $E$9, 100%, $G$9) + CHOOSE(CONTROL!$C$38, 0.0256, 0)</f>
        <v>38.188199999999995</v>
      </c>
      <c r="C531" s="14">
        <f>35.1875 * CHOOSE(CONTROL!$C$15, $E$9, 100%, $G$9) + CHOOSE(CONTROL!$C$38, 0.0347, 0)</f>
        <v>35.222200000000001</v>
      </c>
      <c r="D531" s="14">
        <f>35.1797 * CHOOSE(CONTROL!$C$15, $E$9, 100%, $G$9) + CHOOSE(CONTROL!$C$38, 0.0347, 0)</f>
        <v>35.214399999999998</v>
      </c>
      <c r="E531" s="46">
        <f>38.0064 * CHOOSE(CONTROL!$C$15, $E$9, 100%, $G$9) + CHOOSE(CONTROL!$C$38, 0.0347, 0)</f>
        <v>38.0411</v>
      </c>
      <c r="F531" s="45">
        <f>38.0064 * CHOOSE(CONTROL!$C$15, $E$9, 100%, $G$9) + CHOOSE(CONTROL!$C$38, 0.0256, 0)</f>
        <v>38.031999999999996</v>
      </c>
      <c r="G531" s="14">
        <f>35.186 * CHOOSE(CONTROL!$C$15, $E$9, 100%, $G$9) + CHOOSE(CONTROL!$C$38, 0.0347, 0)</f>
        <v>35.220700000000001</v>
      </c>
      <c r="H531" s="14">
        <f>35.186 * CHOOSE(CONTROL!$C$15, $E$9, 100%, $G$9) + CHOOSE(CONTROL!$C$38, 0.0347, 0)</f>
        <v>35.220700000000001</v>
      </c>
      <c r="I531" s="14">
        <f>35.1875 * CHOOSE(CONTROL!$C$15, $E$9, 100%, $G$9) + CHOOSE(CONTROL!$C$38, 0.0347, 0)</f>
        <v>35.222200000000001</v>
      </c>
      <c r="J531" s="44">
        <f>287.6702</f>
        <v>287.67020000000002</v>
      </c>
    </row>
    <row r="532" spans="1:10" ht="15.75" x14ac:dyDescent="0.25">
      <c r="A532" s="32">
        <v>57131</v>
      </c>
      <c r="B532" s="14">
        <f>37.6465 * CHOOSE(CONTROL!$C$15, $E$9, 100%, $G$9) + CHOOSE(CONTROL!$C$38, 0.0278, 0)</f>
        <v>37.674300000000002</v>
      </c>
      <c r="C532" s="14">
        <f>34.6714 * CHOOSE(CONTROL!$C$15, $E$9, 100%, $G$9) + CHOOSE(CONTROL!$C$38, 0.0369, 0)</f>
        <v>34.708300000000001</v>
      </c>
      <c r="D532" s="14">
        <f>34.6636 * CHOOSE(CONTROL!$C$15, $E$9, 100%, $G$9) + CHOOSE(CONTROL!$C$38, 0.0369, 0)</f>
        <v>34.700500000000005</v>
      </c>
      <c r="E532" s="46">
        <f>37.4903 * CHOOSE(CONTROL!$C$15, $E$9, 100%, $G$9) + CHOOSE(CONTROL!$C$38, 0.0369, 0)</f>
        <v>37.527200000000001</v>
      </c>
      <c r="F532" s="45">
        <f>37.4903 * CHOOSE(CONTROL!$C$15, $E$9, 100%, $G$9) + CHOOSE(CONTROL!$C$38, 0.0278, 0)</f>
        <v>37.518099999999997</v>
      </c>
      <c r="G532" s="14">
        <f>34.6698 * CHOOSE(CONTROL!$C$15, $E$9, 100%, $G$9) + CHOOSE(CONTROL!$C$38, 0.0369, 0)</f>
        <v>34.706700000000005</v>
      </c>
      <c r="H532" s="14">
        <f>34.6698 * CHOOSE(CONTROL!$C$15, $E$9, 100%, $G$9) + CHOOSE(CONTROL!$C$38, 0.0369, 0)</f>
        <v>34.706700000000005</v>
      </c>
      <c r="I532" s="14">
        <f>34.6714 * CHOOSE(CONTROL!$C$15, $E$9, 100%, $G$9) + CHOOSE(CONTROL!$C$38, 0.0369, 0)</f>
        <v>34.708300000000001</v>
      </c>
      <c r="J532" s="44">
        <f>297.3238</f>
        <v>297.32380000000001</v>
      </c>
    </row>
    <row r="533" spans="1:10" ht="15.75" x14ac:dyDescent="0.25">
      <c r="A533" s="32">
        <v>57161</v>
      </c>
      <c r="B533" s="14">
        <f>37.2847 * CHOOSE(CONTROL!$C$15, $E$9, 100%, $G$9) + CHOOSE(CONTROL!$C$38, 0.0278, 0)</f>
        <v>37.3125</v>
      </c>
      <c r="C533" s="14">
        <f>34.3096 * CHOOSE(CONTROL!$C$15, $E$9, 100%, $G$9) + CHOOSE(CONTROL!$C$38, 0.0369, 0)</f>
        <v>34.346500000000006</v>
      </c>
      <c r="D533" s="14">
        <f>34.3018 * CHOOSE(CONTROL!$C$15, $E$9, 100%, $G$9) + CHOOSE(CONTROL!$C$38, 0.0369, 0)</f>
        <v>34.338700000000003</v>
      </c>
      <c r="E533" s="46">
        <f>37.1284 * CHOOSE(CONTROL!$C$15, $E$9, 100%, $G$9) + CHOOSE(CONTROL!$C$38, 0.0369, 0)</f>
        <v>37.165300000000002</v>
      </c>
      <c r="F533" s="45">
        <f>37.1284 * CHOOSE(CONTROL!$C$15, $E$9, 100%, $G$9) + CHOOSE(CONTROL!$C$38, 0.0278, 0)</f>
        <v>37.156199999999998</v>
      </c>
      <c r="G533" s="14">
        <f>34.308 * CHOOSE(CONTROL!$C$15, $E$9, 100%, $G$9) + CHOOSE(CONTROL!$C$38, 0.0369, 0)</f>
        <v>34.344900000000003</v>
      </c>
      <c r="H533" s="14">
        <f>34.308 * CHOOSE(CONTROL!$C$15, $E$9, 100%, $G$9) + CHOOSE(CONTROL!$C$38, 0.0369, 0)</f>
        <v>34.344900000000003</v>
      </c>
      <c r="I533" s="14">
        <f>34.3096 * CHOOSE(CONTROL!$C$15, $E$9, 100%, $G$9) + CHOOSE(CONTROL!$C$38, 0.0369, 0)</f>
        <v>34.346500000000006</v>
      </c>
      <c r="J533" s="44">
        <f>301.608</f>
        <v>301.608</v>
      </c>
    </row>
    <row r="534" spans="1:10" ht="15.75" x14ac:dyDescent="0.25">
      <c r="A534" s="32">
        <v>57192</v>
      </c>
      <c r="B534" s="14">
        <f>37.0782 * CHOOSE(CONTROL!$C$15, $E$9, 100%, $G$9) + CHOOSE(CONTROL!$C$38, 0.0278, 0)</f>
        <v>37.106000000000002</v>
      </c>
      <c r="C534" s="14">
        <f>34.1031 * CHOOSE(CONTROL!$C$15, $E$9, 100%, $G$9) + CHOOSE(CONTROL!$C$38, 0.0369, 0)</f>
        <v>34.14</v>
      </c>
      <c r="D534" s="14">
        <f>34.0953 * CHOOSE(CONTROL!$C$15, $E$9, 100%, $G$9) + CHOOSE(CONTROL!$C$38, 0.0369, 0)</f>
        <v>34.132200000000005</v>
      </c>
      <c r="E534" s="46">
        <f>36.9219 * CHOOSE(CONTROL!$C$15, $E$9, 100%, $G$9) + CHOOSE(CONTROL!$C$38, 0.0369, 0)</f>
        <v>36.958800000000004</v>
      </c>
      <c r="F534" s="45">
        <f>36.9219 * CHOOSE(CONTROL!$C$15, $E$9, 100%, $G$9) + CHOOSE(CONTROL!$C$38, 0.0278, 0)</f>
        <v>36.9497</v>
      </c>
      <c r="G534" s="14">
        <f>34.1015 * CHOOSE(CONTROL!$C$15, $E$9, 100%, $G$9) + CHOOSE(CONTROL!$C$38, 0.0369, 0)</f>
        <v>34.138400000000004</v>
      </c>
      <c r="H534" s="14">
        <f>34.1015 * CHOOSE(CONTROL!$C$15, $E$9, 100%, $G$9) + CHOOSE(CONTROL!$C$38, 0.0369, 0)</f>
        <v>34.138400000000004</v>
      </c>
      <c r="I534" s="14">
        <f>34.1031 * CHOOSE(CONTROL!$C$15, $E$9, 100%, $G$9) + CHOOSE(CONTROL!$C$38, 0.0369, 0)</f>
        <v>34.14</v>
      </c>
      <c r="J534" s="44">
        <f>300.1974</f>
        <v>300.19740000000002</v>
      </c>
    </row>
    <row r="535" spans="1:10" ht="15.75" x14ac:dyDescent="0.25">
      <c r="A535" s="32">
        <v>57223</v>
      </c>
      <c r="B535" s="14">
        <f>37.1801 * CHOOSE(CONTROL!$C$15, $E$9, 100%, $G$9) + CHOOSE(CONTROL!$C$38, 0.0278, 0)</f>
        <v>37.207900000000002</v>
      </c>
      <c r="C535" s="14">
        <f>34.205 * CHOOSE(CONTROL!$C$15, $E$9, 100%, $G$9) + CHOOSE(CONTROL!$C$38, 0.0369, 0)</f>
        <v>34.241900000000001</v>
      </c>
      <c r="D535" s="14">
        <f>34.1972 * CHOOSE(CONTROL!$C$15, $E$9, 100%, $G$9) + CHOOSE(CONTROL!$C$38, 0.0369, 0)</f>
        <v>34.234100000000005</v>
      </c>
      <c r="E535" s="46">
        <f>37.0238 * CHOOSE(CONTROL!$C$15, $E$9, 100%, $G$9) + CHOOSE(CONTROL!$C$38, 0.0369, 0)</f>
        <v>37.060700000000004</v>
      </c>
      <c r="F535" s="45">
        <f>37.0238 * CHOOSE(CONTROL!$C$15, $E$9, 100%, $G$9) + CHOOSE(CONTROL!$C$38, 0.0278, 0)</f>
        <v>37.051600000000001</v>
      </c>
      <c r="G535" s="14">
        <f>34.2034 * CHOOSE(CONTROL!$C$15, $E$9, 100%, $G$9) + CHOOSE(CONTROL!$C$38, 0.0369, 0)</f>
        <v>34.240300000000005</v>
      </c>
      <c r="H535" s="14">
        <f>34.2034 * CHOOSE(CONTROL!$C$15, $E$9, 100%, $G$9) + CHOOSE(CONTROL!$C$38, 0.0369, 0)</f>
        <v>34.240300000000005</v>
      </c>
      <c r="I535" s="14">
        <f>34.205 * CHOOSE(CONTROL!$C$15, $E$9, 100%, $G$9) + CHOOSE(CONTROL!$C$38, 0.0369, 0)</f>
        <v>34.241900000000001</v>
      </c>
      <c r="J535" s="44">
        <f>293.209</f>
        <v>293.209</v>
      </c>
    </row>
    <row r="536" spans="1:10" ht="15.75" x14ac:dyDescent="0.25">
      <c r="A536" s="32">
        <v>57253</v>
      </c>
      <c r="B536" s="14">
        <f>37.4569 * CHOOSE(CONTROL!$C$15, $E$9, 100%, $G$9) + CHOOSE(CONTROL!$C$38, 0.0278, 0)</f>
        <v>37.484699999999997</v>
      </c>
      <c r="C536" s="14">
        <f>34.4818 * CHOOSE(CONTROL!$C$15, $E$9, 100%, $G$9) + CHOOSE(CONTROL!$C$38, 0.0369, 0)</f>
        <v>34.518700000000003</v>
      </c>
      <c r="D536" s="14">
        <f>34.474 * CHOOSE(CONTROL!$C$15, $E$9, 100%, $G$9) + CHOOSE(CONTROL!$C$38, 0.0369, 0)</f>
        <v>34.510899999999999</v>
      </c>
      <c r="E536" s="46">
        <f>37.3006 * CHOOSE(CONTROL!$C$15, $E$9, 100%, $G$9) + CHOOSE(CONTROL!$C$38, 0.0369, 0)</f>
        <v>37.337500000000006</v>
      </c>
      <c r="F536" s="45">
        <f>37.3006 * CHOOSE(CONTROL!$C$15, $E$9, 100%, $G$9) + CHOOSE(CONTROL!$C$38, 0.0278, 0)</f>
        <v>37.328400000000002</v>
      </c>
      <c r="G536" s="14">
        <f>34.4802 * CHOOSE(CONTROL!$C$15, $E$9, 100%, $G$9) + CHOOSE(CONTROL!$C$38, 0.0369, 0)</f>
        <v>34.517100000000006</v>
      </c>
      <c r="H536" s="14">
        <f>34.4802 * CHOOSE(CONTROL!$C$15, $E$9, 100%, $G$9) + CHOOSE(CONTROL!$C$38, 0.0369, 0)</f>
        <v>34.517100000000006</v>
      </c>
      <c r="I536" s="14">
        <f>34.4818 * CHOOSE(CONTROL!$C$15, $E$9, 100%, $G$9) + CHOOSE(CONTROL!$C$38, 0.0369, 0)</f>
        <v>34.518700000000003</v>
      </c>
      <c r="J536" s="44">
        <f>283.4632</f>
        <v>283.46319999999997</v>
      </c>
    </row>
    <row r="537" spans="1:10" ht="15.75" x14ac:dyDescent="0.25">
      <c r="A537" s="32">
        <v>57284</v>
      </c>
      <c r="B537" s="14">
        <f>37.6887 * CHOOSE(CONTROL!$C$15, $E$9, 100%, $G$9) + CHOOSE(CONTROL!$C$38, 0.0256, 0)</f>
        <v>37.714299999999994</v>
      </c>
      <c r="C537" s="14">
        <f>34.7136 * CHOOSE(CONTROL!$C$15, $E$9, 100%, $G$9) + CHOOSE(CONTROL!$C$38, 0.0347, 0)</f>
        <v>34.7483</v>
      </c>
      <c r="D537" s="14">
        <f>34.7058 * CHOOSE(CONTROL!$C$15, $E$9, 100%, $G$9) + CHOOSE(CONTROL!$C$38, 0.0347, 0)</f>
        <v>34.740500000000004</v>
      </c>
      <c r="E537" s="46">
        <f>37.5325 * CHOOSE(CONTROL!$C$15, $E$9, 100%, $G$9) + CHOOSE(CONTROL!$C$38, 0.0347, 0)</f>
        <v>37.5672</v>
      </c>
      <c r="F537" s="45">
        <f>37.5325 * CHOOSE(CONTROL!$C$15, $E$9, 100%, $G$9) + CHOOSE(CONTROL!$C$38, 0.0256, 0)</f>
        <v>37.558099999999996</v>
      </c>
      <c r="G537" s="14">
        <f>34.712 * CHOOSE(CONTROL!$C$15, $E$9, 100%, $G$9) + CHOOSE(CONTROL!$C$38, 0.0347, 0)</f>
        <v>34.746700000000004</v>
      </c>
      <c r="H537" s="14">
        <f>34.712 * CHOOSE(CONTROL!$C$15, $E$9, 100%, $G$9) + CHOOSE(CONTROL!$C$38, 0.0347, 0)</f>
        <v>34.746700000000004</v>
      </c>
      <c r="I537" s="14">
        <f>34.7136 * CHOOSE(CONTROL!$C$15, $E$9, 100%, $G$9) + CHOOSE(CONTROL!$C$38, 0.0347, 0)</f>
        <v>34.7483</v>
      </c>
      <c r="J537" s="44">
        <f>273.6607</f>
        <v>273.66070000000002</v>
      </c>
    </row>
    <row r="538" spans="1:10" ht="15.75" x14ac:dyDescent="0.25">
      <c r="A538" s="32">
        <v>57314</v>
      </c>
      <c r="B538" s="14">
        <f>37.8821 * CHOOSE(CONTROL!$C$15, $E$9, 100%, $G$9) + CHOOSE(CONTROL!$C$38, 0.0256, 0)</f>
        <v>37.907699999999998</v>
      </c>
      <c r="C538" s="14">
        <f>34.907 * CHOOSE(CONTROL!$C$15, $E$9, 100%, $G$9) + CHOOSE(CONTROL!$C$38, 0.0347, 0)</f>
        <v>34.941699999999997</v>
      </c>
      <c r="D538" s="14">
        <f>34.8992 * CHOOSE(CONTROL!$C$15, $E$9, 100%, $G$9) + CHOOSE(CONTROL!$C$38, 0.0347, 0)</f>
        <v>34.933900000000001</v>
      </c>
      <c r="E538" s="46">
        <f>37.7259 * CHOOSE(CONTROL!$C$15, $E$9, 100%, $G$9) + CHOOSE(CONTROL!$C$38, 0.0347, 0)</f>
        <v>37.760600000000004</v>
      </c>
      <c r="F538" s="45">
        <f>37.7259 * CHOOSE(CONTROL!$C$15, $E$9, 100%, $G$9) + CHOOSE(CONTROL!$C$38, 0.0256, 0)</f>
        <v>37.7515</v>
      </c>
      <c r="G538" s="14">
        <f>34.9055 * CHOOSE(CONTROL!$C$15, $E$9, 100%, $G$9) + CHOOSE(CONTROL!$C$38, 0.0347, 0)</f>
        <v>34.940200000000004</v>
      </c>
      <c r="H538" s="14">
        <f>34.9055 * CHOOSE(CONTROL!$C$15, $E$9, 100%, $G$9) + CHOOSE(CONTROL!$C$38, 0.0347, 0)</f>
        <v>34.940200000000004</v>
      </c>
      <c r="I538" s="14">
        <f>34.907 * CHOOSE(CONTROL!$C$15, $E$9, 100%, $G$9) + CHOOSE(CONTROL!$C$38, 0.0347, 0)</f>
        <v>34.941699999999997</v>
      </c>
      <c r="J538" s="44">
        <f>271.7108</f>
        <v>271.71080000000001</v>
      </c>
    </row>
    <row r="539" spans="1:10" ht="15.75" x14ac:dyDescent="0.25">
      <c r="A539" s="32">
        <v>57345</v>
      </c>
      <c r="B539" s="14">
        <f>38.4782 * CHOOSE(CONTROL!$C$15, $E$9, 100%, $G$9) + CHOOSE(CONTROL!$C$38, 0.0256, 0)</f>
        <v>38.503799999999998</v>
      </c>
      <c r="C539" s="14">
        <f>35.5031 * CHOOSE(CONTROL!$C$15, $E$9, 100%, $G$9) + CHOOSE(CONTROL!$C$38, 0.0347, 0)</f>
        <v>35.537800000000004</v>
      </c>
      <c r="D539" s="14">
        <f>35.4953 * CHOOSE(CONTROL!$C$15, $E$9, 100%, $G$9) + CHOOSE(CONTROL!$C$38, 0.0347, 0)</f>
        <v>35.53</v>
      </c>
      <c r="E539" s="46">
        <f>38.322 * CHOOSE(CONTROL!$C$15, $E$9, 100%, $G$9) + CHOOSE(CONTROL!$C$38, 0.0347, 0)</f>
        <v>38.356700000000004</v>
      </c>
      <c r="F539" s="45">
        <f>38.322 * CHOOSE(CONTROL!$C$15, $E$9, 100%, $G$9) + CHOOSE(CONTROL!$C$38, 0.0256, 0)</f>
        <v>38.3476</v>
      </c>
      <c r="G539" s="14">
        <f>35.5016 * CHOOSE(CONTROL!$C$15, $E$9, 100%, $G$9) + CHOOSE(CONTROL!$C$38, 0.0347, 0)</f>
        <v>35.536300000000004</v>
      </c>
      <c r="H539" s="14">
        <f>35.5016 * CHOOSE(CONTROL!$C$15, $E$9, 100%, $G$9) + CHOOSE(CONTROL!$C$38, 0.0347, 0)</f>
        <v>35.536300000000004</v>
      </c>
      <c r="I539" s="14">
        <f>35.5031 * CHOOSE(CONTROL!$C$15, $E$9, 100%, $G$9) + CHOOSE(CONTROL!$C$38, 0.0347, 0)</f>
        <v>35.537800000000004</v>
      </c>
      <c r="J539" s="44">
        <f>263.6478</f>
        <v>263.64780000000002</v>
      </c>
    </row>
    <row r="540" spans="1:10" ht="15.75" x14ac:dyDescent="0.25">
      <c r="A540" s="32">
        <v>57376</v>
      </c>
      <c r="B540" s="14">
        <f>39.5605 * CHOOSE(CONTROL!$C$15, $E$9, 100%, $G$9) + CHOOSE(CONTROL!$C$38, 0.0256, 0)</f>
        <v>39.586099999999995</v>
      </c>
      <c r="C540" s="14">
        <f>36.5391 * CHOOSE(CONTROL!$C$15, $E$9, 100%, $G$9) + CHOOSE(CONTROL!$C$38, 0.0347, 0)</f>
        <v>36.573799999999999</v>
      </c>
      <c r="D540" s="14">
        <f>36.5313 * CHOOSE(CONTROL!$C$15, $E$9, 100%, $G$9) + CHOOSE(CONTROL!$C$38, 0.0347, 0)</f>
        <v>36.566000000000003</v>
      </c>
      <c r="E540" s="46">
        <f>39.4042 * CHOOSE(CONTROL!$C$15, $E$9, 100%, $G$9) + CHOOSE(CONTROL!$C$38, 0.0347, 0)</f>
        <v>39.438900000000004</v>
      </c>
      <c r="F540" s="45">
        <f>39.4042 * CHOOSE(CONTROL!$C$15, $E$9, 100%, $G$9) + CHOOSE(CONTROL!$C$38, 0.0256, 0)</f>
        <v>39.4298</v>
      </c>
      <c r="G540" s="14">
        <f>36.5376 * CHOOSE(CONTROL!$C$15, $E$9, 100%, $G$9) + CHOOSE(CONTROL!$C$38, 0.0347, 0)</f>
        <v>36.572299999999998</v>
      </c>
      <c r="H540" s="14">
        <f>36.5376 * CHOOSE(CONTROL!$C$15, $E$9, 100%, $G$9) + CHOOSE(CONTROL!$C$38, 0.0347, 0)</f>
        <v>36.572299999999998</v>
      </c>
      <c r="I540" s="14">
        <f>36.5391 * CHOOSE(CONTROL!$C$15, $E$9, 100%, $G$9) + CHOOSE(CONTROL!$C$38, 0.0347, 0)</f>
        <v>36.573799999999999</v>
      </c>
      <c r="J540" s="44">
        <f>263.1443</f>
        <v>263.14429999999999</v>
      </c>
    </row>
    <row r="541" spans="1:10" ht="15.75" x14ac:dyDescent="0.25">
      <c r="A541" s="32">
        <v>57404</v>
      </c>
      <c r="B541" s="14">
        <f>39.7812 * CHOOSE(CONTROL!$C$15, $E$9, 100%, $G$9) + CHOOSE(CONTROL!$C$38, 0.0256, 0)</f>
        <v>39.806799999999996</v>
      </c>
      <c r="C541" s="14">
        <f>36.7599 * CHOOSE(CONTROL!$C$15, $E$9, 100%, $G$9) + CHOOSE(CONTROL!$C$38, 0.0347, 0)</f>
        <v>36.794600000000003</v>
      </c>
      <c r="D541" s="14">
        <f>36.7521 * CHOOSE(CONTROL!$C$15, $E$9, 100%, $G$9) + CHOOSE(CONTROL!$C$38, 0.0347, 0)</f>
        <v>36.786799999999999</v>
      </c>
      <c r="E541" s="46">
        <f>39.625 * CHOOSE(CONTROL!$C$15, $E$9, 100%, $G$9) + CHOOSE(CONTROL!$C$38, 0.0347, 0)</f>
        <v>39.659700000000001</v>
      </c>
      <c r="F541" s="45">
        <f>39.625 * CHOOSE(CONTROL!$C$15, $E$9, 100%, $G$9) + CHOOSE(CONTROL!$C$38, 0.0256, 0)</f>
        <v>39.650599999999997</v>
      </c>
      <c r="G541" s="14">
        <f>36.7583 * CHOOSE(CONTROL!$C$15, $E$9, 100%, $G$9) + CHOOSE(CONTROL!$C$38, 0.0347, 0)</f>
        <v>36.792999999999999</v>
      </c>
      <c r="H541" s="14">
        <f>36.7583 * CHOOSE(CONTROL!$C$15, $E$9, 100%, $G$9) + CHOOSE(CONTROL!$C$38, 0.0347, 0)</f>
        <v>36.792999999999999</v>
      </c>
      <c r="I541" s="14">
        <f>36.7599 * CHOOSE(CONTROL!$C$15, $E$9, 100%, $G$9) + CHOOSE(CONTROL!$C$38, 0.0347, 0)</f>
        <v>36.794600000000003</v>
      </c>
      <c r="J541" s="44">
        <f>262.4128</f>
        <v>262.4128</v>
      </c>
    </row>
    <row r="542" spans="1:10" ht="15.75" x14ac:dyDescent="0.25">
      <c r="A542" s="32">
        <v>57435</v>
      </c>
      <c r="B542" s="14">
        <f>39.2702 * CHOOSE(CONTROL!$C$15, $E$9, 100%, $G$9) + CHOOSE(CONTROL!$C$38, 0.0256, 0)</f>
        <v>39.2958</v>
      </c>
      <c r="C542" s="14">
        <f>36.2489 * CHOOSE(CONTROL!$C$15, $E$9, 100%, $G$9) + CHOOSE(CONTROL!$C$38, 0.0347, 0)</f>
        <v>36.2836</v>
      </c>
      <c r="D542" s="14">
        <f>36.2411 * CHOOSE(CONTROL!$C$15, $E$9, 100%, $G$9) + CHOOSE(CONTROL!$C$38, 0.0347, 0)</f>
        <v>36.275800000000004</v>
      </c>
      <c r="E542" s="46">
        <f>39.1139 * CHOOSE(CONTROL!$C$15, $E$9, 100%, $G$9) + CHOOSE(CONTROL!$C$38, 0.0347, 0)</f>
        <v>39.148600000000002</v>
      </c>
      <c r="F542" s="45">
        <f>39.1139 * CHOOSE(CONTROL!$C$15, $E$9, 100%, $G$9) + CHOOSE(CONTROL!$C$38, 0.0256, 0)</f>
        <v>39.139499999999998</v>
      </c>
      <c r="G542" s="14">
        <f>36.2473 * CHOOSE(CONTROL!$C$15, $E$9, 100%, $G$9) + CHOOSE(CONTROL!$C$38, 0.0347, 0)</f>
        <v>36.282000000000004</v>
      </c>
      <c r="H542" s="14">
        <f>36.2473 * CHOOSE(CONTROL!$C$15, $E$9, 100%, $G$9) + CHOOSE(CONTROL!$C$38, 0.0347, 0)</f>
        <v>36.282000000000004</v>
      </c>
      <c r="I542" s="14">
        <f>36.2489 * CHOOSE(CONTROL!$C$15, $E$9, 100%, $G$9) + CHOOSE(CONTROL!$C$38, 0.0347, 0)</f>
        <v>36.2836</v>
      </c>
      <c r="J542" s="44">
        <f>276.2435</f>
        <v>276.24349999999998</v>
      </c>
    </row>
    <row r="543" spans="1:10" ht="15.75" x14ac:dyDescent="0.25">
      <c r="A543" s="32">
        <v>57465</v>
      </c>
      <c r="B543" s="14">
        <f>38.775 * CHOOSE(CONTROL!$C$15, $E$9, 100%, $G$9) + CHOOSE(CONTROL!$C$38, 0.0256, 0)</f>
        <v>38.800599999999996</v>
      </c>
      <c r="C543" s="14">
        <f>35.7537 * CHOOSE(CONTROL!$C$15, $E$9, 100%, $G$9) + CHOOSE(CONTROL!$C$38, 0.0347, 0)</f>
        <v>35.788400000000003</v>
      </c>
      <c r="D543" s="14">
        <f>35.7459 * CHOOSE(CONTROL!$C$15, $E$9, 100%, $G$9) + CHOOSE(CONTROL!$C$38, 0.0347, 0)</f>
        <v>35.7806</v>
      </c>
      <c r="E543" s="46">
        <f>38.6188 * CHOOSE(CONTROL!$C$15, $E$9, 100%, $G$9) + CHOOSE(CONTROL!$C$38, 0.0347, 0)</f>
        <v>38.653500000000001</v>
      </c>
      <c r="F543" s="45">
        <f>38.6188 * CHOOSE(CONTROL!$C$15, $E$9, 100%, $G$9) + CHOOSE(CONTROL!$C$38, 0.0256, 0)</f>
        <v>38.644399999999997</v>
      </c>
      <c r="G543" s="14">
        <f>35.7521 * CHOOSE(CONTROL!$C$15, $E$9, 100%, $G$9) + CHOOSE(CONTROL!$C$38, 0.0347, 0)</f>
        <v>35.786799999999999</v>
      </c>
      <c r="H543" s="14">
        <f>35.7521 * CHOOSE(CONTROL!$C$15, $E$9, 100%, $G$9) + CHOOSE(CONTROL!$C$38, 0.0347, 0)</f>
        <v>35.786799999999999</v>
      </c>
      <c r="I543" s="14">
        <f>35.7537 * CHOOSE(CONTROL!$C$15, $E$9, 100%, $G$9) + CHOOSE(CONTROL!$C$38, 0.0347, 0)</f>
        <v>35.788400000000003</v>
      </c>
      <c r="J543" s="44">
        <f>294.1786</f>
        <v>294.17860000000002</v>
      </c>
    </row>
    <row r="544" spans="1:10" ht="15.75" x14ac:dyDescent="0.25">
      <c r="A544" s="32">
        <v>57496</v>
      </c>
      <c r="B544" s="14">
        <f>38.2589 * CHOOSE(CONTROL!$C$15, $E$9, 100%, $G$9) + CHOOSE(CONTROL!$C$38, 0.0278, 0)</f>
        <v>38.286699999999996</v>
      </c>
      <c r="C544" s="14">
        <f>35.2376 * CHOOSE(CONTROL!$C$15, $E$9, 100%, $G$9) + CHOOSE(CONTROL!$C$38, 0.0369, 0)</f>
        <v>35.274500000000003</v>
      </c>
      <c r="D544" s="14">
        <f>35.2298 * CHOOSE(CONTROL!$C$15, $E$9, 100%, $G$9) + CHOOSE(CONTROL!$C$38, 0.0369, 0)</f>
        <v>35.2667</v>
      </c>
      <c r="E544" s="46">
        <f>38.1026 * CHOOSE(CONTROL!$C$15, $E$9, 100%, $G$9) + CHOOSE(CONTROL!$C$38, 0.0369, 0)</f>
        <v>38.139500000000005</v>
      </c>
      <c r="F544" s="45">
        <f>38.1026 * CHOOSE(CONTROL!$C$15, $E$9, 100%, $G$9) + CHOOSE(CONTROL!$C$38, 0.0278, 0)</f>
        <v>38.130400000000002</v>
      </c>
      <c r="G544" s="14">
        <f>35.236 * CHOOSE(CONTROL!$C$15, $E$9, 100%, $G$9) + CHOOSE(CONTROL!$C$38, 0.0369, 0)</f>
        <v>35.2729</v>
      </c>
      <c r="H544" s="14">
        <f>35.236 * CHOOSE(CONTROL!$C$15, $E$9, 100%, $G$9) + CHOOSE(CONTROL!$C$38, 0.0369, 0)</f>
        <v>35.2729</v>
      </c>
      <c r="I544" s="14">
        <f>35.2376 * CHOOSE(CONTROL!$C$15, $E$9, 100%, $G$9) + CHOOSE(CONTROL!$C$38, 0.0369, 0)</f>
        <v>35.274500000000003</v>
      </c>
      <c r="J544" s="44">
        <f>304.0506</f>
        <v>304.05059999999997</v>
      </c>
    </row>
    <row r="545" spans="1:10" ht="15.75" x14ac:dyDescent="0.25">
      <c r="A545" s="32">
        <v>57526</v>
      </c>
      <c r="B545" s="14">
        <f>37.8971 * CHOOSE(CONTROL!$C$15, $E$9, 100%, $G$9) + CHOOSE(CONTROL!$C$38, 0.0278, 0)</f>
        <v>37.924900000000001</v>
      </c>
      <c r="C545" s="14">
        <f>34.8757 * CHOOSE(CONTROL!$C$15, $E$9, 100%, $G$9) + CHOOSE(CONTROL!$C$38, 0.0369, 0)</f>
        <v>34.912600000000005</v>
      </c>
      <c r="D545" s="14">
        <f>34.8679 * CHOOSE(CONTROL!$C$15, $E$9, 100%, $G$9) + CHOOSE(CONTROL!$C$38, 0.0369, 0)</f>
        <v>34.904800000000002</v>
      </c>
      <c r="E545" s="46">
        <f>37.7408 * CHOOSE(CONTROL!$C$15, $E$9, 100%, $G$9) + CHOOSE(CONTROL!$C$38, 0.0369, 0)</f>
        <v>37.777700000000003</v>
      </c>
      <c r="F545" s="45">
        <f>37.7408 * CHOOSE(CONTROL!$C$15, $E$9, 100%, $G$9) + CHOOSE(CONTROL!$C$38, 0.0278, 0)</f>
        <v>37.768599999999999</v>
      </c>
      <c r="G545" s="14">
        <f>34.8742 * CHOOSE(CONTROL!$C$15, $E$9, 100%, $G$9) + CHOOSE(CONTROL!$C$38, 0.0369, 0)</f>
        <v>34.911100000000005</v>
      </c>
      <c r="H545" s="14">
        <f>34.8742 * CHOOSE(CONTROL!$C$15, $E$9, 100%, $G$9) + CHOOSE(CONTROL!$C$38, 0.0369, 0)</f>
        <v>34.911100000000005</v>
      </c>
      <c r="I545" s="14">
        <f>34.8757 * CHOOSE(CONTROL!$C$15, $E$9, 100%, $G$9) + CHOOSE(CONTROL!$C$38, 0.0369, 0)</f>
        <v>34.912600000000005</v>
      </c>
      <c r="J545" s="44">
        <f>308.4317</f>
        <v>308.43169999999998</v>
      </c>
    </row>
    <row r="546" spans="1:10" ht="15.75" x14ac:dyDescent="0.25">
      <c r="A546" s="32">
        <v>57557</v>
      </c>
      <c r="B546" s="14">
        <f>37.6906 * CHOOSE(CONTROL!$C$15, $E$9, 100%, $G$9) + CHOOSE(CONTROL!$C$38, 0.0278, 0)</f>
        <v>37.718400000000003</v>
      </c>
      <c r="C546" s="14">
        <f>34.6693 * CHOOSE(CONTROL!$C$15, $E$9, 100%, $G$9) + CHOOSE(CONTROL!$C$38, 0.0369, 0)</f>
        <v>34.706200000000003</v>
      </c>
      <c r="D546" s="14">
        <f>34.6614 * CHOOSE(CONTROL!$C$15, $E$9, 100%, $G$9) + CHOOSE(CONTROL!$C$38, 0.0369, 0)</f>
        <v>34.698300000000003</v>
      </c>
      <c r="E546" s="46">
        <f>37.5343 * CHOOSE(CONTROL!$C$15, $E$9, 100%, $G$9) + CHOOSE(CONTROL!$C$38, 0.0369, 0)</f>
        <v>37.571200000000005</v>
      </c>
      <c r="F546" s="45">
        <f>37.5343 * CHOOSE(CONTROL!$C$15, $E$9, 100%, $G$9) + CHOOSE(CONTROL!$C$38, 0.0278, 0)</f>
        <v>37.562100000000001</v>
      </c>
      <c r="G546" s="14">
        <f>34.6677 * CHOOSE(CONTROL!$C$15, $E$9, 100%, $G$9) + CHOOSE(CONTROL!$C$38, 0.0369, 0)</f>
        <v>34.704600000000006</v>
      </c>
      <c r="H546" s="14">
        <f>34.6677 * CHOOSE(CONTROL!$C$15, $E$9, 100%, $G$9) + CHOOSE(CONTROL!$C$38, 0.0369, 0)</f>
        <v>34.704600000000006</v>
      </c>
      <c r="I546" s="14">
        <f>34.6693 * CHOOSE(CONTROL!$C$15, $E$9, 100%, $G$9) + CHOOSE(CONTROL!$C$38, 0.0369, 0)</f>
        <v>34.706200000000003</v>
      </c>
      <c r="J546" s="44">
        <f>306.9892</f>
        <v>306.98919999999998</v>
      </c>
    </row>
    <row r="547" spans="1:10" ht="15.75" x14ac:dyDescent="0.25">
      <c r="A547" s="32">
        <v>57588</v>
      </c>
      <c r="B547" s="14">
        <f>37.7925 * CHOOSE(CONTROL!$C$15, $E$9, 100%, $G$9) + CHOOSE(CONTROL!$C$38, 0.0278, 0)</f>
        <v>37.820299999999996</v>
      </c>
      <c r="C547" s="14">
        <f>34.7712 * CHOOSE(CONTROL!$C$15, $E$9, 100%, $G$9) + CHOOSE(CONTROL!$C$38, 0.0369, 0)</f>
        <v>34.808100000000003</v>
      </c>
      <c r="D547" s="14">
        <f>34.7634 * CHOOSE(CONTROL!$C$15, $E$9, 100%, $G$9) + CHOOSE(CONTROL!$C$38, 0.0369, 0)</f>
        <v>34.8003</v>
      </c>
      <c r="E547" s="46">
        <f>37.6362 * CHOOSE(CONTROL!$C$15, $E$9, 100%, $G$9) + CHOOSE(CONTROL!$C$38, 0.0369, 0)</f>
        <v>37.673100000000005</v>
      </c>
      <c r="F547" s="45">
        <f>37.6362 * CHOOSE(CONTROL!$C$15, $E$9, 100%, $G$9) + CHOOSE(CONTROL!$C$38, 0.0278, 0)</f>
        <v>37.664000000000001</v>
      </c>
      <c r="G547" s="14">
        <f>34.7696 * CHOOSE(CONTROL!$C$15, $E$9, 100%, $G$9) + CHOOSE(CONTROL!$C$38, 0.0369, 0)</f>
        <v>34.8065</v>
      </c>
      <c r="H547" s="14">
        <f>34.7696 * CHOOSE(CONTROL!$C$15, $E$9, 100%, $G$9) + CHOOSE(CONTROL!$C$38, 0.0369, 0)</f>
        <v>34.8065</v>
      </c>
      <c r="I547" s="14">
        <f>34.7712 * CHOOSE(CONTROL!$C$15, $E$9, 100%, $G$9) + CHOOSE(CONTROL!$C$38, 0.0369, 0)</f>
        <v>34.808100000000003</v>
      </c>
      <c r="J547" s="44">
        <f>299.8427</f>
        <v>299.84269999999998</v>
      </c>
    </row>
    <row r="548" spans="1:10" ht="15.75" x14ac:dyDescent="0.25">
      <c r="A548" s="32">
        <v>57618</v>
      </c>
      <c r="B548" s="14">
        <f>38.0693 * CHOOSE(CONTROL!$C$15, $E$9, 100%, $G$9) + CHOOSE(CONTROL!$C$38, 0.0278, 0)</f>
        <v>38.097099999999998</v>
      </c>
      <c r="C548" s="14">
        <f>35.048 * CHOOSE(CONTROL!$C$15, $E$9, 100%, $G$9) + CHOOSE(CONTROL!$C$38, 0.0369, 0)</f>
        <v>35.084900000000005</v>
      </c>
      <c r="D548" s="14">
        <f>35.0402 * CHOOSE(CONTROL!$C$15, $E$9, 100%, $G$9) + CHOOSE(CONTROL!$C$38, 0.0369, 0)</f>
        <v>35.077100000000002</v>
      </c>
      <c r="E548" s="46">
        <f>37.913 * CHOOSE(CONTROL!$C$15, $E$9, 100%, $G$9) + CHOOSE(CONTROL!$C$38, 0.0369, 0)</f>
        <v>37.9499</v>
      </c>
      <c r="F548" s="45">
        <f>37.913 * CHOOSE(CONTROL!$C$15, $E$9, 100%, $G$9) + CHOOSE(CONTROL!$C$38, 0.0278, 0)</f>
        <v>37.940799999999996</v>
      </c>
      <c r="G548" s="14">
        <f>35.0464 * CHOOSE(CONTROL!$C$15, $E$9, 100%, $G$9) + CHOOSE(CONTROL!$C$38, 0.0369, 0)</f>
        <v>35.083300000000001</v>
      </c>
      <c r="H548" s="14">
        <f>35.0464 * CHOOSE(CONTROL!$C$15, $E$9, 100%, $G$9) + CHOOSE(CONTROL!$C$38, 0.0369, 0)</f>
        <v>35.083300000000001</v>
      </c>
      <c r="I548" s="14">
        <f>35.048 * CHOOSE(CONTROL!$C$15, $E$9, 100%, $G$9) + CHOOSE(CONTROL!$C$38, 0.0369, 0)</f>
        <v>35.084900000000005</v>
      </c>
      <c r="J548" s="44">
        <f>289.8764</f>
        <v>289.87639999999999</v>
      </c>
    </row>
    <row r="549" spans="1:10" ht="15.75" x14ac:dyDescent="0.25">
      <c r="A549" s="32">
        <v>57649</v>
      </c>
      <c r="B549" s="14">
        <f>38.3011 * CHOOSE(CONTROL!$C$15, $E$9, 100%, $G$9) + CHOOSE(CONTROL!$C$38, 0.0256, 0)</f>
        <v>38.326699999999995</v>
      </c>
      <c r="C549" s="14">
        <f>35.2798 * CHOOSE(CONTROL!$C$15, $E$9, 100%, $G$9) + CHOOSE(CONTROL!$C$38, 0.0347, 0)</f>
        <v>35.314500000000002</v>
      </c>
      <c r="D549" s="14">
        <f>35.272 * CHOOSE(CONTROL!$C$15, $E$9, 100%, $G$9) + CHOOSE(CONTROL!$C$38, 0.0347, 0)</f>
        <v>35.306699999999999</v>
      </c>
      <c r="E549" s="46">
        <f>38.1449 * CHOOSE(CONTROL!$C$15, $E$9, 100%, $G$9) + CHOOSE(CONTROL!$C$38, 0.0347, 0)</f>
        <v>38.179600000000001</v>
      </c>
      <c r="F549" s="45">
        <f>38.1449 * CHOOSE(CONTROL!$C$15, $E$9, 100%, $G$9) + CHOOSE(CONTROL!$C$38, 0.0256, 0)</f>
        <v>38.170499999999997</v>
      </c>
      <c r="G549" s="14">
        <f>35.2782 * CHOOSE(CONTROL!$C$15, $E$9, 100%, $G$9) + CHOOSE(CONTROL!$C$38, 0.0347, 0)</f>
        <v>35.312899999999999</v>
      </c>
      <c r="H549" s="14">
        <f>35.2782 * CHOOSE(CONTROL!$C$15, $E$9, 100%, $G$9) + CHOOSE(CONTROL!$C$38, 0.0347, 0)</f>
        <v>35.312899999999999</v>
      </c>
      <c r="I549" s="14">
        <f>35.2798 * CHOOSE(CONTROL!$C$15, $E$9, 100%, $G$9) + CHOOSE(CONTROL!$C$38, 0.0347, 0)</f>
        <v>35.314500000000002</v>
      </c>
      <c r="J549" s="44">
        <f>279.8522</f>
        <v>279.85219999999998</v>
      </c>
    </row>
    <row r="550" spans="1:10" ht="15.75" x14ac:dyDescent="0.25">
      <c r="A550" s="32">
        <v>57679</v>
      </c>
      <c r="B550" s="14">
        <f>38.4945 * CHOOSE(CONTROL!$C$15, $E$9, 100%, $G$9) + CHOOSE(CONTROL!$C$38, 0.0256, 0)</f>
        <v>38.520099999999999</v>
      </c>
      <c r="C550" s="14">
        <f>35.4732 * CHOOSE(CONTROL!$C$15, $E$9, 100%, $G$9) + CHOOSE(CONTROL!$C$38, 0.0347, 0)</f>
        <v>35.507899999999999</v>
      </c>
      <c r="D550" s="14">
        <f>35.4654 * CHOOSE(CONTROL!$C$15, $E$9, 100%, $G$9) + CHOOSE(CONTROL!$C$38, 0.0347, 0)</f>
        <v>35.500100000000003</v>
      </c>
      <c r="E550" s="46">
        <f>38.3383 * CHOOSE(CONTROL!$C$15, $E$9, 100%, $G$9) + CHOOSE(CONTROL!$C$38, 0.0347, 0)</f>
        <v>38.372999999999998</v>
      </c>
      <c r="F550" s="45">
        <f>38.3383 * CHOOSE(CONTROL!$C$15, $E$9, 100%, $G$9) + CHOOSE(CONTROL!$C$38, 0.0256, 0)</f>
        <v>38.363899999999994</v>
      </c>
      <c r="G550" s="14">
        <f>35.4717 * CHOOSE(CONTROL!$C$15, $E$9, 100%, $G$9) + CHOOSE(CONTROL!$C$38, 0.0347, 0)</f>
        <v>35.506399999999999</v>
      </c>
      <c r="H550" s="14">
        <f>35.4717 * CHOOSE(CONTROL!$C$15, $E$9, 100%, $G$9) + CHOOSE(CONTROL!$C$38, 0.0347, 0)</f>
        <v>35.506399999999999</v>
      </c>
      <c r="I550" s="14">
        <f>35.4732 * CHOOSE(CONTROL!$C$15, $E$9, 100%, $G$9) + CHOOSE(CONTROL!$C$38, 0.0347, 0)</f>
        <v>35.507899999999999</v>
      </c>
      <c r="J550" s="44">
        <f>277.8582</f>
        <v>277.85820000000001</v>
      </c>
    </row>
    <row r="551" spans="1:10" ht="15.75" x14ac:dyDescent="0.25">
      <c r="A551" s="32">
        <v>57710</v>
      </c>
      <c r="B551" s="14">
        <f>39.0906 * CHOOSE(CONTROL!$C$15, $E$9, 100%, $G$9) + CHOOSE(CONTROL!$C$38, 0.0256, 0)</f>
        <v>39.116199999999999</v>
      </c>
      <c r="C551" s="14">
        <f>36.0693 * CHOOSE(CONTROL!$C$15, $E$9, 100%, $G$9) + CHOOSE(CONTROL!$C$38, 0.0347, 0)</f>
        <v>36.103999999999999</v>
      </c>
      <c r="D551" s="14">
        <f>36.0615 * CHOOSE(CONTROL!$C$15, $E$9, 100%, $G$9) + CHOOSE(CONTROL!$C$38, 0.0347, 0)</f>
        <v>36.096200000000003</v>
      </c>
      <c r="E551" s="46">
        <f>38.9344 * CHOOSE(CONTROL!$C$15, $E$9, 100%, $G$9) + CHOOSE(CONTROL!$C$38, 0.0347, 0)</f>
        <v>38.969099999999997</v>
      </c>
      <c r="F551" s="45">
        <f>38.9344 * CHOOSE(CONTROL!$C$15, $E$9, 100%, $G$9) + CHOOSE(CONTROL!$C$38, 0.0256, 0)</f>
        <v>38.959999999999994</v>
      </c>
      <c r="G551" s="14">
        <f>36.0677 * CHOOSE(CONTROL!$C$15, $E$9, 100%, $G$9) + CHOOSE(CONTROL!$C$38, 0.0347, 0)</f>
        <v>36.102400000000003</v>
      </c>
      <c r="H551" s="14">
        <f>36.0677 * CHOOSE(CONTROL!$C$15, $E$9, 100%, $G$9) + CHOOSE(CONTROL!$C$38, 0.0347, 0)</f>
        <v>36.102400000000003</v>
      </c>
      <c r="I551" s="14">
        <f>36.0693 * CHOOSE(CONTROL!$C$15, $E$9, 100%, $G$9) + CHOOSE(CONTROL!$C$38, 0.0347, 0)</f>
        <v>36.103999999999999</v>
      </c>
      <c r="J551" s="44">
        <f>269.6127</f>
        <v>269.61270000000002</v>
      </c>
    </row>
    <row r="552" spans="1:10" ht="15.75" x14ac:dyDescent="0.25">
      <c r="A552" s="32">
        <v>57741</v>
      </c>
      <c r="B552" s="14">
        <f>40.1829 * CHOOSE(CONTROL!$C$15, $E$9, 100%, $G$9) + CHOOSE(CONTROL!$C$38, 0.0256, 0)</f>
        <v>40.208499999999994</v>
      </c>
      <c r="C552" s="14">
        <f>37.1146 * CHOOSE(CONTROL!$C$15, $E$9, 100%, $G$9) + CHOOSE(CONTROL!$C$38, 0.0347, 0)</f>
        <v>37.149300000000004</v>
      </c>
      <c r="D552" s="14">
        <f>37.1068 * CHOOSE(CONTROL!$C$15, $E$9, 100%, $G$9) + CHOOSE(CONTROL!$C$38, 0.0347, 0)</f>
        <v>37.141500000000001</v>
      </c>
      <c r="E552" s="46">
        <f>40.0266 * CHOOSE(CONTROL!$C$15, $E$9, 100%, $G$9) + CHOOSE(CONTROL!$C$38, 0.0347, 0)</f>
        <v>40.061300000000003</v>
      </c>
      <c r="F552" s="45">
        <f>40.0266 * CHOOSE(CONTROL!$C$15, $E$9, 100%, $G$9) + CHOOSE(CONTROL!$C$38, 0.0256, 0)</f>
        <v>40.052199999999999</v>
      </c>
      <c r="G552" s="14">
        <f>37.113 * CHOOSE(CONTROL!$C$15, $E$9, 100%, $G$9) + CHOOSE(CONTROL!$C$38, 0.0347, 0)</f>
        <v>37.1477</v>
      </c>
      <c r="H552" s="14">
        <f>37.113 * CHOOSE(CONTROL!$C$15, $E$9, 100%, $G$9) + CHOOSE(CONTROL!$C$38, 0.0347, 0)</f>
        <v>37.1477</v>
      </c>
      <c r="I552" s="14">
        <f>37.1146 * CHOOSE(CONTROL!$C$15, $E$9, 100%, $G$9) + CHOOSE(CONTROL!$C$38, 0.0347, 0)</f>
        <v>37.149300000000004</v>
      </c>
      <c r="J552" s="44">
        <f>269.0978</f>
        <v>269.09780000000001</v>
      </c>
    </row>
    <row r="553" spans="1:10" ht="15.75" x14ac:dyDescent="0.25">
      <c r="A553" s="32">
        <v>57769</v>
      </c>
      <c r="B553" s="14">
        <f>40.4037 * CHOOSE(CONTROL!$C$15, $E$9, 100%, $G$9) + CHOOSE(CONTROL!$C$38, 0.0256, 0)</f>
        <v>40.429299999999998</v>
      </c>
      <c r="C553" s="14">
        <f>37.3354 * CHOOSE(CONTROL!$C$15, $E$9, 100%, $G$9) + CHOOSE(CONTROL!$C$38, 0.0347, 0)</f>
        <v>37.370100000000001</v>
      </c>
      <c r="D553" s="14">
        <f>37.3276 * CHOOSE(CONTROL!$C$15, $E$9, 100%, $G$9) + CHOOSE(CONTROL!$C$38, 0.0347, 0)</f>
        <v>37.362299999999998</v>
      </c>
      <c r="E553" s="46">
        <f>40.2474 * CHOOSE(CONTROL!$C$15, $E$9, 100%, $G$9) + CHOOSE(CONTROL!$C$38, 0.0347, 0)</f>
        <v>40.2821</v>
      </c>
      <c r="F553" s="45">
        <f>40.2474 * CHOOSE(CONTROL!$C$15, $E$9, 100%, $G$9) + CHOOSE(CONTROL!$C$38, 0.0256, 0)</f>
        <v>40.272999999999996</v>
      </c>
      <c r="G553" s="14">
        <f>37.3338 * CHOOSE(CONTROL!$C$15, $E$9, 100%, $G$9) + CHOOSE(CONTROL!$C$38, 0.0347, 0)</f>
        <v>37.368499999999997</v>
      </c>
      <c r="H553" s="14">
        <f>37.3338 * CHOOSE(CONTROL!$C$15, $E$9, 100%, $G$9) + CHOOSE(CONTROL!$C$38, 0.0347, 0)</f>
        <v>37.368499999999997</v>
      </c>
      <c r="I553" s="14">
        <f>37.3354 * CHOOSE(CONTROL!$C$15, $E$9, 100%, $G$9) + CHOOSE(CONTROL!$C$38, 0.0347, 0)</f>
        <v>37.370100000000001</v>
      </c>
      <c r="J553" s="44">
        <f>268.3498</f>
        <v>268.34980000000002</v>
      </c>
    </row>
    <row r="554" spans="1:10" ht="15.75" x14ac:dyDescent="0.25">
      <c r="A554" s="32">
        <v>57800</v>
      </c>
      <c r="B554" s="14">
        <f>39.8926 * CHOOSE(CONTROL!$C$15, $E$9, 100%, $G$9) + CHOOSE(CONTROL!$C$38, 0.0256, 0)</f>
        <v>39.918199999999999</v>
      </c>
      <c r="C554" s="14">
        <f>36.8243 * CHOOSE(CONTROL!$C$15, $E$9, 100%, $G$9) + CHOOSE(CONTROL!$C$38, 0.0347, 0)</f>
        <v>36.859000000000002</v>
      </c>
      <c r="D554" s="14">
        <f>36.8165 * CHOOSE(CONTROL!$C$15, $E$9, 100%, $G$9) + CHOOSE(CONTROL!$C$38, 0.0347, 0)</f>
        <v>36.851199999999999</v>
      </c>
      <c r="E554" s="46">
        <f>39.7364 * CHOOSE(CONTROL!$C$15, $E$9, 100%, $G$9) + CHOOSE(CONTROL!$C$38, 0.0347, 0)</f>
        <v>39.771100000000004</v>
      </c>
      <c r="F554" s="45">
        <f>39.7364 * CHOOSE(CONTROL!$C$15, $E$9, 100%, $G$9) + CHOOSE(CONTROL!$C$38, 0.0256, 0)</f>
        <v>39.762</v>
      </c>
      <c r="G554" s="14">
        <f>36.8228 * CHOOSE(CONTROL!$C$15, $E$9, 100%, $G$9) + CHOOSE(CONTROL!$C$38, 0.0347, 0)</f>
        <v>36.857500000000002</v>
      </c>
      <c r="H554" s="14">
        <f>36.8228 * CHOOSE(CONTROL!$C$15, $E$9, 100%, $G$9) + CHOOSE(CONTROL!$C$38, 0.0347, 0)</f>
        <v>36.857500000000002</v>
      </c>
      <c r="I554" s="14">
        <f>36.8243 * CHOOSE(CONTROL!$C$15, $E$9, 100%, $G$9) + CHOOSE(CONTROL!$C$38, 0.0347, 0)</f>
        <v>36.859000000000002</v>
      </c>
      <c r="J554" s="44">
        <f>282.4934</f>
        <v>282.49340000000001</v>
      </c>
    </row>
    <row r="555" spans="1:10" ht="15.75" x14ac:dyDescent="0.25">
      <c r="A555" s="32">
        <v>57830</v>
      </c>
      <c r="B555" s="14">
        <f>39.3975 * CHOOSE(CONTROL!$C$15, $E$9, 100%, $G$9) + CHOOSE(CONTROL!$C$38, 0.0256, 0)</f>
        <v>39.423099999999998</v>
      </c>
      <c r="C555" s="14">
        <f>36.3292 * CHOOSE(CONTROL!$C$15, $E$9, 100%, $G$9) + CHOOSE(CONTROL!$C$38, 0.0347, 0)</f>
        <v>36.363900000000001</v>
      </c>
      <c r="D555" s="14">
        <f>36.3213 * CHOOSE(CONTROL!$C$15, $E$9, 100%, $G$9) + CHOOSE(CONTROL!$C$38, 0.0347, 0)</f>
        <v>36.356000000000002</v>
      </c>
      <c r="E555" s="46">
        <f>39.2412 * CHOOSE(CONTROL!$C$15, $E$9, 100%, $G$9) + CHOOSE(CONTROL!$C$38, 0.0347, 0)</f>
        <v>39.2759</v>
      </c>
      <c r="F555" s="45">
        <f>39.2412 * CHOOSE(CONTROL!$C$15, $E$9, 100%, $G$9) + CHOOSE(CONTROL!$C$38, 0.0256, 0)</f>
        <v>39.266799999999996</v>
      </c>
      <c r="G555" s="14">
        <f>36.3276 * CHOOSE(CONTROL!$C$15, $E$9, 100%, $G$9) + CHOOSE(CONTROL!$C$38, 0.0347, 0)</f>
        <v>36.362299999999998</v>
      </c>
      <c r="H555" s="14">
        <f>36.3276 * CHOOSE(CONTROL!$C$15, $E$9, 100%, $G$9) + CHOOSE(CONTROL!$C$38, 0.0347, 0)</f>
        <v>36.362299999999998</v>
      </c>
      <c r="I555" s="14">
        <f>36.3292 * CHOOSE(CONTROL!$C$15, $E$9, 100%, $G$9) + CHOOSE(CONTROL!$C$38, 0.0347, 0)</f>
        <v>36.363900000000001</v>
      </c>
      <c r="J555" s="44">
        <f>300.8342</f>
        <v>300.83420000000001</v>
      </c>
    </row>
    <row r="556" spans="1:10" ht="15.75" x14ac:dyDescent="0.25">
      <c r="A556" s="32">
        <v>57861</v>
      </c>
      <c r="B556" s="14">
        <f>38.8813 * CHOOSE(CONTROL!$C$15, $E$9, 100%, $G$9) + CHOOSE(CONTROL!$C$38, 0.0278, 0)</f>
        <v>38.909100000000002</v>
      </c>
      <c r="C556" s="14">
        <f>35.813 * CHOOSE(CONTROL!$C$15, $E$9, 100%, $G$9) + CHOOSE(CONTROL!$C$38, 0.0369, 0)</f>
        <v>35.849900000000005</v>
      </c>
      <c r="D556" s="14">
        <f>35.8052 * CHOOSE(CONTROL!$C$15, $E$9, 100%, $G$9) + CHOOSE(CONTROL!$C$38, 0.0369, 0)</f>
        <v>35.842100000000002</v>
      </c>
      <c r="E556" s="46">
        <f>38.7251 * CHOOSE(CONTROL!$C$15, $E$9, 100%, $G$9) + CHOOSE(CONTROL!$C$38, 0.0369, 0)</f>
        <v>38.762</v>
      </c>
      <c r="F556" s="45">
        <f>38.7251 * CHOOSE(CONTROL!$C$15, $E$9, 100%, $G$9) + CHOOSE(CONTROL!$C$38, 0.0278, 0)</f>
        <v>38.752899999999997</v>
      </c>
      <c r="G556" s="14">
        <f>35.8115 * CHOOSE(CONTROL!$C$15, $E$9, 100%, $G$9) + CHOOSE(CONTROL!$C$38, 0.0369, 0)</f>
        <v>35.848400000000005</v>
      </c>
      <c r="H556" s="14">
        <f>35.8115 * CHOOSE(CONTROL!$C$15, $E$9, 100%, $G$9) + CHOOSE(CONTROL!$C$38, 0.0369, 0)</f>
        <v>35.848400000000005</v>
      </c>
      <c r="I556" s="14">
        <f>35.813 * CHOOSE(CONTROL!$C$15, $E$9, 100%, $G$9) + CHOOSE(CONTROL!$C$38, 0.0369, 0)</f>
        <v>35.849900000000005</v>
      </c>
      <c r="J556" s="44">
        <f>310.9296</f>
        <v>310.92959999999999</v>
      </c>
    </row>
    <row r="557" spans="1:10" ht="15.75" x14ac:dyDescent="0.25">
      <c r="A557" s="32">
        <v>57891</v>
      </c>
      <c r="B557" s="14">
        <f>38.5195 * CHOOSE(CONTROL!$C$15, $E$9, 100%, $G$9) + CHOOSE(CONTROL!$C$38, 0.0278, 0)</f>
        <v>38.5473</v>
      </c>
      <c r="C557" s="14">
        <f>35.4512 * CHOOSE(CONTROL!$C$15, $E$9, 100%, $G$9) + CHOOSE(CONTROL!$C$38, 0.0369, 0)</f>
        <v>35.488100000000003</v>
      </c>
      <c r="D557" s="14">
        <f>35.4434 * CHOOSE(CONTROL!$C$15, $E$9, 100%, $G$9) + CHOOSE(CONTROL!$C$38, 0.0369, 0)</f>
        <v>35.4803</v>
      </c>
      <c r="E557" s="46">
        <f>38.3633 * CHOOSE(CONTROL!$C$15, $E$9, 100%, $G$9) + CHOOSE(CONTROL!$C$38, 0.0369, 0)</f>
        <v>38.400200000000005</v>
      </c>
      <c r="F557" s="45">
        <f>38.3633 * CHOOSE(CONTROL!$C$15, $E$9, 100%, $G$9) + CHOOSE(CONTROL!$C$38, 0.0278, 0)</f>
        <v>38.391100000000002</v>
      </c>
      <c r="G557" s="14">
        <f>35.4496 * CHOOSE(CONTROL!$C$15, $E$9, 100%, $G$9) + CHOOSE(CONTROL!$C$38, 0.0369, 0)</f>
        <v>35.486499999999999</v>
      </c>
      <c r="H557" s="14">
        <f>35.4496 * CHOOSE(CONTROL!$C$15, $E$9, 100%, $G$9) + CHOOSE(CONTROL!$C$38, 0.0369, 0)</f>
        <v>35.486499999999999</v>
      </c>
      <c r="I557" s="14">
        <f>35.4512 * CHOOSE(CONTROL!$C$15, $E$9, 100%, $G$9) + CHOOSE(CONTROL!$C$38, 0.0369, 0)</f>
        <v>35.488100000000003</v>
      </c>
      <c r="J557" s="44">
        <f>315.4098</f>
        <v>315.40980000000002</v>
      </c>
    </row>
    <row r="558" spans="1:10" ht="15.75" x14ac:dyDescent="0.25">
      <c r="A558" s="32">
        <v>57922</v>
      </c>
      <c r="B558" s="14">
        <f>38.313 * CHOOSE(CONTROL!$C$15, $E$9, 100%, $G$9) + CHOOSE(CONTROL!$C$38, 0.0278, 0)</f>
        <v>38.340800000000002</v>
      </c>
      <c r="C558" s="14">
        <f>35.2447 * CHOOSE(CONTROL!$C$15, $E$9, 100%, $G$9) + CHOOSE(CONTROL!$C$38, 0.0369, 0)</f>
        <v>35.281600000000005</v>
      </c>
      <c r="D558" s="14">
        <f>35.2369 * CHOOSE(CONTROL!$C$15, $E$9, 100%, $G$9) + CHOOSE(CONTROL!$C$38, 0.0369, 0)</f>
        <v>35.273800000000001</v>
      </c>
      <c r="E558" s="46">
        <f>38.1568 * CHOOSE(CONTROL!$C$15, $E$9, 100%, $G$9) + CHOOSE(CONTROL!$C$38, 0.0369, 0)</f>
        <v>38.1937</v>
      </c>
      <c r="F558" s="45">
        <f>38.1568 * CHOOSE(CONTROL!$C$15, $E$9, 100%, $G$9) + CHOOSE(CONTROL!$C$38, 0.0278, 0)</f>
        <v>38.184599999999996</v>
      </c>
      <c r="G558" s="14">
        <f>35.2432 * CHOOSE(CONTROL!$C$15, $E$9, 100%, $G$9) + CHOOSE(CONTROL!$C$38, 0.0369, 0)</f>
        <v>35.280100000000004</v>
      </c>
      <c r="H558" s="14">
        <f>35.2432 * CHOOSE(CONTROL!$C$15, $E$9, 100%, $G$9) + CHOOSE(CONTROL!$C$38, 0.0369, 0)</f>
        <v>35.280100000000004</v>
      </c>
      <c r="I558" s="14">
        <f>35.2447 * CHOOSE(CONTROL!$C$15, $E$9, 100%, $G$9) + CHOOSE(CONTROL!$C$38, 0.0369, 0)</f>
        <v>35.281600000000005</v>
      </c>
      <c r="J558" s="44">
        <f>313.9347</f>
        <v>313.93470000000002</v>
      </c>
    </row>
    <row r="559" spans="1:10" ht="15.75" x14ac:dyDescent="0.25">
      <c r="A559" s="32">
        <v>57953</v>
      </c>
      <c r="B559" s="14">
        <f>38.4149 * CHOOSE(CONTROL!$C$15, $E$9, 100%, $G$9) + CHOOSE(CONTROL!$C$38, 0.0278, 0)</f>
        <v>38.442700000000002</v>
      </c>
      <c r="C559" s="14">
        <f>35.3466 * CHOOSE(CONTROL!$C$15, $E$9, 100%, $G$9) + CHOOSE(CONTROL!$C$38, 0.0369, 0)</f>
        <v>35.383500000000005</v>
      </c>
      <c r="D559" s="14">
        <f>35.3388 * CHOOSE(CONTROL!$C$15, $E$9, 100%, $G$9) + CHOOSE(CONTROL!$C$38, 0.0369, 0)</f>
        <v>35.375700000000002</v>
      </c>
      <c r="E559" s="46">
        <f>38.2587 * CHOOSE(CONTROL!$C$15, $E$9, 100%, $G$9) + CHOOSE(CONTROL!$C$38, 0.0369, 0)</f>
        <v>38.2956</v>
      </c>
      <c r="F559" s="45">
        <f>38.2587 * CHOOSE(CONTROL!$C$15, $E$9, 100%, $G$9) + CHOOSE(CONTROL!$C$38, 0.0278, 0)</f>
        <v>38.286499999999997</v>
      </c>
      <c r="G559" s="14">
        <f>35.3451 * CHOOSE(CONTROL!$C$15, $E$9, 100%, $G$9) + CHOOSE(CONTROL!$C$38, 0.0369, 0)</f>
        <v>35.382000000000005</v>
      </c>
      <c r="H559" s="14">
        <f>35.3451 * CHOOSE(CONTROL!$C$15, $E$9, 100%, $G$9) + CHOOSE(CONTROL!$C$38, 0.0369, 0)</f>
        <v>35.382000000000005</v>
      </c>
      <c r="I559" s="14">
        <f>35.3466 * CHOOSE(CONTROL!$C$15, $E$9, 100%, $G$9) + CHOOSE(CONTROL!$C$38, 0.0369, 0)</f>
        <v>35.383500000000005</v>
      </c>
      <c r="J559" s="44">
        <f>306.6265</f>
        <v>306.62650000000002</v>
      </c>
    </row>
    <row r="560" spans="1:10" ht="15.75" x14ac:dyDescent="0.25">
      <c r="A560" s="32">
        <v>57983</v>
      </c>
      <c r="B560" s="14">
        <f>38.6917 * CHOOSE(CONTROL!$C$15, $E$9, 100%, $G$9) + CHOOSE(CONTROL!$C$38, 0.0278, 0)</f>
        <v>38.719499999999996</v>
      </c>
      <c r="C560" s="14">
        <f>35.6234 * CHOOSE(CONTROL!$C$15, $E$9, 100%, $G$9) + CHOOSE(CONTROL!$C$38, 0.0369, 0)</f>
        <v>35.660299999999999</v>
      </c>
      <c r="D560" s="14">
        <f>35.6156 * CHOOSE(CONTROL!$C$15, $E$9, 100%, $G$9) + CHOOSE(CONTROL!$C$38, 0.0369, 0)</f>
        <v>35.652500000000003</v>
      </c>
      <c r="E560" s="46">
        <f>38.5355 * CHOOSE(CONTROL!$C$15, $E$9, 100%, $G$9) + CHOOSE(CONTROL!$C$38, 0.0369, 0)</f>
        <v>38.572400000000002</v>
      </c>
      <c r="F560" s="45">
        <f>38.5355 * CHOOSE(CONTROL!$C$15, $E$9, 100%, $G$9) + CHOOSE(CONTROL!$C$38, 0.0278, 0)</f>
        <v>38.563299999999998</v>
      </c>
      <c r="G560" s="14">
        <f>35.6219 * CHOOSE(CONTROL!$C$15, $E$9, 100%, $G$9) + CHOOSE(CONTROL!$C$38, 0.0369, 0)</f>
        <v>35.658799999999999</v>
      </c>
      <c r="H560" s="14">
        <f>35.6219 * CHOOSE(CONTROL!$C$15, $E$9, 100%, $G$9) + CHOOSE(CONTROL!$C$38, 0.0369, 0)</f>
        <v>35.658799999999999</v>
      </c>
      <c r="I560" s="14">
        <f>35.6234 * CHOOSE(CONTROL!$C$15, $E$9, 100%, $G$9) + CHOOSE(CONTROL!$C$38, 0.0369, 0)</f>
        <v>35.660299999999999</v>
      </c>
      <c r="J560" s="44">
        <f>296.4347</f>
        <v>296.43470000000002</v>
      </c>
    </row>
    <row r="561" spans="1:10" ht="15.75" x14ac:dyDescent="0.25">
      <c r="A561" s="32">
        <v>58014</v>
      </c>
      <c r="B561" s="14">
        <f>38.9235 * CHOOSE(CONTROL!$C$15, $E$9, 100%, $G$9) + CHOOSE(CONTROL!$C$38, 0.0256, 0)</f>
        <v>38.949099999999994</v>
      </c>
      <c r="C561" s="14">
        <f>35.8553 * CHOOSE(CONTROL!$C$15, $E$9, 100%, $G$9) + CHOOSE(CONTROL!$C$38, 0.0347, 0)</f>
        <v>35.89</v>
      </c>
      <c r="D561" s="14">
        <f>35.8474 * CHOOSE(CONTROL!$C$15, $E$9, 100%, $G$9) + CHOOSE(CONTROL!$C$38, 0.0347, 0)</f>
        <v>35.882100000000001</v>
      </c>
      <c r="E561" s="46">
        <f>38.7673 * CHOOSE(CONTROL!$C$15, $E$9, 100%, $G$9) + CHOOSE(CONTROL!$C$38, 0.0347, 0)</f>
        <v>38.802</v>
      </c>
      <c r="F561" s="45">
        <f>38.7673 * CHOOSE(CONTROL!$C$15, $E$9, 100%, $G$9) + CHOOSE(CONTROL!$C$38, 0.0256, 0)</f>
        <v>38.792899999999996</v>
      </c>
      <c r="G561" s="14">
        <f>35.8537 * CHOOSE(CONTROL!$C$15, $E$9, 100%, $G$9) + CHOOSE(CONTROL!$C$38, 0.0347, 0)</f>
        <v>35.888400000000004</v>
      </c>
      <c r="H561" s="14">
        <f>35.8537 * CHOOSE(CONTROL!$C$15, $E$9, 100%, $G$9) + CHOOSE(CONTROL!$C$38, 0.0347, 0)</f>
        <v>35.888400000000004</v>
      </c>
      <c r="I561" s="14">
        <f>35.8553 * CHOOSE(CONTROL!$C$15, $E$9, 100%, $G$9) + CHOOSE(CONTROL!$C$38, 0.0347, 0)</f>
        <v>35.89</v>
      </c>
      <c r="J561" s="44">
        <f>286.1837</f>
        <v>286.18369999999999</v>
      </c>
    </row>
    <row r="562" spans="1:10" ht="15.75" x14ac:dyDescent="0.25">
      <c r="A562" s="32">
        <v>58044</v>
      </c>
      <c r="B562" s="14">
        <f>39.117 * CHOOSE(CONTROL!$C$15, $E$9, 100%, $G$9) + CHOOSE(CONTROL!$C$38, 0.0256, 0)</f>
        <v>39.142599999999995</v>
      </c>
      <c r="C562" s="14">
        <f>36.0487 * CHOOSE(CONTROL!$C$15, $E$9, 100%, $G$9) + CHOOSE(CONTROL!$C$38, 0.0347, 0)</f>
        <v>36.083399999999997</v>
      </c>
      <c r="D562" s="14">
        <f>36.0409 * CHOOSE(CONTROL!$C$15, $E$9, 100%, $G$9) + CHOOSE(CONTROL!$C$38, 0.0347, 0)</f>
        <v>36.075600000000001</v>
      </c>
      <c r="E562" s="46">
        <f>38.9607 * CHOOSE(CONTROL!$C$15, $E$9, 100%, $G$9) + CHOOSE(CONTROL!$C$38, 0.0347, 0)</f>
        <v>38.995400000000004</v>
      </c>
      <c r="F562" s="45">
        <f>38.9607 * CHOOSE(CONTROL!$C$15, $E$9, 100%, $G$9) + CHOOSE(CONTROL!$C$38, 0.0256, 0)</f>
        <v>38.9863</v>
      </c>
      <c r="G562" s="14">
        <f>36.0471 * CHOOSE(CONTROL!$C$15, $E$9, 100%, $G$9) + CHOOSE(CONTROL!$C$38, 0.0347, 0)</f>
        <v>36.081800000000001</v>
      </c>
      <c r="H562" s="14">
        <f>36.0471 * CHOOSE(CONTROL!$C$15, $E$9, 100%, $G$9) + CHOOSE(CONTROL!$C$38, 0.0347, 0)</f>
        <v>36.081800000000001</v>
      </c>
      <c r="I562" s="14">
        <f>36.0487 * CHOOSE(CONTROL!$C$15, $E$9, 100%, $G$9) + CHOOSE(CONTROL!$C$38, 0.0347, 0)</f>
        <v>36.083399999999997</v>
      </c>
      <c r="J562" s="44">
        <f>284.1446</f>
        <v>284.14460000000003</v>
      </c>
    </row>
    <row r="563" spans="1:10" ht="15.75" x14ac:dyDescent="0.25">
      <c r="A563" s="32">
        <v>58075</v>
      </c>
      <c r="B563" s="14">
        <f>39.7131 * CHOOSE(CONTROL!$C$15, $E$9, 100%, $G$9) + CHOOSE(CONTROL!$C$38, 0.0256, 0)</f>
        <v>39.738699999999994</v>
      </c>
      <c r="C563" s="14">
        <f>36.6448 * CHOOSE(CONTROL!$C$15, $E$9, 100%, $G$9) + CHOOSE(CONTROL!$C$38, 0.0347, 0)</f>
        <v>36.679499999999997</v>
      </c>
      <c r="D563" s="14">
        <f>36.6369 * CHOOSE(CONTROL!$C$15, $E$9, 100%, $G$9) + CHOOSE(CONTROL!$C$38, 0.0347, 0)</f>
        <v>36.671599999999998</v>
      </c>
      <c r="E563" s="46">
        <f>39.5568 * CHOOSE(CONTROL!$C$15, $E$9, 100%, $G$9) + CHOOSE(CONTROL!$C$38, 0.0347, 0)</f>
        <v>39.591500000000003</v>
      </c>
      <c r="F563" s="45">
        <f>39.5568 * CHOOSE(CONTROL!$C$15, $E$9, 100%, $G$9) + CHOOSE(CONTROL!$C$38, 0.0256, 0)</f>
        <v>39.5824</v>
      </c>
      <c r="G563" s="14">
        <f>36.6432 * CHOOSE(CONTROL!$C$15, $E$9, 100%, $G$9) + CHOOSE(CONTROL!$C$38, 0.0347, 0)</f>
        <v>36.677900000000001</v>
      </c>
      <c r="H563" s="14">
        <f>36.6432 * CHOOSE(CONTROL!$C$15, $E$9, 100%, $G$9) + CHOOSE(CONTROL!$C$38, 0.0347, 0)</f>
        <v>36.677900000000001</v>
      </c>
      <c r="I563" s="14">
        <f>36.6448 * CHOOSE(CONTROL!$C$15, $E$9, 100%, $G$9) + CHOOSE(CONTROL!$C$38, 0.0347, 0)</f>
        <v>36.679499999999997</v>
      </c>
      <c r="J563" s="44">
        <f>275.7126</f>
        <v>275.71260000000001</v>
      </c>
    </row>
    <row r="564" spans="1:10" ht="15.75" x14ac:dyDescent="0.25">
      <c r="A564" s="32">
        <v>58106</v>
      </c>
      <c r="B564" s="14">
        <f>40.8155 * CHOOSE(CONTROL!$C$15, $E$9, 100%, $G$9) + CHOOSE(CONTROL!$C$38, 0.0256, 0)</f>
        <v>40.841099999999997</v>
      </c>
      <c r="C564" s="14">
        <f>37.6995 * CHOOSE(CONTROL!$C$15, $E$9, 100%, $G$9) + CHOOSE(CONTROL!$C$38, 0.0347, 0)</f>
        <v>37.734200000000001</v>
      </c>
      <c r="D564" s="14">
        <f>37.6917 * CHOOSE(CONTROL!$C$15, $E$9, 100%, $G$9) + CHOOSE(CONTROL!$C$38, 0.0347, 0)</f>
        <v>37.726399999999998</v>
      </c>
      <c r="E564" s="46">
        <f>40.6593 * CHOOSE(CONTROL!$C$15, $E$9, 100%, $G$9) + CHOOSE(CONTROL!$C$38, 0.0347, 0)</f>
        <v>40.694000000000003</v>
      </c>
      <c r="F564" s="45">
        <f>40.6593 * CHOOSE(CONTROL!$C$15, $E$9, 100%, $G$9) + CHOOSE(CONTROL!$C$38, 0.0256, 0)</f>
        <v>40.684899999999999</v>
      </c>
      <c r="G564" s="14">
        <f>37.6979 * CHOOSE(CONTROL!$C$15, $E$9, 100%, $G$9) + CHOOSE(CONTROL!$C$38, 0.0347, 0)</f>
        <v>37.732599999999998</v>
      </c>
      <c r="H564" s="14">
        <f>37.6979 * CHOOSE(CONTROL!$C$15, $E$9, 100%, $G$9) + CHOOSE(CONTROL!$C$38, 0.0347, 0)</f>
        <v>37.732599999999998</v>
      </c>
      <c r="I564" s="14">
        <f>37.6995 * CHOOSE(CONTROL!$C$15, $E$9, 100%, $G$9) + CHOOSE(CONTROL!$C$38, 0.0347, 0)</f>
        <v>37.734200000000001</v>
      </c>
      <c r="J564" s="44">
        <f>275.186</f>
        <v>275.18599999999998</v>
      </c>
    </row>
    <row r="565" spans="1:10" ht="15.75" x14ac:dyDescent="0.25">
      <c r="A565" s="32">
        <v>58134</v>
      </c>
      <c r="B565" s="14">
        <f>41.0363 * CHOOSE(CONTROL!$C$15, $E$9, 100%, $G$9) + CHOOSE(CONTROL!$C$38, 0.0256, 0)</f>
        <v>41.061899999999994</v>
      </c>
      <c r="C565" s="14">
        <f>37.9203 * CHOOSE(CONTROL!$C$15, $E$9, 100%, $G$9) + CHOOSE(CONTROL!$C$38, 0.0347, 0)</f>
        <v>37.954999999999998</v>
      </c>
      <c r="D565" s="14">
        <f>37.9125 * CHOOSE(CONTROL!$C$15, $E$9, 100%, $G$9) + CHOOSE(CONTROL!$C$38, 0.0347, 0)</f>
        <v>37.947200000000002</v>
      </c>
      <c r="E565" s="46">
        <f>40.8801 * CHOOSE(CONTROL!$C$15, $E$9, 100%, $G$9) + CHOOSE(CONTROL!$C$38, 0.0347, 0)</f>
        <v>40.9148</v>
      </c>
      <c r="F565" s="45">
        <f>40.8801 * CHOOSE(CONTROL!$C$15, $E$9, 100%, $G$9) + CHOOSE(CONTROL!$C$38, 0.0256, 0)</f>
        <v>40.905699999999996</v>
      </c>
      <c r="G565" s="14">
        <f>37.9187 * CHOOSE(CONTROL!$C$15, $E$9, 100%, $G$9) + CHOOSE(CONTROL!$C$38, 0.0347, 0)</f>
        <v>37.953400000000002</v>
      </c>
      <c r="H565" s="14">
        <f>37.9187 * CHOOSE(CONTROL!$C$15, $E$9, 100%, $G$9) + CHOOSE(CONTROL!$C$38, 0.0347, 0)</f>
        <v>37.953400000000002</v>
      </c>
      <c r="I565" s="14">
        <f>37.9203 * CHOOSE(CONTROL!$C$15, $E$9, 100%, $G$9) + CHOOSE(CONTROL!$C$38, 0.0347, 0)</f>
        <v>37.954999999999998</v>
      </c>
      <c r="J565" s="44">
        <f>274.4211</f>
        <v>274.42110000000002</v>
      </c>
    </row>
    <row r="566" spans="1:10" ht="15.75" x14ac:dyDescent="0.25">
      <c r="A566" s="32">
        <v>58165</v>
      </c>
      <c r="B566" s="14">
        <f>40.5253 * CHOOSE(CONTROL!$C$15, $E$9, 100%, $G$9) + CHOOSE(CONTROL!$C$38, 0.0256, 0)</f>
        <v>40.550899999999999</v>
      </c>
      <c r="C566" s="14">
        <f>37.4092 * CHOOSE(CONTROL!$C$15, $E$9, 100%, $G$9) + CHOOSE(CONTROL!$C$38, 0.0347, 0)</f>
        <v>37.443899999999999</v>
      </c>
      <c r="D566" s="14">
        <f>37.4014 * CHOOSE(CONTROL!$C$15, $E$9, 100%, $G$9) + CHOOSE(CONTROL!$C$38, 0.0347, 0)</f>
        <v>37.436100000000003</v>
      </c>
      <c r="E566" s="46">
        <f>40.369 * CHOOSE(CONTROL!$C$15, $E$9, 100%, $G$9) + CHOOSE(CONTROL!$C$38, 0.0347, 0)</f>
        <v>40.403700000000001</v>
      </c>
      <c r="F566" s="45">
        <f>40.369 * CHOOSE(CONTROL!$C$15, $E$9, 100%, $G$9) + CHOOSE(CONTROL!$C$38, 0.0256, 0)</f>
        <v>40.394599999999997</v>
      </c>
      <c r="G566" s="14">
        <f>37.4077 * CHOOSE(CONTROL!$C$15, $E$9, 100%, $G$9) + CHOOSE(CONTROL!$C$38, 0.0347, 0)</f>
        <v>37.442399999999999</v>
      </c>
      <c r="H566" s="14">
        <f>37.4077 * CHOOSE(CONTROL!$C$15, $E$9, 100%, $G$9) + CHOOSE(CONTROL!$C$38, 0.0347, 0)</f>
        <v>37.442399999999999</v>
      </c>
      <c r="I566" s="14">
        <f>37.4092 * CHOOSE(CONTROL!$C$15, $E$9, 100%, $G$9) + CHOOSE(CONTROL!$C$38, 0.0347, 0)</f>
        <v>37.443899999999999</v>
      </c>
      <c r="J566" s="44">
        <f>288.8847</f>
        <v>288.88470000000001</v>
      </c>
    </row>
    <row r="567" spans="1:10" ht="15.75" x14ac:dyDescent="0.25">
      <c r="A567" s="32">
        <v>58195</v>
      </c>
      <c r="B567" s="14">
        <f>40.0301 * CHOOSE(CONTROL!$C$15, $E$9, 100%, $G$9) + CHOOSE(CONTROL!$C$38, 0.0256, 0)</f>
        <v>40.055699999999995</v>
      </c>
      <c r="C567" s="14">
        <f>36.9141 * CHOOSE(CONTROL!$C$15, $E$9, 100%, $G$9) + CHOOSE(CONTROL!$C$38, 0.0347, 0)</f>
        <v>36.948799999999999</v>
      </c>
      <c r="D567" s="14">
        <f>36.9062 * CHOOSE(CONTROL!$C$15, $E$9, 100%, $G$9) + CHOOSE(CONTROL!$C$38, 0.0347, 0)</f>
        <v>36.940899999999999</v>
      </c>
      <c r="E567" s="46">
        <f>39.8738 * CHOOSE(CONTROL!$C$15, $E$9, 100%, $G$9) + CHOOSE(CONTROL!$C$38, 0.0347, 0)</f>
        <v>39.908500000000004</v>
      </c>
      <c r="F567" s="45">
        <f>39.8738 * CHOOSE(CONTROL!$C$15, $E$9, 100%, $G$9) + CHOOSE(CONTROL!$C$38, 0.0256, 0)</f>
        <v>39.8994</v>
      </c>
      <c r="G567" s="14">
        <f>36.9125 * CHOOSE(CONTROL!$C$15, $E$9, 100%, $G$9) + CHOOSE(CONTROL!$C$38, 0.0347, 0)</f>
        <v>36.947200000000002</v>
      </c>
      <c r="H567" s="14">
        <f>36.9125 * CHOOSE(CONTROL!$C$15, $E$9, 100%, $G$9) + CHOOSE(CONTROL!$C$38, 0.0347, 0)</f>
        <v>36.947200000000002</v>
      </c>
      <c r="I567" s="14">
        <f>36.9141 * CHOOSE(CONTROL!$C$15, $E$9, 100%, $G$9) + CHOOSE(CONTROL!$C$38, 0.0347, 0)</f>
        <v>36.948799999999999</v>
      </c>
      <c r="J567" s="44">
        <f>307.6405</f>
        <v>307.64049999999997</v>
      </c>
    </row>
    <row r="568" spans="1:10" ht="15.75" x14ac:dyDescent="0.25">
      <c r="A568" s="32">
        <v>58226</v>
      </c>
      <c r="B568" s="14">
        <f>39.514 * CHOOSE(CONTROL!$C$15, $E$9, 100%, $G$9) + CHOOSE(CONTROL!$C$38, 0.0278, 0)</f>
        <v>39.541800000000002</v>
      </c>
      <c r="C568" s="14">
        <f>36.3979 * CHOOSE(CONTROL!$C$15, $E$9, 100%, $G$9) + CHOOSE(CONTROL!$C$38, 0.0369, 0)</f>
        <v>36.434800000000003</v>
      </c>
      <c r="D568" s="14">
        <f>36.3901 * CHOOSE(CONTROL!$C$15, $E$9, 100%, $G$9) + CHOOSE(CONTROL!$C$38, 0.0369, 0)</f>
        <v>36.427</v>
      </c>
      <c r="E568" s="46">
        <f>39.3577 * CHOOSE(CONTROL!$C$15, $E$9, 100%, $G$9) + CHOOSE(CONTROL!$C$38, 0.0369, 0)</f>
        <v>39.394600000000004</v>
      </c>
      <c r="F568" s="45">
        <f>39.3577 * CHOOSE(CONTROL!$C$15, $E$9, 100%, $G$9) + CHOOSE(CONTROL!$C$38, 0.0278, 0)</f>
        <v>39.3855</v>
      </c>
      <c r="G568" s="14">
        <f>36.3964 * CHOOSE(CONTROL!$C$15, $E$9, 100%, $G$9) + CHOOSE(CONTROL!$C$38, 0.0369, 0)</f>
        <v>36.433300000000003</v>
      </c>
      <c r="H568" s="14">
        <f>36.3964 * CHOOSE(CONTROL!$C$15, $E$9, 100%, $G$9) + CHOOSE(CONTROL!$C$38, 0.0369, 0)</f>
        <v>36.433300000000003</v>
      </c>
      <c r="I568" s="14">
        <f>36.3979 * CHOOSE(CONTROL!$C$15, $E$9, 100%, $G$9) + CHOOSE(CONTROL!$C$38, 0.0369, 0)</f>
        <v>36.434800000000003</v>
      </c>
      <c r="J568" s="44">
        <f>317.9643</f>
        <v>317.96429999999998</v>
      </c>
    </row>
    <row r="569" spans="1:10" ht="15.75" x14ac:dyDescent="0.25">
      <c r="A569" s="32">
        <v>58256</v>
      </c>
      <c r="B569" s="14">
        <f>39.1521 * CHOOSE(CONTROL!$C$15, $E$9, 100%, $G$9) + CHOOSE(CONTROL!$C$38, 0.0278, 0)</f>
        <v>39.179899999999996</v>
      </c>
      <c r="C569" s="14">
        <f>36.0361 * CHOOSE(CONTROL!$C$15, $E$9, 100%, $G$9) + CHOOSE(CONTROL!$C$38, 0.0369, 0)</f>
        <v>36.073</v>
      </c>
      <c r="D569" s="14">
        <f>36.0283 * CHOOSE(CONTROL!$C$15, $E$9, 100%, $G$9) + CHOOSE(CONTROL!$C$38, 0.0369, 0)</f>
        <v>36.065200000000004</v>
      </c>
      <c r="E569" s="46">
        <f>38.9959 * CHOOSE(CONTROL!$C$15, $E$9, 100%, $G$9) + CHOOSE(CONTROL!$C$38, 0.0369, 0)</f>
        <v>39.032800000000002</v>
      </c>
      <c r="F569" s="45">
        <f>38.9959 * CHOOSE(CONTROL!$C$15, $E$9, 100%, $G$9) + CHOOSE(CONTROL!$C$38, 0.0278, 0)</f>
        <v>39.023699999999998</v>
      </c>
      <c r="G569" s="14">
        <f>36.0345 * CHOOSE(CONTROL!$C$15, $E$9, 100%, $G$9) + CHOOSE(CONTROL!$C$38, 0.0369, 0)</f>
        <v>36.071400000000004</v>
      </c>
      <c r="H569" s="14">
        <f>36.0345 * CHOOSE(CONTROL!$C$15, $E$9, 100%, $G$9) + CHOOSE(CONTROL!$C$38, 0.0369, 0)</f>
        <v>36.071400000000004</v>
      </c>
      <c r="I569" s="14">
        <f>36.0361 * CHOOSE(CONTROL!$C$15, $E$9, 100%, $G$9) + CHOOSE(CONTROL!$C$38, 0.0369, 0)</f>
        <v>36.073</v>
      </c>
      <c r="J569" s="44">
        <f>322.5458</f>
        <v>322.54579999999999</v>
      </c>
    </row>
    <row r="570" spans="1:10" ht="15.75" x14ac:dyDescent="0.25">
      <c r="A570" s="32">
        <v>58287</v>
      </c>
      <c r="B570" s="14">
        <f>38.9457 * CHOOSE(CONTROL!$C$15, $E$9, 100%, $G$9) + CHOOSE(CONTROL!$C$38, 0.0278, 0)</f>
        <v>38.973500000000001</v>
      </c>
      <c r="C570" s="14">
        <f>35.8296 * CHOOSE(CONTROL!$C$15, $E$9, 100%, $G$9) + CHOOSE(CONTROL!$C$38, 0.0369, 0)</f>
        <v>35.866500000000002</v>
      </c>
      <c r="D570" s="14">
        <f>35.8218 * CHOOSE(CONTROL!$C$15, $E$9, 100%, $G$9) + CHOOSE(CONTROL!$C$38, 0.0369, 0)</f>
        <v>35.858700000000006</v>
      </c>
      <c r="E570" s="46">
        <f>38.7894 * CHOOSE(CONTROL!$C$15, $E$9, 100%, $G$9) + CHOOSE(CONTROL!$C$38, 0.0369, 0)</f>
        <v>38.826300000000003</v>
      </c>
      <c r="F570" s="45">
        <f>38.7894 * CHOOSE(CONTROL!$C$15, $E$9, 100%, $G$9) + CHOOSE(CONTROL!$C$38, 0.0278, 0)</f>
        <v>38.8172</v>
      </c>
      <c r="G570" s="14">
        <f>35.8281 * CHOOSE(CONTROL!$C$15, $E$9, 100%, $G$9) + CHOOSE(CONTROL!$C$38, 0.0369, 0)</f>
        <v>35.865000000000002</v>
      </c>
      <c r="H570" s="14">
        <f>35.8281 * CHOOSE(CONTROL!$C$15, $E$9, 100%, $G$9) + CHOOSE(CONTROL!$C$38, 0.0369, 0)</f>
        <v>35.865000000000002</v>
      </c>
      <c r="I570" s="14">
        <f>35.8296 * CHOOSE(CONTROL!$C$15, $E$9, 100%, $G$9) + CHOOSE(CONTROL!$C$38, 0.0369, 0)</f>
        <v>35.866500000000002</v>
      </c>
      <c r="J570" s="44">
        <f>321.0373</f>
        <v>321.03730000000002</v>
      </c>
    </row>
    <row r="571" spans="1:10" ht="15.75" x14ac:dyDescent="0.25">
      <c r="A571" s="32">
        <v>58318</v>
      </c>
      <c r="B571" s="14">
        <f>39.0476 * CHOOSE(CONTROL!$C$15, $E$9, 100%, $G$9) + CHOOSE(CONTROL!$C$38, 0.0278, 0)</f>
        <v>39.075400000000002</v>
      </c>
      <c r="C571" s="14">
        <f>35.9315 * CHOOSE(CONTROL!$C$15, $E$9, 100%, $G$9) + CHOOSE(CONTROL!$C$38, 0.0369, 0)</f>
        <v>35.968400000000003</v>
      </c>
      <c r="D571" s="14">
        <f>35.9237 * CHOOSE(CONTROL!$C$15, $E$9, 100%, $G$9) + CHOOSE(CONTROL!$C$38, 0.0369, 0)</f>
        <v>35.960599999999999</v>
      </c>
      <c r="E571" s="46">
        <f>38.8913 * CHOOSE(CONTROL!$C$15, $E$9, 100%, $G$9) + CHOOSE(CONTROL!$C$38, 0.0369, 0)</f>
        <v>38.928200000000004</v>
      </c>
      <c r="F571" s="45">
        <f>38.8913 * CHOOSE(CONTROL!$C$15, $E$9, 100%, $G$9) + CHOOSE(CONTROL!$C$38, 0.0278, 0)</f>
        <v>38.9191</v>
      </c>
      <c r="G571" s="14">
        <f>35.93 * CHOOSE(CONTROL!$C$15, $E$9, 100%, $G$9) + CHOOSE(CONTROL!$C$38, 0.0369, 0)</f>
        <v>35.966900000000003</v>
      </c>
      <c r="H571" s="14">
        <f>35.93 * CHOOSE(CONTROL!$C$15, $E$9, 100%, $G$9) + CHOOSE(CONTROL!$C$38, 0.0369, 0)</f>
        <v>35.966900000000003</v>
      </c>
      <c r="I571" s="14">
        <f>35.9315 * CHOOSE(CONTROL!$C$15, $E$9, 100%, $G$9) + CHOOSE(CONTROL!$C$38, 0.0369, 0)</f>
        <v>35.968400000000003</v>
      </c>
      <c r="J571" s="44">
        <f>313.5637</f>
        <v>313.56369999999998</v>
      </c>
    </row>
    <row r="572" spans="1:10" ht="15.75" x14ac:dyDescent="0.25">
      <c r="A572" s="32">
        <v>58348</v>
      </c>
      <c r="B572" s="14">
        <f>39.3244 * CHOOSE(CONTROL!$C$15, $E$9, 100%, $G$9) + CHOOSE(CONTROL!$C$38, 0.0278, 0)</f>
        <v>39.352199999999996</v>
      </c>
      <c r="C572" s="14">
        <f>36.2083 * CHOOSE(CONTROL!$C$15, $E$9, 100%, $G$9) + CHOOSE(CONTROL!$C$38, 0.0369, 0)</f>
        <v>36.245200000000004</v>
      </c>
      <c r="D572" s="14">
        <f>36.2005 * CHOOSE(CONTROL!$C$15, $E$9, 100%, $G$9) + CHOOSE(CONTROL!$C$38, 0.0369, 0)</f>
        <v>36.237400000000001</v>
      </c>
      <c r="E572" s="46">
        <f>39.1681 * CHOOSE(CONTROL!$C$15, $E$9, 100%, $G$9) + CHOOSE(CONTROL!$C$38, 0.0369, 0)</f>
        <v>39.205000000000005</v>
      </c>
      <c r="F572" s="45">
        <f>39.1681 * CHOOSE(CONTROL!$C$15, $E$9, 100%, $G$9) + CHOOSE(CONTROL!$C$38, 0.0278, 0)</f>
        <v>39.195900000000002</v>
      </c>
      <c r="G572" s="14">
        <f>36.2068 * CHOOSE(CONTROL!$C$15, $E$9, 100%, $G$9) + CHOOSE(CONTROL!$C$38, 0.0369, 0)</f>
        <v>36.243700000000004</v>
      </c>
      <c r="H572" s="14">
        <f>36.2068 * CHOOSE(CONTROL!$C$15, $E$9, 100%, $G$9) + CHOOSE(CONTROL!$C$38, 0.0369, 0)</f>
        <v>36.243700000000004</v>
      </c>
      <c r="I572" s="14">
        <f>36.2083 * CHOOSE(CONTROL!$C$15, $E$9, 100%, $G$9) + CHOOSE(CONTROL!$C$38, 0.0369, 0)</f>
        <v>36.245200000000004</v>
      </c>
      <c r="J572" s="44">
        <f>303.1414</f>
        <v>303.14139999999998</v>
      </c>
    </row>
    <row r="573" spans="1:10" ht="15.75" x14ac:dyDescent="0.25">
      <c r="A573" s="32">
        <v>58379</v>
      </c>
      <c r="B573" s="14">
        <f>39.5562 * CHOOSE(CONTROL!$C$15, $E$9, 100%, $G$9) + CHOOSE(CONTROL!$C$38, 0.0256, 0)</f>
        <v>39.581799999999994</v>
      </c>
      <c r="C573" s="14">
        <f>36.4402 * CHOOSE(CONTROL!$C$15, $E$9, 100%, $G$9) + CHOOSE(CONTROL!$C$38, 0.0347, 0)</f>
        <v>36.474899999999998</v>
      </c>
      <c r="D573" s="14">
        <f>36.4323 * CHOOSE(CONTROL!$C$15, $E$9, 100%, $G$9) + CHOOSE(CONTROL!$C$38, 0.0347, 0)</f>
        <v>36.466999999999999</v>
      </c>
      <c r="E573" s="46">
        <f>39.3999 * CHOOSE(CONTROL!$C$15, $E$9, 100%, $G$9) + CHOOSE(CONTROL!$C$38, 0.0347, 0)</f>
        <v>39.434600000000003</v>
      </c>
      <c r="F573" s="45">
        <f>39.3999 * CHOOSE(CONTROL!$C$15, $E$9, 100%, $G$9) + CHOOSE(CONTROL!$C$38, 0.0256, 0)</f>
        <v>39.4255</v>
      </c>
      <c r="G573" s="14">
        <f>36.4386 * CHOOSE(CONTROL!$C$15, $E$9, 100%, $G$9) + CHOOSE(CONTROL!$C$38, 0.0347, 0)</f>
        <v>36.473300000000002</v>
      </c>
      <c r="H573" s="14">
        <f>36.4386 * CHOOSE(CONTROL!$C$15, $E$9, 100%, $G$9) + CHOOSE(CONTROL!$C$38, 0.0347, 0)</f>
        <v>36.473300000000002</v>
      </c>
      <c r="I573" s="14">
        <f>36.4402 * CHOOSE(CONTROL!$C$15, $E$9, 100%, $G$9) + CHOOSE(CONTROL!$C$38, 0.0347, 0)</f>
        <v>36.474899999999998</v>
      </c>
      <c r="J573" s="44">
        <f>292.6585</f>
        <v>292.6585</v>
      </c>
    </row>
    <row r="574" spans="1:10" ht="15.75" x14ac:dyDescent="0.25">
      <c r="A574" s="32">
        <v>58409</v>
      </c>
      <c r="B574" s="14">
        <f>39.7496 * CHOOSE(CONTROL!$C$15, $E$9, 100%, $G$9) + CHOOSE(CONTROL!$C$38, 0.0256, 0)</f>
        <v>39.775199999999998</v>
      </c>
      <c r="C574" s="14">
        <f>36.6336 * CHOOSE(CONTROL!$C$15, $E$9, 100%, $G$9) + CHOOSE(CONTROL!$C$38, 0.0347, 0)</f>
        <v>36.668300000000002</v>
      </c>
      <c r="D574" s="14">
        <f>36.6258 * CHOOSE(CONTROL!$C$15, $E$9, 100%, $G$9) + CHOOSE(CONTROL!$C$38, 0.0347, 0)</f>
        <v>36.660499999999999</v>
      </c>
      <c r="E574" s="46">
        <f>39.5934 * CHOOSE(CONTROL!$C$15, $E$9, 100%, $G$9) + CHOOSE(CONTROL!$C$38, 0.0347, 0)</f>
        <v>39.628100000000003</v>
      </c>
      <c r="F574" s="45">
        <f>39.5934 * CHOOSE(CONTROL!$C$15, $E$9, 100%, $G$9) + CHOOSE(CONTROL!$C$38, 0.0256, 0)</f>
        <v>39.619</v>
      </c>
      <c r="G574" s="14">
        <f>36.632 * CHOOSE(CONTROL!$C$15, $E$9, 100%, $G$9) + CHOOSE(CONTROL!$C$38, 0.0347, 0)</f>
        <v>36.666699999999999</v>
      </c>
      <c r="H574" s="14">
        <f>36.632 * CHOOSE(CONTROL!$C$15, $E$9, 100%, $G$9) + CHOOSE(CONTROL!$C$38, 0.0347, 0)</f>
        <v>36.666699999999999</v>
      </c>
      <c r="I574" s="14">
        <f>36.6336 * CHOOSE(CONTROL!$C$15, $E$9, 100%, $G$9) + CHOOSE(CONTROL!$C$38, 0.0347, 0)</f>
        <v>36.668300000000002</v>
      </c>
      <c r="J574" s="44">
        <f>290.5732</f>
        <v>290.57319999999999</v>
      </c>
    </row>
    <row r="575" spans="1:10" ht="15.75" x14ac:dyDescent="0.25">
      <c r="A575" s="32">
        <v>58440</v>
      </c>
      <c r="B575" s="14">
        <f>40.3457 * CHOOSE(CONTROL!$C$15, $E$9, 100%, $G$9) + CHOOSE(CONTROL!$C$38, 0.0256, 0)</f>
        <v>40.371299999999998</v>
      </c>
      <c r="C575" s="14">
        <f>37.2297 * CHOOSE(CONTROL!$C$15, $E$9, 100%, $G$9) + CHOOSE(CONTROL!$C$38, 0.0347, 0)</f>
        <v>37.264400000000002</v>
      </c>
      <c r="D575" s="14">
        <f>37.2218 * CHOOSE(CONTROL!$C$15, $E$9, 100%, $G$9) + CHOOSE(CONTROL!$C$38, 0.0347, 0)</f>
        <v>37.256500000000003</v>
      </c>
      <c r="E575" s="46">
        <f>40.1894 * CHOOSE(CONTROL!$C$15, $E$9, 100%, $G$9) + CHOOSE(CONTROL!$C$38, 0.0347, 0)</f>
        <v>40.2241</v>
      </c>
      <c r="F575" s="45">
        <f>40.1894 * CHOOSE(CONTROL!$C$15, $E$9, 100%, $G$9) + CHOOSE(CONTROL!$C$38, 0.0256, 0)</f>
        <v>40.214999999999996</v>
      </c>
      <c r="G575" s="14">
        <f>37.2281 * CHOOSE(CONTROL!$C$15, $E$9, 100%, $G$9) + CHOOSE(CONTROL!$C$38, 0.0347, 0)</f>
        <v>37.262799999999999</v>
      </c>
      <c r="H575" s="14">
        <f>37.2281 * CHOOSE(CONTROL!$C$15, $E$9, 100%, $G$9) + CHOOSE(CONTROL!$C$38, 0.0347, 0)</f>
        <v>37.262799999999999</v>
      </c>
      <c r="I575" s="14">
        <f>37.2297 * CHOOSE(CONTROL!$C$15, $E$9, 100%, $G$9) + CHOOSE(CONTROL!$C$38, 0.0347, 0)</f>
        <v>37.264400000000002</v>
      </c>
      <c r="J575" s="44">
        <f>281.9504</f>
        <v>281.9504</v>
      </c>
    </row>
    <row r="576" spans="1:10" ht="15.75" x14ac:dyDescent="0.25">
      <c r="A576" s="32">
        <v>58471</v>
      </c>
      <c r="B576" s="14">
        <f>41.4586 * CHOOSE(CONTROL!$C$15, $E$9, 100%, $G$9) + CHOOSE(CONTROL!$C$38, 0.0256, 0)</f>
        <v>41.484199999999994</v>
      </c>
      <c r="C576" s="14">
        <f>38.294 * CHOOSE(CONTROL!$C$15, $E$9, 100%, $G$9) + CHOOSE(CONTROL!$C$38, 0.0347, 0)</f>
        <v>38.328699999999998</v>
      </c>
      <c r="D576" s="14">
        <f>38.2862 * CHOOSE(CONTROL!$C$15, $E$9, 100%, $G$9) + CHOOSE(CONTROL!$C$38, 0.0347, 0)</f>
        <v>38.320900000000002</v>
      </c>
      <c r="E576" s="46">
        <f>41.3023 * CHOOSE(CONTROL!$C$15, $E$9, 100%, $G$9) + CHOOSE(CONTROL!$C$38, 0.0347, 0)</f>
        <v>41.337000000000003</v>
      </c>
      <c r="F576" s="45">
        <f>41.3023 * CHOOSE(CONTROL!$C$15, $E$9, 100%, $G$9) + CHOOSE(CONTROL!$C$38, 0.0256, 0)</f>
        <v>41.3279</v>
      </c>
      <c r="G576" s="14">
        <f>38.2924 * CHOOSE(CONTROL!$C$15, $E$9, 100%, $G$9) + CHOOSE(CONTROL!$C$38, 0.0347, 0)</f>
        <v>38.327100000000002</v>
      </c>
      <c r="H576" s="14">
        <f>38.2924 * CHOOSE(CONTROL!$C$15, $E$9, 100%, $G$9) + CHOOSE(CONTROL!$C$38, 0.0347, 0)</f>
        <v>38.327100000000002</v>
      </c>
      <c r="I576" s="14">
        <f>38.294 * CHOOSE(CONTROL!$C$15, $E$9, 100%, $G$9) + CHOOSE(CONTROL!$C$38, 0.0347, 0)</f>
        <v>38.328699999999998</v>
      </c>
      <c r="J576" s="44">
        <f>281.4119</f>
        <v>281.4119</v>
      </c>
    </row>
    <row r="577" spans="1:10" ht="15.75" x14ac:dyDescent="0.25">
      <c r="A577" s="32">
        <v>58499</v>
      </c>
      <c r="B577" s="14">
        <f>41.6793 * CHOOSE(CONTROL!$C$15, $E$9, 100%, $G$9) + CHOOSE(CONTROL!$C$38, 0.0256, 0)</f>
        <v>41.704899999999995</v>
      </c>
      <c r="C577" s="14">
        <f>38.5148 * CHOOSE(CONTROL!$C$15, $E$9, 100%, $G$9) + CHOOSE(CONTROL!$C$38, 0.0347, 0)</f>
        <v>38.549500000000002</v>
      </c>
      <c r="D577" s="14">
        <f>38.5069 * CHOOSE(CONTROL!$C$15, $E$9, 100%, $G$9) + CHOOSE(CONTROL!$C$38, 0.0347, 0)</f>
        <v>38.541600000000003</v>
      </c>
      <c r="E577" s="46">
        <f>41.5231 * CHOOSE(CONTROL!$C$15, $E$9, 100%, $G$9) + CHOOSE(CONTROL!$C$38, 0.0347, 0)</f>
        <v>41.5578</v>
      </c>
      <c r="F577" s="45">
        <f>41.5231 * CHOOSE(CONTROL!$C$15, $E$9, 100%, $G$9) + CHOOSE(CONTROL!$C$38, 0.0256, 0)</f>
        <v>41.548699999999997</v>
      </c>
      <c r="G577" s="14">
        <f>38.5132 * CHOOSE(CONTROL!$C$15, $E$9, 100%, $G$9) + CHOOSE(CONTROL!$C$38, 0.0347, 0)</f>
        <v>38.547899999999998</v>
      </c>
      <c r="H577" s="14">
        <f>38.5132 * CHOOSE(CONTROL!$C$15, $E$9, 100%, $G$9) + CHOOSE(CONTROL!$C$38, 0.0347, 0)</f>
        <v>38.547899999999998</v>
      </c>
      <c r="I577" s="14">
        <f>38.5148 * CHOOSE(CONTROL!$C$15, $E$9, 100%, $G$9) + CHOOSE(CONTROL!$C$38, 0.0347, 0)</f>
        <v>38.549500000000002</v>
      </c>
      <c r="J577" s="44">
        <f>280.6297</f>
        <v>280.62970000000001</v>
      </c>
    </row>
    <row r="578" spans="1:10" ht="15.75" x14ac:dyDescent="0.25">
      <c r="A578" s="32">
        <v>58531</v>
      </c>
      <c r="B578" s="14">
        <f>41.1683 * CHOOSE(CONTROL!$C$15, $E$9, 100%, $G$9) + CHOOSE(CONTROL!$C$38, 0.0256, 0)</f>
        <v>41.193899999999999</v>
      </c>
      <c r="C578" s="14">
        <f>38.0037 * CHOOSE(CONTROL!$C$15, $E$9, 100%, $G$9) + CHOOSE(CONTROL!$C$38, 0.0347, 0)</f>
        <v>38.038400000000003</v>
      </c>
      <c r="D578" s="14">
        <f>37.9959 * CHOOSE(CONTROL!$C$15, $E$9, 100%, $G$9) + CHOOSE(CONTROL!$C$38, 0.0347, 0)</f>
        <v>38.0306</v>
      </c>
      <c r="E578" s="46">
        <f>41.012 * CHOOSE(CONTROL!$C$15, $E$9, 100%, $G$9) + CHOOSE(CONTROL!$C$38, 0.0347, 0)</f>
        <v>41.046700000000001</v>
      </c>
      <c r="F578" s="45">
        <f>41.012 * CHOOSE(CONTROL!$C$15, $E$9, 100%, $G$9) + CHOOSE(CONTROL!$C$38, 0.0256, 0)</f>
        <v>41.037599999999998</v>
      </c>
      <c r="G578" s="14">
        <f>38.0022 * CHOOSE(CONTROL!$C$15, $E$9, 100%, $G$9) + CHOOSE(CONTROL!$C$38, 0.0347, 0)</f>
        <v>38.036900000000003</v>
      </c>
      <c r="H578" s="14">
        <f>38.0022 * CHOOSE(CONTROL!$C$15, $E$9, 100%, $G$9) + CHOOSE(CONTROL!$C$38, 0.0347, 0)</f>
        <v>38.036900000000003</v>
      </c>
      <c r="I578" s="14">
        <f>38.0037 * CHOOSE(CONTROL!$C$15, $E$9, 100%, $G$9) + CHOOSE(CONTROL!$C$38, 0.0347, 0)</f>
        <v>38.038400000000003</v>
      </c>
      <c r="J578" s="44">
        <f>295.4205</f>
        <v>295.4205</v>
      </c>
    </row>
    <row r="579" spans="1:10" ht="15.75" x14ac:dyDescent="0.25">
      <c r="A579" s="32">
        <v>58561</v>
      </c>
      <c r="B579" s="14">
        <f>40.6731 * CHOOSE(CONTROL!$C$15, $E$9, 100%, $G$9) + CHOOSE(CONTROL!$C$38, 0.0256, 0)</f>
        <v>40.698699999999995</v>
      </c>
      <c r="C579" s="14">
        <f>37.5085 * CHOOSE(CONTROL!$C$15, $E$9, 100%, $G$9) + CHOOSE(CONTROL!$C$38, 0.0347, 0)</f>
        <v>37.543199999999999</v>
      </c>
      <c r="D579" s="14">
        <f>37.5007 * CHOOSE(CONTROL!$C$15, $E$9, 100%, $G$9) + CHOOSE(CONTROL!$C$38, 0.0347, 0)</f>
        <v>37.535400000000003</v>
      </c>
      <c r="E579" s="46">
        <f>40.5169 * CHOOSE(CONTROL!$C$15, $E$9, 100%, $G$9) + CHOOSE(CONTROL!$C$38, 0.0347, 0)</f>
        <v>40.551600000000001</v>
      </c>
      <c r="F579" s="45">
        <f>40.5169 * CHOOSE(CONTROL!$C$15, $E$9, 100%, $G$9) + CHOOSE(CONTROL!$C$38, 0.0256, 0)</f>
        <v>40.542499999999997</v>
      </c>
      <c r="G579" s="14">
        <f>37.507 * CHOOSE(CONTROL!$C$15, $E$9, 100%, $G$9) + CHOOSE(CONTROL!$C$38, 0.0347, 0)</f>
        <v>37.541699999999999</v>
      </c>
      <c r="H579" s="14">
        <f>37.507 * CHOOSE(CONTROL!$C$15, $E$9, 100%, $G$9) + CHOOSE(CONTROL!$C$38, 0.0347, 0)</f>
        <v>37.541699999999999</v>
      </c>
      <c r="I579" s="14">
        <f>37.5085 * CHOOSE(CONTROL!$C$15, $E$9, 100%, $G$9) + CHOOSE(CONTROL!$C$38, 0.0347, 0)</f>
        <v>37.543199999999999</v>
      </c>
      <c r="J579" s="44">
        <f>314.6007</f>
        <v>314.60070000000002</v>
      </c>
    </row>
    <row r="580" spans="1:10" ht="15.75" x14ac:dyDescent="0.25">
      <c r="A580" s="32">
        <v>58592</v>
      </c>
      <c r="B580" s="14">
        <f>40.157 * CHOOSE(CONTROL!$C$15, $E$9, 100%, $G$9) + CHOOSE(CONTROL!$C$38, 0.0278, 0)</f>
        <v>40.184799999999996</v>
      </c>
      <c r="C580" s="14">
        <f>36.9924 * CHOOSE(CONTROL!$C$15, $E$9, 100%, $G$9) + CHOOSE(CONTROL!$C$38, 0.0369, 0)</f>
        <v>37.029300000000006</v>
      </c>
      <c r="D580" s="14">
        <f>36.9846 * CHOOSE(CONTROL!$C$15, $E$9, 100%, $G$9) + CHOOSE(CONTROL!$C$38, 0.0369, 0)</f>
        <v>37.021500000000003</v>
      </c>
      <c r="E580" s="46">
        <f>40.0007 * CHOOSE(CONTROL!$C$15, $E$9, 100%, $G$9) + CHOOSE(CONTROL!$C$38, 0.0369, 0)</f>
        <v>40.037600000000005</v>
      </c>
      <c r="F580" s="45">
        <f>40.0007 * CHOOSE(CONTROL!$C$15, $E$9, 100%, $G$9) + CHOOSE(CONTROL!$C$38, 0.0278, 0)</f>
        <v>40.028500000000001</v>
      </c>
      <c r="G580" s="14">
        <f>36.9909 * CHOOSE(CONTROL!$C$15, $E$9, 100%, $G$9) + CHOOSE(CONTROL!$C$38, 0.0369, 0)</f>
        <v>37.027800000000006</v>
      </c>
      <c r="H580" s="14">
        <f>36.9909 * CHOOSE(CONTROL!$C$15, $E$9, 100%, $G$9) + CHOOSE(CONTROL!$C$38, 0.0369, 0)</f>
        <v>37.027800000000006</v>
      </c>
      <c r="I580" s="14">
        <f>36.9924 * CHOOSE(CONTROL!$C$15, $E$9, 100%, $G$9) + CHOOSE(CONTROL!$C$38, 0.0369, 0)</f>
        <v>37.029300000000006</v>
      </c>
      <c r="J580" s="44">
        <f>325.158</f>
        <v>325.15800000000002</v>
      </c>
    </row>
    <row r="581" spans="1:10" ht="15.75" x14ac:dyDescent="0.25">
      <c r="A581" s="32">
        <v>58622</v>
      </c>
      <c r="B581" s="14">
        <f>39.7952 * CHOOSE(CONTROL!$C$15, $E$9, 100%, $G$9) + CHOOSE(CONTROL!$C$38, 0.0278, 0)</f>
        <v>39.823</v>
      </c>
      <c r="C581" s="14">
        <f>36.6306 * CHOOSE(CONTROL!$C$15, $E$9, 100%, $G$9) + CHOOSE(CONTROL!$C$38, 0.0369, 0)</f>
        <v>36.667500000000004</v>
      </c>
      <c r="D581" s="14">
        <f>36.6228 * CHOOSE(CONTROL!$C$15, $E$9, 100%, $G$9) + CHOOSE(CONTROL!$C$38, 0.0369, 0)</f>
        <v>36.659700000000001</v>
      </c>
      <c r="E581" s="46">
        <f>39.6389 * CHOOSE(CONTROL!$C$15, $E$9, 100%, $G$9) + CHOOSE(CONTROL!$C$38, 0.0369, 0)</f>
        <v>39.675800000000002</v>
      </c>
      <c r="F581" s="45">
        <f>39.6389 * CHOOSE(CONTROL!$C$15, $E$9, 100%, $G$9) + CHOOSE(CONTROL!$C$38, 0.0278, 0)</f>
        <v>39.666699999999999</v>
      </c>
      <c r="G581" s="14">
        <f>36.629 * CHOOSE(CONTROL!$C$15, $E$9, 100%, $G$9) + CHOOSE(CONTROL!$C$38, 0.0369, 0)</f>
        <v>36.665900000000001</v>
      </c>
      <c r="H581" s="14">
        <f>36.629 * CHOOSE(CONTROL!$C$15, $E$9, 100%, $G$9) + CHOOSE(CONTROL!$C$38, 0.0369, 0)</f>
        <v>36.665900000000001</v>
      </c>
      <c r="I581" s="14">
        <f>36.6306 * CHOOSE(CONTROL!$C$15, $E$9, 100%, $G$9) + CHOOSE(CONTROL!$C$38, 0.0369, 0)</f>
        <v>36.667500000000004</v>
      </c>
      <c r="J581" s="44">
        <f>329.8432</f>
        <v>329.84320000000002</v>
      </c>
    </row>
    <row r="582" spans="1:10" ht="15.75" x14ac:dyDescent="0.25">
      <c r="A582" s="32">
        <v>58653</v>
      </c>
      <c r="B582" s="14">
        <f>39.5887 * CHOOSE(CONTROL!$C$15, $E$9, 100%, $G$9) + CHOOSE(CONTROL!$C$38, 0.0278, 0)</f>
        <v>39.616500000000002</v>
      </c>
      <c r="C582" s="14">
        <f>36.4241 * CHOOSE(CONTROL!$C$15, $E$9, 100%, $G$9) + CHOOSE(CONTROL!$C$38, 0.0369, 0)</f>
        <v>36.461000000000006</v>
      </c>
      <c r="D582" s="14">
        <f>36.4163 * CHOOSE(CONTROL!$C$15, $E$9, 100%, $G$9) + CHOOSE(CONTROL!$C$38, 0.0369, 0)</f>
        <v>36.453200000000002</v>
      </c>
      <c r="E582" s="46">
        <f>39.4324 * CHOOSE(CONTROL!$C$15, $E$9, 100%, $G$9) + CHOOSE(CONTROL!$C$38, 0.0369, 0)</f>
        <v>39.469300000000004</v>
      </c>
      <c r="F582" s="45">
        <f>39.4324 * CHOOSE(CONTROL!$C$15, $E$9, 100%, $G$9) + CHOOSE(CONTROL!$C$38, 0.0278, 0)</f>
        <v>39.4602</v>
      </c>
      <c r="G582" s="14">
        <f>36.4225 * CHOOSE(CONTROL!$C$15, $E$9, 100%, $G$9) + CHOOSE(CONTROL!$C$38, 0.0369, 0)</f>
        <v>36.459400000000002</v>
      </c>
      <c r="H582" s="14">
        <f>36.4225 * CHOOSE(CONTROL!$C$15, $E$9, 100%, $G$9) + CHOOSE(CONTROL!$C$38, 0.0369, 0)</f>
        <v>36.459400000000002</v>
      </c>
      <c r="I582" s="14">
        <f>36.4241 * CHOOSE(CONTROL!$C$15, $E$9, 100%, $G$9) + CHOOSE(CONTROL!$C$38, 0.0369, 0)</f>
        <v>36.461000000000006</v>
      </c>
      <c r="J582" s="44">
        <f>328.3006</f>
        <v>328.30059999999997</v>
      </c>
    </row>
    <row r="583" spans="1:10" ht="15.75" x14ac:dyDescent="0.25">
      <c r="A583" s="32">
        <v>58684</v>
      </c>
      <c r="B583" s="14">
        <f>39.6906 * CHOOSE(CONTROL!$C$15, $E$9, 100%, $G$9) + CHOOSE(CONTROL!$C$38, 0.0278, 0)</f>
        <v>39.718400000000003</v>
      </c>
      <c r="C583" s="14">
        <f>36.526 * CHOOSE(CONTROL!$C$15, $E$9, 100%, $G$9) + CHOOSE(CONTROL!$C$38, 0.0369, 0)</f>
        <v>36.562900000000006</v>
      </c>
      <c r="D583" s="14">
        <f>36.5182 * CHOOSE(CONTROL!$C$15, $E$9, 100%, $G$9) + CHOOSE(CONTROL!$C$38, 0.0369, 0)</f>
        <v>36.555100000000003</v>
      </c>
      <c r="E583" s="46">
        <f>39.5343 * CHOOSE(CONTROL!$C$15, $E$9, 100%, $G$9) + CHOOSE(CONTROL!$C$38, 0.0369, 0)</f>
        <v>39.571200000000005</v>
      </c>
      <c r="F583" s="45">
        <f>39.5343 * CHOOSE(CONTROL!$C$15, $E$9, 100%, $G$9) + CHOOSE(CONTROL!$C$38, 0.0278, 0)</f>
        <v>39.562100000000001</v>
      </c>
      <c r="G583" s="14">
        <f>36.5245 * CHOOSE(CONTROL!$C$15, $E$9, 100%, $G$9) + CHOOSE(CONTROL!$C$38, 0.0369, 0)</f>
        <v>36.561400000000006</v>
      </c>
      <c r="H583" s="14">
        <f>36.5245 * CHOOSE(CONTROL!$C$15, $E$9, 100%, $G$9) + CHOOSE(CONTROL!$C$38, 0.0369, 0)</f>
        <v>36.561400000000006</v>
      </c>
      <c r="I583" s="14">
        <f>36.526 * CHOOSE(CONTROL!$C$15, $E$9, 100%, $G$9) + CHOOSE(CONTROL!$C$38, 0.0369, 0)</f>
        <v>36.562900000000006</v>
      </c>
      <c r="J583" s="44">
        <f>320.6579</f>
        <v>320.65789999999998</v>
      </c>
    </row>
    <row r="584" spans="1:10" ht="15.75" x14ac:dyDescent="0.25">
      <c r="A584" s="32">
        <v>58714</v>
      </c>
      <c r="B584" s="14">
        <f>39.9674 * CHOOSE(CONTROL!$C$15, $E$9, 100%, $G$9) + CHOOSE(CONTROL!$C$38, 0.0278, 0)</f>
        <v>39.995199999999997</v>
      </c>
      <c r="C584" s="14">
        <f>36.8028 * CHOOSE(CONTROL!$C$15, $E$9, 100%, $G$9) + CHOOSE(CONTROL!$C$38, 0.0369, 0)</f>
        <v>36.839700000000001</v>
      </c>
      <c r="D584" s="14">
        <f>36.795 * CHOOSE(CONTROL!$C$15, $E$9, 100%, $G$9) + CHOOSE(CONTROL!$C$38, 0.0369, 0)</f>
        <v>36.831900000000005</v>
      </c>
      <c r="E584" s="46">
        <f>39.8111 * CHOOSE(CONTROL!$C$15, $E$9, 100%, $G$9) + CHOOSE(CONTROL!$C$38, 0.0369, 0)</f>
        <v>39.848000000000006</v>
      </c>
      <c r="F584" s="45">
        <f>39.8111 * CHOOSE(CONTROL!$C$15, $E$9, 100%, $G$9) + CHOOSE(CONTROL!$C$38, 0.0278, 0)</f>
        <v>39.838900000000002</v>
      </c>
      <c r="G584" s="14">
        <f>36.8013 * CHOOSE(CONTROL!$C$15, $E$9, 100%, $G$9) + CHOOSE(CONTROL!$C$38, 0.0369, 0)</f>
        <v>36.838200000000001</v>
      </c>
      <c r="H584" s="14">
        <f>36.8013 * CHOOSE(CONTROL!$C$15, $E$9, 100%, $G$9) + CHOOSE(CONTROL!$C$38, 0.0369, 0)</f>
        <v>36.838200000000001</v>
      </c>
      <c r="I584" s="14">
        <f>36.8028 * CHOOSE(CONTROL!$C$15, $E$9, 100%, $G$9) + CHOOSE(CONTROL!$C$38, 0.0369, 0)</f>
        <v>36.839700000000001</v>
      </c>
      <c r="J584" s="44">
        <f>309.9998</f>
        <v>309.99979999999999</v>
      </c>
    </row>
    <row r="585" spans="1:10" ht="15.75" x14ac:dyDescent="0.25">
      <c r="A585" s="32">
        <v>58745</v>
      </c>
      <c r="B585" s="14">
        <f>40.1992 * CHOOSE(CONTROL!$C$15, $E$9, 100%, $G$9) + CHOOSE(CONTROL!$C$38, 0.0256, 0)</f>
        <v>40.224799999999995</v>
      </c>
      <c r="C585" s="14">
        <f>37.0346 * CHOOSE(CONTROL!$C$15, $E$9, 100%, $G$9) + CHOOSE(CONTROL!$C$38, 0.0347, 0)</f>
        <v>37.069299999999998</v>
      </c>
      <c r="D585" s="14">
        <f>37.0268 * CHOOSE(CONTROL!$C$15, $E$9, 100%, $G$9) + CHOOSE(CONTROL!$C$38, 0.0347, 0)</f>
        <v>37.061500000000002</v>
      </c>
      <c r="E585" s="46">
        <f>40.043 * CHOOSE(CONTROL!$C$15, $E$9, 100%, $G$9) + CHOOSE(CONTROL!$C$38, 0.0347, 0)</f>
        <v>40.0777</v>
      </c>
      <c r="F585" s="45">
        <f>40.043 * CHOOSE(CONTROL!$C$15, $E$9, 100%, $G$9) + CHOOSE(CONTROL!$C$38, 0.0256, 0)</f>
        <v>40.068599999999996</v>
      </c>
      <c r="G585" s="14">
        <f>37.0331 * CHOOSE(CONTROL!$C$15, $E$9, 100%, $G$9) + CHOOSE(CONTROL!$C$38, 0.0347, 0)</f>
        <v>37.067799999999998</v>
      </c>
      <c r="H585" s="14">
        <f>37.0331 * CHOOSE(CONTROL!$C$15, $E$9, 100%, $G$9) + CHOOSE(CONTROL!$C$38, 0.0347, 0)</f>
        <v>37.067799999999998</v>
      </c>
      <c r="I585" s="14">
        <f>37.0346 * CHOOSE(CONTROL!$C$15, $E$9, 100%, $G$9) + CHOOSE(CONTROL!$C$38, 0.0347, 0)</f>
        <v>37.069299999999998</v>
      </c>
      <c r="J585" s="44">
        <f>299.2797</f>
        <v>299.27969999999999</v>
      </c>
    </row>
    <row r="586" spans="1:10" ht="15.75" x14ac:dyDescent="0.25">
      <c r="A586" s="32">
        <v>58775</v>
      </c>
      <c r="B586" s="14">
        <f>40.3926 * CHOOSE(CONTROL!$C$15, $E$9, 100%, $G$9) + CHOOSE(CONTROL!$C$38, 0.0256, 0)</f>
        <v>40.418199999999999</v>
      </c>
      <c r="C586" s="14">
        <f>37.2281 * CHOOSE(CONTROL!$C$15, $E$9, 100%, $G$9) + CHOOSE(CONTROL!$C$38, 0.0347, 0)</f>
        <v>37.262799999999999</v>
      </c>
      <c r="D586" s="14">
        <f>37.2203 * CHOOSE(CONTROL!$C$15, $E$9, 100%, $G$9) + CHOOSE(CONTROL!$C$38, 0.0347, 0)</f>
        <v>37.255000000000003</v>
      </c>
      <c r="E586" s="46">
        <f>40.2364 * CHOOSE(CONTROL!$C$15, $E$9, 100%, $G$9) + CHOOSE(CONTROL!$C$38, 0.0347, 0)</f>
        <v>40.271100000000004</v>
      </c>
      <c r="F586" s="45">
        <f>40.2364 * CHOOSE(CONTROL!$C$15, $E$9, 100%, $G$9) + CHOOSE(CONTROL!$C$38, 0.0256, 0)</f>
        <v>40.262</v>
      </c>
      <c r="G586" s="14">
        <f>37.2265 * CHOOSE(CONTROL!$C$15, $E$9, 100%, $G$9) + CHOOSE(CONTROL!$C$38, 0.0347, 0)</f>
        <v>37.261200000000002</v>
      </c>
      <c r="H586" s="14">
        <f>37.2265 * CHOOSE(CONTROL!$C$15, $E$9, 100%, $G$9) + CHOOSE(CONTROL!$C$38, 0.0347, 0)</f>
        <v>37.261200000000002</v>
      </c>
      <c r="I586" s="14">
        <f>37.2281 * CHOOSE(CONTROL!$C$15, $E$9, 100%, $G$9) + CHOOSE(CONTROL!$C$38, 0.0347, 0)</f>
        <v>37.262799999999999</v>
      </c>
      <c r="J586" s="44">
        <f>297.1473</f>
        <v>297.14729999999997</v>
      </c>
    </row>
    <row r="587" spans="1:10" ht="15.75" x14ac:dyDescent="0.25">
      <c r="A587" s="32">
        <v>58806</v>
      </c>
      <c r="B587" s="14">
        <f>40.9887 * CHOOSE(CONTROL!$C$15, $E$9, 100%, $G$9) + CHOOSE(CONTROL!$C$38, 0.0256, 0)</f>
        <v>41.014299999999999</v>
      </c>
      <c r="C587" s="14">
        <f>37.8242 * CHOOSE(CONTROL!$C$15, $E$9, 100%, $G$9) + CHOOSE(CONTROL!$C$38, 0.0347, 0)</f>
        <v>37.858899999999998</v>
      </c>
      <c r="D587" s="14">
        <f>37.8163 * CHOOSE(CONTROL!$C$15, $E$9, 100%, $G$9) + CHOOSE(CONTROL!$C$38, 0.0347, 0)</f>
        <v>37.850999999999999</v>
      </c>
      <c r="E587" s="46">
        <f>40.8325 * CHOOSE(CONTROL!$C$15, $E$9, 100%, $G$9) + CHOOSE(CONTROL!$C$38, 0.0347, 0)</f>
        <v>40.867200000000004</v>
      </c>
      <c r="F587" s="45">
        <f>40.8325 * CHOOSE(CONTROL!$C$15, $E$9, 100%, $G$9) + CHOOSE(CONTROL!$C$38, 0.0256, 0)</f>
        <v>40.8581</v>
      </c>
      <c r="G587" s="14">
        <f>37.8226 * CHOOSE(CONTROL!$C$15, $E$9, 100%, $G$9) + CHOOSE(CONTROL!$C$38, 0.0347, 0)</f>
        <v>37.857300000000002</v>
      </c>
      <c r="H587" s="14">
        <f>37.8226 * CHOOSE(CONTROL!$C$15, $E$9, 100%, $G$9) + CHOOSE(CONTROL!$C$38, 0.0347, 0)</f>
        <v>37.857300000000002</v>
      </c>
      <c r="I587" s="14">
        <f>37.8242 * CHOOSE(CONTROL!$C$15, $E$9, 100%, $G$9) + CHOOSE(CONTROL!$C$38, 0.0347, 0)</f>
        <v>37.858899999999998</v>
      </c>
      <c r="J587" s="44">
        <f>288.3294</f>
        <v>288.32940000000002</v>
      </c>
    </row>
    <row r="588" spans="1:10" ht="15.75" x14ac:dyDescent="0.25">
      <c r="A588" s="32">
        <v>58837</v>
      </c>
      <c r="B588" s="14">
        <f>42.1121 * CHOOSE(CONTROL!$C$15, $E$9, 100%, $G$9) + CHOOSE(CONTROL!$C$38, 0.0256, 0)</f>
        <v>42.137699999999995</v>
      </c>
      <c r="C588" s="14">
        <f>38.8982 * CHOOSE(CONTROL!$C$15, $E$9, 100%, $G$9) + CHOOSE(CONTROL!$C$38, 0.0347, 0)</f>
        <v>38.932900000000004</v>
      </c>
      <c r="D588" s="14">
        <f>38.8904 * CHOOSE(CONTROL!$C$15, $E$9, 100%, $G$9) + CHOOSE(CONTROL!$C$38, 0.0347, 0)</f>
        <v>38.9251</v>
      </c>
      <c r="E588" s="46">
        <f>41.9559 * CHOOSE(CONTROL!$C$15, $E$9, 100%, $G$9) + CHOOSE(CONTROL!$C$38, 0.0347, 0)</f>
        <v>41.990600000000001</v>
      </c>
      <c r="F588" s="45">
        <f>41.9559 * CHOOSE(CONTROL!$C$15, $E$9, 100%, $G$9) + CHOOSE(CONTROL!$C$38, 0.0256, 0)</f>
        <v>41.981499999999997</v>
      </c>
      <c r="G588" s="14">
        <f>38.8967 * CHOOSE(CONTROL!$C$15, $E$9, 100%, $G$9) + CHOOSE(CONTROL!$C$38, 0.0347, 0)</f>
        <v>38.931400000000004</v>
      </c>
      <c r="H588" s="14">
        <f>38.8967 * CHOOSE(CONTROL!$C$15, $E$9, 100%, $G$9) + CHOOSE(CONTROL!$C$38, 0.0347, 0)</f>
        <v>38.931400000000004</v>
      </c>
      <c r="I588" s="14">
        <f>38.8982 * CHOOSE(CONTROL!$C$15, $E$9, 100%, $G$9) + CHOOSE(CONTROL!$C$38, 0.0347, 0)</f>
        <v>38.932900000000004</v>
      </c>
      <c r="J588" s="44">
        <f>287.7788</f>
        <v>287.77879999999999</v>
      </c>
    </row>
    <row r="589" spans="1:10" ht="15.75" x14ac:dyDescent="0.25">
      <c r="A589" s="32">
        <v>58865</v>
      </c>
      <c r="B589" s="14">
        <f>42.3329 * CHOOSE(CONTROL!$C$15, $E$9, 100%, $G$9) + CHOOSE(CONTROL!$C$38, 0.0256, 0)</f>
        <v>42.358499999999999</v>
      </c>
      <c r="C589" s="14">
        <f>39.119 * CHOOSE(CONTROL!$C$15, $E$9, 100%, $G$9) + CHOOSE(CONTROL!$C$38, 0.0347, 0)</f>
        <v>39.153700000000001</v>
      </c>
      <c r="D589" s="14">
        <f>39.1112 * CHOOSE(CONTROL!$C$15, $E$9, 100%, $G$9) + CHOOSE(CONTROL!$C$38, 0.0347, 0)</f>
        <v>39.145899999999997</v>
      </c>
      <c r="E589" s="46">
        <f>42.1766 * CHOOSE(CONTROL!$C$15, $E$9, 100%, $G$9) + CHOOSE(CONTROL!$C$38, 0.0347, 0)</f>
        <v>42.211300000000001</v>
      </c>
      <c r="F589" s="45">
        <f>42.1766 * CHOOSE(CONTROL!$C$15, $E$9, 100%, $G$9) + CHOOSE(CONTROL!$C$38, 0.0256, 0)</f>
        <v>42.202199999999998</v>
      </c>
      <c r="G589" s="14">
        <f>39.1174 * CHOOSE(CONTROL!$C$15, $E$9, 100%, $G$9) + CHOOSE(CONTROL!$C$38, 0.0347, 0)</f>
        <v>39.152100000000004</v>
      </c>
      <c r="H589" s="14">
        <f>39.1174 * CHOOSE(CONTROL!$C$15, $E$9, 100%, $G$9) + CHOOSE(CONTROL!$C$38, 0.0347, 0)</f>
        <v>39.152100000000004</v>
      </c>
      <c r="I589" s="14">
        <f>39.119 * CHOOSE(CONTROL!$C$15, $E$9, 100%, $G$9) + CHOOSE(CONTROL!$C$38, 0.0347, 0)</f>
        <v>39.153700000000001</v>
      </c>
      <c r="J589" s="44">
        <f>286.9788</f>
        <v>286.97879999999998</v>
      </c>
    </row>
    <row r="590" spans="1:10" ht="15.75" x14ac:dyDescent="0.25">
      <c r="A590" s="32">
        <v>58893</v>
      </c>
      <c r="B590" s="14">
        <f>41.8218 * CHOOSE(CONTROL!$C$15, $E$9, 100%, $G$9) + CHOOSE(CONTROL!$C$38, 0.0256, 0)</f>
        <v>41.8474</v>
      </c>
      <c r="C590" s="14">
        <f>38.608 * CHOOSE(CONTROL!$C$15, $E$9, 100%, $G$9) + CHOOSE(CONTROL!$C$38, 0.0347, 0)</f>
        <v>38.642699999999998</v>
      </c>
      <c r="D590" s="14">
        <f>38.6002 * CHOOSE(CONTROL!$C$15, $E$9, 100%, $G$9) + CHOOSE(CONTROL!$C$38, 0.0347, 0)</f>
        <v>38.634900000000002</v>
      </c>
      <c r="E590" s="46">
        <f>41.6656 * CHOOSE(CONTROL!$C$15, $E$9, 100%, $G$9) + CHOOSE(CONTROL!$C$38, 0.0347, 0)</f>
        <v>41.700299999999999</v>
      </c>
      <c r="F590" s="45">
        <f>41.6656 * CHOOSE(CONTROL!$C$15, $E$9, 100%, $G$9) + CHOOSE(CONTROL!$C$38, 0.0256, 0)</f>
        <v>41.691199999999995</v>
      </c>
      <c r="G590" s="14">
        <f>38.6064 * CHOOSE(CONTROL!$C$15, $E$9, 100%, $G$9) + CHOOSE(CONTROL!$C$38, 0.0347, 0)</f>
        <v>38.641100000000002</v>
      </c>
      <c r="H590" s="14">
        <f>38.6064 * CHOOSE(CONTROL!$C$15, $E$9, 100%, $G$9) + CHOOSE(CONTROL!$C$38, 0.0347, 0)</f>
        <v>38.641100000000002</v>
      </c>
      <c r="I590" s="14">
        <f>38.608 * CHOOSE(CONTROL!$C$15, $E$9, 100%, $G$9) + CHOOSE(CONTROL!$C$38, 0.0347, 0)</f>
        <v>38.642699999999998</v>
      </c>
      <c r="J590" s="44">
        <f>302.1043</f>
        <v>302.10430000000002</v>
      </c>
    </row>
    <row r="591" spans="1:10" ht="15.75" x14ac:dyDescent="0.25">
      <c r="A591" s="32">
        <v>58926</v>
      </c>
      <c r="B591" s="14">
        <f>41.3267 * CHOOSE(CONTROL!$C$15, $E$9, 100%, $G$9) + CHOOSE(CONTROL!$C$38, 0.0256, 0)</f>
        <v>41.3523</v>
      </c>
      <c r="C591" s="14">
        <f>38.1128 * CHOOSE(CONTROL!$C$15, $E$9, 100%, $G$9) + CHOOSE(CONTROL!$C$38, 0.0347, 0)</f>
        <v>38.147500000000001</v>
      </c>
      <c r="D591" s="14">
        <f>38.105 * CHOOSE(CONTROL!$C$15, $E$9, 100%, $G$9) + CHOOSE(CONTROL!$C$38, 0.0347, 0)</f>
        <v>38.139699999999998</v>
      </c>
      <c r="E591" s="46">
        <f>41.1704 * CHOOSE(CONTROL!$C$15, $E$9, 100%, $G$9) + CHOOSE(CONTROL!$C$38, 0.0347, 0)</f>
        <v>41.205100000000002</v>
      </c>
      <c r="F591" s="45">
        <f>41.1704 * CHOOSE(CONTROL!$C$15, $E$9, 100%, $G$9) + CHOOSE(CONTROL!$C$38, 0.0256, 0)</f>
        <v>41.195999999999998</v>
      </c>
      <c r="G591" s="14">
        <f>38.1112 * CHOOSE(CONTROL!$C$15, $E$9, 100%, $G$9) + CHOOSE(CONTROL!$C$38, 0.0347, 0)</f>
        <v>38.145899999999997</v>
      </c>
      <c r="H591" s="14">
        <f>38.1112 * CHOOSE(CONTROL!$C$15, $E$9, 100%, $G$9) + CHOOSE(CONTROL!$C$38, 0.0347, 0)</f>
        <v>38.145899999999997</v>
      </c>
      <c r="I591" s="14">
        <f>38.1128 * CHOOSE(CONTROL!$C$15, $E$9, 100%, $G$9) + CHOOSE(CONTROL!$C$38, 0.0347, 0)</f>
        <v>38.147500000000001</v>
      </c>
      <c r="J591" s="44">
        <f>321.7184</f>
        <v>321.71839999999997</v>
      </c>
    </row>
    <row r="592" spans="1:10" ht="15.75" x14ac:dyDescent="0.25">
      <c r="A592" s="32">
        <v>58957</v>
      </c>
      <c r="B592" s="14">
        <f>40.8106 * CHOOSE(CONTROL!$C$15, $E$9, 100%, $G$9) + CHOOSE(CONTROL!$C$38, 0.0278, 0)</f>
        <v>40.8384</v>
      </c>
      <c r="C592" s="14">
        <f>37.5967 * CHOOSE(CONTROL!$C$15, $E$9, 100%, $G$9) + CHOOSE(CONTROL!$C$38, 0.0369, 0)</f>
        <v>37.633600000000001</v>
      </c>
      <c r="D592" s="14">
        <f>37.5889 * CHOOSE(CONTROL!$C$15, $E$9, 100%, $G$9) + CHOOSE(CONTROL!$C$38, 0.0369, 0)</f>
        <v>37.625800000000005</v>
      </c>
      <c r="E592" s="46">
        <f>40.6543 * CHOOSE(CONTROL!$C$15, $E$9, 100%, $G$9) + CHOOSE(CONTROL!$C$38, 0.0369, 0)</f>
        <v>40.691200000000002</v>
      </c>
      <c r="F592" s="45">
        <f>40.6543 * CHOOSE(CONTROL!$C$15, $E$9, 100%, $G$9) + CHOOSE(CONTROL!$C$38, 0.0278, 0)</f>
        <v>40.682099999999998</v>
      </c>
      <c r="G592" s="14">
        <f>37.5951 * CHOOSE(CONTROL!$C$15, $E$9, 100%, $G$9) + CHOOSE(CONTROL!$C$38, 0.0369, 0)</f>
        <v>37.632000000000005</v>
      </c>
      <c r="H592" s="14">
        <f>37.5951 * CHOOSE(CONTROL!$C$15, $E$9, 100%, $G$9) + CHOOSE(CONTROL!$C$38, 0.0369, 0)</f>
        <v>37.632000000000005</v>
      </c>
      <c r="I592" s="14">
        <f>37.5967 * CHOOSE(CONTROL!$C$15, $E$9, 100%, $G$9) + CHOOSE(CONTROL!$C$38, 0.0369, 0)</f>
        <v>37.633600000000001</v>
      </c>
      <c r="J592" s="44">
        <f>332.5146</f>
        <v>332.51459999999997</v>
      </c>
    </row>
    <row r="593" spans="1:10" ht="15.75" x14ac:dyDescent="0.25">
      <c r="A593" s="32">
        <v>58987</v>
      </c>
      <c r="B593" s="14">
        <f>40.4487 * CHOOSE(CONTROL!$C$15, $E$9, 100%, $G$9) + CHOOSE(CONTROL!$C$38, 0.0278, 0)</f>
        <v>40.476500000000001</v>
      </c>
      <c r="C593" s="14">
        <f>37.2348 * CHOOSE(CONTROL!$C$15, $E$9, 100%, $G$9) + CHOOSE(CONTROL!$C$38, 0.0369, 0)</f>
        <v>37.271700000000003</v>
      </c>
      <c r="D593" s="14">
        <f>37.227 * CHOOSE(CONTROL!$C$15, $E$9, 100%, $G$9) + CHOOSE(CONTROL!$C$38, 0.0369, 0)</f>
        <v>37.2639</v>
      </c>
      <c r="E593" s="46">
        <f>40.2925 * CHOOSE(CONTROL!$C$15, $E$9, 100%, $G$9) + CHOOSE(CONTROL!$C$38, 0.0369, 0)</f>
        <v>40.3294</v>
      </c>
      <c r="F593" s="45">
        <f>40.2925 * CHOOSE(CONTROL!$C$15, $E$9, 100%, $G$9) + CHOOSE(CONTROL!$C$38, 0.0278, 0)</f>
        <v>40.320299999999996</v>
      </c>
      <c r="G593" s="14">
        <f>37.2333 * CHOOSE(CONTROL!$C$15, $E$9, 100%, $G$9) + CHOOSE(CONTROL!$C$38, 0.0369, 0)</f>
        <v>37.270200000000003</v>
      </c>
      <c r="H593" s="14">
        <f>37.2333 * CHOOSE(CONTROL!$C$15, $E$9, 100%, $G$9) + CHOOSE(CONTROL!$C$38, 0.0369, 0)</f>
        <v>37.270200000000003</v>
      </c>
      <c r="I593" s="14">
        <f>37.2348 * CHOOSE(CONTROL!$C$15, $E$9, 100%, $G$9) + CHOOSE(CONTROL!$C$38, 0.0369, 0)</f>
        <v>37.271700000000003</v>
      </c>
      <c r="J593" s="44">
        <f>337.3058</f>
        <v>337.30579999999998</v>
      </c>
    </row>
    <row r="594" spans="1:10" ht="15.75" x14ac:dyDescent="0.25">
      <c r="A594" s="32">
        <v>59018</v>
      </c>
      <c r="B594" s="14">
        <f>40.2422 * CHOOSE(CONTROL!$C$15, $E$9, 100%, $G$9) + CHOOSE(CONTROL!$C$38, 0.0278, 0)</f>
        <v>40.269999999999996</v>
      </c>
      <c r="C594" s="14">
        <f>37.0283 * CHOOSE(CONTROL!$C$15, $E$9, 100%, $G$9) + CHOOSE(CONTROL!$C$38, 0.0369, 0)</f>
        <v>37.065200000000004</v>
      </c>
      <c r="D594" s="14">
        <f>37.0205 * CHOOSE(CONTROL!$C$15, $E$9, 100%, $G$9) + CHOOSE(CONTROL!$C$38, 0.0369, 0)</f>
        <v>37.057400000000001</v>
      </c>
      <c r="E594" s="46">
        <f>40.086 * CHOOSE(CONTROL!$C$15, $E$9, 100%, $G$9) + CHOOSE(CONTROL!$C$38, 0.0369, 0)</f>
        <v>40.122900000000001</v>
      </c>
      <c r="F594" s="45">
        <f>40.086 * CHOOSE(CONTROL!$C$15, $E$9, 100%, $G$9) + CHOOSE(CONTROL!$C$38, 0.0278, 0)</f>
        <v>40.113799999999998</v>
      </c>
      <c r="G594" s="14">
        <f>37.0268 * CHOOSE(CONTROL!$C$15, $E$9, 100%, $G$9) + CHOOSE(CONTROL!$C$38, 0.0369, 0)</f>
        <v>37.063700000000004</v>
      </c>
      <c r="H594" s="14">
        <f>37.0268 * CHOOSE(CONTROL!$C$15, $E$9, 100%, $G$9) + CHOOSE(CONTROL!$C$38, 0.0369, 0)</f>
        <v>37.063700000000004</v>
      </c>
      <c r="I594" s="14">
        <f>37.0283 * CHOOSE(CONTROL!$C$15, $E$9, 100%, $G$9) + CHOOSE(CONTROL!$C$38, 0.0369, 0)</f>
        <v>37.065200000000004</v>
      </c>
      <c r="J594" s="44">
        <f>335.7283</f>
        <v>335.72829999999999</v>
      </c>
    </row>
    <row r="595" spans="1:10" ht="15.75" x14ac:dyDescent="0.25">
      <c r="A595" s="32">
        <v>59049</v>
      </c>
      <c r="B595" s="14">
        <f>40.3441 * CHOOSE(CONTROL!$C$15, $E$9, 100%, $G$9) + CHOOSE(CONTROL!$C$38, 0.0278, 0)</f>
        <v>40.371899999999997</v>
      </c>
      <c r="C595" s="14">
        <f>37.1303 * CHOOSE(CONTROL!$C$15, $E$9, 100%, $G$9) + CHOOSE(CONTROL!$C$38, 0.0369, 0)</f>
        <v>37.167200000000001</v>
      </c>
      <c r="D595" s="14">
        <f>37.1224 * CHOOSE(CONTROL!$C$15, $E$9, 100%, $G$9) + CHOOSE(CONTROL!$C$38, 0.0369, 0)</f>
        <v>37.159300000000002</v>
      </c>
      <c r="E595" s="46">
        <f>40.1879 * CHOOSE(CONTROL!$C$15, $E$9, 100%, $G$9) + CHOOSE(CONTROL!$C$38, 0.0369, 0)</f>
        <v>40.224800000000002</v>
      </c>
      <c r="F595" s="45">
        <f>40.1879 * CHOOSE(CONTROL!$C$15, $E$9, 100%, $G$9) + CHOOSE(CONTROL!$C$38, 0.0278, 0)</f>
        <v>40.215699999999998</v>
      </c>
      <c r="G595" s="14">
        <f>37.1287 * CHOOSE(CONTROL!$C$15, $E$9, 100%, $G$9) + CHOOSE(CONTROL!$C$38, 0.0369, 0)</f>
        <v>37.165600000000005</v>
      </c>
      <c r="H595" s="14">
        <f>37.1287 * CHOOSE(CONTROL!$C$15, $E$9, 100%, $G$9) + CHOOSE(CONTROL!$C$38, 0.0369, 0)</f>
        <v>37.165600000000005</v>
      </c>
      <c r="I595" s="14">
        <f>37.1303 * CHOOSE(CONTROL!$C$15, $E$9, 100%, $G$9) + CHOOSE(CONTROL!$C$38, 0.0369, 0)</f>
        <v>37.167200000000001</v>
      </c>
      <c r="J595" s="44">
        <f>327.9127</f>
        <v>327.91269999999997</v>
      </c>
    </row>
    <row r="596" spans="1:10" ht="15.75" x14ac:dyDescent="0.25">
      <c r="A596" s="32">
        <v>59079</v>
      </c>
      <c r="B596" s="14">
        <f>40.6209 * CHOOSE(CONTROL!$C$15, $E$9, 100%, $G$9) + CHOOSE(CONTROL!$C$38, 0.0278, 0)</f>
        <v>40.648699999999998</v>
      </c>
      <c r="C596" s="14">
        <f>37.4071 * CHOOSE(CONTROL!$C$15, $E$9, 100%, $G$9) + CHOOSE(CONTROL!$C$38, 0.0369, 0)</f>
        <v>37.444000000000003</v>
      </c>
      <c r="D596" s="14">
        <f>37.3992 * CHOOSE(CONTROL!$C$15, $E$9, 100%, $G$9) + CHOOSE(CONTROL!$C$38, 0.0369, 0)</f>
        <v>37.436100000000003</v>
      </c>
      <c r="E596" s="46">
        <f>40.4647 * CHOOSE(CONTROL!$C$15, $E$9, 100%, $G$9) + CHOOSE(CONTROL!$C$38, 0.0369, 0)</f>
        <v>40.501600000000003</v>
      </c>
      <c r="F596" s="45">
        <f>40.4647 * CHOOSE(CONTROL!$C$15, $E$9, 100%, $G$9) + CHOOSE(CONTROL!$C$38, 0.0278, 0)</f>
        <v>40.4925</v>
      </c>
      <c r="G596" s="14">
        <f>37.4055 * CHOOSE(CONTROL!$C$15, $E$9, 100%, $G$9) + CHOOSE(CONTROL!$C$38, 0.0369, 0)</f>
        <v>37.442400000000006</v>
      </c>
      <c r="H596" s="14">
        <f>37.4055 * CHOOSE(CONTROL!$C$15, $E$9, 100%, $G$9) + CHOOSE(CONTROL!$C$38, 0.0369, 0)</f>
        <v>37.442400000000006</v>
      </c>
      <c r="I596" s="14">
        <f>37.4071 * CHOOSE(CONTROL!$C$15, $E$9, 100%, $G$9) + CHOOSE(CONTROL!$C$38, 0.0369, 0)</f>
        <v>37.444000000000003</v>
      </c>
      <c r="J596" s="44">
        <f>317.0134</f>
        <v>317.01339999999999</v>
      </c>
    </row>
    <row r="597" spans="1:10" ht="15.75" x14ac:dyDescent="0.25">
      <c r="A597" s="32">
        <v>59110</v>
      </c>
      <c r="B597" s="14">
        <f>40.8528 * CHOOSE(CONTROL!$C$15, $E$9, 100%, $G$9) + CHOOSE(CONTROL!$C$38, 0.0256, 0)</f>
        <v>40.878399999999999</v>
      </c>
      <c r="C597" s="14">
        <f>37.6389 * CHOOSE(CONTROL!$C$15, $E$9, 100%, $G$9) + CHOOSE(CONTROL!$C$38, 0.0347, 0)</f>
        <v>37.6736</v>
      </c>
      <c r="D597" s="14">
        <f>37.6311 * CHOOSE(CONTROL!$C$15, $E$9, 100%, $G$9) + CHOOSE(CONTROL!$C$38, 0.0347, 0)</f>
        <v>37.665800000000004</v>
      </c>
      <c r="E597" s="46">
        <f>40.6965 * CHOOSE(CONTROL!$C$15, $E$9, 100%, $G$9) + CHOOSE(CONTROL!$C$38, 0.0347, 0)</f>
        <v>40.731200000000001</v>
      </c>
      <c r="F597" s="45">
        <f>40.6965 * CHOOSE(CONTROL!$C$15, $E$9, 100%, $G$9) + CHOOSE(CONTROL!$C$38, 0.0256, 0)</f>
        <v>40.722099999999998</v>
      </c>
      <c r="G597" s="14">
        <f>37.6373 * CHOOSE(CONTROL!$C$15, $E$9, 100%, $G$9) + CHOOSE(CONTROL!$C$38, 0.0347, 0)</f>
        <v>37.672000000000004</v>
      </c>
      <c r="H597" s="14">
        <f>37.6373 * CHOOSE(CONTROL!$C$15, $E$9, 100%, $G$9) + CHOOSE(CONTROL!$C$38, 0.0347, 0)</f>
        <v>37.672000000000004</v>
      </c>
      <c r="I597" s="14">
        <f>37.6389 * CHOOSE(CONTROL!$C$15, $E$9, 100%, $G$9) + CHOOSE(CONTROL!$C$38, 0.0347, 0)</f>
        <v>37.6736</v>
      </c>
      <c r="J597" s="44">
        <f>306.0508</f>
        <v>306.05079999999998</v>
      </c>
    </row>
    <row r="598" spans="1:10" ht="15.75" x14ac:dyDescent="0.25">
      <c r="A598" s="32">
        <v>59140</v>
      </c>
      <c r="B598" s="14">
        <f>41.0462 * CHOOSE(CONTROL!$C$15, $E$9, 100%, $G$9) + CHOOSE(CONTROL!$C$38, 0.0256, 0)</f>
        <v>41.071799999999996</v>
      </c>
      <c r="C598" s="14">
        <f>37.8323 * CHOOSE(CONTROL!$C$15, $E$9, 100%, $G$9) + CHOOSE(CONTROL!$C$38, 0.0347, 0)</f>
        <v>37.866999999999997</v>
      </c>
      <c r="D598" s="14">
        <f>37.8245 * CHOOSE(CONTROL!$C$15, $E$9, 100%, $G$9) + CHOOSE(CONTROL!$C$38, 0.0347, 0)</f>
        <v>37.859200000000001</v>
      </c>
      <c r="E598" s="46">
        <f>40.8899 * CHOOSE(CONTROL!$C$15, $E$9, 100%, $G$9) + CHOOSE(CONTROL!$C$38, 0.0347, 0)</f>
        <v>40.924599999999998</v>
      </c>
      <c r="F598" s="45">
        <f>40.8899 * CHOOSE(CONTROL!$C$15, $E$9, 100%, $G$9) + CHOOSE(CONTROL!$C$38, 0.0256, 0)</f>
        <v>40.915499999999994</v>
      </c>
      <c r="G598" s="14">
        <f>37.8308 * CHOOSE(CONTROL!$C$15, $E$9, 100%, $G$9) + CHOOSE(CONTROL!$C$38, 0.0347, 0)</f>
        <v>37.865500000000004</v>
      </c>
      <c r="H598" s="14">
        <f>37.8308 * CHOOSE(CONTROL!$C$15, $E$9, 100%, $G$9) + CHOOSE(CONTROL!$C$38, 0.0347, 0)</f>
        <v>37.865500000000004</v>
      </c>
      <c r="I598" s="14">
        <f>37.8323 * CHOOSE(CONTROL!$C$15, $E$9, 100%, $G$9) + CHOOSE(CONTROL!$C$38, 0.0347, 0)</f>
        <v>37.866999999999997</v>
      </c>
      <c r="J598" s="44">
        <f>303.8701</f>
        <v>303.87009999999998</v>
      </c>
    </row>
    <row r="599" spans="1:10" ht="15.75" x14ac:dyDescent="0.25">
      <c r="A599" s="32">
        <v>59171</v>
      </c>
      <c r="B599" s="14">
        <f>41.6423 * CHOOSE(CONTROL!$C$15, $E$9, 100%, $G$9) + CHOOSE(CONTROL!$C$38, 0.0256, 0)</f>
        <v>41.667899999999996</v>
      </c>
      <c r="C599" s="14">
        <f>38.4284 * CHOOSE(CONTROL!$C$15, $E$9, 100%, $G$9) + CHOOSE(CONTROL!$C$38, 0.0347, 0)</f>
        <v>38.463100000000004</v>
      </c>
      <c r="D599" s="14">
        <f>38.4206 * CHOOSE(CONTROL!$C$15, $E$9, 100%, $G$9) + CHOOSE(CONTROL!$C$38, 0.0347, 0)</f>
        <v>38.455300000000001</v>
      </c>
      <c r="E599" s="46">
        <f>41.486 * CHOOSE(CONTROL!$C$15, $E$9, 100%, $G$9) + CHOOSE(CONTROL!$C$38, 0.0347, 0)</f>
        <v>41.520699999999998</v>
      </c>
      <c r="F599" s="45">
        <f>41.486 * CHOOSE(CONTROL!$C$15, $E$9, 100%, $G$9) + CHOOSE(CONTROL!$C$38, 0.0256, 0)</f>
        <v>41.511599999999994</v>
      </c>
      <c r="G599" s="14">
        <f>38.4268 * CHOOSE(CONTROL!$C$15, $E$9, 100%, $G$9) + CHOOSE(CONTROL!$C$38, 0.0347, 0)</f>
        <v>38.461500000000001</v>
      </c>
      <c r="H599" s="14">
        <f>38.4268 * CHOOSE(CONTROL!$C$15, $E$9, 100%, $G$9) + CHOOSE(CONTROL!$C$38, 0.0347, 0)</f>
        <v>38.461500000000001</v>
      </c>
      <c r="I599" s="14">
        <f>38.4284 * CHOOSE(CONTROL!$C$15, $E$9, 100%, $G$9) + CHOOSE(CONTROL!$C$38, 0.0347, 0)</f>
        <v>38.463100000000004</v>
      </c>
      <c r="J599" s="44">
        <f>294.8527</f>
        <v>294.85270000000003</v>
      </c>
    </row>
    <row r="600" spans="1:10" ht="15.75" x14ac:dyDescent="0.25">
      <c r="A600" s="32">
        <v>59202</v>
      </c>
      <c r="B600" s="14">
        <f>42.7764 * CHOOSE(CONTROL!$C$15, $E$9, 100%, $G$9) + CHOOSE(CONTROL!$C$38, 0.0256, 0)</f>
        <v>42.802</v>
      </c>
      <c r="C600" s="14">
        <f>39.5124 * CHOOSE(CONTROL!$C$15, $E$9, 100%, $G$9) + CHOOSE(CONTROL!$C$38, 0.0347, 0)</f>
        <v>39.5471</v>
      </c>
      <c r="D600" s="14">
        <f>39.5046 * CHOOSE(CONTROL!$C$15, $E$9, 100%, $G$9) + CHOOSE(CONTROL!$C$38, 0.0347, 0)</f>
        <v>39.539300000000004</v>
      </c>
      <c r="E600" s="46">
        <f>42.6201 * CHOOSE(CONTROL!$C$15, $E$9, 100%, $G$9) + CHOOSE(CONTROL!$C$38, 0.0347, 0)</f>
        <v>42.654800000000002</v>
      </c>
      <c r="F600" s="45">
        <f>42.6201 * CHOOSE(CONTROL!$C$15, $E$9, 100%, $G$9) + CHOOSE(CONTROL!$C$38, 0.0256, 0)</f>
        <v>42.645699999999998</v>
      </c>
      <c r="G600" s="14">
        <f>39.5108 * CHOOSE(CONTROL!$C$15, $E$9, 100%, $G$9) + CHOOSE(CONTROL!$C$38, 0.0347, 0)</f>
        <v>39.545500000000004</v>
      </c>
      <c r="H600" s="14">
        <f>39.5108 * CHOOSE(CONTROL!$C$15, $E$9, 100%, $G$9) + CHOOSE(CONTROL!$C$38, 0.0347, 0)</f>
        <v>39.545500000000004</v>
      </c>
      <c r="I600" s="14">
        <f>39.5124 * CHOOSE(CONTROL!$C$15, $E$9, 100%, $G$9) + CHOOSE(CONTROL!$C$38, 0.0347, 0)</f>
        <v>39.5471</v>
      </c>
      <c r="J600" s="44">
        <f>294.2896</f>
        <v>294.28960000000001</v>
      </c>
    </row>
    <row r="601" spans="1:10" ht="15.75" x14ac:dyDescent="0.25">
      <c r="A601" s="32">
        <v>59230</v>
      </c>
      <c r="B601" s="14">
        <f>42.9972 * CHOOSE(CONTROL!$C$15, $E$9, 100%, $G$9) + CHOOSE(CONTROL!$C$38, 0.0256, 0)</f>
        <v>43.022799999999997</v>
      </c>
      <c r="C601" s="14">
        <f>39.7331 * CHOOSE(CONTROL!$C$15, $E$9, 100%, $G$9) + CHOOSE(CONTROL!$C$38, 0.0347, 0)</f>
        <v>39.767800000000001</v>
      </c>
      <c r="D601" s="14">
        <f>39.7253 * CHOOSE(CONTROL!$C$15, $E$9, 100%, $G$9) + CHOOSE(CONTROL!$C$38, 0.0347, 0)</f>
        <v>39.76</v>
      </c>
      <c r="E601" s="46">
        <f>42.8409 * CHOOSE(CONTROL!$C$15, $E$9, 100%, $G$9) + CHOOSE(CONTROL!$C$38, 0.0347, 0)</f>
        <v>42.875599999999999</v>
      </c>
      <c r="F601" s="45">
        <f>42.8409 * CHOOSE(CONTROL!$C$15, $E$9, 100%, $G$9) + CHOOSE(CONTROL!$C$38, 0.0256, 0)</f>
        <v>42.866499999999995</v>
      </c>
      <c r="G601" s="14">
        <f>39.7316 * CHOOSE(CONTROL!$C$15, $E$9, 100%, $G$9) + CHOOSE(CONTROL!$C$38, 0.0347, 0)</f>
        <v>39.766300000000001</v>
      </c>
      <c r="H601" s="14">
        <f>39.7316 * CHOOSE(CONTROL!$C$15, $E$9, 100%, $G$9) + CHOOSE(CONTROL!$C$38, 0.0347, 0)</f>
        <v>39.766300000000001</v>
      </c>
      <c r="I601" s="14">
        <f>39.7331 * CHOOSE(CONTROL!$C$15, $E$9, 100%, $G$9) + CHOOSE(CONTROL!$C$38, 0.0347, 0)</f>
        <v>39.767800000000001</v>
      </c>
      <c r="J601" s="44">
        <f>293.4716</f>
        <v>293.47160000000002</v>
      </c>
    </row>
    <row r="602" spans="1:10" ht="15.75" x14ac:dyDescent="0.25">
      <c r="A602" s="32">
        <v>59261</v>
      </c>
      <c r="B602" s="14">
        <f>42.4861 * CHOOSE(CONTROL!$C$15, $E$9, 100%, $G$9) + CHOOSE(CONTROL!$C$38, 0.0256, 0)</f>
        <v>42.511699999999998</v>
      </c>
      <c r="C602" s="14">
        <f>39.2221 * CHOOSE(CONTROL!$C$15, $E$9, 100%, $G$9) + CHOOSE(CONTROL!$C$38, 0.0347, 0)</f>
        <v>39.256799999999998</v>
      </c>
      <c r="D602" s="14">
        <f>39.2143 * CHOOSE(CONTROL!$C$15, $E$9, 100%, $G$9) + CHOOSE(CONTROL!$C$38, 0.0347, 0)</f>
        <v>39.249000000000002</v>
      </c>
      <c r="E602" s="46">
        <f>42.3299 * CHOOSE(CONTROL!$C$15, $E$9, 100%, $G$9) + CHOOSE(CONTROL!$C$38, 0.0347, 0)</f>
        <v>42.364600000000003</v>
      </c>
      <c r="F602" s="45">
        <f>42.3299 * CHOOSE(CONTROL!$C$15, $E$9, 100%, $G$9) + CHOOSE(CONTROL!$C$38, 0.0256, 0)</f>
        <v>42.355499999999999</v>
      </c>
      <c r="G602" s="14">
        <f>39.2205 * CHOOSE(CONTROL!$C$15, $E$9, 100%, $G$9) + CHOOSE(CONTROL!$C$38, 0.0347, 0)</f>
        <v>39.255200000000002</v>
      </c>
      <c r="H602" s="14">
        <f>39.2205 * CHOOSE(CONTROL!$C$15, $E$9, 100%, $G$9) + CHOOSE(CONTROL!$C$38, 0.0347, 0)</f>
        <v>39.255200000000002</v>
      </c>
      <c r="I602" s="14">
        <f>39.2221 * CHOOSE(CONTROL!$C$15, $E$9, 100%, $G$9) + CHOOSE(CONTROL!$C$38, 0.0347, 0)</f>
        <v>39.256799999999998</v>
      </c>
      <c r="J602" s="44">
        <f>308.9392</f>
        <v>308.93920000000003</v>
      </c>
    </row>
    <row r="603" spans="1:10" ht="15.75" x14ac:dyDescent="0.25">
      <c r="A603" s="32">
        <v>59291</v>
      </c>
      <c r="B603" s="14">
        <f>41.9909 * CHOOSE(CONTROL!$C$15, $E$9, 100%, $G$9) + CHOOSE(CONTROL!$C$38, 0.0256, 0)</f>
        <v>42.016500000000001</v>
      </c>
      <c r="C603" s="14">
        <f>38.7269 * CHOOSE(CONTROL!$C$15, $E$9, 100%, $G$9) + CHOOSE(CONTROL!$C$38, 0.0347, 0)</f>
        <v>38.761600000000001</v>
      </c>
      <c r="D603" s="14">
        <f>38.7191 * CHOOSE(CONTROL!$C$15, $E$9, 100%, $G$9) + CHOOSE(CONTROL!$C$38, 0.0347, 0)</f>
        <v>38.753799999999998</v>
      </c>
      <c r="E603" s="46">
        <f>41.8347 * CHOOSE(CONTROL!$C$15, $E$9, 100%, $G$9) + CHOOSE(CONTROL!$C$38, 0.0347, 0)</f>
        <v>41.869399999999999</v>
      </c>
      <c r="F603" s="45">
        <f>41.8347 * CHOOSE(CONTROL!$C$15, $E$9, 100%, $G$9) + CHOOSE(CONTROL!$C$38, 0.0256, 0)</f>
        <v>41.860299999999995</v>
      </c>
      <c r="G603" s="14">
        <f>38.7254 * CHOOSE(CONTROL!$C$15, $E$9, 100%, $G$9) + CHOOSE(CONTROL!$C$38, 0.0347, 0)</f>
        <v>38.760100000000001</v>
      </c>
      <c r="H603" s="14">
        <f>38.7254 * CHOOSE(CONTROL!$C$15, $E$9, 100%, $G$9) + CHOOSE(CONTROL!$C$38, 0.0347, 0)</f>
        <v>38.760100000000001</v>
      </c>
      <c r="I603" s="14">
        <f>38.7269 * CHOOSE(CONTROL!$C$15, $E$9, 100%, $G$9) + CHOOSE(CONTROL!$C$38, 0.0347, 0)</f>
        <v>38.761600000000001</v>
      </c>
      <c r="J603" s="44">
        <f>328.9971</f>
        <v>328.99709999999999</v>
      </c>
    </row>
    <row r="604" spans="1:10" ht="15.75" x14ac:dyDescent="0.25">
      <c r="A604" s="32">
        <v>59322</v>
      </c>
      <c r="B604" s="14">
        <f>41.4748 * CHOOSE(CONTROL!$C$15, $E$9, 100%, $G$9) + CHOOSE(CONTROL!$C$38, 0.0278, 0)</f>
        <v>41.502600000000001</v>
      </c>
      <c r="C604" s="14">
        <f>38.2108 * CHOOSE(CONTROL!$C$15, $E$9, 100%, $G$9) + CHOOSE(CONTROL!$C$38, 0.0369, 0)</f>
        <v>38.247700000000002</v>
      </c>
      <c r="D604" s="14">
        <f>38.203 * CHOOSE(CONTROL!$C$15, $E$9, 100%, $G$9) + CHOOSE(CONTROL!$C$38, 0.0369, 0)</f>
        <v>38.239900000000006</v>
      </c>
      <c r="E604" s="46">
        <f>41.3186 * CHOOSE(CONTROL!$C$15, $E$9, 100%, $G$9) + CHOOSE(CONTROL!$C$38, 0.0369, 0)</f>
        <v>41.355500000000006</v>
      </c>
      <c r="F604" s="45">
        <f>41.3186 * CHOOSE(CONTROL!$C$15, $E$9, 100%, $G$9) + CHOOSE(CONTROL!$C$38, 0.0278, 0)</f>
        <v>41.346400000000003</v>
      </c>
      <c r="G604" s="14">
        <f>38.2092 * CHOOSE(CONTROL!$C$15, $E$9, 100%, $G$9) + CHOOSE(CONTROL!$C$38, 0.0369, 0)</f>
        <v>38.246100000000006</v>
      </c>
      <c r="H604" s="14">
        <f>38.2092 * CHOOSE(CONTROL!$C$15, $E$9, 100%, $G$9) + CHOOSE(CONTROL!$C$38, 0.0369, 0)</f>
        <v>38.246100000000006</v>
      </c>
      <c r="I604" s="14">
        <f>38.2108 * CHOOSE(CONTROL!$C$15, $E$9, 100%, $G$9) + CHOOSE(CONTROL!$C$38, 0.0369, 0)</f>
        <v>38.247700000000002</v>
      </c>
      <c r="J604" s="44">
        <f>340.0376</f>
        <v>340.0376</v>
      </c>
    </row>
    <row r="605" spans="1:10" ht="15.75" x14ac:dyDescent="0.25">
      <c r="A605" s="32">
        <v>59352</v>
      </c>
      <c r="B605" s="14">
        <f>41.113 * CHOOSE(CONTROL!$C$15, $E$9, 100%, $G$9) + CHOOSE(CONTROL!$C$38, 0.0278, 0)</f>
        <v>41.140799999999999</v>
      </c>
      <c r="C605" s="14">
        <f>37.849 * CHOOSE(CONTROL!$C$15, $E$9, 100%, $G$9) + CHOOSE(CONTROL!$C$38, 0.0369, 0)</f>
        <v>37.885899999999999</v>
      </c>
      <c r="D605" s="14">
        <f>37.8412 * CHOOSE(CONTROL!$C$15, $E$9, 100%, $G$9) + CHOOSE(CONTROL!$C$38, 0.0369, 0)</f>
        <v>37.878100000000003</v>
      </c>
      <c r="E605" s="46">
        <f>40.9567 * CHOOSE(CONTROL!$C$15, $E$9, 100%, $G$9) + CHOOSE(CONTROL!$C$38, 0.0369, 0)</f>
        <v>40.993600000000001</v>
      </c>
      <c r="F605" s="45">
        <f>40.9567 * CHOOSE(CONTROL!$C$15, $E$9, 100%, $G$9) + CHOOSE(CONTROL!$C$38, 0.0278, 0)</f>
        <v>40.984499999999997</v>
      </c>
      <c r="G605" s="14">
        <f>37.8474 * CHOOSE(CONTROL!$C$15, $E$9, 100%, $G$9) + CHOOSE(CONTROL!$C$38, 0.0369, 0)</f>
        <v>37.884300000000003</v>
      </c>
      <c r="H605" s="14">
        <f>37.8474 * CHOOSE(CONTROL!$C$15, $E$9, 100%, $G$9) + CHOOSE(CONTROL!$C$38, 0.0369, 0)</f>
        <v>37.884300000000003</v>
      </c>
      <c r="I605" s="14">
        <f>37.849 * CHOOSE(CONTROL!$C$15, $E$9, 100%, $G$9) + CHOOSE(CONTROL!$C$38, 0.0369, 0)</f>
        <v>37.885899999999999</v>
      </c>
      <c r="J605" s="44">
        <f>344.9371</f>
        <v>344.93709999999999</v>
      </c>
    </row>
    <row r="606" spans="1:10" ht="15.75" x14ac:dyDescent="0.25">
      <c r="A606" s="32">
        <v>59383</v>
      </c>
      <c r="B606" s="14">
        <f>40.9065 * CHOOSE(CONTROL!$C$15, $E$9, 100%, $G$9) + CHOOSE(CONTROL!$C$38, 0.0278, 0)</f>
        <v>40.9343</v>
      </c>
      <c r="C606" s="14">
        <f>37.6425 * CHOOSE(CONTROL!$C$15, $E$9, 100%, $G$9) + CHOOSE(CONTROL!$C$38, 0.0369, 0)</f>
        <v>37.679400000000001</v>
      </c>
      <c r="D606" s="14">
        <f>37.6347 * CHOOSE(CONTROL!$C$15, $E$9, 100%, $G$9) + CHOOSE(CONTROL!$C$38, 0.0369, 0)</f>
        <v>37.671600000000005</v>
      </c>
      <c r="E606" s="46">
        <f>40.7503 * CHOOSE(CONTROL!$C$15, $E$9, 100%, $G$9) + CHOOSE(CONTROL!$C$38, 0.0369, 0)</f>
        <v>40.787200000000006</v>
      </c>
      <c r="F606" s="45">
        <f>40.7503 * CHOOSE(CONTROL!$C$15, $E$9, 100%, $G$9) + CHOOSE(CONTROL!$C$38, 0.0278, 0)</f>
        <v>40.778100000000002</v>
      </c>
      <c r="G606" s="14">
        <f>37.6409 * CHOOSE(CONTROL!$C$15, $E$9, 100%, $G$9) + CHOOSE(CONTROL!$C$38, 0.0369, 0)</f>
        <v>37.677800000000005</v>
      </c>
      <c r="H606" s="14">
        <f>37.6409 * CHOOSE(CONTROL!$C$15, $E$9, 100%, $G$9) + CHOOSE(CONTROL!$C$38, 0.0369, 0)</f>
        <v>37.677800000000005</v>
      </c>
      <c r="I606" s="14">
        <f>37.6425 * CHOOSE(CONTROL!$C$15, $E$9, 100%, $G$9) + CHOOSE(CONTROL!$C$38, 0.0369, 0)</f>
        <v>37.679400000000001</v>
      </c>
      <c r="J606" s="44">
        <f>343.324</f>
        <v>343.32400000000001</v>
      </c>
    </row>
    <row r="607" spans="1:10" ht="15.75" x14ac:dyDescent="0.25">
      <c r="A607" s="32">
        <v>59414</v>
      </c>
      <c r="B607" s="14">
        <f>41.0084 * CHOOSE(CONTROL!$C$15, $E$9, 100%, $G$9) + CHOOSE(CONTROL!$C$38, 0.0278, 0)</f>
        <v>41.036200000000001</v>
      </c>
      <c r="C607" s="14">
        <f>37.7444 * CHOOSE(CONTROL!$C$15, $E$9, 100%, $G$9) + CHOOSE(CONTROL!$C$38, 0.0369, 0)</f>
        <v>37.781300000000002</v>
      </c>
      <c r="D607" s="14">
        <f>37.7366 * CHOOSE(CONTROL!$C$15, $E$9, 100%, $G$9) + CHOOSE(CONTROL!$C$38, 0.0369, 0)</f>
        <v>37.773500000000006</v>
      </c>
      <c r="E607" s="46">
        <f>40.8522 * CHOOSE(CONTROL!$C$15, $E$9, 100%, $G$9) + CHOOSE(CONTROL!$C$38, 0.0369, 0)</f>
        <v>40.889100000000006</v>
      </c>
      <c r="F607" s="45">
        <f>40.8522 * CHOOSE(CONTROL!$C$15, $E$9, 100%, $G$9) + CHOOSE(CONTROL!$C$38, 0.0278, 0)</f>
        <v>40.880000000000003</v>
      </c>
      <c r="G607" s="14">
        <f>37.7428 * CHOOSE(CONTROL!$C$15, $E$9, 100%, $G$9) + CHOOSE(CONTROL!$C$38, 0.0369, 0)</f>
        <v>37.779700000000005</v>
      </c>
      <c r="H607" s="14">
        <f>37.7428 * CHOOSE(CONTROL!$C$15, $E$9, 100%, $G$9) + CHOOSE(CONTROL!$C$38, 0.0369, 0)</f>
        <v>37.779700000000005</v>
      </c>
      <c r="I607" s="14">
        <f>37.7444 * CHOOSE(CONTROL!$C$15, $E$9, 100%, $G$9) + CHOOSE(CONTROL!$C$38, 0.0369, 0)</f>
        <v>37.781300000000002</v>
      </c>
      <c r="J607" s="44">
        <f>335.3315</f>
        <v>335.33150000000001</v>
      </c>
    </row>
    <row r="608" spans="1:10" ht="15.75" x14ac:dyDescent="0.25">
      <c r="A608" s="32">
        <v>59444</v>
      </c>
      <c r="B608" s="14">
        <f>41.2852 * CHOOSE(CONTROL!$C$15, $E$9, 100%, $G$9) + CHOOSE(CONTROL!$C$38, 0.0278, 0)</f>
        <v>41.313000000000002</v>
      </c>
      <c r="C608" s="14">
        <f>38.0212 * CHOOSE(CONTROL!$C$15, $E$9, 100%, $G$9) + CHOOSE(CONTROL!$C$38, 0.0369, 0)</f>
        <v>38.058100000000003</v>
      </c>
      <c r="D608" s="14">
        <f>38.0134 * CHOOSE(CONTROL!$C$15, $E$9, 100%, $G$9) + CHOOSE(CONTROL!$C$38, 0.0369, 0)</f>
        <v>38.0503</v>
      </c>
      <c r="E608" s="46">
        <f>41.129 * CHOOSE(CONTROL!$C$15, $E$9, 100%, $G$9) + CHOOSE(CONTROL!$C$38, 0.0369, 0)</f>
        <v>41.165900000000001</v>
      </c>
      <c r="F608" s="45">
        <f>41.129 * CHOOSE(CONTROL!$C$15, $E$9, 100%, $G$9) + CHOOSE(CONTROL!$C$38, 0.0278, 0)</f>
        <v>41.156799999999997</v>
      </c>
      <c r="G608" s="14">
        <f>38.0196 * CHOOSE(CONTROL!$C$15, $E$9, 100%, $G$9) + CHOOSE(CONTROL!$C$38, 0.0369, 0)</f>
        <v>38.0565</v>
      </c>
      <c r="H608" s="14">
        <f>38.0196 * CHOOSE(CONTROL!$C$15, $E$9, 100%, $G$9) + CHOOSE(CONTROL!$C$38, 0.0369, 0)</f>
        <v>38.0565</v>
      </c>
      <c r="I608" s="14">
        <f>38.0212 * CHOOSE(CONTROL!$C$15, $E$9, 100%, $G$9) + CHOOSE(CONTROL!$C$38, 0.0369, 0)</f>
        <v>38.058100000000003</v>
      </c>
      <c r="J608" s="44">
        <f>324.1857</f>
        <v>324.1857</v>
      </c>
    </row>
    <row r="609" spans="1:10" ht="15.75" x14ac:dyDescent="0.25">
      <c r="A609" s="32">
        <v>59475</v>
      </c>
      <c r="B609" s="14">
        <f>41.517 * CHOOSE(CONTROL!$C$15, $E$9, 100%, $G$9) + CHOOSE(CONTROL!$C$38, 0.0256, 0)</f>
        <v>41.5426</v>
      </c>
      <c r="C609" s="14">
        <f>38.253 * CHOOSE(CONTROL!$C$15, $E$9, 100%, $G$9) + CHOOSE(CONTROL!$C$38, 0.0347, 0)</f>
        <v>38.287700000000001</v>
      </c>
      <c r="D609" s="14">
        <f>38.2452 * CHOOSE(CONTROL!$C$15, $E$9, 100%, $G$9) + CHOOSE(CONTROL!$C$38, 0.0347, 0)</f>
        <v>38.279899999999998</v>
      </c>
      <c r="E609" s="46">
        <f>41.3608 * CHOOSE(CONTROL!$C$15, $E$9, 100%, $G$9) + CHOOSE(CONTROL!$C$38, 0.0347, 0)</f>
        <v>41.395499999999998</v>
      </c>
      <c r="F609" s="45">
        <f>41.3608 * CHOOSE(CONTROL!$C$15, $E$9, 100%, $G$9) + CHOOSE(CONTROL!$C$38, 0.0256, 0)</f>
        <v>41.386399999999995</v>
      </c>
      <c r="G609" s="14">
        <f>38.2515 * CHOOSE(CONTROL!$C$15, $E$9, 100%, $G$9) + CHOOSE(CONTROL!$C$38, 0.0347, 0)</f>
        <v>38.286200000000001</v>
      </c>
      <c r="H609" s="14">
        <f>38.2515 * CHOOSE(CONTROL!$C$15, $E$9, 100%, $G$9) + CHOOSE(CONTROL!$C$38, 0.0347, 0)</f>
        <v>38.286200000000001</v>
      </c>
      <c r="I609" s="14">
        <f>38.253 * CHOOSE(CONTROL!$C$15, $E$9, 100%, $G$9) + CHOOSE(CONTROL!$C$38, 0.0347, 0)</f>
        <v>38.287700000000001</v>
      </c>
      <c r="J609" s="44">
        <f>312.975</f>
        <v>312.97500000000002</v>
      </c>
    </row>
    <row r="610" spans="1:10" ht="15.75" x14ac:dyDescent="0.25">
      <c r="A610" s="32">
        <v>59505</v>
      </c>
      <c r="B610" s="14">
        <f>41.7105 * CHOOSE(CONTROL!$C$15, $E$9, 100%, $G$9) + CHOOSE(CONTROL!$C$38, 0.0256, 0)</f>
        <v>41.7361</v>
      </c>
      <c r="C610" s="14">
        <f>38.4465 * CHOOSE(CONTROL!$C$15, $E$9, 100%, $G$9) + CHOOSE(CONTROL!$C$38, 0.0347, 0)</f>
        <v>38.481200000000001</v>
      </c>
      <c r="D610" s="14">
        <f>38.4386 * CHOOSE(CONTROL!$C$15, $E$9, 100%, $G$9) + CHOOSE(CONTROL!$C$38, 0.0347, 0)</f>
        <v>38.473300000000002</v>
      </c>
      <c r="E610" s="46">
        <f>41.5542 * CHOOSE(CONTROL!$C$15, $E$9, 100%, $G$9) + CHOOSE(CONTROL!$C$38, 0.0347, 0)</f>
        <v>41.588900000000002</v>
      </c>
      <c r="F610" s="45">
        <f>41.5542 * CHOOSE(CONTROL!$C$15, $E$9, 100%, $G$9) + CHOOSE(CONTROL!$C$38, 0.0256, 0)</f>
        <v>41.579799999999999</v>
      </c>
      <c r="G610" s="14">
        <f>38.4449 * CHOOSE(CONTROL!$C$15, $E$9, 100%, $G$9) + CHOOSE(CONTROL!$C$38, 0.0347, 0)</f>
        <v>38.479599999999998</v>
      </c>
      <c r="H610" s="14">
        <f>38.4449 * CHOOSE(CONTROL!$C$15, $E$9, 100%, $G$9) + CHOOSE(CONTROL!$C$38, 0.0347, 0)</f>
        <v>38.479599999999998</v>
      </c>
      <c r="I610" s="14">
        <f>38.4465 * CHOOSE(CONTROL!$C$15, $E$9, 100%, $G$9) + CHOOSE(CONTROL!$C$38, 0.0347, 0)</f>
        <v>38.481200000000001</v>
      </c>
      <c r="J610" s="44">
        <f>310.745</f>
        <v>310.745</v>
      </c>
    </row>
    <row r="611" spans="1:10" ht="15.75" x14ac:dyDescent="0.25">
      <c r="A611" s="32">
        <v>59536</v>
      </c>
      <c r="B611" s="14">
        <f>42.3065 * CHOOSE(CONTROL!$C$15, $E$9, 100%, $G$9) + CHOOSE(CONTROL!$C$38, 0.0256, 0)</f>
        <v>42.332099999999997</v>
      </c>
      <c r="C611" s="14">
        <f>39.0425 * CHOOSE(CONTROL!$C$15, $E$9, 100%, $G$9) + CHOOSE(CONTROL!$C$38, 0.0347, 0)</f>
        <v>39.077199999999998</v>
      </c>
      <c r="D611" s="14">
        <f>39.0347 * CHOOSE(CONTROL!$C$15, $E$9, 100%, $G$9) + CHOOSE(CONTROL!$C$38, 0.0347, 0)</f>
        <v>39.069400000000002</v>
      </c>
      <c r="E611" s="46">
        <f>42.1503 * CHOOSE(CONTROL!$C$15, $E$9, 100%, $G$9) + CHOOSE(CONTROL!$C$38, 0.0347, 0)</f>
        <v>42.185000000000002</v>
      </c>
      <c r="F611" s="45">
        <f>42.1503 * CHOOSE(CONTROL!$C$15, $E$9, 100%, $G$9) + CHOOSE(CONTROL!$C$38, 0.0256, 0)</f>
        <v>42.175899999999999</v>
      </c>
      <c r="G611" s="14">
        <f>39.041 * CHOOSE(CONTROL!$C$15, $E$9, 100%, $G$9) + CHOOSE(CONTROL!$C$38, 0.0347, 0)</f>
        <v>39.075699999999998</v>
      </c>
      <c r="H611" s="14">
        <f>39.041 * CHOOSE(CONTROL!$C$15, $E$9, 100%, $G$9) + CHOOSE(CONTROL!$C$38, 0.0347, 0)</f>
        <v>39.075699999999998</v>
      </c>
      <c r="I611" s="14">
        <f>39.0425 * CHOOSE(CONTROL!$C$15, $E$9, 100%, $G$9) + CHOOSE(CONTROL!$C$38, 0.0347, 0)</f>
        <v>39.077199999999998</v>
      </c>
      <c r="J611" s="44">
        <f>301.5236</f>
        <v>301.52359999999999</v>
      </c>
    </row>
    <row r="612" spans="1:10" ht="15.75" x14ac:dyDescent="0.25">
      <c r="A612" s="32">
        <v>59567</v>
      </c>
      <c r="B612" s="14">
        <f>43.4516 * CHOOSE(CONTROL!$C$15, $E$9, 100%, $G$9) + CHOOSE(CONTROL!$C$38, 0.0256, 0)</f>
        <v>43.477199999999996</v>
      </c>
      <c r="C612" s="14">
        <f>40.1366 * CHOOSE(CONTROL!$C$15, $E$9, 100%, $G$9) + CHOOSE(CONTROL!$C$38, 0.0347, 0)</f>
        <v>40.171300000000002</v>
      </c>
      <c r="D612" s="14">
        <f>40.1288 * CHOOSE(CONTROL!$C$15, $E$9, 100%, $G$9) + CHOOSE(CONTROL!$C$38, 0.0347, 0)</f>
        <v>40.163499999999999</v>
      </c>
      <c r="E612" s="46">
        <f>43.2953 * CHOOSE(CONTROL!$C$15, $E$9, 100%, $G$9) + CHOOSE(CONTROL!$C$38, 0.0347, 0)</f>
        <v>43.33</v>
      </c>
      <c r="F612" s="45">
        <f>43.2953 * CHOOSE(CONTROL!$C$15, $E$9, 100%, $G$9) + CHOOSE(CONTROL!$C$38, 0.0256, 0)</f>
        <v>43.320899999999995</v>
      </c>
      <c r="G612" s="14">
        <f>40.135 * CHOOSE(CONTROL!$C$15, $E$9, 100%, $G$9) + CHOOSE(CONTROL!$C$38, 0.0347, 0)</f>
        <v>40.169699999999999</v>
      </c>
      <c r="H612" s="14">
        <f>40.135 * CHOOSE(CONTROL!$C$15, $E$9, 100%, $G$9) + CHOOSE(CONTROL!$C$38, 0.0347, 0)</f>
        <v>40.169699999999999</v>
      </c>
      <c r="I612" s="14">
        <f>40.1366 * CHOOSE(CONTROL!$C$15, $E$9, 100%, $G$9) + CHOOSE(CONTROL!$C$38, 0.0347, 0)</f>
        <v>40.171300000000002</v>
      </c>
      <c r="J612" s="44">
        <f>300.9478</f>
        <v>300.94779999999997</v>
      </c>
    </row>
    <row r="613" spans="1:10" ht="15.75" x14ac:dyDescent="0.25">
      <c r="A613" s="32">
        <v>59595</v>
      </c>
      <c r="B613" s="14">
        <f>43.6723 * CHOOSE(CONTROL!$C$15, $E$9, 100%, $G$9) + CHOOSE(CONTROL!$C$38, 0.0256, 0)</f>
        <v>43.697899999999997</v>
      </c>
      <c r="C613" s="14">
        <f>40.3573 * CHOOSE(CONTROL!$C$15, $E$9, 100%, $G$9) + CHOOSE(CONTROL!$C$38, 0.0347, 0)</f>
        <v>40.392000000000003</v>
      </c>
      <c r="D613" s="14">
        <f>40.3495 * CHOOSE(CONTROL!$C$15, $E$9, 100%, $G$9) + CHOOSE(CONTROL!$C$38, 0.0347, 0)</f>
        <v>40.3842</v>
      </c>
      <c r="E613" s="46">
        <f>43.5161 * CHOOSE(CONTROL!$C$15, $E$9, 100%, $G$9) + CHOOSE(CONTROL!$C$38, 0.0347, 0)</f>
        <v>43.550800000000002</v>
      </c>
      <c r="F613" s="45">
        <f>43.5161 * CHOOSE(CONTROL!$C$15, $E$9, 100%, $G$9) + CHOOSE(CONTROL!$C$38, 0.0256, 0)</f>
        <v>43.541699999999999</v>
      </c>
      <c r="G613" s="14">
        <f>40.3558 * CHOOSE(CONTROL!$C$15, $E$9, 100%, $G$9) + CHOOSE(CONTROL!$C$38, 0.0347, 0)</f>
        <v>40.390500000000003</v>
      </c>
      <c r="H613" s="14">
        <f>40.3558 * CHOOSE(CONTROL!$C$15, $E$9, 100%, $G$9) + CHOOSE(CONTROL!$C$38, 0.0347, 0)</f>
        <v>40.390500000000003</v>
      </c>
      <c r="I613" s="14">
        <f>40.3573 * CHOOSE(CONTROL!$C$15, $E$9, 100%, $G$9) + CHOOSE(CONTROL!$C$38, 0.0347, 0)</f>
        <v>40.392000000000003</v>
      </c>
      <c r="J613" s="44">
        <f>300.1112</f>
        <v>300.1112</v>
      </c>
    </row>
    <row r="614" spans="1:10" ht="15.75" x14ac:dyDescent="0.25">
      <c r="A614" s="32">
        <v>59626</v>
      </c>
      <c r="B614" s="14">
        <f>43.1613 * CHOOSE(CONTROL!$C$15, $E$9, 100%, $G$9) + CHOOSE(CONTROL!$C$38, 0.0256, 0)</f>
        <v>43.186899999999994</v>
      </c>
      <c r="C614" s="14">
        <f>39.8463 * CHOOSE(CONTROL!$C$15, $E$9, 100%, $G$9) + CHOOSE(CONTROL!$C$38, 0.0347, 0)</f>
        <v>39.881</v>
      </c>
      <c r="D614" s="14">
        <f>39.8385 * CHOOSE(CONTROL!$C$15, $E$9, 100%, $G$9) + CHOOSE(CONTROL!$C$38, 0.0347, 0)</f>
        <v>39.873200000000004</v>
      </c>
      <c r="E614" s="46">
        <f>43.005 * CHOOSE(CONTROL!$C$15, $E$9, 100%, $G$9) + CHOOSE(CONTROL!$C$38, 0.0347, 0)</f>
        <v>43.039700000000003</v>
      </c>
      <c r="F614" s="45">
        <f>43.005 * CHOOSE(CONTROL!$C$15, $E$9, 100%, $G$9) + CHOOSE(CONTROL!$C$38, 0.0256, 0)</f>
        <v>43.0306</v>
      </c>
      <c r="G614" s="14">
        <f>39.8448 * CHOOSE(CONTROL!$C$15, $E$9, 100%, $G$9) + CHOOSE(CONTROL!$C$38, 0.0347, 0)</f>
        <v>39.8795</v>
      </c>
      <c r="H614" s="14">
        <f>39.8448 * CHOOSE(CONTROL!$C$15, $E$9, 100%, $G$9) + CHOOSE(CONTROL!$C$38, 0.0347, 0)</f>
        <v>39.8795</v>
      </c>
      <c r="I614" s="14">
        <f>39.8463 * CHOOSE(CONTROL!$C$15, $E$9, 100%, $G$9) + CHOOSE(CONTROL!$C$38, 0.0347, 0)</f>
        <v>39.881</v>
      </c>
      <c r="J614" s="44">
        <f>315.9288</f>
        <v>315.92880000000002</v>
      </c>
    </row>
    <row r="615" spans="1:10" ht="15.75" x14ac:dyDescent="0.25">
      <c r="A615" s="32">
        <v>59656</v>
      </c>
      <c r="B615" s="14">
        <f>42.6661 * CHOOSE(CONTROL!$C$15, $E$9, 100%, $G$9) + CHOOSE(CONTROL!$C$38, 0.0256, 0)</f>
        <v>42.691699999999997</v>
      </c>
      <c r="C615" s="14">
        <f>39.3511 * CHOOSE(CONTROL!$C$15, $E$9, 100%, $G$9) + CHOOSE(CONTROL!$C$38, 0.0347, 0)</f>
        <v>39.385800000000003</v>
      </c>
      <c r="D615" s="14">
        <f>39.3433 * CHOOSE(CONTROL!$C$15, $E$9, 100%, $G$9) + CHOOSE(CONTROL!$C$38, 0.0347, 0)</f>
        <v>39.378</v>
      </c>
      <c r="E615" s="46">
        <f>42.5099 * CHOOSE(CONTROL!$C$15, $E$9, 100%, $G$9) + CHOOSE(CONTROL!$C$38, 0.0347, 0)</f>
        <v>42.544600000000003</v>
      </c>
      <c r="F615" s="45">
        <f>42.5099 * CHOOSE(CONTROL!$C$15, $E$9, 100%, $G$9) + CHOOSE(CONTROL!$C$38, 0.0256, 0)</f>
        <v>42.535499999999999</v>
      </c>
      <c r="G615" s="14">
        <f>39.3496 * CHOOSE(CONTROL!$C$15, $E$9, 100%, $G$9) + CHOOSE(CONTROL!$C$38, 0.0347, 0)</f>
        <v>39.384300000000003</v>
      </c>
      <c r="H615" s="14">
        <f>39.3496 * CHOOSE(CONTROL!$C$15, $E$9, 100%, $G$9) + CHOOSE(CONTROL!$C$38, 0.0347, 0)</f>
        <v>39.384300000000003</v>
      </c>
      <c r="I615" s="14">
        <f>39.3511 * CHOOSE(CONTROL!$C$15, $E$9, 100%, $G$9) + CHOOSE(CONTROL!$C$38, 0.0347, 0)</f>
        <v>39.385800000000003</v>
      </c>
      <c r="J615" s="44">
        <f>336.4405</f>
        <v>336.44049999999999</v>
      </c>
    </row>
    <row r="616" spans="1:10" ht="15.75" x14ac:dyDescent="0.25">
      <c r="A616" s="32">
        <v>59687</v>
      </c>
      <c r="B616" s="14">
        <f>42.15 * CHOOSE(CONTROL!$C$15, $E$9, 100%, $G$9) + CHOOSE(CONTROL!$C$38, 0.0278, 0)</f>
        <v>42.177799999999998</v>
      </c>
      <c r="C616" s="14">
        <f>38.835 * CHOOSE(CONTROL!$C$15, $E$9, 100%, $G$9) + CHOOSE(CONTROL!$C$38, 0.0369, 0)</f>
        <v>38.871900000000004</v>
      </c>
      <c r="D616" s="14">
        <f>38.8272 * CHOOSE(CONTROL!$C$15, $E$9, 100%, $G$9) + CHOOSE(CONTROL!$C$38, 0.0369, 0)</f>
        <v>38.864100000000001</v>
      </c>
      <c r="E616" s="46">
        <f>41.9937 * CHOOSE(CONTROL!$C$15, $E$9, 100%, $G$9) + CHOOSE(CONTROL!$C$38, 0.0369, 0)</f>
        <v>42.0306</v>
      </c>
      <c r="F616" s="45">
        <f>41.9937 * CHOOSE(CONTROL!$C$15, $E$9, 100%, $G$9) + CHOOSE(CONTROL!$C$38, 0.0278, 0)</f>
        <v>42.021499999999996</v>
      </c>
      <c r="G616" s="14">
        <f>38.8335 * CHOOSE(CONTROL!$C$15, $E$9, 100%, $G$9) + CHOOSE(CONTROL!$C$38, 0.0369, 0)</f>
        <v>38.870400000000004</v>
      </c>
      <c r="H616" s="14">
        <f>38.8335 * CHOOSE(CONTROL!$C$15, $E$9, 100%, $G$9) + CHOOSE(CONTROL!$C$38, 0.0369, 0)</f>
        <v>38.870400000000004</v>
      </c>
      <c r="I616" s="14">
        <f>38.835 * CHOOSE(CONTROL!$C$15, $E$9, 100%, $G$9) + CHOOSE(CONTROL!$C$38, 0.0369, 0)</f>
        <v>38.871900000000004</v>
      </c>
      <c r="J616" s="44">
        <f>347.7307</f>
        <v>347.73070000000001</v>
      </c>
    </row>
    <row r="617" spans="1:10" ht="15.75" x14ac:dyDescent="0.25">
      <c r="A617" s="32">
        <v>59717</v>
      </c>
      <c r="B617" s="14">
        <f>41.7882 * CHOOSE(CONTROL!$C$15, $E$9, 100%, $G$9) + CHOOSE(CONTROL!$C$38, 0.0278, 0)</f>
        <v>41.816000000000003</v>
      </c>
      <c r="C617" s="14">
        <f>38.4732 * CHOOSE(CONTROL!$C$15, $E$9, 100%, $G$9) + CHOOSE(CONTROL!$C$38, 0.0369, 0)</f>
        <v>38.510100000000001</v>
      </c>
      <c r="D617" s="14">
        <f>38.4654 * CHOOSE(CONTROL!$C$15, $E$9, 100%, $G$9) + CHOOSE(CONTROL!$C$38, 0.0369, 0)</f>
        <v>38.502300000000005</v>
      </c>
      <c r="E617" s="46">
        <f>41.6319 * CHOOSE(CONTROL!$C$15, $E$9, 100%, $G$9) + CHOOSE(CONTROL!$C$38, 0.0369, 0)</f>
        <v>41.668800000000005</v>
      </c>
      <c r="F617" s="45">
        <f>41.6319 * CHOOSE(CONTROL!$C$15, $E$9, 100%, $G$9) + CHOOSE(CONTROL!$C$38, 0.0278, 0)</f>
        <v>41.659700000000001</v>
      </c>
      <c r="G617" s="14">
        <f>38.4716 * CHOOSE(CONTROL!$C$15, $E$9, 100%, $G$9) + CHOOSE(CONTROL!$C$38, 0.0369, 0)</f>
        <v>38.508500000000005</v>
      </c>
      <c r="H617" s="14">
        <f>38.4716 * CHOOSE(CONTROL!$C$15, $E$9, 100%, $G$9) + CHOOSE(CONTROL!$C$38, 0.0369, 0)</f>
        <v>38.508500000000005</v>
      </c>
      <c r="I617" s="14">
        <f>38.4732 * CHOOSE(CONTROL!$C$15, $E$9, 100%, $G$9) + CHOOSE(CONTROL!$C$38, 0.0369, 0)</f>
        <v>38.510100000000001</v>
      </c>
      <c r="J617" s="44">
        <f>352.7412</f>
        <v>352.74119999999999</v>
      </c>
    </row>
    <row r="618" spans="1:10" ht="15.75" x14ac:dyDescent="0.25">
      <c r="A618" s="32">
        <v>59748</v>
      </c>
      <c r="B618" s="14">
        <f>41.5817 * CHOOSE(CONTROL!$C$15, $E$9, 100%, $G$9) + CHOOSE(CONTROL!$C$38, 0.0278, 0)</f>
        <v>41.609499999999997</v>
      </c>
      <c r="C618" s="14">
        <f>38.2667 * CHOOSE(CONTROL!$C$15, $E$9, 100%, $G$9) + CHOOSE(CONTROL!$C$38, 0.0369, 0)</f>
        <v>38.303600000000003</v>
      </c>
      <c r="D618" s="14">
        <f>38.2589 * CHOOSE(CONTROL!$C$15, $E$9, 100%, $G$9) + CHOOSE(CONTROL!$C$38, 0.0369, 0)</f>
        <v>38.2958</v>
      </c>
      <c r="E618" s="46">
        <f>41.4254 * CHOOSE(CONTROL!$C$15, $E$9, 100%, $G$9) + CHOOSE(CONTROL!$C$38, 0.0369, 0)</f>
        <v>41.462300000000006</v>
      </c>
      <c r="F618" s="45">
        <f>41.4254 * CHOOSE(CONTROL!$C$15, $E$9, 100%, $G$9) + CHOOSE(CONTROL!$C$38, 0.0278, 0)</f>
        <v>41.453200000000002</v>
      </c>
      <c r="G618" s="14">
        <f>38.2651 * CHOOSE(CONTROL!$C$15, $E$9, 100%, $G$9) + CHOOSE(CONTROL!$C$38, 0.0369, 0)</f>
        <v>38.302</v>
      </c>
      <c r="H618" s="14">
        <f>38.2651 * CHOOSE(CONTROL!$C$15, $E$9, 100%, $G$9) + CHOOSE(CONTROL!$C$38, 0.0369, 0)</f>
        <v>38.302</v>
      </c>
      <c r="I618" s="14">
        <f>38.2667 * CHOOSE(CONTROL!$C$15, $E$9, 100%, $G$9) + CHOOSE(CONTROL!$C$38, 0.0369, 0)</f>
        <v>38.303600000000003</v>
      </c>
      <c r="J618" s="44">
        <f>351.0915</f>
        <v>351.0915</v>
      </c>
    </row>
    <row r="619" spans="1:10" ht="15.75" x14ac:dyDescent="0.25">
      <c r="A619" s="32">
        <v>59779</v>
      </c>
      <c r="B619" s="14">
        <f>41.6836 * CHOOSE(CONTROL!$C$15, $E$9, 100%, $G$9) + CHOOSE(CONTROL!$C$38, 0.0278, 0)</f>
        <v>41.711399999999998</v>
      </c>
      <c r="C619" s="14">
        <f>38.3686 * CHOOSE(CONTROL!$C$15, $E$9, 100%, $G$9) + CHOOSE(CONTROL!$C$38, 0.0369, 0)</f>
        <v>38.405500000000004</v>
      </c>
      <c r="D619" s="14">
        <f>38.3608 * CHOOSE(CONTROL!$C$15, $E$9, 100%, $G$9) + CHOOSE(CONTROL!$C$38, 0.0369, 0)</f>
        <v>38.3977</v>
      </c>
      <c r="E619" s="46">
        <f>41.5273 * CHOOSE(CONTROL!$C$15, $E$9, 100%, $G$9) + CHOOSE(CONTROL!$C$38, 0.0369, 0)</f>
        <v>41.5642</v>
      </c>
      <c r="F619" s="45">
        <f>41.5273 * CHOOSE(CONTROL!$C$15, $E$9, 100%, $G$9) + CHOOSE(CONTROL!$C$38, 0.0278, 0)</f>
        <v>41.555099999999996</v>
      </c>
      <c r="G619" s="14">
        <f>38.367 * CHOOSE(CONTROL!$C$15, $E$9, 100%, $G$9) + CHOOSE(CONTROL!$C$38, 0.0369, 0)</f>
        <v>38.4039</v>
      </c>
      <c r="H619" s="14">
        <f>38.367 * CHOOSE(CONTROL!$C$15, $E$9, 100%, $G$9) + CHOOSE(CONTROL!$C$38, 0.0369, 0)</f>
        <v>38.4039</v>
      </c>
      <c r="I619" s="14">
        <f>38.3686 * CHOOSE(CONTROL!$C$15, $E$9, 100%, $G$9) + CHOOSE(CONTROL!$C$38, 0.0369, 0)</f>
        <v>38.405500000000004</v>
      </c>
      <c r="J619" s="44">
        <f>342.9182</f>
        <v>342.91820000000001</v>
      </c>
    </row>
    <row r="620" spans="1:10" ht="15.75" x14ac:dyDescent="0.25">
      <c r="A620" s="32">
        <v>59809</v>
      </c>
      <c r="B620" s="14">
        <f>41.9604 * CHOOSE(CONTROL!$C$15, $E$9, 100%, $G$9) + CHOOSE(CONTROL!$C$38, 0.0278, 0)</f>
        <v>41.988199999999999</v>
      </c>
      <c r="C620" s="14">
        <f>38.6454 * CHOOSE(CONTROL!$C$15, $E$9, 100%, $G$9) + CHOOSE(CONTROL!$C$38, 0.0369, 0)</f>
        <v>38.682300000000005</v>
      </c>
      <c r="D620" s="14">
        <f>38.6376 * CHOOSE(CONTROL!$C$15, $E$9, 100%, $G$9) + CHOOSE(CONTROL!$C$38, 0.0369, 0)</f>
        <v>38.674500000000002</v>
      </c>
      <c r="E620" s="46">
        <f>41.8041 * CHOOSE(CONTROL!$C$15, $E$9, 100%, $G$9) + CHOOSE(CONTROL!$C$38, 0.0369, 0)</f>
        <v>41.841000000000001</v>
      </c>
      <c r="F620" s="45">
        <f>41.8041 * CHOOSE(CONTROL!$C$15, $E$9, 100%, $G$9) + CHOOSE(CONTROL!$C$38, 0.0278, 0)</f>
        <v>41.831899999999997</v>
      </c>
      <c r="G620" s="14">
        <f>38.6438 * CHOOSE(CONTROL!$C$15, $E$9, 100%, $G$9) + CHOOSE(CONTROL!$C$38, 0.0369, 0)</f>
        <v>38.680700000000002</v>
      </c>
      <c r="H620" s="14">
        <f>38.6438 * CHOOSE(CONTROL!$C$15, $E$9, 100%, $G$9) + CHOOSE(CONTROL!$C$38, 0.0369, 0)</f>
        <v>38.680700000000002</v>
      </c>
      <c r="I620" s="14">
        <f>38.6454 * CHOOSE(CONTROL!$C$15, $E$9, 100%, $G$9) + CHOOSE(CONTROL!$C$38, 0.0369, 0)</f>
        <v>38.682300000000005</v>
      </c>
      <c r="J620" s="44">
        <f>331.5202</f>
        <v>331.52019999999999</v>
      </c>
    </row>
    <row r="621" spans="1:10" ht="15.75" x14ac:dyDescent="0.25">
      <c r="A621" s="32">
        <v>59840</v>
      </c>
      <c r="B621" s="14">
        <f>42.1922 * CHOOSE(CONTROL!$C$15, $E$9, 100%, $G$9) + CHOOSE(CONTROL!$C$38, 0.0256, 0)</f>
        <v>42.217799999999997</v>
      </c>
      <c r="C621" s="14">
        <f>38.8772 * CHOOSE(CONTROL!$C$15, $E$9, 100%, $G$9) + CHOOSE(CONTROL!$C$38, 0.0347, 0)</f>
        <v>38.911900000000003</v>
      </c>
      <c r="D621" s="14">
        <f>38.8694 * CHOOSE(CONTROL!$C$15, $E$9, 100%, $G$9) + CHOOSE(CONTROL!$C$38, 0.0347, 0)</f>
        <v>38.9041</v>
      </c>
      <c r="E621" s="46">
        <f>42.0359 * CHOOSE(CONTROL!$C$15, $E$9, 100%, $G$9) + CHOOSE(CONTROL!$C$38, 0.0347, 0)</f>
        <v>42.070599999999999</v>
      </c>
      <c r="F621" s="45">
        <f>42.0359 * CHOOSE(CONTROL!$C$15, $E$9, 100%, $G$9) + CHOOSE(CONTROL!$C$38, 0.0256, 0)</f>
        <v>42.061499999999995</v>
      </c>
      <c r="G621" s="14">
        <f>38.8757 * CHOOSE(CONTROL!$C$15, $E$9, 100%, $G$9) + CHOOSE(CONTROL!$C$38, 0.0347, 0)</f>
        <v>38.910400000000003</v>
      </c>
      <c r="H621" s="14">
        <f>38.8757 * CHOOSE(CONTROL!$C$15, $E$9, 100%, $G$9) + CHOOSE(CONTROL!$C$38, 0.0347, 0)</f>
        <v>38.910400000000003</v>
      </c>
      <c r="I621" s="14">
        <f>38.8772 * CHOOSE(CONTROL!$C$15, $E$9, 100%, $G$9) + CHOOSE(CONTROL!$C$38, 0.0347, 0)</f>
        <v>38.911900000000003</v>
      </c>
      <c r="J621" s="44">
        <f>320.0559</f>
        <v>320.05590000000001</v>
      </c>
    </row>
    <row r="622" spans="1:10" ht="15.75" x14ac:dyDescent="0.25">
      <c r="A622" s="32">
        <v>59870</v>
      </c>
      <c r="B622" s="14">
        <f>42.3856 * CHOOSE(CONTROL!$C$15, $E$9, 100%, $G$9) + CHOOSE(CONTROL!$C$38, 0.0256, 0)</f>
        <v>42.411199999999994</v>
      </c>
      <c r="C622" s="14">
        <f>39.0707 * CHOOSE(CONTROL!$C$15, $E$9, 100%, $G$9) + CHOOSE(CONTROL!$C$38, 0.0347, 0)</f>
        <v>39.105400000000003</v>
      </c>
      <c r="D622" s="14">
        <f>39.0629 * CHOOSE(CONTROL!$C$15, $E$9, 100%, $G$9) + CHOOSE(CONTROL!$C$38, 0.0347, 0)</f>
        <v>39.0976</v>
      </c>
      <c r="E622" s="46">
        <f>42.2294 * CHOOSE(CONTROL!$C$15, $E$9, 100%, $G$9) + CHOOSE(CONTROL!$C$38, 0.0347, 0)</f>
        <v>42.264099999999999</v>
      </c>
      <c r="F622" s="45">
        <f>42.2294 * CHOOSE(CONTROL!$C$15, $E$9, 100%, $G$9) + CHOOSE(CONTROL!$C$38, 0.0256, 0)</f>
        <v>42.254999999999995</v>
      </c>
      <c r="G622" s="14">
        <f>39.0691 * CHOOSE(CONTROL!$C$15, $E$9, 100%, $G$9) + CHOOSE(CONTROL!$C$38, 0.0347, 0)</f>
        <v>39.1038</v>
      </c>
      <c r="H622" s="14">
        <f>39.0691 * CHOOSE(CONTROL!$C$15, $E$9, 100%, $G$9) + CHOOSE(CONTROL!$C$38, 0.0347, 0)</f>
        <v>39.1038</v>
      </c>
      <c r="I622" s="14">
        <f>39.0707 * CHOOSE(CONTROL!$C$15, $E$9, 100%, $G$9) + CHOOSE(CONTROL!$C$38, 0.0347, 0)</f>
        <v>39.105400000000003</v>
      </c>
      <c r="J622" s="44">
        <f>317.7754</f>
        <v>317.77539999999999</v>
      </c>
    </row>
    <row r="623" spans="1:10" ht="15.75" x14ac:dyDescent="0.25">
      <c r="A623" s="32">
        <v>59901</v>
      </c>
      <c r="B623" s="14">
        <f>42.9817 * CHOOSE(CONTROL!$C$15, $E$9, 100%, $G$9) + CHOOSE(CONTROL!$C$38, 0.0256, 0)</f>
        <v>43.007299999999994</v>
      </c>
      <c r="C623" s="14">
        <f>39.6667 * CHOOSE(CONTROL!$C$15, $E$9, 100%, $G$9) + CHOOSE(CONTROL!$C$38, 0.0347, 0)</f>
        <v>39.7014</v>
      </c>
      <c r="D623" s="14">
        <f>39.6589 * CHOOSE(CONTROL!$C$15, $E$9, 100%, $G$9) + CHOOSE(CONTROL!$C$38, 0.0347, 0)</f>
        <v>39.693600000000004</v>
      </c>
      <c r="E623" s="46">
        <f>42.8255 * CHOOSE(CONTROL!$C$15, $E$9, 100%, $G$9) + CHOOSE(CONTROL!$C$38, 0.0347, 0)</f>
        <v>42.860199999999999</v>
      </c>
      <c r="F623" s="45">
        <f>42.8255 * CHOOSE(CONTROL!$C$15, $E$9, 100%, $G$9) + CHOOSE(CONTROL!$C$38, 0.0256, 0)</f>
        <v>42.851099999999995</v>
      </c>
      <c r="G623" s="14">
        <f>39.6652 * CHOOSE(CONTROL!$C$15, $E$9, 100%, $G$9) + CHOOSE(CONTROL!$C$38, 0.0347, 0)</f>
        <v>39.6999</v>
      </c>
      <c r="H623" s="14">
        <f>39.6652 * CHOOSE(CONTROL!$C$15, $E$9, 100%, $G$9) + CHOOSE(CONTROL!$C$38, 0.0347, 0)</f>
        <v>39.6999</v>
      </c>
      <c r="I623" s="14">
        <f>39.6667 * CHOOSE(CONTROL!$C$15, $E$9, 100%, $G$9) + CHOOSE(CONTROL!$C$38, 0.0347, 0)</f>
        <v>39.7014</v>
      </c>
      <c r="J623" s="44">
        <f>308.3454</f>
        <v>308.34539999999998</v>
      </c>
    </row>
    <row r="624" spans="1:10" ht="15.75" x14ac:dyDescent="0.25">
      <c r="A624" s="32">
        <v>59932</v>
      </c>
      <c r="B624" s="14">
        <f>44.1378 * CHOOSE(CONTROL!$C$15, $E$9, 100%, $G$9) + CHOOSE(CONTROL!$C$38, 0.0256, 0)</f>
        <v>44.163399999999996</v>
      </c>
      <c r="C624" s="14">
        <f>40.771 * CHOOSE(CONTROL!$C$15, $E$9, 100%, $G$9) + CHOOSE(CONTROL!$C$38, 0.0347, 0)</f>
        <v>40.805700000000002</v>
      </c>
      <c r="D624" s="14">
        <f>40.7632 * CHOOSE(CONTROL!$C$15, $E$9, 100%, $G$9) + CHOOSE(CONTROL!$C$38, 0.0347, 0)</f>
        <v>40.797899999999998</v>
      </c>
      <c r="E624" s="46">
        <f>43.9815 * CHOOSE(CONTROL!$C$15, $E$9, 100%, $G$9) + CHOOSE(CONTROL!$C$38, 0.0347, 0)</f>
        <v>44.016199999999998</v>
      </c>
      <c r="F624" s="45">
        <f>43.9815 * CHOOSE(CONTROL!$C$15, $E$9, 100%, $G$9) + CHOOSE(CONTROL!$C$38, 0.0256, 0)</f>
        <v>44.007099999999994</v>
      </c>
      <c r="G624" s="14">
        <f>40.7695 * CHOOSE(CONTROL!$C$15, $E$9, 100%, $G$9) + CHOOSE(CONTROL!$C$38, 0.0347, 0)</f>
        <v>40.804200000000002</v>
      </c>
      <c r="H624" s="14">
        <f>40.7695 * CHOOSE(CONTROL!$C$15, $E$9, 100%, $G$9) + CHOOSE(CONTROL!$C$38, 0.0347, 0)</f>
        <v>40.804200000000002</v>
      </c>
      <c r="I624" s="14">
        <f>40.771 * CHOOSE(CONTROL!$C$15, $E$9, 100%, $G$9) + CHOOSE(CONTROL!$C$38, 0.0347, 0)</f>
        <v>40.805700000000002</v>
      </c>
      <c r="J624" s="44">
        <f>307.7566</f>
        <v>307.75659999999999</v>
      </c>
    </row>
    <row r="625" spans="1:10" ht="15.75" x14ac:dyDescent="0.25">
      <c r="A625" s="32">
        <v>59961</v>
      </c>
      <c r="B625" s="14">
        <f>44.3585 * CHOOSE(CONTROL!$C$15, $E$9, 100%, $G$9) + CHOOSE(CONTROL!$C$38, 0.0256, 0)</f>
        <v>44.384099999999997</v>
      </c>
      <c r="C625" s="14">
        <f>40.9918 * CHOOSE(CONTROL!$C$15, $E$9, 100%, $G$9) + CHOOSE(CONTROL!$C$38, 0.0347, 0)</f>
        <v>41.026499999999999</v>
      </c>
      <c r="D625" s="14">
        <f>40.984 * CHOOSE(CONTROL!$C$15, $E$9, 100%, $G$9) + CHOOSE(CONTROL!$C$38, 0.0347, 0)</f>
        <v>41.018700000000003</v>
      </c>
      <c r="E625" s="46">
        <f>44.2023 * CHOOSE(CONTROL!$C$15, $E$9, 100%, $G$9) + CHOOSE(CONTROL!$C$38, 0.0347, 0)</f>
        <v>44.237000000000002</v>
      </c>
      <c r="F625" s="45">
        <f>44.2023 * CHOOSE(CONTROL!$C$15, $E$9, 100%, $G$9) + CHOOSE(CONTROL!$C$38, 0.0256, 0)</f>
        <v>44.227899999999998</v>
      </c>
      <c r="G625" s="14">
        <f>40.9902 * CHOOSE(CONTROL!$C$15, $E$9, 100%, $G$9) + CHOOSE(CONTROL!$C$38, 0.0347, 0)</f>
        <v>41.024900000000002</v>
      </c>
      <c r="H625" s="14">
        <f>40.9902 * CHOOSE(CONTROL!$C$15, $E$9, 100%, $G$9) + CHOOSE(CONTROL!$C$38, 0.0347, 0)</f>
        <v>41.024900000000002</v>
      </c>
      <c r="I625" s="14">
        <f>40.9918 * CHOOSE(CONTROL!$C$15, $E$9, 100%, $G$9) + CHOOSE(CONTROL!$C$38, 0.0347, 0)</f>
        <v>41.026499999999999</v>
      </c>
      <c r="J625" s="44">
        <f>306.9011</f>
        <v>306.90109999999999</v>
      </c>
    </row>
    <row r="626" spans="1:10" ht="15.75" x14ac:dyDescent="0.25">
      <c r="A626" s="32">
        <v>59992</v>
      </c>
      <c r="B626" s="14">
        <f>43.8475 * CHOOSE(CONTROL!$C$15, $E$9, 100%, $G$9) + CHOOSE(CONTROL!$C$38, 0.0256, 0)</f>
        <v>43.873099999999994</v>
      </c>
      <c r="C626" s="14">
        <f>40.4808 * CHOOSE(CONTROL!$C$15, $E$9, 100%, $G$9) + CHOOSE(CONTROL!$C$38, 0.0347, 0)</f>
        <v>40.515500000000003</v>
      </c>
      <c r="D626" s="14">
        <f>40.4729 * CHOOSE(CONTROL!$C$15, $E$9, 100%, $G$9) + CHOOSE(CONTROL!$C$38, 0.0347, 0)</f>
        <v>40.507600000000004</v>
      </c>
      <c r="E626" s="46">
        <f>43.6913 * CHOOSE(CONTROL!$C$15, $E$9, 100%, $G$9) + CHOOSE(CONTROL!$C$38, 0.0347, 0)</f>
        <v>43.725999999999999</v>
      </c>
      <c r="F626" s="45">
        <f>43.6913 * CHOOSE(CONTROL!$C$15, $E$9, 100%, $G$9) + CHOOSE(CONTROL!$C$38, 0.0256, 0)</f>
        <v>43.716899999999995</v>
      </c>
      <c r="G626" s="14">
        <f>40.4792 * CHOOSE(CONTROL!$C$15, $E$9, 100%, $G$9) + CHOOSE(CONTROL!$C$38, 0.0347, 0)</f>
        <v>40.5139</v>
      </c>
      <c r="H626" s="14">
        <f>40.4792 * CHOOSE(CONTROL!$C$15, $E$9, 100%, $G$9) + CHOOSE(CONTROL!$C$38, 0.0347, 0)</f>
        <v>40.5139</v>
      </c>
      <c r="I626" s="14">
        <f>40.4808 * CHOOSE(CONTROL!$C$15, $E$9, 100%, $G$9) + CHOOSE(CONTROL!$C$38, 0.0347, 0)</f>
        <v>40.515500000000003</v>
      </c>
      <c r="J626" s="44">
        <f>323.0766</f>
        <v>323.07659999999998</v>
      </c>
    </row>
    <row r="627" spans="1:10" ht="15.75" x14ac:dyDescent="0.25">
      <c r="A627" s="32">
        <v>60022</v>
      </c>
      <c r="B627" s="14">
        <f>43.3523 * CHOOSE(CONTROL!$C$15, $E$9, 100%, $G$9) + CHOOSE(CONTROL!$C$38, 0.0256, 0)</f>
        <v>43.377899999999997</v>
      </c>
      <c r="C627" s="14">
        <f>39.9856 * CHOOSE(CONTROL!$C$15, $E$9, 100%, $G$9) + CHOOSE(CONTROL!$C$38, 0.0347, 0)</f>
        <v>40.020299999999999</v>
      </c>
      <c r="D627" s="14">
        <f>39.9778 * CHOOSE(CONTROL!$C$15, $E$9, 100%, $G$9) + CHOOSE(CONTROL!$C$38, 0.0347, 0)</f>
        <v>40.012500000000003</v>
      </c>
      <c r="E627" s="46">
        <f>43.1961 * CHOOSE(CONTROL!$C$15, $E$9, 100%, $G$9) + CHOOSE(CONTROL!$C$38, 0.0347, 0)</f>
        <v>43.230800000000002</v>
      </c>
      <c r="F627" s="45">
        <f>43.1961 * CHOOSE(CONTROL!$C$15, $E$9, 100%, $G$9) + CHOOSE(CONTROL!$C$38, 0.0256, 0)</f>
        <v>43.221699999999998</v>
      </c>
      <c r="G627" s="14">
        <f>39.984 * CHOOSE(CONTROL!$C$15, $E$9, 100%, $G$9) + CHOOSE(CONTROL!$C$38, 0.0347, 0)</f>
        <v>40.018700000000003</v>
      </c>
      <c r="H627" s="14">
        <f>39.984 * CHOOSE(CONTROL!$C$15, $E$9, 100%, $G$9) + CHOOSE(CONTROL!$C$38, 0.0347, 0)</f>
        <v>40.018700000000003</v>
      </c>
      <c r="I627" s="14">
        <f>39.9856 * CHOOSE(CONTROL!$C$15, $E$9, 100%, $G$9) + CHOOSE(CONTROL!$C$38, 0.0347, 0)</f>
        <v>40.020299999999999</v>
      </c>
      <c r="J627" s="44">
        <f>344.0523</f>
        <v>344.0523</v>
      </c>
    </row>
    <row r="628" spans="1:10" ht="15.75" x14ac:dyDescent="0.25">
      <c r="A628" s="32">
        <v>60053</v>
      </c>
      <c r="B628" s="14">
        <f>42.8362 * CHOOSE(CONTROL!$C$15, $E$9, 100%, $G$9) + CHOOSE(CONTROL!$C$38, 0.0278, 0)</f>
        <v>42.863999999999997</v>
      </c>
      <c r="C628" s="14">
        <f>39.4695 * CHOOSE(CONTROL!$C$15, $E$9, 100%, $G$9) + CHOOSE(CONTROL!$C$38, 0.0369, 0)</f>
        <v>39.506399999999999</v>
      </c>
      <c r="D628" s="14">
        <f>39.4617 * CHOOSE(CONTROL!$C$15, $E$9, 100%, $G$9) + CHOOSE(CONTROL!$C$38, 0.0369, 0)</f>
        <v>39.498600000000003</v>
      </c>
      <c r="E628" s="46">
        <f>42.68 * CHOOSE(CONTROL!$C$15, $E$9, 100%, $G$9) + CHOOSE(CONTROL!$C$38, 0.0369, 0)</f>
        <v>42.716900000000003</v>
      </c>
      <c r="F628" s="45">
        <f>42.68 * CHOOSE(CONTROL!$C$15, $E$9, 100%, $G$9) + CHOOSE(CONTROL!$C$38, 0.0278, 0)</f>
        <v>42.707799999999999</v>
      </c>
      <c r="G628" s="14">
        <f>39.4679 * CHOOSE(CONTROL!$C$15, $E$9, 100%, $G$9) + CHOOSE(CONTROL!$C$38, 0.0369, 0)</f>
        <v>39.504800000000003</v>
      </c>
      <c r="H628" s="14">
        <f>39.4679 * CHOOSE(CONTROL!$C$15, $E$9, 100%, $G$9) + CHOOSE(CONTROL!$C$38, 0.0369, 0)</f>
        <v>39.504800000000003</v>
      </c>
      <c r="I628" s="14">
        <f>39.4695 * CHOOSE(CONTROL!$C$15, $E$9, 100%, $G$9) + CHOOSE(CONTROL!$C$38, 0.0369, 0)</f>
        <v>39.506399999999999</v>
      </c>
      <c r="J628" s="44">
        <f>355.598</f>
        <v>355.59800000000001</v>
      </c>
    </row>
    <row r="629" spans="1:10" ht="15.75" x14ac:dyDescent="0.25">
      <c r="A629" s="32">
        <v>60083</v>
      </c>
      <c r="B629" s="14">
        <f>42.4744 * CHOOSE(CONTROL!$C$15, $E$9, 100%, $G$9) + CHOOSE(CONTROL!$C$38, 0.0278, 0)</f>
        <v>42.502200000000002</v>
      </c>
      <c r="C629" s="14">
        <f>39.1076 * CHOOSE(CONTROL!$C$15, $E$9, 100%, $G$9) + CHOOSE(CONTROL!$C$38, 0.0369, 0)</f>
        <v>39.144500000000001</v>
      </c>
      <c r="D629" s="14">
        <f>39.0998 * CHOOSE(CONTROL!$C$15, $E$9, 100%, $G$9) + CHOOSE(CONTROL!$C$38, 0.0369, 0)</f>
        <v>39.136700000000005</v>
      </c>
      <c r="E629" s="46">
        <f>42.3181 * CHOOSE(CONTROL!$C$15, $E$9, 100%, $G$9) + CHOOSE(CONTROL!$C$38, 0.0369, 0)</f>
        <v>42.355000000000004</v>
      </c>
      <c r="F629" s="45">
        <f>42.3181 * CHOOSE(CONTROL!$C$15, $E$9, 100%, $G$9) + CHOOSE(CONTROL!$C$38, 0.0278, 0)</f>
        <v>42.3459</v>
      </c>
      <c r="G629" s="14">
        <f>39.1061 * CHOOSE(CONTROL!$C$15, $E$9, 100%, $G$9) + CHOOSE(CONTROL!$C$38, 0.0369, 0)</f>
        <v>39.143000000000001</v>
      </c>
      <c r="H629" s="14">
        <f>39.1061 * CHOOSE(CONTROL!$C$15, $E$9, 100%, $G$9) + CHOOSE(CONTROL!$C$38, 0.0369, 0)</f>
        <v>39.143000000000001</v>
      </c>
      <c r="I629" s="14">
        <f>39.1076 * CHOOSE(CONTROL!$C$15, $E$9, 100%, $G$9) + CHOOSE(CONTROL!$C$38, 0.0369, 0)</f>
        <v>39.144500000000001</v>
      </c>
      <c r="J629" s="44">
        <f>360.7218</f>
        <v>360.72179999999997</v>
      </c>
    </row>
    <row r="630" spans="1:10" ht="15.75" x14ac:dyDescent="0.25">
      <c r="A630" s="32">
        <v>60114</v>
      </c>
      <c r="B630" s="14">
        <f>42.2679 * CHOOSE(CONTROL!$C$15, $E$9, 100%, $G$9) + CHOOSE(CONTROL!$C$38, 0.0278, 0)</f>
        <v>42.295699999999997</v>
      </c>
      <c r="C630" s="14">
        <f>38.9011 * CHOOSE(CONTROL!$C$15, $E$9, 100%, $G$9) + CHOOSE(CONTROL!$C$38, 0.0369, 0)</f>
        <v>38.938000000000002</v>
      </c>
      <c r="D630" s="14">
        <f>38.8933 * CHOOSE(CONTROL!$C$15, $E$9, 100%, $G$9) + CHOOSE(CONTROL!$C$38, 0.0369, 0)</f>
        <v>38.930200000000006</v>
      </c>
      <c r="E630" s="46">
        <f>42.1116 * CHOOSE(CONTROL!$C$15, $E$9, 100%, $G$9) + CHOOSE(CONTROL!$C$38, 0.0369, 0)</f>
        <v>42.148500000000006</v>
      </c>
      <c r="F630" s="45">
        <f>42.1116 * CHOOSE(CONTROL!$C$15, $E$9, 100%, $G$9) + CHOOSE(CONTROL!$C$38, 0.0278, 0)</f>
        <v>42.139400000000002</v>
      </c>
      <c r="G630" s="14">
        <f>38.8996 * CHOOSE(CONTROL!$C$15, $E$9, 100%, $G$9) + CHOOSE(CONTROL!$C$38, 0.0369, 0)</f>
        <v>38.936500000000002</v>
      </c>
      <c r="H630" s="14">
        <f>38.8996 * CHOOSE(CONTROL!$C$15, $E$9, 100%, $G$9) + CHOOSE(CONTROL!$C$38, 0.0369, 0)</f>
        <v>38.936500000000002</v>
      </c>
      <c r="I630" s="14">
        <f>38.9011 * CHOOSE(CONTROL!$C$15, $E$9, 100%, $G$9) + CHOOSE(CONTROL!$C$38, 0.0369, 0)</f>
        <v>38.938000000000002</v>
      </c>
      <c r="J630" s="44">
        <f>359.0348</f>
        <v>359.03480000000002</v>
      </c>
    </row>
    <row r="631" spans="1:10" ht="15.75" x14ac:dyDescent="0.25">
      <c r="A631" s="32">
        <v>60145</v>
      </c>
      <c r="B631" s="14">
        <f>42.3698 * CHOOSE(CONTROL!$C$15, $E$9, 100%, $G$9) + CHOOSE(CONTROL!$C$38, 0.0278, 0)</f>
        <v>42.397599999999997</v>
      </c>
      <c r="C631" s="14">
        <f>39.0031 * CHOOSE(CONTROL!$C$15, $E$9, 100%, $G$9) + CHOOSE(CONTROL!$C$38, 0.0369, 0)</f>
        <v>39.040000000000006</v>
      </c>
      <c r="D631" s="14">
        <f>38.9952 * CHOOSE(CONTROL!$C$15, $E$9, 100%, $G$9) + CHOOSE(CONTROL!$C$38, 0.0369, 0)</f>
        <v>39.0321</v>
      </c>
      <c r="E631" s="46">
        <f>42.2136 * CHOOSE(CONTROL!$C$15, $E$9, 100%, $G$9) + CHOOSE(CONTROL!$C$38, 0.0369, 0)</f>
        <v>42.250500000000002</v>
      </c>
      <c r="F631" s="45">
        <f>42.2136 * CHOOSE(CONTROL!$C$15, $E$9, 100%, $G$9) + CHOOSE(CONTROL!$C$38, 0.0278, 0)</f>
        <v>42.241399999999999</v>
      </c>
      <c r="G631" s="14">
        <f>39.0015 * CHOOSE(CONTROL!$C$15, $E$9, 100%, $G$9) + CHOOSE(CONTROL!$C$38, 0.0369, 0)</f>
        <v>39.038400000000003</v>
      </c>
      <c r="H631" s="14">
        <f>39.0015 * CHOOSE(CONTROL!$C$15, $E$9, 100%, $G$9) + CHOOSE(CONTROL!$C$38, 0.0369, 0)</f>
        <v>39.038400000000003</v>
      </c>
      <c r="I631" s="14">
        <f>39.0031 * CHOOSE(CONTROL!$C$15, $E$9, 100%, $G$9) + CHOOSE(CONTROL!$C$38, 0.0369, 0)</f>
        <v>39.040000000000006</v>
      </c>
      <c r="J631" s="44">
        <f>350.6766</f>
        <v>350.67660000000001</v>
      </c>
    </row>
    <row r="632" spans="1:10" ht="15.75" x14ac:dyDescent="0.25">
      <c r="A632" s="32">
        <v>60175</v>
      </c>
      <c r="B632" s="14">
        <f>42.6466 * CHOOSE(CONTROL!$C$15, $E$9, 100%, $G$9) + CHOOSE(CONTROL!$C$38, 0.0278, 0)</f>
        <v>42.674399999999999</v>
      </c>
      <c r="C632" s="14">
        <f>39.2799 * CHOOSE(CONTROL!$C$15, $E$9, 100%, $G$9) + CHOOSE(CONTROL!$C$38, 0.0369, 0)</f>
        <v>39.316800000000001</v>
      </c>
      <c r="D632" s="14">
        <f>39.272 * CHOOSE(CONTROL!$C$15, $E$9, 100%, $G$9) + CHOOSE(CONTROL!$C$38, 0.0369, 0)</f>
        <v>39.308900000000001</v>
      </c>
      <c r="E632" s="46">
        <f>42.4904 * CHOOSE(CONTROL!$C$15, $E$9, 100%, $G$9) + CHOOSE(CONTROL!$C$38, 0.0369, 0)</f>
        <v>42.527300000000004</v>
      </c>
      <c r="F632" s="45">
        <f>42.4904 * CHOOSE(CONTROL!$C$15, $E$9, 100%, $G$9) + CHOOSE(CONTROL!$C$38, 0.0278, 0)</f>
        <v>42.5182</v>
      </c>
      <c r="G632" s="14">
        <f>39.2783 * CHOOSE(CONTROL!$C$15, $E$9, 100%, $G$9) + CHOOSE(CONTROL!$C$38, 0.0369, 0)</f>
        <v>39.315200000000004</v>
      </c>
      <c r="H632" s="14">
        <f>39.2783 * CHOOSE(CONTROL!$C$15, $E$9, 100%, $G$9) + CHOOSE(CONTROL!$C$38, 0.0369, 0)</f>
        <v>39.315200000000004</v>
      </c>
      <c r="I632" s="14">
        <f>39.2799 * CHOOSE(CONTROL!$C$15, $E$9, 100%, $G$9) + CHOOSE(CONTROL!$C$38, 0.0369, 0)</f>
        <v>39.316800000000001</v>
      </c>
      <c r="J632" s="44">
        <f>339.0207</f>
        <v>339.02069999999998</v>
      </c>
    </row>
    <row r="633" spans="1:10" ht="15.75" x14ac:dyDescent="0.25">
      <c r="A633" s="32">
        <v>60206</v>
      </c>
      <c r="B633" s="14">
        <f>42.8784 * CHOOSE(CONTROL!$C$15, $E$9, 100%, $G$9) + CHOOSE(CONTROL!$C$38, 0.0256, 0)</f>
        <v>42.903999999999996</v>
      </c>
      <c r="C633" s="14">
        <f>39.5117 * CHOOSE(CONTROL!$C$15, $E$9, 100%, $G$9) + CHOOSE(CONTROL!$C$38, 0.0347, 0)</f>
        <v>39.546399999999998</v>
      </c>
      <c r="D633" s="14">
        <f>39.5039 * CHOOSE(CONTROL!$C$15, $E$9, 100%, $G$9) + CHOOSE(CONTROL!$C$38, 0.0347, 0)</f>
        <v>39.538600000000002</v>
      </c>
      <c r="E633" s="46">
        <f>42.7222 * CHOOSE(CONTROL!$C$15, $E$9, 100%, $G$9) + CHOOSE(CONTROL!$C$38, 0.0347, 0)</f>
        <v>42.756900000000002</v>
      </c>
      <c r="F633" s="45">
        <f>42.7222 * CHOOSE(CONTROL!$C$15, $E$9, 100%, $G$9) + CHOOSE(CONTROL!$C$38, 0.0256, 0)</f>
        <v>42.747799999999998</v>
      </c>
      <c r="G633" s="14">
        <f>39.5101 * CHOOSE(CONTROL!$C$15, $E$9, 100%, $G$9) + CHOOSE(CONTROL!$C$38, 0.0347, 0)</f>
        <v>39.544800000000002</v>
      </c>
      <c r="H633" s="14">
        <f>39.5101 * CHOOSE(CONTROL!$C$15, $E$9, 100%, $G$9) + CHOOSE(CONTROL!$C$38, 0.0347, 0)</f>
        <v>39.544800000000002</v>
      </c>
      <c r="I633" s="14">
        <f>39.5117 * CHOOSE(CONTROL!$C$15, $E$9, 100%, $G$9) + CHOOSE(CONTROL!$C$38, 0.0347, 0)</f>
        <v>39.546399999999998</v>
      </c>
      <c r="J633" s="44">
        <f>327.297</f>
        <v>327.29700000000003</v>
      </c>
    </row>
    <row r="634" spans="1:10" ht="15.75" x14ac:dyDescent="0.25">
      <c r="A634" s="32">
        <v>60236</v>
      </c>
      <c r="B634" s="14">
        <f>43.0719 * CHOOSE(CONTROL!$C$15, $E$9, 100%, $G$9) + CHOOSE(CONTROL!$C$38, 0.0256, 0)</f>
        <v>43.097499999999997</v>
      </c>
      <c r="C634" s="14">
        <f>39.7051 * CHOOSE(CONTROL!$C$15, $E$9, 100%, $G$9) + CHOOSE(CONTROL!$C$38, 0.0347, 0)</f>
        <v>39.739800000000002</v>
      </c>
      <c r="D634" s="14">
        <f>39.6973 * CHOOSE(CONTROL!$C$15, $E$9, 100%, $G$9) + CHOOSE(CONTROL!$C$38, 0.0347, 0)</f>
        <v>39.731999999999999</v>
      </c>
      <c r="E634" s="46">
        <f>42.9156 * CHOOSE(CONTROL!$C$15, $E$9, 100%, $G$9) + CHOOSE(CONTROL!$C$38, 0.0347, 0)</f>
        <v>42.950299999999999</v>
      </c>
      <c r="F634" s="45">
        <f>42.9156 * CHOOSE(CONTROL!$C$15, $E$9, 100%, $G$9) + CHOOSE(CONTROL!$C$38, 0.0256, 0)</f>
        <v>42.941199999999995</v>
      </c>
      <c r="G634" s="14">
        <f>39.7036 * CHOOSE(CONTROL!$C$15, $E$9, 100%, $G$9) + CHOOSE(CONTROL!$C$38, 0.0347, 0)</f>
        <v>39.738300000000002</v>
      </c>
      <c r="H634" s="14">
        <f>39.7036 * CHOOSE(CONTROL!$C$15, $E$9, 100%, $G$9) + CHOOSE(CONTROL!$C$38, 0.0347, 0)</f>
        <v>39.738300000000002</v>
      </c>
      <c r="I634" s="14">
        <f>39.7051 * CHOOSE(CONTROL!$C$15, $E$9, 100%, $G$9) + CHOOSE(CONTROL!$C$38, 0.0347, 0)</f>
        <v>39.739800000000002</v>
      </c>
      <c r="J634" s="44">
        <f>324.9649</f>
        <v>324.9649</v>
      </c>
    </row>
    <row r="635" spans="1:10" ht="15.75" x14ac:dyDescent="0.25">
      <c r="A635" s="32">
        <v>60267</v>
      </c>
      <c r="B635" s="14">
        <f>43.6679 * CHOOSE(CONTROL!$C$15, $E$9, 100%, $G$9) + CHOOSE(CONTROL!$C$38, 0.0256, 0)</f>
        <v>43.6935</v>
      </c>
      <c r="C635" s="14">
        <f>40.3012 * CHOOSE(CONTROL!$C$15, $E$9, 100%, $G$9) + CHOOSE(CONTROL!$C$38, 0.0347, 0)</f>
        <v>40.335900000000002</v>
      </c>
      <c r="D635" s="14">
        <f>40.2934 * CHOOSE(CONTROL!$C$15, $E$9, 100%, $G$9) + CHOOSE(CONTROL!$C$38, 0.0347, 0)</f>
        <v>40.328099999999999</v>
      </c>
      <c r="E635" s="46">
        <f>43.5117 * CHOOSE(CONTROL!$C$15, $E$9, 100%, $G$9) + CHOOSE(CONTROL!$C$38, 0.0347, 0)</f>
        <v>43.546399999999998</v>
      </c>
      <c r="F635" s="45">
        <f>43.5117 * CHOOSE(CONTROL!$C$15, $E$9, 100%, $G$9) + CHOOSE(CONTROL!$C$38, 0.0256, 0)</f>
        <v>43.537299999999995</v>
      </c>
      <c r="G635" s="14">
        <f>40.2996 * CHOOSE(CONTROL!$C$15, $E$9, 100%, $G$9) + CHOOSE(CONTROL!$C$38, 0.0347, 0)</f>
        <v>40.334299999999999</v>
      </c>
      <c r="H635" s="14">
        <f>40.2996 * CHOOSE(CONTROL!$C$15, $E$9, 100%, $G$9) + CHOOSE(CONTROL!$C$38, 0.0347, 0)</f>
        <v>40.334299999999999</v>
      </c>
      <c r="I635" s="14">
        <f>40.3012 * CHOOSE(CONTROL!$C$15, $E$9, 100%, $G$9) + CHOOSE(CONTROL!$C$38, 0.0347, 0)</f>
        <v>40.335900000000002</v>
      </c>
      <c r="J635" s="44">
        <f>315.3216</f>
        <v>315.32159999999999</v>
      </c>
    </row>
    <row r="636" spans="1:10" ht="15.75" x14ac:dyDescent="0.25">
      <c r="A636" s="32">
        <v>60298</v>
      </c>
      <c r="B636" s="14">
        <f>44.8353 * CHOOSE(CONTROL!$C$15, $E$9, 100%, $G$9) + CHOOSE(CONTROL!$C$38, 0.0256, 0)</f>
        <v>44.860899999999994</v>
      </c>
      <c r="C636" s="14">
        <f>41.4159 * CHOOSE(CONTROL!$C$15, $E$9, 100%, $G$9) + CHOOSE(CONTROL!$C$38, 0.0347, 0)</f>
        <v>41.450600000000001</v>
      </c>
      <c r="D636" s="14">
        <f>41.4081 * CHOOSE(CONTROL!$C$15, $E$9, 100%, $G$9) + CHOOSE(CONTROL!$C$38, 0.0347, 0)</f>
        <v>41.442799999999998</v>
      </c>
      <c r="E636" s="46">
        <f>44.679 * CHOOSE(CONTROL!$C$15, $E$9, 100%, $G$9) + CHOOSE(CONTROL!$C$38, 0.0347, 0)</f>
        <v>44.713700000000003</v>
      </c>
      <c r="F636" s="45">
        <f>44.679 * CHOOSE(CONTROL!$C$15, $E$9, 100%, $G$9) + CHOOSE(CONTROL!$C$38, 0.0256, 0)</f>
        <v>44.704599999999999</v>
      </c>
      <c r="G636" s="14">
        <f>41.4143 * CHOOSE(CONTROL!$C$15, $E$9, 100%, $G$9) + CHOOSE(CONTROL!$C$38, 0.0347, 0)</f>
        <v>41.448999999999998</v>
      </c>
      <c r="H636" s="14">
        <f>41.4143 * CHOOSE(CONTROL!$C$15, $E$9, 100%, $G$9) + CHOOSE(CONTROL!$C$38, 0.0347, 0)</f>
        <v>41.448999999999998</v>
      </c>
      <c r="I636" s="14">
        <f>41.4159 * CHOOSE(CONTROL!$C$15, $E$9, 100%, $G$9) + CHOOSE(CONTROL!$C$38, 0.0347, 0)</f>
        <v>41.450600000000001</v>
      </c>
      <c r="J636" s="44">
        <f>314.7194</f>
        <v>314.71940000000001</v>
      </c>
    </row>
    <row r="637" spans="1:10" ht="15.75" x14ac:dyDescent="0.25">
      <c r="A637" s="32">
        <v>60326</v>
      </c>
      <c r="B637" s="14">
        <f>45.056 * CHOOSE(CONTROL!$C$15, $E$9, 100%, $G$9) + CHOOSE(CONTROL!$C$38, 0.0256, 0)</f>
        <v>45.081599999999995</v>
      </c>
      <c r="C637" s="14">
        <f>41.6366 * CHOOSE(CONTROL!$C$15, $E$9, 100%, $G$9) + CHOOSE(CONTROL!$C$38, 0.0347, 0)</f>
        <v>41.671300000000002</v>
      </c>
      <c r="D637" s="14">
        <f>41.6288 * CHOOSE(CONTROL!$C$15, $E$9, 100%, $G$9) + CHOOSE(CONTROL!$C$38, 0.0347, 0)</f>
        <v>41.663499999999999</v>
      </c>
      <c r="E637" s="46">
        <f>44.8998 * CHOOSE(CONTROL!$C$15, $E$9, 100%, $G$9) + CHOOSE(CONTROL!$C$38, 0.0347, 0)</f>
        <v>44.9345</v>
      </c>
      <c r="F637" s="45">
        <f>44.8998 * CHOOSE(CONTROL!$C$15, $E$9, 100%, $G$9) + CHOOSE(CONTROL!$C$38, 0.0256, 0)</f>
        <v>44.925399999999996</v>
      </c>
      <c r="G637" s="14">
        <f>41.6351 * CHOOSE(CONTROL!$C$15, $E$9, 100%, $G$9) + CHOOSE(CONTROL!$C$38, 0.0347, 0)</f>
        <v>41.669800000000002</v>
      </c>
      <c r="H637" s="14">
        <f>41.6351 * CHOOSE(CONTROL!$C$15, $E$9, 100%, $G$9) + CHOOSE(CONTROL!$C$38, 0.0347, 0)</f>
        <v>41.669800000000002</v>
      </c>
      <c r="I637" s="14">
        <f>41.6366 * CHOOSE(CONTROL!$C$15, $E$9, 100%, $G$9) + CHOOSE(CONTROL!$C$38, 0.0347, 0)</f>
        <v>41.671300000000002</v>
      </c>
      <c r="J637" s="44">
        <f>313.8446</f>
        <v>313.84460000000001</v>
      </c>
    </row>
    <row r="638" spans="1:10" ht="15.75" x14ac:dyDescent="0.25">
      <c r="A638" s="32">
        <v>60357</v>
      </c>
      <c r="B638" s="14">
        <f>44.545 * CHOOSE(CONTROL!$C$15, $E$9, 100%, $G$9) + CHOOSE(CONTROL!$C$38, 0.0256, 0)</f>
        <v>44.570599999999999</v>
      </c>
      <c r="C638" s="14">
        <f>41.1256 * CHOOSE(CONTROL!$C$15, $E$9, 100%, $G$9) + CHOOSE(CONTROL!$C$38, 0.0347, 0)</f>
        <v>41.160299999999999</v>
      </c>
      <c r="D638" s="14">
        <f>41.1178 * CHOOSE(CONTROL!$C$15, $E$9, 100%, $G$9) + CHOOSE(CONTROL!$C$38, 0.0347, 0)</f>
        <v>41.152500000000003</v>
      </c>
      <c r="E638" s="46">
        <f>44.3887 * CHOOSE(CONTROL!$C$15, $E$9, 100%, $G$9) + CHOOSE(CONTROL!$C$38, 0.0347, 0)</f>
        <v>44.423400000000001</v>
      </c>
      <c r="F638" s="45">
        <f>44.3887 * CHOOSE(CONTROL!$C$15, $E$9, 100%, $G$9) + CHOOSE(CONTROL!$C$38, 0.0256, 0)</f>
        <v>44.414299999999997</v>
      </c>
      <c r="G638" s="14">
        <f>41.124 * CHOOSE(CONTROL!$C$15, $E$9, 100%, $G$9) + CHOOSE(CONTROL!$C$38, 0.0347, 0)</f>
        <v>41.158700000000003</v>
      </c>
      <c r="H638" s="14">
        <f>41.124 * CHOOSE(CONTROL!$C$15, $E$9, 100%, $G$9) + CHOOSE(CONTROL!$C$38, 0.0347, 0)</f>
        <v>41.158700000000003</v>
      </c>
      <c r="I638" s="14">
        <f>41.1256 * CHOOSE(CONTROL!$C$15, $E$9, 100%, $G$9) + CHOOSE(CONTROL!$C$38, 0.0347, 0)</f>
        <v>41.160299999999999</v>
      </c>
      <c r="J638" s="44">
        <f>330.386</f>
        <v>330.38600000000002</v>
      </c>
    </row>
    <row r="639" spans="1:10" ht="15.75" x14ac:dyDescent="0.25">
      <c r="A639" s="32">
        <v>60387</v>
      </c>
      <c r="B639" s="14">
        <f>44.0498 * CHOOSE(CONTROL!$C$15, $E$9, 100%, $G$9) + CHOOSE(CONTROL!$C$38, 0.0256, 0)</f>
        <v>44.075399999999995</v>
      </c>
      <c r="C639" s="14">
        <f>40.6304 * CHOOSE(CONTROL!$C$15, $E$9, 100%, $G$9) + CHOOSE(CONTROL!$C$38, 0.0347, 0)</f>
        <v>40.665100000000002</v>
      </c>
      <c r="D639" s="14">
        <f>40.6226 * CHOOSE(CONTROL!$C$15, $E$9, 100%, $G$9) + CHOOSE(CONTROL!$C$38, 0.0347, 0)</f>
        <v>40.657299999999999</v>
      </c>
      <c r="E639" s="46">
        <f>43.8936 * CHOOSE(CONTROL!$C$15, $E$9, 100%, $G$9) + CHOOSE(CONTROL!$C$38, 0.0347, 0)</f>
        <v>43.9283</v>
      </c>
      <c r="F639" s="45">
        <f>43.8936 * CHOOSE(CONTROL!$C$15, $E$9, 100%, $G$9) + CHOOSE(CONTROL!$C$38, 0.0256, 0)</f>
        <v>43.919199999999996</v>
      </c>
      <c r="G639" s="14">
        <f>40.6289 * CHOOSE(CONTROL!$C$15, $E$9, 100%, $G$9) + CHOOSE(CONTROL!$C$38, 0.0347, 0)</f>
        <v>40.663600000000002</v>
      </c>
      <c r="H639" s="14">
        <f>40.6289 * CHOOSE(CONTROL!$C$15, $E$9, 100%, $G$9) + CHOOSE(CONTROL!$C$38, 0.0347, 0)</f>
        <v>40.663600000000002</v>
      </c>
      <c r="I639" s="14">
        <f>40.6304 * CHOOSE(CONTROL!$C$15, $E$9, 100%, $G$9) + CHOOSE(CONTROL!$C$38, 0.0347, 0)</f>
        <v>40.665100000000002</v>
      </c>
      <c r="J639" s="44">
        <f>351.8363</f>
        <v>351.83629999999999</v>
      </c>
    </row>
    <row r="640" spans="1:10" ht="15.75" x14ac:dyDescent="0.25">
      <c r="A640" s="32">
        <v>60418</v>
      </c>
      <c r="B640" s="14">
        <f>43.5337 * CHOOSE(CONTROL!$C$15, $E$9, 100%, $G$9) + CHOOSE(CONTROL!$C$38, 0.0278, 0)</f>
        <v>43.561500000000002</v>
      </c>
      <c r="C640" s="14">
        <f>40.1143 * CHOOSE(CONTROL!$C$15, $E$9, 100%, $G$9) + CHOOSE(CONTROL!$C$38, 0.0369, 0)</f>
        <v>40.151200000000003</v>
      </c>
      <c r="D640" s="14">
        <f>40.1065 * CHOOSE(CONTROL!$C$15, $E$9, 100%, $G$9) + CHOOSE(CONTROL!$C$38, 0.0369, 0)</f>
        <v>40.1434</v>
      </c>
      <c r="E640" s="46">
        <f>43.3775 * CHOOSE(CONTROL!$C$15, $E$9, 100%, $G$9) + CHOOSE(CONTROL!$C$38, 0.0369, 0)</f>
        <v>43.414400000000001</v>
      </c>
      <c r="F640" s="45">
        <f>43.3775 * CHOOSE(CONTROL!$C$15, $E$9, 100%, $G$9) + CHOOSE(CONTROL!$C$38, 0.0278, 0)</f>
        <v>43.405299999999997</v>
      </c>
      <c r="G640" s="14">
        <f>40.1128 * CHOOSE(CONTROL!$C$15, $E$9, 100%, $G$9) + CHOOSE(CONTROL!$C$38, 0.0369, 0)</f>
        <v>40.149700000000003</v>
      </c>
      <c r="H640" s="14">
        <f>40.1128 * CHOOSE(CONTROL!$C$15, $E$9, 100%, $G$9) + CHOOSE(CONTROL!$C$38, 0.0369, 0)</f>
        <v>40.149700000000003</v>
      </c>
      <c r="I640" s="14">
        <f>40.1143 * CHOOSE(CONTROL!$C$15, $E$9, 100%, $G$9) + CHOOSE(CONTROL!$C$38, 0.0369, 0)</f>
        <v>40.151200000000003</v>
      </c>
      <c r="J640" s="44">
        <f>363.6432</f>
        <v>363.64319999999998</v>
      </c>
    </row>
    <row r="641" spans="1:10" ht="15.75" x14ac:dyDescent="0.25">
      <c r="A641" s="32">
        <v>60448</v>
      </c>
      <c r="B641" s="14">
        <f>43.1719 * CHOOSE(CONTROL!$C$15, $E$9, 100%, $G$9) + CHOOSE(CONTROL!$C$38, 0.0278, 0)</f>
        <v>43.1997</v>
      </c>
      <c r="C641" s="14">
        <f>39.7525 * CHOOSE(CONTROL!$C$15, $E$9, 100%, $G$9) + CHOOSE(CONTROL!$C$38, 0.0369, 0)</f>
        <v>39.789400000000001</v>
      </c>
      <c r="D641" s="14">
        <f>39.7447 * CHOOSE(CONTROL!$C$15, $E$9, 100%, $G$9) + CHOOSE(CONTROL!$C$38, 0.0369, 0)</f>
        <v>39.781600000000005</v>
      </c>
      <c r="E641" s="46">
        <f>43.0156 * CHOOSE(CONTROL!$C$15, $E$9, 100%, $G$9) + CHOOSE(CONTROL!$C$38, 0.0369, 0)</f>
        <v>43.052500000000002</v>
      </c>
      <c r="F641" s="45">
        <f>43.0156 * CHOOSE(CONTROL!$C$15, $E$9, 100%, $G$9) + CHOOSE(CONTROL!$C$38, 0.0278, 0)</f>
        <v>43.043399999999998</v>
      </c>
      <c r="G641" s="14">
        <f>39.7509 * CHOOSE(CONTROL!$C$15, $E$9, 100%, $G$9) + CHOOSE(CONTROL!$C$38, 0.0369, 0)</f>
        <v>39.787800000000004</v>
      </c>
      <c r="H641" s="14">
        <f>39.7509 * CHOOSE(CONTROL!$C$15, $E$9, 100%, $G$9) + CHOOSE(CONTROL!$C$38, 0.0369, 0)</f>
        <v>39.787800000000004</v>
      </c>
      <c r="I641" s="14">
        <f>39.7525 * CHOOSE(CONTROL!$C$15, $E$9, 100%, $G$9) + CHOOSE(CONTROL!$C$38, 0.0369, 0)</f>
        <v>39.789400000000001</v>
      </c>
      <c r="J641" s="44">
        <f>368.8829</f>
        <v>368.88290000000001</v>
      </c>
    </row>
    <row r="642" spans="1:10" ht="15.75" x14ac:dyDescent="0.25">
      <c r="A642" s="32">
        <v>60479</v>
      </c>
      <c r="B642" s="14">
        <f>42.9654 * CHOOSE(CONTROL!$C$15, $E$9, 100%, $G$9) + CHOOSE(CONTROL!$C$38, 0.0278, 0)</f>
        <v>42.993200000000002</v>
      </c>
      <c r="C642" s="14">
        <f>39.546 * CHOOSE(CONTROL!$C$15, $E$9, 100%, $G$9) + CHOOSE(CONTROL!$C$38, 0.0369, 0)</f>
        <v>39.582900000000002</v>
      </c>
      <c r="D642" s="14">
        <f>39.5382 * CHOOSE(CONTROL!$C$15, $E$9, 100%, $G$9) + CHOOSE(CONTROL!$C$38, 0.0369, 0)</f>
        <v>39.575100000000006</v>
      </c>
      <c r="E642" s="46">
        <f>42.8091 * CHOOSE(CONTROL!$C$15, $E$9, 100%, $G$9) + CHOOSE(CONTROL!$C$38, 0.0369, 0)</f>
        <v>42.846000000000004</v>
      </c>
      <c r="F642" s="45">
        <f>42.8091 * CHOOSE(CONTROL!$C$15, $E$9, 100%, $G$9) + CHOOSE(CONTROL!$C$38, 0.0278, 0)</f>
        <v>42.8369</v>
      </c>
      <c r="G642" s="14">
        <f>39.5444 * CHOOSE(CONTROL!$C$15, $E$9, 100%, $G$9) + CHOOSE(CONTROL!$C$38, 0.0369, 0)</f>
        <v>39.581300000000006</v>
      </c>
      <c r="H642" s="14">
        <f>39.5444 * CHOOSE(CONTROL!$C$15, $E$9, 100%, $G$9) + CHOOSE(CONTROL!$C$38, 0.0369, 0)</f>
        <v>39.581300000000006</v>
      </c>
      <c r="I642" s="14">
        <f>39.546 * CHOOSE(CONTROL!$C$15, $E$9, 100%, $G$9) + CHOOSE(CONTROL!$C$38, 0.0369, 0)</f>
        <v>39.582900000000002</v>
      </c>
      <c r="J642" s="44">
        <f>367.1578</f>
        <v>367.15780000000001</v>
      </c>
    </row>
    <row r="643" spans="1:10" ht="15.75" x14ac:dyDescent="0.25">
      <c r="A643" s="32">
        <v>60510</v>
      </c>
      <c r="B643" s="14">
        <f>43.0673 * CHOOSE(CONTROL!$C$15, $E$9, 100%, $G$9) + CHOOSE(CONTROL!$C$38, 0.0278, 0)</f>
        <v>43.095100000000002</v>
      </c>
      <c r="C643" s="14">
        <f>39.6479 * CHOOSE(CONTROL!$C$15, $E$9, 100%, $G$9) + CHOOSE(CONTROL!$C$38, 0.0369, 0)</f>
        <v>39.684800000000003</v>
      </c>
      <c r="D643" s="14">
        <f>39.6401 * CHOOSE(CONTROL!$C$15, $E$9, 100%, $G$9) + CHOOSE(CONTROL!$C$38, 0.0369, 0)</f>
        <v>39.677</v>
      </c>
      <c r="E643" s="46">
        <f>42.911 * CHOOSE(CONTROL!$C$15, $E$9, 100%, $G$9) + CHOOSE(CONTROL!$C$38, 0.0369, 0)</f>
        <v>42.947900000000004</v>
      </c>
      <c r="F643" s="45">
        <f>42.911 * CHOOSE(CONTROL!$C$15, $E$9, 100%, $G$9) + CHOOSE(CONTROL!$C$38, 0.0278, 0)</f>
        <v>42.938800000000001</v>
      </c>
      <c r="G643" s="14">
        <f>39.6463 * CHOOSE(CONTROL!$C$15, $E$9, 100%, $G$9) + CHOOSE(CONTROL!$C$38, 0.0369, 0)</f>
        <v>39.683199999999999</v>
      </c>
      <c r="H643" s="14">
        <f>39.6463 * CHOOSE(CONTROL!$C$15, $E$9, 100%, $G$9) + CHOOSE(CONTROL!$C$38, 0.0369, 0)</f>
        <v>39.683199999999999</v>
      </c>
      <c r="I643" s="14">
        <f>39.6479 * CHOOSE(CONTROL!$C$15, $E$9, 100%, $G$9) + CHOOSE(CONTROL!$C$38, 0.0369, 0)</f>
        <v>39.684800000000003</v>
      </c>
      <c r="J643" s="44">
        <f>358.6105</f>
        <v>358.6105</v>
      </c>
    </row>
    <row r="644" spans="1:10" ht="15.75" x14ac:dyDescent="0.25">
      <c r="A644" s="32">
        <v>60540</v>
      </c>
      <c r="B644" s="14">
        <f>43.3441 * CHOOSE(CONTROL!$C$15, $E$9, 100%, $G$9) + CHOOSE(CONTROL!$C$38, 0.0278, 0)</f>
        <v>43.371899999999997</v>
      </c>
      <c r="C644" s="14">
        <f>39.9247 * CHOOSE(CONTROL!$C$15, $E$9, 100%, $G$9) + CHOOSE(CONTROL!$C$38, 0.0369, 0)</f>
        <v>39.961600000000004</v>
      </c>
      <c r="D644" s="14">
        <f>39.9169 * CHOOSE(CONTROL!$C$15, $E$9, 100%, $G$9) + CHOOSE(CONTROL!$C$38, 0.0369, 0)</f>
        <v>39.953800000000001</v>
      </c>
      <c r="E644" s="46">
        <f>43.1878 * CHOOSE(CONTROL!$C$15, $E$9, 100%, $G$9) + CHOOSE(CONTROL!$C$38, 0.0369, 0)</f>
        <v>43.224700000000006</v>
      </c>
      <c r="F644" s="45">
        <f>43.1878 * CHOOSE(CONTROL!$C$15, $E$9, 100%, $G$9) + CHOOSE(CONTROL!$C$38, 0.0278, 0)</f>
        <v>43.215600000000002</v>
      </c>
      <c r="G644" s="14">
        <f>39.9231 * CHOOSE(CONTROL!$C$15, $E$9, 100%, $G$9) + CHOOSE(CONTROL!$C$38, 0.0369, 0)</f>
        <v>39.96</v>
      </c>
      <c r="H644" s="14">
        <f>39.9231 * CHOOSE(CONTROL!$C$15, $E$9, 100%, $G$9) + CHOOSE(CONTROL!$C$38, 0.0369, 0)</f>
        <v>39.96</v>
      </c>
      <c r="I644" s="14">
        <f>39.9247 * CHOOSE(CONTROL!$C$15, $E$9, 100%, $G$9) + CHOOSE(CONTROL!$C$38, 0.0369, 0)</f>
        <v>39.961600000000004</v>
      </c>
      <c r="J644" s="44">
        <f>346.6909</f>
        <v>346.6909</v>
      </c>
    </row>
    <row r="645" spans="1:10" ht="15.75" x14ac:dyDescent="0.25">
      <c r="A645" s="32">
        <v>60571</v>
      </c>
      <c r="B645" s="14">
        <f>43.5759 * CHOOSE(CONTROL!$C$15, $E$9, 100%, $G$9) + CHOOSE(CONTROL!$C$38, 0.0256, 0)</f>
        <v>43.601499999999994</v>
      </c>
      <c r="C645" s="14">
        <f>40.1565 * CHOOSE(CONTROL!$C$15, $E$9, 100%, $G$9) + CHOOSE(CONTROL!$C$38, 0.0347, 0)</f>
        <v>40.191200000000002</v>
      </c>
      <c r="D645" s="14">
        <f>40.1487 * CHOOSE(CONTROL!$C$15, $E$9, 100%, $G$9) + CHOOSE(CONTROL!$C$38, 0.0347, 0)</f>
        <v>40.183399999999999</v>
      </c>
      <c r="E645" s="46">
        <f>43.4197 * CHOOSE(CONTROL!$C$15, $E$9, 100%, $G$9) + CHOOSE(CONTROL!$C$38, 0.0347, 0)</f>
        <v>43.4544</v>
      </c>
      <c r="F645" s="45">
        <f>43.4197 * CHOOSE(CONTROL!$C$15, $E$9, 100%, $G$9) + CHOOSE(CONTROL!$C$38, 0.0256, 0)</f>
        <v>43.445299999999996</v>
      </c>
      <c r="G645" s="14">
        <f>40.155 * CHOOSE(CONTROL!$C$15, $E$9, 100%, $G$9) + CHOOSE(CONTROL!$C$38, 0.0347, 0)</f>
        <v>40.189700000000002</v>
      </c>
      <c r="H645" s="14">
        <f>40.155 * CHOOSE(CONTROL!$C$15, $E$9, 100%, $G$9) + CHOOSE(CONTROL!$C$38, 0.0347, 0)</f>
        <v>40.189700000000002</v>
      </c>
      <c r="I645" s="14">
        <f>40.1565 * CHOOSE(CONTROL!$C$15, $E$9, 100%, $G$9) + CHOOSE(CONTROL!$C$38, 0.0347, 0)</f>
        <v>40.191200000000002</v>
      </c>
      <c r="J645" s="44">
        <f>334.702</f>
        <v>334.702</v>
      </c>
    </row>
    <row r="646" spans="1:10" ht="15.75" x14ac:dyDescent="0.25">
      <c r="A646" s="32">
        <v>60601</v>
      </c>
      <c r="B646" s="14">
        <f>43.7694 * CHOOSE(CONTROL!$C$15, $E$9, 100%, $G$9) + CHOOSE(CONTROL!$C$38, 0.0256, 0)</f>
        <v>43.794999999999995</v>
      </c>
      <c r="C646" s="14">
        <f>40.35 * CHOOSE(CONTROL!$C$15, $E$9, 100%, $G$9) + CHOOSE(CONTROL!$C$38, 0.0347, 0)</f>
        <v>40.384700000000002</v>
      </c>
      <c r="D646" s="14">
        <f>40.3422 * CHOOSE(CONTROL!$C$15, $E$9, 100%, $G$9) + CHOOSE(CONTROL!$C$38, 0.0347, 0)</f>
        <v>40.376899999999999</v>
      </c>
      <c r="E646" s="46">
        <f>43.6131 * CHOOSE(CONTROL!$C$15, $E$9, 100%, $G$9) + CHOOSE(CONTROL!$C$38, 0.0347, 0)</f>
        <v>43.647800000000004</v>
      </c>
      <c r="F646" s="45">
        <f>43.6131 * CHOOSE(CONTROL!$C$15, $E$9, 100%, $G$9) + CHOOSE(CONTROL!$C$38, 0.0256, 0)</f>
        <v>43.6387</v>
      </c>
      <c r="G646" s="14">
        <f>40.3484 * CHOOSE(CONTROL!$C$15, $E$9, 100%, $G$9) + CHOOSE(CONTROL!$C$38, 0.0347, 0)</f>
        <v>40.383099999999999</v>
      </c>
      <c r="H646" s="14">
        <f>40.3484 * CHOOSE(CONTROL!$C$15, $E$9, 100%, $G$9) + CHOOSE(CONTROL!$C$38, 0.0347, 0)</f>
        <v>40.383099999999999</v>
      </c>
      <c r="I646" s="14">
        <f>40.35 * CHOOSE(CONTROL!$C$15, $E$9, 100%, $G$9) + CHOOSE(CONTROL!$C$38, 0.0347, 0)</f>
        <v>40.384700000000002</v>
      </c>
      <c r="J646" s="44">
        <f>332.3171</f>
        <v>332.31709999999998</v>
      </c>
    </row>
    <row r="647" spans="1:10" ht="15.75" x14ac:dyDescent="0.25">
      <c r="A647" s="32">
        <v>60632</v>
      </c>
      <c r="B647" s="14">
        <f>44.3654 * CHOOSE(CONTROL!$C$15, $E$9, 100%, $G$9) + CHOOSE(CONTROL!$C$38, 0.0256, 0)</f>
        <v>44.390999999999998</v>
      </c>
      <c r="C647" s="14">
        <f>40.946 * CHOOSE(CONTROL!$C$15, $E$9, 100%, $G$9) + CHOOSE(CONTROL!$C$38, 0.0347, 0)</f>
        <v>40.980699999999999</v>
      </c>
      <c r="D647" s="14">
        <f>40.9382 * CHOOSE(CONTROL!$C$15, $E$9, 100%, $G$9) + CHOOSE(CONTROL!$C$38, 0.0347, 0)</f>
        <v>40.972900000000003</v>
      </c>
      <c r="E647" s="46">
        <f>44.2092 * CHOOSE(CONTROL!$C$15, $E$9, 100%, $G$9) + CHOOSE(CONTROL!$C$38, 0.0347, 0)</f>
        <v>44.243900000000004</v>
      </c>
      <c r="F647" s="45">
        <f>44.2092 * CHOOSE(CONTROL!$C$15, $E$9, 100%, $G$9) + CHOOSE(CONTROL!$C$38, 0.0256, 0)</f>
        <v>44.2348</v>
      </c>
      <c r="G647" s="14">
        <f>40.9445 * CHOOSE(CONTROL!$C$15, $E$9, 100%, $G$9) + CHOOSE(CONTROL!$C$38, 0.0347, 0)</f>
        <v>40.979199999999999</v>
      </c>
      <c r="H647" s="14">
        <f>40.9445 * CHOOSE(CONTROL!$C$15, $E$9, 100%, $G$9) + CHOOSE(CONTROL!$C$38, 0.0347, 0)</f>
        <v>40.979199999999999</v>
      </c>
      <c r="I647" s="14">
        <f>40.946 * CHOOSE(CONTROL!$C$15, $E$9, 100%, $G$9) + CHOOSE(CONTROL!$C$38, 0.0347, 0)</f>
        <v>40.980699999999999</v>
      </c>
      <c r="J647" s="44">
        <f>322.4556</f>
        <v>322.4556</v>
      </c>
    </row>
    <row r="648" spans="1:10" ht="15.75" x14ac:dyDescent="0.25">
      <c r="A648" s="32">
        <v>60663</v>
      </c>
      <c r="B648" s="14">
        <f>45.5442 * CHOOSE(CONTROL!$C$15, $E$9, 100%, $G$9) + CHOOSE(CONTROL!$C$38, 0.0256, 0)</f>
        <v>45.569799999999994</v>
      </c>
      <c r="C648" s="14">
        <f>42.0713 * CHOOSE(CONTROL!$C$15, $E$9, 100%, $G$9) + CHOOSE(CONTROL!$C$38, 0.0347, 0)</f>
        <v>42.106000000000002</v>
      </c>
      <c r="D648" s="14">
        <f>42.0635 * CHOOSE(CONTROL!$C$15, $E$9, 100%, $G$9) + CHOOSE(CONTROL!$C$38, 0.0347, 0)</f>
        <v>42.098199999999999</v>
      </c>
      <c r="E648" s="46">
        <f>45.3879 * CHOOSE(CONTROL!$C$15, $E$9, 100%, $G$9) + CHOOSE(CONTROL!$C$38, 0.0347, 0)</f>
        <v>45.422600000000003</v>
      </c>
      <c r="F648" s="45">
        <f>45.3879 * CHOOSE(CONTROL!$C$15, $E$9, 100%, $G$9) + CHOOSE(CONTROL!$C$38, 0.0256, 0)</f>
        <v>45.413499999999999</v>
      </c>
      <c r="G648" s="14">
        <f>42.0697 * CHOOSE(CONTROL!$C$15, $E$9, 100%, $G$9) + CHOOSE(CONTROL!$C$38, 0.0347, 0)</f>
        <v>42.104399999999998</v>
      </c>
      <c r="H648" s="14">
        <f>42.0697 * CHOOSE(CONTROL!$C$15, $E$9, 100%, $G$9) + CHOOSE(CONTROL!$C$38, 0.0347, 0)</f>
        <v>42.104399999999998</v>
      </c>
      <c r="I648" s="14">
        <f>42.0713 * CHOOSE(CONTROL!$C$15, $E$9, 100%, $G$9) + CHOOSE(CONTROL!$C$38, 0.0347, 0)</f>
        <v>42.106000000000002</v>
      </c>
      <c r="J648" s="44">
        <f>321.8398</f>
        <v>321.83980000000003</v>
      </c>
    </row>
    <row r="649" spans="1:10" ht="15.75" x14ac:dyDescent="0.25">
      <c r="A649" s="32">
        <v>60691</v>
      </c>
      <c r="B649" s="14">
        <f>45.765 * CHOOSE(CONTROL!$C$15, $E$9, 100%, $G$9) + CHOOSE(CONTROL!$C$38, 0.0256, 0)</f>
        <v>45.790599999999998</v>
      </c>
      <c r="C649" s="14">
        <f>42.2921 * CHOOSE(CONTROL!$C$15, $E$9, 100%, $G$9) + CHOOSE(CONTROL!$C$38, 0.0347, 0)</f>
        <v>42.326799999999999</v>
      </c>
      <c r="D649" s="14">
        <f>42.2842 * CHOOSE(CONTROL!$C$15, $E$9, 100%, $G$9) + CHOOSE(CONTROL!$C$38, 0.0347, 0)</f>
        <v>42.318899999999999</v>
      </c>
      <c r="E649" s="46">
        <f>45.6087 * CHOOSE(CONTROL!$C$15, $E$9, 100%, $G$9) + CHOOSE(CONTROL!$C$38, 0.0347, 0)</f>
        <v>45.6434</v>
      </c>
      <c r="F649" s="45">
        <f>45.6087 * CHOOSE(CONTROL!$C$15, $E$9, 100%, $G$9) + CHOOSE(CONTROL!$C$38, 0.0256, 0)</f>
        <v>45.634299999999996</v>
      </c>
      <c r="G649" s="14">
        <f>42.2905 * CHOOSE(CONTROL!$C$15, $E$9, 100%, $G$9) + CHOOSE(CONTROL!$C$38, 0.0347, 0)</f>
        <v>42.325200000000002</v>
      </c>
      <c r="H649" s="14">
        <f>42.2905 * CHOOSE(CONTROL!$C$15, $E$9, 100%, $G$9) + CHOOSE(CONTROL!$C$38, 0.0347, 0)</f>
        <v>42.325200000000002</v>
      </c>
      <c r="I649" s="14">
        <f>42.2921 * CHOOSE(CONTROL!$C$15, $E$9, 100%, $G$9) + CHOOSE(CONTROL!$C$38, 0.0347, 0)</f>
        <v>42.326799999999999</v>
      </c>
      <c r="J649" s="44">
        <f>320.9452</f>
        <v>320.9452</v>
      </c>
    </row>
    <row r="650" spans="1:10" ht="15.75" x14ac:dyDescent="0.25">
      <c r="A650" s="32">
        <v>60722</v>
      </c>
      <c r="B650" s="14">
        <f>45.2539 * CHOOSE(CONTROL!$C$15, $E$9, 100%, $G$9) + CHOOSE(CONTROL!$C$38, 0.0256, 0)</f>
        <v>45.279499999999999</v>
      </c>
      <c r="C650" s="14">
        <f>41.781 * CHOOSE(CONTROL!$C$15, $E$9, 100%, $G$9) + CHOOSE(CONTROL!$C$38, 0.0347, 0)</f>
        <v>41.8157</v>
      </c>
      <c r="D650" s="14">
        <f>41.7732 * CHOOSE(CONTROL!$C$15, $E$9, 100%, $G$9) + CHOOSE(CONTROL!$C$38, 0.0347, 0)</f>
        <v>41.807900000000004</v>
      </c>
      <c r="E650" s="46">
        <f>45.0977 * CHOOSE(CONTROL!$C$15, $E$9, 100%, $G$9) + CHOOSE(CONTROL!$C$38, 0.0347, 0)</f>
        <v>45.132400000000004</v>
      </c>
      <c r="F650" s="45">
        <f>45.0977 * CHOOSE(CONTROL!$C$15, $E$9, 100%, $G$9) + CHOOSE(CONTROL!$C$38, 0.0256, 0)</f>
        <v>45.1233</v>
      </c>
      <c r="G650" s="14">
        <f>41.7795 * CHOOSE(CONTROL!$C$15, $E$9, 100%, $G$9) + CHOOSE(CONTROL!$C$38, 0.0347, 0)</f>
        <v>41.8142</v>
      </c>
      <c r="H650" s="14">
        <f>41.7795 * CHOOSE(CONTROL!$C$15, $E$9, 100%, $G$9) + CHOOSE(CONTROL!$C$38, 0.0347, 0)</f>
        <v>41.8142</v>
      </c>
      <c r="I650" s="14">
        <f>41.781 * CHOOSE(CONTROL!$C$15, $E$9, 100%, $G$9) + CHOOSE(CONTROL!$C$38, 0.0347, 0)</f>
        <v>41.8157</v>
      </c>
      <c r="J650" s="44">
        <f>337.8608</f>
        <v>337.86079999999998</v>
      </c>
    </row>
    <row r="651" spans="1:10" ht="15.75" x14ac:dyDescent="0.25">
      <c r="A651" s="32">
        <v>60752</v>
      </c>
      <c r="B651" s="14">
        <f>44.7587 * CHOOSE(CONTROL!$C$15, $E$9, 100%, $G$9) + CHOOSE(CONTROL!$C$38, 0.0256, 0)</f>
        <v>44.784299999999995</v>
      </c>
      <c r="C651" s="14">
        <f>41.2858 * CHOOSE(CONTROL!$C$15, $E$9, 100%, $G$9) + CHOOSE(CONTROL!$C$38, 0.0347, 0)</f>
        <v>41.320500000000003</v>
      </c>
      <c r="D651" s="14">
        <f>41.278 * CHOOSE(CONTROL!$C$15, $E$9, 100%, $G$9) + CHOOSE(CONTROL!$C$38, 0.0347, 0)</f>
        <v>41.3127</v>
      </c>
      <c r="E651" s="46">
        <f>44.6025 * CHOOSE(CONTROL!$C$15, $E$9, 100%, $G$9) + CHOOSE(CONTROL!$C$38, 0.0347, 0)</f>
        <v>44.6372</v>
      </c>
      <c r="F651" s="45">
        <f>44.6025 * CHOOSE(CONTROL!$C$15, $E$9, 100%, $G$9) + CHOOSE(CONTROL!$C$38, 0.0256, 0)</f>
        <v>44.628099999999996</v>
      </c>
      <c r="G651" s="14">
        <f>41.2843 * CHOOSE(CONTROL!$C$15, $E$9, 100%, $G$9) + CHOOSE(CONTROL!$C$38, 0.0347, 0)</f>
        <v>41.319000000000003</v>
      </c>
      <c r="H651" s="14">
        <f>41.2843 * CHOOSE(CONTROL!$C$15, $E$9, 100%, $G$9) + CHOOSE(CONTROL!$C$38, 0.0347, 0)</f>
        <v>41.319000000000003</v>
      </c>
      <c r="I651" s="14">
        <f>41.2858 * CHOOSE(CONTROL!$C$15, $E$9, 100%, $G$9) + CHOOSE(CONTROL!$C$38, 0.0347, 0)</f>
        <v>41.320500000000003</v>
      </c>
      <c r="J651" s="44">
        <f>359.7964</f>
        <v>359.79640000000001</v>
      </c>
    </row>
    <row r="652" spans="1:10" ht="15.75" x14ac:dyDescent="0.25">
      <c r="A652" s="32">
        <v>60783</v>
      </c>
      <c r="B652" s="14">
        <f>44.2426 * CHOOSE(CONTROL!$C$15, $E$9, 100%, $G$9) + CHOOSE(CONTROL!$C$38, 0.0278, 0)</f>
        <v>44.270400000000002</v>
      </c>
      <c r="C652" s="14">
        <f>40.7697 * CHOOSE(CONTROL!$C$15, $E$9, 100%, $G$9) + CHOOSE(CONTROL!$C$38, 0.0369, 0)</f>
        <v>40.806600000000003</v>
      </c>
      <c r="D652" s="14">
        <f>40.7619 * CHOOSE(CONTROL!$C$15, $E$9, 100%, $G$9) + CHOOSE(CONTROL!$C$38, 0.0369, 0)</f>
        <v>40.7988</v>
      </c>
      <c r="E652" s="46">
        <f>44.0864 * CHOOSE(CONTROL!$C$15, $E$9, 100%, $G$9) + CHOOSE(CONTROL!$C$38, 0.0369, 0)</f>
        <v>44.1233</v>
      </c>
      <c r="F652" s="45">
        <f>44.0864 * CHOOSE(CONTROL!$C$15, $E$9, 100%, $G$9) + CHOOSE(CONTROL!$C$38, 0.0278, 0)</f>
        <v>44.114199999999997</v>
      </c>
      <c r="G652" s="14">
        <f>40.7682 * CHOOSE(CONTROL!$C$15, $E$9, 100%, $G$9) + CHOOSE(CONTROL!$C$38, 0.0369, 0)</f>
        <v>40.805100000000003</v>
      </c>
      <c r="H652" s="14">
        <f>40.7682 * CHOOSE(CONTROL!$C$15, $E$9, 100%, $G$9) + CHOOSE(CONTROL!$C$38, 0.0369, 0)</f>
        <v>40.805100000000003</v>
      </c>
      <c r="I652" s="14">
        <f>40.7697 * CHOOSE(CONTROL!$C$15, $E$9, 100%, $G$9) + CHOOSE(CONTROL!$C$38, 0.0369, 0)</f>
        <v>40.806600000000003</v>
      </c>
      <c r="J652" s="44">
        <f>371.8704</f>
        <v>371.87040000000002</v>
      </c>
    </row>
    <row r="653" spans="1:10" ht="15.75" x14ac:dyDescent="0.25">
      <c r="A653" s="32">
        <v>60813</v>
      </c>
      <c r="B653" s="14">
        <f>43.8808 * CHOOSE(CONTROL!$C$15, $E$9, 100%, $G$9) + CHOOSE(CONTROL!$C$38, 0.0278, 0)</f>
        <v>43.9086</v>
      </c>
      <c r="C653" s="14">
        <f>40.4079 * CHOOSE(CONTROL!$C$15, $E$9, 100%, $G$9) + CHOOSE(CONTROL!$C$38, 0.0369, 0)</f>
        <v>40.444800000000001</v>
      </c>
      <c r="D653" s="14">
        <f>40.4001 * CHOOSE(CONTROL!$C$15, $E$9, 100%, $G$9) + CHOOSE(CONTROL!$C$38, 0.0369, 0)</f>
        <v>40.437000000000005</v>
      </c>
      <c r="E653" s="46">
        <f>43.7245 * CHOOSE(CONTROL!$C$15, $E$9, 100%, $G$9) + CHOOSE(CONTROL!$C$38, 0.0369, 0)</f>
        <v>43.761400000000002</v>
      </c>
      <c r="F653" s="45">
        <f>43.7245 * CHOOSE(CONTROL!$C$15, $E$9, 100%, $G$9) + CHOOSE(CONTROL!$C$38, 0.0278, 0)</f>
        <v>43.752299999999998</v>
      </c>
      <c r="G653" s="14">
        <f>40.4063 * CHOOSE(CONTROL!$C$15, $E$9, 100%, $G$9) + CHOOSE(CONTROL!$C$38, 0.0369, 0)</f>
        <v>40.443200000000004</v>
      </c>
      <c r="H653" s="14">
        <f>40.4063 * CHOOSE(CONTROL!$C$15, $E$9, 100%, $G$9) + CHOOSE(CONTROL!$C$38, 0.0369, 0)</f>
        <v>40.443200000000004</v>
      </c>
      <c r="I653" s="14">
        <f>40.4079 * CHOOSE(CONTROL!$C$15, $E$9, 100%, $G$9) + CHOOSE(CONTROL!$C$38, 0.0369, 0)</f>
        <v>40.444800000000001</v>
      </c>
      <c r="J653" s="44">
        <f>377.2287</f>
        <v>377.2287</v>
      </c>
    </row>
    <row r="654" spans="1:10" ht="15.75" x14ac:dyDescent="0.25">
      <c r="A654" s="32">
        <v>60844</v>
      </c>
      <c r="B654" s="14">
        <f>43.6743 * CHOOSE(CONTROL!$C$15, $E$9, 100%, $G$9) + CHOOSE(CONTROL!$C$38, 0.0278, 0)</f>
        <v>43.702100000000002</v>
      </c>
      <c r="C654" s="14">
        <f>40.2014 * CHOOSE(CONTROL!$C$15, $E$9, 100%, $G$9) + CHOOSE(CONTROL!$C$38, 0.0369, 0)</f>
        <v>40.238300000000002</v>
      </c>
      <c r="D654" s="14">
        <f>40.1936 * CHOOSE(CONTROL!$C$15, $E$9, 100%, $G$9) + CHOOSE(CONTROL!$C$38, 0.0369, 0)</f>
        <v>40.230500000000006</v>
      </c>
      <c r="E654" s="46">
        <f>43.5181 * CHOOSE(CONTROL!$C$15, $E$9, 100%, $G$9) + CHOOSE(CONTROL!$C$38, 0.0369, 0)</f>
        <v>43.555</v>
      </c>
      <c r="F654" s="45">
        <f>43.5181 * CHOOSE(CONTROL!$C$15, $E$9, 100%, $G$9) + CHOOSE(CONTROL!$C$38, 0.0278, 0)</f>
        <v>43.545899999999996</v>
      </c>
      <c r="G654" s="14">
        <f>40.1998 * CHOOSE(CONTROL!$C$15, $E$9, 100%, $G$9) + CHOOSE(CONTROL!$C$38, 0.0369, 0)</f>
        <v>40.236700000000006</v>
      </c>
      <c r="H654" s="14">
        <f>40.1998 * CHOOSE(CONTROL!$C$15, $E$9, 100%, $G$9) + CHOOSE(CONTROL!$C$38, 0.0369, 0)</f>
        <v>40.236700000000006</v>
      </c>
      <c r="I654" s="14">
        <f>40.2014 * CHOOSE(CONTROL!$C$15, $E$9, 100%, $G$9) + CHOOSE(CONTROL!$C$38, 0.0369, 0)</f>
        <v>40.238300000000002</v>
      </c>
      <c r="J654" s="44">
        <f>375.4645</f>
        <v>375.46449999999999</v>
      </c>
    </row>
    <row r="655" spans="1:10" ht="15.75" x14ac:dyDescent="0.25">
      <c r="A655" s="32">
        <v>60875</v>
      </c>
      <c r="B655" s="14">
        <f>43.7762 * CHOOSE(CONTROL!$C$15, $E$9, 100%, $G$9) + CHOOSE(CONTROL!$C$38, 0.0278, 0)</f>
        <v>43.804000000000002</v>
      </c>
      <c r="C655" s="14">
        <f>40.3033 * CHOOSE(CONTROL!$C$15, $E$9, 100%, $G$9) + CHOOSE(CONTROL!$C$38, 0.0369, 0)</f>
        <v>40.340200000000003</v>
      </c>
      <c r="D655" s="14">
        <f>40.2955 * CHOOSE(CONTROL!$C$15, $E$9, 100%, $G$9) + CHOOSE(CONTROL!$C$38, 0.0369, 0)</f>
        <v>40.3324</v>
      </c>
      <c r="E655" s="46">
        <f>43.62 * CHOOSE(CONTROL!$C$15, $E$9, 100%, $G$9) + CHOOSE(CONTROL!$C$38, 0.0369, 0)</f>
        <v>43.6569</v>
      </c>
      <c r="F655" s="45">
        <f>43.62 * CHOOSE(CONTROL!$C$15, $E$9, 100%, $G$9) + CHOOSE(CONTROL!$C$38, 0.0278, 0)</f>
        <v>43.647799999999997</v>
      </c>
      <c r="G655" s="14">
        <f>40.3018 * CHOOSE(CONTROL!$C$15, $E$9, 100%, $G$9) + CHOOSE(CONTROL!$C$38, 0.0369, 0)</f>
        <v>40.338700000000003</v>
      </c>
      <c r="H655" s="14">
        <f>40.3018 * CHOOSE(CONTROL!$C$15, $E$9, 100%, $G$9) + CHOOSE(CONTROL!$C$38, 0.0369, 0)</f>
        <v>40.338700000000003</v>
      </c>
      <c r="I655" s="14">
        <f>40.3033 * CHOOSE(CONTROL!$C$15, $E$9, 100%, $G$9) + CHOOSE(CONTROL!$C$38, 0.0369, 0)</f>
        <v>40.340200000000003</v>
      </c>
      <c r="J655" s="44">
        <f>366.7239</f>
        <v>366.72390000000001</v>
      </c>
    </row>
    <row r="656" spans="1:10" ht="15.75" x14ac:dyDescent="0.25">
      <c r="A656" s="32">
        <v>60905</v>
      </c>
      <c r="B656" s="14">
        <f>44.053 * CHOOSE(CONTROL!$C$15, $E$9, 100%, $G$9) + CHOOSE(CONTROL!$C$38, 0.0278, 0)</f>
        <v>44.080799999999996</v>
      </c>
      <c r="C656" s="14">
        <f>40.5801 * CHOOSE(CONTROL!$C$15, $E$9, 100%, $G$9) + CHOOSE(CONTROL!$C$38, 0.0369, 0)</f>
        <v>40.617000000000004</v>
      </c>
      <c r="D656" s="14">
        <f>40.5723 * CHOOSE(CONTROL!$C$15, $E$9, 100%, $G$9) + CHOOSE(CONTROL!$C$38, 0.0369, 0)</f>
        <v>40.609200000000001</v>
      </c>
      <c r="E656" s="46">
        <f>43.8968 * CHOOSE(CONTROL!$C$15, $E$9, 100%, $G$9) + CHOOSE(CONTROL!$C$38, 0.0369, 0)</f>
        <v>43.933700000000002</v>
      </c>
      <c r="F656" s="45">
        <f>43.8968 * CHOOSE(CONTROL!$C$15, $E$9, 100%, $G$9) + CHOOSE(CONTROL!$C$38, 0.0278, 0)</f>
        <v>43.924599999999998</v>
      </c>
      <c r="G656" s="14">
        <f>40.5786 * CHOOSE(CONTROL!$C$15, $E$9, 100%, $G$9) + CHOOSE(CONTROL!$C$38, 0.0369, 0)</f>
        <v>40.615500000000004</v>
      </c>
      <c r="H656" s="14">
        <f>40.5786 * CHOOSE(CONTROL!$C$15, $E$9, 100%, $G$9) + CHOOSE(CONTROL!$C$38, 0.0369, 0)</f>
        <v>40.615500000000004</v>
      </c>
      <c r="I656" s="14">
        <f>40.5801 * CHOOSE(CONTROL!$C$15, $E$9, 100%, $G$9) + CHOOSE(CONTROL!$C$38, 0.0369, 0)</f>
        <v>40.617000000000004</v>
      </c>
      <c r="J656" s="44">
        <f>354.5346</f>
        <v>354.53460000000001</v>
      </c>
    </row>
    <row r="657" spans="1:10" ht="15.75" x14ac:dyDescent="0.25">
      <c r="A657" s="32">
        <v>60936</v>
      </c>
      <c r="B657" s="14">
        <f>44.2848 * CHOOSE(CONTROL!$C$15, $E$9, 100%, $G$9) + CHOOSE(CONTROL!$C$38, 0.0256, 0)</f>
        <v>44.310399999999994</v>
      </c>
      <c r="C657" s="14">
        <f>40.8119 * CHOOSE(CONTROL!$C$15, $E$9, 100%, $G$9) + CHOOSE(CONTROL!$C$38, 0.0347, 0)</f>
        <v>40.846600000000002</v>
      </c>
      <c r="D657" s="14">
        <f>40.8041 * CHOOSE(CONTROL!$C$15, $E$9, 100%, $G$9) + CHOOSE(CONTROL!$C$38, 0.0347, 0)</f>
        <v>40.838799999999999</v>
      </c>
      <c r="E657" s="46">
        <f>44.1286 * CHOOSE(CONTROL!$C$15, $E$9, 100%, $G$9) + CHOOSE(CONTROL!$C$38, 0.0347, 0)</f>
        <v>44.1633</v>
      </c>
      <c r="F657" s="45">
        <f>44.1286 * CHOOSE(CONTROL!$C$15, $E$9, 100%, $G$9) + CHOOSE(CONTROL!$C$38, 0.0256, 0)</f>
        <v>44.154199999999996</v>
      </c>
      <c r="G657" s="14">
        <f>40.8104 * CHOOSE(CONTROL!$C$15, $E$9, 100%, $G$9) + CHOOSE(CONTROL!$C$38, 0.0347, 0)</f>
        <v>40.845100000000002</v>
      </c>
      <c r="H657" s="14">
        <f>40.8104 * CHOOSE(CONTROL!$C$15, $E$9, 100%, $G$9) + CHOOSE(CONTROL!$C$38, 0.0347, 0)</f>
        <v>40.845100000000002</v>
      </c>
      <c r="I657" s="14">
        <f>40.8119 * CHOOSE(CONTROL!$C$15, $E$9, 100%, $G$9) + CHOOSE(CONTROL!$C$38, 0.0347, 0)</f>
        <v>40.846600000000002</v>
      </c>
      <c r="J657" s="44">
        <f>342.2744</f>
        <v>342.27440000000001</v>
      </c>
    </row>
    <row r="658" spans="1:10" ht="15.75" x14ac:dyDescent="0.25">
      <c r="A658" s="32">
        <v>60966</v>
      </c>
      <c r="B658" s="14">
        <f>44.4783 * CHOOSE(CONTROL!$C$15, $E$9, 100%, $G$9) + CHOOSE(CONTROL!$C$38, 0.0256, 0)</f>
        <v>44.503899999999994</v>
      </c>
      <c r="C658" s="14">
        <f>41.0054 * CHOOSE(CONTROL!$C$15, $E$9, 100%, $G$9) + CHOOSE(CONTROL!$C$38, 0.0347, 0)</f>
        <v>41.040100000000002</v>
      </c>
      <c r="D658" s="14">
        <f>40.9976 * CHOOSE(CONTROL!$C$15, $E$9, 100%, $G$9) + CHOOSE(CONTROL!$C$38, 0.0347, 0)</f>
        <v>41.032299999999999</v>
      </c>
      <c r="E658" s="46">
        <f>44.322 * CHOOSE(CONTROL!$C$15, $E$9, 100%, $G$9) + CHOOSE(CONTROL!$C$38, 0.0347, 0)</f>
        <v>44.356700000000004</v>
      </c>
      <c r="F658" s="45">
        <f>44.322 * CHOOSE(CONTROL!$C$15, $E$9, 100%, $G$9) + CHOOSE(CONTROL!$C$38, 0.0256, 0)</f>
        <v>44.3476</v>
      </c>
      <c r="G658" s="14">
        <f>41.0038 * CHOOSE(CONTROL!$C$15, $E$9, 100%, $G$9) + CHOOSE(CONTROL!$C$38, 0.0347, 0)</f>
        <v>41.038499999999999</v>
      </c>
      <c r="H658" s="14">
        <f>41.0038 * CHOOSE(CONTROL!$C$15, $E$9, 100%, $G$9) + CHOOSE(CONTROL!$C$38, 0.0347, 0)</f>
        <v>41.038499999999999</v>
      </c>
      <c r="I658" s="14">
        <f>41.0054 * CHOOSE(CONTROL!$C$15, $E$9, 100%, $G$9) + CHOOSE(CONTROL!$C$38, 0.0347, 0)</f>
        <v>41.040100000000002</v>
      </c>
      <c r="J658" s="44">
        <f>339.8356</f>
        <v>339.8356</v>
      </c>
    </row>
    <row r="659" spans="1:10" ht="15.75" x14ac:dyDescent="0.25">
      <c r="A659" s="32">
        <v>60997</v>
      </c>
      <c r="B659" s="14">
        <f>45.0743 * CHOOSE(CONTROL!$C$15, $E$9, 100%, $G$9) + CHOOSE(CONTROL!$C$38, 0.0256, 0)</f>
        <v>45.099899999999998</v>
      </c>
      <c r="C659" s="14">
        <f>41.6015 * CHOOSE(CONTROL!$C$15, $E$9, 100%, $G$9) + CHOOSE(CONTROL!$C$38, 0.0347, 0)</f>
        <v>41.636200000000002</v>
      </c>
      <c r="D659" s="14">
        <f>41.5936 * CHOOSE(CONTROL!$C$15, $E$9, 100%, $G$9) + CHOOSE(CONTROL!$C$38, 0.0347, 0)</f>
        <v>41.628300000000003</v>
      </c>
      <c r="E659" s="46">
        <f>44.9181 * CHOOSE(CONTROL!$C$15, $E$9, 100%, $G$9) + CHOOSE(CONTROL!$C$38, 0.0347, 0)</f>
        <v>44.952800000000003</v>
      </c>
      <c r="F659" s="45">
        <f>44.9181 * CHOOSE(CONTROL!$C$15, $E$9, 100%, $G$9) + CHOOSE(CONTROL!$C$38, 0.0256, 0)</f>
        <v>44.9437</v>
      </c>
      <c r="G659" s="14">
        <f>41.5999 * CHOOSE(CONTROL!$C$15, $E$9, 100%, $G$9) + CHOOSE(CONTROL!$C$38, 0.0347, 0)</f>
        <v>41.634599999999999</v>
      </c>
      <c r="H659" s="14">
        <f>41.5999 * CHOOSE(CONTROL!$C$15, $E$9, 100%, $G$9) + CHOOSE(CONTROL!$C$38, 0.0347, 0)</f>
        <v>41.634599999999999</v>
      </c>
      <c r="I659" s="14">
        <f>41.6015 * CHOOSE(CONTROL!$C$15, $E$9, 100%, $G$9) + CHOOSE(CONTROL!$C$38, 0.0347, 0)</f>
        <v>41.636200000000002</v>
      </c>
      <c r="J659" s="44">
        <f>329.751</f>
        <v>329.75099999999998</v>
      </c>
    </row>
    <row r="660" spans="1:10" ht="15.75" x14ac:dyDescent="0.25">
      <c r="A660" s="32">
        <v>61028</v>
      </c>
      <c r="B660" s="14">
        <f>46.2647 * CHOOSE(CONTROL!$C$15, $E$9, 100%, $G$9) + CHOOSE(CONTROL!$C$38, 0.0256, 0)</f>
        <v>46.290299999999995</v>
      </c>
      <c r="C660" s="14">
        <f>42.7375 * CHOOSE(CONTROL!$C$15, $E$9, 100%, $G$9) + CHOOSE(CONTROL!$C$38, 0.0347, 0)</f>
        <v>42.772199999999998</v>
      </c>
      <c r="D660" s="14">
        <f>42.7297 * CHOOSE(CONTROL!$C$15, $E$9, 100%, $G$9) + CHOOSE(CONTROL!$C$38, 0.0347, 0)</f>
        <v>42.764400000000002</v>
      </c>
      <c r="E660" s="46">
        <f>46.1085 * CHOOSE(CONTROL!$C$15, $E$9, 100%, $G$9) + CHOOSE(CONTROL!$C$38, 0.0347, 0)</f>
        <v>46.1432</v>
      </c>
      <c r="F660" s="45">
        <f>46.1085 * CHOOSE(CONTROL!$C$15, $E$9, 100%, $G$9) + CHOOSE(CONTROL!$C$38, 0.0256, 0)</f>
        <v>46.134099999999997</v>
      </c>
      <c r="G660" s="14">
        <f>42.7359 * CHOOSE(CONTROL!$C$15, $E$9, 100%, $G$9) + CHOOSE(CONTROL!$C$38, 0.0347, 0)</f>
        <v>42.770600000000002</v>
      </c>
      <c r="H660" s="14">
        <f>42.7359 * CHOOSE(CONTROL!$C$15, $E$9, 100%, $G$9) + CHOOSE(CONTROL!$C$38, 0.0347, 0)</f>
        <v>42.770600000000002</v>
      </c>
      <c r="I660" s="14">
        <f>42.7375 * CHOOSE(CONTROL!$C$15, $E$9, 100%, $G$9) + CHOOSE(CONTROL!$C$38, 0.0347, 0)</f>
        <v>42.772199999999998</v>
      </c>
      <c r="J660" s="44">
        <f>329.1212</f>
        <v>329.12119999999999</v>
      </c>
    </row>
    <row r="661" spans="1:10" ht="15.75" x14ac:dyDescent="0.25">
      <c r="A661" s="32">
        <v>61056</v>
      </c>
      <c r="B661" s="14">
        <f>46.4855 * CHOOSE(CONTROL!$C$15, $E$9, 100%, $G$9) + CHOOSE(CONTROL!$C$38, 0.0256, 0)</f>
        <v>46.511099999999999</v>
      </c>
      <c r="C661" s="14">
        <f>42.9582 * CHOOSE(CONTROL!$C$15, $E$9, 100%, $G$9) + CHOOSE(CONTROL!$C$38, 0.0347, 0)</f>
        <v>42.992899999999999</v>
      </c>
      <c r="D661" s="14">
        <f>42.9504 * CHOOSE(CONTROL!$C$15, $E$9, 100%, $G$9) + CHOOSE(CONTROL!$C$38, 0.0347, 0)</f>
        <v>42.985100000000003</v>
      </c>
      <c r="E661" s="46">
        <f>46.3292 * CHOOSE(CONTROL!$C$15, $E$9, 100%, $G$9) + CHOOSE(CONTROL!$C$38, 0.0347, 0)</f>
        <v>46.363900000000001</v>
      </c>
      <c r="F661" s="45">
        <f>46.3292 * CHOOSE(CONTROL!$C$15, $E$9, 100%, $G$9) + CHOOSE(CONTROL!$C$38, 0.0256, 0)</f>
        <v>46.354799999999997</v>
      </c>
      <c r="G661" s="14">
        <f>42.9567 * CHOOSE(CONTROL!$C$15, $E$9, 100%, $G$9) + CHOOSE(CONTROL!$C$38, 0.0347, 0)</f>
        <v>42.991399999999999</v>
      </c>
      <c r="H661" s="14">
        <f>42.9567 * CHOOSE(CONTROL!$C$15, $E$9, 100%, $G$9) + CHOOSE(CONTROL!$C$38, 0.0347, 0)</f>
        <v>42.991399999999999</v>
      </c>
      <c r="I661" s="14">
        <f>42.9582 * CHOOSE(CONTROL!$C$15, $E$9, 100%, $G$9) + CHOOSE(CONTROL!$C$38, 0.0347, 0)</f>
        <v>42.992899999999999</v>
      </c>
      <c r="J661" s="44">
        <f>328.2064</f>
        <v>328.20639999999997</v>
      </c>
    </row>
    <row r="662" spans="1:10" ht="15.75" x14ac:dyDescent="0.25">
      <c r="A662" s="32">
        <v>61087</v>
      </c>
      <c r="B662" s="14">
        <f>45.9745 * CHOOSE(CONTROL!$C$15, $E$9, 100%, $G$9) + CHOOSE(CONTROL!$C$38, 0.0256, 0)</f>
        <v>46.000099999999996</v>
      </c>
      <c r="C662" s="14">
        <f>42.4472 * CHOOSE(CONTROL!$C$15, $E$9, 100%, $G$9) + CHOOSE(CONTROL!$C$38, 0.0347, 0)</f>
        <v>42.481900000000003</v>
      </c>
      <c r="D662" s="14">
        <f>42.4394 * CHOOSE(CONTROL!$C$15, $E$9, 100%, $G$9) + CHOOSE(CONTROL!$C$38, 0.0347, 0)</f>
        <v>42.4741</v>
      </c>
      <c r="E662" s="46">
        <f>45.8182 * CHOOSE(CONTROL!$C$15, $E$9, 100%, $G$9) + CHOOSE(CONTROL!$C$38, 0.0347, 0)</f>
        <v>45.852899999999998</v>
      </c>
      <c r="F662" s="45">
        <f>45.8182 * CHOOSE(CONTROL!$C$15, $E$9, 100%, $G$9) + CHOOSE(CONTROL!$C$38, 0.0256, 0)</f>
        <v>45.843799999999995</v>
      </c>
      <c r="G662" s="14">
        <f>42.4456 * CHOOSE(CONTROL!$C$15, $E$9, 100%, $G$9) + CHOOSE(CONTROL!$C$38, 0.0347, 0)</f>
        <v>42.4803</v>
      </c>
      <c r="H662" s="14">
        <f>42.4456 * CHOOSE(CONTROL!$C$15, $E$9, 100%, $G$9) + CHOOSE(CONTROL!$C$38, 0.0347, 0)</f>
        <v>42.4803</v>
      </c>
      <c r="I662" s="14">
        <f>42.4472 * CHOOSE(CONTROL!$C$15, $E$9, 100%, $G$9) + CHOOSE(CONTROL!$C$38, 0.0347, 0)</f>
        <v>42.481900000000003</v>
      </c>
      <c r="J662" s="44">
        <f>345.5047</f>
        <v>345.50470000000001</v>
      </c>
    </row>
    <row r="663" spans="1:10" ht="15.75" x14ac:dyDescent="0.25">
      <c r="A663" s="32">
        <v>61117</v>
      </c>
      <c r="B663" s="14">
        <f>45.4793 * CHOOSE(CONTROL!$C$15, $E$9, 100%, $G$9) + CHOOSE(CONTROL!$C$38, 0.0256, 0)</f>
        <v>45.504899999999999</v>
      </c>
      <c r="C663" s="14">
        <f>41.952 * CHOOSE(CONTROL!$C$15, $E$9, 100%, $G$9) + CHOOSE(CONTROL!$C$38, 0.0347, 0)</f>
        <v>41.986699999999999</v>
      </c>
      <c r="D663" s="14">
        <f>41.9442 * CHOOSE(CONTROL!$C$15, $E$9, 100%, $G$9) + CHOOSE(CONTROL!$C$38, 0.0347, 0)</f>
        <v>41.978900000000003</v>
      </c>
      <c r="E663" s="46">
        <f>45.323 * CHOOSE(CONTROL!$C$15, $E$9, 100%, $G$9) + CHOOSE(CONTROL!$C$38, 0.0347, 0)</f>
        <v>45.357700000000001</v>
      </c>
      <c r="F663" s="45">
        <f>45.323 * CHOOSE(CONTROL!$C$15, $E$9, 100%, $G$9) + CHOOSE(CONTROL!$C$38, 0.0256, 0)</f>
        <v>45.348599999999998</v>
      </c>
      <c r="G663" s="14">
        <f>41.9505 * CHOOSE(CONTROL!$C$15, $E$9, 100%, $G$9) + CHOOSE(CONTROL!$C$38, 0.0347, 0)</f>
        <v>41.985199999999999</v>
      </c>
      <c r="H663" s="14">
        <f>41.9505 * CHOOSE(CONTROL!$C$15, $E$9, 100%, $G$9) + CHOOSE(CONTROL!$C$38, 0.0347, 0)</f>
        <v>41.985199999999999</v>
      </c>
      <c r="I663" s="14">
        <f>41.952 * CHOOSE(CONTROL!$C$15, $E$9, 100%, $G$9) + CHOOSE(CONTROL!$C$38, 0.0347, 0)</f>
        <v>41.986699999999999</v>
      </c>
      <c r="J663" s="44">
        <f>367.9366</f>
        <v>367.9366</v>
      </c>
    </row>
    <row r="664" spans="1:10" ht="15.75" x14ac:dyDescent="0.25">
      <c r="A664" s="32">
        <v>61148</v>
      </c>
      <c r="B664" s="14">
        <f>44.9632 * CHOOSE(CONTROL!$C$15, $E$9, 100%, $G$9) + CHOOSE(CONTROL!$C$38, 0.0278, 0)</f>
        <v>44.991</v>
      </c>
      <c r="C664" s="14">
        <f>41.4359 * CHOOSE(CONTROL!$C$15, $E$9, 100%, $G$9) + CHOOSE(CONTROL!$C$38, 0.0369, 0)</f>
        <v>41.472799999999999</v>
      </c>
      <c r="D664" s="14">
        <f>41.4281 * CHOOSE(CONTROL!$C$15, $E$9, 100%, $G$9) + CHOOSE(CONTROL!$C$38, 0.0369, 0)</f>
        <v>41.465000000000003</v>
      </c>
      <c r="E664" s="46">
        <f>44.8069 * CHOOSE(CONTROL!$C$15, $E$9, 100%, $G$9) + CHOOSE(CONTROL!$C$38, 0.0369, 0)</f>
        <v>44.843800000000002</v>
      </c>
      <c r="F664" s="45">
        <f>44.8069 * CHOOSE(CONTROL!$C$15, $E$9, 100%, $G$9) + CHOOSE(CONTROL!$C$38, 0.0278, 0)</f>
        <v>44.834699999999998</v>
      </c>
      <c r="G664" s="14">
        <f>41.4343 * CHOOSE(CONTROL!$C$15, $E$9, 100%, $G$9) + CHOOSE(CONTROL!$C$38, 0.0369, 0)</f>
        <v>41.471200000000003</v>
      </c>
      <c r="H664" s="14">
        <f>41.4343 * CHOOSE(CONTROL!$C$15, $E$9, 100%, $G$9) + CHOOSE(CONTROL!$C$38, 0.0369, 0)</f>
        <v>41.471200000000003</v>
      </c>
      <c r="I664" s="14">
        <f>41.4359 * CHOOSE(CONTROL!$C$15, $E$9, 100%, $G$9) + CHOOSE(CONTROL!$C$38, 0.0369, 0)</f>
        <v>41.472799999999999</v>
      </c>
      <c r="J664" s="44">
        <f>380.2838</f>
        <v>380.28379999999999</v>
      </c>
    </row>
    <row r="665" spans="1:10" ht="15.75" x14ac:dyDescent="0.25">
      <c r="A665" s="32">
        <v>61178</v>
      </c>
      <c r="B665" s="14">
        <f>44.6013 * CHOOSE(CONTROL!$C$15, $E$9, 100%, $G$9) + CHOOSE(CONTROL!$C$38, 0.0278, 0)</f>
        <v>44.629100000000001</v>
      </c>
      <c r="C665" s="14">
        <f>41.0741 * CHOOSE(CONTROL!$C$15, $E$9, 100%, $G$9) + CHOOSE(CONTROL!$C$38, 0.0369, 0)</f>
        <v>41.111000000000004</v>
      </c>
      <c r="D665" s="14">
        <f>41.0663 * CHOOSE(CONTROL!$C$15, $E$9, 100%, $G$9) + CHOOSE(CONTROL!$C$38, 0.0369, 0)</f>
        <v>41.103200000000001</v>
      </c>
      <c r="E665" s="46">
        <f>44.4451 * CHOOSE(CONTROL!$C$15, $E$9, 100%, $G$9) + CHOOSE(CONTROL!$C$38, 0.0369, 0)</f>
        <v>44.481999999999999</v>
      </c>
      <c r="F665" s="45">
        <f>44.4451 * CHOOSE(CONTROL!$C$15, $E$9, 100%, $G$9) + CHOOSE(CONTROL!$C$38, 0.0278, 0)</f>
        <v>44.472899999999996</v>
      </c>
      <c r="G665" s="14">
        <f>41.0725 * CHOOSE(CONTROL!$C$15, $E$9, 100%, $G$9) + CHOOSE(CONTROL!$C$38, 0.0369, 0)</f>
        <v>41.109400000000001</v>
      </c>
      <c r="H665" s="14">
        <f>41.0725 * CHOOSE(CONTROL!$C$15, $E$9, 100%, $G$9) + CHOOSE(CONTROL!$C$38, 0.0369, 0)</f>
        <v>41.109400000000001</v>
      </c>
      <c r="I665" s="14">
        <f>41.0741 * CHOOSE(CONTROL!$C$15, $E$9, 100%, $G$9) + CHOOSE(CONTROL!$C$38, 0.0369, 0)</f>
        <v>41.111000000000004</v>
      </c>
      <c r="J665" s="44">
        <f>385.7633</f>
        <v>385.76330000000002</v>
      </c>
    </row>
    <row r="666" spans="1:10" ht="15.75" x14ac:dyDescent="0.25">
      <c r="A666" s="32">
        <v>61209</v>
      </c>
      <c r="B666" s="14">
        <f>44.3948 * CHOOSE(CONTROL!$C$15, $E$9, 100%, $G$9) + CHOOSE(CONTROL!$C$38, 0.0278, 0)</f>
        <v>44.422599999999996</v>
      </c>
      <c r="C666" s="14">
        <f>40.8676 * CHOOSE(CONTROL!$C$15, $E$9, 100%, $G$9) + CHOOSE(CONTROL!$C$38, 0.0369, 0)</f>
        <v>40.904500000000006</v>
      </c>
      <c r="D666" s="14">
        <f>40.8598 * CHOOSE(CONTROL!$C$15, $E$9, 100%, $G$9) + CHOOSE(CONTROL!$C$38, 0.0369, 0)</f>
        <v>40.896700000000003</v>
      </c>
      <c r="E666" s="46">
        <f>44.2386 * CHOOSE(CONTROL!$C$15, $E$9, 100%, $G$9) + CHOOSE(CONTROL!$C$38, 0.0369, 0)</f>
        <v>44.275500000000001</v>
      </c>
      <c r="F666" s="45">
        <f>44.2386 * CHOOSE(CONTROL!$C$15, $E$9, 100%, $G$9) + CHOOSE(CONTROL!$C$38, 0.0278, 0)</f>
        <v>44.266399999999997</v>
      </c>
      <c r="G666" s="14">
        <f>40.866 * CHOOSE(CONTROL!$C$15, $E$9, 100%, $G$9) + CHOOSE(CONTROL!$C$38, 0.0369, 0)</f>
        <v>40.902900000000002</v>
      </c>
      <c r="H666" s="14">
        <f>40.866 * CHOOSE(CONTROL!$C$15, $E$9, 100%, $G$9) + CHOOSE(CONTROL!$C$38, 0.0369, 0)</f>
        <v>40.902900000000002</v>
      </c>
      <c r="I666" s="14">
        <f>40.8676 * CHOOSE(CONTROL!$C$15, $E$9, 100%, $G$9) + CHOOSE(CONTROL!$C$38, 0.0369, 0)</f>
        <v>40.904500000000006</v>
      </c>
      <c r="J666" s="44">
        <f>383.9592</f>
        <v>383.95920000000001</v>
      </c>
    </row>
    <row r="667" spans="1:10" ht="15.75" x14ac:dyDescent="0.25">
      <c r="A667" s="32">
        <v>61240</v>
      </c>
      <c r="B667" s="14">
        <f>44.4968 * CHOOSE(CONTROL!$C$15, $E$9, 100%, $G$9) + CHOOSE(CONTROL!$C$38, 0.0278, 0)</f>
        <v>44.5246</v>
      </c>
      <c r="C667" s="14">
        <f>40.9695 * CHOOSE(CONTROL!$C$15, $E$9, 100%, $G$9) + CHOOSE(CONTROL!$C$38, 0.0369, 0)</f>
        <v>41.006399999999999</v>
      </c>
      <c r="D667" s="14">
        <f>40.9617 * CHOOSE(CONTROL!$C$15, $E$9, 100%, $G$9) + CHOOSE(CONTROL!$C$38, 0.0369, 0)</f>
        <v>40.998600000000003</v>
      </c>
      <c r="E667" s="46">
        <f>44.3405 * CHOOSE(CONTROL!$C$15, $E$9, 100%, $G$9) + CHOOSE(CONTROL!$C$38, 0.0369, 0)</f>
        <v>44.377400000000002</v>
      </c>
      <c r="F667" s="45">
        <f>44.3405 * CHOOSE(CONTROL!$C$15, $E$9, 100%, $G$9) + CHOOSE(CONTROL!$C$38, 0.0278, 0)</f>
        <v>44.368299999999998</v>
      </c>
      <c r="G667" s="14">
        <f>40.9679 * CHOOSE(CONTROL!$C$15, $E$9, 100%, $G$9) + CHOOSE(CONTROL!$C$38, 0.0369, 0)</f>
        <v>41.004800000000003</v>
      </c>
      <c r="H667" s="14">
        <f>40.9679 * CHOOSE(CONTROL!$C$15, $E$9, 100%, $G$9) + CHOOSE(CONTROL!$C$38, 0.0369, 0)</f>
        <v>41.004800000000003</v>
      </c>
      <c r="I667" s="14">
        <f>40.9695 * CHOOSE(CONTROL!$C$15, $E$9, 100%, $G$9) + CHOOSE(CONTROL!$C$38, 0.0369, 0)</f>
        <v>41.006399999999999</v>
      </c>
      <c r="J667" s="44">
        <f>375.0208</f>
        <v>375.02080000000001</v>
      </c>
    </row>
    <row r="668" spans="1:10" ht="15.75" x14ac:dyDescent="0.25">
      <c r="A668" s="32">
        <v>61270</v>
      </c>
      <c r="B668" s="14">
        <f>44.7736 * CHOOSE(CONTROL!$C$15, $E$9, 100%, $G$9) + CHOOSE(CONTROL!$C$38, 0.0278, 0)</f>
        <v>44.801400000000001</v>
      </c>
      <c r="C668" s="14">
        <f>41.2463 * CHOOSE(CONTROL!$C$15, $E$9, 100%, $G$9) + CHOOSE(CONTROL!$C$38, 0.0369, 0)</f>
        <v>41.283200000000001</v>
      </c>
      <c r="D668" s="14">
        <f>41.2385 * CHOOSE(CONTROL!$C$15, $E$9, 100%, $G$9) + CHOOSE(CONTROL!$C$38, 0.0369, 0)</f>
        <v>41.275400000000005</v>
      </c>
      <c r="E668" s="46">
        <f>44.6173 * CHOOSE(CONTROL!$C$15, $E$9, 100%, $G$9) + CHOOSE(CONTROL!$C$38, 0.0369, 0)</f>
        <v>44.654200000000003</v>
      </c>
      <c r="F668" s="45">
        <f>44.6173 * CHOOSE(CONTROL!$C$15, $E$9, 100%, $G$9) + CHOOSE(CONTROL!$C$38, 0.0278, 0)</f>
        <v>44.645099999999999</v>
      </c>
      <c r="G668" s="14">
        <f>41.2447 * CHOOSE(CONTROL!$C$15, $E$9, 100%, $G$9) + CHOOSE(CONTROL!$C$38, 0.0369, 0)</f>
        <v>41.281600000000005</v>
      </c>
      <c r="H668" s="14">
        <f>41.2447 * CHOOSE(CONTROL!$C$15, $E$9, 100%, $G$9) + CHOOSE(CONTROL!$C$38, 0.0369, 0)</f>
        <v>41.281600000000005</v>
      </c>
      <c r="I668" s="14">
        <f>41.2463 * CHOOSE(CONTROL!$C$15, $E$9, 100%, $G$9) + CHOOSE(CONTROL!$C$38, 0.0369, 0)</f>
        <v>41.283200000000001</v>
      </c>
      <c r="J668" s="44">
        <f>362.5558</f>
        <v>362.55579999999998</v>
      </c>
    </row>
    <row r="669" spans="1:10" ht="15.75" x14ac:dyDescent="0.25">
      <c r="A669" s="32">
        <v>61301</v>
      </c>
      <c r="B669" s="14">
        <f>45.0054 * CHOOSE(CONTROL!$C$15, $E$9, 100%, $G$9) + CHOOSE(CONTROL!$C$38, 0.0256, 0)</f>
        <v>45.030999999999999</v>
      </c>
      <c r="C669" s="14">
        <f>41.4781 * CHOOSE(CONTROL!$C$15, $E$9, 100%, $G$9) + CHOOSE(CONTROL!$C$38, 0.0347, 0)</f>
        <v>41.512799999999999</v>
      </c>
      <c r="D669" s="14">
        <f>41.4703 * CHOOSE(CONTROL!$C$15, $E$9, 100%, $G$9) + CHOOSE(CONTROL!$C$38, 0.0347, 0)</f>
        <v>41.505000000000003</v>
      </c>
      <c r="E669" s="46">
        <f>44.8491 * CHOOSE(CONTROL!$C$15, $E$9, 100%, $G$9) + CHOOSE(CONTROL!$C$38, 0.0347, 0)</f>
        <v>44.883800000000001</v>
      </c>
      <c r="F669" s="45">
        <f>44.8491 * CHOOSE(CONTROL!$C$15, $E$9, 100%, $G$9) + CHOOSE(CONTROL!$C$38, 0.0256, 0)</f>
        <v>44.874699999999997</v>
      </c>
      <c r="G669" s="14">
        <f>41.4765 * CHOOSE(CONTROL!$C$15, $E$9, 100%, $G$9) + CHOOSE(CONTROL!$C$38, 0.0347, 0)</f>
        <v>41.511200000000002</v>
      </c>
      <c r="H669" s="14">
        <f>41.4765 * CHOOSE(CONTROL!$C$15, $E$9, 100%, $G$9) + CHOOSE(CONTROL!$C$38, 0.0347, 0)</f>
        <v>41.511200000000002</v>
      </c>
      <c r="I669" s="14">
        <f>41.4781 * CHOOSE(CONTROL!$C$15, $E$9, 100%, $G$9) + CHOOSE(CONTROL!$C$38, 0.0347, 0)</f>
        <v>41.512799999999999</v>
      </c>
      <c r="J669" s="44">
        <f>350.0182</f>
        <v>350.01819999999998</v>
      </c>
    </row>
    <row r="670" spans="1:10" ht="15.75" x14ac:dyDescent="0.25">
      <c r="A670" s="32">
        <v>61331</v>
      </c>
      <c r="B670" s="14">
        <f>45.1988 * CHOOSE(CONTROL!$C$15, $E$9, 100%, $G$9) + CHOOSE(CONTROL!$C$38, 0.0256, 0)</f>
        <v>45.224399999999996</v>
      </c>
      <c r="C670" s="14">
        <f>41.6715 * CHOOSE(CONTROL!$C$15, $E$9, 100%, $G$9) + CHOOSE(CONTROL!$C$38, 0.0347, 0)</f>
        <v>41.706200000000003</v>
      </c>
      <c r="D670" s="14">
        <f>41.6637 * CHOOSE(CONTROL!$C$15, $E$9, 100%, $G$9) + CHOOSE(CONTROL!$C$38, 0.0347, 0)</f>
        <v>41.698399999999999</v>
      </c>
      <c r="E670" s="46">
        <f>45.0426 * CHOOSE(CONTROL!$C$15, $E$9, 100%, $G$9) + CHOOSE(CONTROL!$C$38, 0.0347, 0)</f>
        <v>45.077300000000001</v>
      </c>
      <c r="F670" s="45">
        <f>45.0426 * CHOOSE(CONTROL!$C$15, $E$9, 100%, $G$9) + CHOOSE(CONTROL!$C$38, 0.0256, 0)</f>
        <v>45.068199999999997</v>
      </c>
      <c r="G670" s="14">
        <f>41.67 * CHOOSE(CONTROL!$C$15, $E$9, 100%, $G$9) + CHOOSE(CONTROL!$C$38, 0.0347, 0)</f>
        <v>41.704700000000003</v>
      </c>
      <c r="H670" s="14">
        <f>41.67 * CHOOSE(CONTROL!$C$15, $E$9, 100%, $G$9) + CHOOSE(CONTROL!$C$38, 0.0347, 0)</f>
        <v>41.704700000000003</v>
      </c>
      <c r="I670" s="14">
        <f>41.6715 * CHOOSE(CONTROL!$C$15, $E$9, 100%, $G$9) + CHOOSE(CONTROL!$C$38, 0.0347, 0)</f>
        <v>41.706200000000003</v>
      </c>
      <c r="J670" s="44">
        <f>347.5242</f>
        <v>347.52420000000001</v>
      </c>
    </row>
    <row r="671" spans="1:10" ht="15.75" x14ac:dyDescent="0.25">
      <c r="A671" s="32">
        <v>61362</v>
      </c>
      <c r="B671" s="14">
        <f>45.7949 * CHOOSE(CONTROL!$C$15, $E$9, 100%, $G$9) + CHOOSE(CONTROL!$C$38, 0.0256, 0)</f>
        <v>45.820499999999996</v>
      </c>
      <c r="C671" s="14">
        <f>42.2676 * CHOOSE(CONTROL!$C$15, $E$9, 100%, $G$9) + CHOOSE(CONTROL!$C$38, 0.0347, 0)</f>
        <v>42.302300000000002</v>
      </c>
      <c r="D671" s="14">
        <f>42.2598 * CHOOSE(CONTROL!$C$15, $E$9, 100%, $G$9) + CHOOSE(CONTROL!$C$38, 0.0347, 0)</f>
        <v>42.294499999999999</v>
      </c>
      <c r="E671" s="46">
        <f>45.6386 * CHOOSE(CONTROL!$C$15, $E$9, 100%, $G$9) + CHOOSE(CONTROL!$C$38, 0.0347, 0)</f>
        <v>45.673299999999998</v>
      </c>
      <c r="F671" s="45">
        <f>45.6386 * CHOOSE(CONTROL!$C$15, $E$9, 100%, $G$9) + CHOOSE(CONTROL!$C$38, 0.0256, 0)</f>
        <v>45.664199999999994</v>
      </c>
      <c r="G671" s="14">
        <f>42.2661 * CHOOSE(CONTROL!$C$15, $E$9, 100%, $G$9) + CHOOSE(CONTROL!$C$38, 0.0347, 0)</f>
        <v>42.300800000000002</v>
      </c>
      <c r="H671" s="14">
        <f>42.2661 * CHOOSE(CONTROL!$C$15, $E$9, 100%, $G$9) + CHOOSE(CONTROL!$C$38, 0.0347, 0)</f>
        <v>42.300800000000002</v>
      </c>
      <c r="I671" s="14">
        <f>42.2676 * CHOOSE(CONTROL!$C$15, $E$9, 100%, $G$9) + CHOOSE(CONTROL!$C$38, 0.0347, 0)</f>
        <v>42.302300000000002</v>
      </c>
      <c r="J671" s="44">
        <f>337.2114</f>
        <v>337.21140000000003</v>
      </c>
    </row>
    <row r="672" spans="1:10" ht="15.75" x14ac:dyDescent="0.25">
      <c r="A672" s="32">
        <v>61393</v>
      </c>
      <c r="B672" s="14">
        <f>46.9971 * CHOOSE(CONTROL!$C$15, $E$9, 100%, $G$9) + CHOOSE(CONTROL!$C$38, 0.0256, 0)</f>
        <v>47.0227</v>
      </c>
      <c r="C672" s="14">
        <f>43.4146 * CHOOSE(CONTROL!$C$15, $E$9, 100%, $G$9) + CHOOSE(CONTROL!$C$38, 0.0347, 0)</f>
        <v>43.449300000000001</v>
      </c>
      <c r="D672" s="14">
        <f>43.4067 * CHOOSE(CONTROL!$C$15, $E$9, 100%, $G$9) + CHOOSE(CONTROL!$C$38, 0.0347, 0)</f>
        <v>43.441400000000002</v>
      </c>
      <c r="E672" s="46">
        <f>46.8408 * CHOOSE(CONTROL!$C$15, $E$9, 100%, $G$9) + CHOOSE(CONTROL!$C$38, 0.0347, 0)</f>
        <v>46.875500000000002</v>
      </c>
      <c r="F672" s="45">
        <f>46.8408 * CHOOSE(CONTROL!$C$15, $E$9, 100%, $G$9) + CHOOSE(CONTROL!$C$38, 0.0256, 0)</f>
        <v>46.866399999999999</v>
      </c>
      <c r="G672" s="14">
        <f>43.413 * CHOOSE(CONTROL!$C$15, $E$9, 100%, $G$9) + CHOOSE(CONTROL!$C$38, 0.0347, 0)</f>
        <v>43.447699999999998</v>
      </c>
      <c r="H672" s="14">
        <f>43.413 * CHOOSE(CONTROL!$C$15, $E$9, 100%, $G$9) + CHOOSE(CONTROL!$C$38, 0.0347, 0)</f>
        <v>43.447699999999998</v>
      </c>
      <c r="I672" s="14">
        <f>43.4146 * CHOOSE(CONTROL!$C$15, $E$9, 100%, $G$9) + CHOOSE(CONTROL!$C$38, 0.0347, 0)</f>
        <v>43.449300000000001</v>
      </c>
      <c r="J672" s="44">
        <f>336.5674</f>
        <v>336.56740000000002</v>
      </c>
    </row>
    <row r="673" spans="1:10" ht="15.75" x14ac:dyDescent="0.25">
      <c r="A673" s="32">
        <v>61422</v>
      </c>
      <c r="B673" s="14">
        <f>47.2178 * CHOOSE(CONTROL!$C$15, $E$9, 100%, $G$9) + CHOOSE(CONTROL!$C$38, 0.0256, 0)</f>
        <v>47.243399999999994</v>
      </c>
      <c r="C673" s="14">
        <f>43.6353 * CHOOSE(CONTROL!$C$15, $E$9, 100%, $G$9) + CHOOSE(CONTROL!$C$38, 0.0347, 0)</f>
        <v>43.67</v>
      </c>
      <c r="D673" s="14">
        <f>43.6275 * CHOOSE(CONTROL!$C$15, $E$9, 100%, $G$9) + CHOOSE(CONTROL!$C$38, 0.0347, 0)</f>
        <v>43.662199999999999</v>
      </c>
      <c r="E673" s="46">
        <f>47.0616 * CHOOSE(CONTROL!$C$15, $E$9, 100%, $G$9) + CHOOSE(CONTROL!$C$38, 0.0347, 0)</f>
        <v>47.096299999999999</v>
      </c>
      <c r="F673" s="45">
        <f>47.0616 * CHOOSE(CONTROL!$C$15, $E$9, 100%, $G$9) + CHOOSE(CONTROL!$C$38, 0.0256, 0)</f>
        <v>47.087199999999996</v>
      </c>
      <c r="G673" s="14">
        <f>43.6338 * CHOOSE(CONTROL!$C$15, $E$9, 100%, $G$9) + CHOOSE(CONTROL!$C$38, 0.0347, 0)</f>
        <v>43.668500000000002</v>
      </c>
      <c r="H673" s="14">
        <f>43.6338 * CHOOSE(CONTROL!$C$15, $E$9, 100%, $G$9) + CHOOSE(CONTROL!$C$38, 0.0347, 0)</f>
        <v>43.668500000000002</v>
      </c>
      <c r="I673" s="14">
        <f>43.6353 * CHOOSE(CONTROL!$C$15, $E$9, 100%, $G$9) + CHOOSE(CONTROL!$C$38, 0.0347, 0)</f>
        <v>43.67</v>
      </c>
      <c r="J673" s="44">
        <f>335.6319</f>
        <v>335.63189999999997</v>
      </c>
    </row>
    <row r="674" spans="1:10" ht="15.75" x14ac:dyDescent="0.25">
      <c r="A674" s="32">
        <v>61453</v>
      </c>
      <c r="B674" s="14">
        <f>46.7068 * CHOOSE(CONTROL!$C$15, $E$9, 100%, $G$9) + CHOOSE(CONTROL!$C$38, 0.0256, 0)</f>
        <v>46.732399999999998</v>
      </c>
      <c r="C674" s="14">
        <f>43.1243 * CHOOSE(CONTROL!$C$15, $E$9, 100%, $G$9) + CHOOSE(CONTROL!$C$38, 0.0347, 0)</f>
        <v>43.158999999999999</v>
      </c>
      <c r="D674" s="14">
        <f>43.1165 * CHOOSE(CONTROL!$C$15, $E$9, 100%, $G$9) + CHOOSE(CONTROL!$C$38, 0.0347, 0)</f>
        <v>43.151200000000003</v>
      </c>
      <c r="E674" s="46">
        <f>46.5506 * CHOOSE(CONTROL!$C$15, $E$9, 100%, $G$9) + CHOOSE(CONTROL!$C$38, 0.0347, 0)</f>
        <v>46.585300000000004</v>
      </c>
      <c r="F674" s="45">
        <f>46.5506 * CHOOSE(CONTROL!$C$15, $E$9, 100%, $G$9) + CHOOSE(CONTROL!$C$38, 0.0256, 0)</f>
        <v>46.5762</v>
      </c>
      <c r="G674" s="14">
        <f>43.1227 * CHOOSE(CONTROL!$C$15, $E$9, 100%, $G$9) + CHOOSE(CONTROL!$C$38, 0.0347, 0)</f>
        <v>43.157400000000003</v>
      </c>
      <c r="H674" s="14">
        <f>43.1227 * CHOOSE(CONTROL!$C$15, $E$9, 100%, $G$9) + CHOOSE(CONTROL!$C$38, 0.0347, 0)</f>
        <v>43.157400000000003</v>
      </c>
      <c r="I674" s="14">
        <f>43.1243 * CHOOSE(CONTROL!$C$15, $E$9, 100%, $G$9) + CHOOSE(CONTROL!$C$38, 0.0347, 0)</f>
        <v>43.158999999999999</v>
      </c>
      <c r="J674" s="44">
        <f>353.3216</f>
        <v>353.32159999999999</v>
      </c>
    </row>
    <row r="675" spans="1:10" ht="15.75" x14ac:dyDescent="0.25">
      <c r="A675" s="32">
        <v>61483</v>
      </c>
      <c r="B675" s="14">
        <f>46.2116 * CHOOSE(CONTROL!$C$15, $E$9, 100%, $G$9) + CHOOSE(CONTROL!$C$38, 0.0256, 0)</f>
        <v>46.237199999999994</v>
      </c>
      <c r="C675" s="14">
        <f>42.6291 * CHOOSE(CONTROL!$C$15, $E$9, 100%, $G$9) + CHOOSE(CONTROL!$C$38, 0.0347, 0)</f>
        <v>42.663800000000002</v>
      </c>
      <c r="D675" s="14">
        <f>42.6213 * CHOOSE(CONTROL!$C$15, $E$9, 100%, $G$9) + CHOOSE(CONTROL!$C$38, 0.0347, 0)</f>
        <v>42.655999999999999</v>
      </c>
      <c r="E675" s="46">
        <f>46.0554 * CHOOSE(CONTROL!$C$15, $E$9, 100%, $G$9) + CHOOSE(CONTROL!$C$38, 0.0347, 0)</f>
        <v>46.0901</v>
      </c>
      <c r="F675" s="45">
        <f>46.0554 * CHOOSE(CONTROL!$C$15, $E$9, 100%, $G$9) + CHOOSE(CONTROL!$C$38, 0.0256, 0)</f>
        <v>46.080999999999996</v>
      </c>
      <c r="G675" s="14">
        <f>42.6275 * CHOOSE(CONTROL!$C$15, $E$9, 100%, $G$9) + CHOOSE(CONTROL!$C$38, 0.0347, 0)</f>
        <v>42.662199999999999</v>
      </c>
      <c r="H675" s="14">
        <f>42.6275 * CHOOSE(CONTROL!$C$15, $E$9, 100%, $G$9) + CHOOSE(CONTROL!$C$38, 0.0347, 0)</f>
        <v>42.662199999999999</v>
      </c>
      <c r="I675" s="14">
        <f>42.6291 * CHOOSE(CONTROL!$C$15, $E$9, 100%, $G$9) + CHOOSE(CONTROL!$C$38, 0.0347, 0)</f>
        <v>42.663800000000002</v>
      </c>
      <c r="J675" s="44">
        <f>376.261</f>
        <v>376.26100000000002</v>
      </c>
    </row>
    <row r="676" spans="1:10" ht="15.75" x14ac:dyDescent="0.25">
      <c r="A676" s="32">
        <v>61514</v>
      </c>
      <c r="B676" s="14">
        <f>45.6955 * CHOOSE(CONTROL!$C$15, $E$9, 100%, $G$9) + CHOOSE(CONTROL!$C$38, 0.0278, 0)</f>
        <v>45.723300000000002</v>
      </c>
      <c r="C676" s="14">
        <f>42.113 * CHOOSE(CONTROL!$C$15, $E$9, 100%, $G$9) + CHOOSE(CONTROL!$C$38, 0.0369, 0)</f>
        <v>42.149900000000002</v>
      </c>
      <c r="D676" s="14">
        <f>42.1052 * CHOOSE(CONTROL!$C$15, $E$9, 100%, $G$9) + CHOOSE(CONTROL!$C$38, 0.0369, 0)</f>
        <v>42.142100000000006</v>
      </c>
      <c r="E676" s="46">
        <f>45.5393 * CHOOSE(CONTROL!$C$15, $E$9, 100%, $G$9) + CHOOSE(CONTROL!$C$38, 0.0369, 0)</f>
        <v>45.5762</v>
      </c>
      <c r="F676" s="45">
        <f>45.5393 * CHOOSE(CONTROL!$C$15, $E$9, 100%, $G$9) + CHOOSE(CONTROL!$C$38, 0.0278, 0)</f>
        <v>45.567099999999996</v>
      </c>
      <c r="G676" s="14">
        <f>42.1114 * CHOOSE(CONTROL!$C$15, $E$9, 100%, $G$9) + CHOOSE(CONTROL!$C$38, 0.0369, 0)</f>
        <v>42.148300000000006</v>
      </c>
      <c r="H676" s="14">
        <f>42.1114 * CHOOSE(CONTROL!$C$15, $E$9, 100%, $G$9) + CHOOSE(CONTROL!$C$38, 0.0369, 0)</f>
        <v>42.148300000000006</v>
      </c>
      <c r="I676" s="14">
        <f>42.113 * CHOOSE(CONTROL!$C$15, $E$9, 100%, $G$9) + CHOOSE(CONTROL!$C$38, 0.0369, 0)</f>
        <v>42.149900000000002</v>
      </c>
      <c r="J676" s="44">
        <f>388.8876</f>
        <v>388.88760000000002</v>
      </c>
    </row>
    <row r="677" spans="1:10" ht="15.75" x14ac:dyDescent="0.25">
      <c r="A677" s="32">
        <v>61544</v>
      </c>
      <c r="B677" s="14">
        <f>45.3337 * CHOOSE(CONTROL!$C$15, $E$9, 100%, $G$9) + CHOOSE(CONTROL!$C$38, 0.0278, 0)</f>
        <v>45.361499999999999</v>
      </c>
      <c r="C677" s="14">
        <f>41.7512 * CHOOSE(CONTROL!$C$15, $E$9, 100%, $G$9) + CHOOSE(CONTROL!$C$38, 0.0369, 0)</f>
        <v>41.7881</v>
      </c>
      <c r="D677" s="14">
        <f>41.7433 * CHOOSE(CONTROL!$C$15, $E$9, 100%, $G$9) + CHOOSE(CONTROL!$C$38, 0.0369, 0)</f>
        <v>41.780200000000001</v>
      </c>
      <c r="E677" s="46">
        <f>45.1774 * CHOOSE(CONTROL!$C$15, $E$9, 100%, $G$9) + CHOOSE(CONTROL!$C$38, 0.0369, 0)</f>
        <v>45.214300000000001</v>
      </c>
      <c r="F677" s="45">
        <f>45.1774 * CHOOSE(CONTROL!$C$15, $E$9, 100%, $G$9) + CHOOSE(CONTROL!$C$38, 0.0278, 0)</f>
        <v>45.205199999999998</v>
      </c>
      <c r="G677" s="14">
        <f>41.7496 * CHOOSE(CONTROL!$C$15, $E$9, 100%, $G$9) + CHOOSE(CONTROL!$C$38, 0.0369, 0)</f>
        <v>41.786500000000004</v>
      </c>
      <c r="H677" s="14">
        <f>41.7496 * CHOOSE(CONTROL!$C$15, $E$9, 100%, $G$9) + CHOOSE(CONTROL!$C$38, 0.0369, 0)</f>
        <v>41.786500000000004</v>
      </c>
      <c r="I677" s="14">
        <f>41.7512 * CHOOSE(CONTROL!$C$15, $E$9, 100%, $G$9) + CHOOSE(CONTROL!$C$38, 0.0369, 0)</f>
        <v>41.7881</v>
      </c>
      <c r="J677" s="44">
        <f>394.491</f>
        <v>394.49099999999999</v>
      </c>
    </row>
    <row r="678" spans="1:10" ht="15.75" x14ac:dyDescent="0.25">
      <c r="A678" s="32">
        <v>61575</v>
      </c>
      <c r="B678" s="14">
        <f>45.1272 * CHOOSE(CONTROL!$C$15, $E$9, 100%, $G$9) + CHOOSE(CONTROL!$C$38, 0.0278, 0)</f>
        <v>45.155000000000001</v>
      </c>
      <c r="C678" s="14">
        <f>41.5447 * CHOOSE(CONTROL!$C$15, $E$9, 100%, $G$9) + CHOOSE(CONTROL!$C$38, 0.0369, 0)</f>
        <v>41.581600000000002</v>
      </c>
      <c r="D678" s="14">
        <f>41.5369 * CHOOSE(CONTROL!$C$15, $E$9, 100%, $G$9) + CHOOSE(CONTROL!$C$38, 0.0369, 0)</f>
        <v>41.573800000000006</v>
      </c>
      <c r="E678" s="46">
        <f>44.971 * CHOOSE(CONTROL!$C$15, $E$9, 100%, $G$9) + CHOOSE(CONTROL!$C$38, 0.0369, 0)</f>
        <v>45.007899999999999</v>
      </c>
      <c r="F678" s="45">
        <f>44.971 * CHOOSE(CONTROL!$C$15, $E$9, 100%, $G$9) + CHOOSE(CONTROL!$C$38, 0.0278, 0)</f>
        <v>44.998799999999996</v>
      </c>
      <c r="G678" s="14">
        <f>41.5431 * CHOOSE(CONTROL!$C$15, $E$9, 100%, $G$9) + CHOOSE(CONTROL!$C$38, 0.0369, 0)</f>
        <v>41.580000000000005</v>
      </c>
      <c r="H678" s="14">
        <f>41.5431 * CHOOSE(CONTROL!$C$15, $E$9, 100%, $G$9) + CHOOSE(CONTROL!$C$38, 0.0369, 0)</f>
        <v>41.580000000000005</v>
      </c>
      <c r="I678" s="14">
        <f>41.5447 * CHOOSE(CONTROL!$C$15, $E$9, 100%, $G$9) + CHOOSE(CONTROL!$C$38, 0.0369, 0)</f>
        <v>41.581600000000002</v>
      </c>
      <c r="J678" s="44">
        <f>392.6461</f>
        <v>392.64609999999999</v>
      </c>
    </row>
    <row r="679" spans="1:10" ht="15.75" x14ac:dyDescent="0.25">
      <c r="A679" s="32">
        <v>61606</v>
      </c>
      <c r="B679" s="14">
        <f>45.2291 * CHOOSE(CONTROL!$C$15, $E$9, 100%, $G$9) + CHOOSE(CONTROL!$C$38, 0.0278, 0)</f>
        <v>45.256900000000002</v>
      </c>
      <c r="C679" s="14">
        <f>41.6466 * CHOOSE(CONTROL!$C$15, $E$9, 100%, $G$9) + CHOOSE(CONTROL!$C$38, 0.0369, 0)</f>
        <v>41.683500000000002</v>
      </c>
      <c r="D679" s="14">
        <f>41.6388 * CHOOSE(CONTROL!$C$15, $E$9, 100%, $G$9) + CHOOSE(CONTROL!$C$38, 0.0369, 0)</f>
        <v>41.675700000000006</v>
      </c>
      <c r="E679" s="46">
        <f>45.0729 * CHOOSE(CONTROL!$C$15, $E$9, 100%, $G$9) + CHOOSE(CONTROL!$C$38, 0.0369, 0)</f>
        <v>45.1098</v>
      </c>
      <c r="F679" s="45">
        <f>45.0729 * CHOOSE(CONTROL!$C$15, $E$9, 100%, $G$9) + CHOOSE(CONTROL!$C$38, 0.0278, 0)</f>
        <v>45.100699999999996</v>
      </c>
      <c r="G679" s="14">
        <f>41.645 * CHOOSE(CONTROL!$C$15, $E$9, 100%, $G$9) + CHOOSE(CONTROL!$C$38, 0.0369, 0)</f>
        <v>41.681900000000006</v>
      </c>
      <c r="H679" s="14">
        <f>41.645 * CHOOSE(CONTROL!$C$15, $E$9, 100%, $G$9) + CHOOSE(CONTROL!$C$38, 0.0369, 0)</f>
        <v>41.681900000000006</v>
      </c>
      <c r="I679" s="14">
        <f>41.6466 * CHOOSE(CONTROL!$C$15, $E$9, 100%, $G$9) + CHOOSE(CONTROL!$C$38, 0.0369, 0)</f>
        <v>41.683500000000002</v>
      </c>
      <c r="J679" s="44">
        <f>383.5055</f>
        <v>383.50549999999998</v>
      </c>
    </row>
    <row r="680" spans="1:10" ht="15.75" x14ac:dyDescent="0.25">
      <c r="A680" s="32">
        <v>61636</v>
      </c>
      <c r="B680" s="14">
        <f>45.5059 * CHOOSE(CONTROL!$C$15, $E$9, 100%, $G$9) + CHOOSE(CONTROL!$C$38, 0.0278, 0)</f>
        <v>45.533699999999996</v>
      </c>
      <c r="C680" s="14">
        <f>41.9234 * CHOOSE(CONTROL!$C$15, $E$9, 100%, $G$9) + CHOOSE(CONTROL!$C$38, 0.0369, 0)</f>
        <v>41.960300000000004</v>
      </c>
      <c r="D680" s="14">
        <f>41.9156 * CHOOSE(CONTROL!$C$15, $E$9, 100%, $G$9) + CHOOSE(CONTROL!$C$38, 0.0369, 0)</f>
        <v>41.952500000000001</v>
      </c>
      <c r="E680" s="46">
        <f>45.3497 * CHOOSE(CONTROL!$C$15, $E$9, 100%, $G$9) + CHOOSE(CONTROL!$C$38, 0.0369, 0)</f>
        <v>45.386600000000001</v>
      </c>
      <c r="F680" s="45">
        <f>45.3497 * CHOOSE(CONTROL!$C$15, $E$9, 100%, $G$9) + CHOOSE(CONTROL!$C$38, 0.0278, 0)</f>
        <v>45.377499999999998</v>
      </c>
      <c r="G680" s="14">
        <f>41.9218 * CHOOSE(CONTROL!$C$15, $E$9, 100%, $G$9) + CHOOSE(CONTROL!$C$38, 0.0369, 0)</f>
        <v>41.9587</v>
      </c>
      <c r="H680" s="14">
        <f>41.9218 * CHOOSE(CONTROL!$C$15, $E$9, 100%, $G$9) + CHOOSE(CONTROL!$C$38, 0.0369, 0)</f>
        <v>41.9587</v>
      </c>
      <c r="I680" s="14">
        <f>41.9234 * CHOOSE(CONTROL!$C$15, $E$9, 100%, $G$9) + CHOOSE(CONTROL!$C$38, 0.0369, 0)</f>
        <v>41.960300000000004</v>
      </c>
      <c r="J680" s="44">
        <f>370.7584</f>
        <v>370.75839999999999</v>
      </c>
    </row>
    <row r="681" spans="1:10" ht="15.75" x14ac:dyDescent="0.25">
      <c r="A681" s="32">
        <v>61667</v>
      </c>
      <c r="B681" s="14">
        <f>45.7377 * CHOOSE(CONTROL!$C$15, $E$9, 100%, $G$9) + CHOOSE(CONTROL!$C$38, 0.0256, 0)</f>
        <v>45.763299999999994</v>
      </c>
      <c r="C681" s="14">
        <f>42.1552 * CHOOSE(CONTROL!$C$15, $E$9, 100%, $G$9) + CHOOSE(CONTROL!$C$38, 0.0347, 0)</f>
        <v>42.189900000000002</v>
      </c>
      <c r="D681" s="14">
        <f>42.1474 * CHOOSE(CONTROL!$C$15, $E$9, 100%, $G$9) + CHOOSE(CONTROL!$C$38, 0.0347, 0)</f>
        <v>42.182099999999998</v>
      </c>
      <c r="E681" s="46">
        <f>45.5815 * CHOOSE(CONTROL!$C$15, $E$9, 100%, $G$9) + CHOOSE(CONTROL!$C$38, 0.0347, 0)</f>
        <v>45.616199999999999</v>
      </c>
      <c r="F681" s="45">
        <f>45.5815 * CHOOSE(CONTROL!$C$15, $E$9, 100%, $G$9) + CHOOSE(CONTROL!$C$38, 0.0256, 0)</f>
        <v>45.607099999999996</v>
      </c>
      <c r="G681" s="14">
        <f>42.1536 * CHOOSE(CONTROL!$C$15, $E$9, 100%, $G$9) + CHOOSE(CONTROL!$C$38, 0.0347, 0)</f>
        <v>42.188299999999998</v>
      </c>
      <c r="H681" s="14">
        <f>42.1536 * CHOOSE(CONTROL!$C$15, $E$9, 100%, $G$9) + CHOOSE(CONTROL!$C$38, 0.0347, 0)</f>
        <v>42.188299999999998</v>
      </c>
      <c r="I681" s="14">
        <f>42.1552 * CHOOSE(CONTROL!$C$15, $E$9, 100%, $G$9) + CHOOSE(CONTROL!$C$38, 0.0347, 0)</f>
        <v>42.189900000000002</v>
      </c>
      <c r="J681" s="44">
        <f>357.9372</f>
        <v>357.93720000000002</v>
      </c>
    </row>
    <row r="682" spans="1:10" ht="15.75" x14ac:dyDescent="0.25">
      <c r="A682" s="32">
        <v>61697</v>
      </c>
      <c r="B682" s="14">
        <f>45.9312 * CHOOSE(CONTROL!$C$15, $E$9, 100%, $G$9) + CHOOSE(CONTROL!$C$38, 0.0256, 0)</f>
        <v>45.956799999999994</v>
      </c>
      <c r="C682" s="14">
        <f>42.3486 * CHOOSE(CONTROL!$C$15, $E$9, 100%, $G$9) + CHOOSE(CONTROL!$C$38, 0.0347, 0)</f>
        <v>42.383299999999998</v>
      </c>
      <c r="D682" s="14">
        <f>42.3408 * CHOOSE(CONTROL!$C$15, $E$9, 100%, $G$9) + CHOOSE(CONTROL!$C$38, 0.0347, 0)</f>
        <v>42.375500000000002</v>
      </c>
      <c r="E682" s="46">
        <f>45.7749 * CHOOSE(CONTROL!$C$15, $E$9, 100%, $G$9) + CHOOSE(CONTROL!$C$38, 0.0347, 0)</f>
        <v>45.809600000000003</v>
      </c>
      <c r="F682" s="45">
        <f>45.7749 * CHOOSE(CONTROL!$C$15, $E$9, 100%, $G$9) + CHOOSE(CONTROL!$C$38, 0.0256, 0)</f>
        <v>45.8005</v>
      </c>
      <c r="G682" s="14">
        <f>42.3471 * CHOOSE(CONTROL!$C$15, $E$9, 100%, $G$9) + CHOOSE(CONTROL!$C$38, 0.0347, 0)</f>
        <v>42.381799999999998</v>
      </c>
      <c r="H682" s="14">
        <f>42.3471 * CHOOSE(CONTROL!$C$15, $E$9, 100%, $G$9) + CHOOSE(CONTROL!$C$38, 0.0347, 0)</f>
        <v>42.381799999999998</v>
      </c>
      <c r="I682" s="14">
        <f>42.3486 * CHOOSE(CONTROL!$C$15, $E$9, 100%, $G$9) + CHOOSE(CONTROL!$C$38, 0.0347, 0)</f>
        <v>42.383299999999998</v>
      </c>
      <c r="J682" s="44">
        <f>355.3868</f>
        <v>355.38679999999999</v>
      </c>
    </row>
    <row r="683" spans="1:10" ht="15.75" x14ac:dyDescent="0.25">
      <c r="A683" s="32">
        <v>61728</v>
      </c>
      <c r="B683" s="14">
        <f>46.5272 * CHOOSE(CONTROL!$C$15, $E$9, 100%, $G$9) + CHOOSE(CONTROL!$C$38, 0.0256, 0)</f>
        <v>46.552799999999998</v>
      </c>
      <c r="C683" s="14">
        <f>42.9447 * CHOOSE(CONTROL!$C$15, $E$9, 100%, $G$9) + CHOOSE(CONTROL!$C$38, 0.0347, 0)</f>
        <v>42.979399999999998</v>
      </c>
      <c r="D683" s="14">
        <f>42.9369 * CHOOSE(CONTROL!$C$15, $E$9, 100%, $G$9) + CHOOSE(CONTROL!$C$38, 0.0347, 0)</f>
        <v>42.971600000000002</v>
      </c>
      <c r="E683" s="46">
        <f>46.371 * CHOOSE(CONTROL!$C$15, $E$9, 100%, $G$9) + CHOOSE(CONTROL!$C$38, 0.0347, 0)</f>
        <v>46.405700000000003</v>
      </c>
      <c r="F683" s="45">
        <f>46.371 * CHOOSE(CONTROL!$C$15, $E$9, 100%, $G$9) + CHOOSE(CONTROL!$C$38, 0.0256, 0)</f>
        <v>46.396599999999999</v>
      </c>
      <c r="G683" s="14">
        <f>42.9431 * CHOOSE(CONTROL!$C$15, $E$9, 100%, $G$9) + CHOOSE(CONTROL!$C$38, 0.0347, 0)</f>
        <v>42.977800000000002</v>
      </c>
      <c r="H683" s="14">
        <f>42.9431 * CHOOSE(CONTROL!$C$15, $E$9, 100%, $G$9) + CHOOSE(CONTROL!$C$38, 0.0347, 0)</f>
        <v>42.977800000000002</v>
      </c>
      <c r="I683" s="14">
        <f>42.9447 * CHOOSE(CONTROL!$C$15, $E$9, 100%, $G$9) + CHOOSE(CONTROL!$C$38, 0.0347, 0)</f>
        <v>42.979399999999998</v>
      </c>
      <c r="J683" s="44">
        <f>344.8407</f>
        <v>344.84070000000003</v>
      </c>
    </row>
    <row r="684" spans="1:10" ht="15.75" x14ac:dyDescent="0.25">
      <c r="A684" s="32">
        <v>61759</v>
      </c>
      <c r="B684" s="14">
        <f>47.7415 * CHOOSE(CONTROL!$C$15, $E$9, 100%, $G$9) + CHOOSE(CONTROL!$C$38, 0.0256, 0)</f>
        <v>47.767099999999999</v>
      </c>
      <c r="C684" s="14">
        <f>44.1027 * CHOOSE(CONTROL!$C$15, $E$9, 100%, $G$9) + CHOOSE(CONTROL!$C$38, 0.0347, 0)</f>
        <v>44.1374</v>
      </c>
      <c r="D684" s="14">
        <f>44.0949 * CHOOSE(CONTROL!$C$15, $E$9, 100%, $G$9) + CHOOSE(CONTROL!$C$38, 0.0347, 0)</f>
        <v>44.129600000000003</v>
      </c>
      <c r="E684" s="46">
        <f>47.5852 * CHOOSE(CONTROL!$C$15, $E$9, 100%, $G$9) + CHOOSE(CONTROL!$C$38, 0.0347, 0)</f>
        <v>47.619900000000001</v>
      </c>
      <c r="F684" s="45">
        <f>47.5852 * CHOOSE(CONTROL!$C$15, $E$9, 100%, $G$9) + CHOOSE(CONTROL!$C$38, 0.0256, 0)</f>
        <v>47.610799999999998</v>
      </c>
      <c r="G684" s="14">
        <f>44.1012 * CHOOSE(CONTROL!$C$15, $E$9, 100%, $G$9) + CHOOSE(CONTROL!$C$38, 0.0347, 0)</f>
        <v>44.135899999999999</v>
      </c>
      <c r="H684" s="14">
        <f>44.1012 * CHOOSE(CONTROL!$C$15, $E$9, 100%, $G$9) + CHOOSE(CONTROL!$C$38, 0.0347, 0)</f>
        <v>44.135899999999999</v>
      </c>
      <c r="I684" s="14">
        <f>44.1027 * CHOOSE(CONTROL!$C$15, $E$9, 100%, $G$9) + CHOOSE(CONTROL!$C$38, 0.0347, 0)</f>
        <v>44.1374</v>
      </c>
      <c r="J684" s="44">
        <f>344.1821</f>
        <v>344.18209999999999</v>
      </c>
    </row>
    <row r="685" spans="1:10" ht="15.75" x14ac:dyDescent="0.25">
      <c r="A685" s="32">
        <v>61787</v>
      </c>
      <c r="B685" s="14">
        <f>47.9622 * CHOOSE(CONTROL!$C$15, $E$9, 100%, $G$9) + CHOOSE(CONTROL!$C$38, 0.0256, 0)</f>
        <v>47.9878</v>
      </c>
      <c r="C685" s="14">
        <f>44.3235 * CHOOSE(CONTROL!$C$15, $E$9, 100%, $G$9) + CHOOSE(CONTROL!$C$38, 0.0347, 0)</f>
        <v>44.358200000000004</v>
      </c>
      <c r="D685" s="14">
        <f>44.3157 * CHOOSE(CONTROL!$C$15, $E$9, 100%, $G$9) + CHOOSE(CONTROL!$C$38, 0.0347, 0)</f>
        <v>44.3504</v>
      </c>
      <c r="E685" s="46">
        <f>47.806 * CHOOSE(CONTROL!$C$15, $E$9, 100%, $G$9) + CHOOSE(CONTROL!$C$38, 0.0347, 0)</f>
        <v>47.840699999999998</v>
      </c>
      <c r="F685" s="45">
        <f>47.806 * CHOOSE(CONTROL!$C$15, $E$9, 100%, $G$9) + CHOOSE(CONTROL!$C$38, 0.0256, 0)</f>
        <v>47.831599999999995</v>
      </c>
      <c r="G685" s="14">
        <f>44.3219 * CHOOSE(CONTROL!$C$15, $E$9, 100%, $G$9) + CHOOSE(CONTROL!$C$38, 0.0347, 0)</f>
        <v>44.3566</v>
      </c>
      <c r="H685" s="14">
        <f>44.3219 * CHOOSE(CONTROL!$C$15, $E$9, 100%, $G$9) + CHOOSE(CONTROL!$C$38, 0.0347, 0)</f>
        <v>44.3566</v>
      </c>
      <c r="I685" s="14">
        <f>44.3235 * CHOOSE(CONTROL!$C$15, $E$9, 100%, $G$9) + CHOOSE(CONTROL!$C$38, 0.0347, 0)</f>
        <v>44.358200000000004</v>
      </c>
      <c r="J685" s="44">
        <f>343.2254</f>
        <v>343.22539999999998</v>
      </c>
    </row>
    <row r="686" spans="1:10" ht="15.75" x14ac:dyDescent="0.25">
      <c r="A686" s="32">
        <v>61818</v>
      </c>
      <c r="B686" s="14">
        <f>47.4512 * CHOOSE(CONTROL!$C$15, $E$9, 100%, $G$9) + CHOOSE(CONTROL!$C$38, 0.0256, 0)</f>
        <v>47.476799999999997</v>
      </c>
      <c r="C686" s="14">
        <f>43.8125 * CHOOSE(CONTROL!$C$15, $E$9, 100%, $G$9) + CHOOSE(CONTROL!$C$38, 0.0347, 0)</f>
        <v>43.847200000000001</v>
      </c>
      <c r="D686" s="14">
        <f>43.8047 * CHOOSE(CONTROL!$C$15, $E$9, 100%, $G$9) + CHOOSE(CONTROL!$C$38, 0.0347, 0)</f>
        <v>43.839399999999998</v>
      </c>
      <c r="E686" s="46">
        <f>47.2949 * CHOOSE(CONTROL!$C$15, $E$9, 100%, $G$9) + CHOOSE(CONTROL!$C$38, 0.0347, 0)</f>
        <v>47.329599999999999</v>
      </c>
      <c r="F686" s="45">
        <f>47.2949 * CHOOSE(CONTROL!$C$15, $E$9, 100%, $G$9) + CHOOSE(CONTROL!$C$38, 0.0256, 0)</f>
        <v>47.320499999999996</v>
      </c>
      <c r="G686" s="14">
        <f>43.8109 * CHOOSE(CONTROL!$C$15, $E$9, 100%, $G$9) + CHOOSE(CONTROL!$C$38, 0.0347, 0)</f>
        <v>43.845599999999997</v>
      </c>
      <c r="H686" s="14">
        <f>43.8109 * CHOOSE(CONTROL!$C$15, $E$9, 100%, $G$9) + CHOOSE(CONTROL!$C$38, 0.0347, 0)</f>
        <v>43.845599999999997</v>
      </c>
      <c r="I686" s="14">
        <f>43.8125 * CHOOSE(CONTROL!$C$15, $E$9, 100%, $G$9) + CHOOSE(CONTROL!$C$38, 0.0347, 0)</f>
        <v>43.847200000000001</v>
      </c>
      <c r="J686" s="44">
        <f>361.3153</f>
        <v>361.31529999999998</v>
      </c>
    </row>
    <row r="687" spans="1:10" ht="15.75" x14ac:dyDescent="0.25">
      <c r="A687" s="32">
        <v>61848</v>
      </c>
      <c r="B687" s="14">
        <f>46.956 * CHOOSE(CONTROL!$C$15, $E$9, 100%, $G$9) + CHOOSE(CONTROL!$C$38, 0.0256, 0)</f>
        <v>46.9816</v>
      </c>
      <c r="C687" s="14">
        <f>43.3173 * CHOOSE(CONTROL!$C$15, $E$9, 100%, $G$9) + CHOOSE(CONTROL!$C$38, 0.0347, 0)</f>
        <v>43.352000000000004</v>
      </c>
      <c r="D687" s="14">
        <f>43.3095 * CHOOSE(CONTROL!$C$15, $E$9, 100%, $G$9) + CHOOSE(CONTROL!$C$38, 0.0347, 0)</f>
        <v>43.344200000000001</v>
      </c>
      <c r="E687" s="46">
        <f>46.7998 * CHOOSE(CONTROL!$C$15, $E$9, 100%, $G$9) + CHOOSE(CONTROL!$C$38, 0.0347, 0)</f>
        <v>46.834499999999998</v>
      </c>
      <c r="F687" s="45">
        <f>46.7998 * CHOOSE(CONTROL!$C$15, $E$9, 100%, $G$9) + CHOOSE(CONTROL!$C$38, 0.0256, 0)</f>
        <v>46.825399999999995</v>
      </c>
      <c r="G687" s="14">
        <f>43.3157 * CHOOSE(CONTROL!$C$15, $E$9, 100%, $G$9) + CHOOSE(CONTROL!$C$38, 0.0347, 0)</f>
        <v>43.3504</v>
      </c>
      <c r="H687" s="14">
        <f>43.3157 * CHOOSE(CONTROL!$C$15, $E$9, 100%, $G$9) + CHOOSE(CONTROL!$C$38, 0.0347, 0)</f>
        <v>43.3504</v>
      </c>
      <c r="I687" s="14">
        <f>43.3173 * CHOOSE(CONTROL!$C$15, $E$9, 100%, $G$9) + CHOOSE(CONTROL!$C$38, 0.0347, 0)</f>
        <v>43.352000000000004</v>
      </c>
      <c r="J687" s="44">
        <f>384.7737</f>
        <v>384.77370000000002</v>
      </c>
    </row>
    <row r="688" spans="1:10" ht="15.75" x14ac:dyDescent="0.25">
      <c r="A688" s="32">
        <v>61879</v>
      </c>
      <c r="B688" s="14">
        <f>46.4399 * CHOOSE(CONTROL!$C$15, $E$9, 100%, $G$9) + CHOOSE(CONTROL!$C$38, 0.0278, 0)</f>
        <v>46.467700000000001</v>
      </c>
      <c r="C688" s="14">
        <f>42.8012 * CHOOSE(CONTROL!$C$15, $E$9, 100%, $G$9) + CHOOSE(CONTROL!$C$38, 0.0369, 0)</f>
        <v>42.838100000000004</v>
      </c>
      <c r="D688" s="14">
        <f>42.7934 * CHOOSE(CONTROL!$C$15, $E$9, 100%, $G$9) + CHOOSE(CONTROL!$C$38, 0.0369, 0)</f>
        <v>42.830300000000001</v>
      </c>
      <c r="E688" s="46">
        <f>46.2836 * CHOOSE(CONTROL!$C$15, $E$9, 100%, $G$9) + CHOOSE(CONTROL!$C$38, 0.0369, 0)</f>
        <v>46.320500000000003</v>
      </c>
      <c r="F688" s="45">
        <f>46.2836 * CHOOSE(CONTROL!$C$15, $E$9, 100%, $G$9) + CHOOSE(CONTROL!$C$38, 0.0278, 0)</f>
        <v>46.311399999999999</v>
      </c>
      <c r="G688" s="14">
        <f>42.7996 * CHOOSE(CONTROL!$C$15, $E$9, 100%, $G$9) + CHOOSE(CONTROL!$C$38, 0.0369, 0)</f>
        <v>42.836500000000001</v>
      </c>
      <c r="H688" s="14">
        <f>42.7996 * CHOOSE(CONTROL!$C$15, $E$9, 100%, $G$9) + CHOOSE(CONTROL!$C$38, 0.0369, 0)</f>
        <v>42.836500000000001</v>
      </c>
      <c r="I688" s="14">
        <f>42.8012 * CHOOSE(CONTROL!$C$15, $E$9, 100%, $G$9) + CHOOSE(CONTROL!$C$38, 0.0369, 0)</f>
        <v>42.838100000000004</v>
      </c>
      <c r="J688" s="44">
        <f>397.6859</f>
        <v>397.6859</v>
      </c>
    </row>
    <row r="689" spans="1:10" ht="15.75" x14ac:dyDescent="0.25">
      <c r="A689" s="32">
        <v>61909</v>
      </c>
      <c r="B689" s="14">
        <f>46.0781 * CHOOSE(CONTROL!$C$15, $E$9, 100%, $G$9) + CHOOSE(CONTROL!$C$38, 0.0278, 0)</f>
        <v>46.105899999999998</v>
      </c>
      <c r="C689" s="14">
        <f>42.4393 * CHOOSE(CONTROL!$C$15, $E$9, 100%, $G$9) + CHOOSE(CONTROL!$C$38, 0.0369, 0)</f>
        <v>42.476200000000006</v>
      </c>
      <c r="D689" s="14">
        <f>42.4315 * CHOOSE(CONTROL!$C$15, $E$9, 100%, $G$9) + CHOOSE(CONTROL!$C$38, 0.0369, 0)</f>
        <v>42.468400000000003</v>
      </c>
      <c r="E689" s="46">
        <f>45.9218 * CHOOSE(CONTROL!$C$15, $E$9, 100%, $G$9) + CHOOSE(CONTROL!$C$38, 0.0369, 0)</f>
        <v>45.9587</v>
      </c>
      <c r="F689" s="45">
        <f>45.9218 * CHOOSE(CONTROL!$C$15, $E$9, 100%, $G$9) + CHOOSE(CONTROL!$C$38, 0.0278, 0)</f>
        <v>45.949599999999997</v>
      </c>
      <c r="G689" s="14">
        <f>42.4378 * CHOOSE(CONTROL!$C$15, $E$9, 100%, $G$9) + CHOOSE(CONTROL!$C$38, 0.0369, 0)</f>
        <v>42.474700000000006</v>
      </c>
      <c r="H689" s="14">
        <f>42.4378 * CHOOSE(CONTROL!$C$15, $E$9, 100%, $G$9) + CHOOSE(CONTROL!$C$38, 0.0369, 0)</f>
        <v>42.474700000000006</v>
      </c>
      <c r="I689" s="14">
        <f>42.4393 * CHOOSE(CONTROL!$C$15, $E$9, 100%, $G$9) + CHOOSE(CONTROL!$C$38, 0.0369, 0)</f>
        <v>42.476200000000006</v>
      </c>
      <c r="J689" s="44">
        <f>403.4162</f>
        <v>403.4162</v>
      </c>
    </row>
    <row r="690" spans="1:10" ht="15.75" x14ac:dyDescent="0.25">
      <c r="A690" s="32">
        <v>61940</v>
      </c>
      <c r="B690" s="14">
        <f>45.8716 * CHOOSE(CONTROL!$C$15, $E$9, 100%, $G$9) + CHOOSE(CONTROL!$C$38, 0.0278, 0)</f>
        <v>45.8994</v>
      </c>
      <c r="C690" s="14">
        <f>42.2329 * CHOOSE(CONTROL!$C$15, $E$9, 100%, $G$9) + CHOOSE(CONTROL!$C$38, 0.0369, 0)</f>
        <v>42.269800000000004</v>
      </c>
      <c r="D690" s="14">
        <f>42.225 * CHOOSE(CONTROL!$C$15, $E$9, 100%, $G$9) + CHOOSE(CONTROL!$C$38, 0.0369, 0)</f>
        <v>42.261900000000004</v>
      </c>
      <c r="E690" s="46">
        <f>45.7153 * CHOOSE(CONTROL!$C$15, $E$9, 100%, $G$9) + CHOOSE(CONTROL!$C$38, 0.0369, 0)</f>
        <v>45.752200000000002</v>
      </c>
      <c r="F690" s="45">
        <f>45.7153 * CHOOSE(CONTROL!$C$15, $E$9, 100%, $G$9) + CHOOSE(CONTROL!$C$38, 0.0278, 0)</f>
        <v>45.743099999999998</v>
      </c>
      <c r="G690" s="14">
        <f>42.2313 * CHOOSE(CONTROL!$C$15, $E$9, 100%, $G$9) + CHOOSE(CONTROL!$C$38, 0.0369, 0)</f>
        <v>42.2682</v>
      </c>
      <c r="H690" s="14">
        <f>42.2313 * CHOOSE(CONTROL!$C$15, $E$9, 100%, $G$9) + CHOOSE(CONTROL!$C$38, 0.0369, 0)</f>
        <v>42.2682</v>
      </c>
      <c r="I690" s="14">
        <f>42.2329 * CHOOSE(CONTROL!$C$15, $E$9, 100%, $G$9) + CHOOSE(CONTROL!$C$38, 0.0369, 0)</f>
        <v>42.269800000000004</v>
      </c>
      <c r="J690" s="44">
        <f>401.5295</f>
        <v>401.52949999999998</v>
      </c>
    </row>
    <row r="691" spans="1:10" ht="15.75" x14ac:dyDescent="0.25">
      <c r="A691" s="32">
        <v>61971</v>
      </c>
      <c r="B691" s="14">
        <f>45.9735 * CHOOSE(CONTROL!$C$15, $E$9, 100%, $G$9) + CHOOSE(CONTROL!$C$38, 0.0278, 0)</f>
        <v>46.001300000000001</v>
      </c>
      <c r="C691" s="14">
        <f>42.3348 * CHOOSE(CONTROL!$C$15, $E$9, 100%, $G$9) + CHOOSE(CONTROL!$C$38, 0.0369, 0)</f>
        <v>42.371700000000004</v>
      </c>
      <c r="D691" s="14">
        <f>42.3269 * CHOOSE(CONTROL!$C$15, $E$9, 100%, $G$9) + CHOOSE(CONTROL!$C$38, 0.0369, 0)</f>
        <v>42.363800000000005</v>
      </c>
      <c r="E691" s="46">
        <f>45.8172 * CHOOSE(CONTROL!$C$15, $E$9, 100%, $G$9) + CHOOSE(CONTROL!$C$38, 0.0369, 0)</f>
        <v>45.854100000000003</v>
      </c>
      <c r="F691" s="45">
        <f>45.8172 * CHOOSE(CONTROL!$C$15, $E$9, 100%, $G$9) + CHOOSE(CONTROL!$C$38, 0.0278, 0)</f>
        <v>45.844999999999999</v>
      </c>
      <c r="G691" s="14">
        <f>42.3332 * CHOOSE(CONTROL!$C$15, $E$9, 100%, $G$9) + CHOOSE(CONTROL!$C$38, 0.0369, 0)</f>
        <v>42.370100000000001</v>
      </c>
      <c r="H691" s="14">
        <f>42.3332 * CHOOSE(CONTROL!$C$15, $E$9, 100%, $G$9) + CHOOSE(CONTROL!$C$38, 0.0369, 0)</f>
        <v>42.370100000000001</v>
      </c>
      <c r="I691" s="14">
        <f>42.3348 * CHOOSE(CONTROL!$C$15, $E$9, 100%, $G$9) + CHOOSE(CONTROL!$C$38, 0.0369, 0)</f>
        <v>42.371700000000004</v>
      </c>
      <c r="J691" s="44">
        <f>392.1821</f>
        <v>392.18209999999999</v>
      </c>
    </row>
    <row r="692" spans="1:10" ht="15.75" x14ac:dyDescent="0.25">
      <c r="A692" s="32">
        <v>62001</v>
      </c>
      <c r="B692" s="14">
        <f>46.2503 * CHOOSE(CONTROL!$C$15, $E$9, 100%, $G$9) + CHOOSE(CONTROL!$C$38, 0.0278, 0)</f>
        <v>46.278100000000002</v>
      </c>
      <c r="C692" s="14">
        <f>42.6116 * CHOOSE(CONTROL!$C$15, $E$9, 100%, $G$9) + CHOOSE(CONTROL!$C$38, 0.0369, 0)</f>
        <v>42.648500000000006</v>
      </c>
      <c r="D692" s="14">
        <f>42.6037 * CHOOSE(CONTROL!$C$15, $E$9, 100%, $G$9) + CHOOSE(CONTROL!$C$38, 0.0369, 0)</f>
        <v>42.640600000000006</v>
      </c>
      <c r="E692" s="46">
        <f>46.094 * CHOOSE(CONTROL!$C$15, $E$9, 100%, $G$9) + CHOOSE(CONTROL!$C$38, 0.0369, 0)</f>
        <v>46.130900000000004</v>
      </c>
      <c r="F692" s="45">
        <f>46.094 * CHOOSE(CONTROL!$C$15, $E$9, 100%, $G$9) + CHOOSE(CONTROL!$C$38, 0.0278, 0)</f>
        <v>46.1218</v>
      </c>
      <c r="G692" s="14">
        <f>42.61 * CHOOSE(CONTROL!$C$15, $E$9, 100%, $G$9) + CHOOSE(CONTROL!$C$38, 0.0369, 0)</f>
        <v>42.646900000000002</v>
      </c>
      <c r="H692" s="14">
        <f>42.61 * CHOOSE(CONTROL!$C$15, $E$9, 100%, $G$9) + CHOOSE(CONTROL!$C$38, 0.0369, 0)</f>
        <v>42.646900000000002</v>
      </c>
      <c r="I692" s="14">
        <f>42.6116 * CHOOSE(CONTROL!$C$15, $E$9, 100%, $G$9) + CHOOSE(CONTROL!$C$38, 0.0369, 0)</f>
        <v>42.648500000000006</v>
      </c>
      <c r="J692" s="44">
        <f>379.1466</f>
        <v>379.14659999999998</v>
      </c>
    </row>
    <row r="693" spans="1:10" ht="15.75" x14ac:dyDescent="0.25">
      <c r="A693" s="32">
        <v>62032</v>
      </c>
      <c r="B693" s="14">
        <f>46.4821 * CHOOSE(CONTROL!$C$15, $E$9, 100%, $G$9) + CHOOSE(CONTROL!$C$38, 0.0256, 0)</f>
        <v>46.5077</v>
      </c>
      <c r="C693" s="14">
        <f>42.8434 * CHOOSE(CONTROL!$C$15, $E$9, 100%, $G$9) + CHOOSE(CONTROL!$C$38, 0.0347, 0)</f>
        <v>42.878100000000003</v>
      </c>
      <c r="D693" s="14">
        <f>42.8356 * CHOOSE(CONTROL!$C$15, $E$9, 100%, $G$9) + CHOOSE(CONTROL!$C$38, 0.0347, 0)</f>
        <v>42.8703</v>
      </c>
      <c r="E693" s="46">
        <f>46.3258 * CHOOSE(CONTROL!$C$15, $E$9, 100%, $G$9) + CHOOSE(CONTROL!$C$38, 0.0347, 0)</f>
        <v>46.360500000000002</v>
      </c>
      <c r="F693" s="45">
        <f>46.3258 * CHOOSE(CONTROL!$C$15, $E$9, 100%, $G$9) + CHOOSE(CONTROL!$C$38, 0.0256, 0)</f>
        <v>46.351399999999998</v>
      </c>
      <c r="G693" s="14">
        <f>42.8418 * CHOOSE(CONTROL!$C$15, $E$9, 100%, $G$9) + CHOOSE(CONTROL!$C$38, 0.0347, 0)</f>
        <v>42.8765</v>
      </c>
      <c r="H693" s="14">
        <f>42.8418 * CHOOSE(CONTROL!$C$15, $E$9, 100%, $G$9) + CHOOSE(CONTROL!$C$38, 0.0347, 0)</f>
        <v>42.8765</v>
      </c>
      <c r="I693" s="14">
        <f>42.8434 * CHOOSE(CONTROL!$C$15, $E$9, 100%, $G$9) + CHOOSE(CONTROL!$C$38, 0.0347, 0)</f>
        <v>42.878100000000003</v>
      </c>
      <c r="J693" s="44">
        <f>366.0353</f>
        <v>366.03530000000001</v>
      </c>
    </row>
    <row r="694" spans="1:10" ht="15.75" x14ac:dyDescent="0.25">
      <c r="A694" s="32">
        <v>62062</v>
      </c>
      <c r="B694" s="14">
        <f>46.6755 * CHOOSE(CONTROL!$C$15, $E$9, 100%, $G$9) + CHOOSE(CONTROL!$C$38, 0.0256, 0)</f>
        <v>46.701099999999997</v>
      </c>
      <c r="C694" s="14">
        <f>43.0368 * CHOOSE(CONTROL!$C$15, $E$9, 100%, $G$9) + CHOOSE(CONTROL!$C$38, 0.0347, 0)</f>
        <v>43.0715</v>
      </c>
      <c r="D694" s="14">
        <f>43.029 * CHOOSE(CONTROL!$C$15, $E$9, 100%, $G$9) + CHOOSE(CONTROL!$C$38, 0.0347, 0)</f>
        <v>43.063700000000004</v>
      </c>
      <c r="E694" s="46">
        <f>46.5193 * CHOOSE(CONTROL!$C$15, $E$9, 100%, $G$9) + CHOOSE(CONTROL!$C$38, 0.0347, 0)</f>
        <v>46.554000000000002</v>
      </c>
      <c r="F694" s="45">
        <f>46.5193 * CHOOSE(CONTROL!$C$15, $E$9, 100%, $G$9) + CHOOSE(CONTROL!$C$38, 0.0256, 0)</f>
        <v>46.544899999999998</v>
      </c>
      <c r="G694" s="14">
        <f>43.0353 * CHOOSE(CONTROL!$C$15, $E$9, 100%, $G$9) + CHOOSE(CONTROL!$C$38, 0.0347, 0)</f>
        <v>43.07</v>
      </c>
      <c r="H694" s="14">
        <f>43.0353 * CHOOSE(CONTROL!$C$15, $E$9, 100%, $G$9) + CHOOSE(CONTROL!$C$38, 0.0347, 0)</f>
        <v>43.07</v>
      </c>
      <c r="I694" s="14">
        <f>43.0368 * CHOOSE(CONTROL!$C$15, $E$9, 100%, $G$9) + CHOOSE(CONTROL!$C$38, 0.0347, 0)</f>
        <v>43.0715</v>
      </c>
      <c r="J694" s="44">
        <f>363.4272</f>
        <v>363.42720000000003</v>
      </c>
    </row>
    <row r="695" spans="1:10" ht="15.75" x14ac:dyDescent="0.25">
      <c r="A695" s="32">
        <v>62093</v>
      </c>
      <c r="B695" s="14">
        <f>47.2716 * CHOOSE(CONTROL!$C$15, $E$9, 100%, $G$9) + CHOOSE(CONTROL!$C$38, 0.0256, 0)</f>
        <v>47.297199999999997</v>
      </c>
      <c r="C695" s="14">
        <f>43.6329 * CHOOSE(CONTROL!$C$15, $E$9, 100%, $G$9) + CHOOSE(CONTROL!$C$38, 0.0347, 0)</f>
        <v>43.6676</v>
      </c>
      <c r="D695" s="14">
        <f>43.6251 * CHOOSE(CONTROL!$C$15, $E$9, 100%, $G$9) + CHOOSE(CONTROL!$C$38, 0.0347, 0)</f>
        <v>43.659800000000004</v>
      </c>
      <c r="E695" s="46">
        <f>47.1154 * CHOOSE(CONTROL!$C$15, $E$9, 100%, $G$9) + CHOOSE(CONTROL!$C$38, 0.0347, 0)</f>
        <v>47.150100000000002</v>
      </c>
      <c r="F695" s="45">
        <f>47.1154 * CHOOSE(CONTROL!$C$15, $E$9, 100%, $G$9) + CHOOSE(CONTROL!$C$38, 0.0256, 0)</f>
        <v>47.140999999999998</v>
      </c>
      <c r="G695" s="14">
        <f>43.6313 * CHOOSE(CONTROL!$C$15, $E$9, 100%, $G$9) + CHOOSE(CONTROL!$C$38, 0.0347, 0)</f>
        <v>43.666000000000004</v>
      </c>
      <c r="H695" s="14">
        <f>43.6313 * CHOOSE(CONTROL!$C$15, $E$9, 100%, $G$9) + CHOOSE(CONTROL!$C$38, 0.0347, 0)</f>
        <v>43.666000000000004</v>
      </c>
      <c r="I695" s="14">
        <f>43.6329 * CHOOSE(CONTROL!$C$15, $E$9, 100%, $G$9) + CHOOSE(CONTROL!$C$38, 0.0347, 0)</f>
        <v>43.6676</v>
      </c>
      <c r="J695" s="44">
        <f>352.6425</f>
        <v>352.64249999999998</v>
      </c>
    </row>
    <row r="696" spans="1:10" ht="15.75" x14ac:dyDescent="0.25">
      <c r="A696" s="32">
        <v>62124</v>
      </c>
      <c r="B696" s="14">
        <f>48.498 * CHOOSE(CONTROL!$C$15, $E$9, 100%, $G$9) + CHOOSE(CONTROL!$C$38, 0.0256, 0)</f>
        <v>48.523599999999995</v>
      </c>
      <c r="C696" s="14">
        <f>44.8022 * CHOOSE(CONTROL!$C$15, $E$9, 100%, $G$9) + CHOOSE(CONTROL!$C$38, 0.0347, 0)</f>
        <v>44.8369</v>
      </c>
      <c r="D696" s="14">
        <f>44.7944 * CHOOSE(CONTROL!$C$15, $E$9, 100%, $G$9) + CHOOSE(CONTROL!$C$38, 0.0347, 0)</f>
        <v>44.829100000000004</v>
      </c>
      <c r="E696" s="46">
        <f>48.3418 * CHOOSE(CONTROL!$C$15, $E$9, 100%, $G$9) + CHOOSE(CONTROL!$C$38, 0.0347, 0)</f>
        <v>48.3765</v>
      </c>
      <c r="F696" s="45">
        <f>48.3418 * CHOOSE(CONTROL!$C$15, $E$9, 100%, $G$9) + CHOOSE(CONTROL!$C$38, 0.0256, 0)</f>
        <v>48.367399999999996</v>
      </c>
      <c r="G696" s="14">
        <f>44.8006 * CHOOSE(CONTROL!$C$15, $E$9, 100%, $G$9) + CHOOSE(CONTROL!$C$38, 0.0347, 0)</f>
        <v>44.835300000000004</v>
      </c>
      <c r="H696" s="14">
        <f>44.8006 * CHOOSE(CONTROL!$C$15, $E$9, 100%, $G$9) + CHOOSE(CONTROL!$C$38, 0.0347, 0)</f>
        <v>44.835300000000004</v>
      </c>
      <c r="I696" s="14">
        <f>44.8022 * CHOOSE(CONTROL!$C$15, $E$9, 100%, $G$9) + CHOOSE(CONTROL!$C$38, 0.0347, 0)</f>
        <v>44.8369</v>
      </c>
      <c r="J696" s="44">
        <f>351.969</f>
        <v>351.96899999999999</v>
      </c>
    </row>
    <row r="697" spans="1:10" ht="15.75" x14ac:dyDescent="0.25">
      <c r="A697" s="32">
        <v>62152</v>
      </c>
      <c r="B697" s="14">
        <f>48.7188 * CHOOSE(CONTROL!$C$15, $E$9, 100%, $G$9) + CHOOSE(CONTROL!$C$38, 0.0256, 0)</f>
        <v>48.744399999999999</v>
      </c>
      <c r="C697" s="14">
        <f>45.023 * CHOOSE(CONTROL!$C$15, $E$9, 100%, $G$9) + CHOOSE(CONTROL!$C$38, 0.0347, 0)</f>
        <v>45.057700000000004</v>
      </c>
      <c r="D697" s="14">
        <f>45.0152 * CHOOSE(CONTROL!$C$15, $E$9, 100%, $G$9) + CHOOSE(CONTROL!$C$38, 0.0347, 0)</f>
        <v>45.049900000000001</v>
      </c>
      <c r="E697" s="46">
        <f>48.5625 * CHOOSE(CONTROL!$C$15, $E$9, 100%, $G$9) + CHOOSE(CONTROL!$C$38, 0.0347, 0)</f>
        <v>48.597200000000001</v>
      </c>
      <c r="F697" s="45">
        <f>48.5625 * CHOOSE(CONTROL!$C$15, $E$9, 100%, $G$9) + CHOOSE(CONTROL!$C$38, 0.0256, 0)</f>
        <v>48.588099999999997</v>
      </c>
      <c r="G697" s="14">
        <f>45.0214 * CHOOSE(CONTROL!$C$15, $E$9, 100%, $G$9) + CHOOSE(CONTROL!$C$38, 0.0347, 0)</f>
        <v>45.056100000000001</v>
      </c>
      <c r="H697" s="14">
        <f>45.0214 * CHOOSE(CONTROL!$C$15, $E$9, 100%, $G$9) + CHOOSE(CONTROL!$C$38, 0.0347, 0)</f>
        <v>45.056100000000001</v>
      </c>
      <c r="I697" s="14">
        <f>45.023 * CHOOSE(CONTROL!$C$15, $E$9, 100%, $G$9) + CHOOSE(CONTROL!$C$38, 0.0347, 0)</f>
        <v>45.057700000000004</v>
      </c>
      <c r="J697" s="44">
        <f>350.9907</f>
        <v>350.9907</v>
      </c>
    </row>
    <row r="698" spans="1:10" ht="15.75" x14ac:dyDescent="0.25">
      <c r="A698" s="32">
        <v>62183</v>
      </c>
      <c r="B698" s="14">
        <f>48.2077 * CHOOSE(CONTROL!$C$15, $E$9, 100%, $G$9) + CHOOSE(CONTROL!$C$38, 0.0256, 0)</f>
        <v>48.2333</v>
      </c>
      <c r="C698" s="14">
        <f>44.5119 * CHOOSE(CONTROL!$C$15, $E$9, 100%, $G$9) + CHOOSE(CONTROL!$C$38, 0.0347, 0)</f>
        <v>44.546599999999998</v>
      </c>
      <c r="D698" s="14">
        <f>44.5041 * CHOOSE(CONTROL!$C$15, $E$9, 100%, $G$9) + CHOOSE(CONTROL!$C$38, 0.0347, 0)</f>
        <v>44.538800000000002</v>
      </c>
      <c r="E698" s="46">
        <f>48.0515 * CHOOSE(CONTROL!$C$15, $E$9, 100%, $G$9) + CHOOSE(CONTROL!$C$38, 0.0347, 0)</f>
        <v>48.086199999999998</v>
      </c>
      <c r="F698" s="45">
        <f>48.0515 * CHOOSE(CONTROL!$C$15, $E$9, 100%, $G$9) + CHOOSE(CONTROL!$C$38, 0.0256, 0)</f>
        <v>48.077099999999994</v>
      </c>
      <c r="G698" s="14">
        <f>44.5104 * CHOOSE(CONTROL!$C$15, $E$9, 100%, $G$9) + CHOOSE(CONTROL!$C$38, 0.0347, 0)</f>
        <v>44.545099999999998</v>
      </c>
      <c r="H698" s="14">
        <f>44.5104 * CHOOSE(CONTROL!$C$15, $E$9, 100%, $G$9) + CHOOSE(CONTROL!$C$38, 0.0347, 0)</f>
        <v>44.545099999999998</v>
      </c>
      <c r="I698" s="14">
        <f>44.5119 * CHOOSE(CONTROL!$C$15, $E$9, 100%, $G$9) + CHOOSE(CONTROL!$C$38, 0.0347, 0)</f>
        <v>44.546599999999998</v>
      </c>
      <c r="J698" s="44">
        <f>369.4899</f>
        <v>369.48989999999998</v>
      </c>
    </row>
    <row r="699" spans="1:10" ht="15.75" x14ac:dyDescent="0.25">
      <c r="A699" s="32">
        <v>62213</v>
      </c>
      <c r="B699" s="14">
        <f>47.7126 * CHOOSE(CONTROL!$C$15, $E$9, 100%, $G$9) + CHOOSE(CONTROL!$C$38, 0.0256, 0)</f>
        <v>47.738199999999999</v>
      </c>
      <c r="C699" s="14">
        <f>44.0168 * CHOOSE(CONTROL!$C$15, $E$9, 100%, $G$9) + CHOOSE(CONTROL!$C$38, 0.0347, 0)</f>
        <v>44.051500000000004</v>
      </c>
      <c r="D699" s="14">
        <f>44.0089 * CHOOSE(CONTROL!$C$15, $E$9, 100%, $G$9) + CHOOSE(CONTROL!$C$38, 0.0347, 0)</f>
        <v>44.043599999999998</v>
      </c>
      <c r="E699" s="46">
        <f>47.5563 * CHOOSE(CONTROL!$C$15, $E$9, 100%, $G$9) + CHOOSE(CONTROL!$C$38, 0.0347, 0)</f>
        <v>47.591000000000001</v>
      </c>
      <c r="F699" s="45">
        <f>47.5563 * CHOOSE(CONTROL!$C$15, $E$9, 100%, $G$9) + CHOOSE(CONTROL!$C$38, 0.0256, 0)</f>
        <v>47.581899999999997</v>
      </c>
      <c r="G699" s="14">
        <f>44.0152 * CHOOSE(CONTROL!$C$15, $E$9, 100%, $G$9) + CHOOSE(CONTROL!$C$38, 0.0347, 0)</f>
        <v>44.049900000000001</v>
      </c>
      <c r="H699" s="14">
        <f>44.0152 * CHOOSE(CONTROL!$C$15, $E$9, 100%, $G$9) + CHOOSE(CONTROL!$C$38, 0.0347, 0)</f>
        <v>44.049900000000001</v>
      </c>
      <c r="I699" s="14">
        <f>44.0168 * CHOOSE(CONTROL!$C$15, $E$9, 100%, $G$9) + CHOOSE(CONTROL!$C$38, 0.0347, 0)</f>
        <v>44.051500000000004</v>
      </c>
      <c r="J699" s="44">
        <f>393.479</f>
        <v>393.47899999999998</v>
      </c>
    </row>
    <row r="700" spans="1:10" ht="15.75" x14ac:dyDescent="0.25">
      <c r="A700" s="32">
        <v>62244</v>
      </c>
      <c r="B700" s="14">
        <f>47.1965 * CHOOSE(CONTROL!$C$15, $E$9, 100%, $G$9) + CHOOSE(CONTROL!$C$38, 0.0278, 0)</f>
        <v>47.224299999999999</v>
      </c>
      <c r="C700" s="14">
        <f>43.5006 * CHOOSE(CONTROL!$C$15, $E$9, 100%, $G$9) + CHOOSE(CONTROL!$C$38, 0.0369, 0)</f>
        <v>43.537500000000001</v>
      </c>
      <c r="D700" s="14">
        <f>43.4928 * CHOOSE(CONTROL!$C$15, $E$9, 100%, $G$9) + CHOOSE(CONTROL!$C$38, 0.0369, 0)</f>
        <v>43.529700000000005</v>
      </c>
      <c r="E700" s="46">
        <f>47.0402 * CHOOSE(CONTROL!$C$15, $E$9, 100%, $G$9) + CHOOSE(CONTROL!$C$38, 0.0369, 0)</f>
        <v>47.077100000000002</v>
      </c>
      <c r="F700" s="45">
        <f>47.0402 * CHOOSE(CONTROL!$C$15, $E$9, 100%, $G$9) + CHOOSE(CONTROL!$C$38, 0.0278, 0)</f>
        <v>47.067999999999998</v>
      </c>
      <c r="G700" s="14">
        <f>43.4991 * CHOOSE(CONTROL!$C$15, $E$9, 100%, $G$9) + CHOOSE(CONTROL!$C$38, 0.0369, 0)</f>
        <v>43.536000000000001</v>
      </c>
      <c r="H700" s="14">
        <f>43.4991 * CHOOSE(CONTROL!$C$15, $E$9, 100%, $G$9) + CHOOSE(CONTROL!$C$38, 0.0369, 0)</f>
        <v>43.536000000000001</v>
      </c>
      <c r="I700" s="14">
        <f>43.5006 * CHOOSE(CONTROL!$C$15, $E$9, 100%, $G$9) + CHOOSE(CONTROL!$C$38, 0.0369, 0)</f>
        <v>43.537500000000001</v>
      </c>
      <c r="J700" s="44">
        <f>406.6834</f>
        <v>406.68340000000001</v>
      </c>
    </row>
    <row r="701" spans="1:10" ht="15.75" x14ac:dyDescent="0.25">
      <c r="A701" s="32">
        <v>62274</v>
      </c>
      <c r="B701" s="14">
        <f>46.8346 * CHOOSE(CONTROL!$C$15, $E$9, 100%, $G$9) + CHOOSE(CONTROL!$C$38, 0.0278, 0)</f>
        <v>46.862400000000001</v>
      </c>
      <c r="C701" s="14">
        <f>43.1388 * CHOOSE(CONTROL!$C$15, $E$9, 100%, $G$9) + CHOOSE(CONTROL!$C$38, 0.0369, 0)</f>
        <v>43.175700000000006</v>
      </c>
      <c r="D701" s="14">
        <f>43.131 * CHOOSE(CONTROL!$C$15, $E$9, 100%, $G$9) + CHOOSE(CONTROL!$C$38, 0.0369, 0)</f>
        <v>43.167900000000003</v>
      </c>
      <c r="E701" s="46">
        <f>46.6784 * CHOOSE(CONTROL!$C$15, $E$9, 100%, $G$9) + CHOOSE(CONTROL!$C$38, 0.0369, 0)</f>
        <v>46.715300000000006</v>
      </c>
      <c r="F701" s="45">
        <f>46.6784 * CHOOSE(CONTROL!$C$15, $E$9, 100%, $G$9) + CHOOSE(CONTROL!$C$38, 0.0278, 0)</f>
        <v>46.706200000000003</v>
      </c>
      <c r="G701" s="14">
        <f>43.1373 * CHOOSE(CONTROL!$C$15, $E$9, 100%, $G$9) + CHOOSE(CONTROL!$C$38, 0.0369, 0)</f>
        <v>43.174200000000006</v>
      </c>
      <c r="H701" s="14">
        <f>43.1373 * CHOOSE(CONTROL!$C$15, $E$9, 100%, $G$9) + CHOOSE(CONTROL!$C$38, 0.0369, 0)</f>
        <v>43.174200000000006</v>
      </c>
      <c r="I701" s="14">
        <f>43.1388 * CHOOSE(CONTROL!$C$15, $E$9, 100%, $G$9) + CHOOSE(CONTROL!$C$38, 0.0369, 0)</f>
        <v>43.175700000000006</v>
      </c>
      <c r="J701" s="44">
        <f>412.5433</f>
        <v>412.54329999999999</v>
      </c>
    </row>
    <row r="702" spans="1:10" ht="15.75" x14ac:dyDescent="0.25">
      <c r="A702" s="32">
        <v>62305</v>
      </c>
      <c r="B702" s="14">
        <f>46.6281 * CHOOSE(CONTROL!$C$15, $E$9, 100%, $G$9) + CHOOSE(CONTROL!$C$38, 0.0278, 0)</f>
        <v>46.655900000000003</v>
      </c>
      <c r="C702" s="14">
        <f>42.9323 * CHOOSE(CONTROL!$C$15, $E$9, 100%, $G$9) + CHOOSE(CONTROL!$C$38, 0.0369, 0)</f>
        <v>42.969200000000001</v>
      </c>
      <c r="D702" s="14">
        <f>42.9245 * CHOOSE(CONTROL!$C$15, $E$9, 100%, $G$9) + CHOOSE(CONTROL!$C$38, 0.0369, 0)</f>
        <v>42.961400000000005</v>
      </c>
      <c r="E702" s="46">
        <f>46.4719 * CHOOSE(CONTROL!$C$15, $E$9, 100%, $G$9) + CHOOSE(CONTROL!$C$38, 0.0369, 0)</f>
        <v>46.508800000000001</v>
      </c>
      <c r="F702" s="45">
        <f>46.4719 * CHOOSE(CONTROL!$C$15, $E$9, 100%, $G$9) + CHOOSE(CONTROL!$C$38, 0.0278, 0)</f>
        <v>46.499699999999997</v>
      </c>
      <c r="G702" s="14">
        <f>42.9308 * CHOOSE(CONTROL!$C$15, $E$9, 100%, $G$9) + CHOOSE(CONTROL!$C$38, 0.0369, 0)</f>
        <v>42.967700000000001</v>
      </c>
      <c r="H702" s="14">
        <f>42.9308 * CHOOSE(CONTROL!$C$15, $E$9, 100%, $G$9) + CHOOSE(CONTROL!$C$38, 0.0369, 0)</f>
        <v>42.967700000000001</v>
      </c>
      <c r="I702" s="14">
        <f>42.9323 * CHOOSE(CONTROL!$C$15, $E$9, 100%, $G$9) + CHOOSE(CONTROL!$C$38, 0.0369, 0)</f>
        <v>42.969200000000001</v>
      </c>
      <c r="J702" s="44">
        <f>410.6139</f>
        <v>410.6139</v>
      </c>
    </row>
    <row r="703" spans="1:10" ht="15.75" x14ac:dyDescent="0.25">
      <c r="A703" s="32">
        <v>62336</v>
      </c>
      <c r="B703" s="14">
        <f>46.73 * CHOOSE(CONTROL!$C$15, $E$9, 100%, $G$9) + CHOOSE(CONTROL!$C$38, 0.0278, 0)</f>
        <v>46.757799999999996</v>
      </c>
      <c r="C703" s="14">
        <f>43.0342 * CHOOSE(CONTROL!$C$15, $E$9, 100%, $G$9) + CHOOSE(CONTROL!$C$38, 0.0369, 0)</f>
        <v>43.071100000000001</v>
      </c>
      <c r="D703" s="14">
        <f>43.0264 * CHOOSE(CONTROL!$C$15, $E$9, 100%, $G$9) + CHOOSE(CONTROL!$C$38, 0.0369, 0)</f>
        <v>43.063300000000005</v>
      </c>
      <c r="E703" s="46">
        <f>46.5738 * CHOOSE(CONTROL!$C$15, $E$9, 100%, $G$9) + CHOOSE(CONTROL!$C$38, 0.0369, 0)</f>
        <v>46.610700000000001</v>
      </c>
      <c r="F703" s="45">
        <f>46.5738 * CHOOSE(CONTROL!$C$15, $E$9, 100%, $G$9) + CHOOSE(CONTROL!$C$38, 0.0278, 0)</f>
        <v>46.601599999999998</v>
      </c>
      <c r="G703" s="14">
        <f>43.0327 * CHOOSE(CONTROL!$C$15, $E$9, 100%, $G$9) + CHOOSE(CONTROL!$C$38, 0.0369, 0)</f>
        <v>43.069600000000001</v>
      </c>
      <c r="H703" s="14">
        <f>43.0327 * CHOOSE(CONTROL!$C$15, $E$9, 100%, $G$9) + CHOOSE(CONTROL!$C$38, 0.0369, 0)</f>
        <v>43.069600000000001</v>
      </c>
      <c r="I703" s="14">
        <f>43.0342 * CHOOSE(CONTROL!$C$15, $E$9, 100%, $G$9) + CHOOSE(CONTROL!$C$38, 0.0369, 0)</f>
        <v>43.071100000000001</v>
      </c>
      <c r="J703" s="44">
        <f>401.055</f>
        <v>401.05500000000001</v>
      </c>
    </row>
    <row r="704" spans="1:10" ht="15.75" x14ac:dyDescent="0.25">
      <c r="A704" s="32">
        <v>62366</v>
      </c>
      <c r="B704" s="14">
        <f>47.0068 * CHOOSE(CONTROL!$C$15, $E$9, 100%, $G$9) + CHOOSE(CONTROL!$C$38, 0.0278, 0)</f>
        <v>47.034599999999998</v>
      </c>
      <c r="C704" s="14">
        <f>43.311 * CHOOSE(CONTROL!$C$15, $E$9, 100%, $G$9) + CHOOSE(CONTROL!$C$38, 0.0369, 0)</f>
        <v>43.347900000000003</v>
      </c>
      <c r="D704" s="14">
        <f>43.3032 * CHOOSE(CONTROL!$C$15, $E$9, 100%, $G$9) + CHOOSE(CONTROL!$C$38, 0.0369, 0)</f>
        <v>43.3401</v>
      </c>
      <c r="E704" s="46">
        <f>46.8506 * CHOOSE(CONTROL!$C$15, $E$9, 100%, $G$9) + CHOOSE(CONTROL!$C$38, 0.0369, 0)</f>
        <v>46.887500000000003</v>
      </c>
      <c r="F704" s="45">
        <f>46.8506 * CHOOSE(CONTROL!$C$15, $E$9, 100%, $G$9) + CHOOSE(CONTROL!$C$38, 0.0278, 0)</f>
        <v>46.878399999999999</v>
      </c>
      <c r="G704" s="14">
        <f>43.3095 * CHOOSE(CONTROL!$C$15, $E$9, 100%, $G$9) + CHOOSE(CONTROL!$C$38, 0.0369, 0)</f>
        <v>43.346400000000003</v>
      </c>
      <c r="H704" s="14">
        <f>43.3095 * CHOOSE(CONTROL!$C$15, $E$9, 100%, $G$9) + CHOOSE(CONTROL!$C$38, 0.0369, 0)</f>
        <v>43.346400000000003</v>
      </c>
      <c r="I704" s="14">
        <f>43.311 * CHOOSE(CONTROL!$C$15, $E$9, 100%, $G$9) + CHOOSE(CONTROL!$C$38, 0.0369, 0)</f>
        <v>43.347900000000003</v>
      </c>
      <c r="J704" s="44">
        <f>387.7246</f>
        <v>387.72460000000001</v>
      </c>
    </row>
    <row r="705" spans="1:10" ht="15.75" x14ac:dyDescent="0.25">
      <c r="A705" s="32">
        <v>62397</v>
      </c>
      <c r="B705" s="14">
        <f>47.2387 * CHOOSE(CONTROL!$C$15, $E$9, 100%, $G$9) + CHOOSE(CONTROL!$C$38, 0.0256, 0)</f>
        <v>47.264299999999999</v>
      </c>
      <c r="C705" s="14">
        <f>43.5429 * CHOOSE(CONTROL!$C$15, $E$9, 100%, $G$9) + CHOOSE(CONTROL!$C$38, 0.0347, 0)</f>
        <v>43.577600000000004</v>
      </c>
      <c r="D705" s="14">
        <f>43.535 * CHOOSE(CONTROL!$C$15, $E$9, 100%, $G$9) + CHOOSE(CONTROL!$C$38, 0.0347, 0)</f>
        <v>43.569699999999997</v>
      </c>
      <c r="E705" s="46">
        <f>47.0824 * CHOOSE(CONTROL!$C$15, $E$9, 100%, $G$9) + CHOOSE(CONTROL!$C$38, 0.0347, 0)</f>
        <v>47.117100000000001</v>
      </c>
      <c r="F705" s="45">
        <f>47.0824 * CHOOSE(CONTROL!$C$15, $E$9, 100%, $G$9) + CHOOSE(CONTROL!$C$38, 0.0256, 0)</f>
        <v>47.107999999999997</v>
      </c>
      <c r="G705" s="14">
        <f>43.5413 * CHOOSE(CONTROL!$C$15, $E$9, 100%, $G$9) + CHOOSE(CONTROL!$C$38, 0.0347, 0)</f>
        <v>43.576000000000001</v>
      </c>
      <c r="H705" s="14">
        <f>43.5413 * CHOOSE(CONTROL!$C$15, $E$9, 100%, $G$9) + CHOOSE(CONTROL!$C$38, 0.0347, 0)</f>
        <v>43.576000000000001</v>
      </c>
      <c r="I705" s="14">
        <f>43.5429 * CHOOSE(CONTROL!$C$15, $E$9, 100%, $G$9) + CHOOSE(CONTROL!$C$38, 0.0347, 0)</f>
        <v>43.577600000000004</v>
      </c>
      <c r="J705" s="44">
        <f>374.3167</f>
        <v>374.31670000000003</v>
      </c>
    </row>
    <row r="706" spans="1:10" ht="15.75" x14ac:dyDescent="0.25">
      <c r="A706" s="32">
        <v>62427</v>
      </c>
      <c r="B706" s="14">
        <f>47.4321 * CHOOSE(CONTROL!$C$15, $E$9, 100%, $G$9) + CHOOSE(CONTROL!$C$38, 0.0256, 0)</f>
        <v>47.457699999999996</v>
      </c>
      <c r="C706" s="14">
        <f>43.7363 * CHOOSE(CONTROL!$C$15, $E$9, 100%, $G$9) + CHOOSE(CONTROL!$C$38, 0.0347, 0)</f>
        <v>43.771000000000001</v>
      </c>
      <c r="D706" s="14">
        <f>43.7285 * CHOOSE(CONTROL!$C$15, $E$9, 100%, $G$9) + CHOOSE(CONTROL!$C$38, 0.0347, 0)</f>
        <v>43.763199999999998</v>
      </c>
      <c r="E706" s="46">
        <f>47.2759 * CHOOSE(CONTROL!$C$15, $E$9, 100%, $G$9) + CHOOSE(CONTROL!$C$38, 0.0347, 0)</f>
        <v>47.310600000000001</v>
      </c>
      <c r="F706" s="45">
        <f>47.2759 * CHOOSE(CONTROL!$C$15, $E$9, 100%, $G$9) + CHOOSE(CONTROL!$C$38, 0.0256, 0)</f>
        <v>47.301499999999997</v>
      </c>
      <c r="G706" s="14">
        <f>43.7347 * CHOOSE(CONTROL!$C$15, $E$9, 100%, $G$9) + CHOOSE(CONTROL!$C$38, 0.0347, 0)</f>
        <v>43.769399999999997</v>
      </c>
      <c r="H706" s="14">
        <f>43.7347 * CHOOSE(CONTROL!$C$15, $E$9, 100%, $G$9) + CHOOSE(CONTROL!$C$38, 0.0347, 0)</f>
        <v>43.769399999999997</v>
      </c>
      <c r="I706" s="14">
        <f>43.7363 * CHOOSE(CONTROL!$C$15, $E$9, 100%, $G$9) + CHOOSE(CONTROL!$C$38, 0.0347, 0)</f>
        <v>43.771000000000001</v>
      </c>
      <c r="J706" s="44">
        <f>371.6496</f>
        <v>371.64960000000002</v>
      </c>
    </row>
    <row r="707" spans="1:10" ht="15.75" x14ac:dyDescent="0.25">
      <c r="A707" s="32">
        <v>62458</v>
      </c>
      <c r="B707" s="14">
        <f>48.0282 * CHOOSE(CONTROL!$C$15, $E$9, 100%, $G$9) + CHOOSE(CONTROL!$C$38, 0.0256, 0)</f>
        <v>48.053799999999995</v>
      </c>
      <c r="C707" s="14">
        <f>44.3324 * CHOOSE(CONTROL!$C$15, $E$9, 100%, $G$9) + CHOOSE(CONTROL!$C$38, 0.0347, 0)</f>
        <v>44.367100000000001</v>
      </c>
      <c r="D707" s="14">
        <f>44.3246 * CHOOSE(CONTROL!$C$15, $E$9, 100%, $G$9) + CHOOSE(CONTROL!$C$38, 0.0347, 0)</f>
        <v>44.359299999999998</v>
      </c>
      <c r="E707" s="46">
        <f>47.8719 * CHOOSE(CONTROL!$C$15, $E$9, 100%, $G$9) + CHOOSE(CONTROL!$C$38, 0.0347, 0)</f>
        <v>47.906599999999997</v>
      </c>
      <c r="F707" s="45">
        <f>47.8719 * CHOOSE(CONTROL!$C$15, $E$9, 100%, $G$9) + CHOOSE(CONTROL!$C$38, 0.0256, 0)</f>
        <v>47.897499999999994</v>
      </c>
      <c r="G707" s="14">
        <f>44.3308 * CHOOSE(CONTROL!$C$15, $E$9, 100%, $G$9) + CHOOSE(CONTROL!$C$38, 0.0347, 0)</f>
        <v>44.365500000000004</v>
      </c>
      <c r="H707" s="14">
        <f>44.3308 * CHOOSE(CONTROL!$C$15, $E$9, 100%, $G$9) + CHOOSE(CONTROL!$C$38, 0.0347, 0)</f>
        <v>44.365500000000004</v>
      </c>
      <c r="I707" s="14">
        <f>44.3324 * CHOOSE(CONTROL!$C$15, $E$9, 100%, $G$9) + CHOOSE(CONTROL!$C$38, 0.0347, 0)</f>
        <v>44.367100000000001</v>
      </c>
      <c r="J707" s="44">
        <f>360.6209</f>
        <v>360.62090000000001</v>
      </c>
    </row>
    <row r="708" spans="1:10" ht="15.75" x14ac:dyDescent="0.25">
      <c r="A708" s="32">
        <v>62489</v>
      </c>
      <c r="B708" s="14">
        <f>49.267 * CHOOSE(CONTROL!$C$15, $E$9, 100%, $G$9) + CHOOSE(CONTROL!$C$38, 0.0256, 0)</f>
        <v>49.2926</v>
      </c>
      <c r="C708" s="14">
        <f>45.5131 * CHOOSE(CONTROL!$C$15, $E$9, 100%, $G$9) + CHOOSE(CONTROL!$C$38, 0.0347, 0)</f>
        <v>45.547800000000002</v>
      </c>
      <c r="D708" s="14">
        <f>45.5053 * CHOOSE(CONTROL!$C$15, $E$9, 100%, $G$9) + CHOOSE(CONTROL!$C$38, 0.0347, 0)</f>
        <v>45.54</v>
      </c>
      <c r="E708" s="46">
        <f>49.1107 * CHOOSE(CONTROL!$C$15, $E$9, 100%, $G$9) + CHOOSE(CONTROL!$C$38, 0.0347, 0)</f>
        <v>49.145400000000002</v>
      </c>
      <c r="F708" s="45">
        <f>49.1107 * CHOOSE(CONTROL!$C$15, $E$9, 100%, $G$9) + CHOOSE(CONTROL!$C$38, 0.0256, 0)</f>
        <v>49.136299999999999</v>
      </c>
      <c r="G708" s="14">
        <f>45.5116 * CHOOSE(CONTROL!$C$15, $E$9, 100%, $G$9) + CHOOSE(CONTROL!$C$38, 0.0347, 0)</f>
        <v>45.546300000000002</v>
      </c>
      <c r="H708" s="14">
        <f>45.5116 * CHOOSE(CONTROL!$C$15, $E$9, 100%, $G$9) + CHOOSE(CONTROL!$C$38, 0.0347, 0)</f>
        <v>45.546300000000002</v>
      </c>
      <c r="I708" s="14">
        <f>45.5131 * CHOOSE(CONTROL!$C$15, $E$9, 100%, $G$9) + CHOOSE(CONTROL!$C$38, 0.0347, 0)</f>
        <v>45.547800000000002</v>
      </c>
      <c r="J708" s="44">
        <f>359.9322</f>
        <v>359.93220000000002</v>
      </c>
    </row>
    <row r="709" spans="1:10" ht="15.75" x14ac:dyDescent="0.25">
      <c r="A709" s="32">
        <v>62517</v>
      </c>
      <c r="B709" s="14">
        <f>49.4878 * CHOOSE(CONTROL!$C$15, $E$9, 100%, $G$9) + CHOOSE(CONTROL!$C$38, 0.0256, 0)</f>
        <v>49.513399999999997</v>
      </c>
      <c r="C709" s="14">
        <f>45.7339 * CHOOSE(CONTROL!$C$15, $E$9, 100%, $G$9) + CHOOSE(CONTROL!$C$38, 0.0347, 0)</f>
        <v>45.768599999999999</v>
      </c>
      <c r="D709" s="14">
        <f>45.7261 * CHOOSE(CONTROL!$C$15, $E$9, 100%, $G$9) + CHOOSE(CONTROL!$C$38, 0.0347, 0)</f>
        <v>45.760800000000003</v>
      </c>
      <c r="E709" s="46">
        <f>49.3315 * CHOOSE(CONTROL!$C$15, $E$9, 100%, $G$9) + CHOOSE(CONTROL!$C$38, 0.0347, 0)</f>
        <v>49.366199999999999</v>
      </c>
      <c r="F709" s="45">
        <f>49.3315 * CHOOSE(CONTROL!$C$15, $E$9, 100%, $G$9) + CHOOSE(CONTROL!$C$38, 0.0256, 0)</f>
        <v>49.357099999999996</v>
      </c>
      <c r="G709" s="14">
        <f>45.7324 * CHOOSE(CONTROL!$C$15, $E$9, 100%, $G$9) + CHOOSE(CONTROL!$C$38, 0.0347, 0)</f>
        <v>45.767099999999999</v>
      </c>
      <c r="H709" s="14">
        <f>45.7324 * CHOOSE(CONTROL!$C$15, $E$9, 100%, $G$9) + CHOOSE(CONTROL!$C$38, 0.0347, 0)</f>
        <v>45.767099999999999</v>
      </c>
      <c r="I709" s="14">
        <f>45.7339 * CHOOSE(CONTROL!$C$15, $E$9, 100%, $G$9) + CHOOSE(CONTROL!$C$38, 0.0347, 0)</f>
        <v>45.768599999999999</v>
      </c>
      <c r="J709" s="44">
        <f>358.9317</f>
        <v>358.93169999999998</v>
      </c>
    </row>
    <row r="710" spans="1:10" ht="15.75" x14ac:dyDescent="0.25">
      <c r="A710" s="32">
        <v>62548</v>
      </c>
      <c r="B710" s="14">
        <f>48.9767 * CHOOSE(CONTROL!$C$15, $E$9, 100%, $G$9) + CHOOSE(CONTROL!$C$38, 0.0256, 0)</f>
        <v>49.002299999999998</v>
      </c>
      <c r="C710" s="14">
        <f>45.2229 * CHOOSE(CONTROL!$C$15, $E$9, 100%, $G$9) + CHOOSE(CONTROL!$C$38, 0.0347, 0)</f>
        <v>45.257600000000004</v>
      </c>
      <c r="D710" s="14">
        <f>45.2151 * CHOOSE(CONTROL!$C$15, $E$9, 100%, $G$9) + CHOOSE(CONTROL!$C$38, 0.0347, 0)</f>
        <v>45.2498</v>
      </c>
      <c r="E710" s="46">
        <f>48.8205 * CHOOSE(CONTROL!$C$15, $E$9, 100%, $G$9) + CHOOSE(CONTROL!$C$38, 0.0347, 0)</f>
        <v>48.855200000000004</v>
      </c>
      <c r="F710" s="45">
        <f>48.8205 * CHOOSE(CONTROL!$C$15, $E$9, 100%, $G$9) + CHOOSE(CONTROL!$C$38, 0.0256, 0)</f>
        <v>48.8461</v>
      </c>
      <c r="G710" s="14">
        <f>45.2213 * CHOOSE(CONTROL!$C$15, $E$9, 100%, $G$9) + CHOOSE(CONTROL!$C$38, 0.0347, 0)</f>
        <v>45.256</v>
      </c>
      <c r="H710" s="14">
        <f>45.2213 * CHOOSE(CONTROL!$C$15, $E$9, 100%, $G$9) + CHOOSE(CONTROL!$C$38, 0.0347, 0)</f>
        <v>45.256</v>
      </c>
      <c r="I710" s="14">
        <f>45.2229 * CHOOSE(CONTROL!$C$15, $E$9, 100%, $G$9) + CHOOSE(CONTROL!$C$38, 0.0347, 0)</f>
        <v>45.257600000000004</v>
      </c>
      <c r="J710" s="44">
        <f>377.8494</f>
        <v>377.8494</v>
      </c>
    </row>
    <row r="711" spans="1:10" ht="15.75" x14ac:dyDescent="0.25">
      <c r="A711" s="32">
        <v>62578</v>
      </c>
      <c r="B711" s="14">
        <f>48.4815 * CHOOSE(CONTROL!$C$15, $E$9, 100%, $G$9) + CHOOSE(CONTROL!$C$38, 0.0256, 0)</f>
        <v>48.507099999999994</v>
      </c>
      <c r="C711" s="14">
        <f>44.7277 * CHOOSE(CONTROL!$C$15, $E$9, 100%, $G$9) + CHOOSE(CONTROL!$C$38, 0.0347, 0)</f>
        <v>44.7624</v>
      </c>
      <c r="D711" s="14">
        <f>44.7199 * CHOOSE(CONTROL!$C$15, $E$9, 100%, $G$9) + CHOOSE(CONTROL!$C$38, 0.0347, 0)</f>
        <v>44.754600000000003</v>
      </c>
      <c r="E711" s="46">
        <f>48.3253 * CHOOSE(CONTROL!$C$15, $E$9, 100%, $G$9) + CHOOSE(CONTROL!$C$38, 0.0347, 0)</f>
        <v>48.36</v>
      </c>
      <c r="F711" s="45">
        <f>48.3253 * CHOOSE(CONTROL!$C$15, $E$9, 100%, $G$9) + CHOOSE(CONTROL!$C$38, 0.0256, 0)</f>
        <v>48.350899999999996</v>
      </c>
      <c r="G711" s="14">
        <f>44.7261 * CHOOSE(CONTROL!$C$15, $E$9, 100%, $G$9) + CHOOSE(CONTROL!$C$38, 0.0347, 0)</f>
        <v>44.760800000000003</v>
      </c>
      <c r="H711" s="14">
        <f>44.7261 * CHOOSE(CONTROL!$C$15, $E$9, 100%, $G$9) + CHOOSE(CONTROL!$C$38, 0.0347, 0)</f>
        <v>44.760800000000003</v>
      </c>
      <c r="I711" s="14">
        <f>44.7277 * CHOOSE(CONTROL!$C$15, $E$9, 100%, $G$9) + CHOOSE(CONTROL!$C$38, 0.0347, 0)</f>
        <v>44.7624</v>
      </c>
      <c r="J711" s="44">
        <f>402.3813</f>
        <v>402.38130000000001</v>
      </c>
    </row>
    <row r="712" spans="1:10" ht="15.75" x14ac:dyDescent="0.25">
      <c r="A712" s="32">
        <v>62609</v>
      </c>
      <c r="B712" s="14">
        <f>47.9654 * CHOOSE(CONTROL!$C$15, $E$9, 100%, $G$9) + CHOOSE(CONTROL!$C$38, 0.0278, 0)</f>
        <v>47.993200000000002</v>
      </c>
      <c r="C712" s="14">
        <f>44.2116 * CHOOSE(CONTROL!$C$15, $E$9, 100%, $G$9) + CHOOSE(CONTROL!$C$38, 0.0369, 0)</f>
        <v>44.2485</v>
      </c>
      <c r="D712" s="14">
        <f>44.2038 * CHOOSE(CONTROL!$C$15, $E$9, 100%, $G$9) + CHOOSE(CONTROL!$C$38, 0.0369, 0)</f>
        <v>44.240700000000004</v>
      </c>
      <c r="E712" s="46">
        <f>47.8092 * CHOOSE(CONTROL!$C$15, $E$9, 100%, $G$9) + CHOOSE(CONTROL!$C$38, 0.0369, 0)</f>
        <v>47.8461</v>
      </c>
      <c r="F712" s="45">
        <f>47.8092 * CHOOSE(CONTROL!$C$15, $E$9, 100%, $G$9) + CHOOSE(CONTROL!$C$38, 0.0278, 0)</f>
        <v>47.836999999999996</v>
      </c>
      <c r="G712" s="14">
        <f>44.21 * CHOOSE(CONTROL!$C$15, $E$9, 100%, $G$9) + CHOOSE(CONTROL!$C$38, 0.0369, 0)</f>
        <v>44.246900000000004</v>
      </c>
      <c r="H712" s="14">
        <f>44.21 * CHOOSE(CONTROL!$C$15, $E$9, 100%, $G$9) + CHOOSE(CONTROL!$C$38, 0.0369, 0)</f>
        <v>44.246900000000004</v>
      </c>
      <c r="I712" s="14">
        <f>44.2116 * CHOOSE(CONTROL!$C$15, $E$9, 100%, $G$9) + CHOOSE(CONTROL!$C$38, 0.0369, 0)</f>
        <v>44.2485</v>
      </c>
      <c r="J712" s="44">
        <f>415.8844</f>
        <v>415.88440000000003</v>
      </c>
    </row>
    <row r="713" spans="1:10" ht="15.75" x14ac:dyDescent="0.25">
      <c r="A713" s="32">
        <v>62639</v>
      </c>
      <c r="B713" s="14">
        <f>47.6036 * CHOOSE(CONTROL!$C$15, $E$9, 100%, $G$9) + CHOOSE(CONTROL!$C$38, 0.0278, 0)</f>
        <v>47.631399999999999</v>
      </c>
      <c r="C713" s="14">
        <f>43.8498 * CHOOSE(CONTROL!$C$15, $E$9, 100%, $G$9) + CHOOSE(CONTROL!$C$38, 0.0369, 0)</f>
        <v>43.886700000000005</v>
      </c>
      <c r="D713" s="14">
        <f>43.8419 * CHOOSE(CONTROL!$C$15, $E$9, 100%, $G$9) + CHOOSE(CONTROL!$C$38, 0.0369, 0)</f>
        <v>43.878800000000005</v>
      </c>
      <c r="E713" s="46">
        <f>47.4473 * CHOOSE(CONTROL!$C$15, $E$9, 100%, $G$9) + CHOOSE(CONTROL!$C$38, 0.0369, 0)</f>
        <v>47.484200000000001</v>
      </c>
      <c r="F713" s="45">
        <f>47.4473 * CHOOSE(CONTROL!$C$15, $E$9, 100%, $G$9) + CHOOSE(CONTROL!$C$38, 0.0278, 0)</f>
        <v>47.475099999999998</v>
      </c>
      <c r="G713" s="14">
        <f>43.8482 * CHOOSE(CONTROL!$C$15, $E$9, 100%, $G$9) + CHOOSE(CONTROL!$C$38, 0.0369, 0)</f>
        <v>43.885100000000001</v>
      </c>
      <c r="H713" s="14">
        <f>43.8482 * CHOOSE(CONTROL!$C$15, $E$9, 100%, $G$9) + CHOOSE(CONTROL!$C$38, 0.0369, 0)</f>
        <v>43.885100000000001</v>
      </c>
      <c r="I713" s="14">
        <f>43.8498 * CHOOSE(CONTROL!$C$15, $E$9, 100%, $G$9) + CHOOSE(CONTROL!$C$38, 0.0369, 0)</f>
        <v>43.886700000000005</v>
      </c>
      <c r="J713" s="44">
        <f>421.8768</f>
        <v>421.8768</v>
      </c>
    </row>
    <row r="714" spans="1:10" ht="15.75" x14ac:dyDescent="0.25">
      <c r="A714" s="32">
        <v>62670</v>
      </c>
      <c r="B714" s="14">
        <f>47.3971 * CHOOSE(CONTROL!$C$15, $E$9, 100%, $G$9) + CHOOSE(CONTROL!$C$38, 0.0278, 0)</f>
        <v>47.424900000000001</v>
      </c>
      <c r="C714" s="14">
        <f>43.6433 * CHOOSE(CONTROL!$C$15, $E$9, 100%, $G$9) + CHOOSE(CONTROL!$C$38, 0.0369, 0)</f>
        <v>43.680200000000006</v>
      </c>
      <c r="D714" s="14">
        <f>43.6355 * CHOOSE(CONTROL!$C$15, $E$9, 100%, $G$9) + CHOOSE(CONTROL!$C$38, 0.0369, 0)</f>
        <v>43.672400000000003</v>
      </c>
      <c r="E714" s="46">
        <f>47.2409 * CHOOSE(CONTROL!$C$15, $E$9, 100%, $G$9) + CHOOSE(CONTROL!$C$38, 0.0369, 0)</f>
        <v>47.277800000000006</v>
      </c>
      <c r="F714" s="45">
        <f>47.2409 * CHOOSE(CONTROL!$C$15, $E$9, 100%, $G$9) + CHOOSE(CONTROL!$C$38, 0.0278, 0)</f>
        <v>47.268700000000003</v>
      </c>
      <c r="G714" s="14">
        <f>43.6417 * CHOOSE(CONTROL!$C$15, $E$9, 100%, $G$9) + CHOOSE(CONTROL!$C$38, 0.0369, 0)</f>
        <v>43.678600000000003</v>
      </c>
      <c r="H714" s="14">
        <f>43.6417 * CHOOSE(CONTROL!$C$15, $E$9, 100%, $G$9) + CHOOSE(CONTROL!$C$38, 0.0369, 0)</f>
        <v>43.678600000000003</v>
      </c>
      <c r="I714" s="14">
        <f>43.6433 * CHOOSE(CONTROL!$C$15, $E$9, 100%, $G$9) + CHOOSE(CONTROL!$C$38, 0.0369, 0)</f>
        <v>43.680200000000006</v>
      </c>
      <c r="J714" s="44">
        <f>419.9039</f>
        <v>419.90390000000002</v>
      </c>
    </row>
    <row r="715" spans="1:10" ht="15.75" x14ac:dyDescent="0.25">
      <c r="A715" s="32">
        <v>62701</v>
      </c>
      <c r="B715" s="14">
        <f>47.499 * CHOOSE(CONTROL!$C$15, $E$9, 100%, $G$9) + CHOOSE(CONTROL!$C$38, 0.0278, 0)</f>
        <v>47.526800000000001</v>
      </c>
      <c r="C715" s="14">
        <f>43.7452 * CHOOSE(CONTROL!$C$15, $E$9, 100%, $G$9) + CHOOSE(CONTROL!$C$38, 0.0369, 0)</f>
        <v>43.7821</v>
      </c>
      <c r="D715" s="14">
        <f>43.7374 * CHOOSE(CONTROL!$C$15, $E$9, 100%, $G$9) + CHOOSE(CONTROL!$C$38, 0.0369, 0)</f>
        <v>43.774300000000004</v>
      </c>
      <c r="E715" s="46">
        <f>47.3428 * CHOOSE(CONTROL!$C$15, $E$9, 100%, $G$9) + CHOOSE(CONTROL!$C$38, 0.0369, 0)</f>
        <v>47.3797</v>
      </c>
      <c r="F715" s="45">
        <f>47.3428 * CHOOSE(CONTROL!$C$15, $E$9, 100%, $G$9) + CHOOSE(CONTROL!$C$38, 0.0278, 0)</f>
        <v>47.370599999999996</v>
      </c>
      <c r="G715" s="14">
        <f>43.7436 * CHOOSE(CONTROL!$C$15, $E$9, 100%, $G$9) + CHOOSE(CONTROL!$C$38, 0.0369, 0)</f>
        <v>43.780500000000004</v>
      </c>
      <c r="H715" s="14">
        <f>43.7436 * CHOOSE(CONTROL!$C$15, $E$9, 100%, $G$9) + CHOOSE(CONTROL!$C$38, 0.0369, 0)</f>
        <v>43.780500000000004</v>
      </c>
      <c r="I715" s="14">
        <f>43.7452 * CHOOSE(CONTROL!$C$15, $E$9, 100%, $G$9) + CHOOSE(CONTROL!$C$38, 0.0369, 0)</f>
        <v>43.7821</v>
      </c>
      <c r="J715" s="44">
        <f>410.1287</f>
        <v>410.12869999999998</v>
      </c>
    </row>
    <row r="716" spans="1:10" ht="15.75" x14ac:dyDescent="0.25">
      <c r="A716" s="32">
        <v>62731</v>
      </c>
      <c r="B716" s="14">
        <f>47.7758 * CHOOSE(CONTROL!$C$15, $E$9, 100%, $G$9) + CHOOSE(CONTROL!$C$38, 0.0278, 0)</f>
        <v>47.803599999999996</v>
      </c>
      <c r="C716" s="14">
        <f>44.022 * CHOOSE(CONTROL!$C$15, $E$9, 100%, $G$9) + CHOOSE(CONTROL!$C$38, 0.0369, 0)</f>
        <v>44.058900000000001</v>
      </c>
      <c r="D716" s="14">
        <f>44.0142 * CHOOSE(CONTROL!$C$15, $E$9, 100%, $G$9) + CHOOSE(CONTROL!$C$38, 0.0369, 0)</f>
        <v>44.051100000000005</v>
      </c>
      <c r="E716" s="46">
        <f>47.6196 * CHOOSE(CONTROL!$C$15, $E$9, 100%, $G$9) + CHOOSE(CONTROL!$C$38, 0.0369, 0)</f>
        <v>47.656500000000001</v>
      </c>
      <c r="F716" s="45">
        <f>47.6196 * CHOOSE(CONTROL!$C$15, $E$9, 100%, $G$9) + CHOOSE(CONTROL!$C$38, 0.0278, 0)</f>
        <v>47.647399999999998</v>
      </c>
      <c r="G716" s="14">
        <f>44.0204 * CHOOSE(CONTROL!$C$15, $E$9, 100%, $G$9) + CHOOSE(CONTROL!$C$38, 0.0369, 0)</f>
        <v>44.057300000000005</v>
      </c>
      <c r="H716" s="14">
        <f>44.0204 * CHOOSE(CONTROL!$C$15, $E$9, 100%, $G$9) + CHOOSE(CONTROL!$C$38, 0.0369, 0)</f>
        <v>44.057300000000005</v>
      </c>
      <c r="I716" s="14">
        <f>44.022 * CHOOSE(CONTROL!$C$15, $E$9, 100%, $G$9) + CHOOSE(CONTROL!$C$38, 0.0369, 0)</f>
        <v>44.058900000000001</v>
      </c>
      <c r="J716" s="44">
        <f>396.4967</f>
        <v>396.49669999999998</v>
      </c>
    </row>
    <row r="717" spans="1:10" ht="15.75" x14ac:dyDescent="0.25">
      <c r="A717" s="32">
        <v>62762</v>
      </c>
      <c r="B717" s="14">
        <f>48.0076 * CHOOSE(CONTROL!$C$15, $E$9, 100%, $G$9) + CHOOSE(CONTROL!$C$38, 0.0256, 0)</f>
        <v>48.033199999999994</v>
      </c>
      <c r="C717" s="14">
        <f>44.2538 * CHOOSE(CONTROL!$C$15, $E$9, 100%, $G$9) + CHOOSE(CONTROL!$C$38, 0.0347, 0)</f>
        <v>44.288499999999999</v>
      </c>
      <c r="D717" s="14">
        <f>44.246 * CHOOSE(CONTROL!$C$15, $E$9, 100%, $G$9) + CHOOSE(CONTROL!$C$38, 0.0347, 0)</f>
        <v>44.280700000000003</v>
      </c>
      <c r="E717" s="46">
        <f>47.8514 * CHOOSE(CONTROL!$C$15, $E$9, 100%, $G$9) + CHOOSE(CONTROL!$C$38, 0.0347, 0)</f>
        <v>47.886099999999999</v>
      </c>
      <c r="F717" s="45">
        <f>47.8514 * CHOOSE(CONTROL!$C$15, $E$9, 100%, $G$9) + CHOOSE(CONTROL!$C$38, 0.0256, 0)</f>
        <v>47.876999999999995</v>
      </c>
      <c r="G717" s="14">
        <f>44.2522 * CHOOSE(CONTROL!$C$15, $E$9, 100%, $G$9) + CHOOSE(CONTROL!$C$38, 0.0347, 0)</f>
        <v>44.286900000000003</v>
      </c>
      <c r="H717" s="14">
        <f>44.2522 * CHOOSE(CONTROL!$C$15, $E$9, 100%, $G$9) + CHOOSE(CONTROL!$C$38, 0.0347, 0)</f>
        <v>44.286900000000003</v>
      </c>
      <c r="I717" s="14">
        <f>44.2538 * CHOOSE(CONTROL!$C$15, $E$9, 100%, $G$9) + CHOOSE(CONTROL!$C$38, 0.0347, 0)</f>
        <v>44.288499999999999</v>
      </c>
      <c r="J717" s="44">
        <f>382.7854</f>
        <v>382.78539999999998</v>
      </c>
    </row>
    <row r="718" spans="1:10" ht="15.75" x14ac:dyDescent="0.25">
      <c r="A718" s="32">
        <v>62792</v>
      </c>
      <c r="B718" s="14">
        <f>48.2011 * CHOOSE(CONTROL!$C$15, $E$9, 100%, $G$9) + CHOOSE(CONTROL!$C$38, 0.0256, 0)</f>
        <v>48.226699999999994</v>
      </c>
      <c r="C718" s="14">
        <f>44.4472 * CHOOSE(CONTROL!$C$15, $E$9, 100%, $G$9) + CHOOSE(CONTROL!$C$38, 0.0347, 0)</f>
        <v>44.481900000000003</v>
      </c>
      <c r="D718" s="14">
        <f>44.4394 * CHOOSE(CONTROL!$C$15, $E$9, 100%, $G$9) + CHOOSE(CONTROL!$C$38, 0.0347, 0)</f>
        <v>44.4741</v>
      </c>
      <c r="E718" s="46">
        <f>48.0448 * CHOOSE(CONTROL!$C$15, $E$9, 100%, $G$9) + CHOOSE(CONTROL!$C$38, 0.0347, 0)</f>
        <v>48.079500000000003</v>
      </c>
      <c r="F718" s="45">
        <f>48.0448 * CHOOSE(CONTROL!$C$15, $E$9, 100%, $G$9) + CHOOSE(CONTROL!$C$38, 0.0256, 0)</f>
        <v>48.070399999999999</v>
      </c>
      <c r="G718" s="14">
        <f>44.4457 * CHOOSE(CONTROL!$C$15, $E$9, 100%, $G$9) + CHOOSE(CONTROL!$C$38, 0.0347, 0)</f>
        <v>44.480400000000003</v>
      </c>
      <c r="H718" s="14">
        <f>44.4457 * CHOOSE(CONTROL!$C$15, $E$9, 100%, $G$9) + CHOOSE(CONTROL!$C$38, 0.0347, 0)</f>
        <v>44.480400000000003</v>
      </c>
      <c r="I718" s="14">
        <f>44.4472 * CHOOSE(CONTROL!$C$15, $E$9, 100%, $G$9) + CHOOSE(CONTROL!$C$38, 0.0347, 0)</f>
        <v>44.481900000000003</v>
      </c>
      <c r="J718" s="44">
        <f>380.058</f>
        <v>380.05799999999999</v>
      </c>
    </row>
    <row r="719" spans="1:10" ht="15.75" x14ac:dyDescent="0.25">
      <c r="A719" s="32">
        <v>62823</v>
      </c>
      <c r="B719" s="14">
        <f>48.7971 * CHOOSE(CONTROL!$C$15, $E$9, 100%, $G$9) + CHOOSE(CONTROL!$C$38, 0.0256, 0)</f>
        <v>48.822699999999998</v>
      </c>
      <c r="C719" s="14">
        <f>45.0433 * CHOOSE(CONTROL!$C$15, $E$9, 100%, $G$9) + CHOOSE(CONTROL!$C$38, 0.0347, 0)</f>
        <v>45.078000000000003</v>
      </c>
      <c r="D719" s="14">
        <f>45.0355 * CHOOSE(CONTROL!$C$15, $E$9, 100%, $G$9) + CHOOSE(CONTROL!$C$38, 0.0347, 0)</f>
        <v>45.0702</v>
      </c>
      <c r="E719" s="46">
        <f>48.6409 * CHOOSE(CONTROL!$C$15, $E$9, 100%, $G$9) + CHOOSE(CONTROL!$C$38, 0.0347, 0)</f>
        <v>48.675600000000003</v>
      </c>
      <c r="F719" s="45">
        <f>48.6409 * CHOOSE(CONTROL!$C$15, $E$9, 100%, $G$9) + CHOOSE(CONTROL!$C$38, 0.0256, 0)</f>
        <v>48.666499999999999</v>
      </c>
      <c r="G719" s="14">
        <f>45.0417 * CHOOSE(CONTROL!$C$15, $E$9, 100%, $G$9) + CHOOSE(CONTROL!$C$38, 0.0347, 0)</f>
        <v>45.0764</v>
      </c>
      <c r="H719" s="14">
        <f>45.0417 * CHOOSE(CONTROL!$C$15, $E$9, 100%, $G$9) + CHOOSE(CONTROL!$C$38, 0.0347, 0)</f>
        <v>45.0764</v>
      </c>
      <c r="I719" s="14">
        <f>45.0433 * CHOOSE(CONTROL!$C$15, $E$9, 100%, $G$9) + CHOOSE(CONTROL!$C$38, 0.0347, 0)</f>
        <v>45.078000000000003</v>
      </c>
      <c r="J719" s="44">
        <f>368.7797</f>
        <v>368.77969999999999</v>
      </c>
    </row>
    <row r="720" spans="1:10" ht="15.75" x14ac:dyDescent="0.25">
      <c r="A720" s="32">
        <v>62854</v>
      </c>
      <c r="B720" s="14">
        <f>50.0486 * CHOOSE(CONTROL!$C$15, $E$9, 100%, $G$9) + CHOOSE(CONTROL!$C$38, 0.0256, 0)</f>
        <v>50.074199999999998</v>
      </c>
      <c r="C720" s="14">
        <f>46.2357 * CHOOSE(CONTROL!$C$15, $E$9, 100%, $G$9) + CHOOSE(CONTROL!$C$38, 0.0347, 0)</f>
        <v>46.270400000000002</v>
      </c>
      <c r="D720" s="14">
        <f>46.2279 * CHOOSE(CONTROL!$C$15, $E$9, 100%, $G$9) + CHOOSE(CONTROL!$C$38, 0.0347, 0)</f>
        <v>46.262599999999999</v>
      </c>
      <c r="E720" s="46">
        <f>49.8923 * CHOOSE(CONTROL!$C$15, $E$9, 100%, $G$9) + CHOOSE(CONTROL!$C$38, 0.0347, 0)</f>
        <v>49.927</v>
      </c>
      <c r="F720" s="45">
        <f>49.8923 * CHOOSE(CONTROL!$C$15, $E$9, 100%, $G$9) + CHOOSE(CONTROL!$C$38, 0.0256, 0)</f>
        <v>49.917899999999996</v>
      </c>
      <c r="G720" s="14">
        <f>46.2342 * CHOOSE(CONTROL!$C$15, $E$9, 100%, $G$9) + CHOOSE(CONTROL!$C$38, 0.0347, 0)</f>
        <v>46.268900000000002</v>
      </c>
      <c r="H720" s="14">
        <f>46.2342 * CHOOSE(CONTROL!$C$15, $E$9, 100%, $G$9) + CHOOSE(CONTROL!$C$38, 0.0347, 0)</f>
        <v>46.268900000000002</v>
      </c>
      <c r="I720" s="14">
        <f>46.2357 * CHOOSE(CONTROL!$C$15, $E$9, 100%, $G$9) + CHOOSE(CONTROL!$C$38, 0.0347, 0)</f>
        <v>46.270400000000002</v>
      </c>
      <c r="J720" s="44">
        <f>368.0754</f>
        <v>368.0754</v>
      </c>
    </row>
    <row r="721" spans="1:10" ht="15.75" x14ac:dyDescent="0.25">
      <c r="A721" s="32">
        <v>62883</v>
      </c>
      <c r="B721" s="14">
        <f>50.2693 * CHOOSE(CONTROL!$C$15, $E$9, 100%, $G$9) + CHOOSE(CONTROL!$C$38, 0.0256, 0)</f>
        <v>50.294899999999998</v>
      </c>
      <c r="C721" s="14">
        <f>46.4565 * CHOOSE(CONTROL!$C$15, $E$9, 100%, $G$9) + CHOOSE(CONTROL!$C$38, 0.0347, 0)</f>
        <v>46.491199999999999</v>
      </c>
      <c r="D721" s="14">
        <f>46.4487 * CHOOSE(CONTROL!$C$15, $E$9, 100%, $G$9) + CHOOSE(CONTROL!$C$38, 0.0347, 0)</f>
        <v>46.483400000000003</v>
      </c>
      <c r="E721" s="46">
        <f>50.1131 * CHOOSE(CONTROL!$C$15, $E$9, 100%, $G$9) + CHOOSE(CONTROL!$C$38, 0.0347, 0)</f>
        <v>50.147800000000004</v>
      </c>
      <c r="F721" s="45">
        <f>50.1131 * CHOOSE(CONTROL!$C$15, $E$9, 100%, $G$9) + CHOOSE(CONTROL!$C$38, 0.0256, 0)</f>
        <v>50.1387</v>
      </c>
      <c r="G721" s="14">
        <f>46.4549 * CHOOSE(CONTROL!$C$15, $E$9, 100%, $G$9) + CHOOSE(CONTROL!$C$38, 0.0347, 0)</f>
        <v>46.489600000000003</v>
      </c>
      <c r="H721" s="14">
        <f>46.4549 * CHOOSE(CONTROL!$C$15, $E$9, 100%, $G$9) + CHOOSE(CONTROL!$C$38, 0.0347, 0)</f>
        <v>46.489600000000003</v>
      </c>
      <c r="I721" s="14">
        <f>46.4565 * CHOOSE(CONTROL!$C$15, $E$9, 100%, $G$9) + CHOOSE(CONTROL!$C$38, 0.0347, 0)</f>
        <v>46.491199999999999</v>
      </c>
      <c r="J721" s="44">
        <f>367.0523</f>
        <v>367.0523</v>
      </c>
    </row>
    <row r="722" spans="1:10" ht="15.75" x14ac:dyDescent="0.25">
      <c r="A722" s="32">
        <v>62914</v>
      </c>
      <c r="B722" s="14">
        <f>49.7583 * CHOOSE(CONTROL!$C$15, $E$9, 100%, $G$9) + CHOOSE(CONTROL!$C$38, 0.0256, 0)</f>
        <v>49.783899999999996</v>
      </c>
      <c r="C722" s="14">
        <f>45.9455 * CHOOSE(CONTROL!$C$15, $E$9, 100%, $G$9) + CHOOSE(CONTROL!$C$38, 0.0347, 0)</f>
        <v>45.980200000000004</v>
      </c>
      <c r="D722" s="14">
        <f>45.9377 * CHOOSE(CONTROL!$C$15, $E$9, 100%, $G$9) + CHOOSE(CONTROL!$C$38, 0.0347, 0)</f>
        <v>45.9724</v>
      </c>
      <c r="E722" s="46">
        <f>49.602 * CHOOSE(CONTROL!$C$15, $E$9, 100%, $G$9) + CHOOSE(CONTROL!$C$38, 0.0347, 0)</f>
        <v>49.636699999999998</v>
      </c>
      <c r="F722" s="45">
        <f>49.602 * CHOOSE(CONTROL!$C$15, $E$9, 100%, $G$9) + CHOOSE(CONTROL!$C$38, 0.0256, 0)</f>
        <v>49.627599999999994</v>
      </c>
      <c r="G722" s="14">
        <f>45.9439 * CHOOSE(CONTROL!$C$15, $E$9, 100%, $G$9) + CHOOSE(CONTROL!$C$38, 0.0347, 0)</f>
        <v>45.9786</v>
      </c>
      <c r="H722" s="14">
        <f>45.9439 * CHOOSE(CONTROL!$C$15, $E$9, 100%, $G$9) + CHOOSE(CONTROL!$C$38, 0.0347, 0)</f>
        <v>45.9786</v>
      </c>
      <c r="I722" s="14">
        <f>45.9455 * CHOOSE(CONTROL!$C$15, $E$9, 100%, $G$9) + CHOOSE(CONTROL!$C$38, 0.0347, 0)</f>
        <v>45.980200000000004</v>
      </c>
      <c r="J722" s="44">
        <f>386.3981</f>
        <v>386.3981</v>
      </c>
    </row>
    <row r="723" spans="1:10" ht="15.75" x14ac:dyDescent="0.25">
      <c r="A723" s="32">
        <v>62944</v>
      </c>
      <c r="B723" s="14">
        <f>49.2631 * CHOOSE(CONTROL!$C$15, $E$9, 100%, $G$9) + CHOOSE(CONTROL!$C$38, 0.0256, 0)</f>
        <v>49.288699999999999</v>
      </c>
      <c r="C723" s="14">
        <f>45.4503 * CHOOSE(CONTROL!$C$15, $E$9, 100%, $G$9) + CHOOSE(CONTROL!$C$38, 0.0347, 0)</f>
        <v>45.484999999999999</v>
      </c>
      <c r="D723" s="14">
        <f>45.4425 * CHOOSE(CONTROL!$C$15, $E$9, 100%, $G$9) + CHOOSE(CONTROL!$C$38, 0.0347, 0)</f>
        <v>45.477200000000003</v>
      </c>
      <c r="E723" s="46">
        <f>49.1069 * CHOOSE(CONTROL!$C$15, $E$9, 100%, $G$9) + CHOOSE(CONTROL!$C$38, 0.0347, 0)</f>
        <v>49.141600000000004</v>
      </c>
      <c r="F723" s="45">
        <f>49.1069 * CHOOSE(CONTROL!$C$15, $E$9, 100%, $G$9) + CHOOSE(CONTROL!$C$38, 0.0256, 0)</f>
        <v>49.1325</v>
      </c>
      <c r="G723" s="14">
        <f>45.4487 * CHOOSE(CONTROL!$C$15, $E$9, 100%, $G$9) + CHOOSE(CONTROL!$C$38, 0.0347, 0)</f>
        <v>45.483400000000003</v>
      </c>
      <c r="H723" s="14">
        <f>45.4487 * CHOOSE(CONTROL!$C$15, $E$9, 100%, $G$9) + CHOOSE(CONTROL!$C$38, 0.0347, 0)</f>
        <v>45.483400000000003</v>
      </c>
      <c r="I723" s="14">
        <f>45.4503 * CHOOSE(CONTROL!$C$15, $E$9, 100%, $G$9) + CHOOSE(CONTROL!$C$38, 0.0347, 0)</f>
        <v>45.484999999999999</v>
      </c>
      <c r="J723" s="44">
        <f>411.485</f>
        <v>411.48500000000001</v>
      </c>
    </row>
    <row r="724" spans="1:10" ht="15.75" x14ac:dyDescent="0.25">
      <c r="A724" s="32">
        <v>62975</v>
      </c>
      <c r="B724" s="14">
        <f>48.747 * CHOOSE(CONTROL!$C$15, $E$9, 100%, $G$9) + CHOOSE(CONTROL!$C$38, 0.0278, 0)</f>
        <v>48.774799999999999</v>
      </c>
      <c r="C724" s="14">
        <f>44.9342 * CHOOSE(CONTROL!$C$15, $E$9, 100%, $G$9) + CHOOSE(CONTROL!$C$38, 0.0369, 0)</f>
        <v>44.9711</v>
      </c>
      <c r="D724" s="14">
        <f>44.9264 * CHOOSE(CONTROL!$C$15, $E$9, 100%, $G$9) + CHOOSE(CONTROL!$C$38, 0.0369, 0)</f>
        <v>44.963300000000004</v>
      </c>
      <c r="E724" s="46">
        <f>48.5908 * CHOOSE(CONTROL!$C$15, $E$9, 100%, $G$9) + CHOOSE(CONTROL!$C$38, 0.0369, 0)</f>
        <v>48.627700000000004</v>
      </c>
      <c r="F724" s="45">
        <f>48.5908 * CHOOSE(CONTROL!$C$15, $E$9, 100%, $G$9) + CHOOSE(CONTROL!$C$38, 0.0278, 0)</f>
        <v>48.618600000000001</v>
      </c>
      <c r="G724" s="14">
        <f>44.9326 * CHOOSE(CONTROL!$C$15, $E$9, 100%, $G$9) + CHOOSE(CONTROL!$C$38, 0.0369, 0)</f>
        <v>44.969500000000004</v>
      </c>
      <c r="H724" s="14">
        <f>44.9326 * CHOOSE(CONTROL!$C$15, $E$9, 100%, $G$9) + CHOOSE(CONTROL!$C$38, 0.0369, 0)</f>
        <v>44.969500000000004</v>
      </c>
      <c r="I724" s="14">
        <f>44.9342 * CHOOSE(CONTROL!$C$15, $E$9, 100%, $G$9) + CHOOSE(CONTROL!$C$38, 0.0369, 0)</f>
        <v>44.9711</v>
      </c>
      <c r="J724" s="44">
        <f>425.2936</f>
        <v>425.29360000000003</v>
      </c>
    </row>
    <row r="725" spans="1:10" ht="15.75" x14ac:dyDescent="0.25">
      <c r="A725" s="32">
        <v>63005</v>
      </c>
      <c r="B725" s="14">
        <f>48.3852 * CHOOSE(CONTROL!$C$15, $E$9, 100%, $G$9) + CHOOSE(CONTROL!$C$38, 0.0278, 0)</f>
        <v>48.412999999999997</v>
      </c>
      <c r="C725" s="14">
        <f>44.5723 * CHOOSE(CONTROL!$C$15, $E$9, 100%, $G$9) + CHOOSE(CONTROL!$C$38, 0.0369, 0)</f>
        <v>44.609200000000001</v>
      </c>
      <c r="D725" s="14">
        <f>44.5645 * CHOOSE(CONTROL!$C$15, $E$9, 100%, $G$9) + CHOOSE(CONTROL!$C$38, 0.0369, 0)</f>
        <v>44.601400000000005</v>
      </c>
      <c r="E725" s="46">
        <f>48.2289 * CHOOSE(CONTROL!$C$15, $E$9, 100%, $G$9) + CHOOSE(CONTROL!$C$38, 0.0369, 0)</f>
        <v>48.265800000000006</v>
      </c>
      <c r="F725" s="45">
        <f>48.2289 * CHOOSE(CONTROL!$C$15, $E$9, 100%, $G$9) + CHOOSE(CONTROL!$C$38, 0.0278, 0)</f>
        <v>48.256700000000002</v>
      </c>
      <c r="G725" s="14">
        <f>44.5708 * CHOOSE(CONTROL!$C$15, $E$9, 100%, $G$9) + CHOOSE(CONTROL!$C$38, 0.0369, 0)</f>
        <v>44.607700000000001</v>
      </c>
      <c r="H725" s="14">
        <f>44.5708 * CHOOSE(CONTROL!$C$15, $E$9, 100%, $G$9) + CHOOSE(CONTROL!$C$38, 0.0369, 0)</f>
        <v>44.607700000000001</v>
      </c>
      <c r="I725" s="14">
        <f>44.5723 * CHOOSE(CONTROL!$C$15, $E$9, 100%, $G$9) + CHOOSE(CONTROL!$C$38, 0.0369, 0)</f>
        <v>44.609200000000001</v>
      </c>
      <c r="J725" s="44">
        <f>431.4216</f>
        <v>431.42160000000001</v>
      </c>
    </row>
    <row r="726" spans="1:10" ht="15.75" x14ac:dyDescent="0.25">
      <c r="A726" s="32">
        <v>63036</v>
      </c>
      <c r="B726" s="14">
        <f>48.1787 * CHOOSE(CONTROL!$C$15, $E$9, 100%, $G$9) + CHOOSE(CONTROL!$C$38, 0.0278, 0)</f>
        <v>48.206499999999998</v>
      </c>
      <c r="C726" s="14">
        <f>44.3659 * CHOOSE(CONTROL!$C$15, $E$9, 100%, $G$9) + CHOOSE(CONTROL!$C$38, 0.0369, 0)</f>
        <v>44.402800000000006</v>
      </c>
      <c r="D726" s="14">
        <f>44.358 * CHOOSE(CONTROL!$C$15, $E$9, 100%, $G$9) + CHOOSE(CONTROL!$C$38, 0.0369, 0)</f>
        <v>44.3949</v>
      </c>
      <c r="E726" s="46">
        <f>48.0224 * CHOOSE(CONTROL!$C$15, $E$9, 100%, $G$9) + CHOOSE(CONTROL!$C$38, 0.0369, 0)</f>
        <v>48.0593</v>
      </c>
      <c r="F726" s="45">
        <f>48.0224 * CHOOSE(CONTROL!$C$15, $E$9, 100%, $G$9) + CHOOSE(CONTROL!$C$38, 0.0278, 0)</f>
        <v>48.050199999999997</v>
      </c>
      <c r="G726" s="14">
        <f>44.3643 * CHOOSE(CONTROL!$C$15, $E$9, 100%, $G$9) + CHOOSE(CONTROL!$C$38, 0.0369, 0)</f>
        <v>44.401200000000003</v>
      </c>
      <c r="H726" s="14">
        <f>44.3643 * CHOOSE(CONTROL!$C$15, $E$9, 100%, $G$9) + CHOOSE(CONTROL!$C$38, 0.0369, 0)</f>
        <v>44.401200000000003</v>
      </c>
      <c r="I726" s="14">
        <f>44.3659 * CHOOSE(CONTROL!$C$15, $E$9, 100%, $G$9) + CHOOSE(CONTROL!$C$38, 0.0369, 0)</f>
        <v>44.402800000000006</v>
      </c>
      <c r="J726" s="44">
        <f>429.404</f>
        <v>429.404</v>
      </c>
    </row>
    <row r="727" spans="1:10" ht="15.75" x14ac:dyDescent="0.25">
      <c r="A727" s="32">
        <v>63067</v>
      </c>
      <c r="B727" s="14">
        <f>48.2806 * CHOOSE(CONTROL!$C$15, $E$9, 100%, $G$9) + CHOOSE(CONTROL!$C$38, 0.0278, 0)</f>
        <v>48.308399999999999</v>
      </c>
      <c r="C727" s="14">
        <f>44.4678 * CHOOSE(CONTROL!$C$15, $E$9, 100%, $G$9) + CHOOSE(CONTROL!$C$38, 0.0369, 0)</f>
        <v>44.5047</v>
      </c>
      <c r="D727" s="14">
        <f>44.46 * CHOOSE(CONTROL!$C$15, $E$9, 100%, $G$9) + CHOOSE(CONTROL!$C$38, 0.0369, 0)</f>
        <v>44.496900000000004</v>
      </c>
      <c r="E727" s="46">
        <f>48.1243 * CHOOSE(CONTROL!$C$15, $E$9, 100%, $G$9) + CHOOSE(CONTROL!$C$38, 0.0369, 0)</f>
        <v>48.161200000000001</v>
      </c>
      <c r="F727" s="45">
        <f>48.1243 * CHOOSE(CONTROL!$C$15, $E$9, 100%, $G$9) + CHOOSE(CONTROL!$C$38, 0.0278, 0)</f>
        <v>48.152099999999997</v>
      </c>
      <c r="G727" s="14">
        <f>44.4662 * CHOOSE(CONTROL!$C$15, $E$9, 100%, $G$9) + CHOOSE(CONTROL!$C$38, 0.0369, 0)</f>
        <v>44.503100000000003</v>
      </c>
      <c r="H727" s="14">
        <f>44.4662 * CHOOSE(CONTROL!$C$15, $E$9, 100%, $G$9) + CHOOSE(CONTROL!$C$38, 0.0369, 0)</f>
        <v>44.503100000000003</v>
      </c>
      <c r="I727" s="14">
        <f>44.4678 * CHOOSE(CONTROL!$C$15, $E$9, 100%, $G$9) + CHOOSE(CONTROL!$C$38, 0.0369, 0)</f>
        <v>44.5047</v>
      </c>
      <c r="J727" s="44">
        <f>419.4076</f>
        <v>419.4076</v>
      </c>
    </row>
    <row r="728" spans="1:10" ht="15.75" x14ac:dyDescent="0.25">
      <c r="A728" s="32">
        <v>63097</v>
      </c>
      <c r="B728" s="14">
        <f>48.5574 * CHOOSE(CONTROL!$C$15, $E$9, 100%, $G$9) + CHOOSE(CONTROL!$C$38, 0.0278, 0)</f>
        <v>48.5852</v>
      </c>
      <c r="C728" s="14">
        <f>44.7446 * CHOOSE(CONTROL!$C$15, $E$9, 100%, $G$9) + CHOOSE(CONTROL!$C$38, 0.0369, 0)</f>
        <v>44.781500000000001</v>
      </c>
      <c r="D728" s="14">
        <f>44.7368 * CHOOSE(CONTROL!$C$15, $E$9, 100%, $G$9) + CHOOSE(CONTROL!$C$38, 0.0369, 0)</f>
        <v>44.773700000000005</v>
      </c>
      <c r="E728" s="46">
        <f>48.4011 * CHOOSE(CONTROL!$C$15, $E$9, 100%, $G$9) + CHOOSE(CONTROL!$C$38, 0.0369, 0)</f>
        <v>48.438000000000002</v>
      </c>
      <c r="F728" s="45">
        <f>48.4011 * CHOOSE(CONTROL!$C$15, $E$9, 100%, $G$9) + CHOOSE(CONTROL!$C$38, 0.0278, 0)</f>
        <v>48.428899999999999</v>
      </c>
      <c r="G728" s="14">
        <f>44.743 * CHOOSE(CONTROL!$C$15, $E$9, 100%, $G$9) + CHOOSE(CONTROL!$C$38, 0.0369, 0)</f>
        <v>44.779900000000005</v>
      </c>
      <c r="H728" s="14">
        <f>44.743 * CHOOSE(CONTROL!$C$15, $E$9, 100%, $G$9) + CHOOSE(CONTROL!$C$38, 0.0369, 0)</f>
        <v>44.779900000000005</v>
      </c>
      <c r="I728" s="14">
        <f>44.7446 * CHOOSE(CONTROL!$C$15, $E$9, 100%, $G$9) + CHOOSE(CONTROL!$C$38, 0.0369, 0)</f>
        <v>44.781500000000001</v>
      </c>
      <c r="J728" s="44">
        <f>405.4672</f>
        <v>405.46719999999999</v>
      </c>
    </row>
    <row r="729" spans="1:10" ht="15.75" x14ac:dyDescent="0.25">
      <c r="A729" s="32">
        <v>63128</v>
      </c>
      <c r="B729" s="14">
        <f>48.7892 * CHOOSE(CONTROL!$C$15, $E$9, 100%, $G$9) + CHOOSE(CONTROL!$C$38, 0.0256, 0)</f>
        <v>48.814799999999998</v>
      </c>
      <c r="C729" s="14">
        <f>44.9764 * CHOOSE(CONTROL!$C$15, $E$9, 100%, $G$9) + CHOOSE(CONTROL!$C$38, 0.0347, 0)</f>
        <v>45.011099999999999</v>
      </c>
      <c r="D729" s="14">
        <f>44.9686 * CHOOSE(CONTROL!$C$15, $E$9, 100%, $G$9) + CHOOSE(CONTROL!$C$38, 0.0347, 0)</f>
        <v>45.003300000000003</v>
      </c>
      <c r="E729" s="46">
        <f>48.633 * CHOOSE(CONTROL!$C$15, $E$9, 100%, $G$9) + CHOOSE(CONTROL!$C$38, 0.0347, 0)</f>
        <v>48.667700000000004</v>
      </c>
      <c r="F729" s="45">
        <f>48.633 * CHOOSE(CONTROL!$C$15, $E$9, 100%, $G$9) + CHOOSE(CONTROL!$C$38, 0.0256, 0)</f>
        <v>48.6586</v>
      </c>
      <c r="G729" s="14">
        <f>44.9748 * CHOOSE(CONTROL!$C$15, $E$9, 100%, $G$9) + CHOOSE(CONTROL!$C$38, 0.0347, 0)</f>
        <v>45.009500000000003</v>
      </c>
      <c r="H729" s="14">
        <f>44.9748 * CHOOSE(CONTROL!$C$15, $E$9, 100%, $G$9) + CHOOSE(CONTROL!$C$38, 0.0347, 0)</f>
        <v>45.009500000000003</v>
      </c>
      <c r="I729" s="14">
        <f>44.9764 * CHOOSE(CONTROL!$C$15, $E$9, 100%, $G$9) + CHOOSE(CONTROL!$C$38, 0.0347, 0)</f>
        <v>45.011099999999999</v>
      </c>
      <c r="J729" s="44">
        <f>391.4458</f>
        <v>391.44580000000002</v>
      </c>
    </row>
    <row r="730" spans="1:10" ht="15.75" x14ac:dyDescent="0.25">
      <c r="A730" s="32">
        <v>63158</v>
      </c>
      <c r="B730" s="14">
        <f>48.9827 * CHOOSE(CONTROL!$C$15, $E$9, 100%, $G$9) + CHOOSE(CONTROL!$C$38, 0.0256, 0)</f>
        <v>49.008299999999998</v>
      </c>
      <c r="C730" s="14">
        <f>45.1698 * CHOOSE(CONTROL!$C$15, $E$9, 100%, $G$9) + CHOOSE(CONTROL!$C$38, 0.0347, 0)</f>
        <v>45.204500000000003</v>
      </c>
      <c r="D730" s="14">
        <f>45.162 * CHOOSE(CONTROL!$C$15, $E$9, 100%, $G$9) + CHOOSE(CONTROL!$C$38, 0.0347, 0)</f>
        <v>45.1967</v>
      </c>
      <c r="E730" s="46">
        <f>48.8264 * CHOOSE(CONTROL!$C$15, $E$9, 100%, $G$9) + CHOOSE(CONTROL!$C$38, 0.0347, 0)</f>
        <v>48.8611</v>
      </c>
      <c r="F730" s="45">
        <f>48.8264 * CHOOSE(CONTROL!$C$15, $E$9, 100%, $G$9) + CHOOSE(CONTROL!$C$38, 0.0256, 0)</f>
        <v>48.851999999999997</v>
      </c>
      <c r="G730" s="14">
        <f>45.1683 * CHOOSE(CONTROL!$C$15, $E$9, 100%, $G$9) + CHOOSE(CONTROL!$C$38, 0.0347, 0)</f>
        <v>45.203000000000003</v>
      </c>
      <c r="H730" s="14">
        <f>45.1683 * CHOOSE(CONTROL!$C$15, $E$9, 100%, $G$9) + CHOOSE(CONTROL!$C$38, 0.0347, 0)</f>
        <v>45.203000000000003</v>
      </c>
      <c r="I730" s="14">
        <f>45.1698 * CHOOSE(CONTROL!$C$15, $E$9, 100%, $G$9) + CHOOSE(CONTROL!$C$38, 0.0347, 0)</f>
        <v>45.204500000000003</v>
      </c>
      <c r="J730" s="44">
        <f>388.6566</f>
        <v>388.65660000000003</v>
      </c>
    </row>
    <row r="731" spans="1:10" ht="15.75" x14ac:dyDescent="0.25">
      <c r="A731" s="32">
        <v>63189</v>
      </c>
      <c r="B731" s="14">
        <f>49.5787 * CHOOSE(CONTROL!$C$15, $E$9, 100%, $G$9) + CHOOSE(CONTROL!$C$38, 0.0256, 0)</f>
        <v>49.604299999999995</v>
      </c>
      <c r="C731" s="14">
        <f>45.7659 * CHOOSE(CONTROL!$C$15, $E$9, 100%, $G$9) + CHOOSE(CONTROL!$C$38, 0.0347, 0)</f>
        <v>45.800600000000003</v>
      </c>
      <c r="D731" s="14">
        <f>45.7581 * CHOOSE(CONTROL!$C$15, $E$9, 100%, $G$9) + CHOOSE(CONTROL!$C$38, 0.0347, 0)</f>
        <v>45.7928</v>
      </c>
      <c r="E731" s="46">
        <f>49.4225 * CHOOSE(CONTROL!$C$15, $E$9, 100%, $G$9) + CHOOSE(CONTROL!$C$38, 0.0347, 0)</f>
        <v>49.4572</v>
      </c>
      <c r="F731" s="45">
        <f>49.4225 * CHOOSE(CONTROL!$C$15, $E$9, 100%, $G$9) + CHOOSE(CONTROL!$C$38, 0.0256, 0)</f>
        <v>49.448099999999997</v>
      </c>
      <c r="G731" s="14">
        <f>45.7643 * CHOOSE(CONTROL!$C$15, $E$9, 100%, $G$9) + CHOOSE(CONTROL!$C$38, 0.0347, 0)</f>
        <v>45.798999999999999</v>
      </c>
      <c r="H731" s="14">
        <f>45.7643 * CHOOSE(CONTROL!$C$15, $E$9, 100%, $G$9) + CHOOSE(CONTROL!$C$38, 0.0347, 0)</f>
        <v>45.798999999999999</v>
      </c>
      <c r="I731" s="14">
        <f>45.7659 * CHOOSE(CONTROL!$C$15, $E$9, 100%, $G$9) + CHOOSE(CONTROL!$C$38, 0.0347, 0)</f>
        <v>45.800600000000003</v>
      </c>
      <c r="J731" s="44">
        <f>377.1232</f>
        <v>377.1232</v>
      </c>
    </row>
    <row r="732" spans="1:10" ht="15.75" x14ac:dyDescent="0.25">
      <c r="A732" s="32">
        <v>63220</v>
      </c>
      <c r="B732" s="14">
        <f>50.843 * CHOOSE(CONTROL!$C$15, $E$9, 100%, $G$9) + CHOOSE(CONTROL!$C$38, 0.0256, 0)</f>
        <v>50.868600000000001</v>
      </c>
      <c r="C732" s="14">
        <f>46.9702 * CHOOSE(CONTROL!$C$15, $E$9, 100%, $G$9) + CHOOSE(CONTROL!$C$38, 0.0347, 0)</f>
        <v>47.004899999999999</v>
      </c>
      <c r="D732" s="14">
        <f>46.9624 * CHOOSE(CONTROL!$C$15, $E$9, 100%, $G$9) + CHOOSE(CONTROL!$C$38, 0.0347, 0)</f>
        <v>46.997100000000003</v>
      </c>
      <c r="E732" s="46">
        <f>50.6867 * CHOOSE(CONTROL!$C$15, $E$9, 100%, $G$9) + CHOOSE(CONTROL!$C$38, 0.0347, 0)</f>
        <v>50.721400000000003</v>
      </c>
      <c r="F732" s="45">
        <f>50.6867 * CHOOSE(CONTROL!$C$15, $E$9, 100%, $G$9) + CHOOSE(CONTROL!$C$38, 0.0256, 0)</f>
        <v>50.712299999999999</v>
      </c>
      <c r="G732" s="14">
        <f>46.9686 * CHOOSE(CONTROL!$C$15, $E$9, 100%, $G$9) + CHOOSE(CONTROL!$C$38, 0.0347, 0)</f>
        <v>47.003300000000003</v>
      </c>
      <c r="H732" s="14">
        <f>46.9686 * CHOOSE(CONTROL!$C$15, $E$9, 100%, $G$9) + CHOOSE(CONTROL!$C$38, 0.0347, 0)</f>
        <v>47.003300000000003</v>
      </c>
      <c r="I732" s="14">
        <f>46.9702 * CHOOSE(CONTROL!$C$15, $E$9, 100%, $G$9) + CHOOSE(CONTROL!$C$38, 0.0347, 0)</f>
        <v>47.004899999999999</v>
      </c>
      <c r="J732" s="44">
        <f>376.403</f>
        <v>376.40300000000002</v>
      </c>
    </row>
    <row r="733" spans="1:10" ht="15.75" x14ac:dyDescent="0.25">
      <c r="A733" s="32">
        <v>63248</v>
      </c>
      <c r="B733" s="14">
        <f>51.0637 * CHOOSE(CONTROL!$C$15, $E$9, 100%, $G$9) + CHOOSE(CONTROL!$C$38, 0.0256, 0)</f>
        <v>51.089299999999994</v>
      </c>
      <c r="C733" s="14">
        <f>47.191 * CHOOSE(CONTROL!$C$15, $E$9, 100%, $G$9) + CHOOSE(CONTROL!$C$38, 0.0347, 0)</f>
        <v>47.225700000000003</v>
      </c>
      <c r="D733" s="14">
        <f>47.1831 * CHOOSE(CONTROL!$C$15, $E$9, 100%, $G$9) + CHOOSE(CONTROL!$C$38, 0.0347, 0)</f>
        <v>47.217800000000004</v>
      </c>
      <c r="E733" s="46">
        <f>50.9075 * CHOOSE(CONTROL!$C$15, $E$9, 100%, $G$9) + CHOOSE(CONTROL!$C$38, 0.0347, 0)</f>
        <v>50.9422</v>
      </c>
      <c r="F733" s="45">
        <f>50.9075 * CHOOSE(CONTROL!$C$15, $E$9, 100%, $G$9) + CHOOSE(CONTROL!$C$38, 0.0256, 0)</f>
        <v>50.933099999999996</v>
      </c>
      <c r="G733" s="14">
        <f>47.1894 * CHOOSE(CONTROL!$C$15, $E$9, 100%, $G$9) + CHOOSE(CONTROL!$C$38, 0.0347, 0)</f>
        <v>47.2241</v>
      </c>
      <c r="H733" s="14">
        <f>47.1894 * CHOOSE(CONTROL!$C$15, $E$9, 100%, $G$9) + CHOOSE(CONTROL!$C$38, 0.0347, 0)</f>
        <v>47.2241</v>
      </c>
      <c r="I733" s="14">
        <f>47.191 * CHOOSE(CONTROL!$C$15, $E$9, 100%, $G$9) + CHOOSE(CONTROL!$C$38, 0.0347, 0)</f>
        <v>47.225700000000003</v>
      </c>
      <c r="J733" s="44">
        <f>375.3567</f>
        <v>375.35669999999999</v>
      </c>
    </row>
    <row r="734" spans="1:10" ht="15.75" x14ac:dyDescent="0.25">
      <c r="A734" s="32">
        <v>63279</v>
      </c>
      <c r="B734" s="14">
        <f>50.5527 * CHOOSE(CONTROL!$C$15, $E$9, 100%, $G$9) + CHOOSE(CONTROL!$C$38, 0.0256, 0)</f>
        <v>50.578299999999999</v>
      </c>
      <c r="C734" s="14">
        <f>46.6799 * CHOOSE(CONTROL!$C$15, $E$9, 100%, $G$9) + CHOOSE(CONTROL!$C$38, 0.0347, 0)</f>
        <v>46.714600000000004</v>
      </c>
      <c r="D734" s="14">
        <f>46.6721 * CHOOSE(CONTROL!$C$15, $E$9, 100%, $G$9) + CHOOSE(CONTROL!$C$38, 0.0347, 0)</f>
        <v>46.706800000000001</v>
      </c>
      <c r="E734" s="46">
        <f>50.3964 * CHOOSE(CONTROL!$C$15, $E$9, 100%, $G$9) + CHOOSE(CONTROL!$C$38, 0.0347, 0)</f>
        <v>50.431100000000001</v>
      </c>
      <c r="F734" s="45">
        <f>50.3964 * CHOOSE(CONTROL!$C$15, $E$9, 100%, $G$9) + CHOOSE(CONTROL!$C$38, 0.0256, 0)</f>
        <v>50.421999999999997</v>
      </c>
      <c r="G734" s="14">
        <f>46.6784 * CHOOSE(CONTROL!$C$15, $E$9, 100%, $G$9) + CHOOSE(CONTROL!$C$38, 0.0347, 0)</f>
        <v>46.713100000000004</v>
      </c>
      <c r="H734" s="14">
        <f>46.6784 * CHOOSE(CONTROL!$C$15, $E$9, 100%, $G$9) + CHOOSE(CONTROL!$C$38, 0.0347, 0)</f>
        <v>46.713100000000004</v>
      </c>
      <c r="I734" s="14">
        <f>46.6799 * CHOOSE(CONTROL!$C$15, $E$9, 100%, $G$9) + CHOOSE(CONTROL!$C$38, 0.0347, 0)</f>
        <v>46.714600000000004</v>
      </c>
      <c r="J734" s="44">
        <f>395.1402</f>
        <v>395.14019999999999</v>
      </c>
    </row>
    <row r="735" spans="1:10" ht="15.75" x14ac:dyDescent="0.25">
      <c r="A735" s="32">
        <v>63309</v>
      </c>
      <c r="B735" s="14">
        <f>50.0575 * CHOOSE(CONTROL!$C$15, $E$9, 100%, $G$9) + CHOOSE(CONTROL!$C$38, 0.0256, 0)</f>
        <v>50.083099999999995</v>
      </c>
      <c r="C735" s="14">
        <f>46.1847 * CHOOSE(CONTROL!$C$15, $E$9, 100%, $G$9) + CHOOSE(CONTROL!$C$38, 0.0347, 0)</f>
        <v>46.2194</v>
      </c>
      <c r="D735" s="14">
        <f>46.1769 * CHOOSE(CONTROL!$C$15, $E$9, 100%, $G$9) + CHOOSE(CONTROL!$C$38, 0.0347, 0)</f>
        <v>46.211600000000004</v>
      </c>
      <c r="E735" s="46">
        <f>49.9013 * CHOOSE(CONTROL!$C$15, $E$9, 100%, $G$9) + CHOOSE(CONTROL!$C$38, 0.0347, 0)</f>
        <v>49.936</v>
      </c>
      <c r="F735" s="45">
        <f>49.9013 * CHOOSE(CONTROL!$C$15, $E$9, 100%, $G$9) + CHOOSE(CONTROL!$C$38, 0.0256, 0)</f>
        <v>49.926899999999996</v>
      </c>
      <c r="G735" s="14">
        <f>46.1832 * CHOOSE(CONTROL!$C$15, $E$9, 100%, $G$9) + CHOOSE(CONTROL!$C$38, 0.0347, 0)</f>
        <v>46.2179</v>
      </c>
      <c r="H735" s="14">
        <f>46.1832 * CHOOSE(CONTROL!$C$15, $E$9, 100%, $G$9) + CHOOSE(CONTROL!$C$38, 0.0347, 0)</f>
        <v>46.2179</v>
      </c>
      <c r="I735" s="14">
        <f>46.1847 * CHOOSE(CONTROL!$C$15, $E$9, 100%, $G$9) + CHOOSE(CONTROL!$C$38, 0.0347, 0)</f>
        <v>46.2194</v>
      </c>
      <c r="J735" s="44">
        <f>420.7946</f>
        <v>420.7946</v>
      </c>
    </row>
    <row r="736" spans="1:10" ht="15.75" x14ac:dyDescent="0.25">
      <c r="A736" s="32">
        <v>63340</v>
      </c>
      <c r="B736" s="14">
        <f>49.5414 * CHOOSE(CONTROL!$C$15, $E$9, 100%, $G$9) + CHOOSE(CONTROL!$C$38, 0.0278, 0)</f>
        <v>49.569200000000002</v>
      </c>
      <c r="C736" s="14">
        <f>45.6686 * CHOOSE(CONTROL!$C$15, $E$9, 100%, $G$9) + CHOOSE(CONTROL!$C$38, 0.0369, 0)</f>
        <v>45.705500000000001</v>
      </c>
      <c r="D736" s="14">
        <f>45.6608 * CHOOSE(CONTROL!$C$15, $E$9, 100%, $G$9) + CHOOSE(CONTROL!$C$38, 0.0369, 0)</f>
        <v>45.697700000000005</v>
      </c>
      <c r="E736" s="46">
        <f>49.3851 * CHOOSE(CONTROL!$C$15, $E$9, 100%, $G$9) + CHOOSE(CONTROL!$C$38, 0.0369, 0)</f>
        <v>49.422000000000004</v>
      </c>
      <c r="F736" s="45">
        <f>49.3851 * CHOOSE(CONTROL!$C$15, $E$9, 100%, $G$9) + CHOOSE(CONTROL!$C$38, 0.0278, 0)</f>
        <v>49.4129</v>
      </c>
      <c r="G736" s="14">
        <f>45.6671 * CHOOSE(CONTROL!$C$15, $E$9, 100%, $G$9) + CHOOSE(CONTROL!$C$38, 0.0369, 0)</f>
        <v>45.704000000000001</v>
      </c>
      <c r="H736" s="14">
        <f>45.6671 * CHOOSE(CONTROL!$C$15, $E$9, 100%, $G$9) + CHOOSE(CONTROL!$C$38, 0.0369, 0)</f>
        <v>45.704000000000001</v>
      </c>
      <c r="I736" s="14">
        <f>45.6686 * CHOOSE(CONTROL!$C$15, $E$9, 100%, $G$9) + CHOOSE(CONTROL!$C$38, 0.0369, 0)</f>
        <v>45.705500000000001</v>
      </c>
      <c r="J736" s="44">
        <f>434.9156</f>
        <v>434.91559999999998</v>
      </c>
    </row>
    <row r="737" spans="1:10" ht="15.75" x14ac:dyDescent="0.25">
      <c r="A737" s="32">
        <v>63370</v>
      </c>
      <c r="B737" s="14">
        <f>49.1796 * CHOOSE(CONTROL!$C$15, $E$9, 100%, $G$9) + CHOOSE(CONTROL!$C$38, 0.0278, 0)</f>
        <v>49.2074</v>
      </c>
      <c r="C737" s="14">
        <f>45.3068 * CHOOSE(CONTROL!$C$15, $E$9, 100%, $G$9) + CHOOSE(CONTROL!$C$38, 0.0369, 0)</f>
        <v>45.343700000000005</v>
      </c>
      <c r="D737" s="14">
        <f>45.299 * CHOOSE(CONTROL!$C$15, $E$9, 100%, $G$9) + CHOOSE(CONTROL!$C$38, 0.0369, 0)</f>
        <v>45.335900000000002</v>
      </c>
      <c r="E737" s="46">
        <f>49.0233 * CHOOSE(CONTROL!$C$15, $E$9, 100%, $G$9) + CHOOSE(CONTROL!$C$38, 0.0369, 0)</f>
        <v>49.060200000000002</v>
      </c>
      <c r="F737" s="45">
        <f>49.0233 * CHOOSE(CONTROL!$C$15, $E$9, 100%, $G$9) + CHOOSE(CONTROL!$C$38, 0.0278, 0)</f>
        <v>49.051099999999998</v>
      </c>
      <c r="G737" s="14">
        <f>45.3052 * CHOOSE(CONTROL!$C$15, $E$9, 100%, $G$9) + CHOOSE(CONTROL!$C$38, 0.0369, 0)</f>
        <v>45.342100000000002</v>
      </c>
      <c r="H737" s="14">
        <f>45.3052 * CHOOSE(CONTROL!$C$15, $E$9, 100%, $G$9) + CHOOSE(CONTROL!$C$38, 0.0369, 0)</f>
        <v>45.342100000000002</v>
      </c>
      <c r="I737" s="14">
        <f>45.3068 * CHOOSE(CONTROL!$C$15, $E$9, 100%, $G$9) + CHOOSE(CONTROL!$C$38, 0.0369, 0)</f>
        <v>45.343700000000005</v>
      </c>
      <c r="J737" s="44">
        <f>441.1823</f>
        <v>441.1823</v>
      </c>
    </row>
    <row r="738" spans="1:10" ht="15.75" x14ac:dyDescent="0.25">
      <c r="A738" s="32">
        <v>63401</v>
      </c>
      <c r="B738" s="14">
        <f>48.9731 * CHOOSE(CONTROL!$C$15, $E$9, 100%, $G$9) + CHOOSE(CONTROL!$C$38, 0.0278, 0)</f>
        <v>49.000900000000001</v>
      </c>
      <c r="C738" s="14">
        <f>45.1003 * CHOOSE(CONTROL!$C$15, $E$9, 100%, $G$9) + CHOOSE(CONTROL!$C$38, 0.0369, 0)</f>
        <v>45.1372</v>
      </c>
      <c r="D738" s="14">
        <f>45.0925 * CHOOSE(CONTROL!$C$15, $E$9, 100%, $G$9) + CHOOSE(CONTROL!$C$38, 0.0369, 0)</f>
        <v>45.129400000000004</v>
      </c>
      <c r="E738" s="46">
        <f>48.8168 * CHOOSE(CONTROL!$C$15, $E$9, 100%, $G$9) + CHOOSE(CONTROL!$C$38, 0.0369, 0)</f>
        <v>48.853700000000003</v>
      </c>
      <c r="F738" s="45">
        <f>48.8168 * CHOOSE(CONTROL!$C$15, $E$9, 100%, $G$9) + CHOOSE(CONTROL!$C$38, 0.0278, 0)</f>
        <v>48.8446</v>
      </c>
      <c r="G738" s="14">
        <f>45.0987 * CHOOSE(CONTROL!$C$15, $E$9, 100%, $G$9) + CHOOSE(CONTROL!$C$38, 0.0369, 0)</f>
        <v>45.135600000000004</v>
      </c>
      <c r="H738" s="14">
        <f>45.0987 * CHOOSE(CONTROL!$C$15, $E$9, 100%, $G$9) + CHOOSE(CONTROL!$C$38, 0.0369, 0)</f>
        <v>45.135600000000004</v>
      </c>
      <c r="I738" s="14">
        <f>45.1003 * CHOOSE(CONTROL!$C$15, $E$9, 100%, $G$9) + CHOOSE(CONTROL!$C$38, 0.0369, 0)</f>
        <v>45.1372</v>
      </c>
      <c r="J738" s="44">
        <f>439.119</f>
        <v>439.11900000000003</v>
      </c>
    </row>
    <row r="739" spans="1:10" ht="15.75" x14ac:dyDescent="0.25">
      <c r="A739" s="32">
        <v>63432</v>
      </c>
      <c r="B739" s="14">
        <f>49.075 * CHOOSE(CONTROL!$C$15, $E$9, 100%, $G$9) + CHOOSE(CONTROL!$C$38, 0.0278, 0)</f>
        <v>49.102800000000002</v>
      </c>
      <c r="C739" s="14">
        <f>45.2022 * CHOOSE(CONTROL!$C$15, $E$9, 100%, $G$9) + CHOOSE(CONTROL!$C$38, 0.0369, 0)</f>
        <v>45.239100000000001</v>
      </c>
      <c r="D739" s="14">
        <f>45.1944 * CHOOSE(CONTROL!$C$15, $E$9, 100%, $G$9) + CHOOSE(CONTROL!$C$38, 0.0369, 0)</f>
        <v>45.231300000000005</v>
      </c>
      <c r="E739" s="46">
        <f>48.9187 * CHOOSE(CONTROL!$C$15, $E$9, 100%, $G$9) + CHOOSE(CONTROL!$C$38, 0.0369, 0)</f>
        <v>48.955600000000004</v>
      </c>
      <c r="F739" s="45">
        <f>48.9187 * CHOOSE(CONTROL!$C$15, $E$9, 100%, $G$9) + CHOOSE(CONTROL!$C$38, 0.0278, 0)</f>
        <v>48.9465</v>
      </c>
      <c r="G739" s="14">
        <f>45.2006 * CHOOSE(CONTROL!$C$15, $E$9, 100%, $G$9) + CHOOSE(CONTROL!$C$38, 0.0369, 0)</f>
        <v>45.237500000000004</v>
      </c>
      <c r="H739" s="14">
        <f>45.2006 * CHOOSE(CONTROL!$C$15, $E$9, 100%, $G$9) + CHOOSE(CONTROL!$C$38, 0.0369, 0)</f>
        <v>45.237500000000004</v>
      </c>
      <c r="I739" s="14">
        <f>45.2022 * CHOOSE(CONTROL!$C$15, $E$9, 100%, $G$9) + CHOOSE(CONTROL!$C$38, 0.0369, 0)</f>
        <v>45.239100000000001</v>
      </c>
      <c r="J739" s="44">
        <f>428.8965</f>
        <v>428.8965</v>
      </c>
    </row>
    <row r="740" spans="1:10" ht="15.75" x14ac:dyDescent="0.25">
      <c r="A740" s="32">
        <v>63462</v>
      </c>
      <c r="B740" s="14">
        <f>49.3518 * CHOOSE(CONTROL!$C$15, $E$9, 100%, $G$9) + CHOOSE(CONTROL!$C$38, 0.0278, 0)</f>
        <v>49.379599999999996</v>
      </c>
      <c r="C740" s="14">
        <f>45.479 * CHOOSE(CONTROL!$C$15, $E$9, 100%, $G$9) + CHOOSE(CONTROL!$C$38, 0.0369, 0)</f>
        <v>45.515900000000002</v>
      </c>
      <c r="D740" s="14">
        <f>45.4712 * CHOOSE(CONTROL!$C$15, $E$9, 100%, $G$9) + CHOOSE(CONTROL!$C$38, 0.0369, 0)</f>
        <v>45.508100000000006</v>
      </c>
      <c r="E740" s="46">
        <f>49.1955 * CHOOSE(CONTROL!$C$15, $E$9, 100%, $G$9) + CHOOSE(CONTROL!$C$38, 0.0369, 0)</f>
        <v>49.232400000000005</v>
      </c>
      <c r="F740" s="45">
        <f>49.1955 * CHOOSE(CONTROL!$C$15, $E$9, 100%, $G$9) + CHOOSE(CONTROL!$C$38, 0.0278, 0)</f>
        <v>49.223300000000002</v>
      </c>
      <c r="G740" s="14">
        <f>45.4774 * CHOOSE(CONTROL!$C$15, $E$9, 100%, $G$9) + CHOOSE(CONTROL!$C$38, 0.0369, 0)</f>
        <v>45.514300000000006</v>
      </c>
      <c r="H740" s="14">
        <f>45.4774 * CHOOSE(CONTROL!$C$15, $E$9, 100%, $G$9) + CHOOSE(CONTROL!$C$38, 0.0369, 0)</f>
        <v>45.514300000000006</v>
      </c>
      <c r="I740" s="14">
        <f>45.479 * CHOOSE(CONTROL!$C$15, $E$9, 100%, $G$9) + CHOOSE(CONTROL!$C$38, 0.0369, 0)</f>
        <v>45.515900000000002</v>
      </c>
      <c r="J740" s="44">
        <f>414.6407</f>
        <v>414.64069999999998</v>
      </c>
    </row>
    <row r="741" spans="1:10" ht="15.75" x14ac:dyDescent="0.25">
      <c r="A741" s="32">
        <v>63493</v>
      </c>
      <c r="B741" s="14">
        <f>49.5836 * CHOOSE(CONTROL!$C$15, $E$9, 100%, $G$9) + CHOOSE(CONTROL!$C$38, 0.0256, 0)</f>
        <v>49.609199999999994</v>
      </c>
      <c r="C741" s="14">
        <f>45.7108 * CHOOSE(CONTROL!$C$15, $E$9, 100%, $G$9) + CHOOSE(CONTROL!$C$38, 0.0347, 0)</f>
        <v>45.7455</v>
      </c>
      <c r="D741" s="14">
        <f>45.703 * CHOOSE(CONTROL!$C$15, $E$9, 100%, $G$9) + CHOOSE(CONTROL!$C$38, 0.0347, 0)</f>
        <v>45.737700000000004</v>
      </c>
      <c r="E741" s="46">
        <f>49.4274 * CHOOSE(CONTROL!$C$15, $E$9, 100%, $G$9) + CHOOSE(CONTROL!$C$38, 0.0347, 0)</f>
        <v>49.4621</v>
      </c>
      <c r="F741" s="45">
        <f>49.4274 * CHOOSE(CONTROL!$C$15, $E$9, 100%, $G$9) + CHOOSE(CONTROL!$C$38, 0.0256, 0)</f>
        <v>49.452999999999996</v>
      </c>
      <c r="G741" s="14">
        <f>45.7093 * CHOOSE(CONTROL!$C$15, $E$9, 100%, $G$9) + CHOOSE(CONTROL!$C$38, 0.0347, 0)</f>
        <v>45.744</v>
      </c>
      <c r="H741" s="14">
        <f>45.7093 * CHOOSE(CONTROL!$C$15, $E$9, 100%, $G$9) + CHOOSE(CONTROL!$C$38, 0.0347, 0)</f>
        <v>45.744</v>
      </c>
      <c r="I741" s="14">
        <f>45.7108 * CHOOSE(CONTROL!$C$15, $E$9, 100%, $G$9) + CHOOSE(CONTROL!$C$38, 0.0347, 0)</f>
        <v>45.7455</v>
      </c>
      <c r="J741" s="44">
        <f>400.302</f>
        <v>400.30200000000002</v>
      </c>
    </row>
    <row r="742" spans="1:10" ht="15.75" x14ac:dyDescent="0.25">
      <c r="A742" s="32">
        <v>63523</v>
      </c>
      <c r="B742" s="14">
        <f>49.777 * CHOOSE(CONTROL!$C$15, $E$9, 100%, $G$9) + CHOOSE(CONTROL!$C$38, 0.0256, 0)</f>
        <v>49.802599999999998</v>
      </c>
      <c r="C742" s="14">
        <f>45.9043 * CHOOSE(CONTROL!$C$15, $E$9, 100%, $G$9) + CHOOSE(CONTROL!$C$38, 0.0347, 0)</f>
        <v>45.939</v>
      </c>
      <c r="D742" s="14">
        <f>45.8965 * CHOOSE(CONTROL!$C$15, $E$9, 100%, $G$9) + CHOOSE(CONTROL!$C$38, 0.0347, 0)</f>
        <v>45.931200000000004</v>
      </c>
      <c r="E742" s="46">
        <f>49.6208 * CHOOSE(CONTROL!$C$15, $E$9, 100%, $G$9) + CHOOSE(CONTROL!$C$38, 0.0347, 0)</f>
        <v>49.655500000000004</v>
      </c>
      <c r="F742" s="45">
        <f>49.6208 * CHOOSE(CONTROL!$C$15, $E$9, 100%, $G$9) + CHOOSE(CONTROL!$C$38, 0.0256, 0)</f>
        <v>49.6464</v>
      </c>
      <c r="G742" s="14">
        <f>45.9027 * CHOOSE(CONTROL!$C$15, $E$9, 100%, $G$9) + CHOOSE(CONTROL!$C$38, 0.0347, 0)</f>
        <v>45.937400000000004</v>
      </c>
      <c r="H742" s="14">
        <f>45.9027 * CHOOSE(CONTROL!$C$15, $E$9, 100%, $G$9) + CHOOSE(CONTROL!$C$38, 0.0347, 0)</f>
        <v>45.937400000000004</v>
      </c>
      <c r="I742" s="14">
        <f>45.9043 * CHOOSE(CONTROL!$C$15, $E$9, 100%, $G$9) + CHOOSE(CONTROL!$C$38, 0.0347, 0)</f>
        <v>45.939</v>
      </c>
      <c r="J742" s="44">
        <f>397.4498</f>
        <v>397.44979999999998</v>
      </c>
    </row>
    <row r="743" spans="1:10" ht="15.75" x14ac:dyDescent="0.25">
      <c r="A743" s="32">
        <v>63554</v>
      </c>
      <c r="B743" s="14">
        <f>50.3731 * CHOOSE(CONTROL!$C$15, $E$9, 100%, $G$9) + CHOOSE(CONTROL!$C$38, 0.0256, 0)</f>
        <v>50.398699999999998</v>
      </c>
      <c r="C743" s="14">
        <f>46.5003 * CHOOSE(CONTROL!$C$15, $E$9, 100%, $G$9) + CHOOSE(CONTROL!$C$38, 0.0347, 0)</f>
        <v>46.535000000000004</v>
      </c>
      <c r="D743" s="14">
        <f>46.4925 * CHOOSE(CONTROL!$C$15, $E$9, 100%, $G$9) + CHOOSE(CONTROL!$C$38, 0.0347, 0)</f>
        <v>46.527200000000001</v>
      </c>
      <c r="E743" s="46">
        <f>50.2169 * CHOOSE(CONTROL!$C$15, $E$9, 100%, $G$9) + CHOOSE(CONTROL!$C$38, 0.0347, 0)</f>
        <v>50.251600000000003</v>
      </c>
      <c r="F743" s="45">
        <f>50.2169 * CHOOSE(CONTROL!$C$15, $E$9, 100%, $G$9) + CHOOSE(CONTROL!$C$38, 0.0256, 0)</f>
        <v>50.2425</v>
      </c>
      <c r="G743" s="14">
        <f>46.4988 * CHOOSE(CONTROL!$C$15, $E$9, 100%, $G$9) + CHOOSE(CONTROL!$C$38, 0.0347, 0)</f>
        <v>46.533500000000004</v>
      </c>
      <c r="H743" s="14">
        <f>46.4988 * CHOOSE(CONTROL!$C$15, $E$9, 100%, $G$9) + CHOOSE(CONTROL!$C$38, 0.0347, 0)</f>
        <v>46.533500000000004</v>
      </c>
      <c r="I743" s="14">
        <f>46.5003 * CHOOSE(CONTROL!$C$15, $E$9, 100%, $G$9) + CHOOSE(CONTROL!$C$38, 0.0347, 0)</f>
        <v>46.535000000000004</v>
      </c>
      <c r="J743" s="44">
        <f>385.6554</f>
        <v>385.65539999999999</v>
      </c>
    </row>
    <row r="744" spans="1:10" ht="15.75" x14ac:dyDescent="0.25">
      <c r="A744" s="32">
        <v>63585</v>
      </c>
      <c r="B744" s="14">
        <f>51.6504 * CHOOSE(CONTROL!$C$15, $E$9, 100%, $G$9) + CHOOSE(CONTROL!$C$38, 0.0256, 0)</f>
        <v>51.675999999999995</v>
      </c>
      <c r="C744" s="14">
        <f>47.7167 * CHOOSE(CONTROL!$C$15, $E$9, 100%, $G$9) + CHOOSE(CONTROL!$C$38, 0.0347, 0)</f>
        <v>47.751400000000004</v>
      </c>
      <c r="D744" s="14">
        <f>47.7089 * CHOOSE(CONTROL!$C$15, $E$9, 100%, $G$9) + CHOOSE(CONTROL!$C$38, 0.0347, 0)</f>
        <v>47.743600000000001</v>
      </c>
      <c r="E744" s="46">
        <f>51.4941 * CHOOSE(CONTROL!$C$15, $E$9, 100%, $G$9) + CHOOSE(CONTROL!$C$38, 0.0347, 0)</f>
        <v>51.528800000000004</v>
      </c>
      <c r="F744" s="45">
        <f>51.4941 * CHOOSE(CONTROL!$C$15, $E$9, 100%, $G$9) + CHOOSE(CONTROL!$C$38, 0.0256, 0)</f>
        <v>51.5197</v>
      </c>
      <c r="G744" s="14">
        <f>47.7151 * CHOOSE(CONTROL!$C$15, $E$9, 100%, $G$9) + CHOOSE(CONTROL!$C$38, 0.0347, 0)</f>
        <v>47.7498</v>
      </c>
      <c r="H744" s="14">
        <f>47.7151 * CHOOSE(CONTROL!$C$15, $E$9, 100%, $G$9) + CHOOSE(CONTROL!$C$38, 0.0347, 0)</f>
        <v>47.7498</v>
      </c>
      <c r="I744" s="14">
        <f>47.7167 * CHOOSE(CONTROL!$C$15, $E$9, 100%, $G$9) + CHOOSE(CONTROL!$C$38, 0.0347, 0)</f>
        <v>47.751400000000004</v>
      </c>
      <c r="J744" s="44">
        <f>384.9189</f>
        <v>384.91890000000001</v>
      </c>
    </row>
    <row r="745" spans="1:10" ht="15.75" x14ac:dyDescent="0.25">
      <c r="A745" s="32">
        <v>63613</v>
      </c>
      <c r="B745" s="14">
        <f>51.8711 * CHOOSE(CONTROL!$C$15, $E$9, 100%, $G$9) + CHOOSE(CONTROL!$C$38, 0.0256, 0)</f>
        <v>51.896699999999996</v>
      </c>
      <c r="C745" s="14">
        <f>47.9374 * CHOOSE(CONTROL!$C$15, $E$9, 100%, $G$9) + CHOOSE(CONTROL!$C$38, 0.0347, 0)</f>
        <v>47.972099999999998</v>
      </c>
      <c r="D745" s="14">
        <f>47.9296 * CHOOSE(CONTROL!$C$15, $E$9, 100%, $G$9) + CHOOSE(CONTROL!$C$38, 0.0347, 0)</f>
        <v>47.964300000000001</v>
      </c>
      <c r="E745" s="46">
        <f>51.7149 * CHOOSE(CONTROL!$C$15, $E$9, 100%, $G$9) + CHOOSE(CONTROL!$C$38, 0.0347, 0)</f>
        <v>51.749600000000001</v>
      </c>
      <c r="F745" s="45">
        <f>51.7149 * CHOOSE(CONTROL!$C$15, $E$9, 100%, $G$9) + CHOOSE(CONTROL!$C$38, 0.0256, 0)</f>
        <v>51.740499999999997</v>
      </c>
      <c r="G745" s="14">
        <f>47.9359 * CHOOSE(CONTROL!$C$15, $E$9, 100%, $G$9) + CHOOSE(CONTROL!$C$38, 0.0347, 0)</f>
        <v>47.970599999999997</v>
      </c>
      <c r="H745" s="14">
        <f>47.9359 * CHOOSE(CONTROL!$C$15, $E$9, 100%, $G$9) + CHOOSE(CONTROL!$C$38, 0.0347, 0)</f>
        <v>47.970599999999997</v>
      </c>
      <c r="I745" s="14">
        <f>47.9374 * CHOOSE(CONTROL!$C$15, $E$9, 100%, $G$9) + CHOOSE(CONTROL!$C$38, 0.0347, 0)</f>
        <v>47.972099999999998</v>
      </c>
      <c r="J745" s="44">
        <f>383.849</f>
        <v>383.84899999999999</v>
      </c>
    </row>
    <row r="746" spans="1:10" ht="15.75" x14ac:dyDescent="0.25">
      <c r="A746" s="32">
        <v>63644</v>
      </c>
      <c r="B746" s="14">
        <f>51.3601 * CHOOSE(CONTROL!$C$15, $E$9, 100%, $G$9) + CHOOSE(CONTROL!$C$38, 0.0256, 0)</f>
        <v>51.3857</v>
      </c>
      <c r="C746" s="14">
        <f>47.4264 * CHOOSE(CONTROL!$C$15, $E$9, 100%, $G$9) + CHOOSE(CONTROL!$C$38, 0.0347, 0)</f>
        <v>47.461100000000002</v>
      </c>
      <c r="D746" s="14">
        <f>47.4186 * CHOOSE(CONTROL!$C$15, $E$9, 100%, $G$9) + CHOOSE(CONTROL!$C$38, 0.0347, 0)</f>
        <v>47.453299999999999</v>
      </c>
      <c r="E746" s="46">
        <f>51.2039 * CHOOSE(CONTROL!$C$15, $E$9, 100%, $G$9) + CHOOSE(CONTROL!$C$38, 0.0347, 0)</f>
        <v>51.238599999999998</v>
      </c>
      <c r="F746" s="45">
        <f>51.2039 * CHOOSE(CONTROL!$C$15, $E$9, 100%, $G$9) + CHOOSE(CONTROL!$C$38, 0.0256, 0)</f>
        <v>51.229499999999994</v>
      </c>
      <c r="G746" s="14">
        <f>47.4248 * CHOOSE(CONTROL!$C$15, $E$9, 100%, $G$9) + CHOOSE(CONTROL!$C$38, 0.0347, 0)</f>
        <v>47.459499999999998</v>
      </c>
      <c r="H746" s="14">
        <f>47.4248 * CHOOSE(CONTROL!$C$15, $E$9, 100%, $G$9) + CHOOSE(CONTROL!$C$38, 0.0347, 0)</f>
        <v>47.459499999999998</v>
      </c>
      <c r="I746" s="14">
        <f>47.4264 * CHOOSE(CONTROL!$C$15, $E$9, 100%, $G$9) + CHOOSE(CONTROL!$C$38, 0.0347, 0)</f>
        <v>47.461100000000002</v>
      </c>
      <c r="J746" s="44">
        <f>404.08</f>
        <v>404.08</v>
      </c>
    </row>
    <row r="747" spans="1:10" ht="15.75" x14ac:dyDescent="0.25">
      <c r="A747" s="32">
        <v>63674</v>
      </c>
      <c r="B747" s="14">
        <f>50.8649 * CHOOSE(CONTROL!$C$15, $E$9, 100%, $G$9) + CHOOSE(CONTROL!$C$38, 0.0256, 0)</f>
        <v>50.890499999999996</v>
      </c>
      <c r="C747" s="14">
        <f>46.9312 * CHOOSE(CONTROL!$C$15, $E$9, 100%, $G$9) + CHOOSE(CONTROL!$C$38, 0.0347, 0)</f>
        <v>46.965899999999998</v>
      </c>
      <c r="D747" s="14">
        <f>46.9234 * CHOOSE(CONTROL!$C$15, $E$9, 100%, $G$9) + CHOOSE(CONTROL!$C$38, 0.0347, 0)</f>
        <v>46.958100000000002</v>
      </c>
      <c r="E747" s="46">
        <f>50.7087 * CHOOSE(CONTROL!$C$15, $E$9, 100%, $G$9) + CHOOSE(CONTROL!$C$38, 0.0347, 0)</f>
        <v>50.743400000000001</v>
      </c>
      <c r="F747" s="45">
        <f>50.7087 * CHOOSE(CONTROL!$C$15, $E$9, 100%, $G$9) + CHOOSE(CONTROL!$C$38, 0.0256, 0)</f>
        <v>50.734299999999998</v>
      </c>
      <c r="G747" s="14">
        <f>46.9297 * CHOOSE(CONTROL!$C$15, $E$9, 100%, $G$9) + CHOOSE(CONTROL!$C$38, 0.0347, 0)</f>
        <v>46.964399999999998</v>
      </c>
      <c r="H747" s="14">
        <f>46.9297 * CHOOSE(CONTROL!$C$15, $E$9, 100%, $G$9) + CHOOSE(CONTROL!$C$38, 0.0347, 0)</f>
        <v>46.964399999999998</v>
      </c>
      <c r="I747" s="14">
        <f>46.9312 * CHOOSE(CONTROL!$C$15, $E$9, 100%, $G$9) + CHOOSE(CONTROL!$C$38, 0.0347, 0)</f>
        <v>46.965899999999998</v>
      </c>
      <c r="J747" s="44">
        <f>430.3149</f>
        <v>430.31490000000002</v>
      </c>
    </row>
    <row r="748" spans="1:10" ht="15.75" x14ac:dyDescent="0.25">
      <c r="A748" s="32">
        <v>63705</v>
      </c>
      <c r="B748" s="14">
        <f>50.3488 * CHOOSE(CONTROL!$C$15, $E$9, 100%, $G$9) + CHOOSE(CONTROL!$C$38, 0.0278, 0)</f>
        <v>50.376599999999996</v>
      </c>
      <c r="C748" s="14">
        <f>46.4151 * CHOOSE(CONTROL!$C$15, $E$9, 100%, $G$9) + CHOOSE(CONTROL!$C$38, 0.0369, 0)</f>
        <v>46.452000000000005</v>
      </c>
      <c r="D748" s="14">
        <f>46.4073 * CHOOSE(CONTROL!$C$15, $E$9, 100%, $G$9) + CHOOSE(CONTROL!$C$38, 0.0369, 0)</f>
        <v>46.444200000000002</v>
      </c>
      <c r="E748" s="46">
        <f>50.1926 * CHOOSE(CONTROL!$C$15, $E$9, 100%, $G$9) + CHOOSE(CONTROL!$C$38, 0.0369, 0)</f>
        <v>50.229500000000002</v>
      </c>
      <c r="F748" s="45">
        <f>50.1926 * CHOOSE(CONTROL!$C$15, $E$9, 100%, $G$9) + CHOOSE(CONTROL!$C$38, 0.0278, 0)</f>
        <v>50.220399999999998</v>
      </c>
      <c r="G748" s="14">
        <f>46.4135 * CHOOSE(CONTROL!$C$15, $E$9, 100%, $G$9) + CHOOSE(CONTROL!$C$38, 0.0369, 0)</f>
        <v>46.450400000000002</v>
      </c>
      <c r="H748" s="14">
        <f>46.4135 * CHOOSE(CONTROL!$C$15, $E$9, 100%, $G$9) + CHOOSE(CONTROL!$C$38, 0.0369, 0)</f>
        <v>46.450400000000002</v>
      </c>
      <c r="I748" s="14">
        <f>46.4151 * CHOOSE(CONTROL!$C$15, $E$9, 100%, $G$9) + CHOOSE(CONTROL!$C$38, 0.0369, 0)</f>
        <v>46.452000000000005</v>
      </c>
      <c r="J748" s="44">
        <f>444.7554</f>
        <v>444.75540000000001</v>
      </c>
    </row>
    <row r="749" spans="1:10" ht="15.75" x14ac:dyDescent="0.25">
      <c r="A749" s="32">
        <v>63735</v>
      </c>
      <c r="B749" s="14">
        <f>49.987 * CHOOSE(CONTROL!$C$15, $E$9, 100%, $G$9) + CHOOSE(CONTROL!$C$38, 0.0278, 0)</f>
        <v>50.014800000000001</v>
      </c>
      <c r="C749" s="14">
        <f>46.0533 * CHOOSE(CONTROL!$C$15, $E$9, 100%, $G$9) + CHOOSE(CONTROL!$C$38, 0.0369, 0)</f>
        <v>46.090200000000003</v>
      </c>
      <c r="D749" s="14">
        <f>46.0455 * CHOOSE(CONTROL!$C$15, $E$9, 100%, $G$9) + CHOOSE(CONTROL!$C$38, 0.0369, 0)</f>
        <v>46.0824</v>
      </c>
      <c r="E749" s="46">
        <f>49.8307 * CHOOSE(CONTROL!$C$15, $E$9, 100%, $G$9) + CHOOSE(CONTROL!$C$38, 0.0369, 0)</f>
        <v>49.867600000000003</v>
      </c>
      <c r="F749" s="45">
        <f>49.8307 * CHOOSE(CONTROL!$C$15, $E$9, 100%, $G$9) + CHOOSE(CONTROL!$C$38, 0.0278, 0)</f>
        <v>49.858499999999999</v>
      </c>
      <c r="G749" s="14">
        <f>46.0517 * CHOOSE(CONTROL!$C$15, $E$9, 100%, $G$9) + CHOOSE(CONTROL!$C$38, 0.0369, 0)</f>
        <v>46.0886</v>
      </c>
      <c r="H749" s="14">
        <f>46.0517 * CHOOSE(CONTROL!$C$15, $E$9, 100%, $G$9) + CHOOSE(CONTROL!$C$38, 0.0369, 0)</f>
        <v>46.0886</v>
      </c>
      <c r="I749" s="14">
        <f>46.0533 * CHOOSE(CONTROL!$C$15, $E$9, 100%, $G$9) + CHOOSE(CONTROL!$C$38, 0.0369, 0)</f>
        <v>46.090200000000003</v>
      </c>
      <c r="J749" s="44">
        <f>451.1638</f>
        <v>451.16379999999998</v>
      </c>
    </row>
    <row r="750" spans="1:10" ht="15.75" x14ac:dyDescent="0.25">
      <c r="A750" s="32">
        <v>63766</v>
      </c>
      <c r="B750" s="14">
        <f>49.7805 * CHOOSE(CONTROL!$C$15, $E$9, 100%, $G$9) + CHOOSE(CONTROL!$C$38, 0.0278, 0)</f>
        <v>49.808300000000003</v>
      </c>
      <c r="C750" s="14">
        <f>45.8468 * CHOOSE(CONTROL!$C$15, $E$9, 100%, $G$9) + CHOOSE(CONTROL!$C$38, 0.0369, 0)</f>
        <v>45.883700000000005</v>
      </c>
      <c r="D750" s="14">
        <f>45.839 * CHOOSE(CONTROL!$C$15, $E$9, 100%, $G$9) + CHOOSE(CONTROL!$C$38, 0.0369, 0)</f>
        <v>45.875900000000001</v>
      </c>
      <c r="E750" s="46">
        <f>49.6242 * CHOOSE(CONTROL!$C$15, $E$9, 100%, $G$9) + CHOOSE(CONTROL!$C$38, 0.0369, 0)</f>
        <v>49.661100000000005</v>
      </c>
      <c r="F750" s="45">
        <f>49.6242 * CHOOSE(CONTROL!$C$15, $E$9, 100%, $G$9) + CHOOSE(CONTROL!$C$38, 0.0278, 0)</f>
        <v>49.652000000000001</v>
      </c>
      <c r="G750" s="14">
        <f>45.8452 * CHOOSE(CONTROL!$C$15, $E$9, 100%, $G$9) + CHOOSE(CONTROL!$C$38, 0.0369, 0)</f>
        <v>45.882100000000001</v>
      </c>
      <c r="H750" s="14">
        <f>45.8452 * CHOOSE(CONTROL!$C$15, $E$9, 100%, $G$9) + CHOOSE(CONTROL!$C$38, 0.0369, 0)</f>
        <v>45.882100000000001</v>
      </c>
      <c r="I750" s="14">
        <f>45.8468 * CHOOSE(CONTROL!$C$15, $E$9, 100%, $G$9) + CHOOSE(CONTROL!$C$38, 0.0369, 0)</f>
        <v>45.883700000000005</v>
      </c>
      <c r="J750" s="44">
        <f>449.0539</f>
        <v>449.0539</v>
      </c>
    </row>
    <row r="751" spans="1:10" ht="15.75" x14ac:dyDescent="0.25">
      <c r="A751" s="32">
        <v>63797</v>
      </c>
      <c r="B751" s="14">
        <f>49.8824 * CHOOSE(CONTROL!$C$15, $E$9, 100%, $G$9) + CHOOSE(CONTROL!$C$38, 0.0278, 0)</f>
        <v>49.910199999999996</v>
      </c>
      <c r="C751" s="14">
        <f>45.9487 * CHOOSE(CONTROL!$C$15, $E$9, 100%, $G$9) + CHOOSE(CONTROL!$C$38, 0.0369, 0)</f>
        <v>45.985600000000005</v>
      </c>
      <c r="D751" s="14">
        <f>45.9409 * CHOOSE(CONTROL!$C$15, $E$9, 100%, $G$9) + CHOOSE(CONTROL!$C$38, 0.0369, 0)</f>
        <v>45.977800000000002</v>
      </c>
      <c r="E751" s="46">
        <f>49.7261 * CHOOSE(CONTROL!$C$15, $E$9, 100%, $G$9) + CHOOSE(CONTROL!$C$38, 0.0369, 0)</f>
        <v>49.763000000000005</v>
      </c>
      <c r="F751" s="45">
        <f>49.7261 * CHOOSE(CONTROL!$C$15, $E$9, 100%, $G$9) + CHOOSE(CONTROL!$C$38, 0.0278, 0)</f>
        <v>49.753900000000002</v>
      </c>
      <c r="G751" s="14">
        <f>45.9471 * CHOOSE(CONTROL!$C$15, $E$9, 100%, $G$9) + CHOOSE(CONTROL!$C$38, 0.0369, 0)</f>
        <v>45.984000000000002</v>
      </c>
      <c r="H751" s="14">
        <f>45.9471 * CHOOSE(CONTROL!$C$15, $E$9, 100%, $G$9) + CHOOSE(CONTROL!$C$38, 0.0369, 0)</f>
        <v>45.984000000000002</v>
      </c>
      <c r="I751" s="14">
        <f>45.9487 * CHOOSE(CONTROL!$C$15, $E$9, 100%, $G$9) + CHOOSE(CONTROL!$C$38, 0.0369, 0)</f>
        <v>45.985600000000005</v>
      </c>
      <c r="J751" s="44">
        <f>438.6001</f>
        <v>438.6001</v>
      </c>
    </row>
    <row r="752" spans="1:10" ht="15.75" x14ac:dyDescent="0.25">
      <c r="A752" s="32">
        <v>63827</v>
      </c>
      <c r="B752" s="14">
        <f>50.1592 * CHOOSE(CONTROL!$C$15, $E$9, 100%, $G$9) + CHOOSE(CONTROL!$C$38, 0.0278, 0)</f>
        <v>50.186999999999998</v>
      </c>
      <c r="C752" s="14">
        <f>46.2255 * CHOOSE(CONTROL!$C$15, $E$9, 100%, $G$9) + CHOOSE(CONTROL!$C$38, 0.0369, 0)</f>
        <v>46.2624</v>
      </c>
      <c r="D752" s="14">
        <f>46.2177 * CHOOSE(CONTROL!$C$15, $E$9, 100%, $G$9) + CHOOSE(CONTROL!$C$38, 0.0369, 0)</f>
        <v>46.254600000000003</v>
      </c>
      <c r="E752" s="46">
        <f>50.0029 * CHOOSE(CONTROL!$C$15, $E$9, 100%, $G$9) + CHOOSE(CONTROL!$C$38, 0.0369, 0)</f>
        <v>50.0398</v>
      </c>
      <c r="F752" s="45">
        <f>50.0029 * CHOOSE(CONTROL!$C$15, $E$9, 100%, $G$9) + CHOOSE(CONTROL!$C$38, 0.0278, 0)</f>
        <v>50.030699999999996</v>
      </c>
      <c r="G752" s="14">
        <f>46.2239 * CHOOSE(CONTROL!$C$15, $E$9, 100%, $G$9) + CHOOSE(CONTROL!$C$38, 0.0369, 0)</f>
        <v>46.260800000000003</v>
      </c>
      <c r="H752" s="14">
        <f>46.2239 * CHOOSE(CONTROL!$C$15, $E$9, 100%, $G$9) + CHOOSE(CONTROL!$C$38, 0.0369, 0)</f>
        <v>46.260800000000003</v>
      </c>
      <c r="I752" s="14">
        <f>46.2255 * CHOOSE(CONTROL!$C$15, $E$9, 100%, $G$9) + CHOOSE(CONTROL!$C$38, 0.0369, 0)</f>
        <v>46.2624</v>
      </c>
      <c r="J752" s="44">
        <f>424.0218</f>
        <v>424.02179999999998</v>
      </c>
    </row>
    <row r="753" spans="1:10" ht="15.75" x14ac:dyDescent="0.25">
      <c r="A753" s="32">
        <v>63858</v>
      </c>
      <c r="B753" s="14">
        <f>50.391 * CHOOSE(CONTROL!$C$15, $E$9, 100%, $G$9) + CHOOSE(CONTROL!$C$38, 0.0256, 0)</f>
        <v>50.416599999999995</v>
      </c>
      <c r="C753" s="14">
        <f>46.4573 * CHOOSE(CONTROL!$C$15, $E$9, 100%, $G$9) + CHOOSE(CONTROL!$C$38, 0.0347, 0)</f>
        <v>46.491999999999997</v>
      </c>
      <c r="D753" s="14">
        <f>46.4495 * CHOOSE(CONTROL!$C$15, $E$9, 100%, $G$9) + CHOOSE(CONTROL!$C$38, 0.0347, 0)</f>
        <v>46.484200000000001</v>
      </c>
      <c r="E753" s="46">
        <f>50.2348 * CHOOSE(CONTROL!$C$15, $E$9, 100%, $G$9) + CHOOSE(CONTROL!$C$38, 0.0347, 0)</f>
        <v>50.269500000000001</v>
      </c>
      <c r="F753" s="45">
        <f>50.2348 * CHOOSE(CONTROL!$C$15, $E$9, 100%, $G$9) + CHOOSE(CONTROL!$C$38, 0.0256, 0)</f>
        <v>50.260399999999997</v>
      </c>
      <c r="G753" s="14">
        <f>46.4558 * CHOOSE(CONTROL!$C$15, $E$9, 100%, $G$9) + CHOOSE(CONTROL!$C$38, 0.0347, 0)</f>
        <v>46.490500000000004</v>
      </c>
      <c r="H753" s="14">
        <f>46.4558 * CHOOSE(CONTROL!$C$15, $E$9, 100%, $G$9) + CHOOSE(CONTROL!$C$38, 0.0347, 0)</f>
        <v>46.490500000000004</v>
      </c>
      <c r="I753" s="14">
        <f>46.4573 * CHOOSE(CONTROL!$C$15, $E$9, 100%, $G$9) + CHOOSE(CONTROL!$C$38, 0.0347, 0)</f>
        <v>46.491999999999997</v>
      </c>
      <c r="J753" s="44">
        <f>409.3587</f>
        <v>409.3587</v>
      </c>
    </row>
    <row r="754" spans="1:10" ht="15.75" x14ac:dyDescent="0.25">
      <c r="A754" s="32">
        <v>63888</v>
      </c>
      <c r="B754" s="14">
        <f>50.5845 * CHOOSE(CONTROL!$C$15, $E$9, 100%, $G$9) + CHOOSE(CONTROL!$C$38, 0.0256, 0)</f>
        <v>50.610099999999996</v>
      </c>
      <c r="C754" s="14">
        <f>46.6508 * CHOOSE(CONTROL!$C$15, $E$9, 100%, $G$9) + CHOOSE(CONTROL!$C$38, 0.0347, 0)</f>
        <v>46.685499999999998</v>
      </c>
      <c r="D754" s="14">
        <f>46.6429 * CHOOSE(CONTROL!$C$15, $E$9, 100%, $G$9) + CHOOSE(CONTROL!$C$38, 0.0347, 0)</f>
        <v>46.677599999999998</v>
      </c>
      <c r="E754" s="46">
        <f>50.4282 * CHOOSE(CONTROL!$C$15, $E$9, 100%, $G$9) + CHOOSE(CONTROL!$C$38, 0.0347, 0)</f>
        <v>50.462899999999998</v>
      </c>
      <c r="F754" s="45">
        <f>50.4282 * CHOOSE(CONTROL!$C$15, $E$9, 100%, $G$9) + CHOOSE(CONTROL!$C$38, 0.0256, 0)</f>
        <v>50.453799999999994</v>
      </c>
      <c r="G754" s="14">
        <f>46.6492 * CHOOSE(CONTROL!$C$15, $E$9, 100%, $G$9) + CHOOSE(CONTROL!$C$38, 0.0347, 0)</f>
        <v>46.683900000000001</v>
      </c>
      <c r="H754" s="14">
        <f>46.6492 * CHOOSE(CONTROL!$C$15, $E$9, 100%, $G$9) + CHOOSE(CONTROL!$C$38, 0.0347, 0)</f>
        <v>46.683900000000001</v>
      </c>
      <c r="I754" s="14">
        <f>46.6508 * CHOOSE(CONTROL!$C$15, $E$9, 100%, $G$9) + CHOOSE(CONTROL!$C$38, 0.0347, 0)</f>
        <v>46.685499999999998</v>
      </c>
      <c r="J754" s="44">
        <f>406.4419</f>
        <v>406.44189999999998</v>
      </c>
    </row>
    <row r="755" spans="1:10" ht="15.75" x14ac:dyDescent="0.25">
      <c r="A755" s="32">
        <v>63919</v>
      </c>
      <c r="B755" s="14">
        <f>51.1805 * CHOOSE(CONTROL!$C$15, $E$9, 100%, $G$9) + CHOOSE(CONTROL!$C$38, 0.0256, 0)</f>
        <v>51.206099999999999</v>
      </c>
      <c r="C755" s="14">
        <f>47.2468 * CHOOSE(CONTROL!$C$15, $E$9, 100%, $G$9) + CHOOSE(CONTROL!$C$38, 0.0347, 0)</f>
        <v>47.281500000000001</v>
      </c>
      <c r="D755" s="14">
        <f>47.239 * CHOOSE(CONTROL!$C$15, $E$9, 100%, $G$9) + CHOOSE(CONTROL!$C$38, 0.0347, 0)</f>
        <v>47.273699999999998</v>
      </c>
      <c r="E755" s="46">
        <f>51.0243 * CHOOSE(CONTROL!$C$15, $E$9, 100%, $G$9) + CHOOSE(CONTROL!$C$38, 0.0347, 0)</f>
        <v>51.058999999999997</v>
      </c>
      <c r="F755" s="45">
        <f>51.0243 * CHOOSE(CONTROL!$C$15, $E$9, 100%, $G$9) + CHOOSE(CONTROL!$C$38, 0.0256, 0)</f>
        <v>51.049899999999994</v>
      </c>
      <c r="G755" s="14">
        <f>47.2453 * CHOOSE(CONTROL!$C$15, $E$9, 100%, $G$9) + CHOOSE(CONTROL!$C$38, 0.0347, 0)</f>
        <v>47.28</v>
      </c>
      <c r="H755" s="14">
        <f>47.2453 * CHOOSE(CONTROL!$C$15, $E$9, 100%, $G$9) + CHOOSE(CONTROL!$C$38, 0.0347, 0)</f>
        <v>47.28</v>
      </c>
      <c r="I755" s="14">
        <f>47.2468 * CHOOSE(CONTROL!$C$15, $E$9, 100%, $G$9) + CHOOSE(CONTROL!$C$38, 0.0347, 0)</f>
        <v>47.281500000000001</v>
      </c>
      <c r="J755" s="44">
        <f>394.3807</f>
        <v>394.38069999999999</v>
      </c>
    </row>
    <row r="756" spans="1:10" ht="15.75" x14ac:dyDescent="0.25">
      <c r="A756" s="32">
        <v>63950</v>
      </c>
      <c r="B756" s="14">
        <f>52.471 * CHOOSE(CONTROL!$C$15, $E$9, 100%, $G$9) + CHOOSE(CONTROL!$C$38, 0.0256, 0)</f>
        <v>52.496599999999994</v>
      </c>
      <c r="C756" s="14">
        <f>48.4754 * CHOOSE(CONTROL!$C$15, $E$9, 100%, $G$9) + CHOOSE(CONTROL!$C$38, 0.0347, 0)</f>
        <v>48.510100000000001</v>
      </c>
      <c r="D756" s="14">
        <f>48.4676 * CHOOSE(CONTROL!$C$15, $E$9, 100%, $G$9) + CHOOSE(CONTROL!$C$38, 0.0347, 0)</f>
        <v>48.502299999999998</v>
      </c>
      <c r="E756" s="46">
        <f>52.3148 * CHOOSE(CONTROL!$C$15, $E$9, 100%, $G$9) + CHOOSE(CONTROL!$C$38, 0.0347, 0)</f>
        <v>52.349499999999999</v>
      </c>
      <c r="F756" s="45">
        <f>52.3148 * CHOOSE(CONTROL!$C$15, $E$9, 100%, $G$9) + CHOOSE(CONTROL!$C$38, 0.0256, 0)</f>
        <v>52.340399999999995</v>
      </c>
      <c r="G756" s="14">
        <f>48.4738 * CHOOSE(CONTROL!$C$15, $E$9, 100%, $G$9) + CHOOSE(CONTROL!$C$38, 0.0347, 0)</f>
        <v>48.508499999999998</v>
      </c>
      <c r="H756" s="14">
        <f>48.4738 * CHOOSE(CONTROL!$C$15, $E$9, 100%, $G$9) + CHOOSE(CONTROL!$C$38, 0.0347, 0)</f>
        <v>48.508499999999998</v>
      </c>
      <c r="I756" s="14">
        <f>48.4754 * CHOOSE(CONTROL!$C$15, $E$9, 100%, $G$9) + CHOOSE(CONTROL!$C$38, 0.0347, 0)</f>
        <v>48.510100000000001</v>
      </c>
      <c r="J756" s="44">
        <f>393.6275</f>
        <v>393.6275</v>
      </c>
    </row>
    <row r="757" spans="1:10" ht="15.75" x14ac:dyDescent="0.25">
      <c r="A757" s="32">
        <v>63978</v>
      </c>
      <c r="B757" s="14">
        <f>52.6918 * CHOOSE(CONTROL!$C$15, $E$9, 100%, $G$9) + CHOOSE(CONTROL!$C$38, 0.0256, 0)</f>
        <v>52.717399999999998</v>
      </c>
      <c r="C757" s="14">
        <f>48.6962 * CHOOSE(CONTROL!$C$15, $E$9, 100%, $G$9) + CHOOSE(CONTROL!$C$38, 0.0347, 0)</f>
        <v>48.730899999999998</v>
      </c>
      <c r="D757" s="14">
        <f>48.6883 * CHOOSE(CONTROL!$C$15, $E$9, 100%, $G$9) + CHOOSE(CONTROL!$C$38, 0.0347, 0)</f>
        <v>48.722999999999999</v>
      </c>
      <c r="E757" s="46">
        <f>52.5355 * CHOOSE(CONTROL!$C$15, $E$9, 100%, $G$9) + CHOOSE(CONTROL!$C$38, 0.0347, 0)</f>
        <v>52.5702</v>
      </c>
      <c r="F757" s="45">
        <f>52.5355 * CHOOSE(CONTROL!$C$15, $E$9, 100%, $G$9) + CHOOSE(CONTROL!$C$38, 0.0256, 0)</f>
        <v>52.561099999999996</v>
      </c>
      <c r="G757" s="14">
        <f>48.6946 * CHOOSE(CONTROL!$C$15, $E$9, 100%, $G$9) + CHOOSE(CONTROL!$C$38, 0.0347, 0)</f>
        <v>48.729300000000002</v>
      </c>
      <c r="H757" s="14">
        <f>48.6946 * CHOOSE(CONTROL!$C$15, $E$9, 100%, $G$9) + CHOOSE(CONTROL!$C$38, 0.0347, 0)</f>
        <v>48.729300000000002</v>
      </c>
      <c r="I757" s="14">
        <f>48.6962 * CHOOSE(CONTROL!$C$15, $E$9, 100%, $G$9) + CHOOSE(CONTROL!$C$38, 0.0347, 0)</f>
        <v>48.730899999999998</v>
      </c>
      <c r="J757" s="44">
        <f>392.5333</f>
        <v>392.5333</v>
      </c>
    </row>
    <row r="758" spans="1:10" ht="15.75" x14ac:dyDescent="0.25">
      <c r="A758" s="32">
        <v>64009</v>
      </c>
      <c r="B758" s="14">
        <f>52.1808 * CHOOSE(CONTROL!$C$15, $E$9, 100%, $G$9) + CHOOSE(CONTROL!$C$38, 0.0256, 0)</f>
        <v>52.206399999999995</v>
      </c>
      <c r="C758" s="14">
        <f>48.1851 * CHOOSE(CONTROL!$C$15, $E$9, 100%, $G$9) + CHOOSE(CONTROL!$C$38, 0.0347, 0)</f>
        <v>48.219799999999999</v>
      </c>
      <c r="D758" s="14">
        <f>48.1773 * CHOOSE(CONTROL!$C$15, $E$9, 100%, $G$9) + CHOOSE(CONTROL!$C$38, 0.0347, 0)</f>
        <v>48.212000000000003</v>
      </c>
      <c r="E758" s="46">
        <f>52.0245 * CHOOSE(CONTROL!$C$15, $E$9, 100%, $G$9) + CHOOSE(CONTROL!$C$38, 0.0347, 0)</f>
        <v>52.059200000000004</v>
      </c>
      <c r="F758" s="45">
        <f>52.0245 * CHOOSE(CONTROL!$C$15, $E$9, 100%, $G$9) + CHOOSE(CONTROL!$C$38, 0.0256, 0)</f>
        <v>52.0501</v>
      </c>
      <c r="G758" s="14">
        <f>48.1836 * CHOOSE(CONTROL!$C$15, $E$9, 100%, $G$9) + CHOOSE(CONTROL!$C$38, 0.0347, 0)</f>
        <v>48.218299999999999</v>
      </c>
      <c r="H758" s="14">
        <f>48.1836 * CHOOSE(CONTROL!$C$15, $E$9, 100%, $G$9) + CHOOSE(CONTROL!$C$38, 0.0347, 0)</f>
        <v>48.218299999999999</v>
      </c>
      <c r="I758" s="14">
        <f>48.1851 * CHOOSE(CONTROL!$C$15, $E$9, 100%, $G$9) + CHOOSE(CONTROL!$C$38, 0.0347, 0)</f>
        <v>48.219799999999999</v>
      </c>
      <c r="J758" s="44">
        <f>413.2221</f>
        <v>413.22210000000001</v>
      </c>
    </row>
    <row r="759" spans="1:10" ht="15.75" x14ac:dyDescent="0.25">
      <c r="A759" s="32">
        <v>64039</v>
      </c>
      <c r="B759" s="14">
        <f>51.6856 * CHOOSE(CONTROL!$C$15, $E$9, 100%, $G$9) + CHOOSE(CONTROL!$C$38, 0.0256, 0)</f>
        <v>51.711199999999998</v>
      </c>
      <c r="C759" s="14">
        <f>47.6899 * CHOOSE(CONTROL!$C$15, $E$9, 100%, $G$9) + CHOOSE(CONTROL!$C$38, 0.0347, 0)</f>
        <v>47.724600000000002</v>
      </c>
      <c r="D759" s="14">
        <f>47.6821 * CHOOSE(CONTROL!$C$15, $E$9, 100%, $G$9) + CHOOSE(CONTROL!$C$38, 0.0347, 0)</f>
        <v>47.716799999999999</v>
      </c>
      <c r="E759" s="46">
        <f>51.5293 * CHOOSE(CONTROL!$C$15, $E$9, 100%, $G$9) + CHOOSE(CONTROL!$C$38, 0.0347, 0)</f>
        <v>51.564</v>
      </c>
      <c r="F759" s="45">
        <f>51.5293 * CHOOSE(CONTROL!$C$15, $E$9, 100%, $G$9) + CHOOSE(CONTROL!$C$38, 0.0256, 0)</f>
        <v>51.554899999999996</v>
      </c>
      <c r="G759" s="14">
        <f>47.6884 * CHOOSE(CONTROL!$C$15, $E$9, 100%, $G$9) + CHOOSE(CONTROL!$C$38, 0.0347, 0)</f>
        <v>47.723100000000002</v>
      </c>
      <c r="H759" s="14">
        <f>47.6884 * CHOOSE(CONTROL!$C$15, $E$9, 100%, $G$9) + CHOOSE(CONTROL!$C$38, 0.0347, 0)</f>
        <v>47.723100000000002</v>
      </c>
      <c r="I759" s="14">
        <f>47.6899 * CHOOSE(CONTROL!$C$15, $E$9, 100%, $G$9) + CHOOSE(CONTROL!$C$38, 0.0347, 0)</f>
        <v>47.724600000000002</v>
      </c>
      <c r="J759" s="44">
        <f>440.0505</f>
        <v>440.0505</v>
      </c>
    </row>
    <row r="760" spans="1:10" ht="15.75" x14ac:dyDescent="0.25">
      <c r="A760" s="32">
        <v>64070</v>
      </c>
      <c r="B760" s="14">
        <f>51.1695 * CHOOSE(CONTROL!$C$15, $E$9, 100%, $G$9) + CHOOSE(CONTROL!$C$38, 0.0278, 0)</f>
        <v>51.197299999999998</v>
      </c>
      <c r="C760" s="14">
        <f>47.1738 * CHOOSE(CONTROL!$C$15, $E$9, 100%, $G$9) + CHOOSE(CONTROL!$C$38, 0.0369, 0)</f>
        <v>47.210700000000003</v>
      </c>
      <c r="D760" s="14">
        <f>47.166 * CHOOSE(CONTROL!$C$15, $E$9, 100%, $G$9) + CHOOSE(CONTROL!$C$38, 0.0369, 0)</f>
        <v>47.2029</v>
      </c>
      <c r="E760" s="46">
        <f>51.0132 * CHOOSE(CONTROL!$C$15, $E$9, 100%, $G$9) + CHOOSE(CONTROL!$C$38, 0.0369, 0)</f>
        <v>51.0501</v>
      </c>
      <c r="F760" s="45">
        <f>51.0132 * CHOOSE(CONTROL!$C$15, $E$9, 100%, $G$9) + CHOOSE(CONTROL!$C$38, 0.0278, 0)</f>
        <v>51.040999999999997</v>
      </c>
      <c r="G760" s="14">
        <f>47.1723 * CHOOSE(CONTROL!$C$15, $E$9, 100%, $G$9) + CHOOSE(CONTROL!$C$38, 0.0369, 0)</f>
        <v>47.209200000000003</v>
      </c>
      <c r="H760" s="14">
        <f>47.1723 * CHOOSE(CONTROL!$C$15, $E$9, 100%, $G$9) + CHOOSE(CONTROL!$C$38, 0.0369, 0)</f>
        <v>47.209200000000003</v>
      </c>
      <c r="I760" s="14">
        <f>47.1738 * CHOOSE(CONTROL!$C$15, $E$9, 100%, $G$9) + CHOOSE(CONTROL!$C$38, 0.0369, 0)</f>
        <v>47.210700000000003</v>
      </c>
      <c r="J760" s="44">
        <f>454.8177</f>
        <v>454.8177</v>
      </c>
    </row>
    <row r="761" spans="1:10" ht="15.75" x14ac:dyDescent="0.25">
      <c r="A761" s="32">
        <v>64100</v>
      </c>
      <c r="B761" s="14">
        <f>50.8076 * CHOOSE(CONTROL!$C$15, $E$9, 100%, $G$9) + CHOOSE(CONTROL!$C$38, 0.0278, 0)</f>
        <v>50.8354</v>
      </c>
      <c r="C761" s="14">
        <f>46.812 * CHOOSE(CONTROL!$C$15, $E$9, 100%, $G$9) + CHOOSE(CONTROL!$C$38, 0.0369, 0)</f>
        <v>46.8489</v>
      </c>
      <c r="D761" s="14">
        <f>46.8042 * CHOOSE(CONTROL!$C$15, $E$9, 100%, $G$9) + CHOOSE(CONTROL!$C$38, 0.0369, 0)</f>
        <v>46.841100000000004</v>
      </c>
      <c r="E761" s="46">
        <f>50.6514 * CHOOSE(CONTROL!$C$15, $E$9, 100%, $G$9) + CHOOSE(CONTROL!$C$38, 0.0369, 0)</f>
        <v>50.688300000000005</v>
      </c>
      <c r="F761" s="45">
        <f>50.6514 * CHOOSE(CONTROL!$C$15, $E$9, 100%, $G$9) + CHOOSE(CONTROL!$C$38, 0.0278, 0)</f>
        <v>50.679200000000002</v>
      </c>
      <c r="G761" s="14">
        <f>46.8104 * CHOOSE(CONTROL!$C$15, $E$9, 100%, $G$9) + CHOOSE(CONTROL!$C$38, 0.0369, 0)</f>
        <v>46.847300000000004</v>
      </c>
      <c r="H761" s="14">
        <f>46.8104 * CHOOSE(CONTROL!$C$15, $E$9, 100%, $G$9) + CHOOSE(CONTROL!$C$38, 0.0369, 0)</f>
        <v>46.847300000000004</v>
      </c>
      <c r="I761" s="14">
        <f>46.812 * CHOOSE(CONTROL!$C$15, $E$9, 100%, $G$9) + CHOOSE(CONTROL!$C$38, 0.0369, 0)</f>
        <v>46.8489</v>
      </c>
      <c r="J761" s="44">
        <f>461.3712</f>
        <v>461.37119999999999</v>
      </c>
    </row>
    <row r="762" spans="1:10" ht="15.75" x14ac:dyDescent="0.25">
      <c r="A762" s="32">
        <v>64131</v>
      </c>
      <c r="B762" s="14">
        <f>50.6011 * CHOOSE(CONTROL!$C$15, $E$9, 100%, $G$9) + CHOOSE(CONTROL!$C$38, 0.0278, 0)</f>
        <v>50.628900000000002</v>
      </c>
      <c r="C762" s="14">
        <f>46.6055 * CHOOSE(CONTROL!$C$15, $E$9, 100%, $G$9) + CHOOSE(CONTROL!$C$38, 0.0369, 0)</f>
        <v>46.642400000000002</v>
      </c>
      <c r="D762" s="14">
        <f>46.5977 * CHOOSE(CONTROL!$C$15, $E$9, 100%, $G$9) + CHOOSE(CONTROL!$C$38, 0.0369, 0)</f>
        <v>46.634600000000006</v>
      </c>
      <c r="E762" s="46">
        <f>50.4449 * CHOOSE(CONTROL!$C$15, $E$9, 100%, $G$9) + CHOOSE(CONTROL!$C$38, 0.0369, 0)</f>
        <v>50.4818</v>
      </c>
      <c r="F762" s="45">
        <f>50.4449 * CHOOSE(CONTROL!$C$15, $E$9, 100%, $G$9) + CHOOSE(CONTROL!$C$38, 0.0278, 0)</f>
        <v>50.472699999999996</v>
      </c>
      <c r="G762" s="14">
        <f>46.6039 * CHOOSE(CONTROL!$C$15, $E$9, 100%, $G$9) + CHOOSE(CONTROL!$C$38, 0.0369, 0)</f>
        <v>46.640800000000006</v>
      </c>
      <c r="H762" s="14">
        <f>46.6039 * CHOOSE(CONTROL!$C$15, $E$9, 100%, $G$9) + CHOOSE(CONTROL!$C$38, 0.0369, 0)</f>
        <v>46.640800000000006</v>
      </c>
      <c r="I762" s="14">
        <f>46.6055 * CHOOSE(CONTROL!$C$15, $E$9, 100%, $G$9) + CHOOSE(CONTROL!$C$38, 0.0369, 0)</f>
        <v>46.642400000000002</v>
      </c>
      <c r="J762" s="44">
        <f>459.2135</f>
        <v>459.21350000000001</v>
      </c>
    </row>
    <row r="763" spans="1:10" ht="15.75" x14ac:dyDescent="0.25">
      <c r="A763" s="32">
        <v>64162</v>
      </c>
      <c r="B763" s="14">
        <f>50.7031 * CHOOSE(CONTROL!$C$15, $E$9, 100%, $G$9) + CHOOSE(CONTROL!$C$38, 0.0278, 0)</f>
        <v>50.730899999999998</v>
      </c>
      <c r="C763" s="14">
        <f>46.7074 * CHOOSE(CONTROL!$C$15, $E$9, 100%, $G$9) + CHOOSE(CONTROL!$C$38, 0.0369, 0)</f>
        <v>46.744300000000003</v>
      </c>
      <c r="D763" s="14">
        <f>46.6996 * CHOOSE(CONTROL!$C$15, $E$9, 100%, $G$9) + CHOOSE(CONTROL!$C$38, 0.0369, 0)</f>
        <v>46.736499999999999</v>
      </c>
      <c r="E763" s="46">
        <f>50.5468 * CHOOSE(CONTROL!$C$15, $E$9, 100%, $G$9) + CHOOSE(CONTROL!$C$38, 0.0369, 0)</f>
        <v>50.5837</v>
      </c>
      <c r="F763" s="45">
        <f>50.5468 * CHOOSE(CONTROL!$C$15, $E$9, 100%, $G$9) + CHOOSE(CONTROL!$C$38, 0.0278, 0)</f>
        <v>50.574599999999997</v>
      </c>
      <c r="G763" s="14">
        <f>46.7059 * CHOOSE(CONTROL!$C$15, $E$9, 100%, $G$9) + CHOOSE(CONTROL!$C$38, 0.0369, 0)</f>
        <v>46.742800000000003</v>
      </c>
      <c r="H763" s="14">
        <f>46.7059 * CHOOSE(CONTROL!$C$15, $E$9, 100%, $G$9) + CHOOSE(CONTROL!$C$38, 0.0369, 0)</f>
        <v>46.742800000000003</v>
      </c>
      <c r="I763" s="14">
        <f>46.7074 * CHOOSE(CONTROL!$C$15, $E$9, 100%, $G$9) + CHOOSE(CONTROL!$C$38, 0.0369, 0)</f>
        <v>46.744300000000003</v>
      </c>
      <c r="J763" s="44">
        <f>448.5232</f>
        <v>448.52319999999997</v>
      </c>
    </row>
    <row r="764" spans="1:10" ht="15.75" x14ac:dyDescent="0.25">
      <c r="A764" s="32">
        <v>64192</v>
      </c>
      <c r="B764" s="14">
        <f>50.9799 * CHOOSE(CONTROL!$C$15, $E$9, 100%, $G$9) + CHOOSE(CONTROL!$C$38, 0.0278, 0)</f>
        <v>51.0077</v>
      </c>
      <c r="C764" s="14">
        <f>46.9842 * CHOOSE(CONTROL!$C$15, $E$9, 100%, $G$9) + CHOOSE(CONTROL!$C$38, 0.0369, 0)</f>
        <v>47.021100000000004</v>
      </c>
      <c r="D764" s="14">
        <f>46.9764 * CHOOSE(CONTROL!$C$15, $E$9, 100%, $G$9) + CHOOSE(CONTROL!$C$38, 0.0369, 0)</f>
        <v>47.013300000000001</v>
      </c>
      <c r="E764" s="46">
        <f>50.8236 * CHOOSE(CONTROL!$C$15, $E$9, 100%, $G$9) + CHOOSE(CONTROL!$C$38, 0.0369, 0)</f>
        <v>50.860500000000002</v>
      </c>
      <c r="F764" s="45">
        <f>50.8236 * CHOOSE(CONTROL!$C$15, $E$9, 100%, $G$9) + CHOOSE(CONTROL!$C$38, 0.0278, 0)</f>
        <v>50.851399999999998</v>
      </c>
      <c r="G764" s="14">
        <f>46.9827 * CHOOSE(CONTROL!$C$15, $E$9, 100%, $G$9) + CHOOSE(CONTROL!$C$38, 0.0369, 0)</f>
        <v>47.019600000000004</v>
      </c>
      <c r="H764" s="14">
        <f>46.9827 * CHOOSE(CONTROL!$C$15, $E$9, 100%, $G$9) + CHOOSE(CONTROL!$C$38, 0.0369, 0)</f>
        <v>47.019600000000004</v>
      </c>
      <c r="I764" s="14">
        <f>46.9842 * CHOOSE(CONTROL!$C$15, $E$9, 100%, $G$9) + CHOOSE(CONTROL!$C$38, 0.0369, 0)</f>
        <v>47.021100000000004</v>
      </c>
      <c r="J764" s="44">
        <f>433.615</f>
        <v>433.61500000000001</v>
      </c>
    </row>
    <row r="765" spans="1:10" ht="15.75" x14ac:dyDescent="0.25">
      <c r="A765" s="32">
        <v>64223</v>
      </c>
      <c r="B765" s="14">
        <f>51.2117 * CHOOSE(CONTROL!$C$15, $E$9, 100%, $G$9) + CHOOSE(CONTROL!$C$38, 0.0256, 0)</f>
        <v>51.237299999999998</v>
      </c>
      <c r="C765" s="14">
        <f>47.216 * CHOOSE(CONTROL!$C$15, $E$9, 100%, $G$9) + CHOOSE(CONTROL!$C$38, 0.0347, 0)</f>
        <v>47.250700000000002</v>
      </c>
      <c r="D765" s="14">
        <f>47.2082 * CHOOSE(CONTROL!$C$15, $E$9, 100%, $G$9) + CHOOSE(CONTROL!$C$38, 0.0347, 0)</f>
        <v>47.242899999999999</v>
      </c>
      <c r="E765" s="46">
        <f>51.0554 * CHOOSE(CONTROL!$C$15, $E$9, 100%, $G$9) + CHOOSE(CONTROL!$C$38, 0.0347, 0)</f>
        <v>51.0901</v>
      </c>
      <c r="F765" s="45">
        <f>51.0554 * CHOOSE(CONTROL!$C$15, $E$9, 100%, $G$9) + CHOOSE(CONTROL!$C$38, 0.0256, 0)</f>
        <v>51.080999999999996</v>
      </c>
      <c r="G765" s="14">
        <f>47.2145 * CHOOSE(CONTROL!$C$15, $E$9, 100%, $G$9) + CHOOSE(CONTROL!$C$38, 0.0347, 0)</f>
        <v>47.249200000000002</v>
      </c>
      <c r="H765" s="14">
        <f>47.2145 * CHOOSE(CONTROL!$C$15, $E$9, 100%, $G$9) + CHOOSE(CONTROL!$C$38, 0.0347, 0)</f>
        <v>47.249200000000002</v>
      </c>
      <c r="I765" s="14">
        <f>47.216 * CHOOSE(CONTROL!$C$15, $E$9, 100%, $G$9) + CHOOSE(CONTROL!$C$38, 0.0347, 0)</f>
        <v>47.250700000000002</v>
      </c>
      <c r="J765" s="44">
        <f>418.6202</f>
        <v>418.62020000000001</v>
      </c>
    </row>
    <row r="766" spans="1:10" ht="15.75" x14ac:dyDescent="0.25">
      <c r="A766" s="32">
        <v>64253</v>
      </c>
      <c r="B766" s="14">
        <f>51.4051 * CHOOSE(CONTROL!$C$15, $E$9, 100%, $G$9) + CHOOSE(CONTROL!$C$38, 0.0256, 0)</f>
        <v>51.430699999999995</v>
      </c>
      <c r="C766" s="14">
        <f>47.4095 * CHOOSE(CONTROL!$C$15, $E$9, 100%, $G$9) + CHOOSE(CONTROL!$C$38, 0.0347, 0)</f>
        <v>47.444200000000002</v>
      </c>
      <c r="D766" s="14">
        <f>47.4017 * CHOOSE(CONTROL!$C$15, $E$9, 100%, $G$9) + CHOOSE(CONTROL!$C$38, 0.0347, 0)</f>
        <v>47.436399999999999</v>
      </c>
      <c r="E766" s="46">
        <f>51.2489 * CHOOSE(CONTROL!$C$15, $E$9, 100%, $G$9) + CHOOSE(CONTROL!$C$38, 0.0347, 0)</f>
        <v>51.2836</v>
      </c>
      <c r="F766" s="45">
        <f>51.2489 * CHOOSE(CONTROL!$C$15, $E$9, 100%, $G$9) + CHOOSE(CONTROL!$C$38, 0.0256, 0)</f>
        <v>51.274499999999996</v>
      </c>
      <c r="G766" s="14">
        <f>47.4079 * CHOOSE(CONTROL!$C$15, $E$9, 100%, $G$9) + CHOOSE(CONTROL!$C$38, 0.0347, 0)</f>
        <v>47.442599999999999</v>
      </c>
      <c r="H766" s="14">
        <f>47.4079 * CHOOSE(CONTROL!$C$15, $E$9, 100%, $G$9) + CHOOSE(CONTROL!$C$38, 0.0347, 0)</f>
        <v>47.442599999999999</v>
      </c>
      <c r="I766" s="14">
        <f>47.4095 * CHOOSE(CONTROL!$C$15, $E$9, 100%, $G$9) + CHOOSE(CONTROL!$C$38, 0.0347, 0)</f>
        <v>47.444200000000002</v>
      </c>
      <c r="J766" s="44">
        <f>415.6374</f>
        <v>415.63740000000001</v>
      </c>
    </row>
    <row r="767" spans="1:10" ht="15.75" x14ac:dyDescent="0.25">
      <c r="A767" s="32">
        <v>64284</v>
      </c>
      <c r="B767" s="14">
        <f>52.0012 * CHOOSE(CONTROL!$C$15, $E$9, 100%, $G$9) + CHOOSE(CONTROL!$C$38, 0.0256, 0)</f>
        <v>52.026799999999994</v>
      </c>
      <c r="C767" s="14">
        <f>48.0055 * CHOOSE(CONTROL!$C$15, $E$9, 100%, $G$9) + CHOOSE(CONTROL!$C$38, 0.0347, 0)</f>
        <v>48.040199999999999</v>
      </c>
      <c r="D767" s="14">
        <f>47.9977 * CHOOSE(CONTROL!$C$15, $E$9, 100%, $G$9) + CHOOSE(CONTROL!$C$38, 0.0347, 0)</f>
        <v>48.032400000000003</v>
      </c>
      <c r="E767" s="46">
        <f>51.8449 * CHOOSE(CONTROL!$C$15, $E$9, 100%, $G$9) + CHOOSE(CONTROL!$C$38, 0.0347, 0)</f>
        <v>51.879600000000003</v>
      </c>
      <c r="F767" s="45">
        <f>51.8449 * CHOOSE(CONTROL!$C$15, $E$9, 100%, $G$9) + CHOOSE(CONTROL!$C$38, 0.0256, 0)</f>
        <v>51.8705</v>
      </c>
      <c r="G767" s="14">
        <f>48.004 * CHOOSE(CONTROL!$C$15, $E$9, 100%, $G$9) + CHOOSE(CONTROL!$C$38, 0.0347, 0)</f>
        <v>48.038699999999999</v>
      </c>
      <c r="H767" s="14">
        <f>48.004 * CHOOSE(CONTROL!$C$15, $E$9, 100%, $G$9) + CHOOSE(CONTROL!$C$38, 0.0347, 0)</f>
        <v>48.038699999999999</v>
      </c>
      <c r="I767" s="14">
        <f>48.0055 * CHOOSE(CONTROL!$C$15, $E$9, 100%, $G$9) + CHOOSE(CONTROL!$C$38, 0.0347, 0)</f>
        <v>48.040199999999999</v>
      </c>
      <c r="J767" s="44">
        <f>403.3033</f>
        <v>403.30329999999998</v>
      </c>
    </row>
    <row r="768" spans="1:10" ht="15.75" x14ac:dyDescent="0.25">
      <c r="A768" s="32">
        <v>64315</v>
      </c>
      <c r="B768" s="14">
        <f>53.3051 * CHOOSE(CONTROL!$C$15, $E$9, 100%, $G$9) + CHOOSE(CONTROL!$C$38, 0.0256, 0)</f>
        <v>53.3307</v>
      </c>
      <c r="C768" s="14">
        <f>49.2466 * CHOOSE(CONTROL!$C$15, $E$9, 100%, $G$9) + CHOOSE(CONTROL!$C$38, 0.0347, 0)</f>
        <v>49.281300000000002</v>
      </c>
      <c r="D768" s="14">
        <f>49.2387 * CHOOSE(CONTROL!$C$15, $E$9, 100%, $G$9) + CHOOSE(CONTROL!$C$38, 0.0347, 0)</f>
        <v>49.273400000000002</v>
      </c>
      <c r="E768" s="46">
        <f>53.1489 * CHOOSE(CONTROL!$C$15, $E$9, 100%, $G$9) + CHOOSE(CONTROL!$C$38, 0.0347, 0)</f>
        <v>53.183599999999998</v>
      </c>
      <c r="F768" s="45">
        <f>53.1489 * CHOOSE(CONTROL!$C$15, $E$9, 100%, $G$9) + CHOOSE(CONTROL!$C$38, 0.0256, 0)</f>
        <v>53.174499999999995</v>
      </c>
      <c r="G768" s="14">
        <f>49.245 * CHOOSE(CONTROL!$C$15, $E$9, 100%, $G$9) + CHOOSE(CONTROL!$C$38, 0.0347, 0)</f>
        <v>49.279699999999998</v>
      </c>
      <c r="H768" s="14">
        <f>49.245 * CHOOSE(CONTROL!$C$15, $E$9, 100%, $G$9) + CHOOSE(CONTROL!$C$38, 0.0347, 0)</f>
        <v>49.279699999999998</v>
      </c>
      <c r="I768" s="14">
        <f>49.2466 * CHOOSE(CONTROL!$C$15, $E$9, 100%, $G$9) + CHOOSE(CONTROL!$C$38, 0.0347, 0)</f>
        <v>49.281300000000002</v>
      </c>
      <c r="J768" s="44">
        <f>402.5331</f>
        <v>402.53309999999999</v>
      </c>
    </row>
    <row r="769" spans="1:10" ht="15.75" x14ac:dyDescent="0.25">
      <c r="A769" s="32">
        <v>64344</v>
      </c>
      <c r="B769" s="14">
        <f>53.5259 * CHOOSE(CONTROL!$C$15, $E$9, 100%, $G$9) + CHOOSE(CONTROL!$C$38, 0.0256, 0)</f>
        <v>53.551499999999997</v>
      </c>
      <c r="C769" s="14">
        <f>49.4673 * CHOOSE(CONTROL!$C$15, $E$9, 100%, $G$9) + CHOOSE(CONTROL!$C$38, 0.0347, 0)</f>
        <v>49.502000000000002</v>
      </c>
      <c r="D769" s="14">
        <f>49.4595 * CHOOSE(CONTROL!$C$15, $E$9, 100%, $G$9) + CHOOSE(CONTROL!$C$38, 0.0347, 0)</f>
        <v>49.494199999999999</v>
      </c>
      <c r="E769" s="46">
        <f>53.3697 * CHOOSE(CONTROL!$C$15, $E$9, 100%, $G$9) + CHOOSE(CONTROL!$C$38, 0.0347, 0)</f>
        <v>53.404400000000003</v>
      </c>
      <c r="F769" s="45">
        <f>53.3697 * CHOOSE(CONTROL!$C$15, $E$9, 100%, $G$9) + CHOOSE(CONTROL!$C$38, 0.0256, 0)</f>
        <v>53.395299999999999</v>
      </c>
      <c r="G769" s="14">
        <f>49.4658 * CHOOSE(CONTROL!$C$15, $E$9, 100%, $G$9) + CHOOSE(CONTROL!$C$38, 0.0347, 0)</f>
        <v>49.500500000000002</v>
      </c>
      <c r="H769" s="14">
        <f>49.4658 * CHOOSE(CONTROL!$C$15, $E$9, 100%, $G$9) + CHOOSE(CONTROL!$C$38, 0.0347, 0)</f>
        <v>49.500500000000002</v>
      </c>
      <c r="I769" s="14">
        <f>49.4673 * CHOOSE(CONTROL!$C$15, $E$9, 100%, $G$9) + CHOOSE(CONTROL!$C$38, 0.0347, 0)</f>
        <v>49.502000000000002</v>
      </c>
      <c r="J769" s="44">
        <f>401.4142</f>
        <v>401.41419999999999</v>
      </c>
    </row>
    <row r="770" spans="1:10" ht="15.75" x14ac:dyDescent="0.25">
      <c r="A770" s="32">
        <v>64375</v>
      </c>
      <c r="B770" s="14">
        <f>53.0149 * CHOOSE(CONTROL!$C$15, $E$9, 100%, $G$9) + CHOOSE(CONTROL!$C$38, 0.0256, 0)</f>
        <v>53.040499999999994</v>
      </c>
      <c r="C770" s="14">
        <f>48.9563 * CHOOSE(CONTROL!$C$15, $E$9, 100%, $G$9) + CHOOSE(CONTROL!$C$38, 0.0347, 0)</f>
        <v>48.991</v>
      </c>
      <c r="D770" s="14">
        <f>48.9485 * CHOOSE(CONTROL!$C$15, $E$9, 100%, $G$9) + CHOOSE(CONTROL!$C$38, 0.0347, 0)</f>
        <v>48.983200000000004</v>
      </c>
      <c r="E770" s="46">
        <f>52.8586 * CHOOSE(CONTROL!$C$15, $E$9, 100%, $G$9) + CHOOSE(CONTROL!$C$38, 0.0347, 0)</f>
        <v>52.893300000000004</v>
      </c>
      <c r="F770" s="45">
        <f>52.8586 * CHOOSE(CONTROL!$C$15, $E$9, 100%, $G$9) + CHOOSE(CONTROL!$C$38, 0.0256, 0)</f>
        <v>52.8842</v>
      </c>
      <c r="G770" s="14">
        <f>48.9547 * CHOOSE(CONTROL!$C$15, $E$9, 100%, $G$9) + CHOOSE(CONTROL!$C$38, 0.0347, 0)</f>
        <v>48.989400000000003</v>
      </c>
      <c r="H770" s="14">
        <f>48.9547 * CHOOSE(CONTROL!$C$15, $E$9, 100%, $G$9) + CHOOSE(CONTROL!$C$38, 0.0347, 0)</f>
        <v>48.989400000000003</v>
      </c>
      <c r="I770" s="14">
        <f>48.9563 * CHOOSE(CONTROL!$C$15, $E$9, 100%, $G$9) + CHOOSE(CONTROL!$C$38, 0.0347, 0)</f>
        <v>48.991</v>
      </c>
      <c r="J770" s="44">
        <f>422.5711</f>
        <v>422.5711</v>
      </c>
    </row>
    <row r="771" spans="1:10" ht="15.75" x14ac:dyDescent="0.25">
      <c r="A771" s="32">
        <v>64405</v>
      </c>
      <c r="B771" s="14">
        <f>52.5197 * CHOOSE(CONTROL!$C$15, $E$9, 100%, $G$9) + CHOOSE(CONTROL!$C$38, 0.0256, 0)</f>
        <v>52.545299999999997</v>
      </c>
      <c r="C771" s="14">
        <f>48.4611 * CHOOSE(CONTROL!$C$15, $E$9, 100%, $G$9) + CHOOSE(CONTROL!$C$38, 0.0347, 0)</f>
        <v>48.495800000000003</v>
      </c>
      <c r="D771" s="14">
        <f>48.4533 * CHOOSE(CONTROL!$C$15, $E$9, 100%, $G$9) + CHOOSE(CONTROL!$C$38, 0.0347, 0)</f>
        <v>48.488</v>
      </c>
      <c r="E771" s="46">
        <f>52.3634 * CHOOSE(CONTROL!$C$15, $E$9, 100%, $G$9) + CHOOSE(CONTROL!$C$38, 0.0347, 0)</f>
        <v>52.398099999999999</v>
      </c>
      <c r="F771" s="45">
        <f>52.3634 * CHOOSE(CONTROL!$C$15, $E$9, 100%, $G$9) + CHOOSE(CONTROL!$C$38, 0.0256, 0)</f>
        <v>52.388999999999996</v>
      </c>
      <c r="G771" s="14">
        <f>48.4595 * CHOOSE(CONTROL!$C$15, $E$9, 100%, $G$9) + CHOOSE(CONTROL!$C$38, 0.0347, 0)</f>
        <v>48.494199999999999</v>
      </c>
      <c r="H771" s="14">
        <f>48.4595 * CHOOSE(CONTROL!$C$15, $E$9, 100%, $G$9) + CHOOSE(CONTROL!$C$38, 0.0347, 0)</f>
        <v>48.494199999999999</v>
      </c>
      <c r="I771" s="14">
        <f>48.4611 * CHOOSE(CONTROL!$C$15, $E$9, 100%, $G$9) + CHOOSE(CONTROL!$C$38, 0.0347, 0)</f>
        <v>48.495800000000003</v>
      </c>
      <c r="J771" s="44">
        <f>450.0064</f>
        <v>450.00639999999999</v>
      </c>
    </row>
    <row r="772" spans="1:10" ht="15.75" x14ac:dyDescent="0.25">
      <c r="A772" s="32">
        <v>64436</v>
      </c>
      <c r="B772" s="14">
        <f>52.0036 * CHOOSE(CONTROL!$C$15, $E$9, 100%, $G$9) + CHOOSE(CONTROL!$C$38, 0.0278, 0)</f>
        <v>52.031399999999998</v>
      </c>
      <c r="C772" s="14">
        <f>47.945 * CHOOSE(CONTROL!$C$15, $E$9, 100%, $G$9) + CHOOSE(CONTROL!$C$38, 0.0369, 0)</f>
        <v>47.981900000000003</v>
      </c>
      <c r="D772" s="14">
        <f>47.9372 * CHOOSE(CONTROL!$C$15, $E$9, 100%, $G$9) + CHOOSE(CONTROL!$C$38, 0.0369, 0)</f>
        <v>47.9741</v>
      </c>
      <c r="E772" s="46">
        <f>51.8473 * CHOOSE(CONTROL!$C$15, $E$9, 100%, $G$9) + CHOOSE(CONTROL!$C$38, 0.0369, 0)</f>
        <v>51.8842</v>
      </c>
      <c r="F772" s="45">
        <f>51.8473 * CHOOSE(CONTROL!$C$15, $E$9, 100%, $G$9) + CHOOSE(CONTROL!$C$38, 0.0278, 0)</f>
        <v>51.875099999999996</v>
      </c>
      <c r="G772" s="14">
        <f>47.9434 * CHOOSE(CONTROL!$C$15, $E$9, 100%, $G$9) + CHOOSE(CONTROL!$C$38, 0.0369, 0)</f>
        <v>47.9803</v>
      </c>
      <c r="H772" s="14">
        <f>47.9434 * CHOOSE(CONTROL!$C$15, $E$9, 100%, $G$9) + CHOOSE(CONTROL!$C$38, 0.0369, 0)</f>
        <v>47.9803</v>
      </c>
      <c r="I772" s="14">
        <f>47.945 * CHOOSE(CONTROL!$C$15, $E$9, 100%, $G$9) + CHOOSE(CONTROL!$C$38, 0.0369, 0)</f>
        <v>47.981900000000003</v>
      </c>
      <c r="J772" s="44">
        <f>465.1078</f>
        <v>465.1078</v>
      </c>
    </row>
    <row r="773" spans="1:10" ht="15.75" x14ac:dyDescent="0.25">
      <c r="A773" s="32">
        <v>64466</v>
      </c>
      <c r="B773" s="14">
        <f>51.6417 * CHOOSE(CONTROL!$C$15, $E$9, 100%, $G$9) + CHOOSE(CONTROL!$C$38, 0.0278, 0)</f>
        <v>51.669499999999999</v>
      </c>
      <c r="C773" s="14">
        <f>47.5832 * CHOOSE(CONTROL!$C$15, $E$9, 100%, $G$9) + CHOOSE(CONTROL!$C$38, 0.0369, 0)</f>
        <v>47.620100000000001</v>
      </c>
      <c r="D773" s="14">
        <f>47.5753 * CHOOSE(CONTROL!$C$15, $E$9, 100%, $G$9) + CHOOSE(CONTROL!$C$38, 0.0369, 0)</f>
        <v>47.612200000000001</v>
      </c>
      <c r="E773" s="46">
        <f>51.4855 * CHOOSE(CONTROL!$C$15, $E$9, 100%, $G$9) + CHOOSE(CONTROL!$C$38, 0.0369, 0)</f>
        <v>51.522400000000005</v>
      </c>
      <c r="F773" s="45">
        <f>51.4855 * CHOOSE(CONTROL!$C$15, $E$9, 100%, $G$9) + CHOOSE(CONTROL!$C$38, 0.0278, 0)</f>
        <v>51.513300000000001</v>
      </c>
      <c r="G773" s="14">
        <f>47.5816 * CHOOSE(CONTROL!$C$15, $E$9, 100%, $G$9) + CHOOSE(CONTROL!$C$38, 0.0369, 0)</f>
        <v>47.618500000000004</v>
      </c>
      <c r="H773" s="14">
        <f>47.5816 * CHOOSE(CONTROL!$C$15, $E$9, 100%, $G$9) + CHOOSE(CONTROL!$C$38, 0.0369, 0)</f>
        <v>47.618500000000004</v>
      </c>
      <c r="I773" s="14">
        <f>47.5832 * CHOOSE(CONTROL!$C$15, $E$9, 100%, $G$9) + CHOOSE(CONTROL!$C$38, 0.0369, 0)</f>
        <v>47.620100000000001</v>
      </c>
      <c r="J773" s="44">
        <f>471.8095</f>
        <v>471.80950000000001</v>
      </c>
    </row>
    <row r="774" spans="1:10" ht="15.75" x14ac:dyDescent="0.25">
      <c r="A774" s="32">
        <v>64497</v>
      </c>
      <c r="B774" s="14">
        <f>51.4353 * CHOOSE(CONTROL!$C$15, $E$9, 100%, $G$9) + CHOOSE(CONTROL!$C$38, 0.0278, 0)</f>
        <v>51.463099999999997</v>
      </c>
      <c r="C774" s="14">
        <f>47.3767 * CHOOSE(CONTROL!$C$15, $E$9, 100%, $G$9) + CHOOSE(CONTROL!$C$38, 0.0369, 0)</f>
        <v>47.413600000000002</v>
      </c>
      <c r="D774" s="14">
        <f>47.3689 * CHOOSE(CONTROL!$C$15, $E$9, 100%, $G$9) + CHOOSE(CONTROL!$C$38, 0.0369, 0)</f>
        <v>47.405799999999999</v>
      </c>
      <c r="E774" s="46">
        <f>51.279 * CHOOSE(CONTROL!$C$15, $E$9, 100%, $G$9) + CHOOSE(CONTROL!$C$38, 0.0369, 0)</f>
        <v>51.315900000000006</v>
      </c>
      <c r="F774" s="45">
        <f>51.279 * CHOOSE(CONTROL!$C$15, $E$9, 100%, $G$9) + CHOOSE(CONTROL!$C$38, 0.0278, 0)</f>
        <v>51.306800000000003</v>
      </c>
      <c r="G774" s="14">
        <f>47.3751 * CHOOSE(CONTROL!$C$15, $E$9, 100%, $G$9) + CHOOSE(CONTROL!$C$38, 0.0369, 0)</f>
        <v>47.412000000000006</v>
      </c>
      <c r="H774" s="14">
        <f>47.3751 * CHOOSE(CONTROL!$C$15, $E$9, 100%, $G$9) + CHOOSE(CONTROL!$C$38, 0.0369, 0)</f>
        <v>47.412000000000006</v>
      </c>
      <c r="I774" s="14">
        <f>47.3767 * CHOOSE(CONTROL!$C$15, $E$9, 100%, $G$9) + CHOOSE(CONTROL!$C$38, 0.0369, 0)</f>
        <v>47.413600000000002</v>
      </c>
      <c r="J774" s="44">
        <f>469.603</f>
        <v>469.60300000000001</v>
      </c>
    </row>
    <row r="775" spans="1:10" ht="15.75" x14ac:dyDescent="0.25">
      <c r="A775" s="32">
        <v>64528</v>
      </c>
      <c r="B775" s="14">
        <f>51.5372 * CHOOSE(CONTROL!$C$15, $E$9, 100%, $G$9) + CHOOSE(CONTROL!$C$38, 0.0278, 0)</f>
        <v>51.564999999999998</v>
      </c>
      <c r="C775" s="14">
        <f>47.4786 * CHOOSE(CONTROL!$C$15, $E$9, 100%, $G$9) + CHOOSE(CONTROL!$C$38, 0.0369, 0)</f>
        <v>47.515500000000003</v>
      </c>
      <c r="D775" s="14">
        <f>47.4708 * CHOOSE(CONTROL!$C$15, $E$9, 100%, $G$9) + CHOOSE(CONTROL!$C$38, 0.0369, 0)</f>
        <v>47.5077</v>
      </c>
      <c r="E775" s="46">
        <f>51.3809 * CHOOSE(CONTROL!$C$15, $E$9, 100%, $G$9) + CHOOSE(CONTROL!$C$38, 0.0369, 0)</f>
        <v>51.4178</v>
      </c>
      <c r="F775" s="45">
        <f>51.3809 * CHOOSE(CONTROL!$C$15, $E$9, 100%, $G$9) + CHOOSE(CONTROL!$C$38, 0.0278, 0)</f>
        <v>51.408699999999996</v>
      </c>
      <c r="G775" s="14">
        <f>47.477 * CHOOSE(CONTROL!$C$15, $E$9, 100%, $G$9) + CHOOSE(CONTROL!$C$38, 0.0369, 0)</f>
        <v>47.5139</v>
      </c>
      <c r="H775" s="14">
        <f>47.477 * CHOOSE(CONTROL!$C$15, $E$9, 100%, $G$9) + CHOOSE(CONTROL!$C$38, 0.0369, 0)</f>
        <v>47.5139</v>
      </c>
      <c r="I775" s="14">
        <f>47.4786 * CHOOSE(CONTROL!$C$15, $E$9, 100%, $G$9) + CHOOSE(CONTROL!$C$38, 0.0369, 0)</f>
        <v>47.515500000000003</v>
      </c>
      <c r="J775" s="44">
        <f>458.6708</f>
        <v>458.67079999999999</v>
      </c>
    </row>
    <row r="776" spans="1:10" ht="15.75" x14ac:dyDescent="0.25">
      <c r="A776" s="32">
        <v>64558</v>
      </c>
      <c r="B776" s="14">
        <f>51.814 * CHOOSE(CONTROL!$C$15, $E$9, 100%, $G$9) + CHOOSE(CONTROL!$C$38, 0.0278, 0)</f>
        <v>51.841799999999999</v>
      </c>
      <c r="C776" s="14">
        <f>47.7554 * CHOOSE(CONTROL!$C$15, $E$9, 100%, $G$9) + CHOOSE(CONTROL!$C$38, 0.0369, 0)</f>
        <v>47.792300000000004</v>
      </c>
      <c r="D776" s="14">
        <f>47.7476 * CHOOSE(CONTROL!$C$15, $E$9, 100%, $G$9) + CHOOSE(CONTROL!$C$38, 0.0369, 0)</f>
        <v>47.784500000000001</v>
      </c>
      <c r="E776" s="46">
        <f>51.6577 * CHOOSE(CONTROL!$C$15, $E$9, 100%, $G$9) + CHOOSE(CONTROL!$C$38, 0.0369, 0)</f>
        <v>51.694600000000001</v>
      </c>
      <c r="F776" s="45">
        <f>51.6577 * CHOOSE(CONTROL!$C$15, $E$9, 100%, $G$9) + CHOOSE(CONTROL!$C$38, 0.0278, 0)</f>
        <v>51.685499999999998</v>
      </c>
      <c r="G776" s="14">
        <f>47.7538 * CHOOSE(CONTROL!$C$15, $E$9, 100%, $G$9) + CHOOSE(CONTROL!$C$38, 0.0369, 0)</f>
        <v>47.790700000000001</v>
      </c>
      <c r="H776" s="14">
        <f>47.7538 * CHOOSE(CONTROL!$C$15, $E$9, 100%, $G$9) + CHOOSE(CONTROL!$C$38, 0.0369, 0)</f>
        <v>47.790700000000001</v>
      </c>
      <c r="I776" s="14">
        <f>47.7554 * CHOOSE(CONTROL!$C$15, $E$9, 100%, $G$9) + CHOOSE(CONTROL!$C$38, 0.0369, 0)</f>
        <v>47.792300000000004</v>
      </c>
      <c r="J776" s="44">
        <f>443.4254</f>
        <v>443.42540000000002</v>
      </c>
    </row>
    <row r="777" spans="1:10" ht="15.75" x14ac:dyDescent="0.25">
      <c r="A777" s="32">
        <v>64589</v>
      </c>
      <c r="B777" s="14">
        <f>52.0458 * CHOOSE(CONTROL!$C$15, $E$9, 100%, $G$9) + CHOOSE(CONTROL!$C$38, 0.0256, 0)</f>
        <v>52.071399999999997</v>
      </c>
      <c r="C777" s="14">
        <f>47.9872 * CHOOSE(CONTROL!$C$15, $E$9, 100%, $G$9) + CHOOSE(CONTROL!$C$38, 0.0347, 0)</f>
        <v>48.021900000000002</v>
      </c>
      <c r="D777" s="14">
        <f>47.9794 * CHOOSE(CONTROL!$C$15, $E$9, 100%, $G$9) + CHOOSE(CONTROL!$C$38, 0.0347, 0)</f>
        <v>48.014099999999999</v>
      </c>
      <c r="E777" s="46">
        <f>51.8895 * CHOOSE(CONTROL!$C$15, $E$9, 100%, $G$9) + CHOOSE(CONTROL!$C$38, 0.0347, 0)</f>
        <v>51.924199999999999</v>
      </c>
      <c r="F777" s="45">
        <f>51.8895 * CHOOSE(CONTROL!$C$15, $E$9, 100%, $G$9) + CHOOSE(CONTROL!$C$38, 0.0256, 0)</f>
        <v>51.915099999999995</v>
      </c>
      <c r="G777" s="14">
        <f>47.9856 * CHOOSE(CONTROL!$C$15, $E$9, 100%, $G$9) + CHOOSE(CONTROL!$C$38, 0.0347, 0)</f>
        <v>48.020299999999999</v>
      </c>
      <c r="H777" s="14">
        <f>47.9856 * CHOOSE(CONTROL!$C$15, $E$9, 100%, $G$9) + CHOOSE(CONTROL!$C$38, 0.0347, 0)</f>
        <v>48.020299999999999</v>
      </c>
      <c r="I777" s="14">
        <f>47.9872 * CHOOSE(CONTROL!$C$15, $E$9, 100%, $G$9) + CHOOSE(CONTROL!$C$38, 0.0347, 0)</f>
        <v>48.021900000000002</v>
      </c>
      <c r="J777" s="44">
        <f>428.0913</f>
        <v>428.09129999999999</v>
      </c>
    </row>
    <row r="778" spans="1:10" ht="15.75" x14ac:dyDescent="0.25">
      <c r="A778" s="32">
        <v>64619</v>
      </c>
      <c r="B778" s="14">
        <f>52.2392 * CHOOSE(CONTROL!$C$15, $E$9, 100%, $G$9) + CHOOSE(CONTROL!$C$38, 0.0256, 0)</f>
        <v>52.264799999999994</v>
      </c>
      <c r="C778" s="14">
        <f>48.1806 * CHOOSE(CONTROL!$C$15, $E$9, 100%, $G$9) + CHOOSE(CONTROL!$C$38, 0.0347, 0)</f>
        <v>48.215299999999999</v>
      </c>
      <c r="D778" s="14">
        <f>48.1728 * CHOOSE(CONTROL!$C$15, $E$9, 100%, $G$9) + CHOOSE(CONTROL!$C$38, 0.0347, 0)</f>
        <v>48.207500000000003</v>
      </c>
      <c r="E778" s="46">
        <f>52.083 * CHOOSE(CONTROL!$C$15, $E$9, 100%, $G$9) + CHOOSE(CONTROL!$C$38, 0.0347, 0)</f>
        <v>52.117699999999999</v>
      </c>
      <c r="F778" s="45">
        <f>52.083 * CHOOSE(CONTROL!$C$15, $E$9, 100%, $G$9) + CHOOSE(CONTROL!$C$38, 0.0256, 0)</f>
        <v>52.108599999999996</v>
      </c>
      <c r="G778" s="14">
        <f>48.1791 * CHOOSE(CONTROL!$C$15, $E$9, 100%, $G$9) + CHOOSE(CONTROL!$C$38, 0.0347, 0)</f>
        <v>48.213799999999999</v>
      </c>
      <c r="H778" s="14">
        <f>48.1791 * CHOOSE(CONTROL!$C$15, $E$9, 100%, $G$9) + CHOOSE(CONTROL!$C$38, 0.0347, 0)</f>
        <v>48.213799999999999</v>
      </c>
      <c r="I778" s="14">
        <f>48.1806 * CHOOSE(CONTROL!$C$15, $E$9, 100%, $G$9) + CHOOSE(CONTROL!$C$38, 0.0347, 0)</f>
        <v>48.215299999999999</v>
      </c>
      <c r="J778" s="44">
        <f>425.041</f>
        <v>425.041</v>
      </c>
    </row>
    <row r="779" spans="1:10" ht="15.75" x14ac:dyDescent="0.25">
      <c r="A779" s="32">
        <v>64650</v>
      </c>
      <c r="B779" s="14">
        <f>52.8353 * CHOOSE(CONTROL!$C$15, $E$9, 100%, $G$9) + CHOOSE(CONTROL!$C$38, 0.0256, 0)</f>
        <v>52.860899999999994</v>
      </c>
      <c r="C779" s="14">
        <f>48.7767 * CHOOSE(CONTROL!$C$15, $E$9, 100%, $G$9) + CHOOSE(CONTROL!$C$38, 0.0347, 0)</f>
        <v>48.811399999999999</v>
      </c>
      <c r="D779" s="14">
        <f>48.7689 * CHOOSE(CONTROL!$C$15, $E$9, 100%, $G$9) + CHOOSE(CONTROL!$C$38, 0.0347, 0)</f>
        <v>48.803600000000003</v>
      </c>
      <c r="E779" s="46">
        <f>52.679 * CHOOSE(CONTROL!$C$15, $E$9, 100%, $G$9) + CHOOSE(CONTROL!$C$38, 0.0347, 0)</f>
        <v>52.713700000000003</v>
      </c>
      <c r="F779" s="45">
        <f>52.679 * CHOOSE(CONTROL!$C$15, $E$9, 100%, $G$9) + CHOOSE(CONTROL!$C$38, 0.0256, 0)</f>
        <v>52.704599999999999</v>
      </c>
      <c r="G779" s="14">
        <f>48.7751 * CHOOSE(CONTROL!$C$15, $E$9, 100%, $G$9) + CHOOSE(CONTROL!$C$38, 0.0347, 0)</f>
        <v>48.809800000000003</v>
      </c>
      <c r="H779" s="14">
        <f>48.7751 * CHOOSE(CONTROL!$C$15, $E$9, 100%, $G$9) + CHOOSE(CONTROL!$C$38, 0.0347, 0)</f>
        <v>48.809800000000003</v>
      </c>
      <c r="I779" s="14">
        <f>48.7767 * CHOOSE(CONTROL!$C$15, $E$9, 100%, $G$9) + CHOOSE(CONTROL!$C$38, 0.0347, 0)</f>
        <v>48.811399999999999</v>
      </c>
      <c r="J779" s="44">
        <f>412.4279</f>
        <v>412.42790000000002</v>
      </c>
    </row>
    <row r="780" spans="1:10" ht="15.75" x14ac:dyDescent="0.25">
      <c r="A780" s="32">
        <v>64681</v>
      </c>
      <c r="B780" s="14">
        <f>54.1529 * CHOOSE(CONTROL!$C$15, $E$9, 100%, $G$9) + CHOOSE(CONTROL!$C$38, 0.0256, 0)</f>
        <v>54.1785</v>
      </c>
      <c r="C780" s="14">
        <f>50.0304 * CHOOSE(CONTROL!$C$15, $E$9, 100%, $G$9) + CHOOSE(CONTROL!$C$38, 0.0347, 0)</f>
        <v>50.065100000000001</v>
      </c>
      <c r="D780" s="14">
        <f>50.0225 * CHOOSE(CONTROL!$C$15, $E$9, 100%, $G$9) + CHOOSE(CONTROL!$C$38, 0.0347, 0)</f>
        <v>50.057200000000002</v>
      </c>
      <c r="E780" s="46">
        <f>53.9967 * CHOOSE(CONTROL!$C$15, $E$9, 100%, $G$9) + CHOOSE(CONTROL!$C$38, 0.0347, 0)</f>
        <v>54.031399999999998</v>
      </c>
      <c r="F780" s="45">
        <f>53.9967 * CHOOSE(CONTROL!$C$15, $E$9, 100%, $G$9) + CHOOSE(CONTROL!$C$38, 0.0256, 0)</f>
        <v>54.022299999999994</v>
      </c>
      <c r="G780" s="14">
        <f>50.0288 * CHOOSE(CONTROL!$C$15, $E$9, 100%, $G$9) + CHOOSE(CONTROL!$C$38, 0.0347, 0)</f>
        <v>50.063499999999998</v>
      </c>
      <c r="H780" s="14">
        <f>50.0288 * CHOOSE(CONTROL!$C$15, $E$9, 100%, $G$9) + CHOOSE(CONTROL!$C$38, 0.0347, 0)</f>
        <v>50.063499999999998</v>
      </c>
      <c r="I780" s="14">
        <f>50.0304 * CHOOSE(CONTROL!$C$15, $E$9, 100%, $G$9) + CHOOSE(CONTROL!$C$38, 0.0347, 0)</f>
        <v>50.065100000000001</v>
      </c>
      <c r="J780" s="44">
        <f>411.6402</f>
        <v>411.64019999999999</v>
      </c>
    </row>
    <row r="781" spans="1:10" ht="15.75" x14ac:dyDescent="0.25">
      <c r="A781" s="32">
        <v>64709</v>
      </c>
      <c r="B781" s="14">
        <f>54.3737 * CHOOSE(CONTROL!$C$15, $E$9, 100%, $G$9) + CHOOSE(CONTROL!$C$38, 0.0256, 0)</f>
        <v>54.399299999999997</v>
      </c>
      <c r="C781" s="14">
        <f>50.2511 * CHOOSE(CONTROL!$C$15, $E$9, 100%, $G$9) + CHOOSE(CONTROL!$C$38, 0.0347, 0)</f>
        <v>50.285800000000002</v>
      </c>
      <c r="D781" s="14">
        <f>50.2433 * CHOOSE(CONTROL!$C$15, $E$9, 100%, $G$9) + CHOOSE(CONTROL!$C$38, 0.0347, 0)</f>
        <v>50.277999999999999</v>
      </c>
      <c r="E781" s="46">
        <f>54.2174 * CHOOSE(CONTROL!$C$15, $E$9, 100%, $G$9) + CHOOSE(CONTROL!$C$38, 0.0347, 0)</f>
        <v>54.252099999999999</v>
      </c>
      <c r="F781" s="45">
        <f>54.2174 * CHOOSE(CONTROL!$C$15, $E$9, 100%, $G$9) + CHOOSE(CONTROL!$C$38, 0.0256, 0)</f>
        <v>54.242999999999995</v>
      </c>
      <c r="G781" s="14">
        <f>50.2496 * CHOOSE(CONTROL!$C$15, $E$9, 100%, $G$9) + CHOOSE(CONTROL!$C$38, 0.0347, 0)</f>
        <v>50.284300000000002</v>
      </c>
      <c r="H781" s="14">
        <f>50.2496 * CHOOSE(CONTROL!$C$15, $E$9, 100%, $G$9) + CHOOSE(CONTROL!$C$38, 0.0347, 0)</f>
        <v>50.284300000000002</v>
      </c>
      <c r="I781" s="14">
        <f>50.2511 * CHOOSE(CONTROL!$C$15, $E$9, 100%, $G$9) + CHOOSE(CONTROL!$C$38, 0.0347, 0)</f>
        <v>50.285800000000002</v>
      </c>
      <c r="J781" s="44">
        <f>410.496</f>
        <v>410.49599999999998</v>
      </c>
    </row>
    <row r="782" spans="1:10" ht="15.75" x14ac:dyDescent="0.25">
      <c r="A782" s="32">
        <v>64740</v>
      </c>
      <c r="B782" s="14">
        <f>53.8627 * CHOOSE(CONTROL!$C$15, $E$9, 100%, $G$9) + CHOOSE(CONTROL!$C$38, 0.0256, 0)</f>
        <v>53.888299999999994</v>
      </c>
      <c r="C782" s="14">
        <f>49.7401 * CHOOSE(CONTROL!$C$15, $E$9, 100%, $G$9) + CHOOSE(CONTROL!$C$38, 0.0347, 0)</f>
        <v>49.774799999999999</v>
      </c>
      <c r="D782" s="14">
        <f>49.7323 * CHOOSE(CONTROL!$C$15, $E$9, 100%, $G$9) + CHOOSE(CONTROL!$C$38, 0.0347, 0)</f>
        <v>49.767000000000003</v>
      </c>
      <c r="E782" s="46">
        <f>53.7064 * CHOOSE(CONTROL!$C$15, $E$9, 100%, $G$9) + CHOOSE(CONTROL!$C$38, 0.0347, 0)</f>
        <v>53.741100000000003</v>
      </c>
      <c r="F782" s="45">
        <f>53.7064 * CHOOSE(CONTROL!$C$15, $E$9, 100%, $G$9) + CHOOSE(CONTROL!$C$38, 0.0256, 0)</f>
        <v>53.731999999999999</v>
      </c>
      <c r="G782" s="14">
        <f>49.7385 * CHOOSE(CONTROL!$C$15, $E$9, 100%, $G$9) + CHOOSE(CONTROL!$C$38, 0.0347, 0)</f>
        <v>49.773200000000003</v>
      </c>
      <c r="H782" s="14">
        <f>49.7385 * CHOOSE(CONTROL!$C$15, $E$9, 100%, $G$9) + CHOOSE(CONTROL!$C$38, 0.0347, 0)</f>
        <v>49.773200000000003</v>
      </c>
      <c r="I782" s="14">
        <f>49.7401 * CHOOSE(CONTROL!$C$15, $E$9, 100%, $G$9) + CHOOSE(CONTROL!$C$38, 0.0347, 0)</f>
        <v>49.774799999999999</v>
      </c>
      <c r="J782" s="44">
        <f>432.1315</f>
        <v>432.13150000000002</v>
      </c>
    </row>
    <row r="783" spans="1:10" ht="15.75" x14ac:dyDescent="0.25">
      <c r="A783" s="32">
        <v>64770</v>
      </c>
      <c r="B783" s="14">
        <f>53.3675 * CHOOSE(CONTROL!$C$15, $E$9, 100%, $G$9) + CHOOSE(CONTROL!$C$38, 0.0256, 0)</f>
        <v>53.393099999999997</v>
      </c>
      <c r="C783" s="14">
        <f>49.2449 * CHOOSE(CONTROL!$C$15, $E$9, 100%, $G$9) + CHOOSE(CONTROL!$C$38, 0.0347, 0)</f>
        <v>49.279600000000002</v>
      </c>
      <c r="D783" s="14">
        <f>49.2371 * CHOOSE(CONTROL!$C$15, $E$9, 100%, $G$9) + CHOOSE(CONTROL!$C$38, 0.0347, 0)</f>
        <v>49.271799999999999</v>
      </c>
      <c r="E783" s="46">
        <f>53.2112 * CHOOSE(CONTROL!$C$15, $E$9, 100%, $G$9) + CHOOSE(CONTROL!$C$38, 0.0347, 0)</f>
        <v>53.245899999999999</v>
      </c>
      <c r="F783" s="45">
        <f>53.2112 * CHOOSE(CONTROL!$C$15, $E$9, 100%, $G$9) + CHOOSE(CONTROL!$C$38, 0.0256, 0)</f>
        <v>53.236799999999995</v>
      </c>
      <c r="G783" s="14">
        <f>49.2433 * CHOOSE(CONTROL!$C$15, $E$9, 100%, $G$9) + CHOOSE(CONTROL!$C$38, 0.0347, 0)</f>
        <v>49.277999999999999</v>
      </c>
      <c r="H783" s="14">
        <f>49.2433 * CHOOSE(CONTROL!$C$15, $E$9, 100%, $G$9) + CHOOSE(CONTROL!$C$38, 0.0347, 0)</f>
        <v>49.277999999999999</v>
      </c>
      <c r="I783" s="14">
        <f>49.2449 * CHOOSE(CONTROL!$C$15, $E$9, 100%, $G$9) + CHOOSE(CONTROL!$C$38, 0.0347, 0)</f>
        <v>49.279600000000002</v>
      </c>
      <c r="J783" s="44">
        <f>460.1876</f>
        <v>460.18759999999997</v>
      </c>
    </row>
    <row r="784" spans="1:10" ht="15.75" x14ac:dyDescent="0.25">
      <c r="A784" s="32">
        <v>64801</v>
      </c>
      <c r="B784" s="14">
        <f>52.8514 * CHOOSE(CONTROL!$C$15, $E$9, 100%, $G$9) + CHOOSE(CONTROL!$C$38, 0.0278, 0)</f>
        <v>52.879199999999997</v>
      </c>
      <c r="C784" s="14">
        <f>48.7288 * CHOOSE(CONTROL!$C$15, $E$9, 100%, $G$9) + CHOOSE(CONTROL!$C$38, 0.0369, 0)</f>
        <v>48.765700000000002</v>
      </c>
      <c r="D784" s="14">
        <f>48.721 * CHOOSE(CONTROL!$C$15, $E$9, 100%, $G$9) + CHOOSE(CONTROL!$C$38, 0.0369, 0)</f>
        <v>48.757899999999999</v>
      </c>
      <c r="E784" s="46">
        <f>52.6951 * CHOOSE(CONTROL!$C$15, $E$9, 100%, $G$9) + CHOOSE(CONTROL!$C$38, 0.0369, 0)</f>
        <v>52.731999999999999</v>
      </c>
      <c r="F784" s="45">
        <f>52.6951 * CHOOSE(CONTROL!$C$15, $E$9, 100%, $G$9) + CHOOSE(CONTROL!$C$38, 0.0278, 0)</f>
        <v>52.722899999999996</v>
      </c>
      <c r="G784" s="14">
        <f>48.7272 * CHOOSE(CONTROL!$C$15, $E$9, 100%, $G$9) + CHOOSE(CONTROL!$C$38, 0.0369, 0)</f>
        <v>48.764100000000006</v>
      </c>
      <c r="H784" s="14">
        <f>48.7272 * CHOOSE(CONTROL!$C$15, $E$9, 100%, $G$9) + CHOOSE(CONTROL!$C$38, 0.0369, 0)</f>
        <v>48.764100000000006</v>
      </c>
      <c r="I784" s="14">
        <f>48.7288 * CHOOSE(CONTROL!$C$15, $E$9, 100%, $G$9) + CHOOSE(CONTROL!$C$38, 0.0369, 0)</f>
        <v>48.765700000000002</v>
      </c>
      <c r="J784" s="44">
        <f>475.6306</f>
        <v>475.63060000000002</v>
      </c>
    </row>
    <row r="785" spans="1:10" ht="15.75" x14ac:dyDescent="0.25">
      <c r="A785" s="32">
        <v>64831</v>
      </c>
      <c r="B785" s="14">
        <f>52.4895 * CHOOSE(CONTROL!$C$15, $E$9, 100%, $G$9) + CHOOSE(CONTROL!$C$38, 0.0278, 0)</f>
        <v>52.517299999999999</v>
      </c>
      <c r="C785" s="14">
        <f>48.367 * CHOOSE(CONTROL!$C$15, $E$9, 100%, $G$9) + CHOOSE(CONTROL!$C$38, 0.0369, 0)</f>
        <v>48.4039</v>
      </c>
      <c r="D785" s="14">
        <f>48.3592 * CHOOSE(CONTROL!$C$15, $E$9, 100%, $G$9) + CHOOSE(CONTROL!$C$38, 0.0369, 0)</f>
        <v>48.396100000000004</v>
      </c>
      <c r="E785" s="46">
        <f>52.3333 * CHOOSE(CONTROL!$C$15, $E$9, 100%, $G$9) + CHOOSE(CONTROL!$C$38, 0.0369, 0)</f>
        <v>52.370200000000004</v>
      </c>
      <c r="F785" s="45">
        <f>52.3333 * CHOOSE(CONTROL!$C$15, $E$9, 100%, $G$9) + CHOOSE(CONTROL!$C$38, 0.0278, 0)</f>
        <v>52.3611</v>
      </c>
      <c r="G785" s="14">
        <f>48.3654 * CHOOSE(CONTROL!$C$15, $E$9, 100%, $G$9) + CHOOSE(CONTROL!$C$38, 0.0369, 0)</f>
        <v>48.402300000000004</v>
      </c>
      <c r="H785" s="14">
        <f>48.3654 * CHOOSE(CONTROL!$C$15, $E$9, 100%, $G$9) + CHOOSE(CONTROL!$C$38, 0.0369, 0)</f>
        <v>48.402300000000004</v>
      </c>
      <c r="I785" s="14">
        <f>48.367 * CHOOSE(CONTROL!$C$15, $E$9, 100%, $G$9) + CHOOSE(CONTROL!$C$38, 0.0369, 0)</f>
        <v>48.4039</v>
      </c>
      <c r="J785" s="44">
        <f>482.4839</f>
        <v>482.48390000000001</v>
      </c>
    </row>
    <row r="786" spans="1:10" ht="15.75" x14ac:dyDescent="0.25">
      <c r="A786" s="32">
        <v>64862</v>
      </c>
      <c r="B786" s="14">
        <f>52.283 * CHOOSE(CONTROL!$C$15, $E$9, 100%, $G$9) + CHOOSE(CONTROL!$C$38, 0.0278, 0)</f>
        <v>52.3108</v>
      </c>
      <c r="C786" s="14">
        <f>48.1605 * CHOOSE(CONTROL!$C$15, $E$9, 100%, $G$9) + CHOOSE(CONTROL!$C$38, 0.0369, 0)</f>
        <v>48.197400000000002</v>
      </c>
      <c r="D786" s="14">
        <f>48.1527 * CHOOSE(CONTROL!$C$15, $E$9, 100%, $G$9) + CHOOSE(CONTROL!$C$38, 0.0369, 0)</f>
        <v>48.189600000000006</v>
      </c>
      <c r="E786" s="46">
        <f>52.1268 * CHOOSE(CONTROL!$C$15, $E$9, 100%, $G$9) + CHOOSE(CONTROL!$C$38, 0.0369, 0)</f>
        <v>52.163700000000006</v>
      </c>
      <c r="F786" s="45">
        <f>52.1268 * CHOOSE(CONTROL!$C$15, $E$9, 100%, $G$9) + CHOOSE(CONTROL!$C$38, 0.0278, 0)</f>
        <v>52.154600000000002</v>
      </c>
      <c r="G786" s="14">
        <f>48.1589 * CHOOSE(CONTROL!$C$15, $E$9, 100%, $G$9) + CHOOSE(CONTROL!$C$38, 0.0369, 0)</f>
        <v>48.195800000000006</v>
      </c>
      <c r="H786" s="14">
        <f>48.1589 * CHOOSE(CONTROL!$C$15, $E$9, 100%, $G$9) + CHOOSE(CONTROL!$C$38, 0.0369, 0)</f>
        <v>48.195800000000006</v>
      </c>
      <c r="I786" s="14">
        <f>48.1605 * CHOOSE(CONTROL!$C$15, $E$9, 100%, $G$9) + CHOOSE(CONTROL!$C$38, 0.0369, 0)</f>
        <v>48.197400000000002</v>
      </c>
      <c r="J786" s="44">
        <f>480.2275</f>
        <v>480.22750000000002</v>
      </c>
    </row>
    <row r="787" spans="1:10" ht="15.75" x14ac:dyDescent="0.25">
      <c r="A787" s="32">
        <v>64893</v>
      </c>
      <c r="B787" s="14">
        <f>52.3849 * CHOOSE(CONTROL!$C$15, $E$9, 100%, $G$9) + CHOOSE(CONTROL!$C$38, 0.0278, 0)</f>
        <v>52.412700000000001</v>
      </c>
      <c r="C787" s="14">
        <f>48.2624 * CHOOSE(CONTROL!$C$15, $E$9, 100%, $G$9) + CHOOSE(CONTROL!$C$38, 0.0369, 0)</f>
        <v>48.299300000000002</v>
      </c>
      <c r="D787" s="14">
        <f>48.2546 * CHOOSE(CONTROL!$C$15, $E$9, 100%, $G$9) + CHOOSE(CONTROL!$C$38, 0.0369, 0)</f>
        <v>48.291500000000006</v>
      </c>
      <c r="E787" s="46">
        <f>52.2287 * CHOOSE(CONTROL!$C$15, $E$9, 100%, $G$9) + CHOOSE(CONTROL!$C$38, 0.0369, 0)</f>
        <v>52.265600000000006</v>
      </c>
      <c r="F787" s="45">
        <f>52.2287 * CHOOSE(CONTROL!$C$15, $E$9, 100%, $G$9) + CHOOSE(CONTROL!$C$38, 0.0278, 0)</f>
        <v>52.256500000000003</v>
      </c>
      <c r="G787" s="14">
        <f>48.2608 * CHOOSE(CONTROL!$C$15, $E$9, 100%, $G$9) + CHOOSE(CONTROL!$C$38, 0.0369, 0)</f>
        <v>48.297700000000006</v>
      </c>
      <c r="H787" s="14">
        <f>48.2608 * CHOOSE(CONTROL!$C$15, $E$9, 100%, $G$9) + CHOOSE(CONTROL!$C$38, 0.0369, 0)</f>
        <v>48.297700000000006</v>
      </c>
      <c r="I787" s="14">
        <f>48.2624 * CHOOSE(CONTROL!$C$15, $E$9, 100%, $G$9) + CHOOSE(CONTROL!$C$38, 0.0369, 0)</f>
        <v>48.299300000000002</v>
      </c>
      <c r="J787" s="44">
        <f>469.048</f>
        <v>469.048</v>
      </c>
    </row>
    <row r="788" spans="1:10" ht="15.75" x14ac:dyDescent="0.25">
      <c r="A788" s="32">
        <v>64923</v>
      </c>
      <c r="B788" s="14">
        <f>52.6617 * CHOOSE(CONTROL!$C$15, $E$9, 100%, $G$9) + CHOOSE(CONTROL!$C$38, 0.0278, 0)</f>
        <v>52.689500000000002</v>
      </c>
      <c r="C788" s="14">
        <f>48.5392 * CHOOSE(CONTROL!$C$15, $E$9, 100%, $G$9) + CHOOSE(CONTROL!$C$38, 0.0369, 0)</f>
        <v>48.576100000000004</v>
      </c>
      <c r="D788" s="14">
        <f>48.5314 * CHOOSE(CONTROL!$C$15, $E$9, 100%, $G$9) + CHOOSE(CONTROL!$C$38, 0.0369, 0)</f>
        <v>48.568300000000001</v>
      </c>
      <c r="E788" s="46">
        <f>52.5055 * CHOOSE(CONTROL!$C$15, $E$9, 100%, $G$9) + CHOOSE(CONTROL!$C$38, 0.0369, 0)</f>
        <v>52.542400000000001</v>
      </c>
      <c r="F788" s="45">
        <f>52.5055 * CHOOSE(CONTROL!$C$15, $E$9, 100%, $G$9) + CHOOSE(CONTROL!$C$38, 0.0278, 0)</f>
        <v>52.533299999999997</v>
      </c>
      <c r="G788" s="14">
        <f>48.5376 * CHOOSE(CONTROL!$C$15, $E$9, 100%, $G$9) + CHOOSE(CONTROL!$C$38, 0.0369, 0)</f>
        <v>48.5745</v>
      </c>
      <c r="H788" s="14">
        <f>48.5376 * CHOOSE(CONTROL!$C$15, $E$9, 100%, $G$9) + CHOOSE(CONTROL!$C$38, 0.0369, 0)</f>
        <v>48.5745</v>
      </c>
      <c r="I788" s="14">
        <f>48.5392 * CHOOSE(CONTROL!$C$15, $E$9, 100%, $G$9) + CHOOSE(CONTROL!$C$38, 0.0369, 0)</f>
        <v>48.576100000000004</v>
      </c>
      <c r="J788" s="44">
        <f>453.4576</f>
        <v>453.45760000000001</v>
      </c>
    </row>
    <row r="789" spans="1:10" ht="15.75" x14ac:dyDescent="0.25">
      <c r="A789" s="32">
        <v>64954</v>
      </c>
      <c r="B789" s="14">
        <f>52.8936 * CHOOSE(CONTROL!$C$15, $E$9, 100%, $G$9) + CHOOSE(CONTROL!$C$38, 0.0256, 0)</f>
        <v>52.919199999999996</v>
      </c>
      <c r="C789" s="14">
        <f>48.771 * CHOOSE(CONTROL!$C$15, $E$9, 100%, $G$9) + CHOOSE(CONTROL!$C$38, 0.0347, 0)</f>
        <v>48.805700000000002</v>
      </c>
      <c r="D789" s="14">
        <f>48.7632 * CHOOSE(CONTROL!$C$15, $E$9, 100%, $G$9) + CHOOSE(CONTROL!$C$38, 0.0347, 0)</f>
        <v>48.797899999999998</v>
      </c>
      <c r="E789" s="46">
        <f>52.7373 * CHOOSE(CONTROL!$C$15, $E$9, 100%, $G$9) + CHOOSE(CONTROL!$C$38, 0.0347, 0)</f>
        <v>52.771999999999998</v>
      </c>
      <c r="F789" s="45">
        <f>52.7373 * CHOOSE(CONTROL!$C$15, $E$9, 100%, $G$9) + CHOOSE(CONTROL!$C$38, 0.0256, 0)</f>
        <v>52.762899999999995</v>
      </c>
      <c r="G789" s="14">
        <f>48.7694 * CHOOSE(CONTROL!$C$15, $E$9, 100%, $G$9) + CHOOSE(CONTROL!$C$38, 0.0347, 0)</f>
        <v>48.804099999999998</v>
      </c>
      <c r="H789" s="14">
        <f>48.7694 * CHOOSE(CONTROL!$C$15, $E$9, 100%, $G$9) + CHOOSE(CONTROL!$C$38, 0.0347, 0)</f>
        <v>48.804099999999998</v>
      </c>
      <c r="I789" s="14">
        <f>48.771 * CHOOSE(CONTROL!$C$15, $E$9, 100%, $G$9) + CHOOSE(CONTROL!$C$38, 0.0347, 0)</f>
        <v>48.805700000000002</v>
      </c>
      <c r="J789" s="44">
        <f>437.7766</f>
        <v>437.77659999999997</v>
      </c>
    </row>
    <row r="790" spans="1:10" ht="15.75" x14ac:dyDescent="0.25">
      <c r="A790" s="32">
        <v>64984</v>
      </c>
      <c r="B790" s="14">
        <f>53.087 * CHOOSE(CONTROL!$C$15, $E$9, 100%, $G$9) + CHOOSE(CONTROL!$C$38, 0.0256, 0)</f>
        <v>53.1126</v>
      </c>
      <c r="C790" s="14">
        <f>48.9644 * CHOOSE(CONTROL!$C$15, $E$9, 100%, $G$9) + CHOOSE(CONTROL!$C$38, 0.0347, 0)</f>
        <v>48.999099999999999</v>
      </c>
      <c r="D790" s="14">
        <f>48.9566 * CHOOSE(CONTROL!$C$15, $E$9, 100%, $G$9) + CHOOSE(CONTROL!$C$38, 0.0347, 0)</f>
        <v>48.991300000000003</v>
      </c>
      <c r="E790" s="46">
        <f>52.9308 * CHOOSE(CONTROL!$C$15, $E$9, 100%, $G$9) + CHOOSE(CONTROL!$C$38, 0.0347, 0)</f>
        <v>52.965499999999999</v>
      </c>
      <c r="F790" s="45">
        <f>52.9308 * CHOOSE(CONTROL!$C$15, $E$9, 100%, $G$9) + CHOOSE(CONTROL!$C$38, 0.0256, 0)</f>
        <v>52.956399999999995</v>
      </c>
      <c r="G790" s="14">
        <f>48.9629 * CHOOSE(CONTROL!$C$15, $E$9, 100%, $G$9) + CHOOSE(CONTROL!$C$38, 0.0347, 0)</f>
        <v>48.997599999999998</v>
      </c>
      <c r="H790" s="14">
        <f>48.9629 * CHOOSE(CONTROL!$C$15, $E$9, 100%, $G$9) + CHOOSE(CONTROL!$C$38, 0.0347, 0)</f>
        <v>48.997599999999998</v>
      </c>
      <c r="I790" s="14">
        <f>48.9644 * CHOOSE(CONTROL!$C$15, $E$9, 100%, $G$9) + CHOOSE(CONTROL!$C$38, 0.0347, 0)</f>
        <v>48.999099999999999</v>
      </c>
      <c r="J790" s="44">
        <f>434.6573</f>
        <v>434.65730000000002</v>
      </c>
    </row>
    <row r="791" spans="1:10" ht="15.75" x14ac:dyDescent="0.25">
      <c r="A791" s="32">
        <v>65015</v>
      </c>
      <c r="B791" s="14">
        <f>53.6831 * CHOOSE(CONTROL!$C$15, $E$9, 100%, $G$9) + CHOOSE(CONTROL!$C$38, 0.0256, 0)</f>
        <v>53.7087</v>
      </c>
      <c r="C791" s="14">
        <f>49.5605 * CHOOSE(CONTROL!$C$15, $E$9, 100%, $G$9) + CHOOSE(CONTROL!$C$38, 0.0347, 0)</f>
        <v>49.595199999999998</v>
      </c>
      <c r="D791" s="14">
        <f>49.5527 * CHOOSE(CONTROL!$C$15, $E$9, 100%, $G$9) + CHOOSE(CONTROL!$C$38, 0.0347, 0)</f>
        <v>49.587400000000002</v>
      </c>
      <c r="E791" s="46">
        <f>53.5268 * CHOOSE(CONTROL!$C$15, $E$9, 100%, $G$9) + CHOOSE(CONTROL!$C$38, 0.0347, 0)</f>
        <v>53.561500000000002</v>
      </c>
      <c r="F791" s="45">
        <f>53.5268 * CHOOSE(CONTROL!$C$15, $E$9, 100%, $G$9) + CHOOSE(CONTROL!$C$38, 0.0256, 0)</f>
        <v>53.552399999999999</v>
      </c>
      <c r="G791" s="14">
        <f>49.559 * CHOOSE(CONTROL!$C$15, $E$9, 100%, $G$9) + CHOOSE(CONTROL!$C$38, 0.0347, 0)</f>
        <v>49.593699999999998</v>
      </c>
      <c r="H791" s="14">
        <f>49.559 * CHOOSE(CONTROL!$C$15, $E$9, 100%, $G$9) + CHOOSE(CONTROL!$C$38, 0.0347, 0)</f>
        <v>49.593699999999998</v>
      </c>
      <c r="I791" s="14">
        <f>49.5605 * CHOOSE(CONTROL!$C$15, $E$9, 100%, $G$9) + CHOOSE(CONTROL!$C$38, 0.0347, 0)</f>
        <v>49.595199999999998</v>
      </c>
      <c r="J791" s="44">
        <f>421.7589</f>
        <v>421.75889999999998</v>
      </c>
    </row>
    <row r="792" spans="1:10" ht="15.75" x14ac:dyDescent="0.25">
      <c r="A792" s="32">
        <v>65046</v>
      </c>
      <c r="B792" s="14">
        <f>55.0146 * CHOOSE(CONTROL!$C$15, $E$9, 100%, $G$9) + CHOOSE(CONTROL!$C$38, 0.0256, 0)</f>
        <v>55.040199999999999</v>
      </c>
      <c r="C792" s="14">
        <f>50.827 * CHOOSE(CONTROL!$C$15, $E$9, 100%, $G$9) + CHOOSE(CONTROL!$C$38, 0.0347, 0)</f>
        <v>50.861699999999999</v>
      </c>
      <c r="D792" s="14">
        <f>50.8192 * CHOOSE(CONTROL!$C$15, $E$9, 100%, $G$9) + CHOOSE(CONTROL!$C$38, 0.0347, 0)</f>
        <v>50.853900000000003</v>
      </c>
      <c r="E792" s="46">
        <f>54.8584 * CHOOSE(CONTROL!$C$15, $E$9, 100%, $G$9) + CHOOSE(CONTROL!$C$38, 0.0347, 0)</f>
        <v>54.893100000000004</v>
      </c>
      <c r="F792" s="45">
        <f>54.8584 * CHOOSE(CONTROL!$C$15, $E$9, 100%, $G$9) + CHOOSE(CONTROL!$C$38, 0.0256, 0)</f>
        <v>54.884</v>
      </c>
      <c r="G792" s="14">
        <f>50.8255 * CHOOSE(CONTROL!$C$15, $E$9, 100%, $G$9) + CHOOSE(CONTROL!$C$38, 0.0347, 0)</f>
        <v>50.860199999999999</v>
      </c>
      <c r="H792" s="14">
        <f>50.8255 * CHOOSE(CONTROL!$C$15, $E$9, 100%, $G$9) + CHOOSE(CONTROL!$C$38, 0.0347, 0)</f>
        <v>50.860199999999999</v>
      </c>
      <c r="I792" s="14">
        <f>50.827 * CHOOSE(CONTROL!$C$15, $E$9, 100%, $G$9) + CHOOSE(CONTROL!$C$38, 0.0347, 0)</f>
        <v>50.861699999999999</v>
      </c>
      <c r="J792" s="44">
        <f>420.9534</f>
        <v>420.95339999999999</v>
      </c>
    </row>
    <row r="793" spans="1:10" ht="15.75" x14ac:dyDescent="0.25">
      <c r="A793" s="32">
        <v>65074</v>
      </c>
      <c r="B793" s="14">
        <f>55.2354 * CHOOSE(CONTROL!$C$15, $E$9, 100%, $G$9) + CHOOSE(CONTROL!$C$38, 0.0256, 0)</f>
        <v>55.260999999999996</v>
      </c>
      <c r="C793" s="14">
        <f>51.0478 * CHOOSE(CONTROL!$C$15, $E$9, 100%, $G$9) + CHOOSE(CONTROL!$C$38, 0.0347, 0)</f>
        <v>51.082500000000003</v>
      </c>
      <c r="D793" s="14">
        <f>51.04 * CHOOSE(CONTROL!$C$15, $E$9, 100%, $G$9) + CHOOSE(CONTROL!$C$38, 0.0347, 0)</f>
        <v>51.0747</v>
      </c>
      <c r="E793" s="46">
        <f>55.0791 * CHOOSE(CONTROL!$C$15, $E$9, 100%, $G$9) + CHOOSE(CONTROL!$C$38, 0.0347, 0)</f>
        <v>55.113799999999998</v>
      </c>
      <c r="F793" s="45">
        <f>55.0791 * CHOOSE(CONTROL!$C$15, $E$9, 100%, $G$9) + CHOOSE(CONTROL!$C$38, 0.0256, 0)</f>
        <v>55.104699999999994</v>
      </c>
      <c r="G793" s="14">
        <f>51.0462 * CHOOSE(CONTROL!$C$15, $E$9, 100%, $G$9) + CHOOSE(CONTROL!$C$38, 0.0347, 0)</f>
        <v>51.0809</v>
      </c>
      <c r="H793" s="14">
        <f>51.0462 * CHOOSE(CONTROL!$C$15, $E$9, 100%, $G$9) + CHOOSE(CONTROL!$C$38, 0.0347, 0)</f>
        <v>51.0809</v>
      </c>
      <c r="I793" s="14">
        <f>51.0478 * CHOOSE(CONTROL!$C$15, $E$9, 100%, $G$9) + CHOOSE(CONTROL!$C$38, 0.0347, 0)</f>
        <v>51.082500000000003</v>
      </c>
      <c r="J793" s="44">
        <f>419.7833</f>
        <v>419.7833</v>
      </c>
    </row>
    <row r="794" spans="1:10" ht="15.75" x14ac:dyDescent="0.25">
      <c r="A794" s="32">
        <v>65105</v>
      </c>
      <c r="B794" s="14">
        <f>54.7243 * CHOOSE(CONTROL!$C$15, $E$9, 100%, $G$9) + CHOOSE(CONTROL!$C$38, 0.0256, 0)</f>
        <v>54.749899999999997</v>
      </c>
      <c r="C794" s="14">
        <f>50.5367 * CHOOSE(CONTROL!$C$15, $E$9, 100%, $G$9) + CHOOSE(CONTROL!$C$38, 0.0347, 0)</f>
        <v>50.571400000000004</v>
      </c>
      <c r="D794" s="14">
        <f>50.5289 * CHOOSE(CONTROL!$C$15, $E$9, 100%, $G$9) + CHOOSE(CONTROL!$C$38, 0.0347, 0)</f>
        <v>50.563600000000001</v>
      </c>
      <c r="E794" s="46">
        <f>54.5681 * CHOOSE(CONTROL!$C$15, $E$9, 100%, $G$9) + CHOOSE(CONTROL!$C$38, 0.0347, 0)</f>
        <v>54.602800000000002</v>
      </c>
      <c r="F794" s="45">
        <f>54.5681 * CHOOSE(CONTROL!$C$15, $E$9, 100%, $G$9) + CHOOSE(CONTROL!$C$38, 0.0256, 0)</f>
        <v>54.593699999999998</v>
      </c>
      <c r="G794" s="14">
        <f>50.5352 * CHOOSE(CONTROL!$C$15, $E$9, 100%, $G$9) + CHOOSE(CONTROL!$C$38, 0.0347, 0)</f>
        <v>50.569900000000004</v>
      </c>
      <c r="H794" s="14">
        <f>50.5352 * CHOOSE(CONTROL!$C$15, $E$9, 100%, $G$9) + CHOOSE(CONTROL!$C$38, 0.0347, 0)</f>
        <v>50.569900000000004</v>
      </c>
      <c r="I794" s="14">
        <f>50.5367 * CHOOSE(CONTROL!$C$15, $E$9, 100%, $G$9) + CHOOSE(CONTROL!$C$38, 0.0347, 0)</f>
        <v>50.571400000000004</v>
      </c>
      <c r="J794" s="44">
        <f>441.9083</f>
        <v>441.9083</v>
      </c>
    </row>
    <row r="795" spans="1:10" ht="15.75" x14ac:dyDescent="0.25">
      <c r="A795" s="32">
        <v>65135</v>
      </c>
      <c r="B795" s="14">
        <f>54.2292 * CHOOSE(CONTROL!$C$15, $E$9, 100%, $G$9) + CHOOSE(CONTROL!$C$38, 0.0256, 0)</f>
        <v>54.254799999999996</v>
      </c>
      <c r="C795" s="14">
        <f>50.0416 * CHOOSE(CONTROL!$C$15, $E$9, 100%, $G$9) + CHOOSE(CONTROL!$C$38, 0.0347, 0)</f>
        <v>50.076300000000003</v>
      </c>
      <c r="D795" s="14">
        <f>50.0338 * CHOOSE(CONTROL!$C$15, $E$9, 100%, $G$9) + CHOOSE(CONTROL!$C$38, 0.0347, 0)</f>
        <v>50.0685</v>
      </c>
      <c r="E795" s="46">
        <f>54.0729 * CHOOSE(CONTROL!$C$15, $E$9, 100%, $G$9) + CHOOSE(CONTROL!$C$38, 0.0347, 0)</f>
        <v>54.107599999999998</v>
      </c>
      <c r="F795" s="45">
        <f>54.0729 * CHOOSE(CONTROL!$C$15, $E$9, 100%, $G$9) + CHOOSE(CONTROL!$C$38, 0.0256, 0)</f>
        <v>54.098499999999994</v>
      </c>
      <c r="G795" s="14">
        <f>50.04 * CHOOSE(CONTROL!$C$15, $E$9, 100%, $G$9) + CHOOSE(CONTROL!$C$38, 0.0347, 0)</f>
        <v>50.0747</v>
      </c>
      <c r="H795" s="14">
        <f>50.04 * CHOOSE(CONTROL!$C$15, $E$9, 100%, $G$9) + CHOOSE(CONTROL!$C$38, 0.0347, 0)</f>
        <v>50.0747</v>
      </c>
      <c r="I795" s="14">
        <f>50.0416 * CHOOSE(CONTROL!$C$15, $E$9, 100%, $G$9) + CHOOSE(CONTROL!$C$38, 0.0347, 0)</f>
        <v>50.076300000000003</v>
      </c>
      <c r="J795" s="44">
        <f>470.5991</f>
        <v>470.59910000000002</v>
      </c>
    </row>
    <row r="796" spans="1:10" ht="15.75" x14ac:dyDescent="0.25">
      <c r="A796" s="32">
        <v>65166</v>
      </c>
      <c r="B796" s="14">
        <f>53.713 * CHOOSE(CONTROL!$C$15, $E$9, 100%, $G$9) + CHOOSE(CONTROL!$C$38, 0.0278, 0)</f>
        <v>53.7408</v>
      </c>
      <c r="C796" s="14">
        <f>49.5255 * CHOOSE(CONTROL!$C$15, $E$9, 100%, $G$9) + CHOOSE(CONTROL!$C$38, 0.0369, 0)</f>
        <v>49.562400000000004</v>
      </c>
      <c r="D796" s="14">
        <f>49.5176 * CHOOSE(CONTROL!$C$15, $E$9, 100%, $G$9) + CHOOSE(CONTROL!$C$38, 0.0369, 0)</f>
        <v>49.554500000000004</v>
      </c>
      <c r="E796" s="46">
        <f>53.5568 * CHOOSE(CONTROL!$C$15, $E$9, 100%, $G$9) + CHOOSE(CONTROL!$C$38, 0.0369, 0)</f>
        <v>53.593700000000005</v>
      </c>
      <c r="F796" s="45">
        <f>53.5568 * CHOOSE(CONTROL!$C$15, $E$9, 100%, $G$9) + CHOOSE(CONTROL!$C$38, 0.0278, 0)</f>
        <v>53.584600000000002</v>
      </c>
      <c r="G796" s="14">
        <f>49.5239 * CHOOSE(CONTROL!$C$15, $E$9, 100%, $G$9) + CHOOSE(CONTROL!$C$38, 0.0369, 0)</f>
        <v>49.5608</v>
      </c>
      <c r="H796" s="14">
        <f>49.5239 * CHOOSE(CONTROL!$C$15, $E$9, 100%, $G$9) + CHOOSE(CONTROL!$C$38, 0.0369, 0)</f>
        <v>49.5608</v>
      </c>
      <c r="I796" s="14">
        <f>49.5255 * CHOOSE(CONTROL!$C$15, $E$9, 100%, $G$9) + CHOOSE(CONTROL!$C$38, 0.0369, 0)</f>
        <v>49.562400000000004</v>
      </c>
      <c r="J796" s="44">
        <f>486.3915</f>
        <v>486.39150000000001</v>
      </c>
    </row>
    <row r="797" spans="1:10" ht="15.75" x14ac:dyDescent="0.25">
      <c r="A797" s="32">
        <v>65196</v>
      </c>
      <c r="B797" s="14">
        <f>53.3512 * CHOOSE(CONTROL!$C$15, $E$9, 100%, $G$9) + CHOOSE(CONTROL!$C$38, 0.0278, 0)</f>
        <v>53.378999999999998</v>
      </c>
      <c r="C797" s="14">
        <f>49.1636 * CHOOSE(CONTROL!$C$15, $E$9, 100%, $G$9) + CHOOSE(CONTROL!$C$38, 0.0369, 0)</f>
        <v>49.200500000000005</v>
      </c>
      <c r="D797" s="14">
        <f>49.1558 * CHOOSE(CONTROL!$C$15, $E$9, 100%, $G$9) + CHOOSE(CONTROL!$C$38, 0.0369, 0)</f>
        <v>49.192700000000002</v>
      </c>
      <c r="E797" s="46">
        <f>53.195 * CHOOSE(CONTROL!$C$15, $E$9, 100%, $G$9) + CHOOSE(CONTROL!$C$38, 0.0369, 0)</f>
        <v>53.231900000000003</v>
      </c>
      <c r="F797" s="45">
        <f>53.195 * CHOOSE(CONTROL!$C$15, $E$9, 100%, $G$9) + CHOOSE(CONTROL!$C$38, 0.0278, 0)</f>
        <v>53.222799999999999</v>
      </c>
      <c r="G797" s="14">
        <f>49.1621 * CHOOSE(CONTROL!$C$15, $E$9, 100%, $G$9) + CHOOSE(CONTROL!$C$38, 0.0369, 0)</f>
        <v>49.199000000000005</v>
      </c>
      <c r="H797" s="14">
        <f>49.1621 * CHOOSE(CONTROL!$C$15, $E$9, 100%, $G$9) + CHOOSE(CONTROL!$C$38, 0.0369, 0)</f>
        <v>49.199000000000005</v>
      </c>
      <c r="I797" s="14">
        <f>49.1636 * CHOOSE(CONTROL!$C$15, $E$9, 100%, $G$9) + CHOOSE(CONTROL!$C$38, 0.0369, 0)</f>
        <v>49.200500000000005</v>
      </c>
      <c r="J797" s="44">
        <f>493.3999</f>
        <v>493.3999</v>
      </c>
    </row>
    <row r="798" spans="1:10" ht="15.75" x14ac:dyDescent="0.25">
      <c r="A798" s="32">
        <v>65227</v>
      </c>
      <c r="B798" s="14">
        <f>53.1447 * CHOOSE(CONTROL!$C$15, $E$9, 100%, $G$9) + CHOOSE(CONTROL!$C$38, 0.0278, 0)</f>
        <v>53.172499999999999</v>
      </c>
      <c r="C798" s="14">
        <f>48.9571 * CHOOSE(CONTROL!$C$15, $E$9, 100%, $G$9) + CHOOSE(CONTROL!$C$38, 0.0369, 0)</f>
        <v>48.994</v>
      </c>
      <c r="D798" s="14">
        <f>48.9493 * CHOOSE(CONTROL!$C$15, $E$9, 100%, $G$9) + CHOOSE(CONTROL!$C$38, 0.0369, 0)</f>
        <v>48.986200000000004</v>
      </c>
      <c r="E798" s="46">
        <f>52.9885 * CHOOSE(CONTROL!$C$15, $E$9, 100%, $G$9) + CHOOSE(CONTROL!$C$38, 0.0369, 0)</f>
        <v>53.025400000000005</v>
      </c>
      <c r="F798" s="45">
        <f>52.9885 * CHOOSE(CONTROL!$C$15, $E$9, 100%, $G$9) + CHOOSE(CONTROL!$C$38, 0.0278, 0)</f>
        <v>53.016300000000001</v>
      </c>
      <c r="G798" s="14">
        <f>48.9556 * CHOOSE(CONTROL!$C$15, $E$9, 100%, $G$9) + CHOOSE(CONTROL!$C$38, 0.0369, 0)</f>
        <v>48.9925</v>
      </c>
      <c r="H798" s="14">
        <f>48.9556 * CHOOSE(CONTROL!$C$15, $E$9, 100%, $G$9) + CHOOSE(CONTROL!$C$38, 0.0369, 0)</f>
        <v>48.9925</v>
      </c>
      <c r="I798" s="14">
        <f>48.9571 * CHOOSE(CONTROL!$C$15, $E$9, 100%, $G$9) + CHOOSE(CONTROL!$C$38, 0.0369, 0)</f>
        <v>48.994</v>
      </c>
      <c r="J798" s="44">
        <f>491.0924</f>
        <v>491.0924</v>
      </c>
    </row>
    <row r="799" spans="1:10" ht="15.75" x14ac:dyDescent="0.25">
      <c r="A799" s="32">
        <v>65258</v>
      </c>
      <c r="B799" s="14">
        <f>53.2466 * CHOOSE(CONTROL!$C$15, $E$9, 100%, $G$9) + CHOOSE(CONTROL!$C$38, 0.0278, 0)</f>
        <v>53.2744</v>
      </c>
      <c r="C799" s="14">
        <f>49.059 * CHOOSE(CONTROL!$C$15, $E$9, 100%, $G$9) + CHOOSE(CONTROL!$C$38, 0.0369, 0)</f>
        <v>49.0959</v>
      </c>
      <c r="D799" s="14">
        <f>49.0512 * CHOOSE(CONTROL!$C$15, $E$9, 100%, $G$9) + CHOOSE(CONTROL!$C$38, 0.0369, 0)</f>
        <v>49.088100000000004</v>
      </c>
      <c r="E799" s="46">
        <f>53.0904 * CHOOSE(CONTROL!$C$15, $E$9, 100%, $G$9) + CHOOSE(CONTROL!$C$38, 0.0369, 0)</f>
        <v>53.127300000000005</v>
      </c>
      <c r="F799" s="45">
        <f>53.0904 * CHOOSE(CONTROL!$C$15, $E$9, 100%, $G$9) + CHOOSE(CONTROL!$C$38, 0.0278, 0)</f>
        <v>53.118200000000002</v>
      </c>
      <c r="G799" s="14">
        <f>49.0575 * CHOOSE(CONTROL!$C$15, $E$9, 100%, $G$9) + CHOOSE(CONTROL!$C$38, 0.0369, 0)</f>
        <v>49.0944</v>
      </c>
      <c r="H799" s="14">
        <f>49.0575 * CHOOSE(CONTROL!$C$15, $E$9, 100%, $G$9) + CHOOSE(CONTROL!$C$38, 0.0369, 0)</f>
        <v>49.0944</v>
      </c>
      <c r="I799" s="14">
        <f>49.059 * CHOOSE(CONTROL!$C$15, $E$9, 100%, $G$9) + CHOOSE(CONTROL!$C$38, 0.0369, 0)</f>
        <v>49.0959</v>
      </c>
      <c r="J799" s="44">
        <f>479.66</f>
        <v>479.66</v>
      </c>
    </row>
    <row r="800" spans="1:10" ht="15.75" x14ac:dyDescent="0.25">
      <c r="A800" s="32">
        <v>65288</v>
      </c>
      <c r="B800" s="14">
        <f>53.5234 * CHOOSE(CONTROL!$C$15, $E$9, 100%, $G$9) + CHOOSE(CONTROL!$C$38, 0.0278, 0)</f>
        <v>53.551200000000001</v>
      </c>
      <c r="C800" s="14">
        <f>49.3358 * CHOOSE(CONTROL!$C$15, $E$9, 100%, $G$9) + CHOOSE(CONTROL!$C$38, 0.0369, 0)</f>
        <v>49.372700000000002</v>
      </c>
      <c r="D800" s="14">
        <f>49.328 * CHOOSE(CONTROL!$C$15, $E$9, 100%, $G$9) + CHOOSE(CONTROL!$C$38, 0.0369, 0)</f>
        <v>49.364900000000006</v>
      </c>
      <c r="E800" s="46">
        <f>53.3672 * CHOOSE(CONTROL!$C$15, $E$9, 100%, $G$9) + CHOOSE(CONTROL!$C$38, 0.0369, 0)</f>
        <v>53.4041</v>
      </c>
      <c r="F800" s="45">
        <f>53.3672 * CHOOSE(CONTROL!$C$15, $E$9, 100%, $G$9) + CHOOSE(CONTROL!$C$38, 0.0278, 0)</f>
        <v>53.394999999999996</v>
      </c>
      <c r="G800" s="14">
        <f>49.3343 * CHOOSE(CONTROL!$C$15, $E$9, 100%, $G$9) + CHOOSE(CONTROL!$C$38, 0.0369, 0)</f>
        <v>49.371200000000002</v>
      </c>
      <c r="H800" s="14">
        <f>49.3343 * CHOOSE(CONTROL!$C$15, $E$9, 100%, $G$9) + CHOOSE(CONTROL!$C$38, 0.0369, 0)</f>
        <v>49.371200000000002</v>
      </c>
      <c r="I800" s="14">
        <f>49.3358 * CHOOSE(CONTROL!$C$15, $E$9, 100%, $G$9) + CHOOSE(CONTROL!$C$38, 0.0369, 0)</f>
        <v>49.372700000000002</v>
      </c>
      <c r="J800" s="44">
        <f>463.7169</f>
        <v>463.71690000000001</v>
      </c>
    </row>
    <row r="801" spans="1:10" ht="15.75" x14ac:dyDescent="0.25">
      <c r="A801" s="32">
        <v>65319</v>
      </c>
      <c r="B801" s="14">
        <f>53.7553 * CHOOSE(CONTROL!$C$15, $E$9, 100%, $G$9) + CHOOSE(CONTROL!$C$38, 0.0256, 0)</f>
        <v>53.780899999999995</v>
      </c>
      <c r="C801" s="14">
        <f>49.5677 * CHOOSE(CONTROL!$C$15, $E$9, 100%, $G$9) + CHOOSE(CONTROL!$C$38, 0.0347, 0)</f>
        <v>49.602400000000003</v>
      </c>
      <c r="D801" s="14">
        <f>49.5598 * CHOOSE(CONTROL!$C$15, $E$9, 100%, $G$9) + CHOOSE(CONTROL!$C$38, 0.0347, 0)</f>
        <v>49.594500000000004</v>
      </c>
      <c r="E801" s="46">
        <f>53.599 * CHOOSE(CONTROL!$C$15, $E$9, 100%, $G$9) + CHOOSE(CONTROL!$C$38, 0.0347, 0)</f>
        <v>53.633699999999997</v>
      </c>
      <c r="F801" s="45">
        <f>53.599 * CHOOSE(CONTROL!$C$15, $E$9, 100%, $G$9) + CHOOSE(CONTROL!$C$38, 0.0256, 0)</f>
        <v>53.624599999999994</v>
      </c>
      <c r="G801" s="14">
        <f>49.5661 * CHOOSE(CONTROL!$C$15, $E$9, 100%, $G$9) + CHOOSE(CONTROL!$C$38, 0.0347, 0)</f>
        <v>49.6008</v>
      </c>
      <c r="H801" s="14">
        <f>49.5661 * CHOOSE(CONTROL!$C$15, $E$9, 100%, $G$9) + CHOOSE(CONTROL!$C$38, 0.0347, 0)</f>
        <v>49.6008</v>
      </c>
      <c r="I801" s="14">
        <f>49.5677 * CHOOSE(CONTROL!$C$15, $E$9, 100%, $G$9) + CHOOSE(CONTROL!$C$38, 0.0347, 0)</f>
        <v>49.602400000000003</v>
      </c>
      <c r="J801" s="44">
        <f>447.6811</f>
        <v>447.68110000000001</v>
      </c>
    </row>
    <row r="802" spans="1:10" ht="15.75" x14ac:dyDescent="0.25">
      <c r="A802" s="32">
        <v>65349</v>
      </c>
      <c r="B802" s="14">
        <f>53.9487 * CHOOSE(CONTROL!$C$15, $E$9, 100%, $G$9) + CHOOSE(CONTROL!$C$38, 0.0256, 0)</f>
        <v>53.974299999999999</v>
      </c>
      <c r="C802" s="14">
        <f>49.7611 * CHOOSE(CONTROL!$C$15, $E$9, 100%, $G$9) + CHOOSE(CONTROL!$C$38, 0.0347, 0)</f>
        <v>49.7958</v>
      </c>
      <c r="D802" s="14">
        <f>49.7533 * CHOOSE(CONTROL!$C$15, $E$9, 100%, $G$9) + CHOOSE(CONTROL!$C$38, 0.0347, 0)</f>
        <v>49.788000000000004</v>
      </c>
      <c r="E802" s="46">
        <f>53.7924 * CHOOSE(CONTROL!$C$15, $E$9, 100%, $G$9) + CHOOSE(CONTROL!$C$38, 0.0347, 0)</f>
        <v>53.827100000000002</v>
      </c>
      <c r="F802" s="45">
        <f>53.7924 * CHOOSE(CONTROL!$C$15, $E$9, 100%, $G$9) + CHOOSE(CONTROL!$C$38, 0.0256, 0)</f>
        <v>53.817999999999998</v>
      </c>
      <c r="G802" s="14">
        <f>49.7595 * CHOOSE(CONTROL!$C$15, $E$9, 100%, $G$9) + CHOOSE(CONTROL!$C$38, 0.0347, 0)</f>
        <v>49.794200000000004</v>
      </c>
      <c r="H802" s="14">
        <f>49.7595 * CHOOSE(CONTROL!$C$15, $E$9, 100%, $G$9) + CHOOSE(CONTROL!$C$38, 0.0347, 0)</f>
        <v>49.794200000000004</v>
      </c>
      <c r="I802" s="14">
        <f>49.7611 * CHOOSE(CONTROL!$C$15, $E$9, 100%, $G$9) + CHOOSE(CONTROL!$C$38, 0.0347, 0)</f>
        <v>49.7958</v>
      </c>
      <c r="J802" s="44">
        <f>444.4912</f>
        <v>444.49119999999999</v>
      </c>
    </row>
    <row r="803" spans="1:10" ht="15.75" x14ac:dyDescent="0.25">
      <c r="A803" s="32">
        <v>65380</v>
      </c>
      <c r="B803" s="14">
        <f>54.5448 * CHOOSE(CONTROL!$C$15, $E$9, 100%, $G$9) + CHOOSE(CONTROL!$C$38, 0.0256, 0)</f>
        <v>54.570399999999999</v>
      </c>
      <c r="C803" s="14">
        <f>50.3572 * CHOOSE(CONTROL!$C$15, $E$9, 100%, $G$9) + CHOOSE(CONTROL!$C$38, 0.0347, 0)</f>
        <v>50.3919</v>
      </c>
      <c r="D803" s="14">
        <f>50.3494 * CHOOSE(CONTROL!$C$15, $E$9, 100%, $G$9) + CHOOSE(CONTROL!$C$38, 0.0347, 0)</f>
        <v>50.384100000000004</v>
      </c>
      <c r="E803" s="46">
        <f>54.3885 * CHOOSE(CONTROL!$C$15, $E$9, 100%, $G$9) + CHOOSE(CONTROL!$C$38, 0.0347, 0)</f>
        <v>54.423200000000001</v>
      </c>
      <c r="F803" s="45">
        <f>54.3885 * CHOOSE(CONTROL!$C$15, $E$9, 100%, $G$9) + CHOOSE(CONTROL!$C$38, 0.0256, 0)</f>
        <v>54.414099999999998</v>
      </c>
      <c r="G803" s="14">
        <f>50.3556 * CHOOSE(CONTROL!$C$15, $E$9, 100%, $G$9) + CHOOSE(CONTROL!$C$38, 0.0347, 0)</f>
        <v>50.390300000000003</v>
      </c>
      <c r="H803" s="14">
        <f>50.3556 * CHOOSE(CONTROL!$C$15, $E$9, 100%, $G$9) + CHOOSE(CONTROL!$C$38, 0.0347, 0)</f>
        <v>50.390300000000003</v>
      </c>
      <c r="I803" s="14">
        <f>50.3572 * CHOOSE(CONTROL!$C$15, $E$9, 100%, $G$9) + CHOOSE(CONTROL!$C$38, 0.0347, 0)</f>
        <v>50.3919</v>
      </c>
      <c r="J803" s="44">
        <f>431.3009</f>
        <v>431.30090000000001</v>
      </c>
    </row>
    <row r="804" spans="1:10" ht="15.75" x14ac:dyDescent="0.25">
      <c r="A804" s="32">
        <v>65411</v>
      </c>
      <c r="B804" s="14">
        <f>55.8904 * CHOOSE(CONTROL!$C$15, $E$9, 100%, $G$9) + CHOOSE(CONTROL!$C$38, 0.0256, 0)</f>
        <v>55.915999999999997</v>
      </c>
      <c r="C804" s="14">
        <f>51.6367 * CHOOSE(CONTROL!$C$15, $E$9, 100%, $G$9) + CHOOSE(CONTROL!$C$38, 0.0347, 0)</f>
        <v>51.671399999999998</v>
      </c>
      <c r="D804" s="14">
        <f>51.6289 * CHOOSE(CONTROL!$C$15, $E$9, 100%, $G$9) + CHOOSE(CONTROL!$C$38, 0.0347, 0)</f>
        <v>51.663600000000002</v>
      </c>
      <c r="E804" s="46">
        <f>55.7342 * CHOOSE(CONTROL!$C$15, $E$9, 100%, $G$9) + CHOOSE(CONTROL!$C$38, 0.0347, 0)</f>
        <v>55.768900000000002</v>
      </c>
      <c r="F804" s="45">
        <f>55.7342 * CHOOSE(CONTROL!$C$15, $E$9, 100%, $G$9) + CHOOSE(CONTROL!$C$38, 0.0256, 0)</f>
        <v>55.759799999999998</v>
      </c>
      <c r="G804" s="14">
        <f>51.6352 * CHOOSE(CONTROL!$C$15, $E$9, 100%, $G$9) + CHOOSE(CONTROL!$C$38, 0.0347, 0)</f>
        <v>51.669899999999998</v>
      </c>
      <c r="H804" s="14">
        <f>51.6352 * CHOOSE(CONTROL!$C$15, $E$9, 100%, $G$9) + CHOOSE(CONTROL!$C$38, 0.0347, 0)</f>
        <v>51.669899999999998</v>
      </c>
      <c r="I804" s="14">
        <f>51.6367 * CHOOSE(CONTROL!$C$15, $E$9, 100%, $G$9) + CHOOSE(CONTROL!$C$38, 0.0347, 0)</f>
        <v>51.671399999999998</v>
      </c>
      <c r="J804" s="44">
        <f>430.4772</f>
        <v>430.47719999999998</v>
      </c>
    </row>
    <row r="805" spans="1:10" ht="15.75" x14ac:dyDescent="0.25">
      <c r="A805" s="32">
        <v>65439</v>
      </c>
      <c r="B805" s="14">
        <f>56.1112 * CHOOSE(CONTROL!$C$15, $E$9, 100%, $G$9) + CHOOSE(CONTROL!$C$38, 0.0256, 0)</f>
        <v>56.136799999999994</v>
      </c>
      <c r="C805" s="14">
        <f>51.8575 * CHOOSE(CONTROL!$C$15, $E$9, 100%, $G$9) + CHOOSE(CONTROL!$C$38, 0.0347, 0)</f>
        <v>51.892200000000003</v>
      </c>
      <c r="D805" s="14">
        <f>51.8497 * CHOOSE(CONTROL!$C$15, $E$9, 100%, $G$9) + CHOOSE(CONTROL!$C$38, 0.0347, 0)</f>
        <v>51.884399999999999</v>
      </c>
      <c r="E805" s="46">
        <f>55.9549 * CHOOSE(CONTROL!$C$15, $E$9, 100%, $G$9) + CHOOSE(CONTROL!$C$38, 0.0347, 0)</f>
        <v>55.989600000000003</v>
      </c>
      <c r="F805" s="45">
        <f>55.9549 * CHOOSE(CONTROL!$C$15, $E$9, 100%, $G$9) + CHOOSE(CONTROL!$C$38, 0.0256, 0)</f>
        <v>55.980499999999999</v>
      </c>
      <c r="G805" s="14">
        <f>51.8559 * CHOOSE(CONTROL!$C$15, $E$9, 100%, $G$9) + CHOOSE(CONTROL!$C$38, 0.0347, 0)</f>
        <v>51.890599999999999</v>
      </c>
      <c r="H805" s="14">
        <f>51.8559 * CHOOSE(CONTROL!$C$15, $E$9, 100%, $G$9) + CHOOSE(CONTROL!$C$38, 0.0347, 0)</f>
        <v>51.890599999999999</v>
      </c>
      <c r="I805" s="14">
        <f>51.8575 * CHOOSE(CONTROL!$C$15, $E$9, 100%, $G$9) + CHOOSE(CONTROL!$C$38, 0.0347, 0)</f>
        <v>51.892200000000003</v>
      </c>
      <c r="J805" s="44">
        <f>429.2807</f>
        <v>429.28070000000002</v>
      </c>
    </row>
    <row r="806" spans="1:10" ht="15.75" x14ac:dyDescent="0.25">
      <c r="A806" s="32">
        <v>65470</v>
      </c>
      <c r="B806" s="14">
        <f>55.6002 * CHOOSE(CONTROL!$C$15, $E$9, 100%, $G$9) + CHOOSE(CONTROL!$C$38, 0.0256, 0)</f>
        <v>55.625799999999998</v>
      </c>
      <c r="C806" s="14">
        <f>51.3465 * CHOOSE(CONTROL!$C$15, $E$9, 100%, $G$9) + CHOOSE(CONTROL!$C$38, 0.0347, 0)</f>
        <v>51.3812</v>
      </c>
      <c r="D806" s="14">
        <f>51.3387 * CHOOSE(CONTROL!$C$15, $E$9, 100%, $G$9) + CHOOSE(CONTROL!$C$38, 0.0347, 0)</f>
        <v>51.373400000000004</v>
      </c>
      <c r="E806" s="46">
        <f>55.4439 * CHOOSE(CONTROL!$C$15, $E$9, 100%, $G$9) + CHOOSE(CONTROL!$C$38, 0.0347, 0)</f>
        <v>55.4786</v>
      </c>
      <c r="F806" s="45">
        <f>55.4439 * CHOOSE(CONTROL!$C$15, $E$9, 100%, $G$9) + CHOOSE(CONTROL!$C$38, 0.0256, 0)</f>
        <v>55.469499999999996</v>
      </c>
      <c r="G806" s="14">
        <f>51.3449 * CHOOSE(CONTROL!$C$15, $E$9, 100%, $G$9) + CHOOSE(CONTROL!$C$38, 0.0347, 0)</f>
        <v>51.379600000000003</v>
      </c>
      <c r="H806" s="14">
        <f>51.3449 * CHOOSE(CONTROL!$C$15, $E$9, 100%, $G$9) + CHOOSE(CONTROL!$C$38, 0.0347, 0)</f>
        <v>51.379600000000003</v>
      </c>
      <c r="I806" s="14">
        <f>51.3465 * CHOOSE(CONTROL!$C$15, $E$9, 100%, $G$9) + CHOOSE(CONTROL!$C$38, 0.0347, 0)</f>
        <v>51.3812</v>
      </c>
      <c r="J806" s="44">
        <f>451.9062</f>
        <v>451.90620000000001</v>
      </c>
    </row>
    <row r="807" spans="1:10" ht="15.75" x14ac:dyDescent="0.25">
      <c r="A807" s="32">
        <v>65500</v>
      </c>
      <c r="B807" s="14">
        <f>55.105 * CHOOSE(CONTROL!$C$15, $E$9, 100%, $G$9) + CHOOSE(CONTROL!$C$38, 0.0256, 0)</f>
        <v>55.130599999999994</v>
      </c>
      <c r="C807" s="14">
        <f>50.8513 * CHOOSE(CONTROL!$C$15, $E$9, 100%, $G$9) + CHOOSE(CONTROL!$C$38, 0.0347, 0)</f>
        <v>50.886000000000003</v>
      </c>
      <c r="D807" s="14">
        <f>50.8435 * CHOOSE(CONTROL!$C$15, $E$9, 100%, $G$9) + CHOOSE(CONTROL!$C$38, 0.0347, 0)</f>
        <v>50.8782</v>
      </c>
      <c r="E807" s="46">
        <f>54.9487 * CHOOSE(CONTROL!$C$15, $E$9, 100%, $G$9) + CHOOSE(CONTROL!$C$38, 0.0347, 0)</f>
        <v>54.983400000000003</v>
      </c>
      <c r="F807" s="45">
        <f>54.9487 * CHOOSE(CONTROL!$C$15, $E$9, 100%, $G$9) + CHOOSE(CONTROL!$C$38, 0.0256, 0)</f>
        <v>54.974299999999999</v>
      </c>
      <c r="G807" s="14">
        <f>50.8497 * CHOOSE(CONTROL!$C$15, $E$9, 100%, $G$9) + CHOOSE(CONTROL!$C$38, 0.0347, 0)</f>
        <v>50.884399999999999</v>
      </c>
      <c r="H807" s="14">
        <f>50.8497 * CHOOSE(CONTROL!$C$15, $E$9, 100%, $G$9) + CHOOSE(CONTROL!$C$38, 0.0347, 0)</f>
        <v>50.884399999999999</v>
      </c>
      <c r="I807" s="14">
        <f>50.8513 * CHOOSE(CONTROL!$C$15, $E$9, 100%, $G$9) + CHOOSE(CONTROL!$C$38, 0.0347, 0)</f>
        <v>50.886000000000003</v>
      </c>
      <c r="J807" s="44">
        <f>481.2462</f>
        <v>481.24619999999999</v>
      </c>
    </row>
    <row r="808" spans="1:10" ht="15.75" x14ac:dyDescent="0.25">
      <c r="A808" s="32">
        <v>65531</v>
      </c>
      <c r="B808" s="14">
        <f>54.5889 * CHOOSE(CONTROL!$C$15, $E$9, 100%, $G$9) + CHOOSE(CONTROL!$C$38, 0.0278, 0)</f>
        <v>54.616700000000002</v>
      </c>
      <c r="C808" s="14">
        <f>50.3352 * CHOOSE(CONTROL!$C$15, $E$9, 100%, $G$9) + CHOOSE(CONTROL!$C$38, 0.0369, 0)</f>
        <v>50.372100000000003</v>
      </c>
      <c r="D808" s="14">
        <f>50.3274 * CHOOSE(CONTROL!$C$15, $E$9, 100%, $G$9) + CHOOSE(CONTROL!$C$38, 0.0369, 0)</f>
        <v>50.3643</v>
      </c>
      <c r="E808" s="46">
        <f>54.4326 * CHOOSE(CONTROL!$C$15, $E$9, 100%, $G$9) + CHOOSE(CONTROL!$C$38, 0.0369, 0)</f>
        <v>54.469500000000004</v>
      </c>
      <c r="F808" s="45">
        <f>54.4326 * CHOOSE(CONTROL!$C$15, $E$9, 100%, $G$9) + CHOOSE(CONTROL!$C$38, 0.0278, 0)</f>
        <v>54.4604</v>
      </c>
      <c r="G808" s="14">
        <f>50.3336 * CHOOSE(CONTROL!$C$15, $E$9, 100%, $G$9) + CHOOSE(CONTROL!$C$38, 0.0369, 0)</f>
        <v>50.3705</v>
      </c>
      <c r="H808" s="14">
        <f>50.3336 * CHOOSE(CONTROL!$C$15, $E$9, 100%, $G$9) + CHOOSE(CONTROL!$C$38, 0.0369, 0)</f>
        <v>50.3705</v>
      </c>
      <c r="I808" s="14">
        <f>50.3352 * CHOOSE(CONTROL!$C$15, $E$9, 100%, $G$9) + CHOOSE(CONTROL!$C$38, 0.0369, 0)</f>
        <v>50.372100000000003</v>
      </c>
      <c r="J808" s="44">
        <f>497.3959</f>
        <v>497.39589999999998</v>
      </c>
    </row>
    <row r="809" spans="1:10" ht="15.75" x14ac:dyDescent="0.25">
      <c r="A809" s="32">
        <v>65561</v>
      </c>
      <c r="B809" s="14">
        <f>54.227 * CHOOSE(CONTROL!$C$15, $E$9, 100%, $G$9) + CHOOSE(CONTROL!$C$38, 0.0278, 0)</f>
        <v>54.254799999999996</v>
      </c>
      <c r="C809" s="14">
        <f>49.9733 * CHOOSE(CONTROL!$C$15, $E$9, 100%, $G$9) + CHOOSE(CONTROL!$C$38, 0.0369, 0)</f>
        <v>50.010200000000005</v>
      </c>
      <c r="D809" s="14">
        <f>49.9655 * CHOOSE(CONTROL!$C$15, $E$9, 100%, $G$9) + CHOOSE(CONTROL!$C$38, 0.0369, 0)</f>
        <v>50.002400000000002</v>
      </c>
      <c r="E809" s="46">
        <f>54.0708 * CHOOSE(CONTROL!$C$15, $E$9, 100%, $G$9) + CHOOSE(CONTROL!$C$38, 0.0369, 0)</f>
        <v>54.107700000000001</v>
      </c>
      <c r="F809" s="45">
        <f>54.0708 * CHOOSE(CONTROL!$C$15, $E$9, 100%, $G$9) + CHOOSE(CONTROL!$C$38, 0.0278, 0)</f>
        <v>54.098599999999998</v>
      </c>
      <c r="G809" s="14">
        <f>49.9718 * CHOOSE(CONTROL!$C$15, $E$9, 100%, $G$9) + CHOOSE(CONTROL!$C$38, 0.0369, 0)</f>
        <v>50.008700000000005</v>
      </c>
      <c r="H809" s="14">
        <f>49.9718 * CHOOSE(CONTROL!$C$15, $E$9, 100%, $G$9) + CHOOSE(CONTROL!$C$38, 0.0369, 0)</f>
        <v>50.008700000000005</v>
      </c>
      <c r="I809" s="14">
        <f>49.9733 * CHOOSE(CONTROL!$C$15, $E$9, 100%, $G$9) + CHOOSE(CONTROL!$C$38, 0.0369, 0)</f>
        <v>50.010200000000005</v>
      </c>
      <c r="J809" s="44">
        <f>504.5628</f>
        <v>504.56279999999998</v>
      </c>
    </row>
    <row r="810" spans="1:10" ht="15.75" x14ac:dyDescent="0.25">
      <c r="A810" s="32">
        <v>65592</v>
      </c>
      <c r="B810" s="14">
        <f>54.0205 * CHOOSE(CONTROL!$C$15, $E$9, 100%, $G$9) + CHOOSE(CONTROL!$C$38, 0.0278, 0)</f>
        <v>54.048299999999998</v>
      </c>
      <c r="C810" s="14">
        <f>49.7668 * CHOOSE(CONTROL!$C$15, $E$9, 100%, $G$9) + CHOOSE(CONTROL!$C$38, 0.0369, 0)</f>
        <v>49.803700000000006</v>
      </c>
      <c r="D810" s="14">
        <f>49.759 * CHOOSE(CONTROL!$C$15, $E$9, 100%, $G$9) + CHOOSE(CONTROL!$C$38, 0.0369, 0)</f>
        <v>49.795900000000003</v>
      </c>
      <c r="E810" s="46">
        <f>53.8643 * CHOOSE(CONTROL!$C$15, $E$9, 100%, $G$9) + CHOOSE(CONTROL!$C$38, 0.0369, 0)</f>
        <v>53.901200000000003</v>
      </c>
      <c r="F810" s="45">
        <f>53.8643 * CHOOSE(CONTROL!$C$15, $E$9, 100%, $G$9) + CHOOSE(CONTROL!$C$38, 0.0278, 0)</f>
        <v>53.892099999999999</v>
      </c>
      <c r="G810" s="14">
        <f>49.7653 * CHOOSE(CONTROL!$C$15, $E$9, 100%, $G$9) + CHOOSE(CONTROL!$C$38, 0.0369, 0)</f>
        <v>49.802200000000006</v>
      </c>
      <c r="H810" s="14">
        <f>49.7653 * CHOOSE(CONTROL!$C$15, $E$9, 100%, $G$9) + CHOOSE(CONTROL!$C$38, 0.0369, 0)</f>
        <v>49.802200000000006</v>
      </c>
      <c r="I810" s="14">
        <f>49.7668 * CHOOSE(CONTROL!$C$15, $E$9, 100%, $G$9) + CHOOSE(CONTROL!$C$38, 0.0369, 0)</f>
        <v>49.803700000000006</v>
      </c>
      <c r="J810" s="44">
        <f>502.2031</f>
        <v>502.20310000000001</v>
      </c>
    </row>
    <row r="811" spans="1:10" ht="15.75" x14ac:dyDescent="0.25">
      <c r="A811" s="32">
        <v>65623</v>
      </c>
      <c r="B811" s="14">
        <f>54.1224 * CHOOSE(CONTROL!$C$15, $E$9, 100%, $G$9) + CHOOSE(CONTROL!$C$38, 0.0278, 0)</f>
        <v>54.150199999999998</v>
      </c>
      <c r="C811" s="14">
        <f>49.8688 * CHOOSE(CONTROL!$C$15, $E$9, 100%, $G$9) + CHOOSE(CONTROL!$C$38, 0.0369, 0)</f>
        <v>49.905700000000003</v>
      </c>
      <c r="D811" s="14">
        <f>49.8609 * CHOOSE(CONTROL!$C$15, $E$9, 100%, $G$9) + CHOOSE(CONTROL!$C$38, 0.0369, 0)</f>
        <v>49.897800000000004</v>
      </c>
      <c r="E811" s="46">
        <f>53.9662 * CHOOSE(CONTROL!$C$15, $E$9, 100%, $G$9) + CHOOSE(CONTROL!$C$38, 0.0369, 0)</f>
        <v>54.003100000000003</v>
      </c>
      <c r="F811" s="45">
        <f>53.9662 * CHOOSE(CONTROL!$C$15, $E$9, 100%, $G$9) + CHOOSE(CONTROL!$C$38, 0.0278, 0)</f>
        <v>53.994</v>
      </c>
      <c r="G811" s="14">
        <f>49.8672 * CHOOSE(CONTROL!$C$15, $E$9, 100%, $G$9) + CHOOSE(CONTROL!$C$38, 0.0369, 0)</f>
        <v>49.9041</v>
      </c>
      <c r="H811" s="14">
        <f>49.8672 * CHOOSE(CONTROL!$C$15, $E$9, 100%, $G$9) + CHOOSE(CONTROL!$C$38, 0.0369, 0)</f>
        <v>49.9041</v>
      </c>
      <c r="I811" s="14">
        <f>49.8688 * CHOOSE(CONTROL!$C$15, $E$9, 100%, $G$9) + CHOOSE(CONTROL!$C$38, 0.0369, 0)</f>
        <v>49.905700000000003</v>
      </c>
      <c r="J811" s="44">
        <f>490.512</f>
        <v>490.512</v>
      </c>
    </row>
    <row r="812" spans="1:10" ht="15.75" x14ac:dyDescent="0.25">
      <c r="A812" s="32">
        <v>65653</v>
      </c>
      <c r="B812" s="14">
        <f>54.3992 * CHOOSE(CONTROL!$C$15, $E$9, 100%, $G$9) + CHOOSE(CONTROL!$C$38, 0.0278, 0)</f>
        <v>54.427</v>
      </c>
      <c r="C812" s="14">
        <f>50.1456 * CHOOSE(CONTROL!$C$15, $E$9, 100%, $G$9) + CHOOSE(CONTROL!$C$38, 0.0369, 0)</f>
        <v>50.182500000000005</v>
      </c>
      <c r="D812" s="14">
        <f>50.1377 * CHOOSE(CONTROL!$C$15, $E$9, 100%, $G$9) + CHOOSE(CONTROL!$C$38, 0.0369, 0)</f>
        <v>50.174600000000005</v>
      </c>
      <c r="E812" s="46">
        <f>54.243 * CHOOSE(CONTROL!$C$15, $E$9, 100%, $G$9) + CHOOSE(CONTROL!$C$38, 0.0369, 0)</f>
        <v>54.279900000000005</v>
      </c>
      <c r="F812" s="45">
        <f>54.243 * CHOOSE(CONTROL!$C$15, $E$9, 100%, $G$9) + CHOOSE(CONTROL!$C$38, 0.0278, 0)</f>
        <v>54.270800000000001</v>
      </c>
      <c r="G812" s="14">
        <f>50.144 * CHOOSE(CONTROL!$C$15, $E$9, 100%, $G$9) + CHOOSE(CONTROL!$C$38, 0.0369, 0)</f>
        <v>50.180900000000001</v>
      </c>
      <c r="H812" s="14">
        <f>50.144 * CHOOSE(CONTROL!$C$15, $E$9, 100%, $G$9) + CHOOSE(CONTROL!$C$38, 0.0369, 0)</f>
        <v>50.180900000000001</v>
      </c>
      <c r="I812" s="14">
        <f>50.1456 * CHOOSE(CONTROL!$C$15, $E$9, 100%, $G$9) + CHOOSE(CONTROL!$C$38, 0.0369, 0)</f>
        <v>50.182500000000005</v>
      </c>
      <c r="J812" s="44">
        <f>474.2083</f>
        <v>474.20830000000001</v>
      </c>
    </row>
    <row r="813" spans="1:10" ht="15.75" x14ac:dyDescent="0.25">
      <c r="A813" s="32">
        <v>65684</v>
      </c>
      <c r="B813" s="14">
        <f>54.6311 * CHOOSE(CONTROL!$C$15, $E$9, 100%, $G$9) + CHOOSE(CONTROL!$C$38, 0.0256, 0)</f>
        <v>54.656700000000001</v>
      </c>
      <c r="C813" s="14">
        <f>50.3774 * CHOOSE(CONTROL!$C$15, $E$9, 100%, $G$9) + CHOOSE(CONTROL!$C$38, 0.0347, 0)</f>
        <v>50.412100000000002</v>
      </c>
      <c r="D813" s="14">
        <f>50.3696 * CHOOSE(CONTROL!$C$15, $E$9, 100%, $G$9) + CHOOSE(CONTROL!$C$38, 0.0347, 0)</f>
        <v>50.404299999999999</v>
      </c>
      <c r="E813" s="46">
        <f>54.4748 * CHOOSE(CONTROL!$C$15, $E$9, 100%, $G$9) + CHOOSE(CONTROL!$C$38, 0.0347, 0)</f>
        <v>54.509500000000003</v>
      </c>
      <c r="F813" s="45">
        <f>54.4748 * CHOOSE(CONTROL!$C$15, $E$9, 100%, $G$9) + CHOOSE(CONTROL!$C$38, 0.0256, 0)</f>
        <v>54.500399999999999</v>
      </c>
      <c r="G813" s="14">
        <f>50.3758 * CHOOSE(CONTROL!$C$15, $E$9, 100%, $G$9) + CHOOSE(CONTROL!$C$38, 0.0347, 0)</f>
        <v>50.410499999999999</v>
      </c>
      <c r="H813" s="14">
        <f>50.3758 * CHOOSE(CONTROL!$C$15, $E$9, 100%, $G$9) + CHOOSE(CONTROL!$C$38, 0.0347, 0)</f>
        <v>50.410499999999999</v>
      </c>
      <c r="I813" s="14">
        <f>50.3774 * CHOOSE(CONTROL!$C$15, $E$9, 100%, $G$9) + CHOOSE(CONTROL!$C$38, 0.0347, 0)</f>
        <v>50.412100000000002</v>
      </c>
      <c r="J813" s="44">
        <f>457.8097</f>
        <v>457.80970000000002</v>
      </c>
    </row>
    <row r="814" spans="1:10" ht="15.75" x14ac:dyDescent="0.25">
      <c r="A814" s="32">
        <v>65714</v>
      </c>
      <c r="B814" s="14">
        <f>54.8245 * CHOOSE(CONTROL!$C$15, $E$9, 100%, $G$9) + CHOOSE(CONTROL!$C$38, 0.0256, 0)</f>
        <v>54.850099999999998</v>
      </c>
      <c r="C814" s="14">
        <f>50.5708 * CHOOSE(CONTROL!$C$15, $E$9, 100%, $G$9) + CHOOSE(CONTROL!$C$38, 0.0347, 0)</f>
        <v>50.605499999999999</v>
      </c>
      <c r="D814" s="14">
        <f>50.563 * CHOOSE(CONTROL!$C$15, $E$9, 100%, $G$9) + CHOOSE(CONTROL!$C$38, 0.0347, 0)</f>
        <v>50.597700000000003</v>
      </c>
      <c r="E814" s="46">
        <f>54.6683 * CHOOSE(CONTROL!$C$15, $E$9, 100%, $G$9) + CHOOSE(CONTROL!$C$38, 0.0347, 0)</f>
        <v>54.703000000000003</v>
      </c>
      <c r="F814" s="45">
        <f>54.6683 * CHOOSE(CONTROL!$C$15, $E$9, 100%, $G$9) + CHOOSE(CONTROL!$C$38, 0.0256, 0)</f>
        <v>54.693899999999999</v>
      </c>
      <c r="G814" s="14">
        <f>50.5693 * CHOOSE(CONTROL!$C$15, $E$9, 100%, $G$9) + CHOOSE(CONTROL!$C$38, 0.0347, 0)</f>
        <v>50.603999999999999</v>
      </c>
      <c r="H814" s="14">
        <f>50.5693 * CHOOSE(CONTROL!$C$15, $E$9, 100%, $G$9) + CHOOSE(CONTROL!$C$38, 0.0347, 0)</f>
        <v>50.603999999999999</v>
      </c>
      <c r="I814" s="14">
        <f>50.5708 * CHOOSE(CONTROL!$C$15, $E$9, 100%, $G$9) + CHOOSE(CONTROL!$C$38, 0.0347, 0)</f>
        <v>50.605499999999999</v>
      </c>
      <c r="J814" s="44">
        <f>454.5476</f>
        <v>454.54759999999999</v>
      </c>
    </row>
    <row r="815" spans="1:10" ht="15.75" x14ac:dyDescent="0.25">
      <c r="A815" s="32">
        <v>65745</v>
      </c>
      <c r="B815" s="14">
        <f>55.4206 * CHOOSE(CONTROL!$C$15, $E$9, 100%, $G$9) + CHOOSE(CONTROL!$C$38, 0.0256, 0)</f>
        <v>55.446199999999997</v>
      </c>
      <c r="C815" s="14">
        <f>51.1669 * CHOOSE(CONTROL!$C$15, $E$9, 100%, $G$9) + CHOOSE(CONTROL!$C$38, 0.0347, 0)</f>
        <v>51.201599999999999</v>
      </c>
      <c r="D815" s="14">
        <f>51.1591 * CHOOSE(CONTROL!$C$15, $E$9, 100%, $G$9) + CHOOSE(CONTROL!$C$38, 0.0347, 0)</f>
        <v>51.193800000000003</v>
      </c>
      <c r="E815" s="46">
        <f>55.2643 * CHOOSE(CONTROL!$C$15, $E$9, 100%, $G$9) + CHOOSE(CONTROL!$C$38, 0.0347, 0)</f>
        <v>55.298999999999999</v>
      </c>
      <c r="F815" s="45">
        <f>55.2643 * CHOOSE(CONTROL!$C$15, $E$9, 100%, $G$9) + CHOOSE(CONTROL!$C$38, 0.0256, 0)</f>
        <v>55.289899999999996</v>
      </c>
      <c r="G815" s="14">
        <f>51.1653 * CHOOSE(CONTROL!$C$15, $E$9, 100%, $G$9) + CHOOSE(CONTROL!$C$38, 0.0347, 0)</f>
        <v>51.2</v>
      </c>
      <c r="H815" s="14">
        <f>51.1653 * CHOOSE(CONTROL!$C$15, $E$9, 100%, $G$9) + CHOOSE(CONTROL!$C$38, 0.0347, 0)</f>
        <v>51.2</v>
      </c>
      <c r="I815" s="14">
        <f>51.1669 * CHOOSE(CONTROL!$C$15, $E$9, 100%, $G$9) + CHOOSE(CONTROL!$C$38, 0.0347, 0)</f>
        <v>51.201599999999999</v>
      </c>
      <c r="J815" s="44">
        <f>441.0589</f>
        <v>441.05889999999999</v>
      </c>
    </row>
    <row r="816" spans="1:10" ht="15.75" x14ac:dyDescent="0.25">
      <c r="A816" s="32">
        <v>65776</v>
      </c>
      <c r="B816" s="14">
        <f>56.7806 * CHOOSE(CONTROL!$C$15, $E$9, 100%, $G$9) + CHOOSE(CONTROL!$C$38, 0.0256, 0)</f>
        <v>56.806199999999997</v>
      </c>
      <c r="C816" s="14">
        <f>52.4597 * CHOOSE(CONTROL!$C$15, $E$9, 100%, $G$9) + CHOOSE(CONTROL!$C$38, 0.0347, 0)</f>
        <v>52.494399999999999</v>
      </c>
      <c r="D816" s="14">
        <f>52.4519 * CHOOSE(CONTROL!$C$15, $E$9, 100%, $G$9) + CHOOSE(CONTROL!$C$38, 0.0347, 0)</f>
        <v>52.486600000000003</v>
      </c>
      <c r="E816" s="46">
        <f>56.6243 * CHOOSE(CONTROL!$C$15, $E$9, 100%, $G$9) + CHOOSE(CONTROL!$C$38, 0.0347, 0)</f>
        <v>56.658999999999999</v>
      </c>
      <c r="F816" s="45">
        <f>56.6243 * CHOOSE(CONTROL!$C$15, $E$9, 100%, $G$9) + CHOOSE(CONTROL!$C$38, 0.0256, 0)</f>
        <v>56.649899999999995</v>
      </c>
      <c r="G816" s="14">
        <f>52.4582 * CHOOSE(CONTROL!$C$15, $E$9, 100%, $G$9) + CHOOSE(CONTROL!$C$38, 0.0347, 0)</f>
        <v>52.492899999999999</v>
      </c>
      <c r="H816" s="14">
        <f>52.4582 * CHOOSE(CONTROL!$C$15, $E$9, 100%, $G$9) + CHOOSE(CONTROL!$C$38, 0.0347, 0)</f>
        <v>52.492899999999999</v>
      </c>
      <c r="I816" s="14">
        <f>52.4597 * CHOOSE(CONTROL!$C$15, $E$9, 100%, $G$9) + CHOOSE(CONTROL!$C$38, 0.0347, 0)</f>
        <v>52.494399999999999</v>
      </c>
      <c r="J816" s="44">
        <f>440.2166</f>
        <v>440.21660000000003</v>
      </c>
    </row>
    <row r="817" spans="1:10" ht="15.75" x14ac:dyDescent="0.25">
      <c r="A817" s="32">
        <v>65805</v>
      </c>
      <c r="B817" s="14">
        <f>57.0014 * CHOOSE(CONTROL!$C$15, $E$9, 100%, $G$9) + CHOOSE(CONTROL!$C$38, 0.0256, 0)</f>
        <v>57.026999999999994</v>
      </c>
      <c r="C817" s="14">
        <f>52.6805 * CHOOSE(CONTROL!$C$15, $E$9, 100%, $G$9) + CHOOSE(CONTROL!$C$38, 0.0347, 0)</f>
        <v>52.715200000000003</v>
      </c>
      <c r="D817" s="14">
        <f>52.6727 * CHOOSE(CONTROL!$C$15, $E$9, 100%, $G$9) + CHOOSE(CONTROL!$C$38, 0.0347, 0)</f>
        <v>52.7074</v>
      </c>
      <c r="E817" s="46">
        <f>56.8451 * CHOOSE(CONTROL!$C$15, $E$9, 100%, $G$9) + CHOOSE(CONTROL!$C$38, 0.0347, 0)</f>
        <v>56.879800000000003</v>
      </c>
      <c r="F817" s="45">
        <f>56.8451 * CHOOSE(CONTROL!$C$15, $E$9, 100%, $G$9) + CHOOSE(CONTROL!$C$38, 0.0256, 0)</f>
        <v>56.870699999999999</v>
      </c>
      <c r="G817" s="14">
        <f>52.6789 * CHOOSE(CONTROL!$C$15, $E$9, 100%, $G$9) + CHOOSE(CONTROL!$C$38, 0.0347, 0)</f>
        <v>52.7136</v>
      </c>
      <c r="H817" s="14">
        <f>52.6789 * CHOOSE(CONTROL!$C$15, $E$9, 100%, $G$9) + CHOOSE(CONTROL!$C$38, 0.0347, 0)</f>
        <v>52.7136</v>
      </c>
      <c r="I817" s="14">
        <f>52.6805 * CHOOSE(CONTROL!$C$15, $E$9, 100%, $G$9) + CHOOSE(CONTROL!$C$38, 0.0347, 0)</f>
        <v>52.715200000000003</v>
      </c>
      <c r="J817" s="44">
        <f>438.9929</f>
        <v>438.99290000000002</v>
      </c>
    </row>
    <row r="818" spans="1:10" ht="15.75" x14ac:dyDescent="0.25">
      <c r="A818" s="32">
        <v>65836</v>
      </c>
      <c r="B818" s="14">
        <f>56.4903 * CHOOSE(CONTROL!$C$15, $E$9, 100%, $G$9) + CHOOSE(CONTROL!$C$38, 0.0256, 0)</f>
        <v>56.515899999999995</v>
      </c>
      <c r="C818" s="14">
        <f>52.1695 * CHOOSE(CONTROL!$C$15, $E$9, 100%, $G$9) + CHOOSE(CONTROL!$C$38, 0.0347, 0)</f>
        <v>52.2042</v>
      </c>
      <c r="D818" s="14">
        <f>52.1616 * CHOOSE(CONTROL!$C$15, $E$9, 100%, $G$9) + CHOOSE(CONTROL!$C$38, 0.0347, 0)</f>
        <v>52.196300000000001</v>
      </c>
      <c r="E818" s="46">
        <f>56.3341 * CHOOSE(CONTROL!$C$15, $E$9, 100%, $G$9) + CHOOSE(CONTROL!$C$38, 0.0347, 0)</f>
        <v>56.3688</v>
      </c>
      <c r="F818" s="45">
        <f>56.3341 * CHOOSE(CONTROL!$C$15, $E$9, 100%, $G$9) + CHOOSE(CONTROL!$C$38, 0.0256, 0)</f>
        <v>56.359699999999997</v>
      </c>
      <c r="G818" s="14">
        <f>52.1679 * CHOOSE(CONTROL!$C$15, $E$9, 100%, $G$9) + CHOOSE(CONTROL!$C$38, 0.0347, 0)</f>
        <v>52.202600000000004</v>
      </c>
      <c r="H818" s="14">
        <f>52.1679 * CHOOSE(CONTROL!$C$15, $E$9, 100%, $G$9) + CHOOSE(CONTROL!$C$38, 0.0347, 0)</f>
        <v>52.202600000000004</v>
      </c>
      <c r="I818" s="14">
        <f>52.1695 * CHOOSE(CONTROL!$C$15, $E$9, 100%, $G$9) + CHOOSE(CONTROL!$C$38, 0.0347, 0)</f>
        <v>52.2042</v>
      </c>
      <c r="J818" s="44">
        <f>462.1304</f>
        <v>462.13040000000001</v>
      </c>
    </row>
    <row r="819" spans="1:10" ht="15.75" x14ac:dyDescent="0.25">
      <c r="A819" s="32">
        <v>65866</v>
      </c>
      <c r="B819" s="14">
        <f>55.9951 * CHOOSE(CONTROL!$C$15, $E$9, 100%, $G$9) + CHOOSE(CONTROL!$C$38, 0.0256, 0)</f>
        <v>56.020699999999998</v>
      </c>
      <c r="C819" s="14">
        <f>51.6743 * CHOOSE(CONTROL!$C$15, $E$9, 100%, $G$9) + CHOOSE(CONTROL!$C$38, 0.0347, 0)</f>
        <v>51.709000000000003</v>
      </c>
      <c r="D819" s="14">
        <f>51.6665 * CHOOSE(CONTROL!$C$15, $E$9, 100%, $G$9) + CHOOSE(CONTROL!$C$38, 0.0347, 0)</f>
        <v>51.7012</v>
      </c>
      <c r="E819" s="46">
        <f>55.8389 * CHOOSE(CONTROL!$C$15, $E$9, 100%, $G$9) + CHOOSE(CONTROL!$C$38, 0.0347, 0)</f>
        <v>55.873600000000003</v>
      </c>
      <c r="F819" s="45">
        <f>55.8389 * CHOOSE(CONTROL!$C$15, $E$9, 100%, $G$9) + CHOOSE(CONTROL!$C$38, 0.0256, 0)</f>
        <v>55.8645</v>
      </c>
      <c r="G819" s="14">
        <f>51.6727 * CHOOSE(CONTROL!$C$15, $E$9, 100%, $G$9) + CHOOSE(CONTROL!$C$38, 0.0347, 0)</f>
        <v>51.7074</v>
      </c>
      <c r="H819" s="14">
        <f>51.6727 * CHOOSE(CONTROL!$C$15, $E$9, 100%, $G$9) + CHOOSE(CONTROL!$C$38, 0.0347, 0)</f>
        <v>51.7074</v>
      </c>
      <c r="I819" s="14">
        <f>51.6743 * CHOOSE(CONTROL!$C$15, $E$9, 100%, $G$9) + CHOOSE(CONTROL!$C$38, 0.0347, 0)</f>
        <v>51.709000000000003</v>
      </c>
      <c r="J819" s="44">
        <f>492.1341</f>
        <v>492.13409999999999</v>
      </c>
    </row>
    <row r="820" spans="1:10" ht="15.75" x14ac:dyDescent="0.25">
      <c r="A820" s="32">
        <v>65897</v>
      </c>
      <c r="B820" s="14">
        <f>55.479 * CHOOSE(CONTROL!$C$15, $E$9, 100%, $G$9) + CHOOSE(CONTROL!$C$38, 0.0278, 0)</f>
        <v>55.506799999999998</v>
      </c>
      <c r="C820" s="14">
        <f>51.1582 * CHOOSE(CONTROL!$C$15, $E$9, 100%, $G$9) + CHOOSE(CONTROL!$C$38, 0.0369, 0)</f>
        <v>51.195100000000004</v>
      </c>
      <c r="D820" s="14">
        <f>51.1504 * CHOOSE(CONTROL!$C$15, $E$9, 100%, $G$9) + CHOOSE(CONTROL!$C$38, 0.0369, 0)</f>
        <v>51.1873</v>
      </c>
      <c r="E820" s="46">
        <f>55.3228 * CHOOSE(CONTROL!$C$15, $E$9, 100%, $G$9) + CHOOSE(CONTROL!$C$38, 0.0369, 0)</f>
        <v>55.359700000000004</v>
      </c>
      <c r="F820" s="45">
        <f>55.3228 * CHOOSE(CONTROL!$C$15, $E$9, 100%, $G$9) + CHOOSE(CONTROL!$C$38, 0.0278, 0)</f>
        <v>55.3506</v>
      </c>
      <c r="G820" s="14">
        <f>51.1566 * CHOOSE(CONTROL!$C$15, $E$9, 100%, $G$9) + CHOOSE(CONTROL!$C$38, 0.0369, 0)</f>
        <v>51.1935</v>
      </c>
      <c r="H820" s="14">
        <f>51.1566 * CHOOSE(CONTROL!$C$15, $E$9, 100%, $G$9) + CHOOSE(CONTROL!$C$38, 0.0369, 0)</f>
        <v>51.1935</v>
      </c>
      <c r="I820" s="14">
        <f>51.1582 * CHOOSE(CONTROL!$C$15, $E$9, 100%, $G$9) + CHOOSE(CONTROL!$C$38, 0.0369, 0)</f>
        <v>51.195100000000004</v>
      </c>
      <c r="J820" s="44">
        <f>508.6492</f>
        <v>508.64920000000001</v>
      </c>
    </row>
    <row r="821" spans="1:10" ht="15.75" x14ac:dyDescent="0.25">
      <c r="A821" s="32">
        <v>65927</v>
      </c>
      <c r="B821" s="14">
        <f>55.1172 * CHOOSE(CONTROL!$C$15, $E$9, 100%, $G$9) + CHOOSE(CONTROL!$C$38, 0.0278, 0)</f>
        <v>55.144999999999996</v>
      </c>
      <c r="C821" s="14">
        <f>50.7963 * CHOOSE(CONTROL!$C$15, $E$9, 100%, $G$9) + CHOOSE(CONTROL!$C$38, 0.0369, 0)</f>
        <v>50.833200000000005</v>
      </c>
      <c r="D821" s="14">
        <f>50.7885 * CHOOSE(CONTROL!$C$15, $E$9, 100%, $G$9) + CHOOSE(CONTROL!$C$38, 0.0369, 0)</f>
        <v>50.825400000000002</v>
      </c>
      <c r="E821" s="46">
        <f>54.9609 * CHOOSE(CONTROL!$C$15, $E$9, 100%, $G$9) + CHOOSE(CONTROL!$C$38, 0.0369, 0)</f>
        <v>54.997800000000005</v>
      </c>
      <c r="F821" s="45">
        <f>54.9609 * CHOOSE(CONTROL!$C$15, $E$9, 100%, $G$9) + CHOOSE(CONTROL!$C$38, 0.0278, 0)</f>
        <v>54.988700000000001</v>
      </c>
      <c r="G821" s="14">
        <f>50.7948 * CHOOSE(CONTROL!$C$15, $E$9, 100%, $G$9) + CHOOSE(CONTROL!$C$38, 0.0369, 0)</f>
        <v>50.831700000000005</v>
      </c>
      <c r="H821" s="14">
        <f>50.7948 * CHOOSE(CONTROL!$C$15, $E$9, 100%, $G$9) + CHOOSE(CONTROL!$C$38, 0.0369, 0)</f>
        <v>50.831700000000005</v>
      </c>
      <c r="I821" s="14">
        <f>50.7963 * CHOOSE(CONTROL!$C$15, $E$9, 100%, $G$9) + CHOOSE(CONTROL!$C$38, 0.0369, 0)</f>
        <v>50.833200000000005</v>
      </c>
      <c r="J821" s="44">
        <f>515.9783</f>
        <v>515.97829999999999</v>
      </c>
    </row>
    <row r="822" spans="1:10" ht="15.75" x14ac:dyDescent="0.25">
      <c r="A822" s="32">
        <v>65958</v>
      </c>
      <c r="B822" s="14">
        <f>54.9107 * CHOOSE(CONTROL!$C$15, $E$9, 100%, $G$9) + CHOOSE(CONTROL!$C$38, 0.0278, 0)</f>
        <v>54.938499999999998</v>
      </c>
      <c r="C822" s="14">
        <f>50.5898 * CHOOSE(CONTROL!$C$15, $E$9, 100%, $G$9) + CHOOSE(CONTROL!$C$38, 0.0369, 0)</f>
        <v>50.6267</v>
      </c>
      <c r="D822" s="14">
        <f>50.582 * CHOOSE(CONTROL!$C$15, $E$9, 100%, $G$9) + CHOOSE(CONTROL!$C$38, 0.0369, 0)</f>
        <v>50.618900000000004</v>
      </c>
      <c r="E822" s="46">
        <f>54.7545 * CHOOSE(CONTROL!$C$15, $E$9, 100%, $G$9) + CHOOSE(CONTROL!$C$38, 0.0369, 0)</f>
        <v>54.791400000000003</v>
      </c>
      <c r="F822" s="45">
        <f>54.7545 * CHOOSE(CONTROL!$C$15, $E$9, 100%, $G$9) + CHOOSE(CONTROL!$C$38, 0.0278, 0)</f>
        <v>54.782299999999999</v>
      </c>
      <c r="G822" s="14">
        <f>50.5883 * CHOOSE(CONTROL!$C$15, $E$9, 100%, $G$9) + CHOOSE(CONTROL!$C$38, 0.0369, 0)</f>
        <v>50.6252</v>
      </c>
      <c r="H822" s="14">
        <f>50.5883 * CHOOSE(CONTROL!$C$15, $E$9, 100%, $G$9) + CHOOSE(CONTROL!$C$38, 0.0369, 0)</f>
        <v>50.6252</v>
      </c>
      <c r="I822" s="14">
        <f>50.5898 * CHOOSE(CONTROL!$C$15, $E$9, 100%, $G$9) + CHOOSE(CONTROL!$C$38, 0.0369, 0)</f>
        <v>50.6267</v>
      </c>
      <c r="J822" s="44">
        <f>513.5652</f>
        <v>513.5652</v>
      </c>
    </row>
    <row r="823" spans="1:10" ht="15.75" x14ac:dyDescent="0.25">
      <c r="A823" s="32">
        <v>65989</v>
      </c>
      <c r="B823" s="14">
        <f>55.0126 * CHOOSE(CONTROL!$C$15, $E$9, 100%, $G$9) + CHOOSE(CONTROL!$C$38, 0.0278, 0)</f>
        <v>55.040399999999998</v>
      </c>
      <c r="C823" s="14">
        <f>50.6917 * CHOOSE(CONTROL!$C$15, $E$9, 100%, $G$9) + CHOOSE(CONTROL!$C$38, 0.0369, 0)</f>
        <v>50.7286</v>
      </c>
      <c r="D823" s="14">
        <f>50.6839 * CHOOSE(CONTROL!$C$15, $E$9, 100%, $G$9) + CHOOSE(CONTROL!$C$38, 0.0369, 0)</f>
        <v>50.720800000000004</v>
      </c>
      <c r="E823" s="46">
        <f>54.8564 * CHOOSE(CONTROL!$C$15, $E$9, 100%, $G$9) + CHOOSE(CONTROL!$C$38, 0.0369, 0)</f>
        <v>54.893300000000004</v>
      </c>
      <c r="F823" s="45">
        <f>54.8564 * CHOOSE(CONTROL!$C$15, $E$9, 100%, $G$9) + CHOOSE(CONTROL!$C$38, 0.0278, 0)</f>
        <v>54.8842</v>
      </c>
      <c r="G823" s="14">
        <f>50.6902 * CHOOSE(CONTROL!$C$15, $E$9, 100%, $G$9) + CHOOSE(CONTROL!$C$38, 0.0369, 0)</f>
        <v>50.7271</v>
      </c>
      <c r="H823" s="14">
        <f>50.6902 * CHOOSE(CONTROL!$C$15, $E$9, 100%, $G$9) + CHOOSE(CONTROL!$C$38, 0.0369, 0)</f>
        <v>50.7271</v>
      </c>
      <c r="I823" s="14">
        <f>50.6917 * CHOOSE(CONTROL!$C$15, $E$9, 100%, $G$9) + CHOOSE(CONTROL!$C$38, 0.0369, 0)</f>
        <v>50.7286</v>
      </c>
      <c r="J823" s="44">
        <f>501.6096</f>
        <v>501.6096</v>
      </c>
    </row>
    <row r="824" spans="1:10" ht="15.75" x14ac:dyDescent="0.25">
      <c r="A824" s="32">
        <v>66019</v>
      </c>
      <c r="B824" s="14">
        <f>55.2894 * CHOOSE(CONTROL!$C$15, $E$9, 100%, $G$9) + CHOOSE(CONTROL!$C$38, 0.0278, 0)</f>
        <v>55.3172</v>
      </c>
      <c r="C824" s="14">
        <f>50.9685 * CHOOSE(CONTROL!$C$15, $E$9, 100%, $G$9) + CHOOSE(CONTROL!$C$38, 0.0369, 0)</f>
        <v>51.005400000000002</v>
      </c>
      <c r="D824" s="14">
        <f>50.9607 * CHOOSE(CONTROL!$C$15, $E$9, 100%, $G$9) + CHOOSE(CONTROL!$C$38, 0.0369, 0)</f>
        <v>50.997600000000006</v>
      </c>
      <c r="E824" s="46">
        <f>55.1332 * CHOOSE(CONTROL!$C$15, $E$9, 100%, $G$9) + CHOOSE(CONTROL!$C$38, 0.0369, 0)</f>
        <v>55.170100000000005</v>
      </c>
      <c r="F824" s="45">
        <f>55.1332 * CHOOSE(CONTROL!$C$15, $E$9, 100%, $G$9) + CHOOSE(CONTROL!$C$38, 0.0278, 0)</f>
        <v>55.161000000000001</v>
      </c>
      <c r="G824" s="14">
        <f>50.967 * CHOOSE(CONTROL!$C$15, $E$9, 100%, $G$9) + CHOOSE(CONTROL!$C$38, 0.0369, 0)</f>
        <v>51.003900000000002</v>
      </c>
      <c r="H824" s="14">
        <f>50.967 * CHOOSE(CONTROL!$C$15, $E$9, 100%, $G$9) + CHOOSE(CONTROL!$C$38, 0.0369, 0)</f>
        <v>51.003900000000002</v>
      </c>
      <c r="I824" s="14">
        <f>50.9685 * CHOOSE(CONTROL!$C$15, $E$9, 100%, $G$9) + CHOOSE(CONTROL!$C$38, 0.0369, 0)</f>
        <v>51.005400000000002</v>
      </c>
      <c r="J824" s="44">
        <f>484.937</f>
        <v>484.93700000000001</v>
      </c>
    </row>
    <row r="825" spans="1:10" ht="15.75" x14ac:dyDescent="0.25">
      <c r="A825" s="32">
        <v>66050</v>
      </c>
      <c r="B825" s="14">
        <f>55.5212 * CHOOSE(CONTROL!$C$15, $E$9, 100%, $G$9) + CHOOSE(CONTROL!$C$38, 0.0256, 0)</f>
        <v>55.546799999999998</v>
      </c>
      <c r="C825" s="14">
        <f>51.2004 * CHOOSE(CONTROL!$C$15, $E$9, 100%, $G$9) + CHOOSE(CONTROL!$C$38, 0.0347, 0)</f>
        <v>51.235100000000003</v>
      </c>
      <c r="D825" s="14">
        <f>51.1926 * CHOOSE(CONTROL!$C$15, $E$9, 100%, $G$9) + CHOOSE(CONTROL!$C$38, 0.0347, 0)</f>
        <v>51.2273</v>
      </c>
      <c r="E825" s="46">
        <f>55.365 * CHOOSE(CONTROL!$C$15, $E$9, 100%, $G$9) + CHOOSE(CONTROL!$C$38, 0.0347, 0)</f>
        <v>55.399700000000003</v>
      </c>
      <c r="F825" s="45">
        <f>55.365 * CHOOSE(CONTROL!$C$15, $E$9, 100%, $G$9) + CHOOSE(CONTROL!$C$38, 0.0256, 0)</f>
        <v>55.390599999999999</v>
      </c>
      <c r="G825" s="14">
        <f>51.1988 * CHOOSE(CONTROL!$C$15, $E$9, 100%, $G$9) + CHOOSE(CONTROL!$C$38, 0.0347, 0)</f>
        <v>51.233499999999999</v>
      </c>
      <c r="H825" s="14">
        <f>51.1988 * CHOOSE(CONTROL!$C$15, $E$9, 100%, $G$9) + CHOOSE(CONTROL!$C$38, 0.0347, 0)</f>
        <v>51.233499999999999</v>
      </c>
      <c r="I825" s="14">
        <f>51.2004 * CHOOSE(CONTROL!$C$15, $E$9, 100%, $G$9) + CHOOSE(CONTROL!$C$38, 0.0347, 0)</f>
        <v>51.235100000000003</v>
      </c>
      <c r="J825" s="44">
        <f>468.1674</f>
        <v>468.16739999999999</v>
      </c>
    </row>
    <row r="826" spans="1:10" ht="15.75" x14ac:dyDescent="0.25">
      <c r="A826" s="32">
        <v>66080</v>
      </c>
      <c r="B826" s="14">
        <f>55.7147 * CHOOSE(CONTROL!$C$15, $E$9, 100%, $G$9) + CHOOSE(CONTROL!$C$38, 0.0256, 0)</f>
        <v>55.740299999999998</v>
      </c>
      <c r="C826" s="14">
        <f>51.3938 * CHOOSE(CONTROL!$C$15, $E$9, 100%, $G$9) + CHOOSE(CONTROL!$C$38, 0.0347, 0)</f>
        <v>51.4285</v>
      </c>
      <c r="D826" s="14">
        <f>51.386 * CHOOSE(CONTROL!$C$15, $E$9, 100%, $G$9) + CHOOSE(CONTROL!$C$38, 0.0347, 0)</f>
        <v>51.420700000000004</v>
      </c>
      <c r="E826" s="46">
        <f>55.5584 * CHOOSE(CONTROL!$C$15, $E$9, 100%, $G$9) + CHOOSE(CONTROL!$C$38, 0.0347, 0)</f>
        <v>55.5931</v>
      </c>
      <c r="F826" s="45">
        <f>55.5584 * CHOOSE(CONTROL!$C$15, $E$9, 100%, $G$9) + CHOOSE(CONTROL!$C$38, 0.0256, 0)</f>
        <v>55.583999999999996</v>
      </c>
      <c r="G826" s="14">
        <f>51.3922 * CHOOSE(CONTROL!$C$15, $E$9, 100%, $G$9) + CHOOSE(CONTROL!$C$38, 0.0347, 0)</f>
        <v>51.426900000000003</v>
      </c>
      <c r="H826" s="14">
        <f>51.3922 * CHOOSE(CONTROL!$C$15, $E$9, 100%, $G$9) + CHOOSE(CONTROL!$C$38, 0.0347, 0)</f>
        <v>51.426900000000003</v>
      </c>
      <c r="I826" s="14">
        <f>51.3938 * CHOOSE(CONTROL!$C$15, $E$9, 100%, $G$9) + CHOOSE(CONTROL!$C$38, 0.0347, 0)</f>
        <v>51.4285</v>
      </c>
      <c r="J826" s="44">
        <f>464.8316</f>
        <v>464.83159999999998</v>
      </c>
    </row>
    <row r="827" spans="1:10" ht="15.75" x14ac:dyDescent="0.25">
      <c r="A827" s="32">
        <v>66111</v>
      </c>
      <c r="B827" s="14">
        <f>56.3107 * CHOOSE(CONTROL!$C$15, $E$9, 100%, $G$9) + CHOOSE(CONTROL!$C$38, 0.0256, 0)</f>
        <v>56.336299999999994</v>
      </c>
      <c r="C827" s="14">
        <f>51.9899 * CHOOSE(CONTROL!$C$15, $E$9, 100%, $G$9) + CHOOSE(CONTROL!$C$38, 0.0347, 0)</f>
        <v>52.0246</v>
      </c>
      <c r="D827" s="14">
        <f>51.9821 * CHOOSE(CONTROL!$C$15, $E$9, 100%, $G$9) + CHOOSE(CONTROL!$C$38, 0.0347, 0)</f>
        <v>52.016800000000003</v>
      </c>
      <c r="E827" s="46">
        <f>56.1545 * CHOOSE(CONTROL!$C$15, $E$9, 100%, $G$9) + CHOOSE(CONTROL!$C$38, 0.0347, 0)</f>
        <v>56.1892</v>
      </c>
      <c r="F827" s="45">
        <f>56.1545 * CHOOSE(CONTROL!$C$15, $E$9, 100%, $G$9) + CHOOSE(CONTROL!$C$38, 0.0256, 0)</f>
        <v>56.180099999999996</v>
      </c>
      <c r="G827" s="14">
        <f>51.9883 * CHOOSE(CONTROL!$C$15, $E$9, 100%, $G$9) + CHOOSE(CONTROL!$C$38, 0.0347, 0)</f>
        <v>52.023000000000003</v>
      </c>
      <c r="H827" s="14">
        <f>51.9883 * CHOOSE(CONTROL!$C$15, $E$9, 100%, $G$9) + CHOOSE(CONTROL!$C$38, 0.0347, 0)</f>
        <v>52.023000000000003</v>
      </c>
      <c r="I827" s="14">
        <f>51.9899 * CHOOSE(CONTROL!$C$15, $E$9, 100%, $G$9) + CHOOSE(CONTROL!$C$38, 0.0347, 0)</f>
        <v>52.0246</v>
      </c>
      <c r="J827" s="44">
        <f>451.0376</f>
        <v>451.0376</v>
      </c>
    </row>
    <row r="828" spans="1:10" ht="15.75" x14ac:dyDescent="0.25">
      <c r="A828" s="32">
        <v>66142</v>
      </c>
      <c r="B828" s="14">
        <f>57.6854 * CHOOSE(CONTROL!$C$15, $E$9, 100%, $G$9) + CHOOSE(CONTROL!$C$38, 0.0256, 0)</f>
        <v>57.710999999999999</v>
      </c>
      <c r="C828" s="14">
        <f>53.2962 * CHOOSE(CONTROL!$C$15, $E$9, 100%, $G$9) + CHOOSE(CONTROL!$C$38, 0.0347, 0)</f>
        <v>53.3309</v>
      </c>
      <c r="D828" s="14">
        <f>53.2884 * CHOOSE(CONTROL!$C$15, $E$9, 100%, $G$9) + CHOOSE(CONTROL!$C$38, 0.0347, 0)</f>
        <v>53.323100000000004</v>
      </c>
      <c r="E828" s="46">
        <f>57.5291 * CHOOSE(CONTROL!$C$15, $E$9, 100%, $G$9) + CHOOSE(CONTROL!$C$38, 0.0347, 0)</f>
        <v>57.563800000000001</v>
      </c>
      <c r="F828" s="45">
        <f>57.5291 * CHOOSE(CONTROL!$C$15, $E$9, 100%, $G$9) + CHOOSE(CONTROL!$C$38, 0.0256, 0)</f>
        <v>57.554699999999997</v>
      </c>
      <c r="G828" s="14">
        <f>53.2947 * CHOOSE(CONTROL!$C$15, $E$9, 100%, $G$9) + CHOOSE(CONTROL!$C$38, 0.0347, 0)</f>
        <v>53.3294</v>
      </c>
      <c r="H828" s="14">
        <f>53.2947 * CHOOSE(CONTROL!$C$15, $E$9, 100%, $G$9) + CHOOSE(CONTROL!$C$38, 0.0347, 0)</f>
        <v>53.3294</v>
      </c>
      <c r="I828" s="14">
        <f>53.2962 * CHOOSE(CONTROL!$C$15, $E$9, 100%, $G$9) + CHOOSE(CONTROL!$C$38, 0.0347, 0)</f>
        <v>53.3309</v>
      </c>
      <c r="J828" s="44">
        <f>450.1763</f>
        <v>450.17630000000003</v>
      </c>
    </row>
    <row r="829" spans="1:10" ht="15.75" x14ac:dyDescent="0.25">
      <c r="A829" s="32">
        <v>66170</v>
      </c>
      <c r="B829" s="14">
        <f>57.9061 * CHOOSE(CONTROL!$C$15, $E$9, 100%, $G$9) + CHOOSE(CONTROL!$C$38, 0.0256, 0)</f>
        <v>57.931699999999999</v>
      </c>
      <c r="C829" s="14">
        <f>53.517 * CHOOSE(CONTROL!$C$15, $E$9, 100%, $G$9) + CHOOSE(CONTROL!$C$38, 0.0347, 0)</f>
        <v>53.551700000000004</v>
      </c>
      <c r="D829" s="14">
        <f>53.5092 * CHOOSE(CONTROL!$C$15, $E$9, 100%, $G$9) + CHOOSE(CONTROL!$C$38, 0.0347, 0)</f>
        <v>53.543900000000001</v>
      </c>
      <c r="E829" s="46">
        <f>57.7499 * CHOOSE(CONTROL!$C$15, $E$9, 100%, $G$9) + CHOOSE(CONTROL!$C$38, 0.0347, 0)</f>
        <v>57.784599999999998</v>
      </c>
      <c r="F829" s="45">
        <f>57.7499 * CHOOSE(CONTROL!$C$15, $E$9, 100%, $G$9) + CHOOSE(CONTROL!$C$38, 0.0256, 0)</f>
        <v>57.775499999999994</v>
      </c>
      <c r="G829" s="14">
        <f>53.5154 * CHOOSE(CONTROL!$C$15, $E$9, 100%, $G$9) + CHOOSE(CONTROL!$C$38, 0.0347, 0)</f>
        <v>53.5501</v>
      </c>
      <c r="H829" s="14">
        <f>53.5154 * CHOOSE(CONTROL!$C$15, $E$9, 100%, $G$9) + CHOOSE(CONTROL!$C$38, 0.0347, 0)</f>
        <v>53.5501</v>
      </c>
      <c r="I829" s="14">
        <f>53.517 * CHOOSE(CONTROL!$C$15, $E$9, 100%, $G$9) + CHOOSE(CONTROL!$C$38, 0.0347, 0)</f>
        <v>53.551700000000004</v>
      </c>
      <c r="J829" s="44">
        <f>448.9249</f>
        <v>448.92489999999998</v>
      </c>
    </row>
    <row r="830" spans="1:10" ht="15.75" x14ac:dyDescent="0.25">
      <c r="A830" s="32">
        <v>66201</v>
      </c>
      <c r="B830" s="14">
        <f>57.3951 * CHOOSE(CONTROL!$C$15, $E$9, 100%, $G$9) + CHOOSE(CONTROL!$C$38, 0.0256, 0)</f>
        <v>57.420699999999997</v>
      </c>
      <c r="C830" s="14">
        <f>53.0059 * CHOOSE(CONTROL!$C$15, $E$9, 100%, $G$9) + CHOOSE(CONTROL!$C$38, 0.0347, 0)</f>
        <v>53.040599999999998</v>
      </c>
      <c r="D830" s="14">
        <f>52.9981 * CHOOSE(CONTROL!$C$15, $E$9, 100%, $G$9) + CHOOSE(CONTROL!$C$38, 0.0347, 0)</f>
        <v>53.032800000000002</v>
      </c>
      <c r="E830" s="46">
        <f>57.2388 * CHOOSE(CONTROL!$C$15, $E$9, 100%, $G$9) + CHOOSE(CONTROL!$C$38, 0.0347, 0)</f>
        <v>57.273499999999999</v>
      </c>
      <c r="F830" s="45">
        <f>57.2388 * CHOOSE(CONTROL!$C$15, $E$9, 100%, $G$9) + CHOOSE(CONTROL!$C$38, 0.0256, 0)</f>
        <v>57.264399999999995</v>
      </c>
      <c r="G830" s="14">
        <f>53.0044 * CHOOSE(CONTROL!$C$15, $E$9, 100%, $G$9) + CHOOSE(CONTROL!$C$38, 0.0347, 0)</f>
        <v>53.039099999999998</v>
      </c>
      <c r="H830" s="14">
        <f>53.0044 * CHOOSE(CONTROL!$C$15, $E$9, 100%, $G$9) + CHOOSE(CONTROL!$C$38, 0.0347, 0)</f>
        <v>53.039099999999998</v>
      </c>
      <c r="I830" s="14">
        <f>53.0059 * CHOOSE(CONTROL!$C$15, $E$9, 100%, $G$9) + CHOOSE(CONTROL!$C$38, 0.0347, 0)</f>
        <v>53.040599999999998</v>
      </c>
      <c r="J830" s="44">
        <f>472.5859</f>
        <v>472.58589999999998</v>
      </c>
    </row>
    <row r="831" spans="1:10" ht="15.75" x14ac:dyDescent="0.25">
      <c r="A831" s="32">
        <v>66231</v>
      </c>
      <c r="B831" s="14">
        <f>56.8999 * CHOOSE(CONTROL!$C$15, $E$9, 100%, $G$9) + CHOOSE(CONTROL!$C$38, 0.0256, 0)</f>
        <v>56.9255</v>
      </c>
      <c r="C831" s="14">
        <f>52.5108 * CHOOSE(CONTROL!$C$15, $E$9, 100%, $G$9) + CHOOSE(CONTROL!$C$38, 0.0347, 0)</f>
        <v>52.545500000000004</v>
      </c>
      <c r="D831" s="14">
        <f>52.503 * CHOOSE(CONTROL!$C$15, $E$9, 100%, $G$9) + CHOOSE(CONTROL!$C$38, 0.0347, 0)</f>
        <v>52.537700000000001</v>
      </c>
      <c r="E831" s="46">
        <f>56.7437 * CHOOSE(CONTROL!$C$15, $E$9, 100%, $G$9) + CHOOSE(CONTROL!$C$38, 0.0347, 0)</f>
        <v>56.778399999999998</v>
      </c>
      <c r="F831" s="45">
        <f>56.7437 * CHOOSE(CONTROL!$C$15, $E$9, 100%, $G$9) + CHOOSE(CONTROL!$C$38, 0.0256, 0)</f>
        <v>56.769299999999994</v>
      </c>
      <c r="G831" s="14">
        <f>52.5092 * CHOOSE(CONTROL!$C$15, $E$9, 100%, $G$9) + CHOOSE(CONTROL!$C$38, 0.0347, 0)</f>
        <v>52.543900000000001</v>
      </c>
      <c r="H831" s="14">
        <f>52.5092 * CHOOSE(CONTROL!$C$15, $E$9, 100%, $G$9) + CHOOSE(CONTROL!$C$38, 0.0347, 0)</f>
        <v>52.543900000000001</v>
      </c>
      <c r="I831" s="14">
        <f>52.5108 * CHOOSE(CONTROL!$C$15, $E$9, 100%, $G$9) + CHOOSE(CONTROL!$C$38, 0.0347, 0)</f>
        <v>52.545500000000004</v>
      </c>
      <c r="J831" s="44">
        <f>503.2684</f>
        <v>503.26839999999999</v>
      </c>
    </row>
    <row r="832" spans="1:10" ht="15.75" x14ac:dyDescent="0.25">
      <c r="A832" s="32">
        <v>66262</v>
      </c>
      <c r="B832" s="14">
        <f>56.3838 * CHOOSE(CONTROL!$C$15, $E$9, 100%, $G$9) + CHOOSE(CONTROL!$C$38, 0.0278, 0)</f>
        <v>56.4116</v>
      </c>
      <c r="C832" s="14">
        <f>51.9947 * CHOOSE(CONTROL!$C$15, $E$9, 100%, $G$9) + CHOOSE(CONTROL!$C$38, 0.0369, 0)</f>
        <v>52.031600000000005</v>
      </c>
      <c r="D832" s="14">
        <f>51.9868 * CHOOSE(CONTROL!$C$15, $E$9, 100%, $G$9) + CHOOSE(CONTROL!$C$38, 0.0369, 0)</f>
        <v>52.023700000000005</v>
      </c>
      <c r="E832" s="46">
        <f>56.2275 * CHOOSE(CONTROL!$C$15, $E$9, 100%, $G$9) + CHOOSE(CONTROL!$C$38, 0.0369, 0)</f>
        <v>56.264400000000002</v>
      </c>
      <c r="F832" s="45">
        <f>56.2275 * CHOOSE(CONTROL!$C$15, $E$9, 100%, $G$9) + CHOOSE(CONTROL!$C$38, 0.0278, 0)</f>
        <v>56.255299999999998</v>
      </c>
      <c r="G832" s="14">
        <f>51.9931 * CHOOSE(CONTROL!$C$15, $E$9, 100%, $G$9) + CHOOSE(CONTROL!$C$38, 0.0369, 0)</f>
        <v>52.03</v>
      </c>
      <c r="H832" s="14">
        <f>51.9931 * CHOOSE(CONTROL!$C$15, $E$9, 100%, $G$9) + CHOOSE(CONTROL!$C$38, 0.0369, 0)</f>
        <v>52.03</v>
      </c>
      <c r="I832" s="14">
        <f>51.9947 * CHOOSE(CONTROL!$C$15, $E$9, 100%, $G$9) + CHOOSE(CONTROL!$C$38, 0.0369, 0)</f>
        <v>52.031600000000005</v>
      </c>
      <c r="J832" s="44">
        <f>520.1571</f>
        <v>520.15710000000001</v>
      </c>
    </row>
    <row r="833" spans="1:10" ht="15.75" x14ac:dyDescent="0.25">
      <c r="A833" s="32">
        <v>66292</v>
      </c>
      <c r="B833" s="14">
        <f>56.022 * CHOOSE(CONTROL!$C$15, $E$9, 100%, $G$9) + CHOOSE(CONTROL!$C$38, 0.0278, 0)</f>
        <v>56.049799999999998</v>
      </c>
      <c r="C833" s="14">
        <f>51.6328 * CHOOSE(CONTROL!$C$15, $E$9, 100%, $G$9) + CHOOSE(CONTROL!$C$38, 0.0369, 0)</f>
        <v>51.669700000000006</v>
      </c>
      <c r="D833" s="14">
        <f>51.625 * CHOOSE(CONTROL!$C$15, $E$9, 100%, $G$9) + CHOOSE(CONTROL!$C$38, 0.0369, 0)</f>
        <v>51.661900000000003</v>
      </c>
      <c r="E833" s="46">
        <f>55.8657 * CHOOSE(CONTROL!$C$15, $E$9, 100%, $G$9) + CHOOSE(CONTROL!$C$38, 0.0369, 0)</f>
        <v>55.9026</v>
      </c>
      <c r="F833" s="45">
        <f>55.8657 * CHOOSE(CONTROL!$C$15, $E$9, 100%, $G$9) + CHOOSE(CONTROL!$C$38, 0.0278, 0)</f>
        <v>55.893499999999996</v>
      </c>
      <c r="G833" s="14">
        <f>51.6313 * CHOOSE(CONTROL!$C$15, $E$9, 100%, $G$9) + CHOOSE(CONTROL!$C$38, 0.0369, 0)</f>
        <v>51.668200000000006</v>
      </c>
      <c r="H833" s="14">
        <f>51.6313 * CHOOSE(CONTROL!$C$15, $E$9, 100%, $G$9) + CHOOSE(CONTROL!$C$38, 0.0369, 0)</f>
        <v>51.668200000000006</v>
      </c>
      <c r="I833" s="14">
        <f>51.6328 * CHOOSE(CONTROL!$C$15, $E$9, 100%, $G$9) + CHOOSE(CONTROL!$C$38, 0.0369, 0)</f>
        <v>51.669700000000006</v>
      </c>
      <c r="J833" s="44">
        <f>527.652</f>
        <v>527.65200000000004</v>
      </c>
    </row>
    <row r="834" spans="1:10" ht="15.75" x14ac:dyDescent="0.25">
      <c r="A834" s="32">
        <v>66323</v>
      </c>
      <c r="B834" s="14">
        <f>55.8155 * CHOOSE(CONTROL!$C$15, $E$9, 100%, $G$9) + CHOOSE(CONTROL!$C$38, 0.0278, 0)</f>
        <v>55.843299999999999</v>
      </c>
      <c r="C834" s="14">
        <f>51.4263 * CHOOSE(CONTROL!$C$15, $E$9, 100%, $G$9) + CHOOSE(CONTROL!$C$38, 0.0369, 0)</f>
        <v>51.463200000000001</v>
      </c>
      <c r="D834" s="14">
        <f>51.4185 * CHOOSE(CONTROL!$C$15, $E$9, 100%, $G$9) + CHOOSE(CONTROL!$C$38, 0.0369, 0)</f>
        <v>51.455400000000004</v>
      </c>
      <c r="E834" s="46">
        <f>55.6592 * CHOOSE(CONTROL!$C$15, $E$9, 100%, $G$9) + CHOOSE(CONTROL!$C$38, 0.0369, 0)</f>
        <v>55.696100000000001</v>
      </c>
      <c r="F834" s="45">
        <f>55.6592 * CHOOSE(CONTROL!$C$15, $E$9, 100%, $G$9) + CHOOSE(CONTROL!$C$38, 0.0278, 0)</f>
        <v>55.686999999999998</v>
      </c>
      <c r="G834" s="14">
        <f>51.4248 * CHOOSE(CONTROL!$C$15, $E$9, 100%, $G$9) + CHOOSE(CONTROL!$C$38, 0.0369, 0)</f>
        <v>51.4617</v>
      </c>
      <c r="H834" s="14">
        <f>51.4248 * CHOOSE(CONTROL!$C$15, $E$9, 100%, $G$9) + CHOOSE(CONTROL!$C$38, 0.0369, 0)</f>
        <v>51.4617</v>
      </c>
      <c r="I834" s="14">
        <f>51.4263 * CHOOSE(CONTROL!$C$15, $E$9, 100%, $G$9) + CHOOSE(CONTROL!$C$38, 0.0369, 0)</f>
        <v>51.463200000000001</v>
      </c>
      <c r="J834" s="44">
        <f>525.1844</f>
        <v>525.18439999999998</v>
      </c>
    </row>
    <row r="835" spans="1:10" ht="15.75" x14ac:dyDescent="0.25">
      <c r="A835" s="32">
        <v>66354</v>
      </c>
      <c r="B835" s="14">
        <f>55.9174 * CHOOSE(CONTROL!$C$15, $E$9, 100%, $G$9) + CHOOSE(CONTROL!$C$38, 0.0278, 0)</f>
        <v>55.9452</v>
      </c>
      <c r="C835" s="14">
        <f>51.5282 * CHOOSE(CONTROL!$C$15, $E$9, 100%, $G$9) + CHOOSE(CONTROL!$C$38, 0.0369, 0)</f>
        <v>51.565100000000001</v>
      </c>
      <c r="D835" s="14">
        <f>51.5204 * CHOOSE(CONTROL!$C$15, $E$9, 100%, $G$9) + CHOOSE(CONTROL!$C$38, 0.0369, 0)</f>
        <v>51.557300000000005</v>
      </c>
      <c r="E835" s="46">
        <f>55.7611 * CHOOSE(CONTROL!$C$15, $E$9, 100%, $G$9) + CHOOSE(CONTROL!$C$38, 0.0369, 0)</f>
        <v>55.798000000000002</v>
      </c>
      <c r="F835" s="45">
        <f>55.7611 * CHOOSE(CONTROL!$C$15, $E$9, 100%, $G$9) + CHOOSE(CONTROL!$C$38, 0.0278, 0)</f>
        <v>55.788899999999998</v>
      </c>
      <c r="G835" s="14">
        <f>51.5267 * CHOOSE(CONTROL!$C$15, $E$9, 100%, $G$9) + CHOOSE(CONTROL!$C$38, 0.0369, 0)</f>
        <v>51.563600000000001</v>
      </c>
      <c r="H835" s="14">
        <f>51.5267 * CHOOSE(CONTROL!$C$15, $E$9, 100%, $G$9) + CHOOSE(CONTROL!$C$38, 0.0369, 0)</f>
        <v>51.563600000000001</v>
      </c>
      <c r="I835" s="14">
        <f>51.5282 * CHOOSE(CONTROL!$C$15, $E$9, 100%, $G$9) + CHOOSE(CONTROL!$C$38, 0.0369, 0)</f>
        <v>51.565100000000001</v>
      </c>
      <c r="J835" s="44">
        <f>512.9583</f>
        <v>512.95830000000001</v>
      </c>
    </row>
    <row r="836" spans="1:10" ht="15.75" x14ac:dyDescent="0.25">
      <c r="A836" s="32">
        <v>66384</v>
      </c>
      <c r="B836" s="14">
        <f>56.1942 * CHOOSE(CONTROL!$C$15, $E$9, 100%, $G$9) + CHOOSE(CONTROL!$C$38, 0.0278, 0)</f>
        <v>56.222000000000001</v>
      </c>
      <c r="C836" s="14">
        <f>51.805 * CHOOSE(CONTROL!$C$15, $E$9, 100%, $G$9) + CHOOSE(CONTROL!$C$38, 0.0369, 0)</f>
        <v>51.841900000000003</v>
      </c>
      <c r="D836" s="14">
        <f>51.7972 * CHOOSE(CONTROL!$C$15, $E$9, 100%, $G$9) + CHOOSE(CONTROL!$C$38, 0.0369, 0)</f>
        <v>51.834099999999999</v>
      </c>
      <c r="E836" s="46">
        <f>56.0379 * CHOOSE(CONTROL!$C$15, $E$9, 100%, $G$9) + CHOOSE(CONTROL!$C$38, 0.0369, 0)</f>
        <v>56.074800000000003</v>
      </c>
      <c r="F836" s="45">
        <f>56.0379 * CHOOSE(CONTROL!$C$15, $E$9, 100%, $G$9) + CHOOSE(CONTROL!$C$38, 0.0278, 0)</f>
        <v>56.0657</v>
      </c>
      <c r="G836" s="14">
        <f>51.8035 * CHOOSE(CONTROL!$C$15, $E$9, 100%, $G$9) + CHOOSE(CONTROL!$C$38, 0.0369, 0)</f>
        <v>51.840400000000002</v>
      </c>
      <c r="H836" s="14">
        <f>51.8035 * CHOOSE(CONTROL!$C$15, $E$9, 100%, $G$9) + CHOOSE(CONTROL!$C$38, 0.0369, 0)</f>
        <v>51.840400000000002</v>
      </c>
      <c r="I836" s="14">
        <f>51.805 * CHOOSE(CONTROL!$C$15, $E$9, 100%, $G$9) + CHOOSE(CONTROL!$C$38, 0.0369, 0)</f>
        <v>51.841900000000003</v>
      </c>
      <c r="J836" s="44">
        <f>495.9084</f>
        <v>495.90839999999997</v>
      </c>
    </row>
    <row r="837" spans="1:10" ht="15.75" x14ac:dyDescent="0.25">
      <c r="A837" s="32">
        <v>66415</v>
      </c>
      <c r="B837" s="14">
        <f>56.426 * CHOOSE(CONTROL!$C$15, $E$9, 100%, $G$9) + CHOOSE(CONTROL!$C$38, 0.0256, 0)</f>
        <v>56.451599999999999</v>
      </c>
      <c r="C837" s="14">
        <f>52.0369 * CHOOSE(CONTROL!$C$15, $E$9, 100%, $G$9) + CHOOSE(CONTROL!$C$38, 0.0347, 0)</f>
        <v>52.071600000000004</v>
      </c>
      <c r="D837" s="14">
        <f>52.029 * CHOOSE(CONTROL!$C$15, $E$9, 100%, $G$9) + CHOOSE(CONTROL!$C$38, 0.0347, 0)</f>
        <v>52.063700000000004</v>
      </c>
      <c r="E837" s="46">
        <f>56.2698 * CHOOSE(CONTROL!$C$15, $E$9, 100%, $G$9) + CHOOSE(CONTROL!$C$38, 0.0347, 0)</f>
        <v>56.304499999999997</v>
      </c>
      <c r="F837" s="45">
        <f>56.2698 * CHOOSE(CONTROL!$C$15, $E$9, 100%, $G$9) + CHOOSE(CONTROL!$C$38, 0.0256, 0)</f>
        <v>56.295399999999994</v>
      </c>
      <c r="G837" s="14">
        <f>52.0353 * CHOOSE(CONTROL!$C$15, $E$9, 100%, $G$9) + CHOOSE(CONTROL!$C$38, 0.0347, 0)</f>
        <v>52.07</v>
      </c>
      <c r="H837" s="14">
        <f>52.0353 * CHOOSE(CONTROL!$C$15, $E$9, 100%, $G$9) + CHOOSE(CONTROL!$C$38, 0.0347, 0)</f>
        <v>52.07</v>
      </c>
      <c r="I837" s="14">
        <f>52.0369 * CHOOSE(CONTROL!$C$15, $E$9, 100%, $G$9) + CHOOSE(CONTROL!$C$38, 0.0347, 0)</f>
        <v>52.071600000000004</v>
      </c>
      <c r="J837" s="44">
        <f>478.7594</f>
        <v>478.75940000000003</v>
      </c>
    </row>
    <row r="838" spans="1:10" ht="15.75" x14ac:dyDescent="0.25">
      <c r="A838" s="32">
        <v>66445</v>
      </c>
      <c r="B838" s="14">
        <f>56.6194 * CHOOSE(CONTROL!$C$15, $E$9, 100%, $G$9) + CHOOSE(CONTROL!$C$38, 0.0256, 0)</f>
        <v>56.644999999999996</v>
      </c>
      <c r="C838" s="14">
        <f>52.2303 * CHOOSE(CONTROL!$C$15, $E$9, 100%, $G$9) + CHOOSE(CONTROL!$C$38, 0.0347, 0)</f>
        <v>52.265000000000001</v>
      </c>
      <c r="D838" s="14">
        <f>52.2225 * CHOOSE(CONTROL!$C$15, $E$9, 100%, $G$9) + CHOOSE(CONTROL!$C$38, 0.0347, 0)</f>
        <v>52.257199999999997</v>
      </c>
      <c r="E838" s="46">
        <f>56.4632 * CHOOSE(CONTROL!$C$15, $E$9, 100%, $G$9) + CHOOSE(CONTROL!$C$38, 0.0347, 0)</f>
        <v>56.497900000000001</v>
      </c>
      <c r="F838" s="45">
        <f>56.4632 * CHOOSE(CONTROL!$C$15, $E$9, 100%, $G$9) + CHOOSE(CONTROL!$C$38, 0.0256, 0)</f>
        <v>56.488799999999998</v>
      </c>
      <c r="G838" s="14">
        <f>52.2287 * CHOOSE(CONTROL!$C$15, $E$9, 100%, $G$9) + CHOOSE(CONTROL!$C$38, 0.0347, 0)</f>
        <v>52.263400000000004</v>
      </c>
      <c r="H838" s="14">
        <f>52.2287 * CHOOSE(CONTROL!$C$15, $E$9, 100%, $G$9) + CHOOSE(CONTROL!$C$38, 0.0347, 0)</f>
        <v>52.263400000000004</v>
      </c>
      <c r="I838" s="14">
        <f>52.2303 * CHOOSE(CONTROL!$C$15, $E$9, 100%, $G$9) + CHOOSE(CONTROL!$C$38, 0.0347, 0)</f>
        <v>52.265000000000001</v>
      </c>
      <c r="J838" s="44">
        <f>475.3481</f>
        <v>475.34809999999999</v>
      </c>
    </row>
    <row r="839" spans="1:10" ht="15.75" x14ac:dyDescent="0.25">
      <c r="A839" s="32">
        <v>66476</v>
      </c>
      <c r="B839" s="14">
        <f>57.2155 * CHOOSE(CONTROL!$C$15, $E$9, 100%, $G$9) + CHOOSE(CONTROL!$C$38, 0.0256, 0)</f>
        <v>57.241099999999996</v>
      </c>
      <c r="C839" s="14">
        <f>52.8264 * CHOOSE(CONTROL!$C$15, $E$9, 100%, $G$9) + CHOOSE(CONTROL!$C$38, 0.0347, 0)</f>
        <v>52.8611</v>
      </c>
      <c r="D839" s="14">
        <f>52.8186 * CHOOSE(CONTROL!$C$15, $E$9, 100%, $G$9) + CHOOSE(CONTROL!$C$38, 0.0347, 0)</f>
        <v>52.853300000000004</v>
      </c>
      <c r="E839" s="46">
        <f>57.0593 * CHOOSE(CONTROL!$C$15, $E$9, 100%, $G$9) + CHOOSE(CONTROL!$C$38, 0.0347, 0)</f>
        <v>57.094000000000001</v>
      </c>
      <c r="F839" s="45">
        <f>57.0593 * CHOOSE(CONTROL!$C$15, $E$9, 100%, $G$9) + CHOOSE(CONTROL!$C$38, 0.0256, 0)</f>
        <v>57.084899999999998</v>
      </c>
      <c r="G839" s="14">
        <f>52.8248 * CHOOSE(CONTROL!$C$15, $E$9, 100%, $G$9) + CHOOSE(CONTROL!$C$38, 0.0347, 0)</f>
        <v>52.859500000000004</v>
      </c>
      <c r="H839" s="14">
        <f>52.8248 * CHOOSE(CONTROL!$C$15, $E$9, 100%, $G$9) + CHOOSE(CONTROL!$C$38, 0.0347, 0)</f>
        <v>52.859500000000004</v>
      </c>
      <c r="I839" s="14">
        <f>52.8264 * CHOOSE(CONTROL!$C$15, $E$9, 100%, $G$9) + CHOOSE(CONTROL!$C$38, 0.0347, 0)</f>
        <v>52.8611</v>
      </c>
      <c r="J839" s="44">
        <f>461.2421</f>
        <v>461.24209999999999</v>
      </c>
    </row>
    <row r="840" spans="1:10" ht="15.75" x14ac:dyDescent="0.25">
      <c r="A840" s="32">
        <v>66507</v>
      </c>
      <c r="B840" s="14">
        <f>58.605 * CHOOSE(CONTROL!$C$15, $E$9, 100%, $G$9) + CHOOSE(CONTROL!$C$38, 0.0256, 0)</f>
        <v>58.630599999999994</v>
      </c>
      <c r="C840" s="14">
        <f>54.1464 * CHOOSE(CONTROL!$C$15, $E$9, 100%, $G$9) + CHOOSE(CONTROL!$C$38, 0.0347, 0)</f>
        <v>54.181100000000001</v>
      </c>
      <c r="D840" s="14">
        <f>54.1386 * CHOOSE(CONTROL!$C$15, $E$9, 100%, $G$9) + CHOOSE(CONTROL!$C$38, 0.0347, 0)</f>
        <v>54.173299999999998</v>
      </c>
      <c r="E840" s="46">
        <f>58.4487 * CHOOSE(CONTROL!$C$15, $E$9, 100%, $G$9) + CHOOSE(CONTROL!$C$38, 0.0347, 0)</f>
        <v>58.483400000000003</v>
      </c>
      <c r="F840" s="45">
        <f>58.4487 * CHOOSE(CONTROL!$C$15, $E$9, 100%, $G$9) + CHOOSE(CONTROL!$C$38, 0.0256, 0)</f>
        <v>58.474299999999999</v>
      </c>
      <c r="G840" s="14">
        <f>54.1449 * CHOOSE(CONTROL!$C$15, $E$9, 100%, $G$9) + CHOOSE(CONTROL!$C$38, 0.0347, 0)</f>
        <v>54.179600000000001</v>
      </c>
      <c r="H840" s="14">
        <f>54.1449 * CHOOSE(CONTROL!$C$15, $E$9, 100%, $G$9) + CHOOSE(CONTROL!$C$38, 0.0347, 0)</f>
        <v>54.179600000000001</v>
      </c>
      <c r="I840" s="14">
        <f>54.1464 * CHOOSE(CONTROL!$C$15, $E$9, 100%, $G$9) + CHOOSE(CONTROL!$C$38, 0.0347, 0)</f>
        <v>54.181100000000001</v>
      </c>
      <c r="J840" s="44">
        <f>460.3613</f>
        <v>460.36130000000003</v>
      </c>
    </row>
    <row r="841" spans="1:10" ht="15.75" x14ac:dyDescent="0.25">
      <c r="A841" s="32">
        <v>66535</v>
      </c>
      <c r="B841" s="14">
        <f>58.8257 * CHOOSE(CONTROL!$C$15, $E$9, 100%, $G$9) + CHOOSE(CONTROL!$C$38, 0.0256, 0)</f>
        <v>58.851299999999995</v>
      </c>
      <c r="C841" s="14">
        <f>54.3672 * CHOOSE(CONTROL!$C$15, $E$9, 100%, $G$9) + CHOOSE(CONTROL!$C$38, 0.0347, 0)</f>
        <v>54.401899999999998</v>
      </c>
      <c r="D841" s="14">
        <f>54.3594 * CHOOSE(CONTROL!$C$15, $E$9, 100%, $G$9) + CHOOSE(CONTROL!$C$38, 0.0347, 0)</f>
        <v>54.394100000000002</v>
      </c>
      <c r="E841" s="46">
        <f>58.6695 * CHOOSE(CONTROL!$C$15, $E$9, 100%, $G$9) + CHOOSE(CONTROL!$C$38, 0.0347, 0)</f>
        <v>58.7042</v>
      </c>
      <c r="F841" s="45">
        <f>58.6695 * CHOOSE(CONTROL!$C$15, $E$9, 100%, $G$9) + CHOOSE(CONTROL!$C$38, 0.0256, 0)</f>
        <v>58.695099999999996</v>
      </c>
      <c r="G841" s="14">
        <f>54.3656 * CHOOSE(CONTROL!$C$15, $E$9, 100%, $G$9) + CHOOSE(CONTROL!$C$38, 0.0347, 0)</f>
        <v>54.400300000000001</v>
      </c>
      <c r="H841" s="14">
        <f>54.3656 * CHOOSE(CONTROL!$C$15, $E$9, 100%, $G$9) + CHOOSE(CONTROL!$C$38, 0.0347, 0)</f>
        <v>54.400300000000001</v>
      </c>
      <c r="I841" s="14">
        <f>54.3672 * CHOOSE(CONTROL!$C$15, $E$9, 100%, $G$9) + CHOOSE(CONTROL!$C$38, 0.0347, 0)</f>
        <v>54.401899999999998</v>
      </c>
      <c r="J841" s="44">
        <f>459.0816</f>
        <v>459.08159999999998</v>
      </c>
    </row>
    <row r="842" spans="1:10" ht="15.75" x14ac:dyDescent="0.25">
      <c r="A842" s="32">
        <v>66566</v>
      </c>
      <c r="B842" s="14">
        <f>58.3147 * CHOOSE(CONTROL!$C$15, $E$9, 100%, $G$9) + CHOOSE(CONTROL!$C$38, 0.0256, 0)</f>
        <v>58.340299999999999</v>
      </c>
      <c r="C842" s="14">
        <f>53.8561 * CHOOSE(CONTROL!$C$15, $E$9, 100%, $G$9) + CHOOSE(CONTROL!$C$38, 0.0347, 0)</f>
        <v>53.890799999999999</v>
      </c>
      <c r="D842" s="14">
        <f>53.8483 * CHOOSE(CONTROL!$C$15, $E$9, 100%, $G$9) + CHOOSE(CONTROL!$C$38, 0.0347, 0)</f>
        <v>53.883000000000003</v>
      </c>
      <c r="E842" s="46">
        <f>58.1584 * CHOOSE(CONTROL!$C$15, $E$9, 100%, $G$9) + CHOOSE(CONTROL!$C$38, 0.0347, 0)</f>
        <v>58.193100000000001</v>
      </c>
      <c r="F842" s="45">
        <f>58.1584 * CHOOSE(CONTROL!$C$15, $E$9, 100%, $G$9) + CHOOSE(CONTROL!$C$38, 0.0256, 0)</f>
        <v>58.183999999999997</v>
      </c>
      <c r="G842" s="14">
        <f>53.8546 * CHOOSE(CONTROL!$C$15, $E$9, 100%, $G$9) + CHOOSE(CONTROL!$C$38, 0.0347, 0)</f>
        <v>53.889299999999999</v>
      </c>
      <c r="H842" s="14">
        <f>53.8546 * CHOOSE(CONTROL!$C$15, $E$9, 100%, $G$9) + CHOOSE(CONTROL!$C$38, 0.0347, 0)</f>
        <v>53.889299999999999</v>
      </c>
      <c r="I842" s="14">
        <f>53.8561 * CHOOSE(CONTROL!$C$15, $E$9, 100%, $G$9) + CHOOSE(CONTROL!$C$38, 0.0347, 0)</f>
        <v>53.890799999999999</v>
      </c>
      <c r="J842" s="44">
        <f>483.2779</f>
        <v>483.27789999999999</v>
      </c>
    </row>
    <row r="843" spans="1:10" ht="15.75" x14ac:dyDescent="0.25">
      <c r="A843" s="32">
        <v>66596</v>
      </c>
      <c r="B843" s="14">
        <f>57.8195 * CHOOSE(CONTROL!$C$15, $E$9, 100%, $G$9) + CHOOSE(CONTROL!$C$38, 0.0256, 0)</f>
        <v>57.845099999999995</v>
      </c>
      <c r="C843" s="14">
        <f>53.361 * CHOOSE(CONTROL!$C$15, $E$9, 100%, $G$9) + CHOOSE(CONTROL!$C$38, 0.0347, 0)</f>
        <v>53.395699999999998</v>
      </c>
      <c r="D843" s="14">
        <f>53.3532 * CHOOSE(CONTROL!$C$15, $E$9, 100%, $G$9) + CHOOSE(CONTROL!$C$38, 0.0347, 0)</f>
        <v>53.387900000000002</v>
      </c>
      <c r="E843" s="46">
        <f>57.6633 * CHOOSE(CONTROL!$C$15, $E$9, 100%, $G$9) + CHOOSE(CONTROL!$C$38, 0.0347, 0)</f>
        <v>57.698</v>
      </c>
      <c r="F843" s="45">
        <f>57.6633 * CHOOSE(CONTROL!$C$15, $E$9, 100%, $G$9) + CHOOSE(CONTROL!$C$38, 0.0256, 0)</f>
        <v>57.688899999999997</v>
      </c>
      <c r="G843" s="14">
        <f>53.3594 * CHOOSE(CONTROL!$C$15, $E$9, 100%, $G$9) + CHOOSE(CONTROL!$C$38, 0.0347, 0)</f>
        <v>53.394100000000002</v>
      </c>
      <c r="H843" s="14">
        <f>53.3594 * CHOOSE(CONTROL!$C$15, $E$9, 100%, $G$9) + CHOOSE(CONTROL!$C$38, 0.0347, 0)</f>
        <v>53.394100000000002</v>
      </c>
      <c r="I843" s="14">
        <f>53.361 * CHOOSE(CONTROL!$C$15, $E$9, 100%, $G$9) + CHOOSE(CONTROL!$C$38, 0.0347, 0)</f>
        <v>53.395699999999998</v>
      </c>
      <c r="J843" s="44">
        <f>514.6546</f>
        <v>514.65459999999996</v>
      </c>
    </row>
    <row r="844" spans="1:10" ht="15.75" x14ac:dyDescent="0.25">
      <c r="A844" s="32">
        <v>66627</v>
      </c>
      <c r="B844" s="14">
        <f>57.3034 * CHOOSE(CONTROL!$C$15, $E$9, 100%, $G$9) + CHOOSE(CONTROL!$C$38, 0.0278, 0)</f>
        <v>57.331200000000003</v>
      </c>
      <c r="C844" s="14">
        <f>52.8449 * CHOOSE(CONTROL!$C$15, $E$9, 100%, $G$9) + CHOOSE(CONTROL!$C$38, 0.0369, 0)</f>
        <v>52.881800000000005</v>
      </c>
      <c r="D844" s="14">
        <f>52.837 * CHOOSE(CONTROL!$C$15, $E$9, 100%, $G$9) + CHOOSE(CONTROL!$C$38, 0.0369, 0)</f>
        <v>52.873900000000006</v>
      </c>
      <c r="E844" s="46">
        <f>57.1471 * CHOOSE(CONTROL!$C$15, $E$9, 100%, $G$9) + CHOOSE(CONTROL!$C$38, 0.0369, 0)</f>
        <v>57.184000000000005</v>
      </c>
      <c r="F844" s="45">
        <f>57.1471 * CHOOSE(CONTROL!$C$15, $E$9, 100%, $G$9) + CHOOSE(CONTROL!$C$38, 0.0278, 0)</f>
        <v>57.174900000000001</v>
      </c>
      <c r="G844" s="14">
        <f>52.8433 * CHOOSE(CONTROL!$C$15, $E$9, 100%, $G$9) + CHOOSE(CONTROL!$C$38, 0.0369, 0)</f>
        <v>52.880200000000002</v>
      </c>
      <c r="H844" s="14">
        <f>52.8433 * CHOOSE(CONTROL!$C$15, $E$9, 100%, $G$9) + CHOOSE(CONTROL!$C$38, 0.0369, 0)</f>
        <v>52.880200000000002</v>
      </c>
      <c r="I844" s="14">
        <f>52.8449 * CHOOSE(CONTROL!$C$15, $E$9, 100%, $G$9) + CHOOSE(CONTROL!$C$38, 0.0369, 0)</f>
        <v>52.881800000000005</v>
      </c>
      <c r="J844" s="44">
        <f>531.9254</f>
        <v>531.92539999999997</v>
      </c>
    </row>
    <row r="845" spans="1:10" ht="15.75" x14ac:dyDescent="0.25">
      <c r="A845" s="32">
        <v>66657</v>
      </c>
      <c r="B845" s="14">
        <f>56.9416 * CHOOSE(CONTROL!$C$15, $E$9, 100%, $G$9) + CHOOSE(CONTROL!$C$38, 0.0278, 0)</f>
        <v>56.9694</v>
      </c>
      <c r="C845" s="14">
        <f>52.483 * CHOOSE(CONTROL!$C$15, $E$9, 100%, $G$9) + CHOOSE(CONTROL!$C$38, 0.0369, 0)</f>
        <v>52.5199</v>
      </c>
      <c r="D845" s="14">
        <f>52.4752 * CHOOSE(CONTROL!$C$15, $E$9, 100%, $G$9) + CHOOSE(CONTROL!$C$38, 0.0369, 0)</f>
        <v>52.512100000000004</v>
      </c>
      <c r="E845" s="46">
        <f>56.7853 * CHOOSE(CONTROL!$C$15, $E$9, 100%, $G$9) + CHOOSE(CONTROL!$C$38, 0.0369, 0)</f>
        <v>56.822200000000002</v>
      </c>
      <c r="F845" s="45">
        <f>56.7853 * CHOOSE(CONTROL!$C$15, $E$9, 100%, $G$9) + CHOOSE(CONTROL!$C$38, 0.0278, 0)</f>
        <v>56.813099999999999</v>
      </c>
      <c r="G845" s="14">
        <f>52.4815 * CHOOSE(CONTROL!$C$15, $E$9, 100%, $G$9) + CHOOSE(CONTROL!$C$38, 0.0369, 0)</f>
        <v>52.5184</v>
      </c>
      <c r="H845" s="14">
        <f>52.4815 * CHOOSE(CONTROL!$C$15, $E$9, 100%, $G$9) + CHOOSE(CONTROL!$C$38, 0.0369, 0)</f>
        <v>52.5184</v>
      </c>
      <c r="I845" s="14">
        <f>52.483 * CHOOSE(CONTROL!$C$15, $E$9, 100%, $G$9) + CHOOSE(CONTROL!$C$38, 0.0369, 0)</f>
        <v>52.5199</v>
      </c>
      <c r="J845" s="44">
        <f>539.5899</f>
        <v>539.58989999999994</v>
      </c>
    </row>
    <row r="846" spans="1:10" ht="15.75" x14ac:dyDescent="0.25">
      <c r="A846" s="32">
        <v>66688</v>
      </c>
      <c r="B846" s="14">
        <f>56.7351 * CHOOSE(CONTROL!$C$15, $E$9, 100%, $G$9) + CHOOSE(CONTROL!$C$38, 0.0278, 0)</f>
        <v>56.762900000000002</v>
      </c>
      <c r="C846" s="14">
        <f>52.2765 * CHOOSE(CONTROL!$C$15, $E$9, 100%, $G$9) + CHOOSE(CONTROL!$C$38, 0.0369, 0)</f>
        <v>52.313400000000001</v>
      </c>
      <c r="D846" s="14">
        <f>52.2687 * CHOOSE(CONTROL!$C$15, $E$9, 100%, $G$9) + CHOOSE(CONTROL!$C$38, 0.0369, 0)</f>
        <v>52.305600000000005</v>
      </c>
      <c r="E846" s="46">
        <f>56.5788 * CHOOSE(CONTROL!$C$15, $E$9, 100%, $G$9) + CHOOSE(CONTROL!$C$38, 0.0369, 0)</f>
        <v>56.615700000000004</v>
      </c>
      <c r="F846" s="45">
        <f>56.5788 * CHOOSE(CONTROL!$C$15, $E$9, 100%, $G$9) + CHOOSE(CONTROL!$C$38, 0.0278, 0)</f>
        <v>56.6066</v>
      </c>
      <c r="G846" s="14">
        <f>52.275 * CHOOSE(CONTROL!$C$15, $E$9, 100%, $G$9) + CHOOSE(CONTROL!$C$38, 0.0369, 0)</f>
        <v>52.311900000000001</v>
      </c>
      <c r="H846" s="14">
        <f>52.275 * CHOOSE(CONTROL!$C$15, $E$9, 100%, $G$9) + CHOOSE(CONTROL!$C$38, 0.0369, 0)</f>
        <v>52.311900000000001</v>
      </c>
      <c r="I846" s="14">
        <f>52.2765 * CHOOSE(CONTROL!$C$15, $E$9, 100%, $G$9) + CHOOSE(CONTROL!$C$38, 0.0369, 0)</f>
        <v>52.313400000000001</v>
      </c>
      <c r="J846" s="44">
        <f>537.0664</f>
        <v>537.06640000000004</v>
      </c>
    </row>
    <row r="847" spans="1:10" ht="15.75" x14ac:dyDescent="0.25">
      <c r="A847" s="32">
        <v>66719</v>
      </c>
      <c r="B847" s="14">
        <f>56.837 * CHOOSE(CONTROL!$C$15, $E$9, 100%, $G$9) + CHOOSE(CONTROL!$C$38, 0.0278, 0)</f>
        <v>56.864800000000002</v>
      </c>
      <c r="C847" s="14">
        <f>52.3784 * CHOOSE(CONTROL!$C$15, $E$9, 100%, $G$9) + CHOOSE(CONTROL!$C$38, 0.0369, 0)</f>
        <v>52.415300000000002</v>
      </c>
      <c r="D847" s="14">
        <f>52.3706 * CHOOSE(CONTROL!$C$15, $E$9, 100%, $G$9) + CHOOSE(CONTROL!$C$38, 0.0369, 0)</f>
        <v>52.407500000000006</v>
      </c>
      <c r="E847" s="46">
        <f>56.6807 * CHOOSE(CONTROL!$C$15, $E$9, 100%, $G$9) + CHOOSE(CONTROL!$C$38, 0.0369, 0)</f>
        <v>56.717600000000004</v>
      </c>
      <c r="F847" s="45">
        <f>56.6807 * CHOOSE(CONTROL!$C$15, $E$9, 100%, $G$9) + CHOOSE(CONTROL!$C$38, 0.0278, 0)</f>
        <v>56.708500000000001</v>
      </c>
      <c r="G847" s="14">
        <f>52.3769 * CHOOSE(CONTROL!$C$15, $E$9, 100%, $G$9) + CHOOSE(CONTROL!$C$38, 0.0369, 0)</f>
        <v>52.413800000000002</v>
      </c>
      <c r="H847" s="14">
        <f>52.3769 * CHOOSE(CONTROL!$C$15, $E$9, 100%, $G$9) + CHOOSE(CONTROL!$C$38, 0.0369, 0)</f>
        <v>52.413800000000002</v>
      </c>
      <c r="I847" s="14">
        <f>52.3784 * CHOOSE(CONTROL!$C$15, $E$9, 100%, $G$9) + CHOOSE(CONTROL!$C$38, 0.0369, 0)</f>
        <v>52.415300000000002</v>
      </c>
      <c r="J847" s="44">
        <f>524.5637</f>
        <v>524.56370000000004</v>
      </c>
    </row>
    <row r="848" spans="1:10" ht="15.75" x14ac:dyDescent="0.25">
      <c r="A848" s="32">
        <v>66749</v>
      </c>
      <c r="B848" s="14">
        <f>57.1138 * CHOOSE(CONTROL!$C$15, $E$9, 100%, $G$9) + CHOOSE(CONTROL!$C$38, 0.0278, 0)</f>
        <v>57.141599999999997</v>
      </c>
      <c r="C848" s="14">
        <f>52.6552 * CHOOSE(CONTROL!$C$15, $E$9, 100%, $G$9) + CHOOSE(CONTROL!$C$38, 0.0369, 0)</f>
        <v>52.692100000000003</v>
      </c>
      <c r="D848" s="14">
        <f>52.6474 * CHOOSE(CONTROL!$C$15, $E$9, 100%, $G$9) + CHOOSE(CONTROL!$C$38, 0.0369, 0)</f>
        <v>52.6843</v>
      </c>
      <c r="E848" s="46">
        <f>56.9575 * CHOOSE(CONTROL!$C$15, $E$9, 100%, $G$9) + CHOOSE(CONTROL!$C$38, 0.0369, 0)</f>
        <v>56.994400000000006</v>
      </c>
      <c r="F848" s="45">
        <f>56.9575 * CHOOSE(CONTROL!$C$15, $E$9, 100%, $G$9) + CHOOSE(CONTROL!$C$38, 0.0278, 0)</f>
        <v>56.985300000000002</v>
      </c>
      <c r="G848" s="14">
        <f>52.6537 * CHOOSE(CONTROL!$C$15, $E$9, 100%, $G$9) + CHOOSE(CONTROL!$C$38, 0.0369, 0)</f>
        <v>52.690600000000003</v>
      </c>
      <c r="H848" s="14">
        <f>52.6537 * CHOOSE(CONTROL!$C$15, $E$9, 100%, $G$9) + CHOOSE(CONTROL!$C$38, 0.0369, 0)</f>
        <v>52.690600000000003</v>
      </c>
      <c r="I848" s="14">
        <f>52.6552 * CHOOSE(CONTROL!$C$15, $E$9, 100%, $G$9) + CHOOSE(CONTROL!$C$38, 0.0369, 0)</f>
        <v>52.692100000000003</v>
      </c>
      <c r="J848" s="44">
        <f>507.1281</f>
        <v>507.12810000000002</v>
      </c>
    </row>
    <row r="849" spans="1:10" ht="15.75" x14ac:dyDescent="0.25">
      <c r="A849" s="32">
        <v>66780</v>
      </c>
      <c r="B849" s="14">
        <f>57.3456 * CHOOSE(CONTROL!$C$15, $E$9, 100%, $G$9) + CHOOSE(CONTROL!$C$38, 0.0256, 0)</f>
        <v>57.371199999999995</v>
      </c>
      <c r="C849" s="14">
        <f>52.8871 * CHOOSE(CONTROL!$C$15, $E$9, 100%, $G$9) + CHOOSE(CONTROL!$C$38, 0.0347, 0)</f>
        <v>52.921799999999998</v>
      </c>
      <c r="D849" s="14">
        <f>52.8792 * CHOOSE(CONTROL!$C$15, $E$9, 100%, $G$9) + CHOOSE(CONTROL!$C$38, 0.0347, 0)</f>
        <v>52.913899999999998</v>
      </c>
      <c r="E849" s="46">
        <f>57.1894 * CHOOSE(CONTROL!$C$15, $E$9, 100%, $G$9) + CHOOSE(CONTROL!$C$38, 0.0347, 0)</f>
        <v>57.2241</v>
      </c>
      <c r="F849" s="45">
        <f>57.1894 * CHOOSE(CONTROL!$C$15, $E$9, 100%, $G$9) + CHOOSE(CONTROL!$C$38, 0.0256, 0)</f>
        <v>57.214999999999996</v>
      </c>
      <c r="G849" s="14">
        <f>52.8855 * CHOOSE(CONTROL!$C$15, $E$9, 100%, $G$9) + CHOOSE(CONTROL!$C$38, 0.0347, 0)</f>
        <v>52.920200000000001</v>
      </c>
      <c r="H849" s="14">
        <f>52.8855 * CHOOSE(CONTROL!$C$15, $E$9, 100%, $G$9) + CHOOSE(CONTROL!$C$38, 0.0347, 0)</f>
        <v>52.920200000000001</v>
      </c>
      <c r="I849" s="14">
        <f>52.8871 * CHOOSE(CONTROL!$C$15, $E$9, 100%, $G$9) + CHOOSE(CONTROL!$C$38, 0.0347, 0)</f>
        <v>52.921799999999998</v>
      </c>
      <c r="J849" s="44">
        <f>489.5911</f>
        <v>489.59109999999998</v>
      </c>
    </row>
    <row r="850" spans="1:10" ht="15.75" x14ac:dyDescent="0.25">
      <c r="A850" s="32">
        <v>66810</v>
      </c>
      <c r="B850" s="14">
        <f>57.539 * CHOOSE(CONTROL!$C$15, $E$9, 100%, $G$9) + CHOOSE(CONTROL!$C$38, 0.0256, 0)</f>
        <v>57.564599999999999</v>
      </c>
      <c r="C850" s="14">
        <f>53.0805 * CHOOSE(CONTROL!$C$15, $E$9, 100%, $G$9) + CHOOSE(CONTROL!$C$38, 0.0347, 0)</f>
        <v>53.115200000000002</v>
      </c>
      <c r="D850" s="14">
        <f>53.0727 * CHOOSE(CONTROL!$C$15, $E$9, 100%, $G$9) + CHOOSE(CONTROL!$C$38, 0.0347, 0)</f>
        <v>53.107399999999998</v>
      </c>
      <c r="E850" s="46">
        <f>57.3828 * CHOOSE(CONTROL!$C$15, $E$9, 100%, $G$9) + CHOOSE(CONTROL!$C$38, 0.0347, 0)</f>
        <v>57.417500000000004</v>
      </c>
      <c r="F850" s="45">
        <f>57.3828 * CHOOSE(CONTROL!$C$15, $E$9, 100%, $G$9) + CHOOSE(CONTROL!$C$38, 0.0256, 0)</f>
        <v>57.4084</v>
      </c>
      <c r="G850" s="14">
        <f>53.0789 * CHOOSE(CONTROL!$C$15, $E$9, 100%, $G$9) + CHOOSE(CONTROL!$C$38, 0.0347, 0)</f>
        <v>53.113599999999998</v>
      </c>
      <c r="H850" s="14">
        <f>53.0789 * CHOOSE(CONTROL!$C$15, $E$9, 100%, $G$9) + CHOOSE(CONTROL!$C$38, 0.0347, 0)</f>
        <v>53.113599999999998</v>
      </c>
      <c r="I850" s="14">
        <f>53.0805 * CHOOSE(CONTROL!$C$15, $E$9, 100%, $G$9) + CHOOSE(CONTROL!$C$38, 0.0347, 0)</f>
        <v>53.115200000000002</v>
      </c>
      <c r="J850" s="44">
        <f>486.1026</f>
        <v>486.1026</v>
      </c>
    </row>
    <row r="851" spans="1:10" ht="15.75" x14ac:dyDescent="0.25">
      <c r="A851" s="32">
        <v>66841</v>
      </c>
      <c r="B851" s="14">
        <f>58.1351 * CHOOSE(CONTROL!$C$15, $E$9, 100%, $G$9) + CHOOSE(CONTROL!$C$38, 0.0256, 0)</f>
        <v>58.160699999999999</v>
      </c>
      <c r="C851" s="14">
        <f>53.6766 * CHOOSE(CONTROL!$C$15, $E$9, 100%, $G$9) + CHOOSE(CONTROL!$C$38, 0.0347, 0)</f>
        <v>53.711300000000001</v>
      </c>
      <c r="D851" s="14">
        <f>53.6688 * CHOOSE(CONTROL!$C$15, $E$9, 100%, $G$9) + CHOOSE(CONTROL!$C$38, 0.0347, 0)</f>
        <v>53.703499999999998</v>
      </c>
      <c r="E851" s="46">
        <f>57.9789 * CHOOSE(CONTROL!$C$15, $E$9, 100%, $G$9) + CHOOSE(CONTROL!$C$38, 0.0347, 0)</f>
        <v>58.013600000000004</v>
      </c>
      <c r="F851" s="45">
        <f>57.9789 * CHOOSE(CONTROL!$C$15, $E$9, 100%, $G$9) + CHOOSE(CONTROL!$C$38, 0.0256, 0)</f>
        <v>58.0045</v>
      </c>
      <c r="G851" s="14">
        <f>53.675 * CHOOSE(CONTROL!$C$15, $E$9, 100%, $G$9) + CHOOSE(CONTROL!$C$38, 0.0347, 0)</f>
        <v>53.709699999999998</v>
      </c>
      <c r="H851" s="14">
        <f>53.675 * CHOOSE(CONTROL!$C$15, $E$9, 100%, $G$9) + CHOOSE(CONTROL!$C$38, 0.0347, 0)</f>
        <v>53.709699999999998</v>
      </c>
      <c r="I851" s="14">
        <f>53.6766 * CHOOSE(CONTROL!$C$15, $E$9, 100%, $G$9) + CHOOSE(CONTROL!$C$38, 0.0347, 0)</f>
        <v>53.711300000000001</v>
      </c>
      <c r="J851" s="44">
        <f>471.6775</f>
        <v>471.67750000000001</v>
      </c>
    </row>
    <row r="852" spans="1:10" ht="15.75" x14ac:dyDescent="0.25">
      <c r="A852" s="32">
        <v>66872</v>
      </c>
      <c r="B852" s="14">
        <f>59.5396 * CHOOSE(CONTROL!$C$15, $E$9, 100%, $G$9) + CHOOSE(CONTROL!$C$38, 0.0256, 0)</f>
        <v>59.565199999999997</v>
      </c>
      <c r="C852" s="14">
        <f>55.0106 * CHOOSE(CONTROL!$C$15, $E$9, 100%, $G$9) + CHOOSE(CONTROL!$C$38, 0.0347, 0)</f>
        <v>55.045299999999997</v>
      </c>
      <c r="D852" s="14">
        <f>55.0027 * CHOOSE(CONTROL!$C$15, $E$9, 100%, $G$9) + CHOOSE(CONTROL!$C$38, 0.0347, 0)</f>
        <v>55.037399999999998</v>
      </c>
      <c r="E852" s="46">
        <f>59.3834 * CHOOSE(CONTROL!$C$15, $E$9, 100%, $G$9) + CHOOSE(CONTROL!$C$38, 0.0347, 0)</f>
        <v>59.418100000000003</v>
      </c>
      <c r="F852" s="45">
        <f>59.3834 * CHOOSE(CONTROL!$C$15, $E$9, 100%, $G$9) + CHOOSE(CONTROL!$C$38, 0.0256, 0)</f>
        <v>59.408999999999999</v>
      </c>
      <c r="G852" s="14">
        <f>55.009 * CHOOSE(CONTROL!$C$15, $E$9, 100%, $G$9) + CHOOSE(CONTROL!$C$38, 0.0347, 0)</f>
        <v>55.043700000000001</v>
      </c>
      <c r="H852" s="14">
        <f>55.009 * CHOOSE(CONTROL!$C$15, $E$9, 100%, $G$9) + CHOOSE(CONTROL!$C$38, 0.0347, 0)</f>
        <v>55.043700000000001</v>
      </c>
      <c r="I852" s="14">
        <f>55.0106 * CHOOSE(CONTROL!$C$15, $E$9, 100%, $G$9) + CHOOSE(CONTROL!$C$38, 0.0347, 0)</f>
        <v>55.045299999999997</v>
      </c>
      <c r="J852" s="44">
        <f>470.7767</f>
        <v>470.77670000000001</v>
      </c>
    </row>
    <row r="853" spans="1:10" ht="15.75" x14ac:dyDescent="0.25">
      <c r="A853" s="32">
        <v>66900</v>
      </c>
      <c r="B853" s="14">
        <f>59.7604 * CHOOSE(CONTROL!$C$15, $E$9, 100%, $G$9) + CHOOSE(CONTROL!$C$38, 0.0256, 0)</f>
        <v>59.785999999999994</v>
      </c>
      <c r="C853" s="14">
        <f>55.2313 * CHOOSE(CONTROL!$C$15, $E$9, 100%, $G$9) + CHOOSE(CONTROL!$C$38, 0.0347, 0)</f>
        <v>55.265999999999998</v>
      </c>
      <c r="D853" s="14">
        <f>55.2235 * CHOOSE(CONTROL!$C$15, $E$9, 100%, $G$9) + CHOOSE(CONTROL!$C$38, 0.0347, 0)</f>
        <v>55.258200000000002</v>
      </c>
      <c r="E853" s="46">
        <f>59.6041 * CHOOSE(CONTROL!$C$15, $E$9, 100%, $G$9) + CHOOSE(CONTROL!$C$38, 0.0347, 0)</f>
        <v>59.638800000000003</v>
      </c>
      <c r="F853" s="45">
        <f>59.6041 * CHOOSE(CONTROL!$C$15, $E$9, 100%, $G$9) + CHOOSE(CONTROL!$C$38, 0.0256, 0)</f>
        <v>59.6297</v>
      </c>
      <c r="G853" s="14">
        <f>55.2298 * CHOOSE(CONTROL!$C$15, $E$9, 100%, $G$9) + CHOOSE(CONTROL!$C$38, 0.0347, 0)</f>
        <v>55.264499999999998</v>
      </c>
      <c r="H853" s="14">
        <f>55.2298 * CHOOSE(CONTROL!$C$15, $E$9, 100%, $G$9) + CHOOSE(CONTROL!$C$38, 0.0347, 0)</f>
        <v>55.264499999999998</v>
      </c>
      <c r="I853" s="14">
        <f>55.2313 * CHOOSE(CONTROL!$C$15, $E$9, 100%, $G$9) + CHOOSE(CONTROL!$C$38, 0.0347, 0)</f>
        <v>55.265999999999998</v>
      </c>
      <c r="J853" s="44">
        <f>469.4681</f>
        <v>469.46809999999999</v>
      </c>
    </row>
    <row r="854" spans="1:10" ht="15.75" x14ac:dyDescent="0.25">
      <c r="A854" s="32">
        <v>66931</v>
      </c>
      <c r="B854" s="14">
        <f>59.2494 * CHOOSE(CONTROL!$C$15, $E$9, 100%, $G$9) + CHOOSE(CONTROL!$C$38, 0.0256, 0)</f>
        <v>59.274999999999999</v>
      </c>
      <c r="C854" s="14">
        <f>54.7203 * CHOOSE(CONTROL!$C$15, $E$9, 100%, $G$9) + CHOOSE(CONTROL!$C$38, 0.0347, 0)</f>
        <v>54.755000000000003</v>
      </c>
      <c r="D854" s="14">
        <f>54.7125 * CHOOSE(CONTROL!$C$15, $E$9, 100%, $G$9) + CHOOSE(CONTROL!$C$38, 0.0347, 0)</f>
        <v>54.747199999999999</v>
      </c>
      <c r="E854" s="46">
        <f>59.0931 * CHOOSE(CONTROL!$C$15, $E$9, 100%, $G$9) + CHOOSE(CONTROL!$C$38, 0.0347, 0)</f>
        <v>59.127800000000001</v>
      </c>
      <c r="F854" s="45">
        <f>59.0931 * CHOOSE(CONTROL!$C$15, $E$9, 100%, $G$9) + CHOOSE(CONTROL!$C$38, 0.0256, 0)</f>
        <v>59.118699999999997</v>
      </c>
      <c r="G854" s="14">
        <f>54.7187 * CHOOSE(CONTROL!$C$15, $E$9, 100%, $G$9) + CHOOSE(CONTROL!$C$38, 0.0347, 0)</f>
        <v>54.753399999999999</v>
      </c>
      <c r="H854" s="14">
        <f>54.7187 * CHOOSE(CONTROL!$C$15, $E$9, 100%, $G$9) + CHOOSE(CONTROL!$C$38, 0.0347, 0)</f>
        <v>54.753399999999999</v>
      </c>
      <c r="I854" s="14">
        <f>54.7203 * CHOOSE(CONTROL!$C$15, $E$9, 100%, $G$9) + CHOOSE(CONTROL!$C$38, 0.0347, 0)</f>
        <v>54.755000000000003</v>
      </c>
      <c r="J854" s="44">
        <f>494.2118</f>
        <v>494.21179999999998</v>
      </c>
    </row>
    <row r="855" spans="1:10" ht="15.75" x14ac:dyDescent="0.25">
      <c r="A855" s="32">
        <v>66961</v>
      </c>
      <c r="B855" s="14">
        <f>58.7542 * CHOOSE(CONTROL!$C$15, $E$9, 100%, $G$9) + CHOOSE(CONTROL!$C$38, 0.0256, 0)</f>
        <v>58.779799999999994</v>
      </c>
      <c r="C855" s="14">
        <f>54.2251 * CHOOSE(CONTROL!$C$15, $E$9, 100%, $G$9) + CHOOSE(CONTROL!$C$38, 0.0347, 0)</f>
        <v>54.259799999999998</v>
      </c>
      <c r="D855" s="14">
        <f>54.2173 * CHOOSE(CONTROL!$C$15, $E$9, 100%, $G$9) + CHOOSE(CONTROL!$C$38, 0.0347, 0)</f>
        <v>54.252000000000002</v>
      </c>
      <c r="E855" s="46">
        <f>58.5979 * CHOOSE(CONTROL!$C$15, $E$9, 100%, $G$9) + CHOOSE(CONTROL!$C$38, 0.0347, 0)</f>
        <v>58.632600000000004</v>
      </c>
      <c r="F855" s="45">
        <f>58.5979 * CHOOSE(CONTROL!$C$15, $E$9, 100%, $G$9) + CHOOSE(CONTROL!$C$38, 0.0256, 0)</f>
        <v>58.6235</v>
      </c>
      <c r="G855" s="14">
        <f>54.2235 * CHOOSE(CONTROL!$C$15, $E$9, 100%, $G$9) + CHOOSE(CONTROL!$C$38, 0.0347, 0)</f>
        <v>54.258200000000002</v>
      </c>
      <c r="H855" s="14">
        <f>54.2235 * CHOOSE(CONTROL!$C$15, $E$9, 100%, $G$9) + CHOOSE(CONTROL!$C$38, 0.0347, 0)</f>
        <v>54.258200000000002</v>
      </c>
      <c r="I855" s="14">
        <f>54.2251 * CHOOSE(CONTROL!$C$15, $E$9, 100%, $G$9) + CHOOSE(CONTROL!$C$38, 0.0347, 0)</f>
        <v>54.259799999999998</v>
      </c>
      <c r="J855" s="44">
        <f>526.2984</f>
        <v>526.29840000000002</v>
      </c>
    </row>
    <row r="856" spans="1:10" ht="15.75" x14ac:dyDescent="0.25">
      <c r="A856" s="32">
        <v>66992</v>
      </c>
      <c r="B856" s="14">
        <f>58.2381 * CHOOSE(CONTROL!$C$15, $E$9, 100%, $G$9) + CHOOSE(CONTROL!$C$38, 0.0278, 0)</f>
        <v>58.265900000000002</v>
      </c>
      <c r="C856" s="14">
        <f>53.709 * CHOOSE(CONTROL!$C$15, $E$9, 100%, $G$9) + CHOOSE(CONTROL!$C$38, 0.0369, 0)</f>
        <v>53.745900000000006</v>
      </c>
      <c r="D856" s="14">
        <f>53.7012 * CHOOSE(CONTROL!$C$15, $E$9, 100%, $G$9) + CHOOSE(CONTROL!$C$38, 0.0369, 0)</f>
        <v>53.738100000000003</v>
      </c>
      <c r="E856" s="46">
        <f>58.0818 * CHOOSE(CONTROL!$C$15, $E$9, 100%, $G$9) + CHOOSE(CONTROL!$C$38, 0.0369, 0)</f>
        <v>58.118700000000004</v>
      </c>
      <c r="F856" s="45">
        <f>58.0818 * CHOOSE(CONTROL!$C$15, $E$9, 100%, $G$9) + CHOOSE(CONTROL!$C$38, 0.0278, 0)</f>
        <v>58.1096</v>
      </c>
      <c r="G856" s="14">
        <f>53.7074 * CHOOSE(CONTROL!$C$15, $E$9, 100%, $G$9) + CHOOSE(CONTROL!$C$38, 0.0369, 0)</f>
        <v>53.744300000000003</v>
      </c>
      <c r="H856" s="14">
        <f>53.7074 * CHOOSE(CONTROL!$C$15, $E$9, 100%, $G$9) + CHOOSE(CONTROL!$C$38, 0.0369, 0)</f>
        <v>53.744300000000003</v>
      </c>
      <c r="I856" s="14">
        <f>53.709 * CHOOSE(CONTROL!$C$15, $E$9, 100%, $G$9) + CHOOSE(CONTROL!$C$38, 0.0369, 0)</f>
        <v>53.745900000000006</v>
      </c>
      <c r="J856" s="44">
        <f>543.96</f>
        <v>543.96</v>
      </c>
    </row>
    <row r="857" spans="1:10" ht="15.75" x14ac:dyDescent="0.25">
      <c r="A857" s="32">
        <v>67022</v>
      </c>
      <c r="B857" s="14">
        <f>57.8762 * CHOOSE(CONTROL!$C$15, $E$9, 100%, $G$9) + CHOOSE(CONTROL!$C$38, 0.0278, 0)</f>
        <v>57.903999999999996</v>
      </c>
      <c r="C857" s="14">
        <f>53.3472 * CHOOSE(CONTROL!$C$15, $E$9, 100%, $G$9) + CHOOSE(CONTROL!$C$38, 0.0369, 0)</f>
        <v>53.384100000000004</v>
      </c>
      <c r="D857" s="14">
        <f>53.3393 * CHOOSE(CONTROL!$C$15, $E$9, 100%, $G$9) + CHOOSE(CONTROL!$C$38, 0.0369, 0)</f>
        <v>53.376200000000004</v>
      </c>
      <c r="E857" s="46">
        <f>57.72 * CHOOSE(CONTROL!$C$15, $E$9, 100%, $G$9) + CHOOSE(CONTROL!$C$38, 0.0369, 0)</f>
        <v>57.756900000000002</v>
      </c>
      <c r="F857" s="45">
        <f>57.72 * CHOOSE(CONTROL!$C$15, $E$9, 100%, $G$9) + CHOOSE(CONTROL!$C$38, 0.0278, 0)</f>
        <v>57.747799999999998</v>
      </c>
      <c r="G857" s="14">
        <f>53.3456 * CHOOSE(CONTROL!$C$15, $E$9, 100%, $G$9) + CHOOSE(CONTROL!$C$38, 0.0369, 0)</f>
        <v>53.3825</v>
      </c>
      <c r="H857" s="14">
        <f>53.3456 * CHOOSE(CONTROL!$C$15, $E$9, 100%, $G$9) + CHOOSE(CONTROL!$C$38, 0.0369, 0)</f>
        <v>53.3825</v>
      </c>
      <c r="I857" s="14">
        <f>53.3472 * CHOOSE(CONTROL!$C$15, $E$9, 100%, $G$9) + CHOOSE(CONTROL!$C$38, 0.0369, 0)</f>
        <v>53.384100000000004</v>
      </c>
      <c r="J857" s="44">
        <f>551.7978</f>
        <v>551.79780000000005</v>
      </c>
    </row>
    <row r="858" spans="1:10" ht="15.75" x14ac:dyDescent="0.25">
      <c r="A858" s="32">
        <v>67053</v>
      </c>
      <c r="B858" s="14">
        <f>57.6697 * CHOOSE(CONTROL!$C$15, $E$9, 100%, $G$9) + CHOOSE(CONTROL!$C$38, 0.0278, 0)</f>
        <v>57.697499999999998</v>
      </c>
      <c r="C858" s="14">
        <f>53.1407 * CHOOSE(CONTROL!$C$15, $E$9, 100%, $G$9) + CHOOSE(CONTROL!$C$38, 0.0369, 0)</f>
        <v>53.177600000000005</v>
      </c>
      <c r="D858" s="14">
        <f>53.1329 * CHOOSE(CONTROL!$C$15, $E$9, 100%, $G$9) + CHOOSE(CONTROL!$C$38, 0.0369, 0)</f>
        <v>53.169800000000002</v>
      </c>
      <c r="E858" s="46">
        <f>57.5135 * CHOOSE(CONTROL!$C$15, $E$9, 100%, $G$9) + CHOOSE(CONTROL!$C$38, 0.0369, 0)</f>
        <v>57.550400000000003</v>
      </c>
      <c r="F858" s="45">
        <f>57.5135 * CHOOSE(CONTROL!$C$15, $E$9, 100%, $G$9) + CHOOSE(CONTROL!$C$38, 0.0278, 0)</f>
        <v>57.5413</v>
      </c>
      <c r="G858" s="14">
        <f>53.1391 * CHOOSE(CONTROL!$C$15, $E$9, 100%, $G$9) + CHOOSE(CONTROL!$C$38, 0.0369, 0)</f>
        <v>53.176000000000002</v>
      </c>
      <c r="H858" s="14">
        <f>53.1391 * CHOOSE(CONTROL!$C$15, $E$9, 100%, $G$9) + CHOOSE(CONTROL!$C$38, 0.0369, 0)</f>
        <v>53.176000000000002</v>
      </c>
      <c r="I858" s="14">
        <f>53.1407 * CHOOSE(CONTROL!$C$15, $E$9, 100%, $G$9) + CHOOSE(CONTROL!$C$38, 0.0369, 0)</f>
        <v>53.177600000000005</v>
      </c>
      <c r="J858" s="44">
        <f>549.2173</f>
        <v>549.21730000000002</v>
      </c>
    </row>
    <row r="859" spans="1:10" ht="15.75" x14ac:dyDescent="0.25">
      <c r="A859" s="32">
        <v>67084</v>
      </c>
      <c r="B859" s="14">
        <f>57.7717 * CHOOSE(CONTROL!$C$15, $E$9, 100%, $G$9) + CHOOSE(CONTROL!$C$38, 0.0278, 0)</f>
        <v>57.799500000000002</v>
      </c>
      <c r="C859" s="14">
        <f>53.2426 * CHOOSE(CONTROL!$C$15, $E$9, 100%, $G$9) + CHOOSE(CONTROL!$C$38, 0.0369, 0)</f>
        <v>53.279500000000006</v>
      </c>
      <c r="D859" s="14">
        <f>53.2348 * CHOOSE(CONTROL!$C$15, $E$9, 100%, $G$9) + CHOOSE(CONTROL!$C$38, 0.0369, 0)</f>
        <v>53.271700000000003</v>
      </c>
      <c r="E859" s="46">
        <f>57.6154 * CHOOSE(CONTROL!$C$15, $E$9, 100%, $G$9) + CHOOSE(CONTROL!$C$38, 0.0369, 0)</f>
        <v>57.652300000000004</v>
      </c>
      <c r="F859" s="45">
        <f>57.6154 * CHOOSE(CONTROL!$C$15, $E$9, 100%, $G$9) + CHOOSE(CONTROL!$C$38, 0.0278, 0)</f>
        <v>57.6432</v>
      </c>
      <c r="G859" s="14">
        <f>53.241 * CHOOSE(CONTROL!$C$15, $E$9, 100%, $G$9) + CHOOSE(CONTROL!$C$38, 0.0369, 0)</f>
        <v>53.277900000000002</v>
      </c>
      <c r="H859" s="14">
        <f>53.241 * CHOOSE(CONTROL!$C$15, $E$9, 100%, $G$9) + CHOOSE(CONTROL!$C$38, 0.0369, 0)</f>
        <v>53.277900000000002</v>
      </c>
      <c r="I859" s="14">
        <f>53.2426 * CHOOSE(CONTROL!$C$15, $E$9, 100%, $G$9) + CHOOSE(CONTROL!$C$38, 0.0369, 0)</f>
        <v>53.279500000000006</v>
      </c>
      <c r="J859" s="44">
        <f>536.4317</f>
        <v>536.43169999999998</v>
      </c>
    </row>
    <row r="860" spans="1:10" ht="15.75" x14ac:dyDescent="0.25">
      <c r="A860" s="32">
        <v>67114</v>
      </c>
      <c r="B860" s="14">
        <f>58.0485 * CHOOSE(CONTROL!$C$15, $E$9, 100%, $G$9) + CHOOSE(CONTROL!$C$38, 0.0278, 0)</f>
        <v>58.076299999999996</v>
      </c>
      <c r="C860" s="14">
        <f>53.5194 * CHOOSE(CONTROL!$C$15, $E$9, 100%, $G$9) + CHOOSE(CONTROL!$C$38, 0.0369, 0)</f>
        <v>53.5563</v>
      </c>
      <c r="D860" s="14">
        <f>53.5116 * CHOOSE(CONTROL!$C$15, $E$9, 100%, $G$9) + CHOOSE(CONTROL!$C$38, 0.0369, 0)</f>
        <v>53.548500000000004</v>
      </c>
      <c r="E860" s="46">
        <f>57.8922 * CHOOSE(CONTROL!$C$15, $E$9, 100%, $G$9) + CHOOSE(CONTROL!$C$38, 0.0369, 0)</f>
        <v>57.929100000000005</v>
      </c>
      <c r="F860" s="45">
        <f>57.8922 * CHOOSE(CONTROL!$C$15, $E$9, 100%, $G$9) + CHOOSE(CONTROL!$C$38, 0.0278, 0)</f>
        <v>57.92</v>
      </c>
      <c r="G860" s="14">
        <f>53.5178 * CHOOSE(CONTROL!$C$15, $E$9, 100%, $G$9) + CHOOSE(CONTROL!$C$38, 0.0369, 0)</f>
        <v>53.554700000000004</v>
      </c>
      <c r="H860" s="14">
        <f>53.5178 * CHOOSE(CONTROL!$C$15, $E$9, 100%, $G$9) + CHOOSE(CONTROL!$C$38, 0.0369, 0)</f>
        <v>53.554700000000004</v>
      </c>
      <c r="I860" s="14">
        <f>53.5194 * CHOOSE(CONTROL!$C$15, $E$9, 100%, $G$9) + CHOOSE(CONTROL!$C$38, 0.0369, 0)</f>
        <v>53.5563</v>
      </c>
      <c r="J860" s="44">
        <f>518.6016</f>
        <v>518.60159999999996</v>
      </c>
    </row>
    <row r="861" spans="1:10" ht="15.75" x14ac:dyDescent="0.25">
      <c r="A861" s="32">
        <v>67145</v>
      </c>
      <c r="B861" s="14">
        <f>58.2803 * CHOOSE(CONTROL!$C$15, $E$9, 100%, $G$9) + CHOOSE(CONTROL!$C$38, 0.0256, 0)</f>
        <v>58.305899999999994</v>
      </c>
      <c r="C861" s="14">
        <f>53.7512 * CHOOSE(CONTROL!$C$15, $E$9, 100%, $G$9) + CHOOSE(CONTROL!$C$38, 0.0347, 0)</f>
        <v>53.785899999999998</v>
      </c>
      <c r="D861" s="14">
        <f>53.7434 * CHOOSE(CONTROL!$C$15, $E$9, 100%, $G$9) + CHOOSE(CONTROL!$C$38, 0.0347, 0)</f>
        <v>53.778100000000002</v>
      </c>
      <c r="E861" s="46">
        <f>58.124 * CHOOSE(CONTROL!$C$15, $E$9, 100%, $G$9) + CHOOSE(CONTROL!$C$38, 0.0347, 0)</f>
        <v>58.158700000000003</v>
      </c>
      <c r="F861" s="45">
        <f>58.124 * CHOOSE(CONTROL!$C$15, $E$9, 100%, $G$9) + CHOOSE(CONTROL!$C$38, 0.0256, 0)</f>
        <v>58.1496</v>
      </c>
      <c r="G861" s="14">
        <f>53.7496 * CHOOSE(CONTROL!$C$15, $E$9, 100%, $G$9) + CHOOSE(CONTROL!$C$38, 0.0347, 0)</f>
        <v>53.784300000000002</v>
      </c>
      <c r="H861" s="14">
        <f>53.7496 * CHOOSE(CONTROL!$C$15, $E$9, 100%, $G$9) + CHOOSE(CONTROL!$C$38, 0.0347, 0)</f>
        <v>53.784300000000002</v>
      </c>
      <c r="I861" s="14">
        <f>53.7512 * CHOOSE(CONTROL!$C$15, $E$9, 100%, $G$9) + CHOOSE(CONTROL!$C$38, 0.0347, 0)</f>
        <v>53.785899999999998</v>
      </c>
      <c r="J861" s="44">
        <f>500.6679</f>
        <v>500.66789999999997</v>
      </c>
    </row>
    <row r="862" spans="1:10" ht="15.75" x14ac:dyDescent="0.25">
      <c r="A862" s="32">
        <v>67175</v>
      </c>
      <c r="B862" s="14">
        <f>58.4737 * CHOOSE(CONTROL!$C$15, $E$9, 100%, $G$9) + CHOOSE(CONTROL!$C$38, 0.0256, 0)</f>
        <v>58.499299999999998</v>
      </c>
      <c r="C862" s="14">
        <f>53.9446 * CHOOSE(CONTROL!$C$15, $E$9, 100%, $G$9) + CHOOSE(CONTROL!$C$38, 0.0347, 0)</f>
        <v>53.979300000000002</v>
      </c>
      <c r="D862" s="14">
        <f>53.9368 * CHOOSE(CONTROL!$C$15, $E$9, 100%, $G$9) + CHOOSE(CONTROL!$C$38, 0.0347, 0)</f>
        <v>53.971499999999999</v>
      </c>
      <c r="E862" s="46">
        <f>58.3175 * CHOOSE(CONTROL!$C$15, $E$9, 100%, $G$9) + CHOOSE(CONTROL!$C$38, 0.0347, 0)</f>
        <v>58.352200000000003</v>
      </c>
      <c r="F862" s="45">
        <f>58.3175 * CHOOSE(CONTROL!$C$15, $E$9, 100%, $G$9) + CHOOSE(CONTROL!$C$38, 0.0256, 0)</f>
        <v>58.3431</v>
      </c>
      <c r="G862" s="14">
        <f>53.9431 * CHOOSE(CONTROL!$C$15, $E$9, 100%, $G$9) + CHOOSE(CONTROL!$C$38, 0.0347, 0)</f>
        <v>53.977800000000002</v>
      </c>
      <c r="H862" s="14">
        <f>53.9431 * CHOOSE(CONTROL!$C$15, $E$9, 100%, $G$9) + CHOOSE(CONTROL!$C$38, 0.0347, 0)</f>
        <v>53.977800000000002</v>
      </c>
      <c r="I862" s="14">
        <f>53.9446 * CHOOSE(CONTROL!$C$15, $E$9, 100%, $G$9) + CHOOSE(CONTROL!$C$38, 0.0347, 0)</f>
        <v>53.979300000000002</v>
      </c>
      <c r="J862" s="44">
        <f>497.1005</f>
        <v>497.10050000000001</v>
      </c>
    </row>
    <row r="863" spans="1:10" ht="15.75" x14ac:dyDescent="0.25">
      <c r="A863" s="32">
        <v>67206</v>
      </c>
      <c r="B863" s="14">
        <f>59.0698 * CHOOSE(CONTROL!$C$15, $E$9, 100%, $G$9) + CHOOSE(CONTROL!$C$38, 0.0256, 0)</f>
        <v>59.095399999999998</v>
      </c>
      <c r="C863" s="14">
        <f>54.5407 * CHOOSE(CONTROL!$C$15, $E$9, 100%, $G$9) + CHOOSE(CONTROL!$C$38, 0.0347, 0)</f>
        <v>54.575400000000002</v>
      </c>
      <c r="D863" s="14">
        <f>54.5329 * CHOOSE(CONTROL!$C$15, $E$9, 100%, $G$9) + CHOOSE(CONTROL!$C$38, 0.0347, 0)</f>
        <v>54.567599999999999</v>
      </c>
      <c r="E863" s="46">
        <f>58.9135 * CHOOSE(CONTROL!$C$15, $E$9, 100%, $G$9) + CHOOSE(CONTROL!$C$38, 0.0347, 0)</f>
        <v>58.9482</v>
      </c>
      <c r="F863" s="45">
        <f>58.9135 * CHOOSE(CONTROL!$C$15, $E$9, 100%, $G$9) + CHOOSE(CONTROL!$C$38, 0.0256, 0)</f>
        <v>58.939099999999996</v>
      </c>
      <c r="G863" s="14">
        <f>54.5391 * CHOOSE(CONTROL!$C$15, $E$9, 100%, $G$9) + CHOOSE(CONTROL!$C$38, 0.0347, 0)</f>
        <v>54.573799999999999</v>
      </c>
      <c r="H863" s="14">
        <f>54.5391 * CHOOSE(CONTROL!$C$15, $E$9, 100%, $G$9) + CHOOSE(CONTROL!$C$38, 0.0347, 0)</f>
        <v>54.573799999999999</v>
      </c>
      <c r="I863" s="14">
        <f>54.5407 * CHOOSE(CONTROL!$C$15, $E$9, 100%, $G$9) + CHOOSE(CONTROL!$C$38, 0.0347, 0)</f>
        <v>54.575400000000002</v>
      </c>
      <c r="J863" s="44">
        <f>482.349</f>
        <v>482.34899999999999</v>
      </c>
    </row>
    <row r="864" spans="1:10" ht="15.75" x14ac:dyDescent="0.25">
      <c r="A864" s="32">
        <v>67237</v>
      </c>
      <c r="B864" s="14">
        <f>60.4896 * CHOOSE(CONTROL!$C$15, $E$9, 100%, $G$9) + CHOOSE(CONTROL!$C$38, 0.0256, 0)</f>
        <v>60.5152</v>
      </c>
      <c r="C864" s="14">
        <f>55.8889 * CHOOSE(CONTROL!$C$15, $E$9, 100%, $G$9) + CHOOSE(CONTROL!$C$38, 0.0347, 0)</f>
        <v>55.9236</v>
      </c>
      <c r="D864" s="14">
        <f>55.881 * CHOOSE(CONTROL!$C$15, $E$9, 100%, $G$9) + CHOOSE(CONTROL!$C$38, 0.0347, 0)</f>
        <v>55.915700000000001</v>
      </c>
      <c r="E864" s="46">
        <f>60.3334 * CHOOSE(CONTROL!$C$15, $E$9, 100%, $G$9) + CHOOSE(CONTROL!$C$38, 0.0347, 0)</f>
        <v>60.368099999999998</v>
      </c>
      <c r="F864" s="45">
        <f>60.3334 * CHOOSE(CONTROL!$C$15, $E$9, 100%, $G$9) + CHOOSE(CONTROL!$C$38, 0.0256, 0)</f>
        <v>60.358999999999995</v>
      </c>
      <c r="G864" s="14">
        <f>55.8873 * CHOOSE(CONTROL!$C$15, $E$9, 100%, $G$9) + CHOOSE(CONTROL!$C$38, 0.0347, 0)</f>
        <v>55.922000000000004</v>
      </c>
      <c r="H864" s="14">
        <f>55.8873 * CHOOSE(CONTROL!$C$15, $E$9, 100%, $G$9) + CHOOSE(CONTROL!$C$38, 0.0347, 0)</f>
        <v>55.922000000000004</v>
      </c>
      <c r="I864" s="14">
        <f>55.8889 * CHOOSE(CONTROL!$C$15, $E$9, 100%, $G$9) + CHOOSE(CONTROL!$C$38, 0.0347, 0)</f>
        <v>55.9236</v>
      </c>
      <c r="J864" s="44">
        <f>481.4278</f>
        <v>481.42779999999999</v>
      </c>
    </row>
    <row r="865" spans="1:10" ht="15.75" x14ac:dyDescent="0.25">
      <c r="A865" s="32">
        <v>67266</v>
      </c>
      <c r="B865" s="14">
        <f>60.7104 * CHOOSE(CONTROL!$C$15, $E$9, 100%, $G$9) + CHOOSE(CONTROL!$C$38, 0.0256, 0)</f>
        <v>60.735999999999997</v>
      </c>
      <c r="C865" s="14">
        <f>56.1096 * CHOOSE(CONTROL!$C$15, $E$9, 100%, $G$9) + CHOOSE(CONTROL!$C$38, 0.0347, 0)</f>
        <v>56.144300000000001</v>
      </c>
      <c r="D865" s="14">
        <f>56.1018 * CHOOSE(CONTROL!$C$15, $E$9, 100%, $G$9) + CHOOSE(CONTROL!$C$38, 0.0347, 0)</f>
        <v>56.136499999999998</v>
      </c>
      <c r="E865" s="46">
        <f>60.5541 * CHOOSE(CONTROL!$C$15, $E$9, 100%, $G$9) + CHOOSE(CONTROL!$C$38, 0.0347, 0)</f>
        <v>60.588799999999999</v>
      </c>
      <c r="F865" s="45">
        <f>60.5541 * CHOOSE(CONTROL!$C$15, $E$9, 100%, $G$9) + CHOOSE(CONTROL!$C$38, 0.0256, 0)</f>
        <v>60.579699999999995</v>
      </c>
      <c r="G865" s="14">
        <f>56.1081 * CHOOSE(CONTROL!$C$15, $E$9, 100%, $G$9) + CHOOSE(CONTROL!$C$38, 0.0347, 0)</f>
        <v>56.142800000000001</v>
      </c>
      <c r="H865" s="14">
        <f>56.1081 * CHOOSE(CONTROL!$C$15, $E$9, 100%, $G$9) + CHOOSE(CONTROL!$C$38, 0.0347, 0)</f>
        <v>56.142800000000001</v>
      </c>
      <c r="I865" s="14">
        <f>56.1096 * CHOOSE(CONTROL!$C$15, $E$9, 100%, $G$9) + CHOOSE(CONTROL!$C$38, 0.0347, 0)</f>
        <v>56.144300000000001</v>
      </c>
      <c r="J865" s="44">
        <f>480.0896</f>
        <v>480.08960000000002</v>
      </c>
    </row>
    <row r="866" spans="1:10" ht="15.75" x14ac:dyDescent="0.25">
      <c r="A866" s="32">
        <v>67297</v>
      </c>
      <c r="B866" s="14">
        <f>60.1994 * CHOOSE(CONTROL!$C$15, $E$9, 100%, $G$9) + CHOOSE(CONTROL!$C$38, 0.0256, 0)</f>
        <v>60.224999999999994</v>
      </c>
      <c r="C866" s="14">
        <f>55.5986 * CHOOSE(CONTROL!$C$15, $E$9, 100%, $G$9) + CHOOSE(CONTROL!$C$38, 0.0347, 0)</f>
        <v>55.633299999999998</v>
      </c>
      <c r="D866" s="14">
        <f>55.5908 * CHOOSE(CONTROL!$C$15, $E$9, 100%, $G$9) + CHOOSE(CONTROL!$C$38, 0.0347, 0)</f>
        <v>55.625500000000002</v>
      </c>
      <c r="E866" s="46">
        <f>60.0431 * CHOOSE(CONTROL!$C$15, $E$9, 100%, $G$9) + CHOOSE(CONTROL!$C$38, 0.0347, 0)</f>
        <v>60.077800000000003</v>
      </c>
      <c r="F866" s="45">
        <f>60.0431 * CHOOSE(CONTROL!$C$15, $E$9, 100%, $G$9) + CHOOSE(CONTROL!$C$38, 0.0256, 0)</f>
        <v>60.0687</v>
      </c>
      <c r="G866" s="14">
        <f>55.597 * CHOOSE(CONTROL!$C$15, $E$9, 100%, $G$9) + CHOOSE(CONTROL!$C$38, 0.0347, 0)</f>
        <v>55.631700000000002</v>
      </c>
      <c r="H866" s="14">
        <f>55.597 * CHOOSE(CONTROL!$C$15, $E$9, 100%, $G$9) + CHOOSE(CONTROL!$C$38, 0.0347, 0)</f>
        <v>55.631700000000002</v>
      </c>
      <c r="I866" s="14">
        <f>55.5986 * CHOOSE(CONTROL!$C$15, $E$9, 100%, $G$9) + CHOOSE(CONTROL!$C$38, 0.0347, 0)</f>
        <v>55.633299999999998</v>
      </c>
      <c r="J866" s="44">
        <f>505.3931</f>
        <v>505.3931</v>
      </c>
    </row>
    <row r="867" spans="1:10" ht="15.75" x14ac:dyDescent="0.25">
      <c r="A867" s="32">
        <v>67327</v>
      </c>
      <c r="B867" s="14">
        <f>59.7042 * CHOOSE(CONTROL!$C$15, $E$9, 100%, $G$9) + CHOOSE(CONTROL!$C$38, 0.0256, 0)</f>
        <v>59.729799999999997</v>
      </c>
      <c r="C867" s="14">
        <f>55.1034 * CHOOSE(CONTROL!$C$15, $E$9, 100%, $G$9) + CHOOSE(CONTROL!$C$38, 0.0347, 0)</f>
        <v>55.138100000000001</v>
      </c>
      <c r="D867" s="14">
        <f>55.0956 * CHOOSE(CONTROL!$C$15, $E$9, 100%, $G$9) + CHOOSE(CONTROL!$C$38, 0.0347, 0)</f>
        <v>55.130299999999998</v>
      </c>
      <c r="E867" s="46">
        <f>59.5479 * CHOOSE(CONTROL!$C$15, $E$9, 100%, $G$9) + CHOOSE(CONTROL!$C$38, 0.0347, 0)</f>
        <v>59.582599999999999</v>
      </c>
      <c r="F867" s="45">
        <f>59.5479 * CHOOSE(CONTROL!$C$15, $E$9, 100%, $G$9) + CHOOSE(CONTROL!$C$38, 0.0256, 0)</f>
        <v>59.573499999999996</v>
      </c>
      <c r="G867" s="14">
        <f>55.1018 * CHOOSE(CONTROL!$C$15, $E$9, 100%, $G$9) + CHOOSE(CONTROL!$C$38, 0.0347, 0)</f>
        <v>55.136499999999998</v>
      </c>
      <c r="H867" s="14">
        <f>55.1018 * CHOOSE(CONTROL!$C$15, $E$9, 100%, $G$9) + CHOOSE(CONTROL!$C$38, 0.0347, 0)</f>
        <v>55.136499999999998</v>
      </c>
      <c r="I867" s="14">
        <f>55.1034 * CHOOSE(CONTROL!$C$15, $E$9, 100%, $G$9) + CHOOSE(CONTROL!$C$38, 0.0347, 0)</f>
        <v>55.138100000000001</v>
      </c>
      <c r="J867" s="44">
        <f>538.2057</f>
        <v>538.20569999999998</v>
      </c>
    </row>
    <row r="868" spans="1:10" ht="15.75" x14ac:dyDescent="0.25">
      <c r="A868" s="32">
        <v>67358</v>
      </c>
      <c r="B868" s="14">
        <f>59.1881 * CHOOSE(CONTROL!$C$15, $E$9, 100%, $G$9) + CHOOSE(CONTROL!$C$38, 0.0278, 0)</f>
        <v>59.215899999999998</v>
      </c>
      <c r="C868" s="14">
        <f>54.5873 * CHOOSE(CONTROL!$C$15, $E$9, 100%, $G$9) + CHOOSE(CONTROL!$C$38, 0.0369, 0)</f>
        <v>54.624200000000002</v>
      </c>
      <c r="D868" s="14">
        <f>54.5795 * CHOOSE(CONTROL!$C$15, $E$9, 100%, $G$9) + CHOOSE(CONTROL!$C$38, 0.0369, 0)</f>
        <v>54.616400000000006</v>
      </c>
      <c r="E868" s="46">
        <f>59.0318 * CHOOSE(CONTROL!$C$15, $E$9, 100%, $G$9) + CHOOSE(CONTROL!$C$38, 0.0369, 0)</f>
        <v>59.0687</v>
      </c>
      <c r="F868" s="45">
        <f>59.0318 * CHOOSE(CONTROL!$C$15, $E$9, 100%, $G$9) + CHOOSE(CONTROL!$C$38, 0.0278, 0)</f>
        <v>59.059599999999996</v>
      </c>
      <c r="G868" s="14">
        <f>54.5857 * CHOOSE(CONTROL!$C$15, $E$9, 100%, $G$9) + CHOOSE(CONTROL!$C$38, 0.0369, 0)</f>
        <v>54.622600000000006</v>
      </c>
      <c r="H868" s="14">
        <f>54.5857 * CHOOSE(CONTROL!$C$15, $E$9, 100%, $G$9) + CHOOSE(CONTROL!$C$38, 0.0369, 0)</f>
        <v>54.622600000000006</v>
      </c>
      <c r="I868" s="14">
        <f>54.5873 * CHOOSE(CONTROL!$C$15, $E$9, 100%, $G$9) + CHOOSE(CONTROL!$C$38, 0.0369, 0)</f>
        <v>54.624200000000002</v>
      </c>
      <c r="J868" s="44">
        <f>556.2668</f>
        <v>556.26679999999999</v>
      </c>
    </row>
    <row r="869" spans="1:10" ht="15.75" x14ac:dyDescent="0.25">
      <c r="A869" s="32">
        <v>67388</v>
      </c>
      <c r="B869" s="14">
        <f>58.8262 * CHOOSE(CONTROL!$C$15, $E$9, 100%, $G$9) + CHOOSE(CONTROL!$C$38, 0.0278, 0)</f>
        <v>58.853999999999999</v>
      </c>
      <c r="C869" s="14">
        <f>54.2255 * CHOOSE(CONTROL!$C$15, $E$9, 100%, $G$9) + CHOOSE(CONTROL!$C$38, 0.0369, 0)</f>
        <v>54.2624</v>
      </c>
      <c r="D869" s="14">
        <f>54.2177 * CHOOSE(CONTROL!$C$15, $E$9, 100%, $G$9) + CHOOSE(CONTROL!$C$38, 0.0369, 0)</f>
        <v>54.254600000000003</v>
      </c>
      <c r="E869" s="46">
        <f>58.67 * CHOOSE(CONTROL!$C$15, $E$9, 100%, $G$9) + CHOOSE(CONTROL!$C$38, 0.0369, 0)</f>
        <v>58.706900000000005</v>
      </c>
      <c r="F869" s="45">
        <f>58.67 * CHOOSE(CONTROL!$C$15, $E$9, 100%, $G$9) + CHOOSE(CONTROL!$C$38, 0.0278, 0)</f>
        <v>58.697800000000001</v>
      </c>
      <c r="G869" s="14">
        <f>54.2239 * CHOOSE(CONTROL!$C$15, $E$9, 100%, $G$9) + CHOOSE(CONTROL!$C$38, 0.0369, 0)</f>
        <v>54.260800000000003</v>
      </c>
      <c r="H869" s="14">
        <f>54.2239 * CHOOSE(CONTROL!$C$15, $E$9, 100%, $G$9) + CHOOSE(CONTROL!$C$38, 0.0369, 0)</f>
        <v>54.260800000000003</v>
      </c>
      <c r="I869" s="14">
        <f>54.2255 * CHOOSE(CONTROL!$C$15, $E$9, 100%, $G$9) + CHOOSE(CONTROL!$C$38, 0.0369, 0)</f>
        <v>54.2624</v>
      </c>
      <c r="J869" s="44">
        <f>564.282</f>
        <v>564.28200000000004</v>
      </c>
    </row>
    <row r="870" spans="1:10" ht="15.75" x14ac:dyDescent="0.25">
      <c r="A870" s="32">
        <v>67419</v>
      </c>
      <c r="B870" s="14">
        <f>58.6197 * CHOOSE(CONTROL!$C$15, $E$9, 100%, $G$9) + CHOOSE(CONTROL!$C$38, 0.0278, 0)</f>
        <v>58.647500000000001</v>
      </c>
      <c r="C870" s="14">
        <f>54.019 * CHOOSE(CONTROL!$C$15, $E$9, 100%, $G$9) + CHOOSE(CONTROL!$C$38, 0.0369, 0)</f>
        <v>54.055900000000001</v>
      </c>
      <c r="D870" s="14">
        <f>54.0112 * CHOOSE(CONTROL!$C$15, $E$9, 100%, $G$9) + CHOOSE(CONTROL!$C$38, 0.0369, 0)</f>
        <v>54.048100000000005</v>
      </c>
      <c r="E870" s="46">
        <f>58.4635 * CHOOSE(CONTROL!$C$15, $E$9, 100%, $G$9) + CHOOSE(CONTROL!$C$38, 0.0369, 0)</f>
        <v>58.500400000000006</v>
      </c>
      <c r="F870" s="45">
        <f>58.4635 * CHOOSE(CONTROL!$C$15, $E$9, 100%, $G$9) + CHOOSE(CONTROL!$C$38, 0.0278, 0)</f>
        <v>58.491300000000003</v>
      </c>
      <c r="G870" s="14">
        <f>54.0174 * CHOOSE(CONTROL!$C$15, $E$9, 100%, $G$9) + CHOOSE(CONTROL!$C$38, 0.0369, 0)</f>
        <v>54.054300000000005</v>
      </c>
      <c r="H870" s="14">
        <f>54.0174 * CHOOSE(CONTROL!$C$15, $E$9, 100%, $G$9) + CHOOSE(CONTROL!$C$38, 0.0369, 0)</f>
        <v>54.054300000000005</v>
      </c>
      <c r="I870" s="14">
        <f>54.019 * CHOOSE(CONTROL!$C$15, $E$9, 100%, $G$9) + CHOOSE(CONTROL!$C$38, 0.0369, 0)</f>
        <v>54.055900000000001</v>
      </c>
      <c r="J870" s="44">
        <f>561.643</f>
        <v>561.64300000000003</v>
      </c>
    </row>
    <row r="871" spans="1:10" ht="15.75" x14ac:dyDescent="0.25">
      <c r="A871" s="32">
        <v>67450</v>
      </c>
      <c r="B871" s="14">
        <f>58.7217 * CHOOSE(CONTROL!$C$15, $E$9, 100%, $G$9) + CHOOSE(CONTROL!$C$38, 0.0278, 0)</f>
        <v>58.749499999999998</v>
      </c>
      <c r="C871" s="14">
        <f>54.1209 * CHOOSE(CONTROL!$C$15, $E$9, 100%, $G$9) + CHOOSE(CONTROL!$C$38, 0.0369, 0)</f>
        <v>54.157800000000002</v>
      </c>
      <c r="D871" s="14">
        <f>54.1131 * CHOOSE(CONTROL!$C$15, $E$9, 100%, $G$9) + CHOOSE(CONTROL!$C$38, 0.0369, 0)</f>
        <v>54.150000000000006</v>
      </c>
      <c r="E871" s="46">
        <f>58.5654 * CHOOSE(CONTROL!$C$15, $E$9, 100%, $G$9) + CHOOSE(CONTROL!$C$38, 0.0369, 0)</f>
        <v>58.6023</v>
      </c>
      <c r="F871" s="45">
        <f>58.5654 * CHOOSE(CONTROL!$C$15, $E$9, 100%, $G$9) + CHOOSE(CONTROL!$C$38, 0.0278, 0)</f>
        <v>58.593199999999996</v>
      </c>
      <c r="G871" s="14">
        <f>54.1193 * CHOOSE(CONTROL!$C$15, $E$9, 100%, $G$9) + CHOOSE(CONTROL!$C$38, 0.0369, 0)</f>
        <v>54.156200000000005</v>
      </c>
      <c r="H871" s="14">
        <f>54.1193 * CHOOSE(CONTROL!$C$15, $E$9, 100%, $G$9) + CHOOSE(CONTROL!$C$38, 0.0369, 0)</f>
        <v>54.156200000000005</v>
      </c>
      <c r="I871" s="14">
        <f>54.1209 * CHOOSE(CONTROL!$C$15, $E$9, 100%, $G$9) + CHOOSE(CONTROL!$C$38, 0.0369, 0)</f>
        <v>54.157800000000002</v>
      </c>
      <c r="J871" s="44">
        <f>548.5682</f>
        <v>548.56820000000005</v>
      </c>
    </row>
    <row r="872" spans="1:10" ht="15.75" x14ac:dyDescent="0.25">
      <c r="A872" s="32">
        <v>67480</v>
      </c>
      <c r="B872" s="14">
        <f>58.9985 * CHOOSE(CONTROL!$C$15, $E$9, 100%, $G$9) + CHOOSE(CONTROL!$C$38, 0.0278, 0)</f>
        <v>59.026299999999999</v>
      </c>
      <c r="C872" s="14">
        <f>54.3977 * CHOOSE(CONTROL!$C$15, $E$9, 100%, $G$9) + CHOOSE(CONTROL!$C$38, 0.0369, 0)</f>
        <v>54.434600000000003</v>
      </c>
      <c r="D872" s="14">
        <f>54.3899 * CHOOSE(CONTROL!$C$15, $E$9, 100%, $G$9) + CHOOSE(CONTROL!$C$38, 0.0369, 0)</f>
        <v>54.4268</v>
      </c>
      <c r="E872" s="46">
        <f>58.8422 * CHOOSE(CONTROL!$C$15, $E$9, 100%, $G$9) + CHOOSE(CONTROL!$C$38, 0.0369, 0)</f>
        <v>58.879100000000001</v>
      </c>
      <c r="F872" s="45">
        <f>58.8422 * CHOOSE(CONTROL!$C$15, $E$9, 100%, $G$9) + CHOOSE(CONTROL!$C$38, 0.0278, 0)</f>
        <v>58.87</v>
      </c>
      <c r="G872" s="14">
        <f>54.3961 * CHOOSE(CONTROL!$C$15, $E$9, 100%, $G$9) + CHOOSE(CONTROL!$C$38, 0.0369, 0)</f>
        <v>54.433</v>
      </c>
      <c r="H872" s="14">
        <f>54.3961 * CHOOSE(CONTROL!$C$15, $E$9, 100%, $G$9) + CHOOSE(CONTROL!$C$38, 0.0369, 0)</f>
        <v>54.433</v>
      </c>
      <c r="I872" s="14">
        <f>54.3977 * CHOOSE(CONTROL!$C$15, $E$9, 100%, $G$9) + CHOOSE(CONTROL!$C$38, 0.0369, 0)</f>
        <v>54.434600000000003</v>
      </c>
      <c r="J872" s="44">
        <f>530.3347</f>
        <v>530.3347</v>
      </c>
    </row>
    <row r="873" spans="1:10" ht="15.75" x14ac:dyDescent="0.25">
      <c r="A873" s="32">
        <v>67511</v>
      </c>
      <c r="B873" s="14">
        <f>59.2303 * CHOOSE(CONTROL!$C$15, $E$9, 100%, $G$9) + CHOOSE(CONTROL!$C$38, 0.0256, 0)</f>
        <v>59.255899999999997</v>
      </c>
      <c r="C873" s="14">
        <f>54.6295 * CHOOSE(CONTROL!$C$15, $E$9, 100%, $G$9) + CHOOSE(CONTROL!$C$38, 0.0347, 0)</f>
        <v>54.664200000000001</v>
      </c>
      <c r="D873" s="14">
        <f>54.6217 * CHOOSE(CONTROL!$C$15, $E$9, 100%, $G$9) + CHOOSE(CONTROL!$C$38, 0.0347, 0)</f>
        <v>54.656399999999998</v>
      </c>
      <c r="E873" s="46">
        <f>59.074 * CHOOSE(CONTROL!$C$15, $E$9, 100%, $G$9) + CHOOSE(CONTROL!$C$38, 0.0347, 0)</f>
        <v>59.108699999999999</v>
      </c>
      <c r="F873" s="45">
        <f>59.074 * CHOOSE(CONTROL!$C$15, $E$9, 100%, $G$9) + CHOOSE(CONTROL!$C$38, 0.0256, 0)</f>
        <v>59.099599999999995</v>
      </c>
      <c r="G873" s="14">
        <f>54.6279 * CHOOSE(CONTROL!$C$15, $E$9, 100%, $G$9) + CHOOSE(CONTROL!$C$38, 0.0347, 0)</f>
        <v>54.662599999999998</v>
      </c>
      <c r="H873" s="14">
        <f>54.6279 * CHOOSE(CONTROL!$C$15, $E$9, 100%, $G$9) + CHOOSE(CONTROL!$C$38, 0.0347, 0)</f>
        <v>54.662599999999998</v>
      </c>
      <c r="I873" s="14">
        <f>54.6295 * CHOOSE(CONTROL!$C$15, $E$9, 100%, $G$9) + CHOOSE(CONTROL!$C$38, 0.0347, 0)</f>
        <v>54.664200000000001</v>
      </c>
      <c r="J873" s="44">
        <f>511.9952</f>
        <v>511.99520000000001</v>
      </c>
    </row>
    <row r="874" spans="1:10" ht="15.75" x14ac:dyDescent="0.25">
      <c r="A874" s="32">
        <v>67541</v>
      </c>
      <c r="B874" s="14">
        <f>59.4237 * CHOOSE(CONTROL!$C$15, $E$9, 100%, $G$9) + CHOOSE(CONTROL!$C$38, 0.0256, 0)</f>
        <v>59.449299999999994</v>
      </c>
      <c r="C874" s="14">
        <f>54.8229 * CHOOSE(CONTROL!$C$15, $E$9, 100%, $G$9) + CHOOSE(CONTROL!$C$38, 0.0347, 0)</f>
        <v>54.857599999999998</v>
      </c>
      <c r="D874" s="14">
        <f>54.8151 * CHOOSE(CONTROL!$C$15, $E$9, 100%, $G$9) + CHOOSE(CONTROL!$C$38, 0.0347, 0)</f>
        <v>54.849800000000002</v>
      </c>
      <c r="E874" s="46">
        <f>59.2675 * CHOOSE(CONTROL!$C$15, $E$9, 100%, $G$9) + CHOOSE(CONTROL!$C$38, 0.0347, 0)</f>
        <v>59.302199999999999</v>
      </c>
      <c r="F874" s="45">
        <f>59.2675 * CHOOSE(CONTROL!$C$15, $E$9, 100%, $G$9) + CHOOSE(CONTROL!$C$38, 0.0256, 0)</f>
        <v>59.293099999999995</v>
      </c>
      <c r="G874" s="14">
        <f>54.8214 * CHOOSE(CONTROL!$C$15, $E$9, 100%, $G$9) + CHOOSE(CONTROL!$C$38, 0.0347, 0)</f>
        <v>54.856099999999998</v>
      </c>
      <c r="H874" s="14">
        <f>54.8214 * CHOOSE(CONTROL!$C$15, $E$9, 100%, $G$9) + CHOOSE(CONTROL!$C$38, 0.0347, 0)</f>
        <v>54.856099999999998</v>
      </c>
      <c r="I874" s="14">
        <f>54.8229 * CHOOSE(CONTROL!$C$15, $E$9, 100%, $G$9) + CHOOSE(CONTROL!$C$38, 0.0347, 0)</f>
        <v>54.857599999999998</v>
      </c>
      <c r="J874" s="44">
        <f>508.3471</f>
        <v>508.34710000000001</v>
      </c>
    </row>
    <row r="875" spans="1:10" ht="15.75" x14ac:dyDescent="0.25">
      <c r="A875" s="32">
        <v>67572</v>
      </c>
      <c r="B875" s="14">
        <f>60.0198 * CHOOSE(CONTROL!$C$15, $E$9, 100%, $G$9) + CHOOSE(CONTROL!$C$38, 0.0256, 0)</f>
        <v>60.045399999999994</v>
      </c>
      <c r="C875" s="14">
        <f>55.419 * CHOOSE(CONTROL!$C$15, $E$9, 100%, $G$9) + CHOOSE(CONTROL!$C$38, 0.0347, 0)</f>
        <v>55.453699999999998</v>
      </c>
      <c r="D875" s="14">
        <f>55.4112 * CHOOSE(CONTROL!$C$15, $E$9, 100%, $G$9) + CHOOSE(CONTROL!$C$38, 0.0347, 0)</f>
        <v>55.445900000000002</v>
      </c>
      <c r="E875" s="46">
        <f>59.8635 * CHOOSE(CONTROL!$C$15, $E$9, 100%, $G$9) + CHOOSE(CONTROL!$C$38, 0.0347, 0)</f>
        <v>59.898200000000003</v>
      </c>
      <c r="F875" s="45">
        <f>59.8635 * CHOOSE(CONTROL!$C$15, $E$9, 100%, $G$9) + CHOOSE(CONTROL!$C$38, 0.0256, 0)</f>
        <v>59.889099999999999</v>
      </c>
      <c r="G875" s="14">
        <f>55.4175 * CHOOSE(CONTROL!$C$15, $E$9, 100%, $G$9) + CHOOSE(CONTROL!$C$38, 0.0347, 0)</f>
        <v>55.452199999999998</v>
      </c>
      <c r="H875" s="14">
        <f>55.4175 * CHOOSE(CONTROL!$C$15, $E$9, 100%, $G$9) + CHOOSE(CONTROL!$C$38, 0.0347, 0)</f>
        <v>55.452199999999998</v>
      </c>
      <c r="I875" s="14">
        <f>55.419 * CHOOSE(CONTROL!$C$15, $E$9, 100%, $G$9) + CHOOSE(CONTROL!$C$38, 0.0347, 0)</f>
        <v>55.453699999999998</v>
      </c>
      <c r="J875" s="44">
        <f>493.2619</f>
        <v>493.26190000000003</v>
      </c>
    </row>
    <row r="876" spans="1:10" ht="15.75" x14ac:dyDescent="0.25">
      <c r="A876" s="32">
        <v>67603</v>
      </c>
      <c r="B876" s="14">
        <f>61.4552 * CHOOSE(CONTROL!$C$15, $E$9, 100%, $G$9) + CHOOSE(CONTROL!$C$38, 0.0256, 0)</f>
        <v>61.480799999999995</v>
      </c>
      <c r="C876" s="14">
        <f>56.7816 * CHOOSE(CONTROL!$C$15, $E$9, 100%, $G$9) + CHOOSE(CONTROL!$C$38, 0.0347, 0)</f>
        <v>56.816299999999998</v>
      </c>
      <c r="D876" s="14">
        <f>56.7738 * CHOOSE(CONTROL!$C$15, $E$9, 100%, $G$9) + CHOOSE(CONTROL!$C$38, 0.0347, 0)</f>
        <v>56.808500000000002</v>
      </c>
      <c r="E876" s="46">
        <f>61.299 * CHOOSE(CONTROL!$C$15, $E$9, 100%, $G$9) + CHOOSE(CONTROL!$C$38, 0.0347, 0)</f>
        <v>61.3337</v>
      </c>
      <c r="F876" s="45">
        <f>61.299 * CHOOSE(CONTROL!$C$15, $E$9, 100%, $G$9) + CHOOSE(CONTROL!$C$38, 0.0256, 0)</f>
        <v>61.324599999999997</v>
      </c>
      <c r="G876" s="14">
        <f>56.78 * CHOOSE(CONTROL!$C$15, $E$9, 100%, $G$9) + CHOOSE(CONTROL!$C$38, 0.0347, 0)</f>
        <v>56.814700000000002</v>
      </c>
      <c r="H876" s="14">
        <f>56.78 * CHOOSE(CONTROL!$C$15, $E$9, 100%, $G$9) + CHOOSE(CONTROL!$C$38, 0.0347, 0)</f>
        <v>56.814700000000002</v>
      </c>
      <c r="I876" s="14">
        <f>56.7816 * CHOOSE(CONTROL!$C$15, $E$9, 100%, $G$9) + CHOOSE(CONTROL!$C$38, 0.0347, 0)</f>
        <v>56.816299999999998</v>
      </c>
      <c r="J876" s="44">
        <f>492.3199</f>
        <v>492.31990000000002</v>
      </c>
    </row>
    <row r="877" spans="1:10" ht="15.75" x14ac:dyDescent="0.25">
      <c r="A877" s="32">
        <v>67631</v>
      </c>
      <c r="B877" s="14">
        <f>61.676 * CHOOSE(CONTROL!$C$15, $E$9, 100%, $G$9) + CHOOSE(CONTROL!$C$38, 0.0256, 0)</f>
        <v>61.701599999999999</v>
      </c>
      <c r="C877" s="14">
        <f>57.0023 * CHOOSE(CONTROL!$C$15, $E$9, 100%, $G$9) + CHOOSE(CONTROL!$C$38, 0.0347, 0)</f>
        <v>57.036999999999999</v>
      </c>
      <c r="D877" s="14">
        <f>56.9945 * CHOOSE(CONTROL!$C$15, $E$9, 100%, $G$9) + CHOOSE(CONTROL!$C$38, 0.0347, 0)</f>
        <v>57.029200000000003</v>
      </c>
      <c r="E877" s="46">
        <f>61.5197 * CHOOSE(CONTROL!$C$15, $E$9, 100%, $G$9) + CHOOSE(CONTROL!$C$38, 0.0347, 0)</f>
        <v>61.554400000000001</v>
      </c>
      <c r="F877" s="45">
        <f>61.5197 * CHOOSE(CONTROL!$C$15, $E$9, 100%, $G$9) + CHOOSE(CONTROL!$C$38, 0.0256, 0)</f>
        <v>61.545299999999997</v>
      </c>
      <c r="G877" s="14">
        <f>57.0008 * CHOOSE(CONTROL!$C$15, $E$9, 100%, $G$9) + CHOOSE(CONTROL!$C$38, 0.0347, 0)</f>
        <v>57.035499999999999</v>
      </c>
      <c r="H877" s="14">
        <f>57.0008 * CHOOSE(CONTROL!$C$15, $E$9, 100%, $G$9) + CHOOSE(CONTROL!$C$38, 0.0347, 0)</f>
        <v>57.035499999999999</v>
      </c>
      <c r="I877" s="14">
        <f>57.0023 * CHOOSE(CONTROL!$C$15, $E$9, 100%, $G$9) + CHOOSE(CONTROL!$C$38, 0.0347, 0)</f>
        <v>57.036999999999999</v>
      </c>
      <c r="J877" s="44">
        <f>490.9514</f>
        <v>490.95139999999998</v>
      </c>
    </row>
    <row r="878" spans="1:10" ht="15.75" x14ac:dyDescent="0.25">
      <c r="A878" s="32">
        <v>67662</v>
      </c>
      <c r="B878" s="14">
        <f>61.1649 * CHOOSE(CONTROL!$C$15, $E$9, 100%, $G$9) + CHOOSE(CONTROL!$C$38, 0.0256, 0)</f>
        <v>61.1905</v>
      </c>
      <c r="C878" s="14">
        <f>56.4913 * CHOOSE(CONTROL!$C$15, $E$9, 100%, $G$9) + CHOOSE(CONTROL!$C$38, 0.0347, 0)</f>
        <v>56.526000000000003</v>
      </c>
      <c r="D878" s="14">
        <f>56.4835 * CHOOSE(CONTROL!$C$15, $E$9, 100%, $G$9) + CHOOSE(CONTROL!$C$38, 0.0347, 0)</f>
        <v>56.5182</v>
      </c>
      <c r="E878" s="46">
        <f>61.0087 * CHOOSE(CONTROL!$C$15, $E$9, 100%, $G$9) + CHOOSE(CONTROL!$C$38, 0.0347, 0)</f>
        <v>61.043399999999998</v>
      </c>
      <c r="F878" s="45">
        <f>61.0087 * CHOOSE(CONTROL!$C$15, $E$9, 100%, $G$9) + CHOOSE(CONTROL!$C$38, 0.0256, 0)</f>
        <v>61.034299999999995</v>
      </c>
      <c r="G878" s="14">
        <f>56.4897 * CHOOSE(CONTROL!$C$15, $E$9, 100%, $G$9) + CHOOSE(CONTROL!$C$38, 0.0347, 0)</f>
        <v>56.5244</v>
      </c>
      <c r="H878" s="14">
        <f>56.4897 * CHOOSE(CONTROL!$C$15, $E$9, 100%, $G$9) + CHOOSE(CONTROL!$C$38, 0.0347, 0)</f>
        <v>56.5244</v>
      </c>
      <c r="I878" s="14">
        <f>56.4913 * CHOOSE(CONTROL!$C$15, $E$9, 100%, $G$9) + CHOOSE(CONTROL!$C$38, 0.0347, 0)</f>
        <v>56.526000000000003</v>
      </c>
      <c r="J878" s="44">
        <f>516.8274</f>
        <v>516.82740000000001</v>
      </c>
    </row>
    <row r="879" spans="1:10" ht="15.75" x14ac:dyDescent="0.25">
      <c r="A879" s="32">
        <v>67692</v>
      </c>
      <c r="B879" s="14">
        <f>60.6698 * CHOOSE(CONTROL!$C$15, $E$9, 100%, $G$9) + CHOOSE(CONTROL!$C$38, 0.0256, 0)</f>
        <v>60.695399999999999</v>
      </c>
      <c r="C879" s="14">
        <f>55.9961 * CHOOSE(CONTROL!$C$15, $E$9, 100%, $G$9) + CHOOSE(CONTROL!$C$38, 0.0347, 0)</f>
        <v>56.030799999999999</v>
      </c>
      <c r="D879" s="14">
        <f>55.9883 * CHOOSE(CONTROL!$C$15, $E$9, 100%, $G$9) + CHOOSE(CONTROL!$C$38, 0.0347, 0)</f>
        <v>56.023000000000003</v>
      </c>
      <c r="E879" s="46">
        <f>60.5135 * CHOOSE(CONTROL!$C$15, $E$9, 100%, $G$9) + CHOOSE(CONTROL!$C$38, 0.0347, 0)</f>
        <v>60.548200000000001</v>
      </c>
      <c r="F879" s="45">
        <f>60.5135 * CHOOSE(CONTROL!$C$15, $E$9, 100%, $G$9) + CHOOSE(CONTROL!$C$38, 0.0256, 0)</f>
        <v>60.539099999999998</v>
      </c>
      <c r="G879" s="14">
        <f>55.9946 * CHOOSE(CONTROL!$C$15, $E$9, 100%, $G$9) + CHOOSE(CONTROL!$C$38, 0.0347, 0)</f>
        <v>56.029299999999999</v>
      </c>
      <c r="H879" s="14">
        <f>55.9946 * CHOOSE(CONTROL!$C$15, $E$9, 100%, $G$9) + CHOOSE(CONTROL!$C$38, 0.0347, 0)</f>
        <v>56.029299999999999</v>
      </c>
      <c r="I879" s="14">
        <f>55.9961 * CHOOSE(CONTROL!$C$15, $E$9, 100%, $G$9) + CHOOSE(CONTROL!$C$38, 0.0347, 0)</f>
        <v>56.030799999999999</v>
      </c>
      <c r="J879" s="44">
        <f>550.3823</f>
        <v>550.38229999999999</v>
      </c>
    </row>
    <row r="880" spans="1:10" ht="15.75" x14ac:dyDescent="0.25">
      <c r="A880" s="32">
        <v>67723</v>
      </c>
      <c r="B880" s="14">
        <f>60.1536 * CHOOSE(CONTROL!$C$15, $E$9, 100%, $G$9) + CHOOSE(CONTROL!$C$38, 0.0278, 0)</f>
        <v>60.181399999999996</v>
      </c>
      <c r="C880" s="14">
        <f>55.48 * CHOOSE(CONTROL!$C$15, $E$9, 100%, $G$9) + CHOOSE(CONTROL!$C$38, 0.0369, 0)</f>
        <v>55.5169</v>
      </c>
      <c r="D880" s="14">
        <f>55.4722 * CHOOSE(CONTROL!$C$15, $E$9, 100%, $G$9) + CHOOSE(CONTROL!$C$38, 0.0369, 0)</f>
        <v>55.509100000000004</v>
      </c>
      <c r="E880" s="46">
        <f>59.9974 * CHOOSE(CONTROL!$C$15, $E$9, 100%, $G$9) + CHOOSE(CONTROL!$C$38, 0.0369, 0)</f>
        <v>60.034300000000002</v>
      </c>
      <c r="F880" s="45">
        <f>59.9974 * CHOOSE(CONTROL!$C$15, $E$9, 100%, $G$9) + CHOOSE(CONTROL!$C$38, 0.0278, 0)</f>
        <v>60.025199999999998</v>
      </c>
      <c r="G880" s="14">
        <f>55.4784 * CHOOSE(CONTROL!$C$15, $E$9, 100%, $G$9) + CHOOSE(CONTROL!$C$38, 0.0369, 0)</f>
        <v>55.515300000000003</v>
      </c>
      <c r="H880" s="14">
        <f>55.4784 * CHOOSE(CONTROL!$C$15, $E$9, 100%, $G$9) + CHOOSE(CONTROL!$C$38, 0.0369, 0)</f>
        <v>55.515300000000003</v>
      </c>
      <c r="I880" s="14">
        <f>55.48 * CHOOSE(CONTROL!$C$15, $E$9, 100%, $G$9) + CHOOSE(CONTROL!$C$38, 0.0369, 0)</f>
        <v>55.5169</v>
      </c>
      <c r="J880" s="44">
        <f>568.852</f>
        <v>568.85199999999998</v>
      </c>
    </row>
    <row r="881" spans="1:10" ht="15.75" x14ac:dyDescent="0.25">
      <c r="A881" s="32">
        <v>67753</v>
      </c>
      <c r="B881" s="14">
        <f>59.7918 * CHOOSE(CONTROL!$C$15, $E$9, 100%, $G$9) + CHOOSE(CONTROL!$C$38, 0.0278, 0)</f>
        <v>59.819600000000001</v>
      </c>
      <c r="C881" s="14">
        <f>55.1182 * CHOOSE(CONTROL!$C$15, $E$9, 100%, $G$9) + CHOOSE(CONTROL!$C$38, 0.0369, 0)</f>
        <v>55.155100000000004</v>
      </c>
      <c r="D881" s="14">
        <f>55.1104 * CHOOSE(CONTROL!$C$15, $E$9, 100%, $G$9) + CHOOSE(CONTROL!$C$38, 0.0369, 0)</f>
        <v>55.147300000000001</v>
      </c>
      <c r="E881" s="46">
        <f>59.6356 * CHOOSE(CONTROL!$C$15, $E$9, 100%, $G$9) + CHOOSE(CONTROL!$C$38, 0.0369, 0)</f>
        <v>59.672499999999999</v>
      </c>
      <c r="F881" s="45">
        <f>59.6356 * CHOOSE(CONTROL!$C$15, $E$9, 100%, $G$9) + CHOOSE(CONTROL!$C$38, 0.0278, 0)</f>
        <v>59.663399999999996</v>
      </c>
      <c r="G881" s="14">
        <f>55.1166 * CHOOSE(CONTROL!$C$15, $E$9, 100%, $G$9) + CHOOSE(CONTROL!$C$38, 0.0369, 0)</f>
        <v>55.153500000000001</v>
      </c>
      <c r="H881" s="14">
        <f>55.1166 * CHOOSE(CONTROL!$C$15, $E$9, 100%, $G$9) + CHOOSE(CONTROL!$C$38, 0.0369, 0)</f>
        <v>55.153500000000001</v>
      </c>
      <c r="I881" s="14">
        <f>55.1182 * CHOOSE(CONTROL!$C$15, $E$9, 100%, $G$9) + CHOOSE(CONTROL!$C$38, 0.0369, 0)</f>
        <v>55.155100000000004</v>
      </c>
      <c r="J881" s="44">
        <f>577.0486</f>
        <v>577.04859999999996</v>
      </c>
    </row>
    <row r="882" spans="1:10" ht="15.75" x14ac:dyDescent="0.25">
      <c r="A882" s="32">
        <v>67784</v>
      </c>
      <c r="B882" s="14">
        <f>59.5853 * CHOOSE(CONTROL!$C$15, $E$9, 100%, $G$9) + CHOOSE(CONTROL!$C$38, 0.0278, 0)</f>
        <v>59.613099999999996</v>
      </c>
      <c r="C882" s="14">
        <f>54.9117 * CHOOSE(CONTROL!$C$15, $E$9, 100%, $G$9) + CHOOSE(CONTROL!$C$38, 0.0369, 0)</f>
        <v>54.948600000000006</v>
      </c>
      <c r="D882" s="14">
        <f>54.9039 * CHOOSE(CONTROL!$C$15, $E$9, 100%, $G$9) + CHOOSE(CONTROL!$C$38, 0.0369, 0)</f>
        <v>54.940800000000003</v>
      </c>
      <c r="E882" s="46">
        <f>59.4291 * CHOOSE(CONTROL!$C$15, $E$9, 100%, $G$9) + CHOOSE(CONTROL!$C$38, 0.0369, 0)</f>
        <v>59.466000000000001</v>
      </c>
      <c r="F882" s="45">
        <f>59.4291 * CHOOSE(CONTROL!$C$15, $E$9, 100%, $G$9) + CHOOSE(CONTROL!$C$38, 0.0278, 0)</f>
        <v>59.456899999999997</v>
      </c>
      <c r="G882" s="14">
        <f>54.9101 * CHOOSE(CONTROL!$C$15, $E$9, 100%, $G$9) + CHOOSE(CONTROL!$C$38, 0.0369, 0)</f>
        <v>54.947000000000003</v>
      </c>
      <c r="H882" s="14">
        <f>54.9101 * CHOOSE(CONTROL!$C$15, $E$9, 100%, $G$9) + CHOOSE(CONTROL!$C$38, 0.0369, 0)</f>
        <v>54.947000000000003</v>
      </c>
      <c r="I882" s="14">
        <f>54.9117 * CHOOSE(CONTROL!$C$15, $E$9, 100%, $G$9) + CHOOSE(CONTROL!$C$38, 0.0369, 0)</f>
        <v>54.948600000000006</v>
      </c>
      <c r="J882" s="44">
        <f>574.3499</f>
        <v>574.34990000000005</v>
      </c>
    </row>
    <row r="883" spans="1:10" ht="15.75" x14ac:dyDescent="0.25">
      <c r="A883" s="32">
        <v>67815</v>
      </c>
      <c r="B883" s="14">
        <f>59.6872 * CHOOSE(CONTROL!$C$15, $E$9, 100%, $G$9) + CHOOSE(CONTROL!$C$38, 0.0278, 0)</f>
        <v>59.714999999999996</v>
      </c>
      <c r="C883" s="14">
        <f>55.0136 * CHOOSE(CONTROL!$C$15, $E$9, 100%, $G$9) + CHOOSE(CONTROL!$C$38, 0.0369, 0)</f>
        <v>55.0505</v>
      </c>
      <c r="D883" s="14">
        <f>55.0058 * CHOOSE(CONTROL!$C$15, $E$9, 100%, $G$9) + CHOOSE(CONTROL!$C$38, 0.0369, 0)</f>
        <v>55.042700000000004</v>
      </c>
      <c r="E883" s="46">
        <f>59.531 * CHOOSE(CONTROL!$C$15, $E$9, 100%, $G$9) + CHOOSE(CONTROL!$C$38, 0.0369, 0)</f>
        <v>59.567900000000002</v>
      </c>
      <c r="F883" s="45">
        <f>59.531 * CHOOSE(CONTROL!$C$15, $E$9, 100%, $G$9) + CHOOSE(CONTROL!$C$38, 0.0278, 0)</f>
        <v>59.558799999999998</v>
      </c>
      <c r="G883" s="14">
        <f>55.012 * CHOOSE(CONTROL!$C$15, $E$9, 100%, $G$9) + CHOOSE(CONTROL!$C$38, 0.0369, 0)</f>
        <v>55.048900000000003</v>
      </c>
      <c r="H883" s="14">
        <f>55.012 * CHOOSE(CONTROL!$C$15, $E$9, 100%, $G$9) + CHOOSE(CONTROL!$C$38, 0.0369, 0)</f>
        <v>55.048900000000003</v>
      </c>
      <c r="I883" s="14">
        <f>55.0136 * CHOOSE(CONTROL!$C$15, $E$9, 100%, $G$9) + CHOOSE(CONTROL!$C$38, 0.0369, 0)</f>
        <v>55.0505</v>
      </c>
      <c r="J883" s="44">
        <f>560.9793</f>
        <v>560.97929999999997</v>
      </c>
    </row>
    <row r="884" spans="1:10" ht="15.75" x14ac:dyDescent="0.25">
      <c r="A884" s="32">
        <v>67845</v>
      </c>
      <c r="B884" s="14">
        <f>59.964 * CHOOSE(CONTROL!$C$15, $E$9, 100%, $G$9) + CHOOSE(CONTROL!$C$38, 0.0278, 0)</f>
        <v>59.991799999999998</v>
      </c>
      <c r="C884" s="14">
        <f>55.2904 * CHOOSE(CONTROL!$C$15, $E$9, 100%, $G$9) + CHOOSE(CONTROL!$C$38, 0.0369, 0)</f>
        <v>55.327300000000001</v>
      </c>
      <c r="D884" s="14">
        <f>55.2826 * CHOOSE(CONTROL!$C$15, $E$9, 100%, $G$9) + CHOOSE(CONTROL!$C$38, 0.0369, 0)</f>
        <v>55.319500000000005</v>
      </c>
      <c r="E884" s="46">
        <f>59.8078 * CHOOSE(CONTROL!$C$15, $E$9, 100%, $G$9) + CHOOSE(CONTROL!$C$38, 0.0369, 0)</f>
        <v>59.844700000000003</v>
      </c>
      <c r="F884" s="45">
        <f>59.8078 * CHOOSE(CONTROL!$C$15, $E$9, 100%, $G$9) + CHOOSE(CONTROL!$C$38, 0.0278, 0)</f>
        <v>59.835599999999999</v>
      </c>
      <c r="G884" s="14">
        <f>55.2888 * CHOOSE(CONTROL!$C$15, $E$9, 100%, $G$9) + CHOOSE(CONTROL!$C$38, 0.0369, 0)</f>
        <v>55.325700000000005</v>
      </c>
      <c r="H884" s="14">
        <f>55.2888 * CHOOSE(CONTROL!$C$15, $E$9, 100%, $G$9) + CHOOSE(CONTROL!$C$38, 0.0369, 0)</f>
        <v>55.325700000000005</v>
      </c>
      <c r="I884" s="14">
        <f>55.2904 * CHOOSE(CONTROL!$C$15, $E$9, 100%, $G$9) + CHOOSE(CONTROL!$C$38, 0.0369, 0)</f>
        <v>55.327300000000001</v>
      </c>
      <c r="J884" s="44">
        <f>542.3333</f>
        <v>542.33330000000001</v>
      </c>
    </row>
    <row r="885" spans="1:10" ht="15.75" x14ac:dyDescent="0.25">
      <c r="A885" s="32">
        <v>67876</v>
      </c>
      <c r="B885" s="14">
        <f>60.1959 * CHOOSE(CONTROL!$C$15, $E$9, 100%, $G$9) + CHOOSE(CONTROL!$C$38, 0.0256, 0)</f>
        <v>60.221499999999999</v>
      </c>
      <c r="C885" s="14">
        <f>55.5222 * CHOOSE(CONTROL!$C$15, $E$9, 100%, $G$9) + CHOOSE(CONTROL!$C$38, 0.0347, 0)</f>
        <v>55.556899999999999</v>
      </c>
      <c r="D885" s="14">
        <f>55.5144 * CHOOSE(CONTROL!$C$15, $E$9, 100%, $G$9) + CHOOSE(CONTROL!$C$38, 0.0347, 0)</f>
        <v>55.549100000000003</v>
      </c>
      <c r="E885" s="46">
        <f>60.0396 * CHOOSE(CONTROL!$C$15, $E$9, 100%, $G$9) + CHOOSE(CONTROL!$C$38, 0.0347, 0)</f>
        <v>60.074300000000001</v>
      </c>
      <c r="F885" s="45">
        <f>60.0396 * CHOOSE(CONTROL!$C$15, $E$9, 100%, $G$9) + CHOOSE(CONTROL!$C$38, 0.0256, 0)</f>
        <v>60.065199999999997</v>
      </c>
      <c r="G885" s="14">
        <f>55.5206 * CHOOSE(CONTROL!$C$15, $E$9, 100%, $G$9) + CHOOSE(CONTROL!$C$38, 0.0347, 0)</f>
        <v>55.555300000000003</v>
      </c>
      <c r="H885" s="14">
        <f>55.5206 * CHOOSE(CONTROL!$C$15, $E$9, 100%, $G$9) + CHOOSE(CONTROL!$C$38, 0.0347, 0)</f>
        <v>55.555300000000003</v>
      </c>
      <c r="I885" s="14">
        <f>55.5222 * CHOOSE(CONTROL!$C$15, $E$9, 100%, $G$9) + CHOOSE(CONTROL!$C$38, 0.0347, 0)</f>
        <v>55.556899999999999</v>
      </c>
      <c r="J885" s="44">
        <f>523.5789</f>
        <v>523.57889999999998</v>
      </c>
    </row>
    <row r="886" spans="1:10" ht="15.75" x14ac:dyDescent="0.25">
      <c r="A886" s="32">
        <v>67906</v>
      </c>
      <c r="B886" s="14">
        <f>60.3893 * CHOOSE(CONTROL!$C$15, $E$9, 100%, $G$9) + CHOOSE(CONTROL!$C$38, 0.0256, 0)</f>
        <v>60.414899999999996</v>
      </c>
      <c r="C886" s="14">
        <f>55.7157 * CHOOSE(CONTROL!$C$15, $E$9, 100%, $G$9) + CHOOSE(CONTROL!$C$38, 0.0347, 0)</f>
        <v>55.750399999999999</v>
      </c>
      <c r="D886" s="14">
        <f>55.7078 * CHOOSE(CONTROL!$C$15, $E$9, 100%, $G$9) + CHOOSE(CONTROL!$C$38, 0.0347, 0)</f>
        <v>55.7425</v>
      </c>
      <c r="E886" s="46">
        <f>60.233 * CHOOSE(CONTROL!$C$15, $E$9, 100%, $G$9) + CHOOSE(CONTROL!$C$38, 0.0347, 0)</f>
        <v>60.267699999999998</v>
      </c>
      <c r="F886" s="45">
        <f>60.233 * CHOOSE(CONTROL!$C$15, $E$9, 100%, $G$9) + CHOOSE(CONTROL!$C$38, 0.0256, 0)</f>
        <v>60.258599999999994</v>
      </c>
      <c r="G886" s="14">
        <f>55.7141 * CHOOSE(CONTROL!$C$15, $E$9, 100%, $G$9) + CHOOSE(CONTROL!$C$38, 0.0347, 0)</f>
        <v>55.748800000000003</v>
      </c>
      <c r="H886" s="14">
        <f>55.7141 * CHOOSE(CONTROL!$C$15, $E$9, 100%, $G$9) + CHOOSE(CONTROL!$C$38, 0.0347, 0)</f>
        <v>55.748800000000003</v>
      </c>
      <c r="I886" s="14">
        <f>55.7157 * CHOOSE(CONTROL!$C$15, $E$9, 100%, $G$9) + CHOOSE(CONTROL!$C$38, 0.0347, 0)</f>
        <v>55.750399999999999</v>
      </c>
      <c r="J886" s="44">
        <f>519.8482</f>
        <v>519.84820000000002</v>
      </c>
    </row>
    <row r="887" spans="1:10" ht="15.75" x14ac:dyDescent="0.25">
      <c r="A887" s="32">
        <v>67937</v>
      </c>
      <c r="B887" s="14">
        <f>60.9854 * CHOOSE(CONTROL!$C$15, $E$9, 100%, $G$9) + CHOOSE(CONTROL!$C$38, 0.0256, 0)</f>
        <v>61.010999999999996</v>
      </c>
      <c r="C887" s="14">
        <f>56.3117 * CHOOSE(CONTROL!$C$15, $E$9, 100%, $G$9) + CHOOSE(CONTROL!$C$38, 0.0347, 0)</f>
        <v>56.346400000000003</v>
      </c>
      <c r="D887" s="14">
        <f>56.3039 * CHOOSE(CONTROL!$C$15, $E$9, 100%, $G$9) + CHOOSE(CONTROL!$C$38, 0.0347, 0)</f>
        <v>56.3386</v>
      </c>
      <c r="E887" s="46">
        <f>60.8291 * CHOOSE(CONTROL!$C$15, $E$9, 100%, $G$9) + CHOOSE(CONTROL!$C$38, 0.0347, 0)</f>
        <v>60.863799999999998</v>
      </c>
      <c r="F887" s="45">
        <f>60.8291 * CHOOSE(CONTROL!$C$15, $E$9, 100%, $G$9) + CHOOSE(CONTROL!$C$38, 0.0256, 0)</f>
        <v>60.854699999999994</v>
      </c>
      <c r="G887" s="14">
        <f>56.3102 * CHOOSE(CONTROL!$C$15, $E$9, 100%, $G$9) + CHOOSE(CONTROL!$C$38, 0.0347, 0)</f>
        <v>56.344900000000003</v>
      </c>
      <c r="H887" s="14">
        <f>56.3102 * CHOOSE(CONTROL!$C$15, $E$9, 100%, $G$9) + CHOOSE(CONTROL!$C$38, 0.0347, 0)</f>
        <v>56.344900000000003</v>
      </c>
      <c r="I887" s="14">
        <f>56.3117 * CHOOSE(CONTROL!$C$15, $E$9, 100%, $G$9) + CHOOSE(CONTROL!$C$38, 0.0347, 0)</f>
        <v>56.346400000000003</v>
      </c>
      <c r="J887" s="44">
        <f>504.4217</f>
        <v>504.42169999999999</v>
      </c>
    </row>
    <row r="888" spans="1:10" ht="15.75" x14ac:dyDescent="0.25">
      <c r="A888" s="32">
        <v>67968</v>
      </c>
      <c r="B888" s="14">
        <f>62.4366 * CHOOSE(CONTROL!$C$15, $E$9, 100%, $G$9) + CHOOSE(CONTROL!$C$38, 0.0256, 0)</f>
        <v>62.462199999999996</v>
      </c>
      <c r="C888" s="14">
        <f>57.6889 * CHOOSE(CONTROL!$C$15, $E$9, 100%, $G$9) + CHOOSE(CONTROL!$C$38, 0.0347, 0)</f>
        <v>57.723599999999998</v>
      </c>
      <c r="D888" s="14">
        <f>57.6811 * CHOOSE(CONTROL!$C$15, $E$9, 100%, $G$9) + CHOOSE(CONTROL!$C$38, 0.0347, 0)</f>
        <v>57.715800000000002</v>
      </c>
      <c r="E888" s="46">
        <f>62.2804 * CHOOSE(CONTROL!$C$15, $E$9, 100%, $G$9) + CHOOSE(CONTROL!$C$38, 0.0347, 0)</f>
        <v>62.315100000000001</v>
      </c>
      <c r="F888" s="45">
        <f>62.2804 * CHOOSE(CONTROL!$C$15, $E$9, 100%, $G$9) + CHOOSE(CONTROL!$C$38, 0.0256, 0)</f>
        <v>62.305999999999997</v>
      </c>
      <c r="G888" s="14">
        <f>57.6873 * CHOOSE(CONTROL!$C$15, $E$9, 100%, $G$9) + CHOOSE(CONTROL!$C$38, 0.0347, 0)</f>
        <v>57.722000000000001</v>
      </c>
      <c r="H888" s="14">
        <f>57.6873 * CHOOSE(CONTROL!$C$15, $E$9, 100%, $G$9) + CHOOSE(CONTROL!$C$38, 0.0347, 0)</f>
        <v>57.722000000000001</v>
      </c>
      <c r="I888" s="14">
        <f>57.6889 * CHOOSE(CONTROL!$C$15, $E$9, 100%, $G$9) + CHOOSE(CONTROL!$C$38, 0.0347, 0)</f>
        <v>57.723599999999998</v>
      </c>
      <c r="J888" s="44">
        <f>503.4583</f>
        <v>503.45830000000001</v>
      </c>
    </row>
    <row r="889" spans="1:10" ht="15.75" x14ac:dyDescent="0.25">
      <c r="A889" s="32">
        <v>67996</v>
      </c>
      <c r="B889" s="14">
        <f>62.6574 * CHOOSE(CONTROL!$C$15, $E$9, 100%, $G$9) + CHOOSE(CONTROL!$C$38, 0.0256, 0)</f>
        <v>62.683</v>
      </c>
      <c r="C889" s="14">
        <f>57.9097 * CHOOSE(CONTROL!$C$15, $E$9, 100%, $G$9) + CHOOSE(CONTROL!$C$38, 0.0347, 0)</f>
        <v>57.944400000000002</v>
      </c>
      <c r="D889" s="14">
        <f>57.9019 * CHOOSE(CONTROL!$C$15, $E$9, 100%, $G$9) + CHOOSE(CONTROL!$C$38, 0.0347, 0)</f>
        <v>57.936599999999999</v>
      </c>
      <c r="E889" s="46">
        <f>62.5011 * CHOOSE(CONTROL!$C$15, $E$9, 100%, $G$9) + CHOOSE(CONTROL!$C$38, 0.0347, 0)</f>
        <v>62.535800000000002</v>
      </c>
      <c r="F889" s="45">
        <f>62.5011 * CHOOSE(CONTROL!$C$15, $E$9, 100%, $G$9) + CHOOSE(CONTROL!$C$38, 0.0256, 0)</f>
        <v>62.526699999999998</v>
      </c>
      <c r="G889" s="14">
        <f>57.9081 * CHOOSE(CONTROL!$C$15, $E$9, 100%, $G$9) + CHOOSE(CONTROL!$C$38, 0.0347, 0)</f>
        <v>57.942799999999998</v>
      </c>
      <c r="H889" s="14">
        <f>57.9081 * CHOOSE(CONTROL!$C$15, $E$9, 100%, $G$9) + CHOOSE(CONTROL!$C$38, 0.0347, 0)</f>
        <v>57.942799999999998</v>
      </c>
      <c r="I889" s="14">
        <f>57.9097 * CHOOSE(CONTROL!$C$15, $E$9, 100%, $G$9) + CHOOSE(CONTROL!$C$38, 0.0347, 0)</f>
        <v>57.944400000000002</v>
      </c>
      <c r="J889" s="44">
        <f>502.0589</f>
        <v>502.05889999999999</v>
      </c>
    </row>
    <row r="890" spans="1:10" ht="15.75" x14ac:dyDescent="0.25">
      <c r="A890" s="32">
        <v>68027</v>
      </c>
      <c r="B890" s="14">
        <f>62.1463 * CHOOSE(CONTROL!$C$15, $E$9, 100%, $G$9) + CHOOSE(CONTROL!$C$38, 0.0256, 0)</f>
        <v>62.171899999999994</v>
      </c>
      <c r="C890" s="14">
        <f>57.3986 * CHOOSE(CONTROL!$C$15, $E$9, 100%, $G$9) + CHOOSE(CONTROL!$C$38, 0.0347, 0)</f>
        <v>57.433300000000003</v>
      </c>
      <c r="D890" s="14">
        <f>57.3908 * CHOOSE(CONTROL!$C$15, $E$9, 100%, $G$9) + CHOOSE(CONTROL!$C$38, 0.0347, 0)</f>
        <v>57.4255</v>
      </c>
      <c r="E890" s="46">
        <f>61.9901 * CHOOSE(CONTROL!$C$15, $E$9, 100%, $G$9) + CHOOSE(CONTROL!$C$38, 0.0347, 0)</f>
        <v>62.024799999999999</v>
      </c>
      <c r="F890" s="45">
        <f>61.9901 * CHOOSE(CONTROL!$C$15, $E$9, 100%, $G$9) + CHOOSE(CONTROL!$C$38, 0.0256, 0)</f>
        <v>62.015699999999995</v>
      </c>
      <c r="G890" s="14">
        <f>57.3971 * CHOOSE(CONTROL!$C$15, $E$9, 100%, $G$9) + CHOOSE(CONTROL!$C$38, 0.0347, 0)</f>
        <v>57.431800000000003</v>
      </c>
      <c r="H890" s="14">
        <f>57.3971 * CHOOSE(CONTROL!$C$15, $E$9, 100%, $G$9) + CHOOSE(CONTROL!$C$38, 0.0347, 0)</f>
        <v>57.431800000000003</v>
      </c>
      <c r="I890" s="14">
        <f>57.3986 * CHOOSE(CONTROL!$C$15, $E$9, 100%, $G$9) + CHOOSE(CONTROL!$C$38, 0.0347, 0)</f>
        <v>57.433300000000003</v>
      </c>
      <c r="J890" s="44">
        <f>528.5203</f>
        <v>528.52030000000002</v>
      </c>
    </row>
    <row r="891" spans="1:10" ht="15.75" x14ac:dyDescent="0.25">
      <c r="A891" s="32">
        <v>68057</v>
      </c>
      <c r="B891" s="14">
        <f>61.6512 * CHOOSE(CONTROL!$C$15, $E$9, 100%, $G$9) + CHOOSE(CONTROL!$C$38, 0.0256, 0)</f>
        <v>61.6768</v>
      </c>
      <c r="C891" s="14">
        <f>56.9035 * CHOOSE(CONTROL!$C$15, $E$9, 100%, $G$9) + CHOOSE(CONTROL!$C$38, 0.0347, 0)</f>
        <v>56.938200000000002</v>
      </c>
      <c r="D891" s="14">
        <f>56.8956 * CHOOSE(CONTROL!$C$15, $E$9, 100%, $G$9) + CHOOSE(CONTROL!$C$38, 0.0347, 0)</f>
        <v>56.930300000000003</v>
      </c>
      <c r="E891" s="46">
        <f>61.4949 * CHOOSE(CONTROL!$C$15, $E$9, 100%, $G$9) + CHOOSE(CONTROL!$C$38, 0.0347, 0)</f>
        <v>61.529600000000002</v>
      </c>
      <c r="F891" s="45">
        <f>61.4949 * CHOOSE(CONTROL!$C$15, $E$9, 100%, $G$9) + CHOOSE(CONTROL!$C$38, 0.0256, 0)</f>
        <v>61.520499999999998</v>
      </c>
      <c r="G891" s="14">
        <f>56.9019 * CHOOSE(CONTROL!$C$15, $E$9, 100%, $G$9) + CHOOSE(CONTROL!$C$38, 0.0347, 0)</f>
        <v>56.936599999999999</v>
      </c>
      <c r="H891" s="14">
        <f>56.9019 * CHOOSE(CONTROL!$C$15, $E$9, 100%, $G$9) + CHOOSE(CONTROL!$C$38, 0.0347, 0)</f>
        <v>56.936599999999999</v>
      </c>
      <c r="I891" s="14">
        <f>56.9035 * CHOOSE(CONTROL!$C$15, $E$9, 100%, $G$9) + CHOOSE(CONTROL!$C$38, 0.0347, 0)</f>
        <v>56.938200000000002</v>
      </c>
      <c r="J891" s="44">
        <f>562.8344</f>
        <v>562.83439999999996</v>
      </c>
    </row>
    <row r="892" spans="1:10" ht="15.75" x14ac:dyDescent="0.25">
      <c r="A892" s="32">
        <v>68088</v>
      </c>
      <c r="B892" s="14">
        <f>61.1351 * CHOOSE(CONTROL!$C$15, $E$9, 100%, $G$9) + CHOOSE(CONTROL!$C$38, 0.0278, 0)</f>
        <v>61.1629</v>
      </c>
      <c r="C892" s="14">
        <f>56.3873 * CHOOSE(CONTROL!$C$15, $E$9, 100%, $G$9) + CHOOSE(CONTROL!$C$38, 0.0369, 0)</f>
        <v>56.424200000000006</v>
      </c>
      <c r="D892" s="14">
        <f>56.3795 * CHOOSE(CONTROL!$C$15, $E$9, 100%, $G$9) + CHOOSE(CONTROL!$C$38, 0.0369, 0)</f>
        <v>56.416400000000003</v>
      </c>
      <c r="E892" s="46">
        <f>60.9788 * CHOOSE(CONTROL!$C$15, $E$9, 100%, $G$9) + CHOOSE(CONTROL!$C$38, 0.0369, 0)</f>
        <v>61.015700000000002</v>
      </c>
      <c r="F892" s="45">
        <f>60.9788 * CHOOSE(CONTROL!$C$15, $E$9, 100%, $G$9) + CHOOSE(CONTROL!$C$38, 0.0278, 0)</f>
        <v>61.006599999999999</v>
      </c>
      <c r="G892" s="14">
        <f>56.3858 * CHOOSE(CONTROL!$C$15, $E$9, 100%, $G$9) + CHOOSE(CONTROL!$C$38, 0.0369, 0)</f>
        <v>56.422700000000006</v>
      </c>
      <c r="H892" s="14">
        <f>56.3858 * CHOOSE(CONTROL!$C$15, $E$9, 100%, $G$9) + CHOOSE(CONTROL!$C$38, 0.0369, 0)</f>
        <v>56.422700000000006</v>
      </c>
      <c r="I892" s="14">
        <f>56.3873 * CHOOSE(CONTROL!$C$15, $E$9, 100%, $G$9) + CHOOSE(CONTROL!$C$38, 0.0369, 0)</f>
        <v>56.424200000000006</v>
      </c>
      <c r="J892" s="44">
        <f>581.722</f>
        <v>581.72199999999998</v>
      </c>
    </row>
    <row r="893" spans="1:10" ht="15.75" x14ac:dyDescent="0.25">
      <c r="A893" s="32">
        <v>68118</v>
      </c>
      <c r="B893" s="14">
        <f>60.7732 * CHOOSE(CONTROL!$C$15, $E$9, 100%, $G$9) + CHOOSE(CONTROL!$C$38, 0.0278, 0)</f>
        <v>60.801000000000002</v>
      </c>
      <c r="C893" s="14">
        <f>56.0255 * CHOOSE(CONTROL!$C$15, $E$9, 100%, $G$9) + CHOOSE(CONTROL!$C$38, 0.0369, 0)</f>
        <v>56.062400000000004</v>
      </c>
      <c r="D893" s="14">
        <f>56.0177 * CHOOSE(CONTROL!$C$15, $E$9, 100%, $G$9) + CHOOSE(CONTROL!$C$38, 0.0369, 0)</f>
        <v>56.054600000000001</v>
      </c>
      <c r="E893" s="46">
        <f>60.617 * CHOOSE(CONTROL!$C$15, $E$9, 100%, $G$9) + CHOOSE(CONTROL!$C$38, 0.0369, 0)</f>
        <v>60.6539</v>
      </c>
      <c r="F893" s="45">
        <f>60.617 * CHOOSE(CONTROL!$C$15, $E$9, 100%, $G$9) + CHOOSE(CONTROL!$C$38, 0.0278, 0)</f>
        <v>60.644799999999996</v>
      </c>
      <c r="G893" s="14">
        <f>56.024 * CHOOSE(CONTROL!$C$15, $E$9, 100%, $G$9) + CHOOSE(CONTROL!$C$38, 0.0369, 0)</f>
        <v>56.060900000000004</v>
      </c>
      <c r="H893" s="14">
        <f>56.024 * CHOOSE(CONTROL!$C$15, $E$9, 100%, $G$9) + CHOOSE(CONTROL!$C$38, 0.0369, 0)</f>
        <v>56.060900000000004</v>
      </c>
      <c r="I893" s="14">
        <f>56.0255 * CHOOSE(CONTROL!$C$15, $E$9, 100%, $G$9) + CHOOSE(CONTROL!$C$38, 0.0369, 0)</f>
        <v>56.062400000000004</v>
      </c>
      <c r="J893" s="44">
        <f>590.104</f>
        <v>590.10400000000004</v>
      </c>
    </row>
    <row r="894" spans="1:10" ht="15.75" x14ac:dyDescent="0.25">
      <c r="A894" s="32">
        <v>68149</v>
      </c>
      <c r="B894" s="14">
        <f>60.5667 * CHOOSE(CONTROL!$C$15, $E$9, 100%, $G$9) + CHOOSE(CONTROL!$C$38, 0.0278, 0)</f>
        <v>60.594499999999996</v>
      </c>
      <c r="C894" s="14">
        <f>55.819 * CHOOSE(CONTROL!$C$15, $E$9, 100%, $G$9) + CHOOSE(CONTROL!$C$38, 0.0369, 0)</f>
        <v>55.855900000000005</v>
      </c>
      <c r="D894" s="14">
        <f>55.8112 * CHOOSE(CONTROL!$C$15, $E$9, 100%, $G$9) + CHOOSE(CONTROL!$C$38, 0.0369, 0)</f>
        <v>55.848100000000002</v>
      </c>
      <c r="E894" s="46">
        <f>60.4105 * CHOOSE(CONTROL!$C$15, $E$9, 100%, $G$9) + CHOOSE(CONTROL!$C$38, 0.0369, 0)</f>
        <v>60.447400000000002</v>
      </c>
      <c r="F894" s="45">
        <f>60.4105 * CHOOSE(CONTROL!$C$15, $E$9, 100%, $G$9) + CHOOSE(CONTROL!$C$38, 0.0278, 0)</f>
        <v>60.438299999999998</v>
      </c>
      <c r="G894" s="14">
        <f>55.8175 * CHOOSE(CONTROL!$C$15, $E$9, 100%, $G$9) + CHOOSE(CONTROL!$C$38, 0.0369, 0)</f>
        <v>55.854400000000005</v>
      </c>
      <c r="H894" s="14">
        <f>55.8175 * CHOOSE(CONTROL!$C$15, $E$9, 100%, $G$9) + CHOOSE(CONTROL!$C$38, 0.0369, 0)</f>
        <v>55.854400000000005</v>
      </c>
      <c r="I894" s="14">
        <f>55.819 * CHOOSE(CONTROL!$C$15, $E$9, 100%, $G$9) + CHOOSE(CONTROL!$C$38, 0.0369, 0)</f>
        <v>55.855900000000005</v>
      </c>
      <c r="J894" s="44">
        <f>587.3443</f>
        <v>587.34429999999998</v>
      </c>
    </row>
    <row r="895" spans="1:10" ht="15.75" x14ac:dyDescent="0.25">
      <c r="A895" s="32">
        <v>68180</v>
      </c>
      <c r="B895" s="14">
        <f>60.6686 * CHOOSE(CONTROL!$C$15, $E$9, 100%, $G$9) + CHOOSE(CONTROL!$C$38, 0.0278, 0)</f>
        <v>60.696399999999997</v>
      </c>
      <c r="C895" s="14">
        <f>55.9209 * CHOOSE(CONTROL!$C$15, $E$9, 100%, $G$9) + CHOOSE(CONTROL!$C$38, 0.0369, 0)</f>
        <v>55.957800000000006</v>
      </c>
      <c r="D895" s="14">
        <f>55.9131 * CHOOSE(CONTROL!$C$15, $E$9, 100%, $G$9) + CHOOSE(CONTROL!$C$38, 0.0369, 0)</f>
        <v>55.95</v>
      </c>
      <c r="E895" s="46">
        <f>60.5124 * CHOOSE(CONTROL!$C$15, $E$9, 100%, $G$9) + CHOOSE(CONTROL!$C$38, 0.0369, 0)</f>
        <v>60.549300000000002</v>
      </c>
      <c r="F895" s="45">
        <f>60.5124 * CHOOSE(CONTROL!$C$15, $E$9, 100%, $G$9) + CHOOSE(CONTROL!$C$38, 0.0278, 0)</f>
        <v>60.540199999999999</v>
      </c>
      <c r="G895" s="14">
        <f>55.9194 * CHOOSE(CONTROL!$C$15, $E$9, 100%, $G$9) + CHOOSE(CONTROL!$C$38, 0.0369, 0)</f>
        <v>55.956300000000006</v>
      </c>
      <c r="H895" s="14">
        <f>55.9194 * CHOOSE(CONTROL!$C$15, $E$9, 100%, $G$9) + CHOOSE(CONTROL!$C$38, 0.0369, 0)</f>
        <v>55.956300000000006</v>
      </c>
      <c r="I895" s="14">
        <f>55.9209 * CHOOSE(CONTROL!$C$15, $E$9, 100%, $G$9) + CHOOSE(CONTROL!$C$38, 0.0369, 0)</f>
        <v>55.957800000000006</v>
      </c>
      <c r="J895" s="44">
        <f>573.6712</f>
        <v>573.6712</v>
      </c>
    </row>
    <row r="896" spans="1:10" ht="15.75" x14ac:dyDescent="0.25">
      <c r="A896" s="32">
        <v>68210</v>
      </c>
      <c r="B896" s="14">
        <f>60.9454 * CHOOSE(CONTROL!$C$15, $E$9, 100%, $G$9) + CHOOSE(CONTROL!$C$38, 0.0278, 0)</f>
        <v>60.973199999999999</v>
      </c>
      <c r="C896" s="14">
        <f>56.1977 * CHOOSE(CONTROL!$C$15, $E$9, 100%, $G$9) + CHOOSE(CONTROL!$C$38, 0.0369, 0)</f>
        <v>56.2346</v>
      </c>
      <c r="D896" s="14">
        <f>56.1899 * CHOOSE(CONTROL!$C$15, $E$9, 100%, $G$9) + CHOOSE(CONTROL!$C$38, 0.0369, 0)</f>
        <v>56.226800000000004</v>
      </c>
      <c r="E896" s="46">
        <f>60.7892 * CHOOSE(CONTROL!$C$15, $E$9, 100%, $G$9) + CHOOSE(CONTROL!$C$38, 0.0369, 0)</f>
        <v>60.826100000000004</v>
      </c>
      <c r="F896" s="45">
        <f>60.7892 * CHOOSE(CONTROL!$C$15, $E$9, 100%, $G$9) + CHOOSE(CONTROL!$C$38, 0.0278, 0)</f>
        <v>60.817</v>
      </c>
      <c r="G896" s="14">
        <f>56.1962 * CHOOSE(CONTROL!$C$15, $E$9, 100%, $G$9) + CHOOSE(CONTROL!$C$38, 0.0369, 0)</f>
        <v>56.2331</v>
      </c>
      <c r="H896" s="14">
        <f>56.1962 * CHOOSE(CONTROL!$C$15, $E$9, 100%, $G$9) + CHOOSE(CONTROL!$C$38, 0.0369, 0)</f>
        <v>56.2331</v>
      </c>
      <c r="I896" s="14">
        <f>56.1977 * CHOOSE(CONTROL!$C$15, $E$9, 100%, $G$9) + CHOOSE(CONTROL!$C$38, 0.0369, 0)</f>
        <v>56.2346</v>
      </c>
      <c r="J896" s="44">
        <f>554.6033</f>
        <v>554.60329999999999</v>
      </c>
    </row>
    <row r="897" spans="1:10" ht="15.75" x14ac:dyDescent="0.25">
      <c r="A897" s="32">
        <v>68241</v>
      </c>
      <c r="B897" s="14">
        <f>61.1773 * CHOOSE(CONTROL!$C$15, $E$9, 100%, $G$9) + CHOOSE(CONTROL!$C$38, 0.0256, 0)</f>
        <v>61.2029</v>
      </c>
      <c r="C897" s="14">
        <f>56.4296 * CHOOSE(CONTROL!$C$15, $E$9, 100%, $G$9) + CHOOSE(CONTROL!$C$38, 0.0347, 0)</f>
        <v>56.464300000000001</v>
      </c>
      <c r="D897" s="14">
        <f>56.4217 * CHOOSE(CONTROL!$C$15, $E$9, 100%, $G$9) + CHOOSE(CONTROL!$C$38, 0.0347, 0)</f>
        <v>56.456400000000002</v>
      </c>
      <c r="E897" s="46">
        <f>61.021 * CHOOSE(CONTROL!$C$15, $E$9, 100%, $G$9) + CHOOSE(CONTROL!$C$38, 0.0347, 0)</f>
        <v>61.055700000000002</v>
      </c>
      <c r="F897" s="45">
        <f>61.021 * CHOOSE(CONTROL!$C$15, $E$9, 100%, $G$9) + CHOOSE(CONTROL!$C$38, 0.0256, 0)</f>
        <v>61.046599999999998</v>
      </c>
      <c r="G897" s="14">
        <f>56.428 * CHOOSE(CONTROL!$C$15, $E$9, 100%, $G$9) + CHOOSE(CONTROL!$C$38, 0.0347, 0)</f>
        <v>56.462699999999998</v>
      </c>
      <c r="H897" s="14">
        <f>56.428 * CHOOSE(CONTROL!$C$15, $E$9, 100%, $G$9) + CHOOSE(CONTROL!$C$38, 0.0347, 0)</f>
        <v>56.462699999999998</v>
      </c>
      <c r="I897" s="14">
        <f>56.4296 * CHOOSE(CONTROL!$C$15, $E$9, 100%, $G$9) + CHOOSE(CONTROL!$C$38, 0.0347, 0)</f>
        <v>56.464300000000001</v>
      </c>
      <c r="J897" s="44">
        <f>535.4246</f>
        <v>535.42460000000005</v>
      </c>
    </row>
    <row r="898" spans="1:10" ht="15.75" x14ac:dyDescent="0.25">
      <c r="A898" s="32">
        <v>68271</v>
      </c>
      <c r="B898" s="14">
        <f>61.3707 * CHOOSE(CONTROL!$C$15, $E$9, 100%, $G$9) + CHOOSE(CONTROL!$C$38, 0.0256, 0)</f>
        <v>61.396299999999997</v>
      </c>
      <c r="C898" s="14">
        <f>56.623 * CHOOSE(CONTROL!$C$15, $E$9, 100%, $G$9) + CHOOSE(CONTROL!$C$38, 0.0347, 0)</f>
        <v>56.657699999999998</v>
      </c>
      <c r="D898" s="14">
        <f>56.6152 * CHOOSE(CONTROL!$C$15, $E$9, 100%, $G$9) + CHOOSE(CONTROL!$C$38, 0.0347, 0)</f>
        <v>56.649900000000002</v>
      </c>
      <c r="E898" s="46">
        <f>61.2145 * CHOOSE(CONTROL!$C$15, $E$9, 100%, $G$9) + CHOOSE(CONTROL!$C$38, 0.0347, 0)</f>
        <v>61.249200000000002</v>
      </c>
      <c r="F898" s="45">
        <f>61.2145 * CHOOSE(CONTROL!$C$15, $E$9, 100%, $G$9) + CHOOSE(CONTROL!$C$38, 0.0256, 0)</f>
        <v>61.240099999999998</v>
      </c>
      <c r="G898" s="14">
        <f>56.6214 * CHOOSE(CONTROL!$C$15, $E$9, 100%, $G$9) + CHOOSE(CONTROL!$C$38, 0.0347, 0)</f>
        <v>56.656100000000002</v>
      </c>
      <c r="H898" s="14">
        <f>56.6214 * CHOOSE(CONTROL!$C$15, $E$9, 100%, $G$9) + CHOOSE(CONTROL!$C$38, 0.0347, 0)</f>
        <v>56.656100000000002</v>
      </c>
      <c r="I898" s="14">
        <f>56.623 * CHOOSE(CONTROL!$C$15, $E$9, 100%, $G$9) + CHOOSE(CONTROL!$C$38, 0.0347, 0)</f>
        <v>56.657699999999998</v>
      </c>
      <c r="J898" s="44">
        <f>531.6095</f>
        <v>531.60950000000003</v>
      </c>
    </row>
    <row r="899" spans="1:10" ht="15.75" x14ac:dyDescent="0.25">
      <c r="A899" s="32">
        <v>68302</v>
      </c>
      <c r="B899" s="14">
        <f>61.9668 * CHOOSE(CONTROL!$C$15, $E$9, 100%, $G$9) + CHOOSE(CONTROL!$C$38, 0.0256, 0)</f>
        <v>61.992399999999996</v>
      </c>
      <c r="C899" s="14">
        <f>57.2191 * CHOOSE(CONTROL!$C$15, $E$9, 100%, $G$9) + CHOOSE(CONTROL!$C$38, 0.0347, 0)</f>
        <v>57.253799999999998</v>
      </c>
      <c r="D899" s="14">
        <f>57.2113 * CHOOSE(CONTROL!$C$15, $E$9, 100%, $G$9) + CHOOSE(CONTROL!$C$38, 0.0347, 0)</f>
        <v>57.246000000000002</v>
      </c>
      <c r="E899" s="46">
        <f>61.8105 * CHOOSE(CONTROL!$C$15, $E$9, 100%, $G$9) + CHOOSE(CONTROL!$C$38, 0.0347, 0)</f>
        <v>61.845199999999998</v>
      </c>
      <c r="F899" s="45">
        <f>61.8105 * CHOOSE(CONTROL!$C$15, $E$9, 100%, $G$9) + CHOOSE(CONTROL!$C$38, 0.0256, 0)</f>
        <v>61.836099999999995</v>
      </c>
      <c r="G899" s="14">
        <f>57.2175 * CHOOSE(CONTROL!$C$15, $E$9, 100%, $G$9) + CHOOSE(CONTROL!$C$38, 0.0347, 0)</f>
        <v>57.252200000000002</v>
      </c>
      <c r="H899" s="14">
        <f>57.2175 * CHOOSE(CONTROL!$C$15, $E$9, 100%, $G$9) + CHOOSE(CONTROL!$C$38, 0.0347, 0)</f>
        <v>57.252200000000002</v>
      </c>
      <c r="I899" s="14">
        <f>57.2191 * CHOOSE(CONTROL!$C$15, $E$9, 100%, $G$9) + CHOOSE(CONTROL!$C$38, 0.0347, 0)</f>
        <v>57.253799999999998</v>
      </c>
      <c r="J899" s="44">
        <f>515.834</f>
        <v>515.83399999999995</v>
      </c>
    </row>
    <row r="900" spans="1:10" ht="15.75" x14ac:dyDescent="0.25">
      <c r="A900" s="32">
        <v>68333</v>
      </c>
      <c r="B900" s="14">
        <f>63.4341 * CHOOSE(CONTROL!$C$15, $E$9, 100%, $G$9) + CHOOSE(CONTROL!$C$38, 0.0256, 0)</f>
        <v>63.459699999999998</v>
      </c>
      <c r="C900" s="14">
        <f>58.6111 * CHOOSE(CONTROL!$C$15, $E$9, 100%, $G$9) + CHOOSE(CONTROL!$C$38, 0.0347, 0)</f>
        <v>58.645800000000001</v>
      </c>
      <c r="D900" s="14">
        <f>58.6033 * CHOOSE(CONTROL!$C$15, $E$9, 100%, $G$9) + CHOOSE(CONTROL!$C$38, 0.0347, 0)</f>
        <v>58.637999999999998</v>
      </c>
      <c r="E900" s="46">
        <f>63.2779 * CHOOSE(CONTROL!$C$15, $E$9, 100%, $G$9) + CHOOSE(CONTROL!$C$38, 0.0347, 0)</f>
        <v>63.312600000000003</v>
      </c>
      <c r="F900" s="45">
        <f>63.2779 * CHOOSE(CONTROL!$C$15, $E$9, 100%, $G$9) + CHOOSE(CONTROL!$C$38, 0.0256, 0)</f>
        <v>63.3035</v>
      </c>
      <c r="G900" s="14">
        <f>58.6096 * CHOOSE(CONTROL!$C$15, $E$9, 100%, $G$9) + CHOOSE(CONTROL!$C$38, 0.0347, 0)</f>
        <v>58.644300000000001</v>
      </c>
      <c r="H900" s="14">
        <f>58.6096 * CHOOSE(CONTROL!$C$15, $E$9, 100%, $G$9) + CHOOSE(CONTROL!$C$38, 0.0347, 0)</f>
        <v>58.644300000000001</v>
      </c>
      <c r="I900" s="14">
        <f>58.6111 * CHOOSE(CONTROL!$C$15, $E$9, 100%, $G$9) + CHOOSE(CONTROL!$C$38, 0.0347, 0)</f>
        <v>58.645800000000001</v>
      </c>
      <c r="J900" s="44">
        <f>514.8488</f>
        <v>514.84879999999998</v>
      </c>
    </row>
    <row r="901" spans="1:10" ht="15.75" x14ac:dyDescent="0.25">
      <c r="A901" s="32">
        <v>68361</v>
      </c>
      <c r="B901" s="14">
        <f>63.6549 * CHOOSE(CONTROL!$C$15, $E$9, 100%, $G$9) + CHOOSE(CONTROL!$C$38, 0.0256, 0)</f>
        <v>63.680499999999995</v>
      </c>
      <c r="C901" s="14">
        <f>58.8319 * CHOOSE(CONTROL!$C$15, $E$9, 100%, $G$9) + CHOOSE(CONTROL!$C$38, 0.0347, 0)</f>
        <v>58.866599999999998</v>
      </c>
      <c r="D901" s="14">
        <f>58.8241 * CHOOSE(CONTROL!$C$15, $E$9, 100%, $G$9) + CHOOSE(CONTROL!$C$38, 0.0347, 0)</f>
        <v>58.858800000000002</v>
      </c>
      <c r="E901" s="46">
        <f>63.4986 * CHOOSE(CONTROL!$C$15, $E$9, 100%, $G$9) + CHOOSE(CONTROL!$C$38, 0.0347, 0)</f>
        <v>63.533300000000004</v>
      </c>
      <c r="F901" s="45">
        <f>63.4986 * CHOOSE(CONTROL!$C$15, $E$9, 100%, $G$9) + CHOOSE(CONTROL!$C$38, 0.0256, 0)</f>
        <v>63.5242</v>
      </c>
      <c r="G901" s="14">
        <f>58.8303 * CHOOSE(CONTROL!$C$15, $E$9, 100%, $G$9) + CHOOSE(CONTROL!$C$38, 0.0347, 0)</f>
        <v>58.865000000000002</v>
      </c>
      <c r="H901" s="14">
        <f>58.8303 * CHOOSE(CONTROL!$C$15, $E$9, 100%, $G$9) + CHOOSE(CONTROL!$C$38, 0.0347, 0)</f>
        <v>58.865000000000002</v>
      </c>
      <c r="I901" s="14">
        <f>58.8319 * CHOOSE(CONTROL!$C$15, $E$9, 100%, $G$9) + CHOOSE(CONTROL!$C$38, 0.0347, 0)</f>
        <v>58.866599999999998</v>
      </c>
      <c r="J901" s="44">
        <f>513.4177</f>
        <v>513.41769999999997</v>
      </c>
    </row>
    <row r="902" spans="1:10" ht="15.75" x14ac:dyDescent="0.25">
      <c r="A902" s="32">
        <v>68392</v>
      </c>
      <c r="B902" s="14">
        <f>63.1438 * CHOOSE(CONTROL!$C$15, $E$9, 100%, $G$9) + CHOOSE(CONTROL!$C$38, 0.0256, 0)</f>
        <v>63.169399999999996</v>
      </c>
      <c r="C902" s="14">
        <f>58.3209 * CHOOSE(CONTROL!$C$15, $E$9, 100%, $G$9) + CHOOSE(CONTROL!$C$38, 0.0347, 0)</f>
        <v>58.355600000000003</v>
      </c>
      <c r="D902" s="14">
        <f>58.313 * CHOOSE(CONTROL!$C$15, $E$9, 100%, $G$9) + CHOOSE(CONTROL!$C$38, 0.0347, 0)</f>
        <v>58.347700000000003</v>
      </c>
      <c r="E902" s="46">
        <f>62.9876 * CHOOSE(CONTROL!$C$15, $E$9, 100%, $G$9) + CHOOSE(CONTROL!$C$38, 0.0347, 0)</f>
        <v>63.022300000000001</v>
      </c>
      <c r="F902" s="45">
        <f>62.9876 * CHOOSE(CONTROL!$C$15, $E$9, 100%, $G$9) + CHOOSE(CONTROL!$C$38, 0.0256, 0)</f>
        <v>63.013199999999998</v>
      </c>
      <c r="G902" s="14">
        <f>58.3193 * CHOOSE(CONTROL!$C$15, $E$9, 100%, $G$9) + CHOOSE(CONTROL!$C$38, 0.0347, 0)</f>
        <v>58.353999999999999</v>
      </c>
      <c r="H902" s="14">
        <f>58.3193 * CHOOSE(CONTROL!$C$15, $E$9, 100%, $G$9) + CHOOSE(CONTROL!$C$38, 0.0347, 0)</f>
        <v>58.353999999999999</v>
      </c>
      <c r="I902" s="14">
        <f>58.3209 * CHOOSE(CONTROL!$C$15, $E$9, 100%, $G$9) + CHOOSE(CONTROL!$C$38, 0.0347, 0)</f>
        <v>58.355600000000003</v>
      </c>
      <c r="J902" s="44">
        <f>540.4778</f>
        <v>540.4778</v>
      </c>
    </row>
    <row r="903" spans="1:10" ht="15.75" x14ac:dyDescent="0.25">
      <c r="A903" s="32">
        <v>68422</v>
      </c>
      <c r="B903" s="14">
        <f>62.6487 * CHOOSE(CONTROL!$C$15, $E$9, 100%, $G$9) + CHOOSE(CONTROL!$C$38, 0.0256, 0)</f>
        <v>62.674299999999995</v>
      </c>
      <c r="C903" s="14">
        <f>57.8257 * CHOOSE(CONTROL!$C$15, $E$9, 100%, $G$9) + CHOOSE(CONTROL!$C$38, 0.0347, 0)</f>
        <v>57.860399999999998</v>
      </c>
      <c r="D903" s="14">
        <f>57.8179 * CHOOSE(CONTROL!$C$15, $E$9, 100%, $G$9) + CHOOSE(CONTROL!$C$38, 0.0347, 0)</f>
        <v>57.852600000000002</v>
      </c>
      <c r="E903" s="46">
        <f>62.4924 * CHOOSE(CONTROL!$C$15, $E$9, 100%, $G$9) + CHOOSE(CONTROL!$C$38, 0.0347, 0)</f>
        <v>62.527100000000004</v>
      </c>
      <c r="F903" s="45">
        <f>62.4924 * CHOOSE(CONTROL!$C$15, $E$9, 100%, $G$9) + CHOOSE(CONTROL!$C$38, 0.0256, 0)</f>
        <v>62.518000000000001</v>
      </c>
      <c r="G903" s="14">
        <f>57.8241 * CHOOSE(CONTROL!$C$15, $E$9, 100%, $G$9) + CHOOSE(CONTROL!$C$38, 0.0347, 0)</f>
        <v>57.858800000000002</v>
      </c>
      <c r="H903" s="14">
        <f>57.8241 * CHOOSE(CONTROL!$C$15, $E$9, 100%, $G$9) + CHOOSE(CONTROL!$C$38, 0.0347, 0)</f>
        <v>57.858800000000002</v>
      </c>
      <c r="I903" s="14">
        <f>57.8257 * CHOOSE(CONTROL!$C$15, $E$9, 100%, $G$9) + CHOOSE(CONTROL!$C$38, 0.0347, 0)</f>
        <v>57.860399999999998</v>
      </c>
      <c r="J903" s="44">
        <f>575.5683</f>
        <v>575.56830000000002</v>
      </c>
    </row>
    <row r="904" spans="1:10" ht="15.75" x14ac:dyDescent="0.25">
      <c r="A904" s="32">
        <v>68453</v>
      </c>
      <c r="B904" s="14">
        <f>62.1326 * CHOOSE(CONTROL!$C$15, $E$9, 100%, $G$9) + CHOOSE(CONTROL!$C$38, 0.0278, 0)</f>
        <v>62.160399999999996</v>
      </c>
      <c r="C904" s="14">
        <f>57.3096 * CHOOSE(CONTROL!$C$15, $E$9, 100%, $G$9) + CHOOSE(CONTROL!$C$38, 0.0369, 0)</f>
        <v>57.346500000000006</v>
      </c>
      <c r="D904" s="14">
        <f>57.3018 * CHOOSE(CONTROL!$C$15, $E$9, 100%, $G$9) + CHOOSE(CONTROL!$C$38, 0.0369, 0)</f>
        <v>57.338700000000003</v>
      </c>
      <c r="E904" s="46">
        <f>61.9763 * CHOOSE(CONTROL!$C$15, $E$9, 100%, $G$9) + CHOOSE(CONTROL!$C$38, 0.0369, 0)</f>
        <v>62.013200000000005</v>
      </c>
      <c r="F904" s="45">
        <f>61.9763 * CHOOSE(CONTROL!$C$15, $E$9, 100%, $G$9) + CHOOSE(CONTROL!$C$38, 0.0278, 0)</f>
        <v>62.004100000000001</v>
      </c>
      <c r="G904" s="14">
        <f>57.308 * CHOOSE(CONTROL!$C$15, $E$9, 100%, $G$9) + CHOOSE(CONTROL!$C$38, 0.0369, 0)</f>
        <v>57.344900000000003</v>
      </c>
      <c r="H904" s="14">
        <f>57.308 * CHOOSE(CONTROL!$C$15, $E$9, 100%, $G$9) + CHOOSE(CONTROL!$C$38, 0.0369, 0)</f>
        <v>57.344900000000003</v>
      </c>
      <c r="I904" s="14">
        <f>57.3096 * CHOOSE(CONTROL!$C$15, $E$9, 100%, $G$9) + CHOOSE(CONTROL!$C$38, 0.0369, 0)</f>
        <v>57.346500000000006</v>
      </c>
      <c r="J904" s="44">
        <f>594.8832</f>
        <v>594.88319999999999</v>
      </c>
    </row>
    <row r="905" spans="1:10" ht="15.75" x14ac:dyDescent="0.25">
      <c r="A905" s="32">
        <v>68483</v>
      </c>
      <c r="B905" s="14">
        <f>61.7707 * CHOOSE(CONTROL!$C$15, $E$9, 100%, $G$9) + CHOOSE(CONTROL!$C$38, 0.0278, 0)</f>
        <v>61.798499999999997</v>
      </c>
      <c r="C905" s="14">
        <f>56.9477 * CHOOSE(CONTROL!$C$15, $E$9, 100%, $G$9) + CHOOSE(CONTROL!$C$38, 0.0369, 0)</f>
        <v>56.9846</v>
      </c>
      <c r="D905" s="14">
        <f>56.9399 * CHOOSE(CONTROL!$C$15, $E$9, 100%, $G$9) + CHOOSE(CONTROL!$C$38, 0.0369, 0)</f>
        <v>56.976800000000004</v>
      </c>
      <c r="E905" s="46">
        <f>61.6145 * CHOOSE(CONTROL!$C$15, $E$9, 100%, $G$9) + CHOOSE(CONTROL!$C$38, 0.0369, 0)</f>
        <v>61.651400000000002</v>
      </c>
      <c r="F905" s="45">
        <f>61.6145 * CHOOSE(CONTROL!$C$15, $E$9, 100%, $G$9) + CHOOSE(CONTROL!$C$38, 0.0278, 0)</f>
        <v>61.642299999999999</v>
      </c>
      <c r="G905" s="14">
        <f>56.9462 * CHOOSE(CONTROL!$C$15, $E$9, 100%, $G$9) + CHOOSE(CONTROL!$C$38, 0.0369, 0)</f>
        <v>56.9831</v>
      </c>
      <c r="H905" s="14">
        <f>56.9462 * CHOOSE(CONTROL!$C$15, $E$9, 100%, $G$9) + CHOOSE(CONTROL!$C$38, 0.0369, 0)</f>
        <v>56.9831</v>
      </c>
      <c r="I905" s="14">
        <f>56.9477 * CHOOSE(CONTROL!$C$15, $E$9, 100%, $G$9) + CHOOSE(CONTROL!$C$38, 0.0369, 0)</f>
        <v>56.9846</v>
      </c>
      <c r="J905" s="44">
        <f>603.4548</f>
        <v>603.45479999999998</v>
      </c>
    </row>
    <row r="906" spans="1:10" ht="15.75" x14ac:dyDescent="0.25">
      <c r="A906" s="32">
        <v>68514</v>
      </c>
      <c r="B906" s="14">
        <f>61.5642 * CHOOSE(CONTROL!$C$15, $E$9, 100%, $G$9) + CHOOSE(CONTROL!$C$38, 0.0278, 0)</f>
        <v>61.591999999999999</v>
      </c>
      <c r="C906" s="14">
        <f>56.7412 * CHOOSE(CONTROL!$C$15, $E$9, 100%, $G$9) + CHOOSE(CONTROL!$C$38, 0.0369, 0)</f>
        <v>56.778100000000002</v>
      </c>
      <c r="D906" s="14">
        <f>56.7334 * CHOOSE(CONTROL!$C$15, $E$9, 100%, $G$9) + CHOOSE(CONTROL!$C$38, 0.0369, 0)</f>
        <v>56.770300000000006</v>
      </c>
      <c r="E906" s="46">
        <f>61.408 * CHOOSE(CONTROL!$C$15, $E$9, 100%, $G$9) + CHOOSE(CONTROL!$C$38, 0.0369, 0)</f>
        <v>61.444900000000004</v>
      </c>
      <c r="F906" s="45">
        <f>61.408 * CHOOSE(CONTROL!$C$15, $E$9, 100%, $G$9) + CHOOSE(CONTROL!$C$38, 0.0278, 0)</f>
        <v>61.4358</v>
      </c>
      <c r="G906" s="14">
        <f>56.7397 * CHOOSE(CONTROL!$C$15, $E$9, 100%, $G$9) + CHOOSE(CONTROL!$C$38, 0.0369, 0)</f>
        <v>56.776600000000002</v>
      </c>
      <c r="H906" s="14">
        <f>56.7397 * CHOOSE(CONTROL!$C$15, $E$9, 100%, $G$9) + CHOOSE(CONTROL!$C$38, 0.0369, 0)</f>
        <v>56.776600000000002</v>
      </c>
      <c r="I906" s="14">
        <f>56.7412 * CHOOSE(CONTROL!$C$15, $E$9, 100%, $G$9) + CHOOSE(CONTROL!$C$38, 0.0369, 0)</f>
        <v>56.778100000000002</v>
      </c>
      <c r="J906" s="44">
        <f>600.6327</f>
        <v>600.6327</v>
      </c>
    </row>
    <row r="907" spans="1:10" ht="15.75" x14ac:dyDescent="0.25">
      <c r="A907" s="32">
        <v>68545</v>
      </c>
      <c r="B907" s="14">
        <f>61.6661 * CHOOSE(CONTROL!$C$15, $E$9, 100%, $G$9) + CHOOSE(CONTROL!$C$38, 0.0278, 0)</f>
        <v>61.693899999999999</v>
      </c>
      <c r="C907" s="14">
        <f>56.8432 * CHOOSE(CONTROL!$C$15, $E$9, 100%, $G$9) + CHOOSE(CONTROL!$C$38, 0.0369, 0)</f>
        <v>56.880100000000006</v>
      </c>
      <c r="D907" s="14">
        <f>56.8353 * CHOOSE(CONTROL!$C$15, $E$9, 100%, $G$9) + CHOOSE(CONTROL!$C$38, 0.0369, 0)</f>
        <v>56.872199999999999</v>
      </c>
      <c r="E907" s="46">
        <f>61.5099 * CHOOSE(CONTROL!$C$15, $E$9, 100%, $G$9) + CHOOSE(CONTROL!$C$38, 0.0369, 0)</f>
        <v>61.546800000000005</v>
      </c>
      <c r="F907" s="45">
        <f>61.5099 * CHOOSE(CONTROL!$C$15, $E$9, 100%, $G$9) + CHOOSE(CONTROL!$C$38, 0.0278, 0)</f>
        <v>61.537700000000001</v>
      </c>
      <c r="G907" s="14">
        <f>56.8416 * CHOOSE(CONTROL!$C$15, $E$9, 100%, $G$9) + CHOOSE(CONTROL!$C$38, 0.0369, 0)</f>
        <v>56.878500000000003</v>
      </c>
      <c r="H907" s="14">
        <f>56.8416 * CHOOSE(CONTROL!$C$15, $E$9, 100%, $G$9) + CHOOSE(CONTROL!$C$38, 0.0369, 0)</f>
        <v>56.878500000000003</v>
      </c>
      <c r="I907" s="14">
        <f>56.8432 * CHOOSE(CONTROL!$C$15, $E$9, 100%, $G$9) + CHOOSE(CONTROL!$C$38, 0.0369, 0)</f>
        <v>56.880100000000006</v>
      </c>
      <c r="J907" s="44">
        <f>586.6502</f>
        <v>586.65020000000004</v>
      </c>
    </row>
    <row r="908" spans="1:10" ht="15.75" x14ac:dyDescent="0.25">
      <c r="A908" s="32">
        <v>68575</v>
      </c>
      <c r="B908" s="14">
        <f>61.9429 * CHOOSE(CONTROL!$C$15, $E$9, 100%, $G$9) + CHOOSE(CONTROL!$C$38, 0.0278, 0)</f>
        <v>61.970700000000001</v>
      </c>
      <c r="C908" s="14">
        <f>57.1199 * CHOOSE(CONTROL!$C$15, $E$9, 100%, $G$9) + CHOOSE(CONTROL!$C$38, 0.0369, 0)</f>
        <v>57.156800000000004</v>
      </c>
      <c r="D908" s="14">
        <f>57.1121 * CHOOSE(CONTROL!$C$15, $E$9, 100%, $G$9) + CHOOSE(CONTROL!$C$38, 0.0369, 0)</f>
        <v>57.149000000000001</v>
      </c>
      <c r="E908" s="46">
        <f>61.7867 * CHOOSE(CONTROL!$C$15, $E$9, 100%, $G$9) + CHOOSE(CONTROL!$C$38, 0.0369, 0)</f>
        <v>61.823600000000006</v>
      </c>
      <c r="F908" s="45">
        <f>61.7867 * CHOOSE(CONTROL!$C$15, $E$9, 100%, $G$9) + CHOOSE(CONTROL!$C$38, 0.0278, 0)</f>
        <v>61.814500000000002</v>
      </c>
      <c r="G908" s="14">
        <f>57.1184 * CHOOSE(CONTROL!$C$15, $E$9, 100%, $G$9) + CHOOSE(CONTROL!$C$38, 0.0369, 0)</f>
        <v>57.155300000000004</v>
      </c>
      <c r="H908" s="14">
        <f>57.1184 * CHOOSE(CONTROL!$C$15, $E$9, 100%, $G$9) + CHOOSE(CONTROL!$C$38, 0.0369, 0)</f>
        <v>57.155300000000004</v>
      </c>
      <c r="I908" s="14">
        <f>57.1199 * CHOOSE(CONTROL!$C$15, $E$9, 100%, $G$9) + CHOOSE(CONTROL!$C$38, 0.0369, 0)</f>
        <v>57.156800000000004</v>
      </c>
      <c r="J908" s="44">
        <f>567.1509</f>
        <v>567.15089999999998</v>
      </c>
    </row>
    <row r="909" spans="1:10" ht="15.75" x14ac:dyDescent="0.25">
      <c r="A909" s="32">
        <v>68606</v>
      </c>
      <c r="B909" s="14">
        <f>62.1748 * CHOOSE(CONTROL!$C$15, $E$9, 100%, $G$9) + CHOOSE(CONTROL!$C$38, 0.0256, 0)</f>
        <v>62.200399999999995</v>
      </c>
      <c r="C909" s="14">
        <f>57.3518 * CHOOSE(CONTROL!$C$15, $E$9, 100%, $G$9) + CHOOSE(CONTROL!$C$38, 0.0347, 0)</f>
        <v>57.386499999999998</v>
      </c>
      <c r="D909" s="14">
        <f>57.344 * CHOOSE(CONTROL!$C$15, $E$9, 100%, $G$9) + CHOOSE(CONTROL!$C$38, 0.0347, 0)</f>
        <v>57.378700000000002</v>
      </c>
      <c r="E909" s="46">
        <f>62.0185 * CHOOSE(CONTROL!$C$15, $E$9, 100%, $G$9) + CHOOSE(CONTROL!$C$38, 0.0347, 0)</f>
        <v>62.053200000000004</v>
      </c>
      <c r="F909" s="45">
        <f>62.0185 * CHOOSE(CONTROL!$C$15, $E$9, 100%, $G$9) + CHOOSE(CONTROL!$C$38, 0.0256, 0)</f>
        <v>62.0441</v>
      </c>
      <c r="G909" s="14">
        <f>57.3502 * CHOOSE(CONTROL!$C$15, $E$9, 100%, $G$9) + CHOOSE(CONTROL!$C$38, 0.0347, 0)</f>
        <v>57.384900000000002</v>
      </c>
      <c r="H909" s="14">
        <f>57.3502 * CHOOSE(CONTROL!$C$15, $E$9, 100%, $G$9) + CHOOSE(CONTROL!$C$38, 0.0347, 0)</f>
        <v>57.384900000000002</v>
      </c>
      <c r="I909" s="14">
        <f>57.3518 * CHOOSE(CONTROL!$C$15, $E$9, 100%, $G$9) + CHOOSE(CONTROL!$C$38, 0.0347, 0)</f>
        <v>57.386499999999998</v>
      </c>
      <c r="J909" s="44">
        <f>547.5383</f>
        <v>547.53830000000005</v>
      </c>
    </row>
    <row r="910" spans="1:10" ht="15.75" x14ac:dyDescent="0.25">
      <c r="A910" s="32">
        <v>68636</v>
      </c>
      <c r="B910" s="14">
        <f>62.3682 * CHOOSE(CONTROL!$C$15, $E$9, 100%, $G$9) + CHOOSE(CONTROL!$C$38, 0.0256, 0)</f>
        <v>62.393799999999999</v>
      </c>
      <c r="C910" s="14">
        <f>57.5452 * CHOOSE(CONTROL!$C$15, $E$9, 100%, $G$9) + CHOOSE(CONTROL!$C$38, 0.0347, 0)</f>
        <v>57.579900000000002</v>
      </c>
      <c r="D910" s="14">
        <f>57.5374 * CHOOSE(CONTROL!$C$15, $E$9, 100%, $G$9) + CHOOSE(CONTROL!$C$38, 0.0347, 0)</f>
        <v>57.572099999999999</v>
      </c>
      <c r="E910" s="46">
        <f>62.212 * CHOOSE(CONTROL!$C$15, $E$9, 100%, $G$9) + CHOOSE(CONTROL!$C$38, 0.0347, 0)</f>
        <v>62.246700000000004</v>
      </c>
      <c r="F910" s="45">
        <f>62.212 * CHOOSE(CONTROL!$C$15, $E$9, 100%, $G$9) + CHOOSE(CONTROL!$C$38, 0.0256, 0)</f>
        <v>62.2376</v>
      </c>
      <c r="G910" s="14">
        <f>57.5437 * CHOOSE(CONTROL!$C$15, $E$9, 100%, $G$9) + CHOOSE(CONTROL!$C$38, 0.0347, 0)</f>
        <v>57.578400000000002</v>
      </c>
      <c r="H910" s="14">
        <f>57.5437 * CHOOSE(CONTROL!$C$15, $E$9, 100%, $G$9) + CHOOSE(CONTROL!$C$38, 0.0347, 0)</f>
        <v>57.578400000000002</v>
      </c>
      <c r="I910" s="14">
        <f>57.5452 * CHOOSE(CONTROL!$C$15, $E$9, 100%, $G$9) + CHOOSE(CONTROL!$C$38, 0.0347, 0)</f>
        <v>57.579900000000002</v>
      </c>
      <c r="J910" s="44">
        <f>543.6369</f>
        <v>543.63689999999997</v>
      </c>
    </row>
    <row r="911" spans="1:10" ht="15.75" x14ac:dyDescent="0.25">
      <c r="A911" s="32">
        <v>68667</v>
      </c>
      <c r="B911" s="14">
        <f>62.9643 * CHOOSE(CONTROL!$C$15, $E$9, 100%, $G$9) + CHOOSE(CONTROL!$C$38, 0.0256, 0)</f>
        <v>62.989899999999999</v>
      </c>
      <c r="C911" s="14">
        <f>58.1413 * CHOOSE(CONTROL!$C$15, $E$9, 100%, $G$9) + CHOOSE(CONTROL!$C$38, 0.0347, 0)</f>
        <v>58.176000000000002</v>
      </c>
      <c r="D911" s="14">
        <f>58.1335 * CHOOSE(CONTROL!$C$15, $E$9, 100%, $G$9) + CHOOSE(CONTROL!$C$38, 0.0347, 0)</f>
        <v>58.168199999999999</v>
      </c>
      <c r="E911" s="46">
        <f>62.808 * CHOOSE(CONTROL!$C$15, $E$9, 100%, $G$9) + CHOOSE(CONTROL!$C$38, 0.0347, 0)</f>
        <v>62.842700000000001</v>
      </c>
      <c r="F911" s="45">
        <f>62.808 * CHOOSE(CONTROL!$C$15, $E$9, 100%, $G$9) + CHOOSE(CONTROL!$C$38, 0.0256, 0)</f>
        <v>62.833599999999997</v>
      </c>
      <c r="G911" s="14">
        <f>58.1397 * CHOOSE(CONTROL!$C$15, $E$9, 100%, $G$9) + CHOOSE(CONTROL!$C$38, 0.0347, 0)</f>
        <v>58.174399999999999</v>
      </c>
      <c r="H911" s="14">
        <f>58.1397 * CHOOSE(CONTROL!$C$15, $E$9, 100%, $G$9) + CHOOSE(CONTROL!$C$38, 0.0347, 0)</f>
        <v>58.174399999999999</v>
      </c>
      <c r="I911" s="14">
        <f>58.1413 * CHOOSE(CONTROL!$C$15, $E$9, 100%, $G$9) + CHOOSE(CONTROL!$C$38, 0.0347, 0)</f>
        <v>58.176000000000002</v>
      </c>
      <c r="J911" s="44">
        <f>527.5045</f>
        <v>527.50450000000001</v>
      </c>
    </row>
    <row r="912" spans="1:10" ht="15.75" x14ac:dyDescent="0.25">
      <c r="A912" s="32">
        <v>68698</v>
      </c>
      <c r="B912" s="14">
        <f>64.448 * CHOOSE(CONTROL!$C$15, $E$9, 100%, $G$9) + CHOOSE(CONTROL!$C$38, 0.0256, 0)</f>
        <v>64.47359999999999</v>
      </c>
      <c r="C912" s="14">
        <f>59.5485 * CHOOSE(CONTROL!$C$15, $E$9, 100%, $G$9) + CHOOSE(CONTROL!$C$38, 0.0347, 0)</f>
        <v>59.583199999999998</v>
      </c>
      <c r="D912" s="14">
        <f>59.5407 * CHOOSE(CONTROL!$C$15, $E$9, 100%, $G$9) + CHOOSE(CONTROL!$C$38, 0.0347, 0)</f>
        <v>59.575400000000002</v>
      </c>
      <c r="E912" s="46">
        <f>64.2917 * CHOOSE(CONTROL!$C$15, $E$9, 100%, $G$9) + CHOOSE(CONTROL!$C$38, 0.0347, 0)</f>
        <v>64.326400000000007</v>
      </c>
      <c r="F912" s="45">
        <f>64.2917 * CHOOSE(CONTROL!$C$15, $E$9, 100%, $G$9) + CHOOSE(CONTROL!$C$38, 0.0256, 0)</f>
        <v>64.317300000000003</v>
      </c>
      <c r="G912" s="14">
        <f>59.5469 * CHOOSE(CONTROL!$C$15, $E$9, 100%, $G$9) + CHOOSE(CONTROL!$C$38, 0.0347, 0)</f>
        <v>59.581600000000002</v>
      </c>
      <c r="H912" s="14">
        <f>59.5469 * CHOOSE(CONTROL!$C$15, $E$9, 100%, $G$9) + CHOOSE(CONTROL!$C$38, 0.0347, 0)</f>
        <v>59.581600000000002</v>
      </c>
      <c r="I912" s="14">
        <f>59.5485 * CHOOSE(CONTROL!$C$15, $E$9, 100%, $G$9) + CHOOSE(CONTROL!$C$38, 0.0347, 0)</f>
        <v>59.583199999999998</v>
      </c>
      <c r="J912" s="44">
        <f>526.497</f>
        <v>526.49699999999996</v>
      </c>
    </row>
    <row r="913" spans="1:10" ht="15.75" x14ac:dyDescent="0.25">
      <c r="A913" s="32">
        <v>68727</v>
      </c>
      <c r="B913" s="14">
        <f>64.6687 * CHOOSE(CONTROL!$C$15, $E$9, 100%, $G$9) + CHOOSE(CONTROL!$C$38, 0.0256, 0)</f>
        <v>64.694299999999998</v>
      </c>
      <c r="C913" s="14">
        <f>59.7692 * CHOOSE(CONTROL!$C$15, $E$9, 100%, $G$9) + CHOOSE(CONTROL!$C$38, 0.0347, 0)</f>
        <v>59.803899999999999</v>
      </c>
      <c r="D913" s="14">
        <f>59.7614 * CHOOSE(CONTROL!$C$15, $E$9, 100%, $G$9) + CHOOSE(CONTROL!$C$38, 0.0347, 0)</f>
        <v>59.796100000000003</v>
      </c>
      <c r="E913" s="46">
        <f>64.5125 * CHOOSE(CONTROL!$C$15, $E$9, 100%, $G$9) + CHOOSE(CONTROL!$C$38, 0.0347, 0)</f>
        <v>64.547200000000004</v>
      </c>
      <c r="F913" s="45">
        <f>64.5125 * CHOOSE(CONTROL!$C$15, $E$9, 100%, $G$9) + CHOOSE(CONTROL!$C$38, 0.0256, 0)</f>
        <v>64.5381</v>
      </c>
      <c r="G913" s="14">
        <f>59.7677 * CHOOSE(CONTROL!$C$15, $E$9, 100%, $G$9) + CHOOSE(CONTROL!$C$38, 0.0347, 0)</f>
        <v>59.802399999999999</v>
      </c>
      <c r="H913" s="14">
        <f>59.7677 * CHOOSE(CONTROL!$C$15, $E$9, 100%, $G$9) + CHOOSE(CONTROL!$C$38, 0.0347, 0)</f>
        <v>59.802399999999999</v>
      </c>
      <c r="I913" s="14">
        <f>59.7692 * CHOOSE(CONTROL!$C$15, $E$9, 100%, $G$9) + CHOOSE(CONTROL!$C$38, 0.0347, 0)</f>
        <v>59.803899999999999</v>
      </c>
      <c r="J913" s="44">
        <f>525.0336</f>
        <v>525.03359999999998</v>
      </c>
    </row>
    <row r="914" spans="1:10" ht="15.75" x14ac:dyDescent="0.25">
      <c r="A914" s="32">
        <v>68758</v>
      </c>
      <c r="B914" s="14">
        <f>64.1577 * CHOOSE(CONTROL!$C$15, $E$9, 100%, $G$9) + CHOOSE(CONTROL!$C$38, 0.0256, 0)</f>
        <v>64.183300000000003</v>
      </c>
      <c r="C914" s="14">
        <f>59.2582 * CHOOSE(CONTROL!$C$15, $E$9, 100%, $G$9) + CHOOSE(CONTROL!$C$38, 0.0347, 0)</f>
        <v>59.292900000000003</v>
      </c>
      <c r="D914" s="14">
        <f>59.2504 * CHOOSE(CONTROL!$C$15, $E$9, 100%, $G$9) + CHOOSE(CONTROL!$C$38, 0.0347, 0)</f>
        <v>59.2851</v>
      </c>
      <c r="E914" s="46">
        <f>64.0014 * CHOOSE(CONTROL!$C$15, $E$9, 100%, $G$9) + CHOOSE(CONTROL!$C$38, 0.0347, 0)</f>
        <v>64.036100000000005</v>
      </c>
      <c r="F914" s="45">
        <f>64.0014 * CHOOSE(CONTROL!$C$15, $E$9, 100%, $G$9) + CHOOSE(CONTROL!$C$38, 0.0256, 0)</f>
        <v>64.027000000000001</v>
      </c>
      <c r="G914" s="14">
        <f>59.2566 * CHOOSE(CONTROL!$C$15, $E$9, 100%, $G$9) + CHOOSE(CONTROL!$C$38, 0.0347, 0)</f>
        <v>59.2913</v>
      </c>
      <c r="H914" s="14">
        <f>59.2566 * CHOOSE(CONTROL!$C$15, $E$9, 100%, $G$9) + CHOOSE(CONTROL!$C$38, 0.0347, 0)</f>
        <v>59.2913</v>
      </c>
      <c r="I914" s="14">
        <f>59.2582 * CHOOSE(CONTROL!$C$15, $E$9, 100%, $G$9) + CHOOSE(CONTROL!$C$38, 0.0347, 0)</f>
        <v>59.292900000000003</v>
      </c>
      <c r="J914" s="44">
        <f>552.7059</f>
        <v>552.70590000000004</v>
      </c>
    </row>
    <row r="915" spans="1:10" ht="15.75" x14ac:dyDescent="0.25">
      <c r="A915" s="32">
        <v>68788</v>
      </c>
      <c r="B915" s="14">
        <f>63.6625 * CHOOSE(CONTROL!$C$15, $E$9, 100%, $G$9) + CHOOSE(CONTROL!$C$38, 0.0256, 0)</f>
        <v>63.688099999999999</v>
      </c>
      <c r="C915" s="14">
        <f>58.763 * CHOOSE(CONTROL!$C$15, $E$9, 100%, $G$9) + CHOOSE(CONTROL!$C$38, 0.0347, 0)</f>
        <v>58.797699999999999</v>
      </c>
      <c r="D915" s="14">
        <f>58.7552 * CHOOSE(CONTROL!$C$15, $E$9, 100%, $G$9) + CHOOSE(CONTROL!$C$38, 0.0347, 0)</f>
        <v>58.789900000000003</v>
      </c>
      <c r="E915" s="46">
        <f>63.5063 * CHOOSE(CONTROL!$C$15, $E$9, 100%, $G$9) + CHOOSE(CONTROL!$C$38, 0.0347, 0)</f>
        <v>63.541000000000004</v>
      </c>
      <c r="F915" s="45">
        <f>63.5063 * CHOOSE(CONTROL!$C$15, $E$9, 100%, $G$9) + CHOOSE(CONTROL!$C$38, 0.0256, 0)</f>
        <v>63.5319</v>
      </c>
      <c r="G915" s="14">
        <f>58.7615 * CHOOSE(CONTROL!$C$15, $E$9, 100%, $G$9) + CHOOSE(CONTROL!$C$38, 0.0347, 0)</f>
        <v>58.796199999999999</v>
      </c>
      <c r="H915" s="14">
        <f>58.7615 * CHOOSE(CONTROL!$C$15, $E$9, 100%, $G$9) + CHOOSE(CONTROL!$C$38, 0.0347, 0)</f>
        <v>58.796199999999999</v>
      </c>
      <c r="I915" s="14">
        <f>58.763 * CHOOSE(CONTROL!$C$15, $E$9, 100%, $G$9) + CHOOSE(CONTROL!$C$38, 0.0347, 0)</f>
        <v>58.797699999999999</v>
      </c>
      <c r="J915" s="44">
        <f>588.5902</f>
        <v>588.59019999999998</v>
      </c>
    </row>
    <row r="916" spans="1:10" ht="15.75" x14ac:dyDescent="0.25">
      <c r="A916" s="32">
        <v>68819</v>
      </c>
      <c r="B916" s="14">
        <f>63.1464 * CHOOSE(CONTROL!$C$15, $E$9, 100%, $G$9) + CHOOSE(CONTROL!$C$38, 0.0278, 0)</f>
        <v>63.174199999999999</v>
      </c>
      <c r="C916" s="14">
        <f>58.2469 * CHOOSE(CONTROL!$C$15, $E$9, 100%, $G$9) + CHOOSE(CONTROL!$C$38, 0.0369, 0)</f>
        <v>58.283799999999999</v>
      </c>
      <c r="D916" s="14">
        <f>58.2391 * CHOOSE(CONTROL!$C$15, $E$9, 100%, $G$9) + CHOOSE(CONTROL!$C$38, 0.0369, 0)</f>
        <v>58.276000000000003</v>
      </c>
      <c r="E916" s="46">
        <f>62.9902 * CHOOSE(CONTROL!$C$15, $E$9, 100%, $G$9) + CHOOSE(CONTROL!$C$38, 0.0369, 0)</f>
        <v>63.027100000000004</v>
      </c>
      <c r="F916" s="45">
        <f>62.9902 * CHOOSE(CONTROL!$C$15, $E$9, 100%, $G$9) + CHOOSE(CONTROL!$C$38, 0.0278, 0)</f>
        <v>63.018000000000001</v>
      </c>
      <c r="G916" s="14">
        <f>58.2453 * CHOOSE(CONTROL!$C$15, $E$9, 100%, $G$9) + CHOOSE(CONTROL!$C$38, 0.0369, 0)</f>
        <v>58.282200000000003</v>
      </c>
      <c r="H916" s="14">
        <f>58.2453 * CHOOSE(CONTROL!$C$15, $E$9, 100%, $G$9) + CHOOSE(CONTROL!$C$38, 0.0369, 0)</f>
        <v>58.282200000000003</v>
      </c>
      <c r="I916" s="14">
        <f>58.2469 * CHOOSE(CONTROL!$C$15, $E$9, 100%, $G$9) + CHOOSE(CONTROL!$C$38, 0.0369, 0)</f>
        <v>58.283799999999999</v>
      </c>
      <c r="J916" s="44">
        <f>608.3421</f>
        <v>608.34209999999996</v>
      </c>
    </row>
    <row r="917" spans="1:10" ht="15.75" x14ac:dyDescent="0.25">
      <c r="A917" s="32">
        <v>68849</v>
      </c>
      <c r="B917" s="14">
        <f>62.7846 * CHOOSE(CONTROL!$C$15, $E$9, 100%, $G$9) + CHOOSE(CONTROL!$C$38, 0.0278, 0)</f>
        <v>62.812399999999997</v>
      </c>
      <c r="C917" s="14">
        <f>57.8851 * CHOOSE(CONTROL!$C$15, $E$9, 100%, $G$9) + CHOOSE(CONTROL!$C$38, 0.0369, 0)</f>
        <v>57.922000000000004</v>
      </c>
      <c r="D917" s="14">
        <f>57.8773 * CHOOSE(CONTROL!$C$15, $E$9, 100%, $G$9) + CHOOSE(CONTROL!$C$38, 0.0369, 0)</f>
        <v>57.914200000000001</v>
      </c>
      <c r="E917" s="46">
        <f>62.6283 * CHOOSE(CONTROL!$C$15, $E$9, 100%, $G$9) + CHOOSE(CONTROL!$C$38, 0.0369, 0)</f>
        <v>62.665200000000006</v>
      </c>
      <c r="F917" s="45">
        <f>62.6283 * CHOOSE(CONTROL!$C$15, $E$9, 100%, $G$9) + CHOOSE(CONTROL!$C$38, 0.0278, 0)</f>
        <v>62.656100000000002</v>
      </c>
      <c r="G917" s="14">
        <f>57.8835 * CHOOSE(CONTROL!$C$15, $E$9, 100%, $G$9) + CHOOSE(CONTROL!$C$38, 0.0369, 0)</f>
        <v>57.920400000000001</v>
      </c>
      <c r="H917" s="14">
        <f>57.8835 * CHOOSE(CONTROL!$C$15, $E$9, 100%, $G$9) + CHOOSE(CONTROL!$C$38, 0.0369, 0)</f>
        <v>57.920400000000001</v>
      </c>
      <c r="I917" s="14">
        <f>57.8851 * CHOOSE(CONTROL!$C$15, $E$9, 100%, $G$9) + CHOOSE(CONTROL!$C$38, 0.0369, 0)</f>
        <v>57.922000000000004</v>
      </c>
      <c r="J917" s="44">
        <f>617.1077</f>
        <v>617.10770000000002</v>
      </c>
    </row>
    <row r="918" spans="1:10" ht="15.75" x14ac:dyDescent="0.25">
      <c r="A918" s="32">
        <v>68880</v>
      </c>
      <c r="B918" s="14">
        <f>62.5781 * CHOOSE(CONTROL!$C$15, $E$9, 100%, $G$9) + CHOOSE(CONTROL!$C$38, 0.0278, 0)</f>
        <v>62.605899999999998</v>
      </c>
      <c r="C918" s="14">
        <f>57.6786 * CHOOSE(CONTROL!$C$15, $E$9, 100%, $G$9) + CHOOSE(CONTROL!$C$38, 0.0369, 0)</f>
        <v>57.715500000000006</v>
      </c>
      <c r="D918" s="14">
        <f>57.6708 * CHOOSE(CONTROL!$C$15, $E$9, 100%, $G$9) + CHOOSE(CONTROL!$C$38, 0.0369, 0)</f>
        <v>57.707700000000003</v>
      </c>
      <c r="E918" s="46">
        <f>62.4218 * CHOOSE(CONTROL!$C$15, $E$9, 100%, $G$9) + CHOOSE(CONTROL!$C$38, 0.0369, 0)</f>
        <v>62.4587</v>
      </c>
      <c r="F918" s="45">
        <f>62.4218 * CHOOSE(CONTROL!$C$15, $E$9, 100%, $G$9) + CHOOSE(CONTROL!$C$38, 0.0278, 0)</f>
        <v>62.449599999999997</v>
      </c>
      <c r="G918" s="14">
        <f>57.677 * CHOOSE(CONTROL!$C$15, $E$9, 100%, $G$9) + CHOOSE(CONTROL!$C$38, 0.0369, 0)</f>
        <v>57.713900000000002</v>
      </c>
      <c r="H918" s="14">
        <f>57.677 * CHOOSE(CONTROL!$C$15, $E$9, 100%, $G$9) + CHOOSE(CONTROL!$C$38, 0.0369, 0)</f>
        <v>57.713900000000002</v>
      </c>
      <c r="I918" s="14">
        <f>57.6786 * CHOOSE(CONTROL!$C$15, $E$9, 100%, $G$9) + CHOOSE(CONTROL!$C$38, 0.0369, 0)</f>
        <v>57.715500000000006</v>
      </c>
      <c r="J918" s="44">
        <f>614.2217</f>
        <v>614.22170000000006</v>
      </c>
    </row>
    <row r="919" spans="1:10" ht="15.75" x14ac:dyDescent="0.25">
      <c r="A919" s="32">
        <v>68911</v>
      </c>
      <c r="B919" s="14">
        <f>62.68 * CHOOSE(CONTROL!$C$15, $E$9, 100%, $G$9) + CHOOSE(CONTROL!$C$38, 0.0278, 0)</f>
        <v>62.707799999999999</v>
      </c>
      <c r="C919" s="14">
        <f>57.7805 * CHOOSE(CONTROL!$C$15, $E$9, 100%, $G$9) + CHOOSE(CONTROL!$C$38, 0.0369, 0)</f>
        <v>57.817400000000006</v>
      </c>
      <c r="D919" s="14">
        <f>57.7727 * CHOOSE(CONTROL!$C$15, $E$9, 100%, $G$9) + CHOOSE(CONTROL!$C$38, 0.0369, 0)</f>
        <v>57.809600000000003</v>
      </c>
      <c r="E919" s="46">
        <f>62.5237 * CHOOSE(CONTROL!$C$15, $E$9, 100%, $G$9) + CHOOSE(CONTROL!$C$38, 0.0369, 0)</f>
        <v>62.560600000000001</v>
      </c>
      <c r="F919" s="45">
        <f>62.5237 * CHOOSE(CONTROL!$C$15, $E$9, 100%, $G$9) + CHOOSE(CONTROL!$C$38, 0.0278, 0)</f>
        <v>62.551499999999997</v>
      </c>
      <c r="G919" s="14">
        <f>57.7789 * CHOOSE(CONTROL!$C$15, $E$9, 100%, $G$9) + CHOOSE(CONTROL!$C$38, 0.0369, 0)</f>
        <v>57.815800000000003</v>
      </c>
      <c r="H919" s="14">
        <f>57.7789 * CHOOSE(CONTROL!$C$15, $E$9, 100%, $G$9) + CHOOSE(CONTROL!$C$38, 0.0369, 0)</f>
        <v>57.815800000000003</v>
      </c>
      <c r="I919" s="14">
        <f>57.7805 * CHOOSE(CONTROL!$C$15, $E$9, 100%, $G$9) + CHOOSE(CONTROL!$C$38, 0.0369, 0)</f>
        <v>57.817400000000006</v>
      </c>
      <c r="J919" s="44">
        <f>599.9228</f>
        <v>599.92280000000005</v>
      </c>
    </row>
    <row r="920" spans="1:10" ht="15.75" x14ac:dyDescent="0.25">
      <c r="A920" s="32">
        <v>68941</v>
      </c>
      <c r="B920" s="14">
        <f>62.9568 * CHOOSE(CONTROL!$C$15, $E$9, 100%, $G$9) + CHOOSE(CONTROL!$C$38, 0.0278, 0)</f>
        <v>62.9846</v>
      </c>
      <c r="C920" s="14">
        <f>58.0573 * CHOOSE(CONTROL!$C$15, $E$9, 100%, $G$9) + CHOOSE(CONTROL!$C$38, 0.0369, 0)</f>
        <v>58.094200000000001</v>
      </c>
      <c r="D920" s="14">
        <f>58.0495 * CHOOSE(CONTROL!$C$15, $E$9, 100%, $G$9) + CHOOSE(CONTROL!$C$38, 0.0369, 0)</f>
        <v>58.086400000000005</v>
      </c>
      <c r="E920" s="46">
        <f>62.8005 * CHOOSE(CONTROL!$C$15, $E$9, 100%, $G$9) + CHOOSE(CONTROL!$C$38, 0.0369, 0)</f>
        <v>62.837400000000002</v>
      </c>
      <c r="F920" s="45">
        <f>62.8005 * CHOOSE(CONTROL!$C$15, $E$9, 100%, $G$9) + CHOOSE(CONTROL!$C$38, 0.0278, 0)</f>
        <v>62.828299999999999</v>
      </c>
      <c r="G920" s="14">
        <f>58.0557 * CHOOSE(CONTROL!$C$15, $E$9, 100%, $G$9) + CHOOSE(CONTROL!$C$38, 0.0369, 0)</f>
        <v>58.092600000000004</v>
      </c>
      <c r="H920" s="14">
        <f>58.0557 * CHOOSE(CONTROL!$C$15, $E$9, 100%, $G$9) + CHOOSE(CONTROL!$C$38, 0.0369, 0)</f>
        <v>58.092600000000004</v>
      </c>
      <c r="I920" s="14">
        <f>58.0573 * CHOOSE(CONTROL!$C$15, $E$9, 100%, $G$9) + CHOOSE(CONTROL!$C$38, 0.0369, 0)</f>
        <v>58.094200000000001</v>
      </c>
      <c r="J920" s="44">
        <f>579.9824</f>
        <v>579.98239999999998</v>
      </c>
    </row>
    <row r="921" spans="1:10" ht="15.75" x14ac:dyDescent="0.25">
      <c r="A921" s="32">
        <v>68972</v>
      </c>
      <c r="B921" s="14">
        <f>63.1886 * CHOOSE(CONTROL!$C$15, $E$9, 100%, $G$9) + CHOOSE(CONTROL!$C$38, 0.0256, 0)</f>
        <v>63.214199999999998</v>
      </c>
      <c r="C921" s="14">
        <f>58.2891 * CHOOSE(CONTROL!$C$15, $E$9, 100%, $G$9) + CHOOSE(CONTROL!$C$38, 0.0347, 0)</f>
        <v>58.323799999999999</v>
      </c>
      <c r="D921" s="14">
        <f>58.2813 * CHOOSE(CONTROL!$C$15, $E$9, 100%, $G$9) + CHOOSE(CONTROL!$C$38, 0.0347, 0)</f>
        <v>58.316000000000003</v>
      </c>
      <c r="E921" s="46">
        <f>63.0324 * CHOOSE(CONTROL!$C$15, $E$9, 100%, $G$9) + CHOOSE(CONTROL!$C$38, 0.0347, 0)</f>
        <v>63.067100000000003</v>
      </c>
      <c r="F921" s="45">
        <f>63.0324 * CHOOSE(CONTROL!$C$15, $E$9, 100%, $G$9) + CHOOSE(CONTROL!$C$38, 0.0256, 0)</f>
        <v>63.058</v>
      </c>
      <c r="G921" s="14">
        <f>58.2875 * CHOOSE(CONTROL!$C$15, $E$9, 100%, $G$9) + CHOOSE(CONTROL!$C$38, 0.0347, 0)</f>
        <v>58.322200000000002</v>
      </c>
      <c r="H921" s="14">
        <f>58.2875 * CHOOSE(CONTROL!$C$15, $E$9, 100%, $G$9) + CHOOSE(CONTROL!$C$38, 0.0347, 0)</f>
        <v>58.322200000000002</v>
      </c>
      <c r="I921" s="14">
        <f>58.2891 * CHOOSE(CONTROL!$C$15, $E$9, 100%, $G$9) + CHOOSE(CONTROL!$C$38, 0.0347, 0)</f>
        <v>58.323799999999999</v>
      </c>
      <c r="J921" s="44">
        <f>559.9261</f>
        <v>559.92610000000002</v>
      </c>
    </row>
    <row r="922" spans="1:10" ht="15.75" x14ac:dyDescent="0.25">
      <c r="A922" s="32">
        <v>69002</v>
      </c>
      <c r="B922" s="14">
        <f>63.3821 * CHOOSE(CONTROL!$C$15, $E$9, 100%, $G$9) + CHOOSE(CONTROL!$C$38, 0.0256, 0)</f>
        <v>63.407699999999998</v>
      </c>
      <c r="C922" s="14">
        <f>58.4826 * CHOOSE(CONTROL!$C$15, $E$9, 100%, $G$9) + CHOOSE(CONTROL!$C$38, 0.0347, 0)</f>
        <v>58.517299999999999</v>
      </c>
      <c r="D922" s="14">
        <f>58.4747 * CHOOSE(CONTROL!$C$15, $E$9, 100%, $G$9) + CHOOSE(CONTROL!$C$38, 0.0347, 0)</f>
        <v>58.509399999999999</v>
      </c>
      <c r="E922" s="46">
        <f>63.2258 * CHOOSE(CONTROL!$C$15, $E$9, 100%, $G$9) + CHOOSE(CONTROL!$C$38, 0.0347, 0)</f>
        <v>63.2605</v>
      </c>
      <c r="F922" s="45">
        <f>63.2258 * CHOOSE(CONTROL!$C$15, $E$9, 100%, $G$9) + CHOOSE(CONTROL!$C$38, 0.0256, 0)</f>
        <v>63.251399999999997</v>
      </c>
      <c r="G922" s="14">
        <f>58.481 * CHOOSE(CONTROL!$C$15, $E$9, 100%, $G$9) + CHOOSE(CONTROL!$C$38, 0.0347, 0)</f>
        <v>58.515700000000002</v>
      </c>
      <c r="H922" s="14">
        <f>58.481 * CHOOSE(CONTROL!$C$15, $E$9, 100%, $G$9) + CHOOSE(CONTROL!$C$38, 0.0347, 0)</f>
        <v>58.515700000000002</v>
      </c>
      <c r="I922" s="14">
        <f>58.4826 * CHOOSE(CONTROL!$C$15, $E$9, 100%, $G$9) + CHOOSE(CONTROL!$C$38, 0.0347, 0)</f>
        <v>58.517299999999999</v>
      </c>
      <c r="J922" s="44">
        <f>555.9364</f>
        <v>555.93640000000005</v>
      </c>
    </row>
    <row r="923" spans="1:10" ht="15.75" x14ac:dyDescent="0.25">
      <c r="A923" s="32">
        <v>69033</v>
      </c>
      <c r="B923" s="14">
        <f>63.9781 * CHOOSE(CONTROL!$C$15, $E$9, 100%, $G$9) + CHOOSE(CONTROL!$C$38, 0.0256, 0)</f>
        <v>64.003699999999995</v>
      </c>
      <c r="C923" s="14">
        <f>59.0786 * CHOOSE(CONTROL!$C$15, $E$9, 100%, $G$9) + CHOOSE(CONTROL!$C$38, 0.0347, 0)</f>
        <v>59.113300000000002</v>
      </c>
      <c r="D923" s="14">
        <f>59.0708 * CHOOSE(CONTROL!$C$15, $E$9, 100%, $G$9) + CHOOSE(CONTROL!$C$38, 0.0347, 0)</f>
        <v>59.105499999999999</v>
      </c>
      <c r="E923" s="46">
        <f>63.8219 * CHOOSE(CONTROL!$C$15, $E$9, 100%, $G$9) + CHOOSE(CONTROL!$C$38, 0.0347, 0)</f>
        <v>63.8566</v>
      </c>
      <c r="F923" s="45">
        <f>63.8219 * CHOOSE(CONTROL!$C$15, $E$9, 100%, $G$9) + CHOOSE(CONTROL!$C$38, 0.0256, 0)</f>
        <v>63.847499999999997</v>
      </c>
      <c r="G923" s="14">
        <f>59.0771 * CHOOSE(CONTROL!$C$15, $E$9, 100%, $G$9) + CHOOSE(CONTROL!$C$38, 0.0347, 0)</f>
        <v>59.111800000000002</v>
      </c>
      <c r="H923" s="14">
        <f>59.0771 * CHOOSE(CONTROL!$C$15, $E$9, 100%, $G$9) + CHOOSE(CONTROL!$C$38, 0.0347, 0)</f>
        <v>59.111800000000002</v>
      </c>
      <c r="I923" s="14">
        <f>59.0786 * CHOOSE(CONTROL!$C$15, $E$9, 100%, $G$9) + CHOOSE(CONTROL!$C$38, 0.0347, 0)</f>
        <v>59.113300000000002</v>
      </c>
      <c r="J923" s="44">
        <f>539.439</f>
        <v>539.43899999999996</v>
      </c>
    </row>
    <row r="924" spans="1:10" ht="15.75" x14ac:dyDescent="0.25">
      <c r="A924" s="32">
        <v>69064</v>
      </c>
      <c r="B924" s="14">
        <f>65.4784 * CHOOSE(CONTROL!$C$15, $E$9, 100%, $G$9) + CHOOSE(CONTROL!$C$38, 0.0256, 0)</f>
        <v>65.503999999999991</v>
      </c>
      <c r="C924" s="14">
        <f>60.5012 * CHOOSE(CONTROL!$C$15, $E$9, 100%, $G$9) + CHOOSE(CONTROL!$C$38, 0.0347, 0)</f>
        <v>60.535899999999998</v>
      </c>
      <c r="D924" s="14">
        <f>60.4934 * CHOOSE(CONTROL!$C$15, $E$9, 100%, $G$9) + CHOOSE(CONTROL!$C$38, 0.0347, 0)</f>
        <v>60.528100000000002</v>
      </c>
      <c r="E924" s="46">
        <f>65.3222 * CHOOSE(CONTROL!$C$15, $E$9, 100%, $G$9) + CHOOSE(CONTROL!$C$38, 0.0347, 0)</f>
        <v>65.356899999999996</v>
      </c>
      <c r="F924" s="45">
        <f>65.3222 * CHOOSE(CONTROL!$C$15, $E$9, 100%, $G$9) + CHOOSE(CONTROL!$C$38, 0.0256, 0)</f>
        <v>65.347799999999992</v>
      </c>
      <c r="G924" s="14">
        <f>60.4996 * CHOOSE(CONTROL!$C$15, $E$9, 100%, $G$9) + CHOOSE(CONTROL!$C$38, 0.0347, 0)</f>
        <v>60.534300000000002</v>
      </c>
      <c r="H924" s="14">
        <f>60.4996 * CHOOSE(CONTROL!$C$15, $E$9, 100%, $G$9) + CHOOSE(CONTROL!$C$38, 0.0347, 0)</f>
        <v>60.534300000000002</v>
      </c>
      <c r="I924" s="14">
        <f>60.5012 * CHOOSE(CONTROL!$C$15, $E$9, 100%, $G$9) + CHOOSE(CONTROL!$C$38, 0.0347, 0)</f>
        <v>60.535899999999998</v>
      </c>
      <c r="J924" s="44">
        <f>538.4088</f>
        <v>538.40880000000004</v>
      </c>
    </row>
    <row r="925" spans="1:10" ht="15.75" x14ac:dyDescent="0.25">
      <c r="A925" s="32">
        <v>69092</v>
      </c>
      <c r="B925" s="14">
        <f>65.6992 * CHOOSE(CONTROL!$C$15, $E$9, 100%, $G$9) + CHOOSE(CONTROL!$C$38, 0.0256, 0)</f>
        <v>65.724800000000002</v>
      </c>
      <c r="C925" s="14">
        <f>60.7219 * CHOOSE(CONTROL!$C$15, $E$9, 100%, $G$9) + CHOOSE(CONTROL!$C$38, 0.0347, 0)</f>
        <v>60.756599999999999</v>
      </c>
      <c r="D925" s="14">
        <f>60.7141 * CHOOSE(CONTROL!$C$15, $E$9, 100%, $G$9) + CHOOSE(CONTROL!$C$38, 0.0347, 0)</f>
        <v>60.748800000000003</v>
      </c>
      <c r="E925" s="46">
        <f>65.543 * CHOOSE(CONTROL!$C$15, $E$9, 100%, $G$9) + CHOOSE(CONTROL!$C$38, 0.0347, 0)</f>
        <v>65.577700000000007</v>
      </c>
      <c r="F925" s="45">
        <f>65.543 * CHOOSE(CONTROL!$C$15, $E$9, 100%, $G$9) + CHOOSE(CONTROL!$C$38, 0.0256, 0)</f>
        <v>65.568600000000004</v>
      </c>
      <c r="G925" s="14">
        <f>60.7204 * CHOOSE(CONTROL!$C$15, $E$9, 100%, $G$9) + CHOOSE(CONTROL!$C$38, 0.0347, 0)</f>
        <v>60.755099999999999</v>
      </c>
      <c r="H925" s="14">
        <f>60.7204 * CHOOSE(CONTROL!$C$15, $E$9, 100%, $G$9) + CHOOSE(CONTROL!$C$38, 0.0347, 0)</f>
        <v>60.755099999999999</v>
      </c>
      <c r="I925" s="14">
        <f>60.7219 * CHOOSE(CONTROL!$C$15, $E$9, 100%, $G$9) + CHOOSE(CONTROL!$C$38, 0.0347, 0)</f>
        <v>60.756599999999999</v>
      </c>
      <c r="J925" s="44">
        <f>536.9122</f>
        <v>536.91219999999998</v>
      </c>
    </row>
    <row r="926" spans="1:10" ht="15.75" x14ac:dyDescent="0.25">
      <c r="A926" s="32">
        <v>69123</v>
      </c>
      <c r="B926" s="14">
        <f>65.1882 * CHOOSE(CONTROL!$C$15, $E$9, 100%, $G$9) + CHOOSE(CONTROL!$C$38, 0.0256, 0)</f>
        <v>65.213799999999992</v>
      </c>
      <c r="C926" s="14">
        <f>60.2109 * CHOOSE(CONTROL!$C$15, $E$9, 100%, $G$9) + CHOOSE(CONTROL!$C$38, 0.0347, 0)</f>
        <v>60.245600000000003</v>
      </c>
      <c r="D926" s="14">
        <f>60.2031 * CHOOSE(CONTROL!$C$15, $E$9, 100%, $G$9) + CHOOSE(CONTROL!$C$38, 0.0347, 0)</f>
        <v>60.2378</v>
      </c>
      <c r="E926" s="46">
        <f>65.0319 * CHOOSE(CONTROL!$C$15, $E$9, 100%, $G$9) + CHOOSE(CONTROL!$C$38, 0.0347, 0)</f>
        <v>65.066599999999994</v>
      </c>
      <c r="F926" s="45">
        <f>65.0319 * CHOOSE(CONTROL!$C$15, $E$9, 100%, $G$9) + CHOOSE(CONTROL!$C$38, 0.0256, 0)</f>
        <v>65.05749999999999</v>
      </c>
      <c r="G926" s="14">
        <f>60.2093 * CHOOSE(CONTROL!$C$15, $E$9, 100%, $G$9) + CHOOSE(CONTROL!$C$38, 0.0347, 0)</f>
        <v>60.244</v>
      </c>
      <c r="H926" s="14">
        <f>60.2093 * CHOOSE(CONTROL!$C$15, $E$9, 100%, $G$9) + CHOOSE(CONTROL!$C$38, 0.0347, 0)</f>
        <v>60.244</v>
      </c>
      <c r="I926" s="14">
        <f>60.2109 * CHOOSE(CONTROL!$C$15, $E$9, 100%, $G$9) + CHOOSE(CONTROL!$C$38, 0.0347, 0)</f>
        <v>60.245600000000003</v>
      </c>
      <c r="J926" s="44">
        <f>565.2106</f>
        <v>565.2106</v>
      </c>
    </row>
    <row r="927" spans="1:10" ht="15.75" x14ac:dyDescent="0.25">
      <c r="A927" s="32">
        <v>69153</v>
      </c>
      <c r="B927" s="14">
        <f>64.693 * CHOOSE(CONTROL!$C$15, $E$9, 100%, $G$9) + CHOOSE(CONTROL!$C$38, 0.0256, 0)</f>
        <v>64.718599999999995</v>
      </c>
      <c r="C927" s="14">
        <f>59.7157 * CHOOSE(CONTROL!$C$15, $E$9, 100%, $G$9) + CHOOSE(CONTROL!$C$38, 0.0347, 0)</f>
        <v>59.750399999999999</v>
      </c>
      <c r="D927" s="14">
        <f>59.7079 * CHOOSE(CONTROL!$C$15, $E$9, 100%, $G$9) + CHOOSE(CONTROL!$C$38, 0.0347, 0)</f>
        <v>59.742600000000003</v>
      </c>
      <c r="E927" s="46">
        <f>64.5367 * CHOOSE(CONTROL!$C$15, $E$9, 100%, $G$9) + CHOOSE(CONTROL!$C$38, 0.0347, 0)</f>
        <v>64.571399999999997</v>
      </c>
      <c r="F927" s="45">
        <f>64.5367 * CHOOSE(CONTROL!$C$15, $E$9, 100%, $G$9) + CHOOSE(CONTROL!$C$38, 0.0256, 0)</f>
        <v>64.562299999999993</v>
      </c>
      <c r="G927" s="14">
        <f>59.7142 * CHOOSE(CONTROL!$C$15, $E$9, 100%, $G$9) + CHOOSE(CONTROL!$C$38, 0.0347, 0)</f>
        <v>59.748899999999999</v>
      </c>
      <c r="H927" s="14">
        <f>59.7142 * CHOOSE(CONTROL!$C$15, $E$9, 100%, $G$9) + CHOOSE(CONTROL!$C$38, 0.0347, 0)</f>
        <v>59.748899999999999</v>
      </c>
      <c r="I927" s="14">
        <f>59.7157 * CHOOSE(CONTROL!$C$15, $E$9, 100%, $G$9) + CHOOSE(CONTROL!$C$38, 0.0347, 0)</f>
        <v>59.750399999999999</v>
      </c>
      <c r="J927" s="44">
        <f>601.9068</f>
        <v>601.90679999999998</v>
      </c>
    </row>
    <row r="928" spans="1:10" ht="15.75" x14ac:dyDescent="0.25">
      <c r="A928" s="32">
        <v>69184</v>
      </c>
      <c r="B928" s="14">
        <f>64.1769 * CHOOSE(CONTROL!$C$15, $E$9, 100%, $G$9) + CHOOSE(CONTROL!$C$38, 0.0278, 0)</f>
        <v>64.204700000000003</v>
      </c>
      <c r="C928" s="14">
        <f>59.1996 * CHOOSE(CONTROL!$C$15, $E$9, 100%, $G$9) + CHOOSE(CONTROL!$C$38, 0.0369, 0)</f>
        <v>59.236499999999999</v>
      </c>
      <c r="D928" s="14">
        <f>59.1918 * CHOOSE(CONTROL!$C$15, $E$9, 100%, $G$9) + CHOOSE(CONTROL!$C$38, 0.0369, 0)</f>
        <v>59.228700000000003</v>
      </c>
      <c r="E928" s="46">
        <f>64.0206 * CHOOSE(CONTROL!$C$15, $E$9, 100%, $G$9) + CHOOSE(CONTROL!$C$38, 0.0369, 0)</f>
        <v>64.057500000000005</v>
      </c>
      <c r="F928" s="45">
        <f>64.0206 * CHOOSE(CONTROL!$C$15, $E$9, 100%, $G$9) + CHOOSE(CONTROL!$C$38, 0.0278, 0)</f>
        <v>64.048400000000001</v>
      </c>
      <c r="G928" s="14">
        <f>59.1981 * CHOOSE(CONTROL!$C$15, $E$9, 100%, $G$9) + CHOOSE(CONTROL!$C$38, 0.0369, 0)</f>
        <v>59.234999999999999</v>
      </c>
      <c r="H928" s="14">
        <f>59.1981 * CHOOSE(CONTROL!$C$15, $E$9, 100%, $G$9) + CHOOSE(CONTROL!$C$38, 0.0369, 0)</f>
        <v>59.234999999999999</v>
      </c>
      <c r="I928" s="14">
        <f>59.1996 * CHOOSE(CONTROL!$C$15, $E$9, 100%, $G$9) + CHOOSE(CONTROL!$C$38, 0.0369, 0)</f>
        <v>59.236499999999999</v>
      </c>
      <c r="J928" s="44">
        <f>622.1056</f>
        <v>622.10559999999998</v>
      </c>
    </row>
    <row r="929" spans="1:10" ht="15.75" x14ac:dyDescent="0.25">
      <c r="A929" s="32">
        <v>69214</v>
      </c>
      <c r="B929" s="14">
        <f>63.815 * CHOOSE(CONTROL!$C$15, $E$9, 100%, $G$9) + CHOOSE(CONTROL!$C$38, 0.0278, 0)</f>
        <v>63.842799999999997</v>
      </c>
      <c r="C929" s="14">
        <f>58.8378 * CHOOSE(CONTROL!$C$15, $E$9, 100%, $G$9) + CHOOSE(CONTROL!$C$38, 0.0369, 0)</f>
        <v>58.874700000000004</v>
      </c>
      <c r="D929" s="14">
        <f>58.83 * CHOOSE(CONTROL!$C$15, $E$9, 100%, $G$9) + CHOOSE(CONTROL!$C$38, 0.0369, 0)</f>
        <v>58.866900000000001</v>
      </c>
      <c r="E929" s="46">
        <f>63.6588 * CHOOSE(CONTROL!$C$15, $E$9, 100%, $G$9) + CHOOSE(CONTROL!$C$38, 0.0369, 0)</f>
        <v>63.695700000000002</v>
      </c>
      <c r="F929" s="45">
        <f>63.6588 * CHOOSE(CONTROL!$C$15, $E$9, 100%, $G$9) + CHOOSE(CONTROL!$C$38, 0.0278, 0)</f>
        <v>63.686599999999999</v>
      </c>
      <c r="G929" s="14">
        <f>58.8362 * CHOOSE(CONTROL!$C$15, $E$9, 100%, $G$9) + CHOOSE(CONTROL!$C$38, 0.0369, 0)</f>
        <v>58.873100000000001</v>
      </c>
      <c r="H929" s="14">
        <f>58.8362 * CHOOSE(CONTROL!$C$15, $E$9, 100%, $G$9) + CHOOSE(CONTROL!$C$38, 0.0369, 0)</f>
        <v>58.873100000000001</v>
      </c>
      <c r="I929" s="14">
        <f>58.8378 * CHOOSE(CONTROL!$C$15, $E$9, 100%, $G$9) + CHOOSE(CONTROL!$C$38, 0.0369, 0)</f>
        <v>58.874700000000004</v>
      </c>
      <c r="J929" s="44">
        <f>631.0695</f>
        <v>631.06949999999995</v>
      </c>
    </row>
    <row r="930" spans="1:10" ht="15.75" x14ac:dyDescent="0.25">
      <c r="A930" s="32">
        <v>69245</v>
      </c>
      <c r="B930" s="14">
        <f>63.6086 * CHOOSE(CONTROL!$C$15, $E$9, 100%, $G$9) + CHOOSE(CONTROL!$C$38, 0.0278, 0)</f>
        <v>63.636400000000002</v>
      </c>
      <c r="C930" s="14">
        <f>58.6313 * CHOOSE(CONTROL!$C$15, $E$9, 100%, $G$9) + CHOOSE(CONTROL!$C$38, 0.0369, 0)</f>
        <v>58.668200000000006</v>
      </c>
      <c r="D930" s="14">
        <f>58.6235 * CHOOSE(CONTROL!$C$15, $E$9, 100%, $G$9) + CHOOSE(CONTROL!$C$38, 0.0369, 0)</f>
        <v>58.660400000000003</v>
      </c>
      <c r="E930" s="46">
        <f>63.4523 * CHOOSE(CONTROL!$C$15, $E$9, 100%, $G$9) + CHOOSE(CONTROL!$C$38, 0.0369, 0)</f>
        <v>63.489200000000004</v>
      </c>
      <c r="F930" s="45">
        <f>63.4523 * CHOOSE(CONTROL!$C$15, $E$9, 100%, $G$9) + CHOOSE(CONTROL!$C$38, 0.0278, 0)</f>
        <v>63.4801</v>
      </c>
      <c r="G930" s="14">
        <f>58.6297 * CHOOSE(CONTROL!$C$15, $E$9, 100%, $G$9) + CHOOSE(CONTROL!$C$38, 0.0369, 0)</f>
        <v>58.666600000000003</v>
      </c>
      <c r="H930" s="14">
        <f>58.6297 * CHOOSE(CONTROL!$C$15, $E$9, 100%, $G$9) + CHOOSE(CONTROL!$C$38, 0.0369, 0)</f>
        <v>58.666600000000003</v>
      </c>
      <c r="I930" s="14">
        <f>58.6313 * CHOOSE(CONTROL!$C$15, $E$9, 100%, $G$9) + CHOOSE(CONTROL!$C$38, 0.0369, 0)</f>
        <v>58.668200000000006</v>
      </c>
      <c r="J930" s="44">
        <f>628.1181</f>
        <v>628.11810000000003</v>
      </c>
    </row>
    <row r="931" spans="1:10" ht="15.75" x14ac:dyDescent="0.25">
      <c r="A931" s="32">
        <v>69276</v>
      </c>
      <c r="B931" s="14">
        <f>63.7105 * CHOOSE(CONTROL!$C$15, $E$9, 100%, $G$9) + CHOOSE(CONTROL!$C$38, 0.0278, 0)</f>
        <v>63.738300000000002</v>
      </c>
      <c r="C931" s="14">
        <f>58.7332 * CHOOSE(CONTROL!$C$15, $E$9, 100%, $G$9) + CHOOSE(CONTROL!$C$38, 0.0369, 0)</f>
        <v>58.770099999999999</v>
      </c>
      <c r="D931" s="14">
        <f>58.7254 * CHOOSE(CONTROL!$C$15, $E$9, 100%, $G$9) + CHOOSE(CONTROL!$C$38, 0.0369, 0)</f>
        <v>58.762300000000003</v>
      </c>
      <c r="E931" s="46">
        <f>63.5542 * CHOOSE(CONTROL!$C$15, $E$9, 100%, $G$9) + CHOOSE(CONTROL!$C$38, 0.0369, 0)</f>
        <v>63.591100000000004</v>
      </c>
      <c r="F931" s="45">
        <f>63.5542 * CHOOSE(CONTROL!$C$15, $E$9, 100%, $G$9) + CHOOSE(CONTROL!$C$38, 0.0278, 0)</f>
        <v>63.582000000000001</v>
      </c>
      <c r="G931" s="14">
        <f>58.7316 * CHOOSE(CONTROL!$C$15, $E$9, 100%, $G$9) + CHOOSE(CONTROL!$C$38, 0.0369, 0)</f>
        <v>58.768500000000003</v>
      </c>
      <c r="H931" s="14">
        <f>58.7316 * CHOOSE(CONTROL!$C$15, $E$9, 100%, $G$9) + CHOOSE(CONTROL!$C$38, 0.0369, 0)</f>
        <v>58.768500000000003</v>
      </c>
      <c r="I931" s="14">
        <f>58.7332 * CHOOSE(CONTROL!$C$15, $E$9, 100%, $G$9) + CHOOSE(CONTROL!$C$38, 0.0369, 0)</f>
        <v>58.770099999999999</v>
      </c>
      <c r="J931" s="44">
        <f>613.4958</f>
        <v>613.49580000000003</v>
      </c>
    </row>
    <row r="932" spans="1:10" ht="15.75" x14ac:dyDescent="0.25">
      <c r="A932" s="32">
        <v>69306</v>
      </c>
      <c r="B932" s="14">
        <f>63.9873 * CHOOSE(CONTROL!$C$15, $E$9, 100%, $G$9) + CHOOSE(CONTROL!$C$38, 0.0278, 0)</f>
        <v>64.015100000000004</v>
      </c>
      <c r="C932" s="14">
        <f>59.01 * CHOOSE(CONTROL!$C$15, $E$9, 100%, $G$9) + CHOOSE(CONTROL!$C$38, 0.0369, 0)</f>
        <v>59.046900000000001</v>
      </c>
      <c r="D932" s="14">
        <f>59.0022 * CHOOSE(CONTROL!$C$15, $E$9, 100%, $G$9) + CHOOSE(CONTROL!$C$38, 0.0369, 0)</f>
        <v>59.039100000000005</v>
      </c>
      <c r="E932" s="46">
        <f>63.831 * CHOOSE(CONTROL!$C$15, $E$9, 100%, $G$9) + CHOOSE(CONTROL!$C$38, 0.0369, 0)</f>
        <v>63.867900000000006</v>
      </c>
      <c r="F932" s="45">
        <f>63.831 * CHOOSE(CONTROL!$C$15, $E$9, 100%, $G$9) + CHOOSE(CONTROL!$C$38, 0.0278, 0)</f>
        <v>63.858800000000002</v>
      </c>
      <c r="G932" s="14">
        <f>59.0084 * CHOOSE(CONTROL!$C$15, $E$9, 100%, $G$9) + CHOOSE(CONTROL!$C$38, 0.0369, 0)</f>
        <v>59.045300000000005</v>
      </c>
      <c r="H932" s="14">
        <f>59.0084 * CHOOSE(CONTROL!$C$15, $E$9, 100%, $G$9) + CHOOSE(CONTROL!$C$38, 0.0369, 0)</f>
        <v>59.045300000000005</v>
      </c>
      <c r="I932" s="14">
        <f>59.01 * CHOOSE(CONTROL!$C$15, $E$9, 100%, $G$9) + CHOOSE(CONTROL!$C$38, 0.0369, 0)</f>
        <v>59.046900000000001</v>
      </c>
      <c r="J932" s="44">
        <f>593.1043</f>
        <v>593.10429999999997</v>
      </c>
    </row>
    <row r="933" spans="1:10" ht="15.75" x14ac:dyDescent="0.25">
      <c r="A933" s="32">
        <v>69337</v>
      </c>
      <c r="B933" s="14">
        <f>64.2191 * CHOOSE(CONTROL!$C$15, $E$9, 100%, $G$9) + CHOOSE(CONTROL!$C$38, 0.0256, 0)</f>
        <v>64.244699999999995</v>
      </c>
      <c r="C933" s="14">
        <f>59.2418 * CHOOSE(CONTROL!$C$15, $E$9, 100%, $G$9) + CHOOSE(CONTROL!$C$38, 0.0347, 0)</f>
        <v>59.276499999999999</v>
      </c>
      <c r="D933" s="14">
        <f>59.234 * CHOOSE(CONTROL!$C$15, $E$9, 100%, $G$9) + CHOOSE(CONTROL!$C$38, 0.0347, 0)</f>
        <v>59.268700000000003</v>
      </c>
      <c r="E933" s="46">
        <f>64.0628 * CHOOSE(CONTROL!$C$15, $E$9, 100%, $G$9) + CHOOSE(CONTROL!$C$38, 0.0347, 0)</f>
        <v>64.097499999999997</v>
      </c>
      <c r="F933" s="45">
        <f>64.0628 * CHOOSE(CONTROL!$C$15, $E$9, 100%, $G$9) + CHOOSE(CONTROL!$C$38, 0.0256, 0)</f>
        <v>64.088399999999993</v>
      </c>
      <c r="G933" s="14">
        <f>59.2403 * CHOOSE(CONTROL!$C$15, $E$9, 100%, $G$9) + CHOOSE(CONTROL!$C$38, 0.0347, 0)</f>
        <v>59.274999999999999</v>
      </c>
      <c r="H933" s="14">
        <f>59.2403 * CHOOSE(CONTROL!$C$15, $E$9, 100%, $G$9) + CHOOSE(CONTROL!$C$38, 0.0347, 0)</f>
        <v>59.274999999999999</v>
      </c>
      <c r="I933" s="14">
        <f>59.2418 * CHOOSE(CONTROL!$C$15, $E$9, 100%, $G$9) + CHOOSE(CONTROL!$C$38, 0.0347, 0)</f>
        <v>59.276499999999999</v>
      </c>
      <c r="J933" s="44">
        <f>572.5941</f>
        <v>572.59410000000003</v>
      </c>
    </row>
    <row r="934" spans="1:10" ht="15.75" x14ac:dyDescent="0.25">
      <c r="A934" s="32">
        <v>69367</v>
      </c>
      <c r="B934" s="14">
        <f>64.4125 * CHOOSE(CONTROL!$C$15, $E$9, 100%, $G$9) + CHOOSE(CONTROL!$C$38, 0.0256, 0)</f>
        <v>64.438099999999991</v>
      </c>
      <c r="C934" s="14">
        <f>59.4353 * CHOOSE(CONTROL!$C$15, $E$9, 100%, $G$9) + CHOOSE(CONTROL!$C$38, 0.0347, 0)</f>
        <v>59.47</v>
      </c>
      <c r="D934" s="14">
        <f>59.4274 * CHOOSE(CONTROL!$C$15, $E$9, 100%, $G$9) + CHOOSE(CONTROL!$C$38, 0.0347, 0)</f>
        <v>59.4621</v>
      </c>
      <c r="E934" s="46">
        <f>64.2563 * CHOOSE(CONTROL!$C$15, $E$9, 100%, $G$9) + CHOOSE(CONTROL!$C$38, 0.0347, 0)</f>
        <v>64.290999999999997</v>
      </c>
      <c r="F934" s="45">
        <f>64.2563 * CHOOSE(CONTROL!$C$15, $E$9, 100%, $G$9) + CHOOSE(CONTROL!$C$38, 0.0256, 0)</f>
        <v>64.281899999999993</v>
      </c>
      <c r="G934" s="14">
        <f>59.4337 * CHOOSE(CONTROL!$C$15, $E$9, 100%, $G$9) + CHOOSE(CONTROL!$C$38, 0.0347, 0)</f>
        <v>59.468400000000003</v>
      </c>
      <c r="H934" s="14">
        <f>59.4337 * CHOOSE(CONTROL!$C$15, $E$9, 100%, $G$9) + CHOOSE(CONTROL!$C$38, 0.0347, 0)</f>
        <v>59.468400000000003</v>
      </c>
      <c r="I934" s="14">
        <f>59.4353 * CHOOSE(CONTROL!$C$15, $E$9, 100%, $G$9) + CHOOSE(CONTROL!$C$38, 0.0347, 0)</f>
        <v>59.47</v>
      </c>
      <c r="J934" s="44">
        <f>568.5142</f>
        <v>568.51419999999996</v>
      </c>
    </row>
    <row r="935" spans="1:10" ht="15.75" x14ac:dyDescent="0.25">
      <c r="A935" s="32">
        <v>69398</v>
      </c>
      <c r="B935" s="14">
        <f>65.0086 * CHOOSE(CONTROL!$C$15, $E$9, 100%, $G$9) + CHOOSE(CONTROL!$C$38, 0.0256, 0)</f>
        <v>65.034199999999998</v>
      </c>
      <c r="C935" s="14">
        <f>60.0313 * CHOOSE(CONTROL!$C$15, $E$9, 100%, $G$9) + CHOOSE(CONTROL!$C$38, 0.0347, 0)</f>
        <v>60.066000000000003</v>
      </c>
      <c r="D935" s="14">
        <f>60.0235 * CHOOSE(CONTROL!$C$15, $E$9, 100%, $G$9) + CHOOSE(CONTROL!$C$38, 0.0347, 0)</f>
        <v>60.058199999999999</v>
      </c>
      <c r="E935" s="46">
        <f>64.8523 * CHOOSE(CONTROL!$C$15, $E$9, 100%, $G$9) + CHOOSE(CONTROL!$C$38, 0.0347, 0)</f>
        <v>64.887</v>
      </c>
      <c r="F935" s="45">
        <f>64.8523 * CHOOSE(CONTROL!$C$15, $E$9, 100%, $G$9) + CHOOSE(CONTROL!$C$38, 0.0256, 0)</f>
        <v>64.877899999999997</v>
      </c>
      <c r="G935" s="14">
        <f>60.0298 * CHOOSE(CONTROL!$C$15, $E$9, 100%, $G$9) + CHOOSE(CONTROL!$C$38, 0.0347, 0)</f>
        <v>60.064500000000002</v>
      </c>
      <c r="H935" s="14">
        <f>60.0298 * CHOOSE(CONTROL!$C$15, $E$9, 100%, $G$9) + CHOOSE(CONTROL!$C$38, 0.0347, 0)</f>
        <v>60.064500000000002</v>
      </c>
      <c r="I935" s="14">
        <f>60.0313 * CHOOSE(CONTROL!$C$15, $E$9, 100%, $G$9) + CHOOSE(CONTROL!$C$38, 0.0347, 0)</f>
        <v>60.066000000000003</v>
      </c>
      <c r="J935" s="44">
        <f>551.6435</f>
        <v>551.64350000000002</v>
      </c>
    </row>
    <row r="936" spans="1:10" ht="15.75" x14ac:dyDescent="0.25">
      <c r="A936" s="32">
        <v>69429</v>
      </c>
      <c r="B936" s="14">
        <f>66.5258 * CHOOSE(CONTROL!$C$15, $E$9, 100%, $G$9) + CHOOSE(CONTROL!$C$38, 0.0256, 0)</f>
        <v>66.551400000000001</v>
      </c>
      <c r="C936" s="14">
        <f>61.4695 * CHOOSE(CONTROL!$C$15, $E$9, 100%, $G$9) + CHOOSE(CONTROL!$C$38, 0.0347, 0)</f>
        <v>61.504199999999997</v>
      </c>
      <c r="D936" s="14">
        <f>61.4617 * CHOOSE(CONTROL!$C$15, $E$9, 100%, $G$9) + CHOOSE(CONTROL!$C$38, 0.0347, 0)</f>
        <v>61.496400000000001</v>
      </c>
      <c r="E936" s="46">
        <f>66.3696 * CHOOSE(CONTROL!$C$15, $E$9, 100%, $G$9) + CHOOSE(CONTROL!$C$38, 0.0347, 0)</f>
        <v>66.404300000000006</v>
      </c>
      <c r="F936" s="45">
        <f>66.3696 * CHOOSE(CONTROL!$C$15, $E$9, 100%, $G$9) + CHOOSE(CONTROL!$C$38, 0.0256, 0)</f>
        <v>66.395200000000003</v>
      </c>
      <c r="G936" s="14">
        <f>61.4679 * CHOOSE(CONTROL!$C$15, $E$9, 100%, $G$9) + CHOOSE(CONTROL!$C$38, 0.0347, 0)</f>
        <v>61.502600000000001</v>
      </c>
      <c r="H936" s="14">
        <f>61.4679 * CHOOSE(CONTROL!$C$15, $E$9, 100%, $G$9) + CHOOSE(CONTROL!$C$38, 0.0347, 0)</f>
        <v>61.502600000000001</v>
      </c>
      <c r="I936" s="14">
        <f>61.4695 * CHOOSE(CONTROL!$C$15, $E$9, 100%, $G$9) + CHOOSE(CONTROL!$C$38, 0.0347, 0)</f>
        <v>61.504199999999997</v>
      </c>
      <c r="J936" s="44">
        <f>550.59</f>
        <v>550.59</v>
      </c>
    </row>
    <row r="937" spans="1:10" ht="15.75" x14ac:dyDescent="0.25">
      <c r="A937" s="32">
        <v>69457</v>
      </c>
      <c r="B937" s="14">
        <f>66.7466 * CHOOSE(CONTROL!$C$15, $E$9, 100%, $G$9) + CHOOSE(CONTROL!$C$38, 0.0256, 0)</f>
        <v>66.772199999999998</v>
      </c>
      <c r="C937" s="14">
        <f>61.6903 * CHOOSE(CONTROL!$C$15, $E$9, 100%, $G$9) + CHOOSE(CONTROL!$C$38, 0.0347, 0)</f>
        <v>61.725000000000001</v>
      </c>
      <c r="D937" s="14">
        <f>61.6825 * CHOOSE(CONTROL!$C$15, $E$9, 100%, $G$9) + CHOOSE(CONTROL!$C$38, 0.0347, 0)</f>
        <v>61.717199999999998</v>
      </c>
      <c r="E937" s="46">
        <f>66.5903 * CHOOSE(CONTROL!$C$15, $E$9, 100%, $G$9) + CHOOSE(CONTROL!$C$38, 0.0347, 0)</f>
        <v>66.625</v>
      </c>
      <c r="F937" s="45">
        <f>66.5903 * CHOOSE(CONTROL!$C$15, $E$9, 100%, $G$9) + CHOOSE(CONTROL!$C$38, 0.0256, 0)</f>
        <v>66.615899999999996</v>
      </c>
      <c r="G937" s="14">
        <f>61.6887 * CHOOSE(CONTROL!$C$15, $E$9, 100%, $G$9) + CHOOSE(CONTROL!$C$38, 0.0347, 0)</f>
        <v>61.723399999999998</v>
      </c>
      <c r="H937" s="14">
        <f>61.6887 * CHOOSE(CONTROL!$C$15, $E$9, 100%, $G$9) + CHOOSE(CONTROL!$C$38, 0.0347, 0)</f>
        <v>61.723399999999998</v>
      </c>
      <c r="I937" s="14">
        <f>61.6903 * CHOOSE(CONTROL!$C$15, $E$9, 100%, $G$9) + CHOOSE(CONTROL!$C$38, 0.0347, 0)</f>
        <v>61.725000000000001</v>
      </c>
      <c r="J937" s="44">
        <f>549.0595</f>
        <v>549.05949999999996</v>
      </c>
    </row>
    <row r="938" spans="1:10" ht="15.75" x14ac:dyDescent="0.25">
      <c r="A938" s="32">
        <v>69488</v>
      </c>
      <c r="B938" s="14">
        <f>66.2355 * CHOOSE(CONTROL!$C$15, $E$9, 100%, $G$9) + CHOOSE(CONTROL!$C$38, 0.0256, 0)</f>
        <v>66.261099999999999</v>
      </c>
      <c r="C938" s="14">
        <f>61.1792 * CHOOSE(CONTROL!$C$15, $E$9, 100%, $G$9) + CHOOSE(CONTROL!$C$38, 0.0347, 0)</f>
        <v>61.213900000000002</v>
      </c>
      <c r="D938" s="14">
        <f>61.1714 * CHOOSE(CONTROL!$C$15, $E$9, 100%, $G$9) + CHOOSE(CONTROL!$C$38, 0.0347, 0)</f>
        <v>61.206099999999999</v>
      </c>
      <c r="E938" s="46">
        <f>66.0793 * CHOOSE(CONTROL!$C$15, $E$9, 100%, $G$9) + CHOOSE(CONTROL!$C$38, 0.0347, 0)</f>
        <v>66.114000000000004</v>
      </c>
      <c r="F938" s="45">
        <f>66.0793 * CHOOSE(CONTROL!$C$15, $E$9, 100%, $G$9) + CHOOSE(CONTROL!$C$38, 0.0256, 0)</f>
        <v>66.104900000000001</v>
      </c>
      <c r="G938" s="14">
        <f>61.1777 * CHOOSE(CONTROL!$C$15, $E$9, 100%, $G$9) + CHOOSE(CONTROL!$C$38, 0.0347, 0)</f>
        <v>61.212400000000002</v>
      </c>
      <c r="H938" s="14">
        <f>61.1777 * CHOOSE(CONTROL!$C$15, $E$9, 100%, $G$9) + CHOOSE(CONTROL!$C$38, 0.0347, 0)</f>
        <v>61.212400000000002</v>
      </c>
      <c r="I938" s="14">
        <f>61.1792 * CHOOSE(CONTROL!$C$15, $E$9, 100%, $G$9) + CHOOSE(CONTROL!$C$38, 0.0347, 0)</f>
        <v>61.213900000000002</v>
      </c>
      <c r="J938" s="44">
        <f>577.9982</f>
        <v>577.9982</v>
      </c>
    </row>
    <row r="939" spans="1:10" ht="15.75" x14ac:dyDescent="0.25">
      <c r="A939" s="32">
        <v>69518</v>
      </c>
      <c r="B939" s="14">
        <f>65.7404 * CHOOSE(CONTROL!$C$15, $E$9, 100%, $G$9) + CHOOSE(CONTROL!$C$38, 0.0256, 0)</f>
        <v>65.765999999999991</v>
      </c>
      <c r="C939" s="14">
        <f>60.6841 * CHOOSE(CONTROL!$C$15, $E$9, 100%, $G$9) + CHOOSE(CONTROL!$C$38, 0.0347, 0)</f>
        <v>60.718800000000002</v>
      </c>
      <c r="D939" s="14">
        <f>60.6762 * CHOOSE(CONTROL!$C$15, $E$9, 100%, $G$9) + CHOOSE(CONTROL!$C$38, 0.0347, 0)</f>
        <v>60.710900000000002</v>
      </c>
      <c r="E939" s="46">
        <f>65.5841 * CHOOSE(CONTROL!$C$15, $E$9, 100%, $G$9) + CHOOSE(CONTROL!$C$38, 0.0347, 0)</f>
        <v>65.618800000000007</v>
      </c>
      <c r="F939" s="45">
        <f>65.5841 * CHOOSE(CONTROL!$C$15, $E$9, 100%, $G$9) + CHOOSE(CONTROL!$C$38, 0.0256, 0)</f>
        <v>65.609700000000004</v>
      </c>
      <c r="G939" s="14">
        <f>60.6825 * CHOOSE(CONTROL!$C$15, $E$9, 100%, $G$9) + CHOOSE(CONTROL!$C$38, 0.0347, 0)</f>
        <v>60.717199999999998</v>
      </c>
      <c r="H939" s="14">
        <f>60.6825 * CHOOSE(CONTROL!$C$15, $E$9, 100%, $G$9) + CHOOSE(CONTROL!$C$38, 0.0347, 0)</f>
        <v>60.717199999999998</v>
      </c>
      <c r="I939" s="14">
        <f>60.6841 * CHOOSE(CONTROL!$C$15, $E$9, 100%, $G$9) + CHOOSE(CONTROL!$C$38, 0.0347, 0)</f>
        <v>60.718800000000002</v>
      </c>
      <c r="J939" s="44">
        <f>615.5246</f>
        <v>615.52459999999996</v>
      </c>
    </row>
    <row r="940" spans="1:10" ht="15.75" x14ac:dyDescent="0.25">
      <c r="A940" s="32">
        <v>69549</v>
      </c>
      <c r="B940" s="14">
        <f>65.2242 * CHOOSE(CONTROL!$C$15, $E$9, 100%, $G$9) + CHOOSE(CONTROL!$C$38, 0.0278, 0)</f>
        <v>65.251999999999995</v>
      </c>
      <c r="C940" s="14">
        <f>60.1679 * CHOOSE(CONTROL!$C$15, $E$9, 100%, $G$9) + CHOOSE(CONTROL!$C$38, 0.0369, 0)</f>
        <v>60.204800000000006</v>
      </c>
      <c r="D940" s="14">
        <f>60.1601 * CHOOSE(CONTROL!$C$15, $E$9, 100%, $G$9) + CHOOSE(CONTROL!$C$38, 0.0369, 0)</f>
        <v>60.197000000000003</v>
      </c>
      <c r="E940" s="46">
        <f>65.068 * CHOOSE(CONTROL!$C$15, $E$9, 100%, $G$9) + CHOOSE(CONTROL!$C$38, 0.0369, 0)</f>
        <v>65.104900000000001</v>
      </c>
      <c r="F940" s="45">
        <f>65.068 * CHOOSE(CONTROL!$C$15, $E$9, 100%, $G$9) + CHOOSE(CONTROL!$C$38, 0.0278, 0)</f>
        <v>65.095799999999997</v>
      </c>
      <c r="G940" s="14">
        <f>60.1664 * CHOOSE(CONTROL!$C$15, $E$9, 100%, $G$9) + CHOOSE(CONTROL!$C$38, 0.0369, 0)</f>
        <v>60.203300000000006</v>
      </c>
      <c r="H940" s="14">
        <f>60.1664 * CHOOSE(CONTROL!$C$15, $E$9, 100%, $G$9) + CHOOSE(CONTROL!$C$38, 0.0369, 0)</f>
        <v>60.203300000000006</v>
      </c>
      <c r="I940" s="14">
        <f>60.1679 * CHOOSE(CONTROL!$C$15, $E$9, 100%, $G$9) + CHOOSE(CONTROL!$C$38, 0.0369, 0)</f>
        <v>60.204800000000006</v>
      </c>
      <c r="J940" s="44">
        <f>636.1804</f>
        <v>636.18039999999996</v>
      </c>
    </row>
    <row r="941" spans="1:10" ht="15.75" x14ac:dyDescent="0.25">
      <c r="A941" s="32">
        <v>69579</v>
      </c>
      <c r="B941" s="14">
        <f>64.8624 * CHOOSE(CONTROL!$C$15, $E$9, 100%, $G$9) + CHOOSE(CONTROL!$C$38, 0.0278, 0)</f>
        <v>64.890199999999993</v>
      </c>
      <c r="C941" s="14">
        <f>59.8061 * CHOOSE(CONTROL!$C$15, $E$9, 100%, $G$9) + CHOOSE(CONTROL!$C$38, 0.0369, 0)</f>
        <v>59.843000000000004</v>
      </c>
      <c r="D941" s="14">
        <f>59.7983 * CHOOSE(CONTROL!$C$15, $E$9, 100%, $G$9) + CHOOSE(CONTROL!$C$38, 0.0369, 0)</f>
        <v>59.8352</v>
      </c>
      <c r="E941" s="46">
        <f>64.7062 * CHOOSE(CONTROL!$C$15, $E$9, 100%, $G$9) + CHOOSE(CONTROL!$C$38, 0.0369, 0)</f>
        <v>64.743099999999998</v>
      </c>
      <c r="F941" s="45">
        <f>64.7062 * CHOOSE(CONTROL!$C$15, $E$9, 100%, $G$9) + CHOOSE(CONTROL!$C$38, 0.0278, 0)</f>
        <v>64.733999999999995</v>
      </c>
      <c r="G941" s="14">
        <f>59.8045 * CHOOSE(CONTROL!$C$15, $E$9, 100%, $G$9) + CHOOSE(CONTROL!$C$38, 0.0369, 0)</f>
        <v>59.8414</v>
      </c>
      <c r="H941" s="14">
        <f>59.8045 * CHOOSE(CONTROL!$C$15, $E$9, 100%, $G$9) + CHOOSE(CONTROL!$C$38, 0.0369, 0)</f>
        <v>59.8414</v>
      </c>
      <c r="I941" s="14">
        <f>59.8061 * CHOOSE(CONTROL!$C$15, $E$9, 100%, $G$9) + CHOOSE(CONTROL!$C$38, 0.0369, 0)</f>
        <v>59.843000000000004</v>
      </c>
      <c r="J941" s="44">
        <f>645.3471</f>
        <v>645.34709999999995</v>
      </c>
    </row>
    <row r="942" spans="1:10" ht="15.75" x14ac:dyDescent="0.25">
      <c r="A942" s="32">
        <v>69610</v>
      </c>
      <c r="B942" s="14">
        <f>64.6559 * CHOOSE(CONTROL!$C$15, $E$9, 100%, $G$9) + CHOOSE(CONTROL!$C$38, 0.0278, 0)</f>
        <v>64.683700000000002</v>
      </c>
      <c r="C942" s="14">
        <f>59.5996 * CHOOSE(CONTROL!$C$15, $E$9, 100%, $G$9) + CHOOSE(CONTROL!$C$38, 0.0369, 0)</f>
        <v>59.636500000000005</v>
      </c>
      <c r="D942" s="14">
        <f>59.5918 * CHOOSE(CONTROL!$C$15, $E$9, 100%, $G$9) + CHOOSE(CONTROL!$C$38, 0.0369, 0)</f>
        <v>59.628700000000002</v>
      </c>
      <c r="E942" s="46">
        <f>64.4997 * CHOOSE(CONTROL!$C$15, $E$9, 100%, $G$9) + CHOOSE(CONTROL!$C$38, 0.0369, 0)</f>
        <v>64.536600000000007</v>
      </c>
      <c r="F942" s="45">
        <f>64.4997 * CHOOSE(CONTROL!$C$15, $E$9, 100%, $G$9) + CHOOSE(CONTROL!$C$38, 0.0278, 0)</f>
        <v>64.527500000000003</v>
      </c>
      <c r="G942" s="14">
        <f>59.5981 * CHOOSE(CONTROL!$C$15, $E$9, 100%, $G$9) + CHOOSE(CONTROL!$C$38, 0.0369, 0)</f>
        <v>59.635000000000005</v>
      </c>
      <c r="H942" s="14">
        <f>59.5981 * CHOOSE(CONTROL!$C$15, $E$9, 100%, $G$9) + CHOOSE(CONTROL!$C$38, 0.0369, 0)</f>
        <v>59.635000000000005</v>
      </c>
      <c r="I942" s="14">
        <f>59.5996 * CHOOSE(CONTROL!$C$15, $E$9, 100%, $G$9) + CHOOSE(CONTROL!$C$38, 0.0369, 0)</f>
        <v>59.636500000000005</v>
      </c>
      <c r="J942" s="44">
        <f>642.329</f>
        <v>642.32899999999995</v>
      </c>
    </row>
    <row r="943" spans="1:10" ht="15.75" x14ac:dyDescent="0.25">
      <c r="A943" s="32">
        <v>69641</v>
      </c>
      <c r="B943" s="14">
        <f>64.7578 * CHOOSE(CONTROL!$C$15, $E$9, 100%, $G$9) + CHOOSE(CONTROL!$C$38, 0.0278, 0)</f>
        <v>64.785600000000002</v>
      </c>
      <c r="C943" s="14">
        <f>59.7015 * CHOOSE(CONTROL!$C$15, $E$9, 100%, $G$9) + CHOOSE(CONTROL!$C$38, 0.0369, 0)</f>
        <v>59.738400000000006</v>
      </c>
      <c r="D943" s="14">
        <f>59.6937 * CHOOSE(CONTROL!$C$15, $E$9, 100%, $G$9) + CHOOSE(CONTROL!$C$38, 0.0369, 0)</f>
        <v>59.730600000000003</v>
      </c>
      <c r="E943" s="46">
        <f>64.6016 * CHOOSE(CONTROL!$C$15, $E$9, 100%, $G$9) + CHOOSE(CONTROL!$C$38, 0.0369, 0)</f>
        <v>64.638500000000008</v>
      </c>
      <c r="F943" s="45">
        <f>64.6016 * CHOOSE(CONTROL!$C$15, $E$9, 100%, $G$9) + CHOOSE(CONTROL!$C$38, 0.0278, 0)</f>
        <v>64.629400000000004</v>
      </c>
      <c r="G943" s="14">
        <f>59.7 * CHOOSE(CONTROL!$C$15, $E$9, 100%, $G$9) + CHOOSE(CONTROL!$C$38, 0.0369, 0)</f>
        <v>59.736900000000006</v>
      </c>
      <c r="H943" s="14">
        <f>59.7 * CHOOSE(CONTROL!$C$15, $E$9, 100%, $G$9) + CHOOSE(CONTROL!$C$38, 0.0369, 0)</f>
        <v>59.736900000000006</v>
      </c>
      <c r="I943" s="14">
        <f>59.7015 * CHOOSE(CONTROL!$C$15, $E$9, 100%, $G$9) + CHOOSE(CONTROL!$C$38, 0.0369, 0)</f>
        <v>59.738400000000006</v>
      </c>
      <c r="J943" s="44">
        <f>627.3758</f>
        <v>627.37580000000003</v>
      </c>
    </row>
    <row r="944" spans="1:10" ht="15.75" x14ac:dyDescent="0.25">
      <c r="A944" s="32">
        <v>69671</v>
      </c>
      <c r="B944" s="14">
        <f>65.0346 * CHOOSE(CONTROL!$C$15, $E$9, 100%, $G$9) + CHOOSE(CONTROL!$C$38, 0.0278, 0)</f>
        <v>65.062399999999997</v>
      </c>
      <c r="C944" s="14">
        <f>59.9783 * CHOOSE(CONTROL!$C$15, $E$9, 100%, $G$9) + CHOOSE(CONTROL!$C$38, 0.0369, 0)</f>
        <v>60.0152</v>
      </c>
      <c r="D944" s="14">
        <f>59.9705 * CHOOSE(CONTROL!$C$15, $E$9, 100%, $G$9) + CHOOSE(CONTROL!$C$38, 0.0369, 0)</f>
        <v>60.007400000000004</v>
      </c>
      <c r="E944" s="46">
        <f>64.8784 * CHOOSE(CONTROL!$C$15, $E$9, 100%, $G$9) + CHOOSE(CONTROL!$C$38, 0.0369, 0)</f>
        <v>64.915300000000002</v>
      </c>
      <c r="F944" s="45">
        <f>64.8784 * CHOOSE(CONTROL!$C$15, $E$9, 100%, $G$9) + CHOOSE(CONTROL!$C$38, 0.0278, 0)</f>
        <v>64.906199999999998</v>
      </c>
      <c r="G944" s="14">
        <f>59.9768 * CHOOSE(CONTROL!$C$15, $E$9, 100%, $G$9) + CHOOSE(CONTROL!$C$38, 0.0369, 0)</f>
        <v>60.0137</v>
      </c>
      <c r="H944" s="14">
        <f>59.9768 * CHOOSE(CONTROL!$C$15, $E$9, 100%, $G$9) + CHOOSE(CONTROL!$C$38, 0.0369, 0)</f>
        <v>60.0137</v>
      </c>
      <c r="I944" s="14">
        <f>59.9783 * CHOOSE(CONTROL!$C$15, $E$9, 100%, $G$9) + CHOOSE(CONTROL!$C$38, 0.0369, 0)</f>
        <v>60.0152</v>
      </c>
      <c r="J944" s="44">
        <f>606.5229</f>
        <v>606.52290000000005</v>
      </c>
    </row>
    <row r="945" spans="1:10" ht="15.75" x14ac:dyDescent="0.25">
      <c r="A945" s="32">
        <v>69702</v>
      </c>
      <c r="B945" s="14">
        <f>65.2665 * CHOOSE(CONTROL!$C$15, $E$9, 100%, $G$9) + CHOOSE(CONTROL!$C$38, 0.0256, 0)</f>
        <v>65.292099999999991</v>
      </c>
      <c r="C945" s="14">
        <f>60.2101 * CHOOSE(CONTROL!$C$15, $E$9, 100%, $G$9) + CHOOSE(CONTROL!$C$38, 0.0347, 0)</f>
        <v>60.244799999999998</v>
      </c>
      <c r="D945" s="14">
        <f>60.2023 * CHOOSE(CONTROL!$C$15, $E$9, 100%, $G$9) + CHOOSE(CONTROL!$C$38, 0.0347, 0)</f>
        <v>60.237000000000002</v>
      </c>
      <c r="E945" s="46">
        <f>65.1102 * CHOOSE(CONTROL!$C$15, $E$9, 100%, $G$9) + CHOOSE(CONTROL!$C$38, 0.0347, 0)</f>
        <v>65.144900000000007</v>
      </c>
      <c r="F945" s="45">
        <f>65.1102 * CHOOSE(CONTROL!$C$15, $E$9, 100%, $G$9) + CHOOSE(CONTROL!$C$38, 0.0256, 0)</f>
        <v>65.135800000000003</v>
      </c>
      <c r="G945" s="14">
        <f>60.2086 * CHOOSE(CONTROL!$C$15, $E$9, 100%, $G$9) + CHOOSE(CONTROL!$C$38, 0.0347, 0)</f>
        <v>60.243299999999998</v>
      </c>
      <c r="H945" s="14">
        <f>60.2086 * CHOOSE(CONTROL!$C$15, $E$9, 100%, $G$9) + CHOOSE(CONTROL!$C$38, 0.0347, 0)</f>
        <v>60.243299999999998</v>
      </c>
      <c r="I945" s="14">
        <f>60.2101 * CHOOSE(CONTROL!$C$15, $E$9, 100%, $G$9) + CHOOSE(CONTROL!$C$38, 0.0347, 0)</f>
        <v>60.244799999999998</v>
      </c>
      <c r="J945" s="44">
        <f>585.5488</f>
        <v>585.54880000000003</v>
      </c>
    </row>
    <row r="946" spans="1:10" ht="15.75" x14ac:dyDescent="0.25">
      <c r="A946" s="32">
        <v>69732</v>
      </c>
      <c r="B946" s="14">
        <f>65.4599 * CHOOSE(CONTROL!$C$15, $E$9, 100%, $G$9) + CHOOSE(CONTROL!$C$38, 0.0256, 0)</f>
        <v>65.485500000000002</v>
      </c>
      <c r="C946" s="14">
        <f>60.4036 * CHOOSE(CONTROL!$C$15, $E$9, 100%, $G$9) + CHOOSE(CONTROL!$C$38, 0.0347, 0)</f>
        <v>60.438299999999998</v>
      </c>
      <c r="D946" s="14">
        <f>60.3958 * CHOOSE(CONTROL!$C$15, $E$9, 100%, $G$9) + CHOOSE(CONTROL!$C$38, 0.0347, 0)</f>
        <v>60.430500000000002</v>
      </c>
      <c r="E946" s="46">
        <f>65.3036 * CHOOSE(CONTROL!$C$15, $E$9, 100%, $G$9) + CHOOSE(CONTROL!$C$38, 0.0347, 0)</f>
        <v>65.338300000000004</v>
      </c>
      <c r="F946" s="45">
        <f>65.3036 * CHOOSE(CONTROL!$C$15, $E$9, 100%, $G$9) + CHOOSE(CONTROL!$C$38, 0.0256, 0)</f>
        <v>65.3292</v>
      </c>
      <c r="G946" s="14">
        <f>60.402 * CHOOSE(CONTROL!$C$15, $E$9, 100%, $G$9) + CHOOSE(CONTROL!$C$38, 0.0347, 0)</f>
        <v>60.436700000000002</v>
      </c>
      <c r="H946" s="14">
        <f>60.402 * CHOOSE(CONTROL!$C$15, $E$9, 100%, $G$9) + CHOOSE(CONTROL!$C$38, 0.0347, 0)</f>
        <v>60.436700000000002</v>
      </c>
      <c r="I946" s="14">
        <f>60.4036 * CHOOSE(CONTROL!$C$15, $E$9, 100%, $G$9) + CHOOSE(CONTROL!$C$38, 0.0347, 0)</f>
        <v>60.438299999999998</v>
      </c>
      <c r="J946" s="44">
        <f>581.3766</f>
        <v>581.37660000000005</v>
      </c>
    </row>
    <row r="947" spans="1:10" ht="15.75" x14ac:dyDescent="0.25">
      <c r="A947" s="32">
        <v>69763</v>
      </c>
      <c r="B947" s="14">
        <f>66.056 * CHOOSE(CONTROL!$C$15, $E$9, 100%, $G$9) + CHOOSE(CONTROL!$C$38, 0.0256, 0)</f>
        <v>66.081599999999995</v>
      </c>
      <c r="C947" s="14">
        <f>60.9997 * CHOOSE(CONTROL!$C$15, $E$9, 100%, $G$9) + CHOOSE(CONTROL!$C$38, 0.0347, 0)</f>
        <v>61.034399999999998</v>
      </c>
      <c r="D947" s="14">
        <f>60.9918 * CHOOSE(CONTROL!$C$15, $E$9, 100%, $G$9) + CHOOSE(CONTROL!$C$38, 0.0347, 0)</f>
        <v>61.026499999999999</v>
      </c>
      <c r="E947" s="46">
        <f>65.8997 * CHOOSE(CONTROL!$C$15, $E$9, 100%, $G$9) + CHOOSE(CONTROL!$C$38, 0.0347, 0)</f>
        <v>65.934399999999997</v>
      </c>
      <c r="F947" s="45">
        <f>65.8997 * CHOOSE(CONTROL!$C$15, $E$9, 100%, $G$9) + CHOOSE(CONTROL!$C$38, 0.0256, 0)</f>
        <v>65.925299999999993</v>
      </c>
      <c r="G947" s="14">
        <f>60.9981 * CHOOSE(CONTROL!$C$15, $E$9, 100%, $G$9) + CHOOSE(CONTROL!$C$38, 0.0347, 0)</f>
        <v>61.032800000000002</v>
      </c>
      <c r="H947" s="14">
        <f>60.9981 * CHOOSE(CONTROL!$C$15, $E$9, 100%, $G$9) + CHOOSE(CONTROL!$C$38, 0.0347, 0)</f>
        <v>61.032800000000002</v>
      </c>
      <c r="I947" s="14">
        <f>60.9997 * CHOOSE(CONTROL!$C$15, $E$9, 100%, $G$9) + CHOOSE(CONTROL!$C$38, 0.0347, 0)</f>
        <v>61.034399999999998</v>
      </c>
      <c r="J947" s="44">
        <f>564.1242</f>
        <v>564.12419999999997</v>
      </c>
    </row>
    <row r="948" spans="1:10" ht="15.75" x14ac:dyDescent="0.25">
      <c r="A948" s="32">
        <v>69794</v>
      </c>
      <c r="B948" s="14">
        <f>67.5904 * CHOOSE(CONTROL!$C$15, $E$9, 100%, $G$9) + CHOOSE(CONTROL!$C$38, 0.0256, 0)</f>
        <v>67.616</v>
      </c>
      <c r="C948" s="14">
        <f>62.4537 * CHOOSE(CONTROL!$C$15, $E$9, 100%, $G$9) + CHOOSE(CONTROL!$C$38, 0.0347, 0)</f>
        <v>62.488399999999999</v>
      </c>
      <c r="D948" s="14">
        <f>62.4459 * CHOOSE(CONTROL!$C$15, $E$9, 100%, $G$9) + CHOOSE(CONTROL!$C$38, 0.0347, 0)</f>
        <v>62.480600000000003</v>
      </c>
      <c r="E948" s="46">
        <f>67.4341 * CHOOSE(CONTROL!$C$15, $E$9, 100%, $G$9) + CHOOSE(CONTROL!$C$38, 0.0347, 0)</f>
        <v>67.468800000000002</v>
      </c>
      <c r="F948" s="45">
        <f>67.4341 * CHOOSE(CONTROL!$C$15, $E$9, 100%, $G$9) + CHOOSE(CONTROL!$C$38, 0.0256, 0)</f>
        <v>67.459699999999998</v>
      </c>
      <c r="G948" s="14">
        <f>62.4521 * CHOOSE(CONTROL!$C$15, $E$9, 100%, $G$9) + CHOOSE(CONTROL!$C$38, 0.0347, 0)</f>
        <v>62.486800000000002</v>
      </c>
      <c r="H948" s="14">
        <f>62.4521 * CHOOSE(CONTROL!$C$15, $E$9, 100%, $G$9) + CHOOSE(CONTROL!$C$38, 0.0347, 0)</f>
        <v>62.486800000000002</v>
      </c>
      <c r="I948" s="14">
        <f>62.4537 * CHOOSE(CONTROL!$C$15, $E$9, 100%, $G$9) + CHOOSE(CONTROL!$C$38, 0.0347, 0)</f>
        <v>62.488399999999999</v>
      </c>
      <c r="J948" s="44">
        <f>563.0468</f>
        <v>563.04679999999996</v>
      </c>
    </row>
    <row r="949" spans="1:10" ht="15.75" x14ac:dyDescent="0.25">
      <c r="A949" s="32">
        <v>69822</v>
      </c>
      <c r="B949" s="14">
        <f>67.8111 * CHOOSE(CONTROL!$C$15, $E$9, 100%, $G$9) + CHOOSE(CONTROL!$C$38, 0.0256, 0)</f>
        <v>67.836699999999993</v>
      </c>
      <c r="C949" s="14">
        <f>62.6745 * CHOOSE(CONTROL!$C$15, $E$9, 100%, $G$9) + CHOOSE(CONTROL!$C$38, 0.0347, 0)</f>
        <v>62.709200000000003</v>
      </c>
      <c r="D949" s="14">
        <f>62.6667 * CHOOSE(CONTROL!$C$15, $E$9, 100%, $G$9) + CHOOSE(CONTROL!$C$38, 0.0347, 0)</f>
        <v>62.7014</v>
      </c>
      <c r="E949" s="46">
        <f>67.6549 * CHOOSE(CONTROL!$C$15, $E$9, 100%, $G$9) + CHOOSE(CONTROL!$C$38, 0.0347, 0)</f>
        <v>67.689599999999999</v>
      </c>
      <c r="F949" s="45">
        <f>67.6549 * CHOOSE(CONTROL!$C$15, $E$9, 100%, $G$9) + CHOOSE(CONTROL!$C$38, 0.0256, 0)</f>
        <v>67.680499999999995</v>
      </c>
      <c r="G949" s="14">
        <f>62.6729 * CHOOSE(CONTROL!$C$15, $E$9, 100%, $G$9) + CHOOSE(CONTROL!$C$38, 0.0347, 0)</f>
        <v>62.707599999999999</v>
      </c>
      <c r="H949" s="14">
        <f>62.6729 * CHOOSE(CONTROL!$C$15, $E$9, 100%, $G$9) + CHOOSE(CONTROL!$C$38, 0.0347, 0)</f>
        <v>62.707599999999999</v>
      </c>
      <c r="I949" s="14">
        <f>62.6745 * CHOOSE(CONTROL!$C$15, $E$9, 100%, $G$9) + CHOOSE(CONTROL!$C$38, 0.0347, 0)</f>
        <v>62.709200000000003</v>
      </c>
      <c r="J949" s="44">
        <f>561.4817</f>
        <v>561.48170000000005</v>
      </c>
    </row>
    <row r="950" spans="1:10" ht="15.75" x14ac:dyDescent="0.25">
      <c r="A950" s="32">
        <v>69853</v>
      </c>
      <c r="B950" s="14">
        <f>67.3001 * CHOOSE(CONTROL!$C$15, $E$9, 100%, $G$9) + CHOOSE(CONTROL!$C$38, 0.0256, 0)</f>
        <v>67.325699999999998</v>
      </c>
      <c r="C950" s="14">
        <f>62.1634 * CHOOSE(CONTROL!$C$15, $E$9, 100%, $G$9) + CHOOSE(CONTROL!$C$38, 0.0347, 0)</f>
        <v>62.198100000000004</v>
      </c>
      <c r="D950" s="14">
        <f>62.1556 * CHOOSE(CONTROL!$C$15, $E$9, 100%, $G$9) + CHOOSE(CONTROL!$C$38, 0.0347, 0)</f>
        <v>62.190300000000001</v>
      </c>
      <c r="E950" s="46">
        <f>67.1438 * CHOOSE(CONTROL!$C$15, $E$9, 100%, $G$9) + CHOOSE(CONTROL!$C$38, 0.0347, 0)</f>
        <v>67.1785</v>
      </c>
      <c r="F950" s="45">
        <f>67.1438 * CHOOSE(CONTROL!$C$15, $E$9, 100%, $G$9) + CHOOSE(CONTROL!$C$38, 0.0256, 0)</f>
        <v>67.169399999999996</v>
      </c>
      <c r="G950" s="14">
        <f>62.1619 * CHOOSE(CONTROL!$C$15, $E$9, 100%, $G$9) + CHOOSE(CONTROL!$C$38, 0.0347, 0)</f>
        <v>62.196600000000004</v>
      </c>
      <c r="H950" s="14">
        <f>62.1619 * CHOOSE(CONTROL!$C$15, $E$9, 100%, $G$9) + CHOOSE(CONTROL!$C$38, 0.0347, 0)</f>
        <v>62.196600000000004</v>
      </c>
      <c r="I950" s="14">
        <f>62.1634 * CHOOSE(CONTROL!$C$15, $E$9, 100%, $G$9) + CHOOSE(CONTROL!$C$38, 0.0347, 0)</f>
        <v>62.198100000000004</v>
      </c>
      <c r="J950" s="44">
        <f>591.0751</f>
        <v>591.07510000000002</v>
      </c>
    </row>
    <row r="951" spans="1:10" ht="15.75" x14ac:dyDescent="0.25">
      <c r="A951" s="32">
        <v>69883</v>
      </c>
      <c r="B951" s="14">
        <f>66.8049 * CHOOSE(CONTROL!$C$15, $E$9, 100%, $G$9) + CHOOSE(CONTROL!$C$38, 0.0256, 0)</f>
        <v>66.830500000000001</v>
      </c>
      <c r="C951" s="14">
        <f>61.6683 * CHOOSE(CONTROL!$C$15, $E$9, 100%, $G$9) + CHOOSE(CONTROL!$C$38, 0.0347, 0)</f>
        <v>61.703000000000003</v>
      </c>
      <c r="D951" s="14">
        <f>61.6604 * CHOOSE(CONTROL!$C$15, $E$9, 100%, $G$9) + CHOOSE(CONTROL!$C$38, 0.0347, 0)</f>
        <v>61.695100000000004</v>
      </c>
      <c r="E951" s="46">
        <f>66.6487 * CHOOSE(CONTROL!$C$15, $E$9, 100%, $G$9) + CHOOSE(CONTROL!$C$38, 0.0347, 0)</f>
        <v>66.683400000000006</v>
      </c>
      <c r="F951" s="45">
        <f>66.6487 * CHOOSE(CONTROL!$C$15, $E$9, 100%, $G$9) + CHOOSE(CONTROL!$C$38, 0.0256, 0)</f>
        <v>66.674300000000002</v>
      </c>
      <c r="G951" s="14">
        <f>61.6667 * CHOOSE(CONTROL!$C$15, $E$9, 100%, $G$9) + CHOOSE(CONTROL!$C$38, 0.0347, 0)</f>
        <v>61.7014</v>
      </c>
      <c r="H951" s="14">
        <f>61.6667 * CHOOSE(CONTROL!$C$15, $E$9, 100%, $G$9) + CHOOSE(CONTROL!$C$38, 0.0347, 0)</f>
        <v>61.7014</v>
      </c>
      <c r="I951" s="14">
        <f>61.6683 * CHOOSE(CONTROL!$C$15, $E$9, 100%, $G$9) + CHOOSE(CONTROL!$C$38, 0.0347, 0)</f>
        <v>61.703000000000003</v>
      </c>
      <c r="J951" s="44">
        <f>629.4506</f>
        <v>629.45060000000001</v>
      </c>
    </row>
    <row r="952" spans="1:10" ht="15.75" x14ac:dyDescent="0.25">
      <c r="A952" s="32">
        <v>69914</v>
      </c>
      <c r="B952" s="14">
        <f>66.2888 * CHOOSE(CONTROL!$C$15, $E$9, 100%, $G$9) + CHOOSE(CONTROL!$C$38, 0.0278, 0)</f>
        <v>66.316599999999994</v>
      </c>
      <c r="C952" s="14">
        <f>61.1521 * CHOOSE(CONTROL!$C$15, $E$9, 100%, $G$9) + CHOOSE(CONTROL!$C$38, 0.0369, 0)</f>
        <v>61.189</v>
      </c>
      <c r="D952" s="14">
        <f>61.1443 * CHOOSE(CONTROL!$C$15, $E$9, 100%, $G$9) + CHOOSE(CONTROL!$C$38, 0.0369, 0)</f>
        <v>61.181200000000004</v>
      </c>
      <c r="E952" s="46">
        <f>66.1325 * CHOOSE(CONTROL!$C$15, $E$9, 100%, $G$9) + CHOOSE(CONTROL!$C$38, 0.0369, 0)</f>
        <v>66.169399999999996</v>
      </c>
      <c r="F952" s="45">
        <f>66.1325 * CHOOSE(CONTROL!$C$15, $E$9, 100%, $G$9) + CHOOSE(CONTROL!$C$38, 0.0278, 0)</f>
        <v>66.160299999999992</v>
      </c>
      <c r="G952" s="14">
        <f>61.1506 * CHOOSE(CONTROL!$C$15, $E$9, 100%, $G$9) + CHOOSE(CONTROL!$C$38, 0.0369, 0)</f>
        <v>61.1875</v>
      </c>
      <c r="H952" s="14">
        <f>61.1506 * CHOOSE(CONTROL!$C$15, $E$9, 100%, $G$9) + CHOOSE(CONTROL!$C$38, 0.0369, 0)</f>
        <v>61.1875</v>
      </c>
      <c r="I952" s="14">
        <f>61.1521 * CHOOSE(CONTROL!$C$15, $E$9, 100%, $G$9) + CHOOSE(CONTROL!$C$38, 0.0369, 0)</f>
        <v>61.189</v>
      </c>
      <c r="J952" s="44">
        <f>650.5737</f>
        <v>650.57370000000003</v>
      </c>
    </row>
    <row r="953" spans="1:10" ht="15.75" x14ac:dyDescent="0.25">
      <c r="A953" s="32">
        <v>69944</v>
      </c>
      <c r="B953" s="14">
        <f>65.927 * CHOOSE(CONTROL!$C$15, $E$9, 100%, $G$9) + CHOOSE(CONTROL!$C$38, 0.0278, 0)</f>
        <v>65.954800000000006</v>
      </c>
      <c r="C953" s="14">
        <f>60.7903 * CHOOSE(CONTROL!$C$15, $E$9, 100%, $G$9) + CHOOSE(CONTROL!$C$38, 0.0369, 0)</f>
        <v>60.827200000000005</v>
      </c>
      <c r="D953" s="14">
        <f>60.7825 * CHOOSE(CONTROL!$C$15, $E$9, 100%, $G$9) + CHOOSE(CONTROL!$C$38, 0.0369, 0)</f>
        <v>60.819400000000002</v>
      </c>
      <c r="E953" s="46">
        <f>65.7707 * CHOOSE(CONTROL!$C$15, $E$9, 100%, $G$9) + CHOOSE(CONTROL!$C$38, 0.0369, 0)</f>
        <v>65.807600000000008</v>
      </c>
      <c r="F953" s="45">
        <f>65.7707 * CHOOSE(CONTROL!$C$15, $E$9, 100%, $G$9) + CHOOSE(CONTROL!$C$38, 0.0278, 0)</f>
        <v>65.798500000000004</v>
      </c>
      <c r="G953" s="14">
        <f>60.7887 * CHOOSE(CONTROL!$C$15, $E$9, 100%, $G$9) + CHOOSE(CONTROL!$C$38, 0.0369, 0)</f>
        <v>60.825600000000001</v>
      </c>
      <c r="H953" s="14">
        <f>60.7887 * CHOOSE(CONTROL!$C$15, $E$9, 100%, $G$9) + CHOOSE(CONTROL!$C$38, 0.0369, 0)</f>
        <v>60.825600000000001</v>
      </c>
      <c r="I953" s="14">
        <f>60.7903 * CHOOSE(CONTROL!$C$15, $E$9, 100%, $G$9) + CHOOSE(CONTROL!$C$38, 0.0369, 0)</f>
        <v>60.827200000000005</v>
      </c>
      <c r="J953" s="44">
        <f>659.9477</f>
        <v>659.94770000000005</v>
      </c>
    </row>
    <row r="954" spans="1:10" ht="15.75" x14ac:dyDescent="0.25">
      <c r="A954" s="32">
        <v>69975</v>
      </c>
      <c r="B954" s="14">
        <f>65.7205 * CHOOSE(CONTROL!$C$15, $E$9, 100%, $G$9) + CHOOSE(CONTROL!$C$38, 0.0278, 0)</f>
        <v>65.7483</v>
      </c>
      <c r="C954" s="14">
        <f>60.5838 * CHOOSE(CONTROL!$C$15, $E$9, 100%, $G$9) + CHOOSE(CONTROL!$C$38, 0.0369, 0)</f>
        <v>60.620699999999999</v>
      </c>
      <c r="D954" s="14">
        <f>60.576 * CHOOSE(CONTROL!$C$15, $E$9, 100%, $G$9) + CHOOSE(CONTROL!$C$38, 0.0369, 0)</f>
        <v>60.612900000000003</v>
      </c>
      <c r="E954" s="46">
        <f>65.5642 * CHOOSE(CONTROL!$C$15, $E$9, 100%, $G$9) + CHOOSE(CONTROL!$C$38, 0.0369, 0)</f>
        <v>65.601100000000002</v>
      </c>
      <c r="F954" s="45">
        <f>65.5642 * CHOOSE(CONTROL!$C$15, $E$9, 100%, $G$9) + CHOOSE(CONTROL!$C$38, 0.0278, 0)</f>
        <v>65.591999999999999</v>
      </c>
      <c r="G954" s="14">
        <f>60.5823 * CHOOSE(CONTROL!$C$15, $E$9, 100%, $G$9) + CHOOSE(CONTROL!$C$38, 0.0369, 0)</f>
        <v>60.619199999999999</v>
      </c>
      <c r="H954" s="14">
        <f>60.5823 * CHOOSE(CONTROL!$C$15, $E$9, 100%, $G$9) + CHOOSE(CONTROL!$C$38, 0.0369, 0)</f>
        <v>60.619199999999999</v>
      </c>
      <c r="I954" s="14">
        <f>60.5838 * CHOOSE(CONTROL!$C$15, $E$9, 100%, $G$9) + CHOOSE(CONTROL!$C$38, 0.0369, 0)</f>
        <v>60.620699999999999</v>
      </c>
      <c r="J954" s="44">
        <f>656.8614</f>
        <v>656.8614</v>
      </c>
    </row>
    <row r="955" spans="1:10" ht="15.75" x14ac:dyDescent="0.25">
      <c r="A955" s="32">
        <v>70006</v>
      </c>
      <c r="B955" s="14">
        <f>65.8224 * CHOOSE(CONTROL!$C$15, $E$9, 100%, $G$9) + CHOOSE(CONTROL!$C$38, 0.0278, 0)</f>
        <v>65.850200000000001</v>
      </c>
      <c r="C955" s="14">
        <f>60.6857 * CHOOSE(CONTROL!$C$15, $E$9, 100%, $G$9) + CHOOSE(CONTROL!$C$38, 0.0369, 0)</f>
        <v>60.7226</v>
      </c>
      <c r="D955" s="14">
        <f>60.6779 * CHOOSE(CONTROL!$C$15, $E$9, 100%, $G$9) + CHOOSE(CONTROL!$C$38, 0.0369, 0)</f>
        <v>60.714800000000004</v>
      </c>
      <c r="E955" s="46">
        <f>65.6661 * CHOOSE(CONTROL!$C$15, $E$9, 100%, $G$9) + CHOOSE(CONTROL!$C$38, 0.0369, 0)</f>
        <v>65.703000000000003</v>
      </c>
      <c r="F955" s="45">
        <f>65.6661 * CHOOSE(CONTROL!$C$15, $E$9, 100%, $G$9) + CHOOSE(CONTROL!$C$38, 0.0278, 0)</f>
        <v>65.693899999999999</v>
      </c>
      <c r="G955" s="14">
        <f>60.6842 * CHOOSE(CONTROL!$C$15, $E$9, 100%, $G$9) + CHOOSE(CONTROL!$C$38, 0.0369, 0)</f>
        <v>60.7211</v>
      </c>
      <c r="H955" s="14">
        <f>60.6842 * CHOOSE(CONTROL!$C$15, $E$9, 100%, $G$9) + CHOOSE(CONTROL!$C$38, 0.0369, 0)</f>
        <v>60.7211</v>
      </c>
      <c r="I955" s="14">
        <f>60.6857 * CHOOSE(CONTROL!$C$15, $E$9, 100%, $G$9) + CHOOSE(CONTROL!$C$38, 0.0369, 0)</f>
        <v>60.7226</v>
      </c>
      <c r="J955" s="44">
        <f>641.5699</f>
        <v>641.56989999999996</v>
      </c>
    </row>
    <row r="956" spans="1:10" ht="15.75" x14ac:dyDescent="0.25">
      <c r="A956" s="32">
        <v>70036</v>
      </c>
      <c r="B956" s="14">
        <f>66.0992 * CHOOSE(CONTROL!$C$15, $E$9, 100%, $G$9) + CHOOSE(CONTROL!$C$38, 0.0278, 0)</f>
        <v>66.126999999999995</v>
      </c>
      <c r="C956" s="14">
        <f>60.9625 * CHOOSE(CONTROL!$C$15, $E$9, 100%, $G$9) + CHOOSE(CONTROL!$C$38, 0.0369, 0)</f>
        <v>60.999400000000001</v>
      </c>
      <c r="D956" s="14">
        <f>60.9547 * CHOOSE(CONTROL!$C$15, $E$9, 100%, $G$9) + CHOOSE(CONTROL!$C$38, 0.0369, 0)</f>
        <v>60.991600000000005</v>
      </c>
      <c r="E956" s="46">
        <f>65.9429 * CHOOSE(CONTROL!$C$15, $E$9, 100%, $G$9) + CHOOSE(CONTROL!$C$38, 0.0369, 0)</f>
        <v>65.979799999999997</v>
      </c>
      <c r="F956" s="45">
        <f>65.9429 * CHOOSE(CONTROL!$C$15, $E$9, 100%, $G$9) + CHOOSE(CONTROL!$C$38, 0.0278, 0)</f>
        <v>65.970699999999994</v>
      </c>
      <c r="G956" s="14">
        <f>60.961 * CHOOSE(CONTROL!$C$15, $E$9, 100%, $G$9) + CHOOSE(CONTROL!$C$38, 0.0369, 0)</f>
        <v>60.997900000000001</v>
      </c>
      <c r="H956" s="14">
        <f>60.961 * CHOOSE(CONTROL!$C$15, $E$9, 100%, $G$9) + CHOOSE(CONTROL!$C$38, 0.0369, 0)</f>
        <v>60.997900000000001</v>
      </c>
      <c r="I956" s="14">
        <f>60.9625 * CHOOSE(CONTROL!$C$15, $E$9, 100%, $G$9) + CHOOSE(CONTROL!$C$38, 0.0369, 0)</f>
        <v>60.999400000000001</v>
      </c>
      <c r="J956" s="44">
        <f>620.2452</f>
        <v>620.24519999999995</v>
      </c>
    </row>
    <row r="957" spans="1:10" ht="15.75" x14ac:dyDescent="0.25">
      <c r="A957" s="32">
        <v>70067</v>
      </c>
      <c r="B957" s="14">
        <f>66.331 * CHOOSE(CONTROL!$C$15, $E$9, 100%, $G$9) + CHOOSE(CONTROL!$C$38, 0.0256, 0)</f>
        <v>66.3566</v>
      </c>
      <c r="C957" s="14">
        <f>61.1943 * CHOOSE(CONTROL!$C$15, $E$9, 100%, $G$9) + CHOOSE(CONTROL!$C$38, 0.0347, 0)</f>
        <v>61.228999999999999</v>
      </c>
      <c r="D957" s="14">
        <f>61.1865 * CHOOSE(CONTROL!$C$15, $E$9, 100%, $G$9) + CHOOSE(CONTROL!$C$38, 0.0347, 0)</f>
        <v>61.221200000000003</v>
      </c>
      <c r="E957" s="46">
        <f>66.1747 * CHOOSE(CONTROL!$C$15, $E$9, 100%, $G$9) + CHOOSE(CONTROL!$C$38, 0.0347, 0)</f>
        <v>66.209400000000002</v>
      </c>
      <c r="F957" s="45">
        <f>66.1747 * CHOOSE(CONTROL!$C$15, $E$9, 100%, $G$9) + CHOOSE(CONTROL!$C$38, 0.0256, 0)</f>
        <v>66.200299999999999</v>
      </c>
      <c r="G957" s="14">
        <f>61.1928 * CHOOSE(CONTROL!$C$15, $E$9, 100%, $G$9) + CHOOSE(CONTROL!$C$38, 0.0347, 0)</f>
        <v>61.227499999999999</v>
      </c>
      <c r="H957" s="14">
        <f>61.1928 * CHOOSE(CONTROL!$C$15, $E$9, 100%, $G$9) + CHOOSE(CONTROL!$C$38, 0.0347, 0)</f>
        <v>61.227499999999999</v>
      </c>
      <c r="I957" s="14">
        <f>61.1943 * CHOOSE(CONTROL!$C$15, $E$9, 100%, $G$9) + CHOOSE(CONTROL!$C$38, 0.0347, 0)</f>
        <v>61.228999999999999</v>
      </c>
      <c r="J957" s="44">
        <f>598.7965</f>
        <v>598.79650000000004</v>
      </c>
    </row>
    <row r="958" spans="1:10" ht="15.75" x14ac:dyDescent="0.25">
      <c r="A958" s="32">
        <v>70097</v>
      </c>
      <c r="B958" s="14">
        <f>66.5244 * CHOOSE(CONTROL!$C$15, $E$9, 100%, $G$9) + CHOOSE(CONTROL!$C$38, 0.0256, 0)</f>
        <v>66.55</v>
      </c>
      <c r="C958" s="14">
        <f>61.3878 * CHOOSE(CONTROL!$C$15, $E$9, 100%, $G$9) + CHOOSE(CONTROL!$C$38, 0.0347, 0)</f>
        <v>61.422499999999999</v>
      </c>
      <c r="D958" s="14">
        <f>61.38 * CHOOSE(CONTROL!$C$15, $E$9, 100%, $G$9) + CHOOSE(CONTROL!$C$38, 0.0347, 0)</f>
        <v>61.414700000000003</v>
      </c>
      <c r="E958" s="46">
        <f>66.3682 * CHOOSE(CONTROL!$C$15, $E$9, 100%, $G$9) + CHOOSE(CONTROL!$C$38, 0.0347, 0)</f>
        <v>66.402900000000002</v>
      </c>
      <c r="F958" s="45">
        <f>66.3682 * CHOOSE(CONTROL!$C$15, $E$9, 100%, $G$9) + CHOOSE(CONTROL!$C$38, 0.0256, 0)</f>
        <v>66.393799999999999</v>
      </c>
      <c r="G958" s="14">
        <f>61.3862 * CHOOSE(CONTROL!$C$15, $E$9, 100%, $G$9) + CHOOSE(CONTROL!$C$38, 0.0347, 0)</f>
        <v>61.420900000000003</v>
      </c>
      <c r="H958" s="14">
        <f>61.3862 * CHOOSE(CONTROL!$C$15, $E$9, 100%, $G$9) + CHOOSE(CONTROL!$C$38, 0.0347, 0)</f>
        <v>61.420900000000003</v>
      </c>
      <c r="I958" s="14">
        <f>61.3878 * CHOOSE(CONTROL!$C$15, $E$9, 100%, $G$9) + CHOOSE(CONTROL!$C$38, 0.0347, 0)</f>
        <v>61.422499999999999</v>
      </c>
      <c r="J958" s="44">
        <f>594.5299</f>
        <v>594.5299</v>
      </c>
    </row>
    <row r="959" spans="1:10" ht="15.75" x14ac:dyDescent="0.25">
      <c r="A959" s="32">
        <v>70128</v>
      </c>
      <c r="B959" s="14">
        <f>67.1205 * CHOOSE(CONTROL!$C$15, $E$9, 100%, $G$9) + CHOOSE(CONTROL!$C$38, 0.0256, 0)</f>
        <v>67.146100000000004</v>
      </c>
      <c r="C959" s="14">
        <f>61.9839 * CHOOSE(CONTROL!$C$15, $E$9, 100%, $G$9) + CHOOSE(CONTROL!$C$38, 0.0347, 0)</f>
        <v>62.018599999999999</v>
      </c>
      <c r="D959" s="14">
        <f>61.976 * CHOOSE(CONTROL!$C$15, $E$9, 100%, $G$9) + CHOOSE(CONTROL!$C$38, 0.0347, 0)</f>
        <v>62.0107</v>
      </c>
      <c r="E959" s="46">
        <f>66.9643 * CHOOSE(CONTROL!$C$15, $E$9, 100%, $G$9) + CHOOSE(CONTROL!$C$38, 0.0347, 0)</f>
        <v>66.998999999999995</v>
      </c>
      <c r="F959" s="45">
        <f>66.9643 * CHOOSE(CONTROL!$C$15, $E$9, 100%, $G$9) + CHOOSE(CONTROL!$C$38, 0.0256, 0)</f>
        <v>66.989899999999992</v>
      </c>
      <c r="G959" s="14">
        <f>61.9823 * CHOOSE(CONTROL!$C$15, $E$9, 100%, $G$9) + CHOOSE(CONTROL!$C$38, 0.0347, 0)</f>
        <v>62.017000000000003</v>
      </c>
      <c r="H959" s="14">
        <f>61.9823 * CHOOSE(CONTROL!$C$15, $E$9, 100%, $G$9) + CHOOSE(CONTROL!$C$38, 0.0347, 0)</f>
        <v>62.017000000000003</v>
      </c>
      <c r="I959" s="14">
        <f>61.9839 * CHOOSE(CONTROL!$C$15, $E$9, 100%, $G$9) + CHOOSE(CONTROL!$C$38, 0.0347, 0)</f>
        <v>62.018599999999999</v>
      </c>
      <c r="J959" s="44">
        <f>576.8872</f>
        <v>576.88720000000001</v>
      </c>
    </row>
    <row r="960" spans="1:10" ht="15.75" x14ac:dyDescent="0.25">
      <c r="A960" s="32">
        <v>70159</v>
      </c>
      <c r="B960" s="14">
        <f>68.6723 * CHOOSE(CONTROL!$C$15, $E$9, 100%, $G$9) + CHOOSE(CONTROL!$C$38, 0.0256, 0)</f>
        <v>68.697900000000004</v>
      </c>
      <c r="C960" s="14">
        <f>63.454 * CHOOSE(CONTROL!$C$15, $E$9, 100%, $G$9) + CHOOSE(CONTROL!$C$38, 0.0347, 0)</f>
        <v>63.488700000000001</v>
      </c>
      <c r="D960" s="14">
        <f>63.4462 * CHOOSE(CONTROL!$C$15, $E$9, 100%, $G$9) + CHOOSE(CONTROL!$C$38, 0.0347, 0)</f>
        <v>63.480899999999998</v>
      </c>
      <c r="E960" s="46">
        <f>68.5161 * CHOOSE(CONTROL!$C$15, $E$9, 100%, $G$9) + CHOOSE(CONTROL!$C$38, 0.0347, 0)</f>
        <v>68.550799999999995</v>
      </c>
      <c r="F960" s="45">
        <f>68.5161 * CHOOSE(CONTROL!$C$15, $E$9, 100%, $G$9) + CHOOSE(CONTROL!$C$38, 0.0256, 0)</f>
        <v>68.541699999999992</v>
      </c>
      <c r="G960" s="14">
        <f>63.4525 * CHOOSE(CONTROL!$C$15, $E$9, 100%, $G$9) + CHOOSE(CONTROL!$C$38, 0.0347, 0)</f>
        <v>63.487200000000001</v>
      </c>
      <c r="H960" s="14">
        <f>63.4525 * CHOOSE(CONTROL!$C$15, $E$9, 100%, $G$9) + CHOOSE(CONTROL!$C$38, 0.0347, 0)</f>
        <v>63.487200000000001</v>
      </c>
      <c r="I960" s="14">
        <f>63.454 * CHOOSE(CONTROL!$C$15, $E$9, 100%, $G$9) + CHOOSE(CONTROL!$C$38, 0.0347, 0)</f>
        <v>63.488700000000001</v>
      </c>
      <c r="J960" s="44">
        <f>575.7855</f>
        <v>575.78549999999996</v>
      </c>
    </row>
    <row r="961" spans="1:10" ht="15.75" x14ac:dyDescent="0.25">
      <c r="A961" s="32">
        <v>70188</v>
      </c>
      <c r="B961" s="14">
        <f>68.8931 * CHOOSE(CONTROL!$C$15, $E$9, 100%, $G$9) + CHOOSE(CONTROL!$C$38, 0.0256, 0)</f>
        <v>68.918700000000001</v>
      </c>
      <c r="C961" s="14">
        <f>63.6748 * CHOOSE(CONTROL!$C$15, $E$9, 100%, $G$9) + CHOOSE(CONTROL!$C$38, 0.0347, 0)</f>
        <v>63.709499999999998</v>
      </c>
      <c r="D961" s="14">
        <f>63.667 * CHOOSE(CONTROL!$C$15, $E$9, 100%, $G$9) + CHOOSE(CONTROL!$C$38, 0.0347, 0)</f>
        <v>63.701700000000002</v>
      </c>
      <c r="E961" s="46">
        <f>68.7369 * CHOOSE(CONTROL!$C$15, $E$9, 100%, $G$9) + CHOOSE(CONTROL!$C$38, 0.0347, 0)</f>
        <v>68.771600000000007</v>
      </c>
      <c r="F961" s="45">
        <f>68.7369 * CHOOSE(CONTROL!$C$15, $E$9, 100%, $G$9) + CHOOSE(CONTROL!$C$38, 0.0256, 0)</f>
        <v>68.762500000000003</v>
      </c>
      <c r="G961" s="14">
        <f>63.6732 * CHOOSE(CONTROL!$C$15, $E$9, 100%, $G$9) + CHOOSE(CONTROL!$C$38, 0.0347, 0)</f>
        <v>63.707900000000002</v>
      </c>
      <c r="H961" s="14">
        <f>63.6732 * CHOOSE(CONTROL!$C$15, $E$9, 100%, $G$9) + CHOOSE(CONTROL!$C$38, 0.0347, 0)</f>
        <v>63.707900000000002</v>
      </c>
      <c r="I961" s="14">
        <f>63.6748 * CHOOSE(CONTROL!$C$15, $E$9, 100%, $G$9) + CHOOSE(CONTROL!$C$38, 0.0347, 0)</f>
        <v>63.709499999999998</v>
      </c>
      <c r="J961" s="44">
        <f>574.185</f>
        <v>574.18499999999995</v>
      </c>
    </row>
    <row r="962" spans="1:10" ht="15.75" x14ac:dyDescent="0.25">
      <c r="A962" s="32">
        <v>70219</v>
      </c>
      <c r="B962" s="14">
        <f>68.3821 * CHOOSE(CONTROL!$C$15, $E$9, 100%, $G$9) + CHOOSE(CONTROL!$C$38, 0.0256, 0)</f>
        <v>68.407699999999991</v>
      </c>
      <c r="C962" s="14">
        <f>63.1638 * CHOOSE(CONTROL!$C$15, $E$9, 100%, $G$9) + CHOOSE(CONTROL!$C$38, 0.0347, 0)</f>
        <v>63.198500000000003</v>
      </c>
      <c r="D962" s="14">
        <f>63.156 * CHOOSE(CONTROL!$C$15, $E$9, 100%, $G$9) + CHOOSE(CONTROL!$C$38, 0.0347, 0)</f>
        <v>63.1907</v>
      </c>
      <c r="E962" s="46">
        <f>68.2258 * CHOOSE(CONTROL!$C$15, $E$9, 100%, $G$9) + CHOOSE(CONTROL!$C$38, 0.0347, 0)</f>
        <v>68.260500000000008</v>
      </c>
      <c r="F962" s="45">
        <f>68.2258 * CHOOSE(CONTROL!$C$15, $E$9, 100%, $G$9) + CHOOSE(CONTROL!$C$38, 0.0256, 0)</f>
        <v>68.251400000000004</v>
      </c>
      <c r="G962" s="14">
        <f>63.1622 * CHOOSE(CONTROL!$C$15, $E$9, 100%, $G$9) + CHOOSE(CONTROL!$C$38, 0.0347, 0)</f>
        <v>63.196899999999999</v>
      </c>
      <c r="H962" s="14">
        <f>63.1622 * CHOOSE(CONTROL!$C$15, $E$9, 100%, $G$9) + CHOOSE(CONTROL!$C$38, 0.0347, 0)</f>
        <v>63.196899999999999</v>
      </c>
      <c r="I962" s="14">
        <f>63.1638 * CHOOSE(CONTROL!$C$15, $E$9, 100%, $G$9) + CHOOSE(CONTROL!$C$38, 0.0347, 0)</f>
        <v>63.198500000000003</v>
      </c>
      <c r="J962" s="44">
        <f>604.4479</f>
        <v>604.4479</v>
      </c>
    </row>
    <row r="963" spans="1:10" ht="15.75" x14ac:dyDescent="0.25">
      <c r="A963" s="32">
        <v>70249</v>
      </c>
      <c r="B963" s="14">
        <f>67.8869 * CHOOSE(CONTROL!$C$15, $E$9, 100%, $G$9) + CHOOSE(CONTROL!$C$38, 0.0256, 0)</f>
        <v>67.912499999999994</v>
      </c>
      <c r="C963" s="14">
        <f>62.6686 * CHOOSE(CONTROL!$C$15, $E$9, 100%, $G$9) + CHOOSE(CONTROL!$C$38, 0.0347, 0)</f>
        <v>62.703299999999999</v>
      </c>
      <c r="D963" s="14">
        <f>62.6608 * CHOOSE(CONTROL!$C$15, $E$9, 100%, $G$9) + CHOOSE(CONTROL!$C$38, 0.0347, 0)</f>
        <v>62.695500000000003</v>
      </c>
      <c r="E963" s="46">
        <f>67.7306 * CHOOSE(CONTROL!$C$15, $E$9, 100%, $G$9) + CHOOSE(CONTROL!$C$38, 0.0347, 0)</f>
        <v>67.765299999999996</v>
      </c>
      <c r="F963" s="45">
        <f>67.7306 * CHOOSE(CONTROL!$C$15, $E$9, 100%, $G$9) + CHOOSE(CONTROL!$C$38, 0.0256, 0)</f>
        <v>67.756199999999993</v>
      </c>
      <c r="G963" s="14">
        <f>62.667 * CHOOSE(CONTROL!$C$15, $E$9, 100%, $G$9) + CHOOSE(CONTROL!$C$38, 0.0347, 0)</f>
        <v>62.701700000000002</v>
      </c>
      <c r="H963" s="14">
        <f>62.667 * CHOOSE(CONTROL!$C$15, $E$9, 100%, $G$9) + CHOOSE(CONTROL!$C$38, 0.0347, 0)</f>
        <v>62.701700000000002</v>
      </c>
      <c r="I963" s="14">
        <f>62.6686 * CHOOSE(CONTROL!$C$15, $E$9, 100%, $G$9) + CHOOSE(CONTROL!$C$38, 0.0347, 0)</f>
        <v>62.703299999999999</v>
      </c>
      <c r="J963" s="44">
        <f>643.6916</f>
        <v>643.69159999999999</v>
      </c>
    </row>
    <row r="964" spans="1:10" ht="15.75" x14ac:dyDescent="0.25">
      <c r="A964" s="32">
        <v>70280</v>
      </c>
      <c r="B964" s="14">
        <f>67.3708 * CHOOSE(CONTROL!$C$15, $E$9, 100%, $G$9) + CHOOSE(CONTROL!$C$38, 0.0278, 0)</f>
        <v>67.398600000000002</v>
      </c>
      <c r="C964" s="14">
        <f>62.1525 * CHOOSE(CONTROL!$C$15, $E$9, 100%, $G$9) + CHOOSE(CONTROL!$C$38, 0.0369, 0)</f>
        <v>62.189400000000006</v>
      </c>
      <c r="D964" s="14">
        <f>62.1447 * CHOOSE(CONTROL!$C$15, $E$9, 100%, $G$9) + CHOOSE(CONTROL!$C$38, 0.0369, 0)</f>
        <v>62.181600000000003</v>
      </c>
      <c r="E964" s="46">
        <f>67.2145 * CHOOSE(CONTROL!$C$15, $E$9, 100%, $G$9) + CHOOSE(CONTROL!$C$38, 0.0369, 0)</f>
        <v>67.251400000000004</v>
      </c>
      <c r="F964" s="45">
        <f>67.2145 * CHOOSE(CONTROL!$C$15, $E$9, 100%, $G$9) + CHOOSE(CONTROL!$C$38, 0.0278, 0)</f>
        <v>67.2423</v>
      </c>
      <c r="G964" s="14">
        <f>62.1509 * CHOOSE(CONTROL!$C$15, $E$9, 100%, $G$9) + CHOOSE(CONTROL!$C$38, 0.0369, 0)</f>
        <v>62.187800000000003</v>
      </c>
      <c r="H964" s="14">
        <f>62.1509 * CHOOSE(CONTROL!$C$15, $E$9, 100%, $G$9) + CHOOSE(CONTROL!$C$38, 0.0369, 0)</f>
        <v>62.187800000000003</v>
      </c>
      <c r="I964" s="14">
        <f>62.1525 * CHOOSE(CONTROL!$C$15, $E$9, 100%, $G$9) + CHOOSE(CONTROL!$C$38, 0.0369, 0)</f>
        <v>62.189400000000006</v>
      </c>
      <c r="J964" s="44">
        <f>665.2926</f>
        <v>665.29259999999999</v>
      </c>
    </row>
    <row r="965" spans="1:10" ht="15.75" x14ac:dyDescent="0.25">
      <c r="A965" s="32">
        <v>70310</v>
      </c>
      <c r="B965" s="14">
        <f>67.0089 * CHOOSE(CONTROL!$C$15, $E$9, 100%, $G$9) + CHOOSE(CONTROL!$C$38, 0.0278, 0)</f>
        <v>67.036699999999996</v>
      </c>
      <c r="C965" s="14">
        <f>61.7906 * CHOOSE(CONTROL!$C$15, $E$9, 100%, $G$9) + CHOOSE(CONTROL!$C$38, 0.0369, 0)</f>
        <v>61.827500000000001</v>
      </c>
      <c r="D965" s="14">
        <f>61.7828 * CHOOSE(CONTROL!$C$15, $E$9, 100%, $G$9) + CHOOSE(CONTROL!$C$38, 0.0369, 0)</f>
        <v>61.819700000000005</v>
      </c>
      <c r="E965" s="46">
        <f>66.8527 * CHOOSE(CONTROL!$C$15, $E$9, 100%, $G$9) + CHOOSE(CONTROL!$C$38, 0.0369, 0)</f>
        <v>66.889600000000002</v>
      </c>
      <c r="F965" s="45">
        <f>66.8527 * CHOOSE(CONTROL!$C$15, $E$9, 100%, $G$9) + CHOOSE(CONTROL!$C$38, 0.0278, 0)</f>
        <v>66.880499999999998</v>
      </c>
      <c r="G965" s="14">
        <f>61.7891 * CHOOSE(CONTROL!$C$15, $E$9, 100%, $G$9) + CHOOSE(CONTROL!$C$38, 0.0369, 0)</f>
        <v>61.826000000000001</v>
      </c>
      <c r="H965" s="14">
        <f>61.7891 * CHOOSE(CONTROL!$C$15, $E$9, 100%, $G$9) + CHOOSE(CONTROL!$C$38, 0.0369, 0)</f>
        <v>61.826000000000001</v>
      </c>
      <c r="I965" s="14">
        <f>61.7906 * CHOOSE(CONTROL!$C$15, $E$9, 100%, $G$9) + CHOOSE(CONTROL!$C$38, 0.0369, 0)</f>
        <v>61.827500000000001</v>
      </c>
      <c r="J965" s="44">
        <f>674.8787</f>
        <v>674.87869999999998</v>
      </c>
    </row>
    <row r="966" spans="1:10" ht="15.75" x14ac:dyDescent="0.25">
      <c r="A966" s="32">
        <v>70341</v>
      </c>
      <c r="B966" s="14">
        <f>66.8025 * CHOOSE(CONTROL!$C$15, $E$9, 100%, $G$9) + CHOOSE(CONTROL!$C$38, 0.0278, 0)</f>
        <v>66.830299999999994</v>
      </c>
      <c r="C966" s="14">
        <f>61.5842 * CHOOSE(CONTROL!$C$15, $E$9, 100%, $G$9) + CHOOSE(CONTROL!$C$38, 0.0369, 0)</f>
        <v>61.621100000000006</v>
      </c>
      <c r="D966" s="14">
        <f>61.5763 * CHOOSE(CONTROL!$C$15, $E$9, 100%, $G$9) + CHOOSE(CONTROL!$C$38, 0.0369, 0)</f>
        <v>61.613200000000006</v>
      </c>
      <c r="E966" s="46">
        <f>66.6462 * CHOOSE(CONTROL!$C$15, $E$9, 100%, $G$9) + CHOOSE(CONTROL!$C$38, 0.0369, 0)</f>
        <v>66.683099999999996</v>
      </c>
      <c r="F966" s="45">
        <f>66.6462 * CHOOSE(CONTROL!$C$15, $E$9, 100%, $G$9) + CHOOSE(CONTROL!$C$38, 0.0278, 0)</f>
        <v>66.673999999999992</v>
      </c>
      <c r="G966" s="14">
        <f>61.5826 * CHOOSE(CONTROL!$C$15, $E$9, 100%, $G$9) + CHOOSE(CONTROL!$C$38, 0.0369, 0)</f>
        <v>61.619500000000002</v>
      </c>
      <c r="H966" s="14">
        <f>61.5826 * CHOOSE(CONTROL!$C$15, $E$9, 100%, $G$9) + CHOOSE(CONTROL!$C$38, 0.0369, 0)</f>
        <v>61.619500000000002</v>
      </c>
      <c r="I966" s="14">
        <f>61.5842 * CHOOSE(CONTROL!$C$15, $E$9, 100%, $G$9) + CHOOSE(CONTROL!$C$38, 0.0369, 0)</f>
        <v>61.621100000000006</v>
      </c>
      <c r="J966" s="44">
        <f>671.7225</f>
        <v>671.72249999999997</v>
      </c>
    </row>
    <row r="967" spans="1:10" ht="15.75" x14ac:dyDescent="0.25">
      <c r="A967" s="32">
        <v>70372</v>
      </c>
      <c r="B967" s="14">
        <f>66.9044 * CHOOSE(CONTROL!$C$15, $E$9, 100%, $G$9) + CHOOSE(CONTROL!$C$38, 0.0278, 0)</f>
        <v>66.932199999999995</v>
      </c>
      <c r="C967" s="14">
        <f>61.6861 * CHOOSE(CONTROL!$C$15, $E$9, 100%, $G$9) + CHOOSE(CONTROL!$C$38, 0.0369, 0)</f>
        <v>61.723000000000006</v>
      </c>
      <c r="D967" s="14">
        <f>61.6783 * CHOOSE(CONTROL!$C$15, $E$9, 100%, $G$9) + CHOOSE(CONTROL!$C$38, 0.0369, 0)</f>
        <v>61.715200000000003</v>
      </c>
      <c r="E967" s="46">
        <f>66.7481 * CHOOSE(CONTROL!$C$15, $E$9, 100%, $G$9) + CHOOSE(CONTROL!$C$38, 0.0369, 0)</f>
        <v>66.784999999999997</v>
      </c>
      <c r="F967" s="45">
        <f>66.7481 * CHOOSE(CONTROL!$C$15, $E$9, 100%, $G$9) + CHOOSE(CONTROL!$C$38, 0.0278, 0)</f>
        <v>66.775899999999993</v>
      </c>
      <c r="G967" s="14">
        <f>61.6845 * CHOOSE(CONTROL!$C$15, $E$9, 100%, $G$9) + CHOOSE(CONTROL!$C$38, 0.0369, 0)</f>
        <v>61.721400000000003</v>
      </c>
      <c r="H967" s="14">
        <f>61.6845 * CHOOSE(CONTROL!$C$15, $E$9, 100%, $G$9) + CHOOSE(CONTROL!$C$38, 0.0369, 0)</f>
        <v>61.721400000000003</v>
      </c>
      <c r="I967" s="14">
        <f>61.6861 * CHOOSE(CONTROL!$C$15, $E$9, 100%, $G$9) + CHOOSE(CONTROL!$C$38, 0.0369, 0)</f>
        <v>61.723000000000006</v>
      </c>
      <c r="J967" s="44">
        <f>656.0851</f>
        <v>656.08510000000001</v>
      </c>
    </row>
    <row r="968" spans="1:10" ht="15.75" x14ac:dyDescent="0.25">
      <c r="A968" s="32">
        <v>70402</v>
      </c>
      <c r="B968" s="14">
        <f>67.1812 * CHOOSE(CONTROL!$C$15, $E$9, 100%, $G$9) + CHOOSE(CONTROL!$C$38, 0.0278, 0)</f>
        <v>67.209000000000003</v>
      </c>
      <c r="C968" s="14">
        <f>61.9629 * CHOOSE(CONTROL!$C$15, $E$9, 100%, $G$9) + CHOOSE(CONTROL!$C$38, 0.0369, 0)</f>
        <v>61.9998</v>
      </c>
      <c r="D968" s="14">
        <f>61.9551 * CHOOSE(CONTROL!$C$15, $E$9, 100%, $G$9) + CHOOSE(CONTROL!$C$38, 0.0369, 0)</f>
        <v>61.992000000000004</v>
      </c>
      <c r="E968" s="46">
        <f>67.0249 * CHOOSE(CONTROL!$C$15, $E$9, 100%, $G$9) + CHOOSE(CONTROL!$C$38, 0.0369, 0)</f>
        <v>67.061800000000005</v>
      </c>
      <c r="F968" s="45">
        <f>67.0249 * CHOOSE(CONTROL!$C$15, $E$9, 100%, $G$9) + CHOOSE(CONTROL!$C$38, 0.0278, 0)</f>
        <v>67.052700000000002</v>
      </c>
      <c r="G968" s="14">
        <f>61.9613 * CHOOSE(CONTROL!$C$15, $E$9, 100%, $G$9) + CHOOSE(CONTROL!$C$38, 0.0369, 0)</f>
        <v>61.998200000000004</v>
      </c>
      <c r="H968" s="14">
        <f>61.9613 * CHOOSE(CONTROL!$C$15, $E$9, 100%, $G$9) + CHOOSE(CONTROL!$C$38, 0.0369, 0)</f>
        <v>61.998200000000004</v>
      </c>
      <c r="I968" s="14">
        <f>61.9629 * CHOOSE(CONTROL!$C$15, $E$9, 100%, $G$9) + CHOOSE(CONTROL!$C$38, 0.0369, 0)</f>
        <v>61.9998</v>
      </c>
      <c r="J968" s="44">
        <f>634.278</f>
        <v>634.27800000000002</v>
      </c>
    </row>
    <row r="969" spans="1:10" ht="15.75" x14ac:dyDescent="0.25">
      <c r="A969" s="32">
        <v>70433</v>
      </c>
      <c r="B969" s="14">
        <f>67.413 * CHOOSE(CONTROL!$C$15, $E$9, 100%, $G$9) + CHOOSE(CONTROL!$C$38, 0.0256, 0)</f>
        <v>67.438599999999994</v>
      </c>
      <c r="C969" s="14">
        <f>62.1947 * CHOOSE(CONTROL!$C$15, $E$9, 100%, $G$9) + CHOOSE(CONTROL!$C$38, 0.0347, 0)</f>
        <v>62.229399999999998</v>
      </c>
      <c r="D969" s="14">
        <f>62.1869 * CHOOSE(CONTROL!$C$15, $E$9, 100%, $G$9) + CHOOSE(CONTROL!$C$38, 0.0347, 0)</f>
        <v>62.221600000000002</v>
      </c>
      <c r="E969" s="46">
        <f>67.2567 * CHOOSE(CONTROL!$C$15, $E$9, 100%, $G$9) + CHOOSE(CONTROL!$C$38, 0.0347, 0)</f>
        <v>67.291399999999996</v>
      </c>
      <c r="F969" s="45">
        <f>67.2567 * CHOOSE(CONTROL!$C$15, $E$9, 100%, $G$9) + CHOOSE(CONTROL!$C$38, 0.0256, 0)</f>
        <v>67.282299999999992</v>
      </c>
      <c r="G969" s="14">
        <f>62.1931 * CHOOSE(CONTROL!$C$15, $E$9, 100%, $G$9) + CHOOSE(CONTROL!$C$38, 0.0347, 0)</f>
        <v>62.227800000000002</v>
      </c>
      <c r="H969" s="14">
        <f>62.1931 * CHOOSE(CONTROL!$C$15, $E$9, 100%, $G$9) + CHOOSE(CONTROL!$C$38, 0.0347, 0)</f>
        <v>62.227800000000002</v>
      </c>
      <c r="I969" s="14">
        <f>62.1947 * CHOOSE(CONTROL!$C$15, $E$9, 100%, $G$9) + CHOOSE(CONTROL!$C$38, 0.0347, 0)</f>
        <v>62.229399999999998</v>
      </c>
      <c r="J969" s="44">
        <f>612.344</f>
        <v>612.34400000000005</v>
      </c>
    </row>
    <row r="970" spans="1:10" ht="15.75" x14ac:dyDescent="0.25">
      <c r="A970" s="32">
        <v>70463</v>
      </c>
      <c r="B970" s="14">
        <f>67.6064 * CHOOSE(CONTROL!$C$15, $E$9, 100%, $G$9) + CHOOSE(CONTROL!$C$38, 0.0256, 0)</f>
        <v>67.631999999999991</v>
      </c>
      <c r="C970" s="14">
        <f>62.3881 * CHOOSE(CONTROL!$C$15, $E$9, 100%, $G$9) + CHOOSE(CONTROL!$C$38, 0.0347, 0)</f>
        <v>62.422800000000002</v>
      </c>
      <c r="D970" s="14">
        <f>62.3803 * CHOOSE(CONTROL!$C$15, $E$9, 100%, $G$9) + CHOOSE(CONTROL!$C$38, 0.0347, 0)</f>
        <v>62.414999999999999</v>
      </c>
      <c r="E970" s="46">
        <f>67.4502 * CHOOSE(CONTROL!$C$15, $E$9, 100%, $G$9) + CHOOSE(CONTROL!$C$38, 0.0347, 0)</f>
        <v>67.484899999999996</v>
      </c>
      <c r="F970" s="45">
        <f>67.4502 * CHOOSE(CONTROL!$C$15, $E$9, 100%, $G$9) + CHOOSE(CONTROL!$C$38, 0.0256, 0)</f>
        <v>67.475799999999992</v>
      </c>
      <c r="G970" s="14">
        <f>62.3866 * CHOOSE(CONTROL!$C$15, $E$9, 100%, $G$9) + CHOOSE(CONTROL!$C$38, 0.0347, 0)</f>
        <v>62.421300000000002</v>
      </c>
      <c r="H970" s="14">
        <f>62.3866 * CHOOSE(CONTROL!$C$15, $E$9, 100%, $G$9) + CHOOSE(CONTROL!$C$38, 0.0347, 0)</f>
        <v>62.421300000000002</v>
      </c>
      <c r="I970" s="14">
        <f>62.3881 * CHOOSE(CONTROL!$C$15, $E$9, 100%, $G$9) + CHOOSE(CONTROL!$C$38, 0.0347, 0)</f>
        <v>62.422800000000002</v>
      </c>
      <c r="J970" s="44">
        <f>607.9809</f>
        <v>607.98090000000002</v>
      </c>
    </row>
    <row r="971" spans="1:10" ht="15.75" x14ac:dyDescent="0.25">
      <c r="A971" s="32">
        <v>70494</v>
      </c>
      <c r="B971" s="14">
        <f>68.2025 * CHOOSE(CONTROL!$C$15, $E$9, 100%, $G$9) + CHOOSE(CONTROL!$C$38, 0.0256, 0)</f>
        <v>68.228099999999998</v>
      </c>
      <c r="C971" s="14">
        <f>62.9842 * CHOOSE(CONTROL!$C$15, $E$9, 100%, $G$9) + CHOOSE(CONTROL!$C$38, 0.0347, 0)</f>
        <v>63.018900000000002</v>
      </c>
      <c r="D971" s="14">
        <f>62.9764 * CHOOSE(CONTROL!$C$15, $E$9, 100%, $G$9) + CHOOSE(CONTROL!$C$38, 0.0347, 0)</f>
        <v>63.011099999999999</v>
      </c>
      <c r="E971" s="46">
        <f>68.0462 * CHOOSE(CONTROL!$C$15, $E$9, 100%, $G$9) + CHOOSE(CONTROL!$C$38, 0.0347, 0)</f>
        <v>68.0809</v>
      </c>
      <c r="F971" s="45">
        <f>68.0462 * CHOOSE(CONTROL!$C$15, $E$9, 100%, $G$9) + CHOOSE(CONTROL!$C$38, 0.0256, 0)</f>
        <v>68.071799999999996</v>
      </c>
      <c r="G971" s="14">
        <f>62.9826 * CHOOSE(CONTROL!$C$15, $E$9, 100%, $G$9) + CHOOSE(CONTROL!$C$38, 0.0347, 0)</f>
        <v>63.017299999999999</v>
      </c>
      <c r="H971" s="14">
        <f>62.9826 * CHOOSE(CONTROL!$C$15, $E$9, 100%, $G$9) + CHOOSE(CONTROL!$C$38, 0.0347, 0)</f>
        <v>63.017299999999999</v>
      </c>
      <c r="I971" s="14">
        <f>62.9842 * CHOOSE(CONTROL!$C$15, $E$9, 100%, $G$9) + CHOOSE(CONTROL!$C$38, 0.0347, 0)</f>
        <v>63.018900000000002</v>
      </c>
      <c r="J971" s="44">
        <f>589.939</f>
        <v>589.93899999999996</v>
      </c>
    </row>
    <row r="972" spans="1:10" ht="15.75" x14ac:dyDescent="0.25">
      <c r="A972" s="32">
        <v>70525</v>
      </c>
      <c r="B972" s="14">
        <f>69.7721 * CHOOSE(CONTROL!$C$15, $E$9, 100%, $G$9) + CHOOSE(CONTROL!$C$38, 0.0256, 0)</f>
        <v>69.797699999999992</v>
      </c>
      <c r="C972" s="14">
        <f>64.4708 * CHOOSE(CONTROL!$C$15, $E$9, 100%, $G$9) + CHOOSE(CONTROL!$C$38, 0.0347, 0)</f>
        <v>64.505499999999998</v>
      </c>
      <c r="D972" s="14">
        <f>64.463 * CHOOSE(CONTROL!$C$15, $E$9, 100%, $G$9) + CHOOSE(CONTROL!$C$38, 0.0347, 0)</f>
        <v>64.497699999999995</v>
      </c>
      <c r="E972" s="46">
        <f>69.6158 * CHOOSE(CONTROL!$C$15, $E$9, 100%, $G$9) + CHOOSE(CONTROL!$C$38, 0.0347, 0)</f>
        <v>69.650499999999994</v>
      </c>
      <c r="F972" s="45">
        <f>69.6158 * CHOOSE(CONTROL!$C$15, $E$9, 100%, $G$9) + CHOOSE(CONTROL!$C$38, 0.0256, 0)</f>
        <v>69.64139999999999</v>
      </c>
      <c r="G972" s="14">
        <f>64.4692 * CHOOSE(CONTROL!$C$15, $E$9, 100%, $G$9) + CHOOSE(CONTROL!$C$38, 0.0347, 0)</f>
        <v>64.503900000000002</v>
      </c>
      <c r="H972" s="14">
        <f>64.4692 * CHOOSE(CONTROL!$C$15, $E$9, 100%, $G$9) + CHOOSE(CONTROL!$C$38, 0.0347, 0)</f>
        <v>64.503900000000002</v>
      </c>
      <c r="I972" s="14">
        <f>64.4708 * CHOOSE(CONTROL!$C$15, $E$9, 100%, $G$9) + CHOOSE(CONTROL!$C$38, 0.0347, 0)</f>
        <v>64.505499999999998</v>
      </c>
      <c r="J972" s="44">
        <f>588.8123</f>
        <v>588.81230000000005</v>
      </c>
    </row>
    <row r="973" spans="1:10" ht="15.75" x14ac:dyDescent="0.25">
      <c r="A973" s="32">
        <v>70553</v>
      </c>
      <c r="B973" s="14">
        <f>69.9928 * CHOOSE(CONTROL!$C$15, $E$9, 100%, $G$9) + CHOOSE(CONTROL!$C$38, 0.0256, 0)</f>
        <v>70.0184</v>
      </c>
      <c r="C973" s="14">
        <f>64.6915 * CHOOSE(CONTROL!$C$15, $E$9, 100%, $G$9) + CHOOSE(CONTROL!$C$38, 0.0347, 0)</f>
        <v>64.726200000000006</v>
      </c>
      <c r="D973" s="14">
        <f>64.6837 * CHOOSE(CONTROL!$C$15, $E$9, 100%, $G$9) + CHOOSE(CONTROL!$C$38, 0.0347, 0)</f>
        <v>64.718400000000003</v>
      </c>
      <c r="E973" s="46">
        <f>69.8366 * CHOOSE(CONTROL!$C$15, $E$9, 100%, $G$9) + CHOOSE(CONTROL!$C$38, 0.0347, 0)</f>
        <v>69.871300000000005</v>
      </c>
      <c r="F973" s="45">
        <f>69.8366 * CHOOSE(CONTROL!$C$15, $E$9, 100%, $G$9) + CHOOSE(CONTROL!$C$38, 0.0256, 0)</f>
        <v>69.862200000000001</v>
      </c>
      <c r="G973" s="14">
        <f>64.69 * CHOOSE(CONTROL!$C$15, $E$9, 100%, $G$9) + CHOOSE(CONTROL!$C$38, 0.0347, 0)</f>
        <v>64.724699999999999</v>
      </c>
      <c r="H973" s="14">
        <f>64.69 * CHOOSE(CONTROL!$C$15, $E$9, 100%, $G$9) + CHOOSE(CONTROL!$C$38, 0.0347, 0)</f>
        <v>64.724699999999999</v>
      </c>
      <c r="I973" s="14">
        <f>64.6915 * CHOOSE(CONTROL!$C$15, $E$9, 100%, $G$9) + CHOOSE(CONTROL!$C$38, 0.0347, 0)</f>
        <v>64.726200000000006</v>
      </c>
      <c r="J973" s="44">
        <f>587.1756</f>
        <v>587.17560000000003</v>
      </c>
    </row>
    <row r="974" spans="1:10" ht="15.75" x14ac:dyDescent="0.25">
      <c r="A974" s="32">
        <v>70584</v>
      </c>
      <c r="B974" s="14">
        <f>69.4818 * CHOOSE(CONTROL!$C$15, $E$9, 100%, $G$9) + CHOOSE(CONTROL!$C$38, 0.0256, 0)</f>
        <v>69.507400000000004</v>
      </c>
      <c r="C974" s="14">
        <f>64.1805 * CHOOSE(CONTROL!$C$15, $E$9, 100%, $G$9) + CHOOSE(CONTROL!$C$38, 0.0347, 0)</f>
        <v>64.215199999999996</v>
      </c>
      <c r="D974" s="14">
        <f>64.1727 * CHOOSE(CONTROL!$C$15, $E$9, 100%, $G$9) + CHOOSE(CONTROL!$C$38, 0.0347, 0)</f>
        <v>64.207400000000007</v>
      </c>
      <c r="E974" s="46">
        <f>69.3256 * CHOOSE(CONTROL!$C$15, $E$9, 100%, $G$9) + CHOOSE(CONTROL!$C$38, 0.0347, 0)</f>
        <v>69.360299999999995</v>
      </c>
      <c r="F974" s="45">
        <f>69.3256 * CHOOSE(CONTROL!$C$15, $E$9, 100%, $G$9) + CHOOSE(CONTROL!$C$38, 0.0256, 0)</f>
        <v>69.351199999999992</v>
      </c>
      <c r="G974" s="14">
        <f>64.179 * CHOOSE(CONTROL!$C$15, $E$9, 100%, $G$9) + CHOOSE(CONTROL!$C$38, 0.0347, 0)</f>
        <v>64.213700000000003</v>
      </c>
      <c r="H974" s="14">
        <f>64.179 * CHOOSE(CONTROL!$C$15, $E$9, 100%, $G$9) + CHOOSE(CONTROL!$C$38, 0.0347, 0)</f>
        <v>64.213700000000003</v>
      </c>
      <c r="I974" s="14">
        <f>64.1805 * CHOOSE(CONTROL!$C$15, $E$9, 100%, $G$9) + CHOOSE(CONTROL!$C$38, 0.0347, 0)</f>
        <v>64.215199999999996</v>
      </c>
      <c r="J974" s="44">
        <f>618.1232</f>
        <v>618.1232</v>
      </c>
    </row>
    <row r="975" spans="1:10" ht="15.75" x14ac:dyDescent="0.25">
      <c r="A975" s="32">
        <v>70614</v>
      </c>
      <c r="B975" s="14">
        <f>68.9866 * CHOOSE(CONTROL!$C$15, $E$9, 100%, $G$9) + CHOOSE(CONTROL!$C$38, 0.0256, 0)</f>
        <v>69.012199999999993</v>
      </c>
      <c r="C975" s="14">
        <f>63.6853 * CHOOSE(CONTROL!$C$15, $E$9, 100%, $G$9) + CHOOSE(CONTROL!$C$38, 0.0347, 0)</f>
        <v>63.72</v>
      </c>
      <c r="D975" s="14">
        <f>63.6775 * CHOOSE(CONTROL!$C$15, $E$9, 100%, $G$9) + CHOOSE(CONTROL!$C$38, 0.0347, 0)</f>
        <v>63.712200000000003</v>
      </c>
      <c r="E975" s="46">
        <f>68.8304 * CHOOSE(CONTROL!$C$15, $E$9, 100%, $G$9) + CHOOSE(CONTROL!$C$38, 0.0347, 0)</f>
        <v>68.865099999999998</v>
      </c>
      <c r="F975" s="45">
        <f>68.8304 * CHOOSE(CONTROL!$C$15, $E$9, 100%, $G$9) + CHOOSE(CONTROL!$C$38, 0.0256, 0)</f>
        <v>68.855999999999995</v>
      </c>
      <c r="G975" s="14">
        <f>63.6838 * CHOOSE(CONTROL!$C$15, $E$9, 100%, $G$9) + CHOOSE(CONTROL!$C$38, 0.0347, 0)</f>
        <v>63.718499999999999</v>
      </c>
      <c r="H975" s="14">
        <f>63.6838 * CHOOSE(CONTROL!$C$15, $E$9, 100%, $G$9) + CHOOSE(CONTROL!$C$38, 0.0347, 0)</f>
        <v>63.718499999999999</v>
      </c>
      <c r="I975" s="14">
        <f>63.6853 * CHOOSE(CONTROL!$C$15, $E$9, 100%, $G$9) + CHOOSE(CONTROL!$C$38, 0.0347, 0)</f>
        <v>63.72</v>
      </c>
      <c r="J975" s="44">
        <f>658.2548</f>
        <v>658.25480000000005</v>
      </c>
    </row>
    <row r="976" spans="1:10" ht="15.75" x14ac:dyDescent="0.25">
      <c r="A976" s="32">
        <v>70645</v>
      </c>
      <c r="B976" s="14">
        <f>68.4705 * CHOOSE(CONTROL!$C$15, $E$9, 100%, $G$9) + CHOOSE(CONTROL!$C$38, 0.0278, 0)</f>
        <v>68.4983</v>
      </c>
      <c r="C976" s="14">
        <f>63.1692 * CHOOSE(CONTROL!$C$15, $E$9, 100%, $G$9) + CHOOSE(CONTROL!$C$38, 0.0369, 0)</f>
        <v>63.206099999999999</v>
      </c>
      <c r="D976" s="14">
        <f>63.1614 * CHOOSE(CONTROL!$C$15, $E$9, 100%, $G$9) + CHOOSE(CONTROL!$C$38, 0.0369, 0)</f>
        <v>63.198300000000003</v>
      </c>
      <c r="E976" s="46">
        <f>68.3143 * CHOOSE(CONTROL!$C$15, $E$9, 100%, $G$9) + CHOOSE(CONTROL!$C$38, 0.0369, 0)</f>
        <v>68.351200000000006</v>
      </c>
      <c r="F976" s="45">
        <f>68.3143 * CHOOSE(CONTROL!$C$15, $E$9, 100%, $G$9) + CHOOSE(CONTROL!$C$38, 0.0278, 0)</f>
        <v>68.342100000000002</v>
      </c>
      <c r="G976" s="14">
        <f>63.1677 * CHOOSE(CONTROL!$C$15, $E$9, 100%, $G$9) + CHOOSE(CONTROL!$C$38, 0.0369, 0)</f>
        <v>63.204600000000006</v>
      </c>
      <c r="H976" s="14">
        <f>63.1677 * CHOOSE(CONTROL!$C$15, $E$9, 100%, $G$9) + CHOOSE(CONTROL!$C$38, 0.0369, 0)</f>
        <v>63.204600000000006</v>
      </c>
      <c r="I976" s="14">
        <f>63.1692 * CHOOSE(CONTROL!$C$15, $E$9, 100%, $G$9) + CHOOSE(CONTROL!$C$38, 0.0369, 0)</f>
        <v>63.206099999999999</v>
      </c>
      <c r="J976" s="44">
        <f>680.3445</f>
        <v>680.34450000000004</v>
      </c>
    </row>
    <row r="977" spans="1:10" ht="15.75" x14ac:dyDescent="0.25">
      <c r="A977" s="32">
        <v>70675</v>
      </c>
      <c r="B977" s="14">
        <f>68.1087 * CHOOSE(CONTROL!$C$15, $E$9, 100%, $G$9) + CHOOSE(CONTROL!$C$38, 0.0278, 0)</f>
        <v>68.136499999999998</v>
      </c>
      <c r="C977" s="14">
        <f>62.8074 * CHOOSE(CONTROL!$C$15, $E$9, 100%, $G$9) + CHOOSE(CONTROL!$C$38, 0.0369, 0)</f>
        <v>62.844300000000004</v>
      </c>
      <c r="D977" s="14">
        <f>62.7996 * CHOOSE(CONTROL!$C$15, $E$9, 100%, $G$9) + CHOOSE(CONTROL!$C$38, 0.0369, 0)</f>
        <v>62.836500000000001</v>
      </c>
      <c r="E977" s="46">
        <f>67.9524 * CHOOSE(CONTROL!$C$15, $E$9, 100%, $G$9) + CHOOSE(CONTROL!$C$38, 0.0369, 0)</f>
        <v>67.9893</v>
      </c>
      <c r="F977" s="45">
        <f>67.9524 * CHOOSE(CONTROL!$C$15, $E$9, 100%, $G$9) + CHOOSE(CONTROL!$C$38, 0.0278, 0)</f>
        <v>67.980199999999996</v>
      </c>
      <c r="G977" s="14">
        <f>62.8058 * CHOOSE(CONTROL!$C$15, $E$9, 100%, $G$9) + CHOOSE(CONTROL!$C$38, 0.0369, 0)</f>
        <v>62.842700000000001</v>
      </c>
      <c r="H977" s="14">
        <f>62.8058 * CHOOSE(CONTROL!$C$15, $E$9, 100%, $G$9) + CHOOSE(CONTROL!$C$38, 0.0369, 0)</f>
        <v>62.842700000000001</v>
      </c>
      <c r="I977" s="14">
        <f>62.8074 * CHOOSE(CONTROL!$C$15, $E$9, 100%, $G$9) + CHOOSE(CONTROL!$C$38, 0.0369, 0)</f>
        <v>62.844300000000004</v>
      </c>
      <c r="J977" s="44">
        <f>690.1475</f>
        <v>690.14750000000004</v>
      </c>
    </row>
    <row r="978" spans="1:10" ht="15.75" x14ac:dyDescent="0.25">
      <c r="A978" s="32">
        <v>70706</v>
      </c>
      <c r="B978" s="14">
        <f>67.9022 * CHOOSE(CONTROL!$C$15, $E$9, 100%, $G$9) + CHOOSE(CONTROL!$C$38, 0.0278, 0)</f>
        <v>67.929999999999993</v>
      </c>
      <c r="C978" s="14">
        <f>62.6009 * CHOOSE(CONTROL!$C$15, $E$9, 100%, $G$9) + CHOOSE(CONTROL!$C$38, 0.0369, 0)</f>
        <v>62.637800000000006</v>
      </c>
      <c r="D978" s="14">
        <f>62.5931 * CHOOSE(CONTROL!$C$15, $E$9, 100%, $G$9) + CHOOSE(CONTROL!$C$38, 0.0369, 0)</f>
        <v>62.63</v>
      </c>
      <c r="E978" s="46">
        <f>67.7459 * CHOOSE(CONTROL!$C$15, $E$9, 100%, $G$9) + CHOOSE(CONTROL!$C$38, 0.0369, 0)</f>
        <v>67.782800000000009</v>
      </c>
      <c r="F978" s="45">
        <f>67.7459 * CHOOSE(CONTROL!$C$15, $E$9, 100%, $G$9) + CHOOSE(CONTROL!$C$38, 0.0278, 0)</f>
        <v>67.773700000000005</v>
      </c>
      <c r="G978" s="14">
        <f>62.5993 * CHOOSE(CONTROL!$C$15, $E$9, 100%, $G$9) + CHOOSE(CONTROL!$C$38, 0.0369, 0)</f>
        <v>62.636200000000002</v>
      </c>
      <c r="H978" s="14">
        <f>62.5993 * CHOOSE(CONTROL!$C$15, $E$9, 100%, $G$9) + CHOOSE(CONTROL!$C$38, 0.0369, 0)</f>
        <v>62.636200000000002</v>
      </c>
      <c r="I978" s="14">
        <f>62.6009 * CHOOSE(CONTROL!$C$15, $E$9, 100%, $G$9) + CHOOSE(CONTROL!$C$38, 0.0369, 0)</f>
        <v>62.637800000000006</v>
      </c>
      <c r="J978" s="44">
        <f>686.9199</f>
        <v>686.91989999999998</v>
      </c>
    </row>
    <row r="979" spans="1:10" ht="15.75" x14ac:dyDescent="0.25">
      <c r="A979" s="32">
        <v>70737</v>
      </c>
      <c r="B979" s="14">
        <f>68.0041 * CHOOSE(CONTROL!$C$15, $E$9, 100%, $G$9) + CHOOSE(CONTROL!$C$38, 0.0278, 0)</f>
        <v>68.031899999999993</v>
      </c>
      <c r="C979" s="14">
        <f>62.7028 * CHOOSE(CONTROL!$C$15, $E$9, 100%, $G$9) + CHOOSE(CONTROL!$C$38, 0.0369, 0)</f>
        <v>62.739700000000006</v>
      </c>
      <c r="D979" s="14">
        <f>62.695 * CHOOSE(CONTROL!$C$15, $E$9, 100%, $G$9) + CHOOSE(CONTROL!$C$38, 0.0369, 0)</f>
        <v>62.731900000000003</v>
      </c>
      <c r="E979" s="46">
        <f>67.8479 * CHOOSE(CONTROL!$C$15, $E$9, 100%, $G$9) + CHOOSE(CONTROL!$C$38, 0.0369, 0)</f>
        <v>67.884799999999998</v>
      </c>
      <c r="F979" s="45">
        <f>67.8479 * CHOOSE(CONTROL!$C$15, $E$9, 100%, $G$9) + CHOOSE(CONTROL!$C$38, 0.0278, 0)</f>
        <v>67.875699999999995</v>
      </c>
      <c r="G979" s="14">
        <f>62.7012 * CHOOSE(CONTROL!$C$15, $E$9, 100%, $G$9) + CHOOSE(CONTROL!$C$38, 0.0369, 0)</f>
        <v>62.738100000000003</v>
      </c>
      <c r="H979" s="14">
        <f>62.7012 * CHOOSE(CONTROL!$C$15, $E$9, 100%, $G$9) + CHOOSE(CONTROL!$C$38, 0.0369, 0)</f>
        <v>62.738100000000003</v>
      </c>
      <c r="I979" s="14">
        <f>62.7028 * CHOOSE(CONTROL!$C$15, $E$9, 100%, $G$9) + CHOOSE(CONTROL!$C$38, 0.0369, 0)</f>
        <v>62.739700000000006</v>
      </c>
      <c r="J979" s="44">
        <f>670.9287</f>
        <v>670.92870000000005</v>
      </c>
    </row>
    <row r="980" spans="1:10" ht="15.75" x14ac:dyDescent="0.25">
      <c r="A980" s="32">
        <v>70767</v>
      </c>
      <c r="B980" s="14">
        <f>68.2809 * CHOOSE(CONTROL!$C$15, $E$9, 100%, $G$9) + CHOOSE(CONTROL!$C$38, 0.0278, 0)</f>
        <v>68.308700000000002</v>
      </c>
      <c r="C980" s="14">
        <f>62.9796 * CHOOSE(CONTROL!$C$15, $E$9, 100%, $G$9) + CHOOSE(CONTROL!$C$38, 0.0369, 0)</f>
        <v>63.016500000000001</v>
      </c>
      <c r="D980" s="14">
        <f>62.9718 * CHOOSE(CONTROL!$C$15, $E$9, 100%, $G$9) + CHOOSE(CONTROL!$C$38, 0.0369, 0)</f>
        <v>63.008700000000005</v>
      </c>
      <c r="E980" s="46">
        <f>68.1246 * CHOOSE(CONTROL!$C$15, $E$9, 100%, $G$9) + CHOOSE(CONTROL!$C$38, 0.0369, 0)</f>
        <v>68.161500000000004</v>
      </c>
      <c r="F980" s="45">
        <f>68.1246 * CHOOSE(CONTROL!$C$15, $E$9, 100%, $G$9) + CHOOSE(CONTROL!$C$38, 0.0278, 0)</f>
        <v>68.1524</v>
      </c>
      <c r="G980" s="14">
        <f>62.978 * CHOOSE(CONTROL!$C$15, $E$9, 100%, $G$9) + CHOOSE(CONTROL!$C$38, 0.0369, 0)</f>
        <v>63.014900000000004</v>
      </c>
      <c r="H980" s="14">
        <f>62.978 * CHOOSE(CONTROL!$C$15, $E$9, 100%, $G$9) + CHOOSE(CONTROL!$C$38, 0.0369, 0)</f>
        <v>63.014900000000004</v>
      </c>
      <c r="I980" s="14">
        <f>62.9796 * CHOOSE(CONTROL!$C$15, $E$9, 100%, $G$9) + CHOOSE(CONTROL!$C$38, 0.0369, 0)</f>
        <v>63.016500000000001</v>
      </c>
      <c r="J980" s="44">
        <f>648.6282</f>
        <v>648.62819999999999</v>
      </c>
    </row>
    <row r="981" spans="1:10" ht="15.75" x14ac:dyDescent="0.25">
      <c r="A981" s="32">
        <v>70798</v>
      </c>
      <c r="B981" s="14">
        <f>68.5127 * CHOOSE(CONTROL!$C$15, $E$9, 100%, $G$9) + CHOOSE(CONTROL!$C$38, 0.0256, 0)</f>
        <v>68.538299999999992</v>
      </c>
      <c r="C981" s="14">
        <f>63.2114 * CHOOSE(CONTROL!$C$15, $E$9, 100%, $G$9) + CHOOSE(CONTROL!$C$38, 0.0347, 0)</f>
        <v>63.246099999999998</v>
      </c>
      <c r="D981" s="14">
        <f>63.2036 * CHOOSE(CONTROL!$C$15, $E$9, 100%, $G$9) + CHOOSE(CONTROL!$C$38, 0.0347, 0)</f>
        <v>63.238300000000002</v>
      </c>
      <c r="E981" s="46">
        <f>68.3565 * CHOOSE(CONTROL!$C$15, $E$9, 100%, $G$9) + CHOOSE(CONTROL!$C$38, 0.0347, 0)</f>
        <v>68.391199999999998</v>
      </c>
      <c r="F981" s="45">
        <f>68.3565 * CHOOSE(CONTROL!$C$15, $E$9, 100%, $G$9) + CHOOSE(CONTROL!$C$38, 0.0256, 0)</f>
        <v>68.382099999999994</v>
      </c>
      <c r="G981" s="14">
        <f>63.2099 * CHOOSE(CONTROL!$C$15, $E$9, 100%, $G$9) + CHOOSE(CONTROL!$C$38, 0.0347, 0)</f>
        <v>63.244599999999998</v>
      </c>
      <c r="H981" s="14">
        <f>63.2099 * CHOOSE(CONTROL!$C$15, $E$9, 100%, $G$9) + CHOOSE(CONTROL!$C$38, 0.0347, 0)</f>
        <v>63.244599999999998</v>
      </c>
      <c r="I981" s="14">
        <f>63.2114 * CHOOSE(CONTROL!$C$15, $E$9, 100%, $G$9) + CHOOSE(CONTROL!$C$38, 0.0347, 0)</f>
        <v>63.246099999999998</v>
      </c>
      <c r="J981" s="44">
        <f>626.1979</f>
        <v>626.1979</v>
      </c>
    </row>
    <row r="982" spans="1:10" ht="15.75" x14ac:dyDescent="0.25">
      <c r="A982" s="32">
        <v>70828</v>
      </c>
      <c r="B982" s="14">
        <f>68.7062 * CHOOSE(CONTROL!$C$15, $E$9, 100%, $G$9) + CHOOSE(CONTROL!$C$38, 0.0256, 0)</f>
        <v>68.731799999999993</v>
      </c>
      <c r="C982" s="14">
        <f>63.4049 * CHOOSE(CONTROL!$C$15, $E$9, 100%, $G$9) + CHOOSE(CONTROL!$C$38, 0.0347, 0)</f>
        <v>63.439599999999999</v>
      </c>
      <c r="D982" s="14">
        <f>63.3971 * CHOOSE(CONTROL!$C$15, $E$9, 100%, $G$9) + CHOOSE(CONTROL!$C$38, 0.0347, 0)</f>
        <v>63.431800000000003</v>
      </c>
      <c r="E982" s="46">
        <f>68.5499 * CHOOSE(CONTROL!$C$15, $E$9, 100%, $G$9) + CHOOSE(CONTROL!$C$38, 0.0347, 0)</f>
        <v>68.584599999999995</v>
      </c>
      <c r="F982" s="45">
        <f>68.5499 * CHOOSE(CONTROL!$C$15, $E$9, 100%, $G$9) + CHOOSE(CONTROL!$C$38, 0.0256, 0)</f>
        <v>68.575499999999991</v>
      </c>
      <c r="G982" s="14">
        <f>63.4033 * CHOOSE(CONTROL!$C$15, $E$9, 100%, $G$9) + CHOOSE(CONTROL!$C$38, 0.0347, 0)</f>
        <v>63.438000000000002</v>
      </c>
      <c r="H982" s="14">
        <f>63.4033 * CHOOSE(CONTROL!$C$15, $E$9, 100%, $G$9) + CHOOSE(CONTROL!$C$38, 0.0347, 0)</f>
        <v>63.438000000000002</v>
      </c>
      <c r="I982" s="14">
        <f>63.4049 * CHOOSE(CONTROL!$C$15, $E$9, 100%, $G$9) + CHOOSE(CONTROL!$C$38, 0.0347, 0)</f>
        <v>63.439599999999999</v>
      </c>
      <c r="J982" s="44">
        <f>621.7361</f>
        <v>621.73609999999996</v>
      </c>
    </row>
    <row r="983" spans="1:10" ht="15.75" x14ac:dyDescent="0.25">
      <c r="A983" s="32">
        <v>70859</v>
      </c>
      <c r="B983" s="14">
        <f>69.3022 * CHOOSE(CONTROL!$C$15, $E$9, 100%, $G$9) + CHOOSE(CONTROL!$C$38, 0.0256, 0)</f>
        <v>69.327799999999996</v>
      </c>
      <c r="C983" s="14">
        <f>64.0009 * CHOOSE(CONTROL!$C$15, $E$9, 100%, $G$9) + CHOOSE(CONTROL!$C$38, 0.0347, 0)</f>
        <v>64.035600000000002</v>
      </c>
      <c r="D983" s="14">
        <f>63.9931 * CHOOSE(CONTROL!$C$15, $E$9, 100%, $G$9) + CHOOSE(CONTROL!$C$38, 0.0347, 0)</f>
        <v>64.027799999999999</v>
      </c>
      <c r="E983" s="46">
        <f>69.146 * CHOOSE(CONTROL!$C$15, $E$9, 100%, $G$9) + CHOOSE(CONTROL!$C$38, 0.0347, 0)</f>
        <v>69.180700000000002</v>
      </c>
      <c r="F983" s="45">
        <f>69.146 * CHOOSE(CONTROL!$C$15, $E$9, 100%, $G$9) + CHOOSE(CONTROL!$C$38, 0.0256, 0)</f>
        <v>69.171599999999998</v>
      </c>
      <c r="G983" s="14">
        <f>63.9994 * CHOOSE(CONTROL!$C$15, $E$9, 100%, $G$9) + CHOOSE(CONTROL!$C$38, 0.0347, 0)</f>
        <v>64.034099999999995</v>
      </c>
      <c r="H983" s="14">
        <f>63.9994 * CHOOSE(CONTROL!$C$15, $E$9, 100%, $G$9) + CHOOSE(CONTROL!$C$38, 0.0347, 0)</f>
        <v>64.034099999999995</v>
      </c>
      <c r="I983" s="14">
        <f>64.0009 * CHOOSE(CONTROL!$C$15, $E$9, 100%, $G$9) + CHOOSE(CONTROL!$C$38, 0.0347, 0)</f>
        <v>64.035600000000002</v>
      </c>
      <c r="J983" s="44">
        <f>603.2861</f>
        <v>603.28610000000003</v>
      </c>
    </row>
    <row r="984" spans="1:10" ht="15.75" x14ac:dyDescent="0.25">
      <c r="A984" s="32">
        <v>70890</v>
      </c>
      <c r="B984" s="14">
        <f>70.8898 * CHOOSE(CONTROL!$C$15, $E$9, 100%, $G$9) + CHOOSE(CONTROL!$C$38, 0.0256, 0)</f>
        <v>70.915399999999991</v>
      </c>
      <c r="C984" s="14">
        <f>65.5042 * CHOOSE(CONTROL!$C$15, $E$9, 100%, $G$9) + CHOOSE(CONTROL!$C$38, 0.0347, 0)</f>
        <v>65.538899999999998</v>
      </c>
      <c r="D984" s="14">
        <f>65.4964 * CHOOSE(CONTROL!$C$15, $E$9, 100%, $G$9) + CHOOSE(CONTROL!$C$38, 0.0347, 0)</f>
        <v>65.531099999999995</v>
      </c>
      <c r="E984" s="46">
        <f>70.7336 * CHOOSE(CONTROL!$C$15, $E$9, 100%, $G$9) + CHOOSE(CONTROL!$C$38, 0.0347, 0)</f>
        <v>70.768299999999996</v>
      </c>
      <c r="F984" s="45">
        <f>70.7336 * CHOOSE(CONTROL!$C$15, $E$9, 100%, $G$9) + CHOOSE(CONTROL!$C$38, 0.0256, 0)</f>
        <v>70.759199999999993</v>
      </c>
      <c r="G984" s="14">
        <f>65.5026 * CHOOSE(CONTROL!$C$15, $E$9, 100%, $G$9) + CHOOSE(CONTROL!$C$38, 0.0347, 0)</f>
        <v>65.537300000000002</v>
      </c>
      <c r="H984" s="14">
        <f>65.5026 * CHOOSE(CONTROL!$C$15, $E$9, 100%, $G$9) + CHOOSE(CONTROL!$C$38, 0.0347, 0)</f>
        <v>65.537300000000002</v>
      </c>
      <c r="I984" s="14">
        <f>65.5042 * CHOOSE(CONTROL!$C$15, $E$9, 100%, $G$9) + CHOOSE(CONTROL!$C$38, 0.0347, 0)</f>
        <v>65.538899999999998</v>
      </c>
      <c r="J984" s="44">
        <f>602.1339</f>
        <v>602.13390000000004</v>
      </c>
    </row>
    <row r="985" spans="1:10" ht="15.75" x14ac:dyDescent="0.25">
      <c r="A985" s="32">
        <v>70918</v>
      </c>
      <c r="B985" s="14">
        <f>71.1106 * CHOOSE(CONTROL!$C$15, $E$9, 100%, $G$9) + CHOOSE(CONTROL!$C$38, 0.0256, 0)</f>
        <v>71.136200000000002</v>
      </c>
      <c r="C985" s="14">
        <f>65.725 * CHOOSE(CONTROL!$C$15, $E$9, 100%, $G$9) + CHOOSE(CONTROL!$C$38, 0.0347, 0)</f>
        <v>65.759699999999995</v>
      </c>
      <c r="D985" s="14">
        <f>65.7171 * CHOOSE(CONTROL!$C$15, $E$9, 100%, $G$9) + CHOOSE(CONTROL!$C$38, 0.0347, 0)</f>
        <v>65.751800000000003</v>
      </c>
      <c r="E985" s="46">
        <f>70.9544 * CHOOSE(CONTROL!$C$15, $E$9, 100%, $G$9) + CHOOSE(CONTROL!$C$38, 0.0347, 0)</f>
        <v>70.989100000000008</v>
      </c>
      <c r="F985" s="45">
        <f>70.9544 * CHOOSE(CONTROL!$C$15, $E$9, 100%, $G$9) + CHOOSE(CONTROL!$C$38, 0.0256, 0)</f>
        <v>70.98</v>
      </c>
      <c r="G985" s="14">
        <f>65.7234 * CHOOSE(CONTROL!$C$15, $E$9, 100%, $G$9) + CHOOSE(CONTROL!$C$38, 0.0347, 0)</f>
        <v>65.758099999999999</v>
      </c>
      <c r="H985" s="14">
        <f>65.7234 * CHOOSE(CONTROL!$C$15, $E$9, 100%, $G$9) + CHOOSE(CONTROL!$C$38, 0.0347, 0)</f>
        <v>65.758099999999999</v>
      </c>
      <c r="I985" s="14">
        <f>65.725 * CHOOSE(CONTROL!$C$15, $E$9, 100%, $G$9) + CHOOSE(CONTROL!$C$38, 0.0347, 0)</f>
        <v>65.759699999999995</v>
      </c>
      <c r="J985" s="44">
        <f>600.4602</f>
        <v>600.46019999999999</v>
      </c>
    </row>
    <row r="986" spans="1:10" ht="15.75" x14ac:dyDescent="0.25">
      <c r="A986" s="32">
        <v>70949</v>
      </c>
      <c r="B986" s="14">
        <f>70.5996 * CHOOSE(CONTROL!$C$15, $E$9, 100%, $G$9) + CHOOSE(CONTROL!$C$38, 0.0256, 0)</f>
        <v>70.625199999999992</v>
      </c>
      <c r="C986" s="14">
        <f>65.2139 * CHOOSE(CONTROL!$C$15, $E$9, 100%, $G$9) + CHOOSE(CONTROL!$C$38, 0.0347, 0)</f>
        <v>65.248599999999996</v>
      </c>
      <c r="D986" s="14">
        <f>65.2061 * CHOOSE(CONTROL!$C$15, $E$9, 100%, $G$9) + CHOOSE(CONTROL!$C$38, 0.0347, 0)</f>
        <v>65.240800000000007</v>
      </c>
      <c r="E986" s="46">
        <f>70.4433 * CHOOSE(CONTROL!$C$15, $E$9, 100%, $G$9) + CHOOSE(CONTROL!$C$38, 0.0347, 0)</f>
        <v>70.477999999999994</v>
      </c>
      <c r="F986" s="45">
        <f>70.4433 * CHOOSE(CONTROL!$C$15, $E$9, 100%, $G$9) + CHOOSE(CONTROL!$C$38, 0.0256, 0)</f>
        <v>70.468899999999991</v>
      </c>
      <c r="G986" s="14">
        <f>65.2124 * CHOOSE(CONTROL!$C$15, $E$9, 100%, $G$9) + CHOOSE(CONTROL!$C$38, 0.0347, 0)</f>
        <v>65.247100000000003</v>
      </c>
      <c r="H986" s="14">
        <f>65.2124 * CHOOSE(CONTROL!$C$15, $E$9, 100%, $G$9) + CHOOSE(CONTROL!$C$38, 0.0347, 0)</f>
        <v>65.247100000000003</v>
      </c>
      <c r="I986" s="14">
        <f>65.2139 * CHOOSE(CONTROL!$C$15, $E$9, 100%, $G$9) + CHOOSE(CONTROL!$C$38, 0.0347, 0)</f>
        <v>65.248599999999996</v>
      </c>
      <c r="J986" s="44">
        <f>632.1079</f>
        <v>632.10789999999997</v>
      </c>
    </row>
    <row r="987" spans="1:10" ht="15.75" x14ac:dyDescent="0.25">
      <c r="A987" s="32">
        <v>70979</v>
      </c>
      <c r="B987" s="14">
        <f>70.1044 * CHOOSE(CONTROL!$C$15, $E$9, 100%, $G$9) + CHOOSE(CONTROL!$C$38, 0.0256, 0)</f>
        <v>70.13</v>
      </c>
      <c r="C987" s="14">
        <f>64.7187 * CHOOSE(CONTROL!$C$15, $E$9, 100%, $G$9) + CHOOSE(CONTROL!$C$38, 0.0347, 0)</f>
        <v>64.753399999999999</v>
      </c>
      <c r="D987" s="14">
        <f>64.7109 * CHOOSE(CONTROL!$C$15, $E$9, 100%, $G$9) + CHOOSE(CONTROL!$C$38, 0.0347, 0)</f>
        <v>64.745599999999996</v>
      </c>
      <c r="E987" s="46">
        <f>69.9481 * CHOOSE(CONTROL!$C$15, $E$9, 100%, $G$9) + CHOOSE(CONTROL!$C$38, 0.0347, 0)</f>
        <v>69.982799999999997</v>
      </c>
      <c r="F987" s="45">
        <f>69.9481 * CHOOSE(CONTROL!$C$15, $E$9, 100%, $G$9) + CHOOSE(CONTROL!$C$38, 0.0256, 0)</f>
        <v>69.973699999999994</v>
      </c>
      <c r="G987" s="14">
        <f>64.7172 * CHOOSE(CONTROL!$C$15, $E$9, 100%, $G$9) + CHOOSE(CONTROL!$C$38, 0.0347, 0)</f>
        <v>64.751900000000006</v>
      </c>
      <c r="H987" s="14">
        <f>64.7172 * CHOOSE(CONTROL!$C$15, $E$9, 100%, $G$9) + CHOOSE(CONTROL!$C$38, 0.0347, 0)</f>
        <v>64.751900000000006</v>
      </c>
      <c r="I987" s="14">
        <f>64.7187 * CHOOSE(CONTROL!$C$15, $E$9, 100%, $G$9) + CHOOSE(CONTROL!$C$38, 0.0347, 0)</f>
        <v>64.753399999999999</v>
      </c>
      <c r="J987" s="44">
        <f>673.1474</f>
        <v>673.14739999999995</v>
      </c>
    </row>
    <row r="988" spans="1:10" ht="15.75" x14ac:dyDescent="0.25">
      <c r="A988" s="32">
        <v>71010</v>
      </c>
      <c r="B988" s="14">
        <f>69.5883 * CHOOSE(CONTROL!$C$15, $E$9, 100%, $G$9) + CHOOSE(CONTROL!$C$38, 0.0278, 0)</f>
        <v>69.616100000000003</v>
      </c>
      <c r="C988" s="14">
        <f>64.2026 * CHOOSE(CONTROL!$C$15, $E$9, 100%, $G$9) + CHOOSE(CONTROL!$C$38, 0.0369, 0)</f>
        <v>64.239500000000007</v>
      </c>
      <c r="D988" s="14">
        <f>64.1948 * CHOOSE(CONTROL!$C$15, $E$9, 100%, $G$9) + CHOOSE(CONTROL!$C$38, 0.0369, 0)</f>
        <v>64.231700000000004</v>
      </c>
      <c r="E988" s="46">
        <f>69.432 * CHOOSE(CONTROL!$C$15, $E$9, 100%, $G$9) + CHOOSE(CONTROL!$C$38, 0.0369, 0)</f>
        <v>69.468900000000005</v>
      </c>
      <c r="F988" s="45">
        <f>69.432 * CHOOSE(CONTROL!$C$15, $E$9, 100%, $G$9) + CHOOSE(CONTROL!$C$38, 0.0278, 0)</f>
        <v>69.459800000000001</v>
      </c>
      <c r="G988" s="14">
        <f>64.2011 * CHOOSE(CONTROL!$C$15, $E$9, 100%, $G$9) + CHOOSE(CONTROL!$C$38, 0.0369, 0)</f>
        <v>64.238</v>
      </c>
      <c r="H988" s="14">
        <f>64.2011 * CHOOSE(CONTROL!$C$15, $E$9, 100%, $G$9) + CHOOSE(CONTROL!$C$38, 0.0369, 0)</f>
        <v>64.238</v>
      </c>
      <c r="I988" s="14">
        <f>64.2026 * CHOOSE(CONTROL!$C$15, $E$9, 100%, $G$9) + CHOOSE(CONTROL!$C$38, 0.0369, 0)</f>
        <v>64.239500000000007</v>
      </c>
      <c r="J988" s="44">
        <f>695.7369</f>
        <v>695.73689999999999</v>
      </c>
    </row>
    <row r="989" spans="1:10" ht="15.75" x14ac:dyDescent="0.25">
      <c r="A989" s="32">
        <v>71040</v>
      </c>
      <c r="B989" s="14">
        <f>69.2264 * CHOOSE(CONTROL!$C$15, $E$9, 100%, $G$9) + CHOOSE(CONTROL!$C$38, 0.0278, 0)</f>
        <v>69.254199999999997</v>
      </c>
      <c r="C989" s="14">
        <f>63.8408 * CHOOSE(CONTROL!$C$15, $E$9, 100%, $G$9) + CHOOSE(CONTROL!$C$38, 0.0369, 0)</f>
        <v>63.877700000000004</v>
      </c>
      <c r="D989" s="14">
        <f>63.833 * CHOOSE(CONTROL!$C$15, $E$9, 100%, $G$9) + CHOOSE(CONTROL!$C$38, 0.0369, 0)</f>
        <v>63.869900000000001</v>
      </c>
      <c r="E989" s="46">
        <f>69.0702 * CHOOSE(CONTROL!$C$15, $E$9, 100%, $G$9) + CHOOSE(CONTROL!$C$38, 0.0369, 0)</f>
        <v>69.107100000000003</v>
      </c>
      <c r="F989" s="45">
        <f>69.0702 * CHOOSE(CONTROL!$C$15, $E$9, 100%, $G$9) + CHOOSE(CONTROL!$C$38, 0.0278, 0)</f>
        <v>69.097999999999999</v>
      </c>
      <c r="G989" s="14">
        <f>63.8392 * CHOOSE(CONTROL!$C$15, $E$9, 100%, $G$9) + CHOOSE(CONTROL!$C$38, 0.0369, 0)</f>
        <v>63.876100000000001</v>
      </c>
      <c r="H989" s="14">
        <f>63.8392 * CHOOSE(CONTROL!$C$15, $E$9, 100%, $G$9) + CHOOSE(CONTROL!$C$38, 0.0369, 0)</f>
        <v>63.876100000000001</v>
      </c>
      <c r="I989" s="14">
        <f>63.8408 * CHOOSE(CONTROL!$C$15, $E$9, 100%, $G$9) + CHOOSE(CONTROL!$C$38, 0.0369, 0)</f>
        <v>63.877700000000004</v>
      </c>
      <c r="J989" s="44">
        <f>705.7618</f>
        <v>705.76179999999999</v>
      </c>
    </row>
    <row r="990" spans="1:10" ht="15.75" x14ac:dyDescent="0.25">
      <c r="A990" s="32">
        <v>71071</v>
      </c>
      <c r="B990" s="14">
        <f>69.02 * CHOOSE(CONTROL!$C$15, $E$9, 100%, $G$9) + CHOOSE(CONTROL!$C$38, 0.0278, 0)</f>
        <v>69.047799999999995</v>
      </c>
      <c r="C990" s="14">
        <f>63.6343 * CHOOSE(CONTROL!$C$15, $E$9, 100%, $G$9) + CHOOSE(CONTROL!$C$38, 0.0369, 0)</f>
        <v>63.671200000000006</v>
      </c>
      <c r="D990" s="14">
        <f>63.6265 * CHOOSE(CONTROL!$C$15, $E$9, 100%, $G$9) + CHOOSE(CONTROL!$C$38, 0.0369, 0)</f>
        <v>63.663400000000003</v>
      </c>
      <c r="E990" s="46">
        <f>68.8637 * CHOOSE(CONTROL!$C$15, $E$9, 100%, $G$9) + CHOOSE(CONTROL!$C$38, 0.0369, 0)</f>
        <v>68.900599999999997</v>
      </c>
      <c r="F990" s="45">
        <f>68.8637 * CHOOSE(CONTROL!$C$15, $E$9, 100%, $G$9) + CHOOSE(CONTROL!$C$38, 0.0278, 0)</f>
        <v>68.891499999999994</v>
      </c>
      <c r="G990" s="14">
        <f>63.6327 * CHOOSE(CONTROL!$C$15, $E$9, 100%, $G$9) + CHOOSE(CONTROL!$C$38, 0.0369, 0)</f>
        <v>63.669600000000003</v>
      </c>
      <c r="H990" s="14">
        <f>63.6327 * CHOOSE(CONTROL!$C$15, $E$9, 100%, $G$9) + CHOOSE(CONTROL!$C$38, 0.0369, 0)</f>
        <v>63.669600000000003</v>
      </c>
      <c r="I990" s="14">
        <f>63.6343 * CHOOSE(CONTROL!$C$15, $E$9, 100%, $G$9) + CHOOSE(CONTROL!$C$38, 0.0369, 0)</f>
        <v>63.671200000000006</v>
      </c>
      <c r="J990" s="44">
        <f>702.4611</f>
        <v>702.46109999999999</v>
      </c>
    </row>
    <row r="991" spans="1:10" ht="15.75" x14ac:dyDescent="0.25">
      <c r="A991" s="32">
        <v>71102</v>
      </c>
      <c r="B991" s="14">
        <f>69.1219 * CHOOSE(CONTROL!$C$15, $E$9, 100%, $G$9) + CHOOSE(CONTROL!$C$38, 0.0278, 0)</f>
        <v>69.149699999999996</v>
      </c>
      <c r="C991" s="14">
        <f>63.7362 * CHOOSE(CONTROL!$C$15, $E$9, 100%, $G$9) + CHOOSE(CONTROL!$C$38, 0.0369, 0)</f>
        <v>63.773099999999999</v>
      </c>
      <c r="D991" s="14">
        <f>63.7284 * CHOOSE(CONTROL!$C$15, $E$9, 100%, $G$9) + CHOOSE(CONTROL!$C$38, 0.0369, 0)</f>
        <v>63.765300000000003</v>
      </c>
      <c r="E991" s="46">
        <f>68.9656 * CHOOSE(CONTROL!$C$15, $E$9, 100%, $G$9) + CHOOSE(CONTROL!$C$38, 0.0369, 0)</f>
        <v>69.002499999999998</v>
      </c>
      <c r="F991" s="45">
        <f>68.9656 * CHOOSE(CONTROL!$C$15, $E$9, 100%, $G$9) + CHOOSE(CONTROL!$C$38, 0.0278, 0)</f>
        <v>68.993399999999994</v>
      </c>
      <c r="G991" s="14">
        <f>63.7347 * CHOOSE(CONTROL!$C$15, $E$9, 100%, $G$9) + CHOOSE(CONTROL!$C$38, 0.0369, 0)</f>
        <v>63.771599999999999</v>
      </c>
      <c r="H991" s="14">
        <f>63.7347 * CHOOSE(CONTROL!$C$15, $E$9, 100%, $G$9) + CHOOSE(CONTROL!$C$38, 0.0369, 0)</f>
        <v>63.771599999999999</v>
      </c>
      <c r="I991" s="14">
        <f>63.7362 * CHOOSE(CONTROL!$C$15, $E$9, 100%, $G$9) + CHOOSE(CONTROL!$C$38, 0.0369, 0)</f>
        <v>63.773099999999999</v>
      </c>
      <c r="J991" s="44">
        <f>686.1081</f>
        <v>686.10810000000004</v>
      </c>
    </row>
    <row r="992" spans="1:10" ht="15.75" x14ac:dyDescent="0.25">
      <c r="A992" s="32">
        <v>71132</v>
      </c>
      <c r="B992" s="14">
        <f>69.3987 * CHOOSE(CONTROL!$C$15, $E$9, 100%, $G$9) + CHOOSE(CONTROL!$C$38, 0.0278, 0)</f>
        <v>69.426500000000004</v>
      </c>
      <c r="C992" s="14">
        <f>64.013 * CHOOSE(CONTROL!$C$15, $E$9, 100%, $G$9) + CHOOSE(CONTROL!$C$38, 0.0369, 0)</f>
        <v>64.049900000000008</v>
      </c>
      <c r="D992" s="14">
        <f>64.0052 * CHOOSE(CONTROL!$C$15, $E$9, 100%, $G$9) + CHOOSE(CONTROL!$C$38, 0.0369, 0)</f>
        <v>64.042100000000005</v>
      </c>
      <c r="E992" s="46">
        <f>69.2424 * CHOOSE(CONTROL!$C$15, $E$9, 100%, $G$9) + CHOOSE(CONTROL!$C$38, 0.0369, 0)</f>
        <v>69.279300000000006</v>
      </c>
      <c r="F992" s="45">
        <f>69.2424 * CHOOSE(CONTROL!$C$15, $E$9, 100%, $G$9) + CHOOSE(CONTROL!$C$38, 0.0278, 0)</f>
        <v>69.270200000000003</v>
      </c>
      <c r="G992" s="14">
        <f>64.0115 * CHOOSE(CONTROL!$C$15, $E$9, 100%, $G$9) + CHOOSE(CONTROL!$C$38, 0.0369, 0)</f>
        <v>64.048400000000001</v>
      </c>
      <c r="H992" s="14">
        <f>64.0115 * CHOOSE(CONTROL!$C$15, $E$9, 100%, $G$9) + CHOOSE(CONTROL!$C$38, 0.0369, 0)</f>
        <v>64.048400000000001</v>
      </c>
      <c r="I992" s="14">
        <f>64.013 * CHOOSE(CONTROL!$C$15, $E$9, 100%, $G$9) + CHOOSE(CONTROL!$C$38, 0.0369, 0)</f>
        <v>64.049900000000008</v>
      </c>
      <c r="J992" s="44">
        <f>663.3031</f>
        <v>663.30309999999997</v>
      </c>
    </row>
    <row r="993" spans="1:10" ht="15.75" x14ac:dyDescent="0.25">
      <c r="A993" s="32">
        <v>71163</v>
      </c>
      <c r="B993" s="14">
        <f>69.6305 * CHOOSE(CONTROL!$C$15, $E$9, 100%, $G$9) + CHOOSE(CONTROL!$C$38, 0.0256, 0)</f>
        <v>69.656099999999995</v>
      </c>
      <c r="C993" s="14">
        <f>64.2448 * CHOOSE(CONTROL!$C$15, $E$9, 100%, $G$9) + CHOOSE(CONTROL!$C$38, 0.0347, 0)</f>
        <v>64.279499999999999</v>
      </c>
      <c r="D993" s="14">
        <f>64.237 * CHOOSE(CONTROL!$C$15, $E$9, 100%, $G$9) + CHOOSE(CONTROL!$C$38, 0.0347, 0)</f>
        <v>64.271699999999996</v>
      </c>
      <c r="E993" s="46">
        <f>69.4742 * CHOOSE(CONTROL!$C$15, $E$9, 100%, $G$9) + CHOOSE(CONTROL!$C$38, 0.0347, 0)</f>
        <v>69.508899999999997</v>
      </c>
      <c r="F993" s="45">
        <f>69.4742 * CHOOSE(CONTROL!$C$15, $E$9, 100%, $G$9) + CHOOSE(CONTROL!$C$38, 0.0256, 0)</f>
        <v>69.499799999999993</v>
      </c>
      <c r="G993" s="14">
        <f>64.2433 * CHOOSE(CONTROL!$C$15, $E$9, 100%, $G$9) + CHOOSE(CONTROL!$C$38, 0.0347, 0)</f>
        <v>64.278000000000006</v>
      </c>
      <c r="H993" s="14">
        <f>64.2433 * CHOOSE(CONTROL!$C$15, $E$9, 100%, $G$9) + CHOOSE(CONTROL!$C$38, 0.0347, 0)</f>
        <v>64.278000000000006</v>
      </c>
      <c r="I993" s="14">
        <f>64.2448 * CHOOSE(CONTROL!$C$15, $E$9, 100%, $G$9) + CHOOSE(CONTROL!$C$38, 0.0347, 0)</f>
        <v>64.279499999999999</v>
      </c>
      <c r="J993" s="44">
        <f>640.3654</f>
        <v>640.36540000000002</v>
      </c>
    </row>
    <row r="994" spans="1:10" ht="15.75" x14ac:dyDescent="0.25">
      <c r="A994" s="32">
        <v>71193</v>
      </c>
      <c r="B994" s="14">
        <f>69.8239 * CHOOSE(CONTROL!$C$15, $E$9, 100%, $G$9) + CHOOSE(CONTROL!$C$38, 0.0256, 0)</f>
        <v>69.849499999999992</v>
      </c>
      <c r="C994" s="14">
        <f>64.4383 * CHOOSE(CONTROL!$C$15, $E$9, 100%, $G$9) + CHOOSE(CONTROL!$C$38, 0.0347, 0)</f>
        <v>64.472999999999999</v>
      </c>
      <c r="D994" s="14">
        <f>64.4305 * CHOOSE(CONTROL!$C$15, $E$9, 100%, $G$9) + CHOOSE(CONTROL!$C$38, 0.0347, 0)</f>
        <v>64.465199999999996</v>
      </c>
      <c r="E994" s="46">
        <f>69.6677 * CHOOSE(CONTROL!$C$15, $E$9, 100%, $G$9) + CHOOSE(CONTROL!$C$38, 0.0347, 0)</f>
        <v>69.702399999999997</v>
      </c>
      <c r="F994" s="45">
        <f>69.6677 * CHOOSE(CONTROL!$C$15, $E$9, 100%, $G$9) + CHOOSE(CONTROL!$C$38, 0.0256, 0)</f>
        <v>69.693299999999994</v>
      </c>
      <c r="G994" s="14">
        <f>64.4367 * CHOOSE(CONTROL!$C$15, $E$9, 100%, $G$9) + CHOOSE(CONTROL!$C$38, 0.0347, 0)</f>
        <v>64.471400000000003</v>
      </c>
      <c r="H994" s="14">
        <f>64.4367 * CHOOSE(CONTROL!$C$15, $E$9, 100%, $G$9) + CHOOSE(CONTROL!$C$38, 0.0347, 0)</f>
        <v>64.471400000000003</v>
      </c>
      <c r="I994" s="14">
        <f>64.4383 * CHOOSE(CONTROL!$C$15, $E$9, 100%, $G$9) + CHOOSE(CONTROL!$C$38, 0.0347, 0)</f>
        <v>64.472999999999999</v>
      </c>
      <c r="J994" s="44">
        <f>635.8026</f>
        <v>635.80259999999998</v>
      </c>
    </row>
    <row r="995" spans="1:10" ht="15.75" x14ac:dyDescent="0.25">
      <c r="A995" s="32">
        <v>71224</v>
      </c>
      <c r="B995" s="14">
        <f>70.42 * CHOOSE(CONTROL!$C$15, $E$9, 100%, $G$9) + CHOOSE(CONTROL!$C$38, 0.0256, 0)</f>
        <v>70.445599999999999</v>
      </c>
      <c r="C995" s="14">
        <f>65.0344 * CHOOSE(CONTROL!$C$15, $E$9, 100%, $G$9) + CHOOSE(CONTROL!$C$38, 0.0347, 0)</f>
        <v>65.069100000000006</v>
      </c>
      <c r="D995" s="14">
        <f>65.0265 * CHOOSE(CONTROL!$C$15, $E$9, 100%, $G$9) + CHOOSE(CONTROL!$C$38, 0.0347, 0)</f>
        <v>65.061199999999999</v>
      </c>
      <c r="E995" s="46">
        <f>70.2637 * CHOOSE(CONTROL!$C$15, $E$9, 100%, $G$9) + CHOOSE(CONTROL!$C$38, 0.0347, 0)</f>
        <v>70.298400000000001</v>
      </c>
      <c r="F995" s="45">
        <f>70.2637 * CHOOSE(CONTROL!$C$15, $E$9, 100%, $G$9) + CHOOSE(CONTROL!$C$38, 0.0256, 0)</f>
        <v>70.289299999999997</v>
      </c>
      <c r="G995" s="14">
        <f>65.0328 * CHOOSE(CONTROL!$C$15, $E$9, 100%, $G$9) + CHOOSE(CONTROL!$C$38, 0.0347, 0)</f>
        <v>65.067499999999995</v>
      </c>
      <c r="H995" s="14">
        <f>65.0328 * CHOOSE(CONTROL!$C$15, $E$9, 100%, $G$9) + CHOOSE(CONTROL!$C$38, 0.0347, 0)</f>
        <v>65.067499999999995</v>
      </c>
      <c r="I995" s="14">
        <f>65.0344 * CHOOSE(CONTROL!$C$15, $E$9, 100%, $G$9) + CHOOSE(CONTROL!$C$38, 0.0347, 0)</f>
        <v>65.069100000000006</v>
      </c>
      <c r="J995" s="44">
        <f>616.9351</f>
        <v>616.93510000000003</v>
      </c>
    </row>
    <row r="996" spans="1:10" ht="15.75" x14ac:dyDescent="0.25">
      <c r="A996" s="32">
        <v>71255</v>
      </c>
      <c r="B996" s="14">
        <f>72.0259 * CHOOSE(CONTROL!$C$15, $E$9, 100%, $G$9) + CHOOSE(CONTROL!$C$38, 0.0256, 0)</f>
        <v>72.05149999999999</v>
      </c>
      <c r="C996" s="14">
        <f>66.5545 * CHOOSE(CONTROL!$C$15, $E$9, 100%, $G$9) + CHOOSE(CONTROL!$C$38, 0.0347, 0)</f>
        <v>66.589200000000005</v>
      </c>
      <c r="D996" s="14">
        <f>66.5467 * CHOOSE(CONTROL!$C$15, $E$9, 100%, $G$9) + CHOOSE(CONTROL!$C$38, 0.0347, 0)</f>
        <v>66.581400000000002</v>
      </c>
      <c r="E996" s="46">
        <f>71.8697 * CHOOSE(CONTROL!$C$15, $E$9, 100%, $G$9) + CHOOSE(CONTROL!$C$38, 0.0347, 0)</f>
        <v>71.904399999999995</v>
      </c>
      <c r="F996" s="45">
        <f>71.8697 * CHOOSE(CONTROL!$C$15, $E$9, 100%, $G$9) + CHOOSE(CONTROL!$C$38, 0.0256, 0)</f>
        <v>71.895299999999992</v>
      </c>
      <c r="G996" s="14">
        <f>66.553 * CHOOSE(CONTROL!$C$15, $E$9, 100%, $G$9) + CHOOSE(CONTROL!$C$38, 0.0347, 0)</f>
        <v>66.587699999999998</v>
      </c>
      <c r="H996" s="14">
        <f>66.553 * CHOOSE(CONTROL!$C$15, $E$9, 100%, $G$9) + CHOOSE(CONTROL!$C$38, 0.0347, 0)</f>
        <v>66.587699999999998</v>
      </c>
      <c r="I996" s="14">
        <f>66.5545 * CHOOSE(CONTROL!$C$15, $E$9, 100%, $G$9) + CHOOSE(CONTROL!$C$38, 0.0347, 0)</f>
        <v>66.589200000000005</v>
      </c>
      <c r="J996" s="44">
        <f>615.7569</f>
        <v>615.75689999999997</v>
      </c>
    </row>
    <row r="997" spans="1:10" ht="15.75" x14ac:dyDescent="0.25">
      <c r="A997" s="32">
        <v>71283</v>
      </c>
      <c r="B997" s="14">
        <f>72.2467 * CHOOSE(CONTROL!$C$15, $E$9, 100%, $G$9) + CHOOSE(CONTROL!$C$38, 0.0256, 0)</f>
        <v>72.272300000000001</v>
      </c>
      <c r="C997" s="14">
        <f>66.7753 * CHOOSE(CONTROL!$C$15, $E$9, 100%, $G$9) + CHOOSE(CONTROL!$C$38, 0.0347, 0)</f>
        <v>66.81</v>
      </c>
      <c r="D997" s="14">
        <f>66.7675 * CHOOSE(CONTROL!$C$15, $E$9, 100%, $G$9) + CHOOSE(CONTROL!$C$38, 0.0347, 0)</f>
        <v>66.802199999999999</v>
      </c>
      <c r="E997" s="46">
        <f>72.0904 * CHOOSE(CONTROL!$C$15, $E$9, 100%, $G$9) + CHOOSE(CONTROL!$C$38, 0.0347, 0)</f>
        <v>72.125100000000003</v>
      </c>
      <c r="F997" s="45">
        <f>72.0904 * CHOOSE(CONTROL!$C$15, $E$9, 100%, $G$9) + CHOOSE(CONTROL!$C$38, 0.0256, 0)</f>
        <v>72.116</v>
      </c>
      <c r="G997" s="14">
        <f>66.7737 * CHOOSE(CONTROL!$C$15, $E$9, 100%, $G$9) + CHOOSE(CONTROL!$C$38, 0.0347, 0)</f>
        <v>66.808400000000006</v>
      </c>
      <c r="H997" s="14">
        <f>66.7737 * CHOOSE(CONTROL!$C$15, $E$9, 100%, $G$9) + CHOOSE(CONTROL!$C$38, 0.0347, 0)</f>
        <v>66.808400000000006</v>
      </c>
      <c r="I997" s="14">
        <f>66.7753 * CHOOSE(CONTROL!$C$15, $E$9, 100%, $G$9) + CHOOSE(CONTROL!$C$38, 0.0347, 0)</f>
        <v>66.81</v>
      </c>
      <c r="J997" s="44">
        <f>614.0453</f>
        <v>614.0453</v>
      </c>
    </row>
    <row r="998" spans="1:10" ht="15.75" x14ac:dyDescent="0.25">
      <c r="A998" s="32">
        <v>71314</v>
      </c>
      <c r="B998" s="14">
        <f>71.7357 * CHOOSE(CONTROL!$C$15, $E$9, 100%, $G$9) + CHOOSE(CONTROL!$C$38, 0.0256, 0)</f>
        <v>71.761299999999991</v>
      </c>
      <c r="C998" s="14">
        <f>66.2643 * CHOOSE(CONTROL!$C$15, $E$9, 100%, $G$9) + CHOOSE(CONTROL!$C$38, 0.0347, 0)</f>
        <v>66.299000000000007</v>
      </c>
      <c r="D998" s="14">
        <f>66.2565 * CHOOSE(CONTROL!$C$15, $E$9, 100%, $G$9) + CHOOSE(CONTROL!$C$38, 0.0347, 0)</f>
        <v>66.291200000000003</v>
      </c>
      <c r="E998" s="46">
        <f>71.5794 * CHOOSE(CONTROL!$C$15, $E$9, 100%, $G$9) + CHOOSE(CONTROL!$C$38, 0.0347, 0)</f>
        <v>71.614100000000008</v>
      </c>
      <c r="F998" s="45">
        <f>71.5794 * CHOOSE(CONTROL!$C$15, $E$9, 100%, $G$9) + CHOOSE(CONTROL!$C$38, 0.0256, 0)</f>
        <v>71.605000000000004</v>
      </c>
      <c r="G998" s="14">
        <f>66.2627 * CHOOSE(CONTROL!$C$15, $E$9, 100%, $G$9) + CHOOSE(CONTROL!$C$38, 0.0347, 0)</f>
        <v>66.297399999999996</v>
      </c>
      <c r="H998" s="14">
        <f>66.2627 * CHOOSE(CONTROL!$C$15, $E$9, 100%, $G$9) + CHOOSE(CONTROL!$C$38, 0.0347, 0)</f>
        <v>66.297399999999996</v>
      </c>
      <c r="I998" s="14">
        <f>66.2643 * CHOOSE(CONTROL!$C$15, $E$9, 100%, $G$9) + CHOOSE(CONTROL!$C$38, 0.0347, 0)</f>
        <v>66.299000000000007</v>
      </c>
      <c r="J998" s="44">
        <f>646.409</f>
        <v>646.40899999999999</v>
      </c>
    </row>
    <row r="999" spans="1:10" ht="15.75" x14ac:dyDescent="0.25">
      <c r="A999" s="32">
        <v>71344</v>
      </c>
      <c r="B999" s="14">
        <f>71.2405 * CHOOSE(CONTROL!$C$15, $E$9, 100%, $G$9) + CHOOSE(CONTROL!$C$38, 0.0256, 0)</f>
        <v>71.266099999999994</v>
      </c>
      <c r="C999" s="14">
        <f>65.7691 * CHOOSE(CONTROL!$C$15, $E$9, 100%, $G$9) + CHOOSE(CONTROL!$C$38, 0.0347, 0)</f>
        <v>65.803799999999995</v>
      </c>
      <c r="D999" s="14">
        <f>65.7613 * CHOOSE(CONTROL!$C$15, $E$9, 100%, $G$9) + CHOOSE(CONTROL!$C$38, 0.0347, 0)</f>
        <v>65.796000000000006</v>
      </c>
      <c r="E999" s="46">
        <f>71.0842 * CHOOSE(CONTROL!$C$15, $E$9, 100%, $G$9) + CHOOSE(CONTROL!$C$38, 0.0347, 0)</f>
        <v>71.118899999999996</v>
      </c>
      <c r="F999" s="45">
        <f>71.0842 * CHOOSE(CONTROL!$C$15, $E$9, 100%, $G$9) + CHOOSE(CONTROL!$C$38, 0.0256, 0)</f>
        <v>71.109799999999993</v>
      </c>
      <c r="G999" s="14">
        <f>65.7675 * CHOOSE(CONTROL!$C$15, $E$9, 100%, $G$9) + CHOOSE(CONTROL!$C$38, 0.0347, 0)</f>
        <v>65.802199999999999</v>
      </c>
      <c r="H999" s="14">
        <f>65.7675 * CHOOSE(CONTROL!$C$15, $E$9, 100%, $G$9) + CHOOSE(CONTROL!$C$38, 0.0347, 0)</f>
        <v>65.802199999999999</v>
      </c>
      <c r="I999" s="14">
        <f>65.7691 * CHOOSE(CONTROL!$C$15, $E$9, 100%, $G$9) + CHOOSE(CONTROL!$C$38, 0.0347, 0)</f>
        <v>65.803799999999995</v>
      </c>
      <c r="J999" s="44">
        <f>688.3771</f>
        <v>688.37710000000004</v>
      </c>
    </row>
    <row r="1000" spans="1:10" ht="15.75" x14ac:dyDescent="0.25">
      <c r="A1000" s="32">
        <v>71375</v>
      </c>
      <c r="B1000" s="14">
        <f>70.7244 * CHOOSE(CONTROL!$C$15, $E$9, 100%, $G$9) + CHOOSE(CONTROL!$C$38, 0.0278, 0)</f>
        <v>70.752200000000002</v>
      </c>
      <c r="C1000" s="14">
        <f>65.253 * CHOOSE(CONTROL!$C$15, $E$9, 100%, $G$9) + CHOOSE(CONTROL!$C$38, 0.0369, 0)</f>
        <v>65.289900000000003</v>
      </c>
      <c r="D1000" s="14">
        <f>65.2452 * CHOOSE(CONTROL!$C$15, $E$9, 100%, $G$9) + CHOOSE(CONTROL!$C$38, 0.0369, 0)</f>
        <v>65.2821</v>
      </c>
      <c r="E1000" s="46">
        <f>70.5681 * CHOOSE(CONTROL!$C$15, $E$9, 100%, $G$9) + CHOOSE(CONTROL!$C$38, 0.0369, 0)</f>
        <v>70.605000000000004</v>
      </c>
      <c r="F1000" s="45">
        <f>70.5681 * CHOOSE(CONTROL!$C$15, $E$9, 100%, $G$9) + CHOOSE(CONTROL!$C$38, 0.0278, 0)</f>
        <v>70.5959</v>
      </c>
      <c r="G1000" s="14">
        <f>65.2514 * CHOOSE(CONTROL!$C$15, $E$9, 100%, $G$9) + CHOOSE(CONTROL!$C$38, 0.0369, 0)</f>
        <v>65.288300000000007</v>
      </c>
      <c r="H1000" s="14">
        <f>65.2514 * CHOOSE(CONTROL!$C$15, $E$9, 100%, $G$9) + CHOOSE(CONTROL!$C$38, 0.0369, 0)</f>
        <v>65.288300000000007</v>
      </c>
      <c r="I1000" s="14">
        <f>65.253 * CHOOSE(CONTROL!$C$15, $E$9, 100%, $G$9) + CHOOSE(CONTROL!$C$38, 0.0369, 0)</f>
        <v>65.289900000000003</v>
      </c>
      <c r="J1000" s="44">
        <f>711.4776</f>
        <v>711.47760000000005</v>
      </c>
    </row>
    <row r="1001" spans="1:10" ht="15.75" x14ac:dyDescent="0.25">
      <c r="A1001" s="32">
        <v>71405</v>
      </c>
      <c r="B1001" s="14">
        <f>70.3625 * CHOOSE(CONTROL!$C$15, $E$9, 100%, $G$9) + CHOOSE(CONTROL!$C$38, 0.0278, 0)</f>
        <v>70.390299999999996</v>
      </c>
      <c r="C1001" s="14">
        <f>64.8912 * CHOOSE(CONTROL!$C$15, $E$9, 100%, $G$9) + CHOOSE(CONTROL!$C$38, 0.0369, 0)</f>
        <v>64.928100000000001</v>
      </c>
      <c r="D1001" s="14">
        <f>64.8833 * CHOOSE(CONTROL!$C$15, $E$9, 100%, $G$9) + CHOOSE(CONTROL!$C$38, 0.0369, 0)</f>
        <v>64.920200000000008</v>
      </c>
      <c r="E1001" s="46">
        <f>70.2063 * CHOOSE(CONTROL!$C$15, $E$9, 100%, $G$9) + CHOOSE(CONTROL!$C$38, 0.0369, 0)</f>
        <v>70.243200000000002</v>
      </c>
      <c r="F1001" s="45">
        <f>70.2063 * CHOOSE(CONTROL!$C$15, $E$9, 100%, $G$9) + CHOOSE(CONTROL!$C$38, 0.0278, 0)</f>
        <v>70.234099999999998</v>
      </c>
      <c r="G1001" s="14">
        <f>64.8896 * CHOOSE(CONTROL!$C$15, $E$9, 100%, $G$9) + CHOOSE(CONTROL!$C$38, 0.0369, 0)</f>
        <v>64.926500000000004</v>
      </c>
      <c r="H1001" s="14">
        <f>64.8896 * CHOOSE(CONTROL!$C$15, $E$9, 100%, $G$9) + CHOOSE(CONTROL!$C$38, 0.0369, 0)</f>
        <v>64.926500000000004</v>
      </c>
      <c r="I1001" s="14">
        <f>64.8912 * CHOOSE(CONTROL!$C$15, $E$9, 100%, $G$9) + CHOOSE(CONTROL!$C$38, 0.0369, 0)</f>
        <v>64.928100000000001</v>
      </c>
      <c r="J1001" s="44">
        <f>721.7293</f>
        <v>721.72929999999997</v>
      </c>
    </row>
    <row r="1002" spans="1:10" ht="15.75" x14ac:dyDescent="0.25">
      <c r="A1002" s="32">
        <v>71436</v>
      </c>
      <c r="B1002" s="14">
        <f>70.156 * CHOOSE(CONTROL!$C$15, $E$9, 100%, $G$9) + CHOOSE(CONTROL!$C$38, 0.0278, 0)</f>
        <v>70.183800000000005</v>
      </c>
      <c r="C1002" s="14">
        <f>64.6847 * CHOOSE(CONTROL!$C$15, $E$9, 100%, $G$9) + CHOOSE(CONTROL!$C$38, 0.0369, 0)</f>
        <v>64.721600000000009</v>
      </c>
      <c r="D1002" s="14">
        <f>64.6769 * CHOOSE(CONTROL!$C$15, $E$9, 100%, $G$9) + CHOOSE(CONTROL!$C$38, 0.0369, 0)</f>
        <v>64.713800000000006</v>
      </c>
      <c r="E1002" s="46">
        <f>69.9998 * CHOOSE(CONTROL!$C$15, $E$9, 100%, $G$9) + CHOOSE(CONTROL!$C$38, 0.0369, 0)</f>
        <v>70.036699999999996</v>
      </c>
      <c r="F1002" s="45">
        <f>69.9998 * CHOOSE(CONTROL!$C$15, $E$9, 100%, $G$9) + CHOOSE(CONTROL!$C$38, 0.0278, 0)</f>
        <v>70.027599999999993</v>
      </c>
      <c r="G1002" s="14">
        <f>64.6831 * CHOOSE(CONTROL!$C$15, $E$9, 100%, $G$9) + CHOOSE(CONTROL!$C$38, 0.0369, 0)</f>
        <v>64.72</v>
      </c>
      <c r="H1002" s="14">
        <f>64.6831 * CHOOSE(CONTROL!$C$15, $E$9, 100%, $G$9) + CHOOSE(CONTROL!$C$38, 0.0369, 0)</f>
        <v>64.72</v>
      </c>
      <c r="I1002" s="14">
        <f>64.6847 * CHOOSE(CONTROL!$C$15, $E$9, 100%, $G$9) + CHOOSE(CONTROL!$C$38, 0.0369, 0)</f>
        <v>64.721600000000009</v>
      </c>
      <c r="J1002" s="44">
        <f>718.3539</f>
        <v>718.35389999999995</v>
      </c>
    </row>
    <row r="1003" spans="1:10" ht="15.75" x14ac:dyDescent="0.25">
      <c r="A1003" s="32">
        <v>71467</v>
      </c>
      <c r="B1003" s="14">
        <f>70.258 * CHOOSE(CONTROL!$C$15, $E$9, 100%, $G$9) + CHOOSE(CONTROL!$C$38, 0.0278, 0)</f>
        <v>70.285799999999995</v>
      </c>
      <c r="C1003" s="14">
        <f>64.7866 * CHOOSE(CONTROL!$C$15, $E$9, 100%, $G$9) + CHOOSE(CONTROL!$C$38, 0.0369, 0)</f>
        <v>64.82350000000001</v>
      </c>
      <c r="D1003" s="14">
        <f>64.7788 * CHOOSE(CONTROL!$C$15, $E$9, 100%, $G$9) + CHOOSE(CONTROL!$C$38, 0.0369, 0)</f>
        <v>64.815700000000007</v>
      </c>
      <c r="E1003" s="46">
        <f>70.1017 * CHOOSE(CONTROL!$C$15, $E$9, 100%, $G$9) + CHOOSE(CONTROL!$C$38, 0.0369, 0)</f>
        <v>70.138599999999997</v>
      </c>
      <c r="F1003" s="45">
        <f>70.1017 * CHOOSE(CONTROL!$C$15, $E$9, 100%, $G$9) + CHOOSE(CONTROL!$C$38, 0.0278, 0)</f>
        <v>70.129499999999993</v>
      </c>
      <c r="G1003" s="14">
        <f>64.785 * CHOOSE(CONTROL!$C$15, $E$9, 100%, $G$9) + CHOOSE(CONTROL!$C$38, 0.0369, 0)</f>
        <v>64.821899999999999</v>
      </c>
      <c r="H1003" s="14">
        <f>64.785 * CHOOSE(CONTROL!$C$15, $E$9, 100%, $G$9) + CHOOSE(CONTROL!$C$38, 0.0369, 0)</f>
        <v>64.821899999999999</v>
      </c>
      <c r="I1003" s="14">
        <f>64.7866 * CHOOSE(CONTROL!$C$15, $E$9, 100%, $G$9) + CHOOSE(CONTROL!$C$38, 0.0369, 0)</f>
        <v>64.82350000000001</v>
      </c>
      <c r="J1003" s="44">
        <f>701.631</f>
        <v>701.63099999999997</v>
      </c>
    </row>
    <row r="1004" spans="1:10" ht="15.75" x14ac:dyDescent="0.25">
      <c r="A1004" s="32">
        <v>71497</v>
      </c>
      <c r="B1004" s="14">
        <f>70.5348 * CHOOSE(CONTROL!$C$15, $E$9, 100%, $G$9) + CHOOSE(CONTROL!$C$38, 0.0278, 0)</f>
        <v>70.562600000000003</v>
      </c>
      <c r="C1004" s="14">
        <f>65.0634 * CHOOSE(CONTROL!$C$15, $E$9, 100%, $G$9) + CHOOSE(CONTROL!$C$38, 0.0369, 0)</f>
        <v>65.100300000000004</v>
      </c>
      <c r="D1004" s="14">
        <f>65.0556 * CHOOSE(CONTROL!$C$15, $E$9, 100%, $G$9) + CHOOSE(CONTROL!$C$38, 0.0369, 0)</f>
        <v>65.092500000000001</v>
      </c>
      <c r="E1004" s="46">
        <f>70.3785 * CHOOSE(CONTROL!$C$15, $E$9, 100%, $G$9) + CHOOSE(CONTROL!$C$38, 0.0369, 0)</f>
        <v>70.415400000000005</v>
      </c>
      <c r="F1004" s="45">
        <f>70.3785 * CHOOSE(CONTROL!$C$15, $E$9, 100%, $G$9) + CHOOSE(CONTROL!$C$38, 0.0278, 0)</f>
        <v>70.406300000000002</v>
      </c>
      <c r="G1004" s="14">
        <f>65.0618 * CHOOSE(CONTROL!$C$15, $E$9, 100%, $G$9) + CHOOSE(CONTROL!$C$38, 0.0369, 0)</f>
        <v>65.098700000000008</v>
      </c>
      <c r="H1004" s="14">
        <f>65.0618 * CHOOSE(CONTROL!$C$15, $E$9, 100%, $G$9) + CHOOSE(CONTROL!$C$38, 0.0369, 0)</f>
        <v>65.098700000000008</v>
      </c>
      <c r="I1004" s="14">
        <f>65.0634 * CHOOSE(CONTROL!$C$15, $E$9, 100%, $G$9) + CHOOSE(CONTROL!$C$38, 0.0369, 0)</f>
        <v>65.100300000000004</v>
      </c>
      <c r="J1004" s="44">
        <f>678.31</f>
        <v>678.31</v>
      </c>
    </row>
    <row r="1005" spans="1:10" ht="15.75" x14ac:dyDescent="0.25">
      <c r="A1005" s="32">
        <v>71528</v>
      </c>
      <c r="B1005" s="14">
        <f>70.7666 * CHOOSE(CONTROL!$C$15, $E$9, 100%, $G$9) + CHOOSE(CONTROL!$C$38, 0.0256, 0)</f>
        <v>70.792199999999994</v>
      </c>
      <c r="C1005" s="14">
        <f>65.2952 * CHOOSE(CONTROL!$C$15, $E$9, 100%, $G$9) + CHOOSE(CONTROL!$C$38, 0.0347, 0)</f>
        <v>65.329899999999995</v>
      </c>
      <c r="D1005" s="14">
        <f>65.2874 * CHOOSE(CONTROL!$C$15, $E$9, 100%, $G$9) + CHOOSE(CONTROL!$C$38, 0.0347, 0)</f>
        <v>65.322100000000006</v>
      </c>
      <c r="E1005" s="46">
        <f>70.6103 * CHOOSE(CONTROL!$C$15, $E$9, 100%, $G$9) + CHOOSE(CONTROL!$C$38, 0.0347, 0)</f>
        <v>70.644999999999996</v>
      </c>
      <c r="F1005" s="45">
        <f>70.6103 * CHOOSE(CONTROL!$C$15, $E$9, 100%, $G$9) + CHOOSE(CONTROL!$C$38, 0.0256, 0)</f>
        <v>70.635899999999992</v>
      </c>
      <c r="G1005" s="14">
        <f>65.2936 * CHOOSE(CONTROL!$C$15, $E$9, 100%, $G$9) + CHOOSE(CONTROL!$C$38, 0.0347, 0)</f>
        <v>65.328299999999999</v>
      </c>
      <c r="H1005" s="14">
        <f>65.2936 * CHOOSE(CONTROL!$C$15, $E$9, 100%, $G$9) + CHOOSE(CONTROL!$C$38, 0.0347, 0)</f>
        <v>65.328299999999999</v>
      </c>
      <c r="I1005" s="14">
        <f>65.2952 * CHOOSE(CONTROL!$C$15, $E$9, 100%, $G$9) + CHOOSE(CONTROL!$C$38, 0.0347, 0)</f>
        <v>65.329899999999995</v>
      </c>
      <c r="J1005" s="44">
        <f>654.8533</f>
        <v>654.85329999999999</v>
      </c>
    </row>
    <row r="1006" spans="1:10" ht="15.75" x14ac:dyDescent="0.25">
      <c r="A1006" s="32">
        <v>71558</v>
      </c>
      <c r="B1006" s="14">
        <f>70.96 * CHOOSE(CONTROL!$C$15, $E$9, 100%, $G$9) + CHOOSE(CONTROL!$C$38, 0.0256, 0)</f>
        <v>70.985599999999991</v>
      </c>
      <c r="C1006" s="14">
        <f>65.4886 * CHOOSE(CONTROL!$C$15, $E$9, 100%, $G$9) + CHOOSE(CONTROL!$C$38, 0.0347, 0)</f>
        <v>65.523300000000006</v>
      </c>
      <c r="D1006" s="14">
        <f>65.4808 * CHOOSE(CONTROL!$C$15, $E$9, 100%, $G$9) + CHOOSE(CONTROL!$C$38, 0.0347, 0)</f>
        <v>65.515500000000003</v>
      </c>
      <c r="E1006" s="46">
        <f>70.8038 * CHOOSE(CONTROL!$C$15, $E$9, 100%, $G$9) + CHOOSE(CONTROL!$C$38, 0.0347, 0)</f>
        <v>70.838499999999996</v>
      </c>
      <c r="F1006" s="45">
        <f>70.8038 * CHOOSE(CONTROL!$C$15, $E$9, 100%, $G$9) + CHOOSE(CONTROL!$C$38, 0.0256, 0)</f>
        <v>70.829399999999993</v>
      </c>
      <c r="G1006" s="14">
        <f>65.4871 * CHOOSE(CONTROL!$C$15, $E$9, 100%, $G$9) + CHOOSE(CONTROL!$C$38, 0.0347, 0)</f>
        <v>65.521799999999999</v>
      </c>
      <c r="H1006" s="14">
        <f>65.4871 * CHOOSE(CONTROL!$C$15, $E$9, 100%, $G$9) + CHOOSE(CONTROL!$C$38, 0.0347, 0)</f>
        <v>65.521799999999999</v>
      </c>
      <c r="I1006" s="14">
        <f>65.4886 * CHOOSE(CONTROL!$C$15, $E$9, 100%, $G$9) + CHOOSE(CONTROL!$C$38, 0.0347, 0)</f>
        <v>65.523300000000006</v>
      </c>
      <c r="J1006" s="44">
        <f>650.1873</f>
        <v>650.18730000000005</v>
      </c>
    </row>
    <row r="1007" spans="1:10" ht="15.75" x14ac:dyDescent="0.25">
      <c r="A1007" s="32">
        <v>71589</v>
      </c>
      <c r="B1007" s="14">
        <f>71.5561 * CHOOSE(CONTROL!$C$15, $E$9, 100%, $G$9) + CHOOSE(CONTROL!$C$38, 0.0256, 0)</f>
        <v>71.581699999999998</v>
      </c>
      <c r="C1007" s="14">
        <f>66.0847 * CHOOSE(CONTROL!$C$15, $E$9, 100%, $G$9) + CHOOSE(CONTROL!$C$38, 0.0347, 0)</f>
        <v>66.119399999999999</v>
      </c>
      <c r="D1007" s="14">
        <f>66.0769 * CHOOSE(CONTROL!$C$15, $E$9, 100%, $G$9) + CHOOSE(CONTROL!$C$38, 0.0347, 0)</f>
        <v>66.111599999999996</v>
      </c>
      <c r="E1007" s="46">
        <f>71.3998 * CHOOSE(CONTROL!$C$15, $E$9, 100%, $G$9) + CHOOSE(CONTROL!$C$38, 0.0347, 0)</f>
        <v>71.4345</v>
      </c>
      <c r="F1007" s="45">
        <f>71.3998 * CHOOSE(CONTROL!$C$15, $E$9, 100%, $G$9) + CHOOSE(CONTROL!$C$38, 0.0256, 0)</f>
        <v>71.425399999999996</v>
      </c>
      <c r="G1007" s="14">
        <f>66.0831 * CHOOSE(CONTROL!$C$15, $E$9, 100%, $G$9) + CHOOSE(CONTROL!$C$38, 0.0347, 0)</f>
        <v>66.117800000000003</v>
      </c>
      <c r="H1007" s="14">
        <f>66.0831 * CHOOSE(CONTROL!$C$15, $E$9, 100%, $G$9) + CHOOSE(CONTROL!$C$38, 0.0347, 0)</f>
        <v>66.117800000000003</v>
      </c>
      <c r="I1007" s="14">
        <f>66.0847 * CHOOSE(CONTROL!$C$15, $E$9, 100%, $G$9) + CHOOSE(CONTROL!$C$38, 0.0347, 0)</f>
        <v>66.119399999999999</v>
      </c>
      <c r="J1007" s="44">
        <f>630.893</f>
        <v>630.89300000000003</v>
      </c>
    </row>
    <row r="1008" spans="1:10" ht="15.75" x14ac:dyDescent="0.25">
      <c r="A1008" s="32">
        <v>71620</v>
      </c>
      <c r="B1008" s="14">
        <f>73.1806 * CHOOSE(CONTROL!$C$15, $E$9, 100%, $G$9) + CHOOSE(CONTROL!$C$38, 0.0256, 0)</f>
        <v>73.206199999999995</v>
      </c>
      <c r="C1008" s="14">
        <f>67.6221 * CHOOSE(CONTROL!$C$15, $E$9, 100%, $G$9) + CHOOSE(CONTROL!$C$38, 0.0347, 0)</f>
        <v>67.656800000000004</v>
      </c>
      <c r="D1008" s="14">
        <f>67.6143 * CHOOSE(CONTROL!$C$15, $E$9, 100%, $G$9) + CHOOSE(CONTROL!$C$38, 0.0347, 0)</f>
        <v>67.649000000000001</v>
      </c>
      <c r="E1008" s="46">
        <f>73.0244 * CHOOSE(CONTROL!$C$15, $E$9, 100%, $G$9) + CHOOSE(CONTROL!$C$38, 0.0347, 0)</f>
        <v>73.059100000000001</v>
      </c>
      <c r="F1008" s="45">
        <f>73.0244 * CHOOSE(CONTROL!$C$15, $E$9, 100%, $G$9) + CHOOSE(CONTROL!$C$38, 0.0256, 0)</f>
        <v>73.05</v>
      </c>
      <c r="G1008" s="14">
        <f>67.6206 * CHOOSE(CONTROL!$C$15, $E$9, 100%, $G$9) + CHOOSE(CONTROL!$C$38, 0.0347, 0)</f>
        <v>67.655299999999997</v>
      </c>
      <c r="H1008" s="14">
        <f>67.6206 * CHOOSE(CONTROL!$C$15, $E$9, 100%, $G$9) + CHOOSE(CONTROL!$C$38, 0.0347, 0)</f>
        <v>67.655299999999997</v>
      </c>
      <c r="I1008" s="14">
        <f>67.6221 * CHOOSE(CONTROL!$C$15, $E$9, 100%, $G$9) + CHOOSE(CONTROL!$C$38, 0.0347, 0)</f>
        <v>67.656800000000004</v>
      </c>
      <c r="J1008" s="44">
        <f>629.6881</f>
        <v>629.68809999999996</v>
      </c>
    </row>
    <row r="1009" spans="1:10" ht="15.75" x14ac:dyDescent="0.25">
      <c r="A1009" s="32">
        <v>71649</v>
      </c>
      <c r="B1009" s="14">
        <f>73.4014 * CHOOSE(CONTROL!$C$15, $E$9, 100%, $G$9) + CHOOSE(CONTROL!$C$38, 0.0256, 0)</f>
        <v>73.426999999999992</v>
      </c>
      <c r="C1009" s="14">
        <f>67.8429 * CHOOSE(CONTROL!$C$15, $E$9, 100%, $G$9) + CHOOSE(CONTROL!$C$38, 0.0347, 0)</f>
        <v>67.877600000000001</v>
      </c>
      <c r="D1009" s="14">
        <f>67.8351 * CHOOSE(CONTROL!$C$15, $E$9, 100%, $G$9) + CHOOSE(CONTROL!$C$38, 0.0347, 0)</f>
        <v>67.869799999999998</v>
      </c>
      <c r="E1009" s="46">
        <f>73.2452 * CHOOSE(CONTROL!$C$15, $E$9, 100%, $G$9) + CHOOSE(CONTROL!$C$38, 0.0347, 0)</f>
        <v>73.279899999999998</v>
      </c>
      <c r="F1009" s="45">
        <f>73.2452 * CHOOSE(CONTROL!$C$15, $E$9, 100%, $G$9) + CHOOSE(CONTROL!$C$38, 0.0256, 0)</f>
        <v>73.270799999999994</v>
      </c>
      <c r="G1009" s="14">
        <f>67.8413 * CHOOSE(CONTROL!$C$15, $E$9, 100%, $G$9) + CHOOSE(CONTROL!$C$38, 0.0347, 0)</f>
        <v>67.876000000000005</v>
      </c>
      <c r="H1009" s="14">
        <f>67.8413 * CHOOSE(CONTROL!$C$15, $E$9, 100%, $G$9) + CHOOSE(CONTROL!$C$38, 0.0347, 0)</f>
        <v>67.876000000000005</v>
      </c>
      <c r="I1009" s="14">
        <f>67.8429 * CHOOSE(CONTROL!$C$15, $E$9, 100%, $G$9) + CHOOSE(CONTROL!$C$38, 0.0347, 0)</f>
        <v>67.877600000000001</v>
      </c>
      <c r="J1009" s="44">
        <f>627.9378</f>
        <v>627.93780000000004</v>
      </c>
    </row>
    <row r="1010" spans="1:10" ht="15.75" x14ac:dyDescent="0.25">
      <c r="A1010" s="32">
        <v>71680</v>
      </c>
      <c r="B1010" s="14">
        <f>72.8904 * CHOOSE(CONTROL!$C$15, $E$9, 100%, $G$9) + CHOOSE(CONTROL!$C$38, 0.0256, 0)</f>
        <v>72.915999999999997</v>
      </c>
      <c r="C1010" s="14">
        <f>67.3319 * CHOOSE(CONTROL!$C$15, $E$9, 100%, $G$9) + CHOOSE(CONTROL!$C$38, 0.0347, 0)</f>
        <v>67.366600000000005</v>
      </c>
      <c r="D1010" s="14">
        <f>67.324 * CHOOSE(CONTROL!$C$15, $E$9, 100%, $G$9) + CHOOSE(CONTROL!$C$38, 0.0347, 0)</f>
        <v>67.358699999999999</v>
      </c>
      <c r="E1010" s="46">
        <f>72.7341 * CHOOSE(CONTROL!$C$15, $E$9, 100%, $G$9) + CHOOSE(CONTROL!$C$38, 0.0347, 0)</f>
        <v>72.768799999999999</v>
      </c>
      <c r="F1010" s="45">
        <f>72.7341 * CHOOSE(CONTROL!$C$15, $E$9, 100%, $G$9) + CHOOSE(CONTROL!$C$38, 0.0256, 0)</f>
        <v>72.759699999999995</v>
      </c>
      <c r="G1010" s="14">
        <f>67.3303 * CHOOSE(CONTROL!$C$15, $E$9, 100%, $G$9) + CHOOSE(CONTROL!$C$38, 0.0347, 0)</f>
        <v>67.364999999999995</v>
      </c>
      <c r="H1010" s="14">
        <f>67.3303 * CHOOSE(CONTROL!$C$15, $E$9, 100%, $G$9) + CHOOSE(CONTROL!$C$38, 0.0347, 0)</f>
        <v>67.364999999999995</v>
      </c>
      <c r="I1010" s="14">
        <f>67.3319 * CHOOSE(CONTROL!$C$15, $E$9, 100%, $G$9) + CHOOSE(CONTROL!$C$38, 0.0347, 0)</f>
        <v>67.366600000000005</v>
      </c>
      <c r="J1010" s="44">
        <f>661.0337</f>
        <v>661.03369999999995</v>
      </c>
    </row>
    <row r="1011" spans="1:10" ht="15.75" x14ac:dyDescent="0.25">
      <c r="A1011" s="32">
        <v>71710</v>
      </c>
      <c r="B1011" s="14">
        <f>72.3952 * CHOOSE(CONTROL!$C$15, $E$9, 100%, $G$9) + CHOOSE(CONTROL!$C$38, 0.0256, 0)</f>
        <v>72.4208</v>
      </c>
      <c r="C1011" s="14">
        <f>66.8367 * CHOOSE(CONTROL!$C$15, $E$9, 100%, $G$9) + CHOOSE(CONTROL!$C$38, 0.0347, 0)</f>
        <v>66.871399999999994</v>
      </c>
      <c r="D1011" s="14">
        <f>66.8289 * CHOOSE(CONTROL!$C$15, $E$9, 100%, $G$9) + CHOOSE(CONTROL!$C$38, 0.0347, 0)</f>
        <v>66.863600000000005</v>
      </c>
      <c r="E1011" s="46">
        <f>72.2389 * CHOOSE(CONTROL!$C$15, $E$9, 100%, $G$9) + CHOOSE(CONTROL!$C$38, 0.0347, 0)</f>
        <v>72.273600000000002</v>
      </c>
      <c r="F1011" s="45">
        <f>72.2389 * CHOOSE(CONTROL!$C$15, $E$9, 100%, $G$9) + CHOOSE(CONTROL!$C$38, 0.0256, 0)</f>
        <v>72.264499999999998</v>
      </c>
      <c r="G1011" s="14">
        <f>66.8351 * CHOOSE(CONTROL!$C$15, $E$9, 100%, $G$9) + CHOOSE(CONTROL!$C$38, 0.0347, 0)</f>
        <v>66.869799999999998</v>
      </c>
      <c r="H1011" s="14">
        <f>66.8351 * CHOOSE(CONTROL!$C$15, $E$9, 100%, $G$9) + CHOOSE(CONTROL!$C$38, 0.0347, 0)</f>
        <v>66.869799999999998</v>
      </c>
      <c r="I1011" s="14">
        <f>66.8367 * CHOOSE(CONTROL!$C$15, $E$9, 100%, $G$9) + CHOOSE(CONTROL!$C$38, 0.0347, 0)</f>
        <v>66.871399999999994</v>
      </c>
      <c r="J1011" s="44">
        <f>703.9513</f>
        <v>703.95129999999995</v>
      </c>
    </row>
    <row r="1012" spans="1:10" ht="15.75" x14ac:dyDescent="0.25">
      <c r="A1012" s="32">
        <v>71741</v>
      </c>
      <c r="B1012" s="14">
        <f>71.8791 * CHOOSE(CONTROL!$C$15, $E$9, 100%, $G$9) + CHOOSE(CONTROL!$C$38, 0.0278, 0)</f>
        <v>71.906899999999993</v>
      </c>
      <c r="C1012" s="14">
        <f>66.3206 * CHOOSE(CONTROL!$C$15, $E$9, 100%, $G$9) + CHOOSE(CONTROL!$C$38, 0.0369, 0)</f>
        <v>66.357500000000002</v>
      </c>
      <c r="D1012" s="14">
        <f>66.3127 * CHOOSE(CONTROL!$C$15, $E$9, 100%, $G$9) + CHOOSE(CONTROL!$C$38, 0.0369, 0)</f>
        <v>66.349600000000009</v>
      </c>
      <c r="E1012" s="46">
        <f>71.7228 * CHOOSE(CONTROL!$C$15, $E$9, 100%, $G$9) + CHOOSE(CONTROL!$C$38, 0.0369, 0)</f>
        <v>71.759700000000009</v>
      </c>
      <c r="F1012" s="45">
        <f>71.7228 * CHOOSE(CONTROL!$C$15, $E$9, 100%, $G$9) + CHOOSE(CONTROL!$C$38, 0.0278, 0)</f>
        <v>71.750600000000006</v>
      </c>
      <c r="G1012" s="14">
        <f>66.319 * CHOOSE(CONTROL!$C$15, $E$9, 100%, $G$9) + CHOOSE(CONTROL!$C$38, 0.0369, 0)</f>
        <v>66.355900000000005</v>
      </c>
      <c r="H1012" s="14">
        <f>66.319 * CHOOSE(CONTROL!$C$15, $E$9, 100%, $G$9) + CHOOSE(CONTROL!$C$38, 0.0369, 0)</f>
        <v>66.355900000000005</v>
      </c>
      <c r="I1012" s="14">
        <f>66.3206 * CHOOSE(CONTROL!$C$15, $E$9, 100%, $G$9) + CHOOSE(CONTROL!$C$38, 0.0369, 0)</f>
        <v>66.357500000000002</v>
      </c>
      <c r="J1012" s="44">
        <f>727.5745</f>
        <v>727.57449999999994</v>
      </c>
    </row>
    <row r="1013" spans="1:10" ht="15.75" x14ac:dyDescent="0.25">
      <c r="A1013" s="32">
        <v>71771</v>
      </c>
      <c r="B1013" s="14">
        <f>71.5173 * CHOOSE(CONTROL!$C$15, $E$9, 100%, $G$9) + CHOOSE(CONTROL!$C$38, 0.0278, 0)</f>
        <v>71.545100000000005</v>
      </c>
      <c r="C1013" s="14">
        <f>65.9587 * CHOOSE(CONTROL!$C$15, $E$9, 100%, $G$9) + CHOOSE(CONTROL!$C$38, 0.0369, 0)</f>
        <v>65.995599999999996</v>
      </c>
      <c r="D1013" s="14">
        <f>65.9509 * CHOOSE(CONTROL!$C$15, $E$9, 100%, $G$9) + CHOOSE(CONTROL!$C$38, 0.0369, 0)</f>
        <v>65.987800000000007</v>
      </c>
      <c r="E1013" s="46">
        <f>71.361 * CHOOSE(CONTROL!$C$15, $E$9, 100%, $G$9) + CHOOSE(CONTROL!$C$38, 0.0369, 0)</f>
        <v>71.397900000000007</v>
      </c>
      <c r="F1013" s="45">
        <f>71.361 * CHOOSE(CONTROL!$C$15, $E$9, 100%, $G$9) + CHOOSE(CONTROL!$C$38, 0.0278, 0)</f>
        <v>71.388800000000003</v>
      </c>
      <c r="G1013" s="14">
        <f>65.9572 * CHOOSE(CONTROL!$C$15, $E$9, 100%, $G$9) + CHOOSE(CONTROL!$C$38, 0.0369, 0)</f>
        <v>65.994100000000003</v>
      </c>
      <c r="H1013" s="14">
        <f>65.9572 * CHOOSE(CONTROL!$C$15, $E$9, 100%, $G$9) + CHOOSE(CONTROL!$C$38, 0.0369, 0)</f>
        <v>65.994100000000003</v>
      </c>
      <c r="I1013" s="14">
        <f>65.9587 * CHOOSE(CONTROL!$C$15, $E$9, 100%, $G$9) + CHOOSE(CONTROL!$C$38, 0.0369, 0)</f>
        <v>65.995599999999996</v>
      </c>
      <c r="J1013" s="44">
        <f>738.058</f>
        <v>738.05799999999999</v>
      </c>
    </row>
    <row r="1014" spans="1:10" ht="15.75" x14ac:dyDescent="0.25">
      <c r="A1014" s="32">
        <v>71802</v>
      </c>
      <c r="B1014" s="14">
        <f>71.3108 * CHOOSE(CONTROL!$C$15, $E$9, 100%, $G$9) + CHOOSE(CONTROL!$C$38, 0.0278, 0)</f>
        <v>71.3386</v>
      </c>
      <c r="C1014" s="14">
        <f>65.7522 * CHOOSE(CONTROL!$C$15, $E$9, 100%, $G$9) + CHOOSE(CONTROL!$C$38, 0.0369, 0)</f>
        <v>65.789100000000005</v>
      </c>
      <c r="D1014" s="14">
        <f>65.7444 * CHOOSE(CONTROL!$C$15, $E$9, 100%, $G$9) + CHOOSE(CONTROL!$C$38, 0.0369, 0)</f>
        <v>65.781300000000002</v>
      </c>
      <c r="E1014" s="46">
        <f>71.1545 * CHOOSE(CONTROL!$C$15, $E$9, 100%, $G$9) + CHOOSE(CONTROL!$C$38, 0.0369, 0)</f>
        <v>71.191400000000002</v>
      </c>
      <c r="F1014" s="45">
        <f>71.1545 * CHOOSE(CONTROL!$C$15, $E$9, 100%, $G$9) + CHOOSE(CONTROL!$C$38, 0.0278, 0)</f>
        <v>71.182299999999998</v>
      </c>
      <c r="G1014" s="14">
        <f>65.7507 * CHOOSE(CONTROL!$C$15, $E$9, 100%, $G$9) + CHOOSE(CONTROL!$C$38, 0.0369, 0)</f>
        <v>65.787599999999998</v>
      </c>
      <c r="H1014" s="14">
        <f>65.7507 * CHOOSE(CONTROL!$C$15, $E$9, 100%, $G$9) + CHOOSE(CONTROL!$C$38, 0.0369, 0)</f>
        <v>65.787599999999998</v>
      </c>
      <c r="I1014" s="14">
        <f>65.7522 * CHOOSE(CONTROL!$C$15, $E$9, 100%, $G$9) + CHOOSE(CONTROL!$C$38, 0.0369, 0)</f>
        <v>65.789100000000005</v>
      </c>
      <c r="J1014" s="44">
        <f>734.6063</f>
        <v>734.60630000000003</v>
      </c>
    </row>
    <row r="1015" spans="1:10" ht="15.75" x14ac:dyDescent="0.25">
      <c r="A1015" s="32">
        <v>71833</v>
      </c>
      <c r="B1015" s="14">
        <f>71.4127 * CHOOSE(CONTROL!$C$15, $E$9, 100%, $G$9) + CHOOSE(CONTROL!$C$38, 0.0278, 0)</f>
        <v>71.4405</v>
      </c>
      <c r="C1015" s="14">
        <f>65.8541 * CHOOSE(CONTROL!$C$15, $E$9, 100%, $G$9) + CHOOSE(CONTROL!$C$38, 0.0369, 0)</f>
        <v>65.891000000000005</v>
      </c>
      <c r="D1015" s="14">
        <f>65.8463 * CHOOSE(CONTROL!$C$15, $E$9, 100%, $G$9) + CHOOSE(CONTROL!$C$38, 0.0369, 0)</f>
        <v>65.883200000000002</v>
      </c>
      <c r="E1015" s="46">
        <f>71.2564 * CHOOSE(CONTROL!$C$15, $E$9, 100%, $G$9) + CHOOSE(CONTROL!$C$38, 0.0369, 0)</f>
        <v>71.293300000000002</v>
      </c>
      <c r="F1015" s="45">
        <f>71.2564 * CHOOSE(CONTROL!$C$15, $E$9, 100%, $G$9) + CHOOSE(CONTROL!$C$38, 0.0278, 0)</f>
        <v>71.284199999999998</v>
      </c>
      <c r="G1015" s="14">
        <f>65.8526 * CHOOSE(CONTROL!$C$15, $E$9, 100%, $G$9) + CHOOSE(CONTROL!$C$38, 0.0369, 0)</f>
        <v>65.889499999999998</v>
      </c>
      <c r="H1015" s="14">
        <f>65.8526 * CHOOSE(CONTROL!$C$15, $E$9, 100%, $G$9) + CHOOSE(CONTROL!$C$38, 0.0369, 0)</f>
        <v>65.889499999999998</v>
      </c>
      <c r="I1015" s="14">
        <f>65.8541 * CHOOSE(CONTROL!$C$15, $E$9, 100%, $G$9) + CHOOSE(CONTROL!$C$38, 0.0369, 0)</f>
        <v>65.891000000000005</v>
      </c>
      <c r="J1015" s="44">
        <f>717.505</f>
        <v>717.505</v>
      </c>
    </row>
    <row r="1016" spans="1:10" ht="15.75" x14ac:dyDescent="0.25">
      <c r="A1016" s="32">
        <v>71863</v>
      </c>
      <c r="B1016" s="14">
        <f>71.6895 * CHOOSE(CONTROL!$C$15, $E$9, 100%, $G$9) + CHOOSE(CONTROL!$C$38, 0.0278, 0)</f>
        <v>71.717299999999994</v>
      </c>
      <c r="C1016" s="14">
        <f>66.1309 * CHOOSE(CONTROL!$C$15, $E$9, 100%, $G$9) + CHOOSE(CONTROL!$C$38, 0.0369, 0)</f>
        <v>66.1678</v>
      </c>
      <c r="D1016" s="14">
        <f>66.1231 * CHOOSE(CONTROL!$C$15, $E$9, 100%, $G$9) + CHOOSE(CONTROL!$C$38, 0.0369, 0)</f>
        <v>66.16</v>
      </c>
      <c r="E1016" s="46">
        <f>71.5332 * CHOOSE(CONTROL!$C$15, $E$9, 100%, $G$9) + CHOOSE(CONTROL!$C$38, 0.0369, 0)</f>
        <v>71.570099999999996</v>
      </c>
      <c r="F1016" s="45">
        <f>71.5332 * CHOOSE(CONTROL!$C$15, $E$9, 100%, $G$9) + CHOOSE(CONTROL!$C$38, 0.0278, 0)</f>
        <v>71.560999999999993</v>
      </c>
      <c r="G1016" s="14">
        <f>66.1294 * CHOOSE(CONTROL!$C$15, $E$9, 100%, $G$9) + CHOOSE(CONTROL!$C$38, 0.0369, 0)</f>
        <v>66.166300000000007</v>
      </c>
      <c r="H1016" s="14">
        <f>66.1294 * CHOOSE(CONTROL!$C$15, $E$9, 100%, $G$9) + CHOOSE(CONTROL!$C$38, 0.0369, 0)</f>
        <v>66.166300000000007</v>
      </c>
      <c r="I1016" s="14">
        <f>66.1309 * CHOOSE(CONTROL!$C$15, $E$9, 100%, $G$9) + CHOOSE(CONTROL!$C$38, 0.0369, 0)</f>
        <v>66.1678</v>
      </c>
      <c r="J1016" s="44">
        <f>693.6564</f>
        <v>693.65639999999996</v>
      </c>
    </row>
    <row r="1017" spans="1:10" ht="15.75" x14ac:dyDescent="0.25">
      <c r="A1017" s="32">
        <v>71894</v>
      </c>
      <c r="B1017" s="14">
        <f>71.9213 * CHOOSE(CONTROL!$C$15, $E$9, 100%, $G$9) + CHOOSE(CONTROL!$C$38, 0.0256, 0)</f>
        <v>71.946899999999999</v>
      </c>
      <c r="C1017" s="14">
        <f>66.3628 * CHOOSE(CONTROL!$C$15, $E$9, 100%, $G$9) + CHOOSE(CONTROL!$C$38, 0.0347, 0)</f>
        <v>66.397499999999994</v>
      </c>
      <c r="D1017" s="14">
        <f>66.355 * CHOOSE(CONTROL!$C$15, $E$9, 100%, $G$9) + CHOOSE(CONTROL!$C$38, 0.0347, 0)</f>
        <v>66.389700000000005</v>
      </c>
      <c r="E1017" s="46">
        <f>71.765 * CHOOSE(CONTROL!$C$15, $E$9, 100%, $G$9) + CHOOSE(CONTROL!$C$38, 0.0347, 0)</f>
        <v>71.799700000000001</v>
      </c>
      <c r="F1017" s="45">
        <f>71.765 * CHOOSE(CONTROL!$C$15, $E$9, 100%, $G$9) + CHOOSE(CONTROL!$C$38, 0.0256, 0)</f>
        <v>71.790599999999998</v>
      </c>
      <c r="G1017" s="14">
        <f>66.3612 * CHOOSE(CONTROL!$C$15, $E$9, 100%, $G$9) + CHOOSE(CONTROL!$C$38, 0.0347, 0)</f>
        <v>66.395899999999997</v>
      </c>
      <c r="H1017" s="14">
        <f>66.3612 * CHOOSE(CONTROL!$C$15, $E$9, 100%, $G$9) + CHOOSE(CONTROL!$C$38, 0.0347, 0)</f>
        <v>66.395899999999997</v>
      </c>
      <c r="I1017" s="14">
        <f>66.3628 * CHOOSE(CONTROL!$C$15, $E$9, 100%, $G$9) + CHOOSE(CONTROL!$C$38, 0.0347, 0)</f>
        <v>66.397499999999994</v>
      </c>
      <c r="J1017" s="44">
        <f>669.669</f>
        <v>669.66899999999998</v>
      </c>
    </row>
    <row r="1018" spans="1:10" ht="15.75" x14ac:dyDescent="0.25">
      <c r="A1018" s="32">
        <v>71924</v>
      </c>
      <c r="B1018" s="14">
        <f>72.1147 * CHOOSE(CONTROL!$C$15, $E$9, 100%, $G$9) + CHOOSE(CONTROL!$C$38, 0.0256, 0)</f>
        <v>72.140299999999996</v>
      </c>
      <c r="C1018" s="14">
        <f>66.5562 * CHOOSE(CONTROL!$C$15, $E$9, 100%, $G$9) + CHOOSE(CONTROL!$C$38, 0.0347, 0)</f>
        <v>66.590900000000005</v>
      </c>
      <c r="D1018" s="14">
        <f>66.5484 * CHOOSE(CONTROL!$C$15, $E$9, 100%, $G$9) + CHOOSE(CONTROL!$C$38, 0.0347, 0)</f>
        <v>66.583100000000002</v>
      </c>
      <c r="E1018" s="46">
        <f>71.9585 * CHOOSE(CONTROL!$C$15, $E$9, 100%, $G$9) + CHOOSE(CONTROL!$C$38, 0.0347, 0)</f>
        <v>71.993200000000002</v>
      </c>
      <c r="F1018" s="45">
        <f>71.9585 * CHOOSE(CONTROL!$C$15, $E$9, 100%, $G$9) + CHOOSE(CONTROL!$C$38, 0.0256, 0)</f>
        <v>71.984099999999998</v>
      </c>
      <c r="G1018" s="14">
        <f>66.5546 * CHOOSE(CONTROL!$C$15, $E$9, 100%, $G$9) + CHOOSE(CONTROL!$C$38, 0.0347, 0)</f>
        <v>66.589299999999994</v>
      </c>
      <c r="H1018" s="14">
        <f>66.5546 * CHOOSE(CONTROL!$C$15, $E$9, 100%, $G$9) + CHOOSE(CONTROL!$C$38, 0.0347, 0)</f>
        <v>66.589299999999994</v>
      </c>
      <c r="I1018" s="14">
        <f>66.5562 * CHOOSE(CONTROL!$C$15, $E$9, 100%, $G$9) + CHOOSE(CONTROL!$C$38, 0.0347, 0)</f>
        <v>66.590900000000005</v>
      </c>
      <c r="J1018" s="44">
        <f>664.8975</f>
        <v>664.89750000000004</v>
      </c>
    </row>
    <row r="1019" spans="1:10" ht="15.75" x14ac:dyDescent="0.25">
      <c r="A1019" s="32">
        <v>71955</v>
      </c>
      <c r="B1019" s="14">
        <f>72.7108 * CHOOSE(CONTROL!$C$15, $E$9, 100%, $G$9) + CHOOSE(CONTROL!$C$38, 0.0256, 0)</f>
        <v>72.736400000000003</v>
      </c>
      <c r="C1019" s="14">
        <f>67.1523 * CHOOSE(CONTROL!$C$15, $E$9, 100%, $G$9) + CHOOSE(CONTROL!$C$38, 0.0347, 0)</f>
        <v>67.186999999999998</v>
      </c>
      <c r="D1019" s="14">
        <f>67.1445 * CHOOSE(CONTROL!$C$15, $E$9, 100%, $G$9) + CHOOSE(CONTROL!$C$38, 0.0347, 0)</f>
        <v>67.179199999999994</v>
      </c>
      <c r="E1019" s="46">
        <f>72.5546 * CHOOSE(CONTROL!$C$15, $E$9, 100%, $G$9) + CHOOSE(CONTROL!$C$38, 0.0347, 0)</f>
        <v>72.589299999999994</v>
      </c>
      <c r="F1019" s="45">
        <f>72.5546 * CHOOSE(CONTROL!$C$15, $E$9, 100%, $G$9) + CHOOSE(CONTROL!$C$38, 0.0256, 0)</f>
        <v>72.580199999999991</v>
      </c>
      <c r="G1019" s="14">
        <f>67.1507 * CHOOSE(CONTROL!$C$15, $E$9, 100%, $G$9) + CHOOSE(CONTROL!$C$38, 0.0347, 0)</f>
        <v>67.185400000000001</v>
      </c>
      <c r="H1019" s="14">
        <f>67.1507 * CHOOSE(CONTROL!$C$15, $E$9, 100%, $G$9) + CHOOSE(CONTROL!$C$38, 0.0347, 0)</f>
        <v>67.185400000000001</v>
      </c>
      <c r="I1019" s="14">
        <f>67.1523 * CHOOSE(CONTROL!$C$15, $E$9, 100%, $G$9) + CHOOSE(CONTROL!$C$38, 0.0347, 0)</f>
        <v>67.186999999999998</v>
      </c>
      <c r="J1019" s="44">
        <f>645.1666</f>
        <v>645.16660000000002</v>
      </c>
    </row>
    <row r="1020" spans="1:10" ht="15.75" x14ac:dyDescent="0.25">
      <c r="A1020" s="32">
        <v>71986</v>
      </c>
      <c r="B1020" s="14">
        <f>74.3543 * CHOOSE(CONTROL!$C$15, $E$9, 100%, $G$9) + CHOOSE(CONTROL!$C$38, 0.0256, 0)</f>
        <v>74.379899999999992</v>
      </c>
      <c r="C1020" s="14">
        <f>68.7072 * CHOOSE(CONTROL!$C$15, $E$9, 100%, $G$9) + CHOOSE(CONTROL!$C$38, 0.0347, 0)</f>
        <v>68.741900000000001</v>
      </c>
      <c r="D1020" s="14">
        <f>68.6994 * CHOOSE(CONTROL!$C$15, $E$9, 100%, $G$9) + CHOOSE(CONTROL!$C$38, 0.0347, 0)</f>
        <v>68.734099999999998</v>
      </c>
      <c r="E1020" s="46">
        <f>74.198 * CHOOSE(CONTROL!$C$15, $E$9, 100%, $G$9) + CHOOSE(CONTROL!$C$38, 0.0347, 0)</f>
        <v>74.232699999999994</v>
      </c>
      <c r="F1020" s="45">
        <f>74.198 * CHOOSE(CONTROL!$C$15, $E$9, 100%, $G$9) + CHOOSE(CONTROL!$C$38, 0.0256, 0)</f>
        <v>74.22359999999999</v>
      </c>
      <c r="G1020" s="14">
        <f>68.7056 * CHOOSE(CONTROL!$C$15, $E$9, 100%, $G$9) + CHOOSE(CONTROL!$C$38, 0.0347, 0)</f>
        <v>68.740300000000005</v>
      </c>
      <c r="H1020" s="14">
        <f>68.7056 * CHOOSE(CONTROL!$C$15, $E$9, 100%, $G$9) + CHOOSE(CONTROL!$C$38, 0.0347, 0)</f>
        <v>68.740300000000005</v>
      </c>
      <c r="I1020" s="14">
        <f>68.7072 * CHOOSE(CONTROL!$C$15, $E$9, 100%, $G$9) + CHOOSE(CONTROL!$C$38, 0.0347, 0)</f>
        <v>68.741900000000001</v>
      </c>
      <c r="J1020" s="44">
        <f>643.9345</f>
        <v>643.93449999999996</v>
      </c>
    </row>
    <row r="1021" spans="1:10" ht="15.75" x14ac:dyDescent="0.25">
      <c r="A1021" s="32">
        <v>72014</v>
      </c>
      <c r="B1021" s="14">
        <f>74.5751 * CHOOSE(CONTROL!$C$15, $E$9, 100%, $G$9) + CHOOSE(CONTROL!$C$38, 0.0256, 0)</f>
        <v>74.600700000000003</v>
      </c>
      <c r="C1021" s="14">
        <f>68.928 * CHOOSE(CONTROL!$C$15, $E$9, 100%, $G$9) + CHOOSE(CONTROL!$C$38, 0.0347, 0)</f>
        <v>68.962699999999998</v>
      </c>
      <c r="D1021" s="14">
        <f>68.9202 * CHOOSE(CONTROL!$C$15, $E$9, 100%, $G$9) + CHOOSE(CONTROL!$C$38, 0.0347, 0)</f>
        <v>68.954899999999995</v>
      </c>
      <c r="E1021" s="46">
        <f>74.4188 * CHOOSE(CONTROL!$C$15, $E$9, 100%, $G$9) + CHOOSE(CONTROL!$C$38, 0.0347, 0)</f>
        <v>74.453500000000005</v>
      </c>
      <c r="F1021" s="45">
        <f>74.4188 * CHOOSE(CONTROL!$C$15, $E$9, 100%, $G$9) + CHOOSE(CONTROL!$C$38, 0.0256, 0)</f>
        <v>74.444400000000002</v>
      </c>
      <c r="G1021" s="14">
        <f>68.9264 * CHOOSE(CONTROL!$C$15, $E$9, 100%, $G$9) + CHOOSE(CONTROL!$C$38, 0.0347, 0)</f>
        <v>68.961100000000002</v>
      </c>
      <c r="H1021" s="14">
        <f>68.9264 * CHOOSE(CONTROL!$C$15, $E$9, 100%, $G$9) + CHOOSE(CONTROL!$C$38, 0.0347, 0)</f>
        <v>68.961100000000002</v>
      </c>
      <c r="I1021" s="14">
        <f>68.928 * CHOOSE(CONTROL!$C$15, $E$9, 100%, $G$9) + CHOOSE(CONTROL!$C$38, 0.0347, 0)</f>
        <v>68.962699999999998</v>
      </c>
      <c r="J1021" s="44">
        <f>642.1445</f>
        <v>642.14449999999999</v>
      </c>
    </row>
    <row r="1022" spans="1:10" ht="15.75" x14ac:dyDescent="0.25">
      <c r="A1022" s="32">
        <v>72045</v>
      </c>
      <c r="B1022" s="14">
        <f>74.064 * CHOOSE(CONTROL!$C$15, $E$9, 100%, $G$9) + CHOOSE(CONTROL!$C$38, 0.0256, 0)</f>
        <v>74.08959999999999</v>
      </c>
      <c r="C1022" s="14">
        <f>68.4169 * CHOOSE(CONTROL!$C$15, $E$9, 100%, $G$9) + CHOOSE(CONTROL!$C$38, 0.0347, 0)</f>
        <v>68.451599999999999</v>
      </c>
      <c r="D1022" s="14">
        <f>68.4091 * CHOOSE(CONTROL!$C$15, $E$9, 100%, $G$9) + CHOOSE(CONTROL!$C$38, 0.0347, 0)</f>
        <v>68.443799999999996</v>
      </c>
      <c r="E1022" s="46">
        <f>73.9078 * CHOOSE(CONTROL!$C$15, $E$9, 100%, $G$9) + CHOOSE(CONTROL!$C$38, 0.0347, 0)</f>
        <v>73.942499999999995</v>
      </c>
      <c r="F1022" s="45">
        <f>73.9078 * CHOOSE(CONTROL!$C$15, $E$9, 100%, $G$9) + CHOOSE(CONTROL!$C$38, 0.0256, 0)</f>
        <v>73.933399999999992</v>
      </c>
      <c r="G1022" s="14">
        <f>68.4154 * CHOOSE(CONTROL!$C$15, $E$9, 100%, $G$9) + CHOOSE(CONTROL!$C$38, 0.0347, 0)</f>
        <v>68.450100000000006</v>
      </c>
      <c r="H1022" s="14">
        <f>68.4154 * CHOOSE(CONTROL!$C$15, $E$9, 100%, $G$9) + CHOOSE(CONTROL!$C$38, 0.0347, 0)</f>
        <v>68.450100000000006</v>
      </c>
      <c r="I1022" s="14">
        <f>68.4169 * CHOOSE(CONTROL!$C$15, $E$9, 100%, $G$9) + CHOOSE(CONTROL!$C$38, 0.0347, 0)</f>
        <v>68.451599999999999</v>
      </c>
      <c r="J1022" s="44">
        <f>675.9893</f>
        <v>675.98929999999996</v>
      </c>
    </row>
    <row r="1023" spans="1:10" ht="15.75" x14ac:dyDescent="0.25">
      <c r="A1023" s="32">
        <v>72075</v>
      </c>
      <c r="B1023" s="14">
        <f>73.5688 * CHOOSE(CONTROL!$C$15, $E$9, 100%, $G$9) + CHOOSE(CONTROL!$C$38, 0.0256, 0)</f>
        <v>73.594399999999993</v>
      </c>
      <c r="C1023" s="14">
        <f>67.9218 * CHOOSE(CONTROL!$C$15, $E$9, 100%, $G$9) + CHOOSE(CONTROL!$C$38, 0.0347, 0)</f>
        <v>67.956500000000005</v>
      </c>
      <c r="D1023" s="14">
        <f>67.9139 * CHOOSE(CONTROL!$C$15, $E$9, 100%, $G$9) + CHOOSE(CONTROL!$C$38, 0.0347, 0)</f>
        <v>67.948599999999999</v>
      </c>
      <c r="E1023" s="46">
        <f>73.4126 * CHOOSE(CONTROL!$C$15, $E$9, 100%, $G$9) + CHOOSE(CONTROL!$C$38, 0.0347, 0)</f>
        <v>73.447299999999998</v>
      </c>
      <c r="F1023" s="45">
        <f>73.4126 * CHOOSE(CONTROL!$C$15, $E$9, 100%, $G$9) + CHOOSE(CONTROL!$C$38, 0.0256, 0)</f>
        <v>73.438199999999995</v>
      </c>
      <c r="G1023" s="14">
        <f>67.9202 * CHOOSE(CONTROL!$C$15, $E$9, 100%, $G$9) + CHOOSE(CONTROL!$C$38, 0.0347, 0)</f>
        <v>67.954899999999995</v>
      </c>
      <c r="H1023" s="14">
        <f>67.9202 * CHOOSE(CONTROL!$C$15, $E$9, 100%, $G$9) + CHOOSE(CONTROL!$C$38, 0.0347, 0)</f>
        <v>67.954899999999995</v>
      </c>
      <c r="I1023" s="14">
        <f>67.9218 * CHOOSE(CONTROL!$C$15, $E$9, 100%, $G$9) + CHOOSE(CONTROL!$C$38, 0.0347, 0)</f>
        <v>67.956500000000005</v>
      </c>
      <c r="J1023" s="44">
        <f>719.8778</f>
        <v>719.87779999999998</v>
      </c>
    </row>
    <row r="1024" spans="1:10" ht="15.75" x14ac:dyDescent="0.25">
      <c r="A1024" s="32">
        <v>72106</v>
      </c>
      <c r="B1024" s="14">
        <f>73.0527 * CHOOSE(CONTROL!$C$15, $E$9, 100%, $G$9) + CHOOSE(CONTROL!$C$38, 0.0278, 0)</f>
        <v>73.080500000000001</v>
      </c>
      <c r="C1024" s="14">
        <f>67.4056 * CHOOSE(CONTROL!$C$15, $E$9, 100%, $G$9) + CHOOSE(CONTROL!$C$38, 0.0369, 0)</f>
        <v>67.44250000000001</v>
      </c>
      <c r="D1024" s="14">
        <f>67.3978 * CHOOSE(CONTROL!$C$15, $E$9, 100%, $G$9) + CHOOSE(CONTROL!$C$38, 0.0369, 0)</f>
        <v>67.434700000000007</v>
      </c>
      <c r="E1024" s="46">
        <f>72.8965 * CHOOSE(CONTROL!$C$15, $E$9, 100%, $G$9) + CHOOSE(CONTROL!$C$38, 0.0369, 0)</f>
        <v>72.933400000000006</v>
      </c>
      <c r="F1024" s="45">
        <f>72.8965 * CHOOSE(CONTROL!$C$15, $E$9, 100%, $G$9) + CHOOSE(CONTROL!$C$38, 0.0278, 0)</f>
        <v>72.924300000000002</v>
      </c>
      <c r="G1024" s="14">
        <f>67.4041 * CHOOSE(CONTROL!$C$15, $E$9, 100%, $G$9) + CHOOSE(CONTROL!$C$38, 0.0369, 0)</f>
        <v>67.441000000000003</v>
      </c>
      <c r="H1024" s="14">
        <f>67.4041 * CHOOSE(CONTROL!$C$15, $E$9, 100%, $G$9) + CHOOSE(CONTROL!$C$38, 0.0369, 0)</f>
        <v>67.441000000000003</v>
      </c>
      <c r="I1024" s="14">
        <f>67.4056 * CHOOSE(CONTROL!$C$15, $E$9, 100%, $G$9) + CHOOSE(CONTROL!$C$38, 0.0369, 0)</f>
        <v>67.44250000000001</v>
      </c>
      <c r="J1024" s="44">
        <f>744.0355</f>
        <v>744.03549999999996</v>
      </c>
    </row>
    <row r="1025" spans="1:10" ht="15.75" x14ac:dyDescent="0.25">
      <c r="A1025" s="32">
        <v>72136</v>
      </c>
      <c r="B1025" s="14">
        <f>72.6909 * CHOOSE(CONTROL!$C$15, $E$9, 100%, $G$9) + CHOOSE(CONTROL!$C$38, 0.0278, 0)</f>
        <v>72.718699999999998</v>
      </c>
      <c r="C1025" s="14">
        <f>67.0438 * CHOOSE(CONTROL!$C$15, $E$9, 100%, $G$9) + CHOOSE(CONTROL!$C$38, 0.0369, 0)</f>
        <v>67.080700000000007</v>
      </c>
      <c r="D1025" s="14">
        <f>67.036 * CHOOSE(CONTROL!$C$15, $E$9, 100%, $G$9) + CHOOSE(CONTROL!$C$38, 0.0369, 0)</f>
        <v>67.072900000000004</v>
      </c>
      <c r="E1025" s="46">
        <f>72.5347 * CHOOSE(CONTROL!$C$15, $E$9, 100%, $G$9) + CHOOSE(CONTROL!$C$38, 0.0369, 0)</f>
        <v>72.571600000000004</v>
      </c>
      <c r="F1025" s="45">
        <f>72.5347 * CHOOSE(CONTROL!$C$15, $E$9, 100%, $G$9) + CHOOSE(CONTROL!$C$38, 0.0278, 0)</f>
        <v>72.5625</v>
      </c>
      <c r="G1025" s="14">
        <f>67.0422 * CHOOSE(CONTROL!$C$15, $E$9, 100%, $G$9) + CHOOSE(CONTROL!$C$38, 0.0369, 0)</f>
        <v>67.079099999999997</v>
      </c>
      <c r="H1025" s="14">
        <f>67.0422 * CHOOSE(CONTROL!$C$15, $E$9, 100%, $G$9) + CHOOSE(CONTROL!$C$38, 0.0369, 0)</f>
        <v>67.079099999999997</v>
      </c>
      <c r="I1025" s="14">
        <f>67.0438 * CHOOSE(CONTROL!$C$15, $E$9, 100%, $G$9) + CHOOSE(CONTROL!$C$38, 0.0369, 0)</f>
        <v>67.080700000000007</v>
      </c>
      <c r="J1025" s="44">
        <f>754.7562</f>
        <v>754.75620000000004</v>
      </c>
    </row>
    <row r="1026" spans="1:10" ht="15.75" x14ac:dyDescent="0.25">
      <c r="A1026" s="32">
        <v>72167</v>
      </c>
      <c r="B1026" s="14">
        <f>72.4844 * CHOOSE(CONTROL!$C$15, $E$9, 100%, $G$9) + CHOOSE(CONTROL!$C$38, 0.0278, 0)</f>
        <v>72.512199999999993</v>
      </c>
      <c r="C1026" s="14">
        <f>66.8373 * CHOOSE(CONTROL!$C$15, $E$9, 100%, $G$9) + CHOOSE(CONTROL!$C$38, 0.0369, 0)</f>
        <v>66.874200000000002</v>
      </c>
      <c r="D1026" s="14">
        <f>66.8295 * CHOOSE(CONTROL!$C$15, $E$9, 100%, $G$9) + CHOOSE(CONTROL!$C$38, 0.0369, 0)</f>
        <v>66.866399999999999</v>
      </c>
      <c r="E1026" s="46">
        <f>72.3282 * CHOOSE(CONTROL!$C$15, $E$9, 100%, $G$9) + CHOOSE(CONTROL!$C$38, 0.0369, 0)</f>
        <v>72.365099999999998</v>
      </c>
      <c r="F1026" s="45">
        <f>72.3282 * CHOOSE(CONTROL!$C$15, $E$9, 100%, $G$9) + CHOOSE(CONTROL!$C$38, 0.0278, 0)</f>
        <v>72.355999999999995</v>
      </c>
      <c r="G1026" s="14">
        <f>66.8358 * CHOOSE(CONTROL!$C$15, $E$9, 100%, $G$9) + CHOOSE(CONTROL!$C$38, 0.0369, 0)</f>
        <v>66.872700000000009</v>
      </c>
      <c r="H1026" s="14">
        <f>66.8358 * CHOOSE(CONTROL!$C$15, $E$9, 100%, $G$9) + CHOOSE(CONTROL!$C$38, 0.0369, 0)</f>
        <v>66.872700000000009</v>
      </c>
      <c r="I1026" s="14">
        <f>66.8373 * CHOOSE(CONTROL!$C$15, $E$9, 100%, $G$9) + CHOOSE(CONTROL!$C$38, 0.0369, 0)</f>
        <v>66.874200000000002</v>
      </c>
      <c r="J1026" s="44">
        <f>751.2264</f>
        <v>751.22640000000001</v>
      </c>
    </row>
    <row r="1027" spans="1:10" ht="15.75" x14ac:dyDescent="0.25">
      <c r="A1027" s="32">
        <v>72198</v>
      </c>
      <c r="B1027" s="14">
        <f>72.5863 * CHOOSE(CONTROL!$C$15, $E$9, 100%, $G$9) + CHOOSE(CONTROL!$C$38, 0.0278, 0)</f>
        <v>72.614099999999993</v>
      </c>
      <c r="C1027" s="14">
        <f>66.9392 * CHOOSE(CONTROL!$C$15, $E$9, 100%, $G$9) + CHOOSE(CONTROL!$C$38, 0.0369, 0)</f>
        <v>66.976100000000002</v>
      </c>
      <c r="D1027" s="14">
        <f>66.9314 * CHOOSE(CONTROL!$C$15, $E$9, 100%, $G$9) + CHOOSE(CONTROL!$C$38, 0.0369, 0)</f>
        <v>66.968299999999999</v>
      </c>
      <c r="E1027" s="46">
        <f>72.4301 * CHOOSE(CONTROL!$C$15, $E$9, 100%, $G$9) + CHOOSE(CONTROL!$C$38, 0.0369, 0)</f>
        <v>72.466999999999999</v>
      </c>
      <c r="F1027" s="45">
        <f>72.4301 * CHOOSE(CONTROL!$C$15, $E$9, 100%, $G$9) + CHOOSE(CONTROL!$C$38, 0.0278, 0)</f>
        <v>72.457899999999995</v>
      </c>
      <c r="G1027" s="14">
        <f>66.9377 * CHOOSE(CONTROL!$C$15, $E$9, 100%, $G$9) + CHOOSE(CONTROL!$C$38, 0.0369, 0)</f>
        <v>66.974600000000009</v>
      </c>
      <c r="H1027" s="14">
        <f>66.9377 * CHOOSE(CONTROL!$C$15, $E$9, 100%, $G$9) + CHOOSE(CONTROL!$C$38, 0.0369, 0)</f>
        <v>66.974600000000009</v>
      </c>
      <c r="I1027" s="14">
        <f>66.9392 * CHOOSE(CONTROL!$C$15, $E$9, 100%, $G$9) + CHOOSE(CONTROL!$C$38, 0.0369, 0)</f>
        <v>66.976100000000002</v>
      </c>
      <c r="J1027" s="44">
        <f>733.7382</f>
        <v>733.73820000000001</v>
      </c>
    </row>
    <row r="1028" spans="1:10" ht="15.75" x14ac:dyDescent="0.25">
      <c r="A1028" s="32">
        <v>72228</v>
      </c>
      <c r="B1028" s="14">
        <f>72.8631 * CHOOSE(CONTROL!$C$15, $E$9, 100%, $G$9) + CHOOSE(CONTROL!$C$38, 0.0278, 0)</f>
        <v>72.890900000000002</v>
      </c>
      <c r="C1028" s="14">
        <f>67.216 * CHOOSE(CONTROL!$C$15, $E$9, 100%, $G$9) + CHOOSE(CONTROL!$C$38, 0.0369, 0)</f>
        <v>67.252899999999997</v>
      </c>
      <c r="D1028" s="14">
        <f>67.2082 * CHOOSE(CONTROL!$C$15, $E$9, 100%, $G$9) + CHOOSE(CONTROL!$C$38, 0.0369, 0)</f>
        <v>67.245100000000008</v>
      </c>
      <c r="E1028" s="46">
        <f>72.7069 * CHOOSE(CONTROL!$C$15, $E$9, 100%, $G$9) + CHOOSE(CONTROL!$C$38, 0.0369, 0)</f>
        <v>72.743800000000007</v>
      </c>
      <c r="F1028" s="45">
        <f>72.7069 * CHOOSE(CONTROL!$C$15, $E$9, 100%, $G$9) + CHOOSE(CONTROL!$C$38, 0.0278, 0)</f>
        <v>72.734700000000004</v>
      </c>
      <c r="G1028" s="14">
        <f>67.2145 * CHOOSE(CONTROL!$C$15, $E$9, 100%, $G$9) + CHOOSE(CONTROL!$C$38, 0.0369, 0)</f>
        <v>67.251400000000004</v>
      </c>
      <c r="H1028" s="14">
        <f>67.2145 * CHOOSE(CONTROL!$C$15, $E$9, 100%, $G$9) + CHOOSE(CONTROL!$C$38, 0.0369, 0)</f>
        <v>67.251400000000004</v>
      </c>
      <c r="I1028" s="14">
        <f>67.216 * CHOOSE(CONTROL!$C$15, $E$9, 100%, $G$9) + CHOOSE(CONTROL!$C$38, 0.0369, 0)</f>
        <v>67.252899999999997</v>
      </c>
      <c r="J1028" s="44">
        <f>709.35</f>
        <v>709.35</v>
      </c>
    </row>
    <row r="1029" spans="1:10" ht="15.75" x14ac:dyDescent="0.25">
      <c r="A1029" s="32">
        <v>72259</v>
      </c>
      <c r="B1029" s="14">
        <f>73.0949 * CHOOSE(CONTROL!$C$15, $E$9, 100%, $G$9) + CHOOSE(CONTROL!$C$38, 0.0256, 0)</f>
        <v>73.120499999999993</v>
      </c>
      <c r="C1029" s="14">
        <f>67.4478 * CHOOSE(CONTROL!$C$15, $E$9, 100%, $G$9) + CHOOSE(CONTROL!$C$38, 0.0347, 0)</f>
        <v>67.482500000000002</v>
      </c>
      <c r="D1029" s="14">
        <f>67.44 * CHOOSE(CONTROL!$C$15, $E$9, 100%, $G$9) + CHOOSE(CONTROL!$C$38, 0.0347, 0)</f>
        <v>67.474699999999999</v>
      </c>
      <c r="E1029" s="46">
        <f>72.9387 * CHOOSE(CONTROL!$C$15, $E$9, 100%, $G$9) + CHOOSE(CONTROL!$C$38, 0.0347, 0)</f>
        <v>72.973399999999998</v>
      </c>
      <c r="F1029" s="45">
        <f>72.9387 * CHOOSE(CONTROL!$C$15, $E$9, 100%, $G$9) + CHOOSE(CONTROL!$C$38, 0.0256, 0)</f>
        <v>72.964299999999994</v>
      </c>
      <c r="G1029" s="14">
        <f>67.4463 * CHOOSE(CONTROL!$C$15, $E$9, 100%, $G$9) + CHOOSE(CONTROL!$C$38, 0.0347, 0)</f>
        <v>67.480999999999995</v>
      </c>
      <c r="H1029" s="14">
        <f>67.4463 * CHOOSE(CONTROL!$C$15, $E$9, 100%, $G$9) + CHOOSE(CONTROL!$C$38, 0.0347, 0)</f>
        <v>67.480999999999995</v>
      </c>
      <c r="I1029" s="14">
        <f>67.4478 * CHOOSE(CONTROL!$C$15, $E$9, 100%, $G$9) + CHOOSE(CONTROL!$C$38, 0.0347, 0)</f>
        <v>67.482500000000002</v>
      </c>
      <c r="J1029" s="44">
        <f>684.82</f>
        <v>684.82</v>
      </c>
    </row>
    <row r="1030" spans="1:10" ht="15.75" x14ac:dyDescent="0.25">
      <c r="A1030" s="32">
        <v>72289</v>
      </c>
      <c r="B1030" s="14">
        <f>73.2884 * CHOOSE(CONTROL!$C$15, $E$9, 100%, $G$9) + CHOOSE(CONTROL!$C$38, 0.0256, 0)</f>
        <v>73.313999999999993</v>
      </c>
      <c r="C1030" s="14">
        <f>67.6413 * CHOOSE(CONTROL!$C$15, $E$9, 100%, $G$9) + CHOOSE(CONTROL!$C$38, 0.0347, 0)</f>
        <v>67.676000000000002</v>
      </c>
      <c r="D1030" s="14">
        <f>67.6335 * CHOOSE(CONTROL!$C$15, $E$9, 100%, $G$9) + CHOOSE(CONTROL!$C$38, 0.0347, 0)</f>
        <v>67.668199999999999</v>
      </c>
      <c r="E1030" s="46">
        <f>73.1321 * CHOOSE(CONTROL!$C$15, $E$9, 100%, $G$9) + CHOOSE(CONTROL!$C$38, 0.0347, 0)</f>
        <v>73.166799999999995</v>
      </c>
      <c r="F1030" s="45">
        <f>73.1321 * CHOOSE(CONTROL!$C$15, $E$9, 100%, $G$9) + CHOOSE(CONTROL!$C$38, 0.0256, 0)</f>
        <v>73.157699999999991</v>
      </c>
      <c r="G1030" s="14">
        <f>67.6397 * CHOOSE(CONTROL!$C$15, $E$9, 100%, $G$9) + CHOOSE(CONTROL!$C$38, 0.0347, 0)</f>
        <v>67.674400000000006</v>
      </c>
      <c r="H1030" s="14">
        <f>67.6397 * CHOOSE(CONTROL!$C$15, $E$9, 100%, $G$9) + CHOOSE(CONTROL!$C$38, 0.0347, 0)</f>
        <v>67.674400000000006</v>
      </c>
      <c r="I1030" s="14">
        <f>67.6413 * CHOOSE(CONTROL!$C$15, $E$9, 100%, $G$9) + CHOOSE(CONTROL!$C$38, 0.0347, 0)</f>
        <v>67.676000000000002</v>
      </c>
      <c r="J1030" s="44">
        <f>679.9404</f>
        <v>679.94039999999995</v>
      </c>
    </row>
    <row r="1031" spans="1:10" ht="15.75" x14ac:dyDescent="0.25">
      <c r="A1031" s="32">
        <v>72320</v>
      </c>
      <c r="B1031" s="14">
        <f>73.8845 * CHOOSE(CONTROL!$C$15, $E$9, 100%, $G$9) + CHOOSE(CONTROL!$C$38, 0.0256, 0)</f>
        <v>73.9101</v>
      </c>
      <c r="C1031" s="14">
        <f>68.2374 * CHOOSE(CONTROL!$C$15, $E$9, 100%, $G$9) + CHOOSE(CONTROL!$C$38, 0.0347, 0)</f>
        <v>68.272099999999995</v>
      </c>
      <c r="D1031" s="14">
        <f>68.2295 * CHOOSE(CONTROL!$C$15, $E$9, 100%, $G$9) + CHOOSE(CONTROL!$C$38, 0.0347, 0)</f>
        <v>68.264200000000002</v>
      </c>
      <c r="E1031" s="46">
        <f>73.7282 * CHOOSE(CONTROL!$C$15, $E$9, 100%, $G$9) + CHOOSE(CONTROL!$C$38, 0.0347, 0)</f>
        <v>73.762900000000002</v>
      </c>
      <c r="F1031" s="45">
        <f>73.7282 * CHOOSE(CONTROL!$C$15, $E$9, 100%, $G$9) + CHOOSE(CONTROL!$C$38, 0.0256, 0)</f>
        <v>73.753799999999998</v>
      </c>
      <c r="G1031" s="14">
        <f>68.2358 * CHOOSE(CONTROL!$C$15, $E$9, 100%, $G$9) + CHOOSE(CONTROL!$C$38, 0.0347, 0)</f>
        <v>68.270499999999998</v>
      </c>
      <c r="H1031" s="14">
        <f>68.2358 * CHOOSE(CONTROL!$C$15, $E$9, 100%, $G$9) + CHOOSE(CONTROL!$C$38, 0.0347, 0)</f>
        <v>68.270499999999998</v>
      </c>
      <c r="I1031" s="14">
        <f>68.2374 * CHOOSE(CONTROL!$C$15, $E$9, 100%, $G$9) + CHOOSE(CONTROL!$C$38, 0.0347, 0)</f>
        <v>68.272099999999995</v>
      </c>
      <c r="J1031" s="44">
        <f>659.7632</f>
        <v>659.76319999999998</v>
      </c>
    </row>
    <row r="1032" spans="1:10" ht="15.75" x14ac:dyDescent="0.25">
      <c r="A1032" s="32">
        <v>72351</v>
      </c>
      <c r="B1032" s="14">
        <f>75.5472 * CHOOSE(CONTROL!$C$15, $E$9, 100%, $G$9) + CHOOSE(CONTROL!$C$38, 0.0256, 0)</f>
        <v>75.572800000000001</v>
      </c>
      <c r="C1032" s="14">
        <f>69.8101 * CHOOSE(CONTROL!$C$15, $E$9, 100%, $G$9) + CHOOSE(CONTROL!$C$38, 0.0347, 0)</f>
        <v>69.844800000000006</v>
      </c>
      <c r="D1032" s="14">
        <f>69.8023 * CHOOSE(CONTROL!$C$15, $E$9, 100%, $G$9) + CHOOSE(CONTROL!$C$38, 0.0347, 0)</f>
        <v>69.837000000000003</v>
      </c>
      <c r="E1032" s="46">
        <f>75.3909 * CHOOSE(CONTROL!$C$15, $E$9, 100%, $G$9) + CHOOSE(CONTROL!$C$38, 0.0347, 0)</f>
        <v>75.425600000000003</v>
      </c>
      <c r="F1032" s="45">
        <f>75.3909 * CHOOSE(CONTROL!$C$15, $E$9, 100%, $G$9) + CHOOSE(CONTROL!$C$38, 0.0256, 0)</f>
        <v>75.416499999999999</v>
      </c>
      <c r="G1032" s="14">
        <f>69.8085 * CHOOSE(CONTROL!$C$15, $E$9, 100%, $G$9) + CHOOSE(CONTROL!$C$38, 0.0347, 0)</f>
        <v>69.843199999999996</v>
      </c>
      <c r="H1032" s="14">
        <f>69.8085 * CHOOSE(CONTROL!$C$15, $E$9, 100%, $G$9) + CHOOSE(CONTROL!$C$38, 0.0347, 0)</f>
        <v>69.843199999999996</v>
      </c>
      <c r="I1032" s="14">
        <f>69.8101 * CHOOSE(CONTROL!$C$15, $E$9, 100%, $G$9) + CHOOSE(CONTROL!$C$38, 0.0347, 0)</f>
        <v>69.844800000000006</v>
      </c>
      <c r="J1032" s="44">
        <f>658.5032</f>
        <v>658.50319999999999</v>
      </c>
    </row>
    <row r="1033" spans="1:10" ht="15.75" x14ac:dyDescent="0.25">
      <c r="A1033" s="32">
        <v>72379</v>
      </c>
      <c r="B1033" s="14">
        <f>75.768 * CHOOSE(CONTROL!$C$15, $E$9, 100%, $G$9) + CHOOSE(CONTROL!$C$38, 0.0256, 0)</f>
        <v>75.793599999999998</v>
      </c>
      <c r="C1033" s="14">
        <f>70.0308 * CHOOSE(CONTROL!$C$15, $E$9, 100%, $G$9) + CHOOSE(CONTROL!$C$38, 0.0347, 0)</f>
        <v>70.0655</v>
      </c>
      <c r="D1033" s="14">
        <f>70.023 * CHOOSE(CONTROL!$C$15, $E$9, 100%, $G$9) + CHOOSE(CONTROL!$C$38, 0.0347, 0)</f>
        <v>70.057699999999997</v>
      </c>
      <c r="E1033" s="46">
        <f>75.6117 * CHOOSE(CONTROL!$C$15, $E$9, 100%, $G$9) + CHOOSE(CONTROL!$C$38, 0.0347, 0)</f>
        <v>75.6464</v>
      </c>
      <c r="F1033" s="45">
        <f>75.6117 * CHOOSE(CONTROL!$C$15, $E$9, 100%, $G$9) + CHOOSE(CONTROL!$C$38, 0.0256, 0)</f>
        <v>75.637299999999996</v>
      </c>
      <c r="G1033" s="14">
        <f>70.0293 * CHOOSE(CONTROL!$C$15, $E$9, 100%, $G$9) + CHOOSE(CONTROL!$C$38, 0.0347, 0)</f>
        <v>70.064000000000007</v>
      </c>
      <c r="H1033" s="14">
        <f>70.0293 * CHOOSE(CONTROL!$C$15, $E$9, 100%, $G$9) + CHOOSE(CONTROL!$C$38, 0.0347, 0)</f>
        <v>70.064000000000007</v>
      </c>
      <c r="I1033" s="14">
        <f>70.0308 * CHOOSE(CONTROL!$C$15, $E$9, 100%, $G$9) + CHOOSE(CONTROL!$C$38, 0.0347, 0)</f>
        <v>70.0655</v>
      </c>
      <c r="J1033" s="44">
        <f>656.6727</f>
        <v>656.67269999999996</v>
      </c>
    </row>
    <row r="1034" spans="1:10" ht="15.75" x14ac:dyDescent="0.25">
      <c r="A1034" s="32">
        <v>72410</v>
      </c>
      <c r="B1034" s="14">
        <f>75.2569 * CHOOSE(CONTROL!$C$15, $E$9, 100%, $G$9) + CHOOSE(CONTROL!$C$38, 0.0256, 0)</f>
        <v>75.282499999999999</v>
      </c>
      <c r="C1034" s="14">
        <f>69.5198 * CHOOSE(CONTROL!$C$15, $E$9, 100%, $G$9) + CHOOSE(CONTROL!$C$38, 0.0347, 0)</f>
        <v>69.554500000000004</v>
      </c>
      <c r="D1034" s="14">
        <f>69.512 * CHOOSE(CONTROL!$C$15, $E$9, 100%, $G$9) + CHOOSE(CONTROL!$C$38, 0.0347, 0)</f>
        <v>69.546700000000001</v>
      </c>
      <c r="E1034" s="46">
        <f>75.1007 * CHOOSE(CONTROL!$C$15, $E$9, 100%, $G$9) + CHOOSE(CONTROL!$C$38, 0.0347, 0)</f>
        <v>75.135400000000004</v>
      </c>
      <c r="F1034" s="45">
        <f>75.1007 * CHOOSE(CONTROL!$C$15, $E$9, 100%, $G$9) + CHOOSE(CONTROL!$C$38, 0.0256, 0)</f>
        <v>75.126300000000001</v>
      </c>
      <c r="G1034" s="14">
        <f>69.5182 * CHOOSE(CONTROL!$C$15, $E$9, 100%, $G$9) + CHOOSE(CONTROL!$C$38, 0.0347, 0)</f>
        <v>69.552899999999994</v>
      </c>
      <c r="H1034" s="14">
        <f>69.5182 * CHOOSE(CONTROL!$C$15, $E$9, 100%, $G$9) + CHOOSE(CONTROL!$C$38, 0.0347, 0)</f>
        <v>69.552899999999994</v>
      </c>
      <c r="I1034" s="14">
        <f>69.5198 * CHOOSE(CONTROL!$C$15, $E$9, 100%, $G$9) + CHOOSE(CONTROL!$C$38, 0.0347, 0)</f>
        <v>69.554500000000004</v>
      </c>
      <c r="J1034" s="44">
        <f>691.2832</f>
        <v>691.28319999999997</v>
      </c>
    </row>
    <row r="1035" spans="1:10" ht="15.75" x14ac:dyDescent="0.25">
      <c r="A1035" s="32">
        <v>72440</v>
      </c>
      <c r="B1035" s="14">
        <f>74.7617 * CHOOSE(CONTROL!$C$15, $E$9, 100%, $G$9) + CHOOSE(CONTROL!$C$38, 0.0256, 0)</f>
        <v>74.787300000000002</v>
      </c>
      <c r="C1035" s="14">
        <f>69.0246 * CHOOSE(CONTROL!$C$15, $E$9, 100%, $G$9) + CHOOSE(CONTROL!$C$38, 0.0347, 0)</f>
        <v>69.059300000000007</v>
      </c>
      <c r="D1035" s="14">
        <f>69.0168 * CHOOSE(CONTROL!$C$15, $E$9, 100%, $G$9) + CHOOSE(CONTROL!$C$38, 0.0347, 0)</f>
        <v>69.051500000000004</v>
      </c>
      <c r="E1035" s="46">
        <f>74.6055 * CHOOSE(CONTROL!$C$15, $E$9, 100%, $G$9) + CHOOSE(CONTROL!$C$38, 0.0347, 0)</f>
        <v>74.640200000000007</v>
      </c>
      <c r="F1035" s="45">
        <f>74.6055 * CHOOSE(CONTROL!$C$15, $E$9, 100%, $G$9) + CHOOSE(CONTROL!$C$38, 0.0256, 0)</f>
        <v>74.631100000000004</v>
      </c>
      <c r="G1035" s="14">
        <f>69.0231 * CHOOSE(CONTROL!$C$15, $E$9, 100%, $G$9) + CHOOSE(CONTROL!$C$38, 0.0347, 0)</f>
        <v>69.0578</v>
      </c>
      <c r="H1035" s="14">
        <f>69.0231 * CHOOSE(CONTROL!$C$15, $E$9, 100%, $G$9) + CHOOSE(CONTROL!$C$38, 0.0347, 0)</f>
        <v>69.0578</v>
      </c>
      <c r="I1035" s="14">
        <f>69.0246 * CHOOSE(CONTROL!$C$15, $E$9, 100%, $G$9) + CHOOSE(CONTROL!$C$38, 0.0347, 0)</f>
        <v>69.059300000000007</v>
      </c>
      <c r="J1035" s="44">
        <f>736.1647</f>
        <v>736.16470000000004</v>
      </c>
    </row>
    <row r="1036" spans="1:10" ht="15.75" x14ac:dyDescent="0.25">
      <c r="A1036" s="32">
        <v>72471</v>
      </c>
      <c r="B1036" s="14">
        <f>74.2456 * CHOOSE(CONTROL!$C$15, $E$9, 100%, $G$9) + CHOOSE(CONTROL!$C$38, 0.0278, 0)</f>
        <v>74.273399999999995</v>
      </c>
      <c r="C1036" s="14">
        <f>68.5085 * CHOOSE(CONTROL!$C$15, $E$9, 100%, $G$9) + CHOOSE(CONTROL!$C$38, 0.0369, 0)</f>
        <v>68.545400000000001</v>
      </c>
      <c r="D1036" s="14">
        <f>68.5007 * CHOOSE(CONTROL!$C$15, $E$9, 100%, $G$9) + CHOOSE(CONTROL!$C$38, 0.0369, 0)</f>
        <v>68.537599999999998</v>
      </c>
      <c r="E1036" s="46">
        <f>74.0894 * CHOOSE(CONTROL!$C$15, $E$9, 100%, $G$9) + CHOOSE(CONTROL!$C$38, 0.0369, 0)</f>
        <v>74.126300000000001</v>
      </c>
      <c r="F1036" s="45">
        <f>74.0894 * CHOOSE(CONTROL!$C$15, $E$9, 100%, $G$9) + CHOOSE(CONTROL!$C$38, 0.0278, 0)</f>
        <v>74.117199999999997</v>
      </c>
      <c r="G1036" s="14">
        <f>68.5069 * CHOOSE(CONTROL!$C$15, $E$9, 100%, $G$9) + CHOOSE(CONTROL!$C$38, 0.0369, 0)</f>
        <v>68.543800000000005</v>
      </c>
      <c r="H1036" s="14">
        <f>68.5069 * CHOOSE(CONTROL!$C$15, $E$9, 100%, $G$9) + CHOOSE(CONTROL!$C$38, 0.0369, 0)</f>
        <v>68.543800000000005</v>
      </c>
      <c r="I1036" s="14">
        <f>68.5085 * CHOOSE(CONTROL!$C$15, $E$9, 100%, $G$9) + CHOOSE(CONTROL!$C$38, 0.0369, 0)</f>
        <v>68.545400000000001</v>
      </c>
      <c r="J1036" s="44">
        <f>760.8689</f>
        <v>760.86890000000005</v>
      </c>
    </row>
    <row r="1037" spans="1:10" ht="15.75" x14ac:dyDescent="0.25">
      <c r="A1037" s="32">
        <v>72501</v>
      </c>
      <c r="B1037" s="14">
        <f>73.8838 * CHOOSE(CONTROL!$C$15, $E$9, 100%, $G$9) + CHOOSE(CONTROL!$C$38, 0.0278, 0)</f>
        <v>73.911599999999993</v>
      </c>
      <c r="C1037" s="14">
        <f>68.1467 * CHOOSE(CONTROL!$C$15, $E$9, 100%, $G$9) + CHOOSE(CONTROL!$C$38, 0.0369, 0)</f>
        <v>68.183599999999998</v>
      </c>
      <c r="D1037" s="14">
        <f>68.1389 * CHOOSE(CONTROL!$C$15, $E$9, 100%, $G$9) + CHOOSE(CONTROL!$C$38, 0.0369, 0)</f>
        <v>68.17580000000001</v>
      </c>
      <c r="E1037" s="46">
        <f>73.7275 * CHOOSE(CONTROL!$C$15, $E$9, 100%, $G$9) + CHOOSE(CONTROL!$C$38, 0.0369, 0)</f>
        <v>73.764400000000009</v>
      </c>
      <c r="F1037" s="45">
        <f>73.7275 * CHOOSE(CONTROL!$C$15, $E$9, 100%, $G$9) + CHOOSE(CONTROL!$C$38, 0.0278, 0)</f>
        <v>73.755300000000005</v>
      </c>
      <c r="G1037" s="14">
        <f>68.1451 * CHOOSE(CONTROL!$C$15, $E$9, 100%, $G$9) + CHOOSE(CONTROL!$C$38, 0.0369, 0)</f>
        <v>68.182000000000002</v>
      </c>
      <c r="H1037" s="14">
        <f>68.1451 * CHOOSE(CONTROL!$C$15, $E$9, 100%, $G$9) + CHOOSE(CONTROL!$C$38, 0.0369, 0)</f>
        <v>68.182000000000002</v>
      </c>
      <c r="I1037" s="14">
        <f>68.1467 * CHOOSE(CONTROL!$C$15, $E$9, 100%, $G$9) + CHOOSE(CONTROL!$C$38, 0.0369, 0)</f>
        <v>68.183599999999998</v>
      </c>
      <c r="J1037" s="44">
        <f>771.8322</f>
        <v>771.83219999999994</v>
      </c>
    </row>
    <row r="1038" spans="1:10" ht="15.75" x14ac:dyDescent="0.25">
      <c r="A1038" s="32">
        <v>72532</v>
      </c>
      <c r="B1038" s="14">
        <f>73.6773 * CHOOSE(CONTROL!$C$15, $E$9, 100%, $G$9) + CHOOSE(CONTROL!$C$38, 0.0278, 0)</f>
        <v>73.705100000000002</v>
      </c>
      <c r="C1038" s="14">
        <f>67.9402 * CHOOSE(CONTROL!$C$15, $E$9, 100%, $G$9) + CHOOSE(CONTROL!$C$38, 0.0369, 0)</f>
        <v>67.977100000000007</v>
      </c>
      <c r="D1038" s="14">
        <f>67.9324 * CHOOSE(CONTROL!$C$15, $E$9, 100%, $G$9) + CHOOSE(CONTROL!$C$38, 0.0369, 0)</f>
        <v>67.969300000000004</v>
      </c>
      <c r="E1038" s="46">
        <f>73.5211 * CHOOSE(CONTROL!$C$15, $E$9, 100%, $G$9) + CHOOSE(CONTROL!$C$38, 0.0369, 0)</f>
        <v>73.558000000000007</v>
      </c>
      <c r="F1038" s="45">
        <f>73.5211 * CHOOSE(CONTROL!$C$15, $E$9, 100%, $G$9) + CHOOSE(CONTROL!$C$38, 0.0278, 0)</f>
        <v>73.548900000000003</v>
      </c>
      <c r="G1038" s="14">
        <f>67.9386 * CHOOSE(CONTROL!$C$15, $E$9, 100%, $G$9) + CHOOSE(CONTROL!$C$38, 0.0369, 0)</f>
        <v>67.975499999999997</v>
      </c>
      <c r="H1038" s="14">
        <f>67.9386 * CHOOSE(CONTROL!$C$15, $E$9, 100%, $G$9) + CHOOSE(CONTROL!$C$38, 0.0369, 0)</f>
        <v>67.975499999999997</v>
      </c>
      <c r="I1038" s="14">
        <f>67.9402 * CHOOSE(CONTROL!$C$15, $E$9, 100%, $G$9) + CHOOSE(CONTROL!$C$38, 0.0369, 0)</f>
        <v>67.977100000000007</v>
      </c>
      <c r="J1038" s="44">
        <f>768.2226</f>
        <v>768.22260000000006</v>
      </c>
    </row>
    <row r="1039" spans="1:10" ht="15.75" x14ac:dyDescent="0.25">
      <c r="A1039" s="32">
        <v>72563</v>
      </c>
      <c r="B1039" s="14">
        <f>73.7792 * CHOOSE(CONTROL!$C$15, $E$9, 100%, $G$9) + CHOOSE(CONTROL!$C$38, 0.0278, 0)</f>
        <v>73.807000000000002</v>
      </c>
      <c r="C1039" s="14">
        <f>68.0421 * CHOOSE(CONTROL!$C$15, $E$9, 100%, $G$9) + CHOOSE(CONTROL!$C$38, 0.0369, 0)</f>
        <v>68.079000000000008</v>
      </c>
      <c r="D1039" s="14">
        <f>68.0343 * CHOOSE(CONTROL!$C$15, $E$9, 100%, $G$9) + CHOOSE(CONTROL!$C$38, 0.0369, 0)</f>
        <v>68.071200000000005</v>
      </c>
      <c r="E1039" s="46">
        <f>73.623 * CHOOSE(CONTROL!$C$15, $E$9, 100%, $G$9) + CHOOSE(CONTROL!$C$38, 0.0369, 0)</f>
        <v>73.659900000000007</v>
      </c>
      <c r="F1039" s="45">
        <f>73.623 * CHOOSE(CONTROL!$C$15, $E$9, 100%, $G$9) + CHOOSE(CONTROL!$C$38, 0.0278, 0)</f>
        <v>73.650800000000004</v>
      </c>
      <c r="G1039" s="14">
        <f>68.0405 * CHOOSE(CONTROL!$C$15, $E$9, 100%, $G$9) + CHOOSE(CONTROL!$C$38, 0.0369, 0)</f>
        <v>68.077399999999997</v>
      </c>
      <c r="H1039" s="14">
        <f>68.0405 * CHOOSE(CONTROL!$C$15, $E$9, 100%, $G$9) + CHOOSE(CONTROL!$C$38, 0.0369, 0)</f>
        <v>68.077399999999997</v>
      </c>
      <c r="I1039" s="14">
        <f>68.0421 * CHOOSE(CONTROL!$C$15, $E$9, 100%, $G$9) + CHOOSE(CONTROL!$C$38, 0.0369, 0)</f>
        <v>68.079000000000008</v>
      </c>
      <c r="J1039" s="44">
        <f>750.3387</f>
        <v>750.33870000000002</v>
      </c>
    </row>
    <row r="1040" spans="1:10" ht="15.75" x14ac:dyDescent="0.25">
      <c r="A1040" s="32">
        <v>72593</v>
      </c>
      <c r="B1040" s="14">
        <f>74.056 * CHOOSE(CONTROL!$C$15, $E$9, 100%, $G$9) + CHOOSE(CONTROL!$C$38, 0.0278, 0)</f>
        <v>74.083799999999997</v>
      </c>
      <c r="C1040" s="14">
        <f>68.3189 * CHOOSE(CONTROL!$C$15, $E$9, 100%, $G$9) + CHOOSE(CONTROL!$C$38, 0.0369, 0)</f>
        <v>68.355800000000002</v>
      </c>
      <c r="D1040" s="14">
        <f>68.3111 * CHOOSE(CONTROL!$C$15, $E$9, 100%, $G$9) + CHOOSE(CONTROL!$C$38, 0.0369, 0)</f>
        <v>68.347999999999999</v>
      </c>
      <c r="E1040" s="46">
        <f>73.8998 * CHOOSE(CONTROL!$C$15, $E$9, 100%, $G$9) + CHOOSE(CONTROL!$C$38, 0.0369, 0)</f>
        <v>73.936700000000002</v>
      </c>
      <c r="F1040" s="45">
        <f>73.8998 * CHOOSE(CONTROL!$C$15, $E$9, 100%, $G$9) + CHOOSE(CONTROL!$C$38, 0.0278, 0)</f>
        <v>73.927599999999998</v>
      </c>
      <c r="G1040" s="14">
        <f>68.3173 * CHOOSE(CONTROL!$C$15, $E$9, 100%, $G$9) + CHOOSE(CONTROL!$C$38, 0.0369, 0)</f>
        <v>68.354200000000006</v>
      </c>
      <c r="H1040" s="14">
        <f>68.3173 * CHOOSE(CONTROL!$C$15, $E$9, 100%, $G$9) + CHOOSE(CONTROL!$C$38, 0.0369, 0)</f>
        <v>68.354200000000006</v>
      </c>
      <c r="I1040" s="14">
        <f>68.3189 * CHOOSE(CONTROL!$C$15, $E$9, 100%, $G$9) + CHOOSE(CONTROL!$C$38, 0.0369, 0)</f>
        <v>68.355800000000002</v>
      </c>
      <c r="J1040" s="44">
        <f>725.3987</f>
        <v>725.39869999999996</v>
      </c>
    </row>
    <row r="1041" spans="1:10" ht="15.75" x14ac:dyDescent="0.25">
      <c r="A1041" s="32">
        <v>72624</v>
      </c>
      <c r="B1041" s="14">
        <f>74.2878 * CHOOSE(CONTROL!$C$15, $E$9, 100%, $G$9) + CHOOSE(CONTROL!$C$38, 0.0256, 0)</f>
        <v>74.313400000000001</v>
      </c>
      <c r="C1041" s="14">
        <f>68.5507 * CHOOSE(CONTROL!$C$15, $E$9, 100%, $G$9) + CHOOSE(CONTROL!$C$38, 0.0347, 0)</f>
        <v>68.585400000000007</v>
      </c>
      <c r="D1041" s="14">
        <f>68.5429 * CHOOSE(CONTROL!$C$15, $E$9, 100%, $G$9) + CHOOSE(CONTROL!$C$38, 0.0347, 0)</f>
        <v>68.577600000000004</v>
      </c>
      <c r="E1041" s="46">
        <f>74.1316 * CHOOSE(CONTROL!$C$15, $E$9, 100%, $G$9) + CHOOSE(CONTROL!$C$38, 0.0347, 0)</f>
        <v>74.166300000000007</v>
      </c>
      <c r="F1041" s="45">
        <f>74.1316 * CHOOSE(CONTROL!$C$15, $E$9, 100%, $G$9) + CHOOSE(CONTROL!$C$38, 0.0256, 0)</f>
        <v>74.157200000000003</v>
      </c>
      <c r="G1041" s="14">
        <f>68.5491 * CHOOSE(CONTROL!$C$15, $E$9, 100%, $G$9) + CHOOSE(CONTROL!$C$38, 0.0347, 0)</f>
        <v>68.583799999999997</v>
      </c>
      <c r="H1041" s="14">
        <f>68.5491 * CHOOSE(CONTROL!$C$15, $E$9, 100%, $G$9) + CHOOSE(CONTROL!$C$38, 0.0347, 0)</f>
        <v>68.583799999999997</v>
      </c>
      <c r="I1041" s="14">
        <f>68.5507 * CHOOSE(CONTROL!$C$15, $E$9, 100%, $G$9) + CHOOSE(CONTROL!$C$38, 0.0347, 0)</f>
        <v>68.585400000000007</v>
      </c>
      <c r="J1041" s="44">
        <f>700.3137</f>
        <v>700.31370000000004</v>
      </c>
    </row>
    <row r="1042" spans="1:10" ht="15.75" x14ac:dyDescent="0.25">
      <c r="A1042" s="32">
        <v>72654</v>
      </c>
      <c r="B1042" s="14">
        <f>74.4813 * CHOOSE(CONTROL!$C$15, $E$9, 100%, $G$9) + CHOOSE(CONTROL!$C$38, 0.0256, 0)</f>
        <v>74.506900000000002</v>
      </c>
      <c r="C1042" s="14">
        <f>68.7442 * CHOOSE(CONTROL!$C$15, $E$9, 100%, $G$9) + CHOOSE(CONTROL!$C$38, 0.0347, 0)</f>
        <v>68.778900000000007</v>
      </c>
      <c r="D1042" s="14">
        <f>68.7363 * CHOOSE(CONTROL!$C$15, $E$9, 100%, $G$9) + CHOOSE(CONTROL!$C$38, 0.0347, 0)</f>
        <v>68.771000000000001</v>
      </c>
      <c r="E1042" s="46">
        <f>74.325 * CHOOSE(CONTROL!$C$15, $E$9, 100%, $G$9) + CHOOSE(CONTROL!$C$38, 0.0347, 0)</f>
        <v>74.359700000000004</v>
      </c>
      <c r="F1042" s="45">
        <f>74.325 * CHOOSE(CONTROL!$C$15, $E$9, 100%, $G$9) + CHOOSE(CONTROL!$C$38, 0.0256, 0)</f>
        <v>74.3506</v>
      </c>
      <c r="G1042" s="14">
        <f>68.7426 * CHOOSE(CONTROL!$C$15, $E$9, 100%, $G$9) + CHOOSE(CONTROL!$C$38, 0.0347, 0)</f>
        <v>68.777299999999997</v>
      </c>
      <c r="H1042" s="14">
        <f>68.7426 * CHOOSE(CONTROL!$C$15, $E$9, 100%, $G$9) + CHOOSE(CONTROL!$C$38, 0.0347, 0)</f>
        <v>68.777299999999997</v>
      </c>
      <c r="I1042" s="14">
        <f>68.7442 * CHOOSE(CONTROL!$C$15, $E$9, 100%, $G$9) + CHOOSE(CONTROL!$C$38, 0.0347, 0)</f>
        <v>68.778900000000007</v>
      </c>
      <c r="J1042" s="44">
        <f>695.3238</f>
        <v>695.32380000000001</v>
      </c>
    </row>
    <row r="1043" spans="1:10" ht="15.75" x14ac:dyDescent="0.25">
      <c r="A1043" s="32">
        <v>72685</v>
      </c>
      <c r="B1043" s="14">
        <f>75.0773 * CHOOSE(CONTROL!$C$15, $E$9, 100%, $G$9) + CHOOSE(CONTROL!$C$38, 0.0256, 0)</f>
        <v>75.102899999999991</v>
      </c>
      <c r="C1043" s="14">
        <f>69.3402 * CHOOSE(CONTROL!$C$15, $E$9, 100%, $G$9) + CHOOSE(CONTROL!$C$38, 0.0347, 0)</f>
        <v>69.374899999999997</v>
      </c>
      <c r="D1043" s="14">
        <f>69.3324 * CHOOSE(CONTROL!$C$15, $E$9, 100%, $G$9) + CHOOSE(CONTROL!$C$38, 0.0347, 0)</f>
        <v>69.367100000000008</v>
      </c>
      <c r="E1043" s="46">
        <f>74.9211 * CHOOSE(CONTROL!$C$15, $E$9, 100%, $G$9) + CHOOSE(CONTROL!$C$38, 0.0347, 0)</f>
        <v>74.955799999999996</v>
      </c>
      <c r="F1043" s="45">
        <f>74.9211 * CHOOSE(CONTROL!$C$15, $E$9, 100%, $G$9) + CHOOSE(CONTROL!$C$38, 0.0256, 0)</f>
        <v>74.946699999999993</v>
      </c>
      <c r="G1043" s="14">
        <f>69.3387 * CHOOSE(CONTROL!$C$15, $E$9, 100%, $G$9) + CHOOSE(CONTROL!$C$38, 0.0347, 0)</f>
        <v>69.373400000000004</v>
      </c>
      <c r="H1043" s="14">
        <f>69.3387 * CHOOSE(CONTROL!$C$15, $E$9, 100%, $G$9) + CHOOSE(CONTROL!$C$38, 0.0347, 0)</f>
        <v>69.373400000000004</v>
      </c>
      <c r="I1043" s="14">
        <f>69.3402 * CHOOSE(CONTROL!$C$15, $E$9, 100%, $G$9) + CHOOSE(CONTROL!$C$38, 0.0347, 0)</f>
        <v>69.374899999999997</v>
      </c>
      <c r="J1043" s="44">
        <f>674.69</f>
        <v>674.69</v>
      </c>
    </row>
    <row r="1044" spans="1:10" ht="15.75" x14ac:dyDescent="0.25">
      <c r="A1044" s="32">
        <v>72716</v>
      </c>
      <c r="B1044" s="14">
        <f>76.7596 * CHOOSE(CONTROL!$C$15, $E$9, 100%, $G$9) + CHOOSE(CONTROL!$C$38, 0.0256, 0)</f>
        <v>76.785200000000003</v>
      </c>
      <c r="C1044" s="14">
        <f>70.931 * CHOOSE(CONTROL!$C$15, $E$9, 100%, $G$9) + CHOOSE(CONTROL!$C$38, 0.0347, 0)</f>
        <v>70.965699999999998</v>
      </c>
      <c r="D1044" s="14">
        <f>70.9232 * CHOOSE(CONTROL!$C$15, $E$9, 100%, $G$9) + CHOOSE(CONTROL!$C$38, 0.0347, 0)</f>
        <v>70.957899999999995</v>
      </c>
      <c r="E1044" s="46">
        <f>76.6034 * CHOOSE(CONTROL!$C$15, $E$9, 100%, $G$9) + CHOOSE(CONTROL!$C$38, 0.0347, 0)</f>
        <v>76.638099999999994</v>
      </c>
      <c r="F1044" s="45">
        <f>76.6034 * CHOOSE(CONTROL!$C$15, $E$9, 100%, $G$9) + CHOOSE(CONTROL!$C$38, 0.0256, 0)</f>
        <v>76.628999999999991</v>
      </c>
      <c r="G1044" s="14">
        <f>70.9295 * CHOOSE(CONTROL!$C$15, $E$9, 100%, $G$9) + CHOOSE(CONTROL!$C$38, 0.0347, 0)</f>
        <v>70.964200000000005</v>
      </c>
      <c r="H1044" s="14">
        <f>70.9295 * CHOOSE(CONTROL!$C$15, $E$9, 100%, $G$9) + CHOOSE(CONTROL!$C$38, 0.0347, 0)</f>
        <v>70.964200000000005</v>
      </c>
      <c r="I1044" s="14">
        <f>70.931 * CHOOSE(CONTROL!$C$15, $E$9, 100%, $G$9) + CHOOSE(CONTROL!$C$38, 0.0347, 0)</f>
        <v>70.965699999999998</v>
      </c>
      <c r="J1044" s="44">
        <f>673.4015</f>
        <v>673.40150000000006</v>
      </c>
    </row>
    <row r="1045" spans="1:10" ht="15.75" x14ac:dyDescent="0.25">
      <c r="A1045" s="32">
        <v>72744</v>
      </c>
      <c r="B1045" s="14">
        <f>76.9804 * CHOOSE(CONTROL!$C$15, $E$9, 100%, $G$9) + CHOOSE(CONTROL!$C$38, 0.0256, 0)</f>
        <v>77.006</v>
      </c>
      <c r="C1045" s="14">
        <f>71.1518 * CHOOSE(CONTROL!$C$15, $E$9, 100%, $G$9) + CHOOSE(CONTROL!$C$38, 0.0347, 0)</f>
        <v>71.186499999999995</v>
      </c>
      <c r="D1045" s="14">
        <f>71.144 * CHOOSE(CONTROL!$C$15, $E$9, 100%, $G$9) + CHOOSE(CONTROL!$C$38, 0.0347, 0)</f>
        <v>71.178700000000006</v>
      </c>
      <c r="E1045" s="46">
        <f>76.8241 * CHOOSE(CONTROL!$C$15, $E$9, 100%, $G$9) + CHOOSE(CONTROL!$C$38, 0.0347, 0)</f>
        <v>76.858800000000002</v>
      </c>
      <c r="F1045" s="45">
        <f>76.8241 * CHOOSE(CONTROL!$C$15, $E$9, 100%, $G$9) + CHOOSE(CONTROL!$C$38, 0.0256, 0)</f>
        <v>76.849699999999999</v>
      </c>
      <c r="G1045" s="14">
        <f>71.1502 * CHOOSE(CONTROL!$C$15, $E$9, 100%, $G$9) + CHOOSE(CONTROL!$C$38, 0.0347, 0)</f>
        <v>71.184899999999999</v>
      </c>
      <c r="H1045" s="14">
        <f>71.1502 * CHOOSE(CONTROL!$C$15, $E$9, 100%, $G$9) + CHOOSE(CONTROL!$C$38, 0.0347, 0)</f>
        <v>71.184899999999999</v>
      </c>
      <c r="I1045" s="14">
        <f>71.1518 * CHOOSE(CONTROL!$C$15, $E$9, 100%, $G$9) + CHOOSE(CONTROL!$C$38, 0.0347, 0)</f>
        <v>71.186499999999995</v>
      </c>
      <c r="J1045" s="44">
        <f>671.5296</f>
        <v>671.52959999999996</v>
      </c>
    </row>
    <row r="1046" spans="1:10" ht="15.75" x14ac:dyDescent="0.25">
      <c r="A1046" s="32">
        <v>72775</v>
      </c>
      <c r="B1046" s="14">
        <f>76.4694 * CHOOSE(CONTROL!$C$15, $E$9, 100%, $G$9) + CHOOSE(CONTROL!$C$38, 0.0256, 0)</f>
        <v>76.49499999999999</v>
      </c>
      <c r="C1046" s="14">
        <f>70.6407 * CHOOSE(CONTROL!$C$15, $E$9, 100%, $G$9) + CHOOSE(CONTROL!$C$38, 0.0347, 0)</f>
        <v>70.675399999999996</v>
      </c>
      <c r="D1046" s="14">
        <f>70.6329 * CHOOSE(CONTROL!$C$15, $E$9, 100%, $G$9) + CHOOSE(CONTROL!$C$38, 0.0347, 0)</f>
        <v>70.667600000000007</v>
      </c>
      <c r="E1046" s="46">
        <f>76.3131 * CHOOSE(CONTROL!$C$15, $E$9, 100%, $G$9) + CHOOSE(CONTROL!$C$38, 0.0347, 0)</f>
        <v>76.347800000000007</v>
      </c>
      <c r="F1046" s="45">
        <f>76.3131 * CHOOSE(CONTROL!$C$15, $E$9, 100%, $G$9) + CHOOSE(CONTROL!$C$38, 0.0256, 0)</f>
        <v>76.338700000000003</v>
      </c>
      <c r="G1046" s="14">
        <f>70.6392 * CHOOSE(CONTROL!$C$15, $E$9, 100%, $G$9) + CHOOSE(CONTROL!$C$38, 0.0347, 0)</f>
        <v>70.673900000000003</v>
      </c>
      <c r="H1046" s="14">
        <f>70.6392 * CHOOSE(CONTROL!$C$15, $E$9, 100%, $G$9) + CHOOSE(CONTROL!$C$38, 0.0347, 0)</f>
        <v>70.673900000000003</v>
      </c>
      <c r="I1046" s="14">
        <f>70.6407 * CHOOSE(CONTROL!$C$15, $E$9, 100%, $G$9) + CHOOSE(CONTROL!$C$38, 0.0347, 0)</f>
        <v>70.675399999999996</v>
      </c>
      <c r="J1046" s="44">
        <f>706.9231</f>
        <v>706.92309999999998</v>
      </c>
    </row>
    <row r="1047" spans="1:10" ht="15.75" x14ac:dyDescent="0.25">
      <c r="A1047" s="32">
        <v>72805</v>
      </c>
      <c r="B1047" s="14">
        <f>75.9742 * CHOOSE(CONTROL!$C$15, $E$9, 100%, $G$9) + CHOOSE(CONTROL!$C$38, 0.0256, 0)</f>
        <v>75.999799999999993</v>
      </c>
      <c r="C1047" s="14">
        <f>70.1456 * CHOOSE(CONTROL!$C$15, $E$9, 100%, $G$9) + CHOOSE(CONTROL!$C$38, 0.0347, 0)</f>
        <v>70.180300000000003</v>
      </c>
      <c r="D1047" s="14">
        <f>70.1378 * CHOOSE(CONTROL!$C$15, $E$9, 100%, $G$9) + CHOOSE(CONTROL!$C$38, 0.0347, 0)</f>
        <v>70.172499999999999</v>
      </c>
      <c r="E1047" s="46">
        <f>75.8179 * CHOOSE(CONTROL!$C$15, $E$9, 100%, $G$9) + CHOOSE(CONTROL!$C$38, 0.0347, 0)</f>
        <v>75.852599999999995</v>
      </c>
      <c r="F1047" s="45">
        <f>75.8179 * CHOOSE(CONTROL!$C$15, $E$9, 100%, $G$9) + CHOOSE(CONTROL!$C$38, 0.0256, 0)</f>
        <v>75.843499999999992</v>
      </c>
      <c r="G1047" s="14">
        <f>70.144 * CHOOSE(CONTROL!$C$15, $E$9, 100%, $G$9) + CHOOSE(CONTROL!$C$38, 0.0347, 0)</f>
        <v>70.178700000000006</v>
      </c>
      <c r="H1047" s="14">
        <f>70.144 * CHOOSE(CONTROL!$C$15, $E$9, 100%, $G$9) + CHOOSE(CONTROL!$C$38, 0.0347, 0)</f>
        <v>70.178700000000006</v>
      </c>
      <c r="I1047" s="14">
        <f>70.1456 * CHOOSE(CONTROL!$C$15, $E$9, 100%, $G$9) + CHOOSE(CONTROL!$C$38, 0.0347, 0)</f>
        <v>70.180300000000003</v>
      </c>
      <c r="J1047" s="44">
        <f>752.82</f>
        <v>752.82</v>
      </c>
    </row>
    <row r="1048" spans="1:10" ht="15.75" x14ac:dyDescent="0.25">
      <c r="A1048" s="32">
        <v>72836</v>
      </c>
      <c r="B1048" s="14">
        <f>75.4581 * CHOOSE(CONTROL!$C$15, $E$9, 100%, $G$9) + CHOOSE(CONTROL!$C$38, 0.0278, 0)</f>
        <v>75.485900000000001</v>
      </c>
      <c r="C1048" s="14">
        <f>69.6295 * CHOOSE(CONTROL!$C$15, $E$9, 100%, $G$9) + CHOOSE(CONTROL!$C$38, 0.0369, 0)</f>
        <v>69.666399999999996</v>
      </c>
      <c r="D1048" s="14">
        <f>69.6216 * CHOOSE(CONTROL!$C$15, $E$9, 100%, $G$9) + CHOOSE(CONTROL!$C$38, 0.0369, 0)</f>
        <v>69.658500000000004</v>
      </c>
      <c r="E1048" s="46">
        <f>75.3018 * CHOOSE(CONTROL!$C$15, $E$9, 100%, $G$9) + CHOOSE(CONTROL!$C$38, 0.0369, 0)</f>
        <v>75.338700000000003</v>
      </c>
      <c r="F1048" s="45">
        <f>75.3018 * CHOOSE(CONTROL!$C$15, $E$9, 100%, $G$9) + CHOOSE(CONTROL!$C$38, 0.0278, 0)</f>
        <v>75.329599999999999</v>
      </c>
      <c r="G1048" s="14">
        <f>69.6279 * CHOOSE(CONTROL!$C$15, $E$9, 100%, $G$9) + CHOOSE(CONTROL!$C$38, 0.0369, 0)</f>
        <v>69.6648</v>
      </c>
      <c r="H1048" s="14">
        <f>69.6279 * CHOOSE(CONTROL!$C$15, $E$9, 100%, $G$9) + CHOOSE(CONTROL!$C$38, 0.0369, 0)</f>
        <v>69.6648</v>
      </c>
      <c r="I1048" s="14">
        <f>69.6295 * CHOOSE(CONTROL!$C$15, $E$9, 100%, $G$9) + CHOOSE(CONTROL!$C$38, 0.0369, 0)</f>
        <v>69.666399999999996</v>
      </c>
      <c r="J1048" s="44">
        <f>778.0832</f>
        <v>778.08320000000003</v>
      </c>
    </row>
    <row r="1049" spans="1:10" ht="15.75" x14ac:dyDescent="0.25">
      <c r="A1049" s="32">
        <v>72866</v>
      </c>
      <c r="B1049" s="14">
        <f>75.0962 * CHOOSE(CONTROL!$C$15, $E$9, 100%, $G$9) + CHOOSE(CONTROL!$C$38, 0.0278, 0)</f>
        <v>75.123999999999995</v>
      </c>
      <c r="C1049" s="14">
        <f>69.2676 * CHOOSE(CONTROL!$C$15, $E$9, 100%, $G$9) + CHOOSE(CONTROL!$C$38, 0.0369, 0)</f>
        <v>69.304500000000004</v>
      </c>
      <c r="D1049" s="14">
        <f>69.2598 * CHOOSE(CONTROL!$C$15, $E$9, 100%, $G$9) + CHOOSE(CONTROL!$C$38, 0.0369, 0)</f>
        <v>69.296700000000001</v>
      </c>
      <c r="E1049" s="46">
        <f>74.94 * CHOOSE(CONTROL!$C$15, $E$9, 100%, $G$9) + CHOOSE(CONTROL!$C$38, 0.0369, 0)</f>
        <v>74.976900000000001</v>
      </c>
      <c r="F1049" s="45">
        <f>74.94 * CHOOSE(CONTROL!$C$15, $E$9, 100%, $G$9) + CHOOSE(CONTROL!$C$38, 0.0278, 0)</f>
        <v>74.967799999999997</v>
      </c>
      <c r="G1049" s="14">
        <f>69.2661 * CHOOSE(CONTROL!$C$15, $E$9, 100%, $G$9) + CHOOSE(CONTROL!$C$38, 0.0369, 0)</f>
        <v>69.302999999999997</v>
      </c>
      <c r="H1049" s="14">
        <f>69.2661 * CHOOSE(CONTROL!$C$15, $E$9, 100%, $G$9) + CHOOSE(CONTROL!$C$38, 0.0369, 0)</f>
        <v>69.302999999999997</v>
      </c>
      <c r="I1049" s="14">
        <f>69.2676 * CHOOSE(CONTROL!$C$15, $E$9, 100%, $G$9) + CHOOSE(CONTROL!$C$38, 0.0369, 0)</f>
        <v>69.304500000000004</v>
      </c>
      <c r="J1049" s="44">
        <f>789.2945</f>
        <v>789.29449999999997</v>
      </c>
    </row>
    <row r="1050" spans="1:10" ht="15.75" x14ac:dyDescent="0.25">
      <c r="A1050" s="32">
        <v>72897</v>
      </c>
      <c r="B1050" s="14">
        <f>74.8897 * CHOOSE(CONTROL!$C$15, $E$9, 100%, $G$9) + CHOOSE(CONTROL!$C$38, 0.0278, 0)</f>
        <v>74.917500000000004</v>
      </c>
      <c r="C1050" s="14">
        <f>69.0611 * CHOOSE(CONTROL!$C$15, $E$9, 100%, $G$9) + CHOOSE(CONTROL!$C$38, 0.0369, 0)</f>
        <v>69.097999999999999</v>
      </c>
      <c r="D1050" s="14">
        <f>69.0533 * CHOOSE(CONTROL!$C$15, $E$9, 100%, $G$9) + CHOOSE(CONTROL!$C$38, 0.0369, 0)</f>
        <v>69.090199999999996</v>
      </c>
      <c r="E1050" s="46">
        <f>74.7335 * CHOOSE(CONTROL!$C$15, $E$9, 100%, $G$9) + CHOOSE(CONTROL!$C$38, 0.0369, 0)</f>
        <v>74.770400000000009</v>
      </c>
      <c r="F1050" s="45">
        <f>74.7335 * CHOOSE(CONTROL!$C$15, $E$9, 100%, $G$9) + CHOOSE(CONTROL!$C$38, 0.0278, 0)</f>
        <v>74.761300000000006</v>
      </c>
      <c r="G1050" s="14">
        <f>69.0596 * CHOOSE(CONTROL!$C$15, $E$9, 100%, $G$9) + CHOOSE(CONTROL!$C$38, 0.0369, 0)</f>
        <v>69.096500000000006</v>
      </c>
      <c r="H1050" s="14">
        <f>69.0596 * CHOOSE(CONTROL!$C$15, $E$9, 100%, $G$9) + CHOOSE(CONTROL!$C$38, 0.0369, 0)</f>
        <v>69.096500000000006</v>
      </c>
      <c r="I1050" s="14">
        <f>69.0611 * CHOOSE(CONTROL!$C$15, $E$9, 100%, $G$9) + CHOOSE(CONTROL!$C$38, 0.0369, 0)</f>
        <v>69.097999999999999</v>
      </c>
      <c r="J1050" s="44">
        <f>785.6032</f>
        <v>785.60320000000002</v>
      </c>
    </row>
    <row r="1051" spans="1:10" ht="15.75" x14ac:dyDescent="0.25">
      <c r="A1051" s="32">
        <v>72928</v>
      </c>
      <c r="B1051" s="14">
        <f>74.9917 * CHOOSE(CONTROL!$C$15, $E$9, 100%, $G$9) + CHOOSE(CONTROL!$C$38, 0.0278, 0)</f>
        <v>75.019499999999994</v>
      </c>
      <c r="C1051" s="14">
        <f>69.163 * CHOOSE(CONTROL!$C$15, $E$9, 100%, $G$9) + CHOOSE(CONTROL!$C$38, 0.0369, 0)</f>
        <v>69.1999</v>
      </c>
      <c r="D1051" s="14">
        <f>69.1552 * CHOOSE(CONTROL!$C$15, $E$9, 100%, $G$9) + CHOOSE(CONTROL!$C$38, 0.0369, 0)</f>
        <v>69.192099999999996</v>
      </c>
      <c r="E1051" s="46">
        <f>74.8354 * CHOOSE(CONTROL!$C$15, $E$9, 100%, $G$9) + CHOOSE(CONTROL!$C$38, 0.0369, 0)</f>
        <v>74.87230000000001</v>
      </c>
      <c r="F1051" s="45">
        <f>74.8354 * CHOOSE(CONTROL!$C$15, $E$9, 100%, $G$9) + CHOOSE(CONTROL!$C$38, 0.0278, 0)</f>
        <v>74.863200000000006</v>
      </c>
      <c r="G1051" s="14">
        <f>69.1615 * CHOOSE(CONTROL!$C$15, $E$9, 100%, $G$9) + CHOOSE(CONTROL!$C$38, 0.0369, 0)</f>
        <v>69.198400000000007</v>
      </c>
      <c r="H1051" s="14">
        <f>69.1615 * CHOOSE(CONTROL!$C$15, $E$9, 100%, $G$9) + CHOOSE(CONTROL!$C$38, 0.0369, 0)</f>
        <v>69.198400000000007</v>
      </c>
      <c r="I1051" s="14">
        <f>69.163 * CHOOSE(CONTROL!$C$15, $E$9, 100%, $G$9) + CHOOSE(CONTROL!$C$38, 0.0369, 0)</f>
        <v>69.1999</v>
      </c>
      <c r="J1051" s="44">
        <f>767.3147</f>
        <v>767.31470000000002</v>
      </c>
    </row>
    <row r="1052" spans="1:10" ht="15.75" x14ac:dyDescent="0.25">
      <c r="A1052" s="32">
        <v>72958</v>
      </c>
      <c r="B1052" s="14">
        <f>75.2685 * CHOOSE(CONTROL!$C$15, $E$9, 100%, $G$9) + CHOOSE(CONTROL!$C$38, 0.0278, 0)</f>
        <v>75.296300000000002</v>
      </c>
      <c r="C1052" s="14">
        <f>69.4398 * CHOOSE(CONTROL!$C$15, $E$9, 100%, $G$9) + CHOOSE(CONTROL!$C$38, 0.0369, 0)</f>
        <v>69.476700000000008</v>
      </c>
      <c r="D1052" s="14">
        <f>69.432 * CHOOSE(CONTROL!$C$15, $E$9, 100%, $G$9) + CHOOSE(CONTROL!$C$38, 0.0369, 0)</f>
        <v>69.468900000000005</v>
      </c>
      <c r="E1052" s="46">
        <f>75.1122 * CHOOSE(CONTROL!$C$15, $E$9, 100%, $G$9) + CHOOSE(CONTROL!$C$38, 0.0369, 0)</f>
        <v>75.149100000000004</v>
      </c>
      <c r="F1052" s="45">
        <f>75.1122 * CHOOSE(CONTROL!$C$15, $E$9, 100%, $G$9) + CHOOSE(CONTROL!$C$38, 0.0278, 0)</f>
        <v>75.14</v>
      </c>
      <c r="G1052" s="14">
        <f>69.4383 * CHOOSE(CONTROL!$C$15, $E$9, 100%, $G$9) + CHOOSE(CONTROL!$C$38, 0.0369, 0)</f>
        <v>69.475200000000001</v>
      </c>
      <c r="H1052" s="14">
        <f>69.4383 * CHOOSE(CONTROL!$C$15, $E$9, 100%, $G$9) + CHOOSE(CONTROL!$C$38, 0.0369, 0)</f>
        <v>69.475200000000001</v>
      </c>
      <c r="I1052" s="14">
        <f>69.4398 * CHOOSE(CONTROL!$C$15, $E$9, 100%, $G$9) + CHOOSE(CONTROL!$C$38, 0.0369, 0)</f>
        <v>69.476700000000008</v>
      </c>
      <c r="J1052" s="44">
        <f>741.8105</f>
        <v>741.81050000000005</v>
      </c>
    </row>
    <row r="1053" spans="1:10" ht="15.75" x14ac:dyDescent="0.25">
      <c r="A1053" s="32">
        <v>72989</v>
      </c>
      <c r="B1053" s="14">
        <f>75.5003 * CHOOSE(CONTROL!$C$15, $E$9, 100%, $G$9) + CHOOSE(CONTROL!$C$38, 0.0256, 0)</f>
        <v>75.525899999999993</v>
      </c>
      <c r="C1053" s="14">
        <f>69.6717 * CHOOSE(CONTROL!$C$15, $E$9, 100%, $G$9) + CHOOSE(CONTROL!$C$38, 0.0347, 0)</f>
        <v>69.706400000000002</v>
      </c>
      <c r="D1053" s="14">
        <f>69.6638 * CHOOSE(CONTROL!$C$15, $E$9, 100%, $G$9) + CHOOSE(CONTROL!$C$38, 0.0347, 0)</f>
        <v>69.698499999999996</v>
      </c>
      <c r="E1053" s="46">
        <f>75.344 * CHOOSE(CONTROL!$C$15, $E$9, 100%, $G$9) + CHOOSE(CONTROL!$C$38, 0.0347, 0)</f>
        <v>75.378699999999995</v>
      </c>
      <c r="F1053" s="45">
        <f>75.344 * CHOOSE(CONTROL!$C$15, $E$9, 100%, $G$9) + CHOOSE(CONTROL!$C$38, 0.0256, 0)</f>
        <v>75.369599999999991</v>
      </c>
      <c r="G1053" s="14">
        <f>69.6701 * CHOOSE(CONTROL!$C$15, $E$9, 100%, $G$9) + CHOOSE(CONTROL!$C$38, 0.0347, 0)</f>
        <v>69.704800000000006</v>
      </c>
      <c r="H1053" s="14">
        <f>69.6701 * CHOOSE(CONTROL!$C$15, $E$9, 100%, $G$9) + CHOOSE(CONTROL!$C$38, 0.0347, 0)</f>
        <v>69.704800000000006</v>
      </c>
      <c r="I1053" s="14">
        <f>69.6717 * CHOOSE(CONTROL!$C$15, $E$9, 100%, $G$9) + CHOOSE(CONTROL!$C$38, 0.0347, 0)</f>
        <v>69.706400000000002</v>
      </c>
      <c r="J1053" s="44">
        <f>716.1579</f>
        <v>716.15790000000004</v>
      </c>
    </row>
    <row r="1054" spans="1:10" ht="15.75" x14ac:dyDescent="0.25">
      <c r="A1054" s="32">
        <v>73019</v>
      </c>
      <c r="B1054" s="14">
        <f>75.6937 * CHOOSE(CONTROL!$C$15, $E$9, 100%, $G$9) + CHOOSE(CONTROL!$C$38, 0.0256, 0)</f>
        <v>75.719300000000004</v>
      </c>
      <c r="C1054" s="14">
        <f>69.8651 * CHOOSE(CONTROL!$C$15, $E$9, 100%, $G$9) + CHOOSE(CONTROL!$C$38, 0.0347, 0)</f>
        <v>69.899799999999999</v>
      </c>
      <c r="D1054" s="14">
        <f>69.8573 * CHOOSE(CONTROL!$C$15, $E$9, 100%, $G$9) + CHOOSE(CONTROL!$C$38, 0.0347, 0)</f>
        <v>69.891999999999996</v>
      </c>
      <c r="E1054" s="46">
        <f>75.5375 * CHOOSE(CONTROL!$C$15, $E$9, 100%, $G$9) + CHOOSE(CONTROL!$C$38, 0.0347, 0)</f>
        <v>75.572199999999995</v>
      </c>
      <c r="F1054" s="45">
        <f>75.5375 * CHOOSE(CONTROL!$C$15, $E$9, 100%, $G$9) + CHOOSE(CONTROL!$C$38, 0.0256, 0)</f>
        <v>75.563099999999991</v>
      </c>
      <c r="G1054" s="14">
        <f>69.8635 * CHOOSE(CONTROL!$C$15, $E$9, 100%, $G$9) + CHOOSE(CONTROL!$C$38, 0.0347, 0)</f>
        <v>69.898200000000003</v>
      </c>
      <c r="H1054" s="14">
        <f>69.8635 * CHOOSE(CONTROL!$C$15, $E$9, 100%, $G$9) + CHOOSE(CONTROL!$C$38, 0.0347, 0)</f>
        <v>69.898200000000003</v>
      </c>
      <c r="I1054" s="14">
        <f>69.8651 * CHOOSE(CONTROL!$C$15, $E$9, 100%, $G$9) + CHOOSE(CONTROL!$C$38, 0.0347, 0)</f>
        <v>69.899799999999999</v>
      </c>
      <c r="J1054" s="44">
        <f>711.0551</f>
        <v>711.05510000000004</v>
      </c>
    </row>
    <row r="1055" spans="1:10" ht="15.75" x14ac:dyDescent="0.25">
      <c r="A1055" s="32">
        <v>73050</v>
      </c>
      <c r="B1055" s="14">
        <f>76.2898 * CHOOSE(CONTROL!$C$15, $E$9, 100%, $G$9) + CHOOSE(CONTROL!$C$38, 0.0256, 0)</f>
        <v>76.315399999999997</v>
      </c>
      <c r="C1055" s="14">
        <f>70.4612 * CHOOSE(CONTROL!$C$15, $E$9, 100%, $G$9) + CHOOSE(CONTROL!$C$38, 0.0347, 0)</f>
        <v>70.495900000000006</v>
      </c>
      <c r="D1055" s="14">
        <f>70.4534 * CHOOSE(CONTROL!$C$15, $E$9, 100%, $G$9) + CHOOSE(CONTROL!$C$38, 0.0347, 0)</f>
        <v>70.488100000000003</v>
      </c>
      <c r="E1055" s="46">
        <f>76.1335 * CHOOSE(CONTROL!$C$15, $E$9, 100%, $G$9) + CHOOSE(CONTROL!$C$38, 0.0347, 0)</f>
        <v>76.168199999999999</v>
      </c>
      <c r="F1055" s="45">
        <f>76.1335 * CHOOSE(CONTROL!$C$15, $E$9, 100%, $G$9) + CHOOSE(CONTROL!$C$38, 0.0256, 0)</f>
        <v>76.159099999999995</v>
      </c>
      <c r="G1055" s="14">
        <f>70.4596 * CHOOSE(CONTROL!$C$15, $E$9, 100%, $G$9) + CHOOSE(CONTROL!$C$38, 0.0347, 0)</f>
        <v>70.494299999999996</v>
      </c>
      <c r="H1055" s="14">
        <f>70.4596 * CHOOSE(CONTROL!$C$15, $E$9, 100%, $G$9) + CHOOSE(CONTROL!$C$38, 0.0347, 0)</f>
        <v>70.494299999999996</v>
      </c>
      <c r="I1055" s="14">
        <f>70.4612 * CHOOSE(CONTROL!$C$15, $E$9, 100%, $G$9) + CHOOSE(CONTROL!$C$38, 0.0347, 0)</f>
        <v>70.495900000000006</v>
      </c>
      <c r="J1055" s="44">
        <f>689.9545</f>
        <v>689.95450000000005</v>
      </c>
    </row>
    <row r="1056" spans="1:10" ht="15.75" x14ac:dyDescent="0.25">
      <c r="A1056" s="32">
        <v>73081</v>
      </c>
      <c r="B1056" s="14">
        <f>77.992 * CHOOSE(CONTROL!$C$15, $E$9, 100%, $G$9) + CHOOSE(CONTROL!$C$38, 0.0256, 0)</f>
        <v>78.017600000000002</v>
      </c>
      <c r="C1056" s="14">
        <f>72.0703 * CHOOSE(CONTROL!$C$15, $E$9, 100%, $G$9) + CHOOSE(CONTROL!$C$38, 0.0347, 0)</f>
        <v>72.105000000000004</v>
      </c>
      <c r="D1056" s="14">
        <f>72.0625 * CHOOSE(CONTROL!$C$15, $E$9, 100%, $G$9) + CHOOSE(CONTROL!$C$38, 0.0347, 0)</f>
        <v>72.097200000000001</v>
      </c>
      <c r="E1056" s="46">
        <f>77.8357 * CHOOSE(CONTROL!$C$15, $E$9, 100%, $G$9) + CHOOSE(CONTROL!$C$38, 0.0347, 0)</f>
        <v>77.870400000000004</v>
      </c>
      <c r="F1056" s="45">
        <f>77.8357 * CHOOSE(CONTROL!$C$15, $E$9, 100%, $G$9) + CHOOSE(CONTROL!$C$38, 0.0256, 0)</f>
        <v>77.8613</v>
      </c>
      <c r="G1056" s="14">
        <f>72.0688 * CHOOSE(CONTROL!$C$15, $E$9, 100%, $G$9) + CHOOSE(CONTROL!$C$38, 0.0347, 0)</f>
        <v>72.103499999999997</v>
      </c>
      <c r="H1056" s="14">
        <f>72.0688 * CHOOSE(CONTROL!$C$15, $E$9, 100%, $G$9) + CHOOSE(CONTROL!$C$38, 0.0347, 0)</f>
        <v>72.103499999999997</v>
      </c>
      <c r="I1056" s="14">
        <f>72.0703 * CHOOSE(CONTROL!$C$15, $E$9, 100%, $G$9) + CHOOSE(CONTROL!$C$38, 0.0347, 0)</f>
        <v>72.105000000000004</v>
      </c>
      <c r="J1056" s="44">
        <f>688.6368</f>
        <v>688.63679999999999</v>
      </c>
    </row>
    <row r="1057" spans="1:11" ht="15.75" x14ac:dyDescent="0.25">
      <c r="A1057" s="32">
        <v>73109</v>
      </c>
      <c r="B1057" s="14">
        <f>78.2127 * CHOOSE(CONTROL!$C$15, $E$9, 100%, $G$9) + CHOOSE(CONTROL!$C$38, 0.0256, 0)</f>
        <v>78.238299999999995</v>
      </c>
      <c r="C1057" s="14">
        <f>72.2911 * CHOOSE(CONTROL!$C$15, $E$9, 100%, $G$9) + CHOOSE(CONTROL!$C$38, 0.0347, 0)</f>
        <v>72.325800000000001</v>
      </c>
      <c r="D1057" s="14">
        <f>72.2833 * CHOOSE(CONTROL!$C$15, $E$9, 100%, $G$9) + CHOOSE(CONTROL!$C$38, 0.0347, 0)</f>
        <v>72.317999999999998</v>
      </c>
      <c r="E1057" s="46">
        <f>78.0565 * CHOOSE(CONTROL!$C$15, $E$9, 100%, $G$9) + CHOOSE(CONTROL!$C$38, 0.0347, 0)</f>
        <v>78.091200000000001</v>
      </c>
      <c r="F1057" s="45">
        <f>78.0565 * CHOOSE(CONTROL!$C$15, $E$9, 100%, $G$9) + CHOOSE(CONTROL!$C$38, 0.0256, 0)</f>
        <v>78.082099999999997</v>
      </c>
      <c r="G1057" s="14">
        <f>72.2895 * CHOOSE(CONTROL!$C$15, $E$9, 100%, $G$9) + CHOOSE(CONTROL!$C$38, 0.0347, 0)</f>
        <v>72.324200000000005</v>
      </c>
      <c r="H1057" s="14">
        <f>72.2895 * CHOOSE(CONTROL!$C$15, $E$9, 100%, $G$9) + CHOOSE(CONTROL!$C$38, 0.0347, 0)</f>
        <v>72.324200000000005</v>
      </c>
      <c r="I1057" s="14">
        <f>72.2911 * CHOOSE(CONTROL!$C$15, $E$9, 100%, $G$9) + CHOOSE(CONTROL!$C$38, 0.0347, 0)</f>
        <v>72.325800000000001</v>
      </c>
      <c r="J1057" s="44">
        <f>686.7226</f>
        <v>686.72260000000006</v>
      </c>
    </row>
    <row r="1058" spans="1:11" ht="15.75" x14ac:dyDescent="0.25">
      <c r="A1058" s="32">
        <v>73140</v>
      </c>
      <c r="B1058" s="14">
        <f>77.7017 * CHOOSE(CONTROL!$C$15, $E$9, 100%, $G$9) + CHOOSE(CONTROL!$C$38, 0.0256, 0)</f>
        <v>77.7273</v>
      </c>
      <c r="C1058" s="14">
        <f>71.7801 * CHOOSE(CONTROL!$C$15, $E$9, 100%, $G$9) + CHOOSE(CONTROL!$C$38, 0.0347, 0)</f>
        <v>71.814800000000005</v>
      </c>
      <c r="D1058" s="14">
        <f>71.7723 * CHOOSE(CONTROL!$C$15, $E$9, 100%, $G$9) + CHOOSE(CONTROL!$C$38, 0.0347, 0)</f>
        <v>71.807000000000002</v>
      </c>
      <c r="E1058" s="46">
        <f>77.5454 * CHOOSE(CONTROL!$C$15, $E$9, 100%, $G$9) + CHOOSE(CONTROL!$C$38, 0.0347, 0)</f>
        <v>77.580100000000002</v>
      </c>
      <c r="F1058" s="45">
        <f>77.5454 * CHOOSE(CONTROL!$C$15, $E$9, 100%, $G$9) + CHOOSE(CONTROL!$C$38, 0.0256, 0)</f>
        <v>77.570999999999998</v>
      </c>
      <c r="G1058" s="14">
        <f>71.7785 * CHOOSE(CONTROL!$C$15, $E$9, 100%, $G$9) + CHOOSE(CONTROL!$C$38, 0.0347, 0)</f>
        <v>71.813199999999995</v>
      </c>
      <c r="H1058" s="14">
        <f>71.7785 * CHOOSE(CONTROL!$C$15, $E$9, 100%, $G$9) + CHOOSE(CONTROL!$C$38, 0.0347, 0)</f>
        <v>71.813199999999995</v>
      </c>
      <c r="I1058" s="14">
        <f>71.7801 * CHOOSE(CONTROL!$C$15, $E$9, 100%, $G$9) + CHOOSE(CONTROL!$C$38, 0.0347, 0)</f>
        <v>71.814800000000005</v>
      </c>
      <c r="J1058" s="44">
        <f>722.9169</f>
        <v>722.91690000000006</v>
      </c>
    </row>
    <row r="1059" spans="1:11" ht="15.75" x14ac:dyDescent="0.25">
      <c r="A1059" s="32">
        <v>73170</v>
      </c>
      <c r="B1059" s="14">
        <f>77.2065 * CHOOSE(CONTROL!$C$15, $E$9, 100%, $G$9) + CHOOSE(CONTROL!$C$38, 0.0256, 0)</f>
        <v>77.232100000000003</v>
      </c>
      <c r="C1059" s="14">
        <f>71.2849 * CHOOSE(CONTROL!$C$15, $E$9, 100%, $G$9) + CHOOSE(CONTROL!$C$38, 0.0347, 0)</f>
        <v>71.319599999999994</v>
      </c>
      <c r="D1059" s="14">
        <f>71.2771 * CHOOSE(CONTROL!$C$15, $E$9, 100%, $G$9) + CHOOSE(CONTROL!$C$38, 0.0347, 0)</f>
        <v>71.311800000000005</v>
      </c>
      <c r="E1059" s="46">
        <f>77.0503 * CHOOSE(CONTROL!$C$15, $E$9, 100%, $G$9) + CHOOSE(CONTROL!$C$38, 0.0347, 0)</f>
        <v>77.084999999999994</v>
      </c>
      <c r="F1059" s="45">
        <f>77.0503 * CHOOSE(CONTROL!$C$15, $E$9, 100%, $G$9) + CHOOSE(CONTROL!$C$38, 0.0256, 0)</f>
        <v>77.07589999999999</v>
      </c>
      <c r="G1059" s="14">
        <f>71.2833 * CHOOSE(CONTROL!$C$15, $E$9, 100%, $G$9) + CHOOSE(CONTROL!$C$38, 0.0347, 0)</f>
        <v>71.317999999999998</v>
      </c>
      <c r="H1059" s="14">
        <f>71.2833 * CHOOSE(CONTROL!$C$15, $E$9, 100%, $G$9) + CHOOSE(CONTROL!$C$38, 0.0347, 0)</f>
        <v>71.317999999999998</v>
      </c>
      <c r="I1059" s="14">
        <f>71.2849 * CHOOSE(CONTROL!$C$15, $E$9, 100%, $G$9) + CHOOSE(CONTROL!$C$38, 0.0347, 0)</f>
        <v>71.319599999999994</v>
      </c>
      <c r="J1059" s="44">
        <f>769.8522</f>
        <v>769.85220000000004</v>
      </c>
    </row>
    <row r="1060" spans="1:11" ht="15.75" x14ac:dyDescent="0.25">
      <c r="A1060" s="32">
        <v>73201</v>
      </c>
      <c r="B1060" s="14">
        <f>76.6904 * CHOOSE(CONTROL!$C$15, $E$9, 100%, $G$9) + CHOOSE(CONTROL!$C$38, 0.0278, 0)</f>
        <v>76.718199999999996</v>
      </c>
      <c r="C1060" s="14">
        <f>70.7688 * CHOOSE(CONTROL!$C$15, $E$9, 100%, $G$9) + CHOOSE(CONTROL!$C$38, 0.0369, 0)</f>
        <v>70.805700000000002</v>
      </c>
      <c r="D1060" s="14">
        <f>70.761 * CHOOSE(CONTROL!$C$15, $E$9, 100%, $G$9) + CHOOSE(CONTROL!$C$38, 0.0369, 0)</f>
        <v>70.797899999999998</v>
      </c>
      <c r="E1060" s="46">
        <f>76.5341 * CHOOSE(CONTROL!$C$15, $E$9, 100%, $G$9) + CHOOSE(CONTROL!$C$38, 0.0369, 0)</f>
        <v>76.570999999999998</v>
      </c>
      <c r="F1060" s="45">
        <f>76.5341 * CHOOSE(CONTROL!$C$15, $E$9, 100%, $G$9) + CHOOSE(CONTROL!$C$38, 0.0278, 0)</f>
        <v>76.561899999999994</v>
      </c>
      <c r="G1060" s="14">
        <f>70.7672 * CHOOSE(CONTROL!$C$15, $E$9, 100%, $G$9) + CHOOSE(CONTROL!$C$38, 0.0369, 0)</f>
        <v>70.804100000000005</v>
      </c>
      <c r="H1060" s="14">
        <f>70.7672 * CHOOSE(CONTROL!$C$15, $E$9, 100%, $G$9) + CHOOSE(CONTROL!$C$38, 0.0369, 0)</f>
        <v>70.804100000000005</v>
      </c>
      <c r="I1060" s="14">
        <f>70.7688 * CHOOSE(CONTROL!$C$15, $E$9, 100%, $G$9) + CHOOSE(CONTROL!$C$38, 0.0369, 0)</f>
        <v>70.805700000000002</v>
      </c>
      <c r="J1060" s="44">
        <f>795.6869</f>
        <v>795.68690000000004</v>
      </c>
    </row>
    <row r="1061" spans="1:11" ht="15.75" x14ac:dyDescent="0.25">
      <c r="A1061" s="32">
        <v>73231</v>
      </c>
      <c r="B1061" s="14">
        <f>76.3286 * CHOOSE(CONTROL!$C$15, $E$9, 100%, $G$9) + CHOOSE(CONTROL!$C$38, 0.0278, 0)</f>
        <v>76.356399999999994</v>
      </c>
      <c r="C1061" s="14">
        <f>70.4069 * CHOOSE(CONTROL!$C$15, $E$9, 100%, $G$9) + CHOOSE(CONTROL!$C$38, 0.0369, 0)</f>
        <v>70.443799999999996</v>
      </c>
      <c r="D1061" s="14">
        <f>70.3991 * CHOOSE(CONTROL!$C$15, $E$9, 100%, $G$9) + CHOOSE(CONTROL!$C$38, 0.0369, 0)</f>
        <v>70.436000000000007</v>
      </c>
      <c r="E1061" s="46">
        <f>76.1723 * CHOOSE(CONTROL!$C$15, $E$9, 100%, $G$9) + CHOOSE(CONTROL!$C$38, 0.0369, 0)</f>
        <v>76.20920000000001</v>
      </c>
      <c r="F1061" s="45">
        <f>76.1723 * CHOOSE(CONTROL!$C$15, $E$9, 100%, $G$9) + CHOOSE(CONTROL!$C$38, 0.0278, 0)</f>
        <v>76.200100000000006</v>
      </c>
      <c r="G1061" s="14">
        <f>70.4054 * CHOOSE(CONTROL!$C$15, $E$9, 100%, $G$9) + CHOOSE(CONTROL!$C$38, 0.0369, 0)</f>
        <v>70.442300000000003</v>
      </c>
      <c r="H1061" s="14">
        <f>70.4054 * CHOOSE(CONTROL!$C$15, $E$9, 100%, $G$9) + CHOOSE(CONTROL!$C$38, 0.0369, 0)</f>
        <v>70.442300000000003</v>
      </c>
      <c r="I1061" s="14">
        <f>70.4069 * CHOOSE(CONTROL!$C$15, $E$9, 100%, $G$9) + CHOOSE(CONTROL!$C$38, 0.0369, 0)</f>
        <v>70.443799999999996</v>
      </c>
      <c r="J1061" s="44">
        <f>807.1519</f>
        <v>807.15189999999996</v>
      </c>
    </row>
    <row r="1062" spans="1:11" ht="15.75" x14ac:dyDescent="0.25">
      <c r="A1062" s="32">
        <v>73262</v>
      </c>
      <c r="B1062" s="14">
        <f>76.1221 * CHOOSE(CONTROL!$C$15, $E$9, 100%, $G$9) + CHOOSE(CONTROL!$C$38, 0.0278, 0)</f>
        <v>76.149900000000002</v>
      </c>
      <c r="C1062" s="14">
        <f>70.2005 * CHOOSE(CONTROL!$C$15, $E$9, 100%, $G$9) + CHOOSE(CONTROL!$C$38, 0.0369, 0)</f>
        <v>70.237400000000008</v>
      </c>
      <c r="D1062" s="14">
        <f>70.1926 * CHOOSE(CONTROL!$C$15, $E$9, 100%, $G$9) + CHOOSE(CONTROL!$C$38, 0.0369, 0)</f>
        <v>70.229500000000002</v>
      </c>
      <c r="E1062" s="46">
        <f>75.9658 * CHOOSE(CONTROL!$C$15, $E$9, 100%, $G$9) + CHOOSE(CONTROL!$C$38, 0.0369, 0)</f>
        <v>76.002700000000004</v>
      </c>
      <c r="F1062" s="45">
        <f>75.9658 * CHOOSE(CONTROL!$C$15, $E$9, 100%, $G$9) + CHOOSE(CONTROL!$C$38, 0.0278, 0)</f>
        <v>75.993600000000001</v>
      </c>
      <c r="G1062" s="14">
        <f>70.1989 * CHOOSE(CONTROL!$C$15, $E$9, 100%, $G$9) + CHOOSE(CONTROL!$C$38, 0.0369, 0)</f>
        <v>70.235799999999998</v>
      </c>
      <c r="H1062" s="14">
        <f>70.1989 * CHOOSE(CONTROL!$C$15, $E$9, 100%, $G$9) + CHOOSE(CONTROL!$C$38, 0.0369, 0)</f>
        <v>70.235799999999998</v>
      </c>
      <c r="I1062" s="14">
        <f>70.2005 * CHOOSE(CONTROL!$C$15, $E$9, 100%, $G$9) + CHOOSE(CONTROL!$C$38, 0.0369, 0)</f>
        <v>70.237400000000008</v>
      </c>
      <c r="J1062" s="44">
        <f>803.3771</f>
        <v>803.37710000000004</v>
      </c>
    </row>
    <row r="1063" spans="1:11" ht="15.75" x14ac:dyDescent="0.25">
      <c r="A1063" s="32">
        <v>73293</v>
      </c>
      <c r="B1063" s="14">
        <f>76.224 * CHOOSE(CONTROL!$C$15, $E$9, 100%, $G$9) + CHOOSE(CONTROL!$C$38, 0.0278, 0)</f>
        <v>76.251800000000003</v>
      </c>
      <c r="C1063" s="14">
        <f>70.3024 * CHOOSE(CONTROL!$C$15, $E$9, 100%, $G$9) + CHOOSE(CONTROL!$C$38, 0.0369, 0)</f>
        <v>70.339300000000009</v>
      </c>
      <c r="D1063" s="14">
        <f>70.2946 * CHOOSE(CONTROL!$C$15, $E$9, 100%, $G$9) + CHOOSE(CONTROL!$C$38, 0.0369, 0)</f>
        <v>70.331500000000005</v>
      </c>
      <c r="E1063" s="46">
        <f>76.0677 * CHOOSE(CONTROL!$C$15, $E$9, 100%, $G$9) + CHOOSE(CONTROL!$C$38, 0.0369, 0)</f>
        <v>76.104600000000005</v>
      </c>
      <c r="F1063" s="45">
        <f>76.0677 * CHOOSE(CONTROL!$C$15, $E$9, 100%, $G$9) + CHOOSE(CONTROL!$C$38, 0.0278, 0)</f>
        <v>76.095500000000001</v>
      </c>
      <c r="G1063" s="14">
        <f>70.3008 * CHOOSE(CONTROL!$C$15, $E$9, 100%, $G$9) + CHOOSE(CONTROL!$C$38, 0.0369, 0)</f>
        <v>70.337699999999998</v>
      </c>
      <c r="H1063" s="14">
        <f>70.3008 * CHOOSE(CONTROL!$C$15, $E$9, 100%, $G$9) + CHOOSE(CONTROL!$C$38, 0.0369, 0)</f>
        <v>70.337699999999998</v>
      </c>
      <c r="I1063" s="14">
        <f>70.3024 * CHOOSE(CONTROL!$C$15, $E$9, 100%, $G$9) + CHOOSE(CONTROL!$C$38, 0.0369, 0)</f>
        <v>70.339300000000009</v>
      </c>
      <c r="J1063" s="44">
        <f>784.6748</f>
        <v>784.6748</v>
      </c>
    </row>
    <row r="1064" spans="1:11" ht="15.75" x14ac:dyDescent="0.25">
      <c r="A1064" s="32">
        <v>73323</v>
      </c>
      <c r="B1064" s="14">
        <f>76.5008 * CHOOSE(CONTROL!$C$15, $E$9, 100%, $G$9) + CHOOSE(CONTROL!$C$38, 0.0278, 0)</f>
        <v>76.528599999999997</v>
      </c>
      <c r="C1064" s="14">
        <f>70.5792 * CHOOSE(CONTROL!$C$15, $E$9, 100%, $G$9) + CHOOSE(CONTROL!$C$38, 0.0369, 0)</f>
        <v>70.616100000000003</v>
      </c>
      <c r="D1064" s="14">
        <f>70.5713 * CHOOSE(CONTROL!$C$15, $E$9, 100%, $G$9) + CHOOSE(CONTROL!$C$38, 0.0369, 0)</f>
        <v>70.608199999999997</v>
      </c>
      <c r="E1064" s="46">
        <f>76.3445 * CHOOSE(CONTROL!$C$15, $E$9, 100%, $G$9) + CHOOSE(CONTROL!$C$38, 0.0369, 0)</f>
        <v>76.381399999999999</v>
      </c>
      <c r="F1064" s="45">
        <f>76.3445 * CHOOSE(CONTROL!$C$15, $E$9, 100%, $G$9) + CHOOSE(CONTROL!$C$38, 0.0278, 0)</f>
        <v>76.372299999999996</v>
      </c>
      <c r="G1064" s="14">
        <f>70.5776 * CHOOSE(CONTROL!$C$15, $E$9, 100%, $G$9) + CHOOSE(CONTROL!$C$38, 0.0369, 0)</f>
        <v>70.614500000000007</v>
      </c>
      <c r="H1064" s="14">
        <f>70.5776 * CHOOSE(CONTROL!$C$15, $E$9, 100%, $G$9) + CHOOSE(CONTROL!$C$38, 0.0369, 0)</f>
        <v>70.614500000000007</v>
      </c>
      <c r="I1064" s="14">
        <f>70.5792 * CHOOSE(CONTROL!$C$15, $E$9, 100%, $G$9) + CHOOSE(CONTROL!$C$38, 0.0369, 0)</f>
        <v>70.616100000000003</v>
      </c>
      <c r="J1064" s="44">
        <f>758.5936</f>
        <v>758.59360000000004</v>
      </c>
    </row>
    <row r="1065" spans="1:11" ht="15.75" x14ac:dyDescent="0.25">
      <c r="A1065" s="32">
        <v>73354</v>
      </c>
      <c r="B1065" s="14">
        <f>76.7326 * CHOOSE(CONTROL!$C$15, $E$9, 100%, $G$9) + CHOOSE(CONTROL!$C$38, 0.0256, 0)</f>
        <v>76.758200000000002</v>
      </c>
      <c r="C1065" s="14">
        <f>70.811 * CHOOSE(CONTROL!$C$15, $E$9, 100%, $G$9) + CHOOSE(CONTROL!$C$38, 0.0347, 0)</f>
        <v>70.845700000000008</v>
      </c>
      <c r="D1065" s="14">
        <f>70.8032 * CHOOSE(CONTROL!$C$15, $E$9, 100%, $G$9) + CHOOSE(CONTROL!$C$38, 0.0347, 0)</f>
        <v>70.837900000000005</v>
      </c>
      <c r="E1065" s="46">
        <f>76.5764 * CHOOSE(CONTROL!$C$15, $E$9, 100%, $G$9) + CHOOSE(CONTROL!$C$38, 0.0347, 0)</f>
        <v>76.611100000000008</v>
      </c>
      <c r="F1065" s="45">
        <f>76.5764 * CHOOSE(CONTROL!$C$15, $E$9, 100%, $G$9) + CHOOSE(CONTROL!$C$38, 0.0256, 0)</f>
        <v>76.602000000000004</v>
      </c>
      <c r="G1065" s="14">
        <f>70.8094 * CHOOSE(CONTROL!$C$15, $E$9, 100%, $G$9) + CHOOSE(CONTROL!$C$38, 0.0347, 0)</f>
        <v>70.844099999999997</v>
      </c>
      <c r="H1065" s="14">
        <f>70.8094 * CHOOSE(CONTROL!$C$15, $E$9, 100%, $G$9) + CHOOSE(CONTROL!$C$38, 0.0347, 0)</f>
        <v>70.844099999999997</v>
      </c>
      <c r="I1065" s="14">
        <f>70.811 * CHOOSE(CONTROL!$C$15, $E$9, 100%, $G$9) + CHOOSE(CONTROL!$C$38, 0.0347, 0)</f>
        <v>70.845700000000008</v>
      </c>
      <c r="J1065" s="44">
        <f>732.3606</f>
        <v>732.36059999999998</v>
      </c>
    </row>
    <row r="1066" spans="1:11" ht="15.75" x14ac:dyDescent="0.25">
      <c r="A1066" s="32">
        <v>73384</v>
      </c>
      <c r="B1066" s="14">
        <f>76.926 * CHOOSE(CONTROL!$C$15, $E$9, 100%, $G$9) + CHOOSE(CONTROL!$C$38, 0.0256, 0)</f>
        <v>76.951599999999999</v>
      </c>
      <c r="C1066" s="14">
        <f>71.0044 * CHOOSE(CONTROL!$C$15, $E$9, 100%, $G$9) + CHOOSE(CONTROL!$C$38, 0.0347, 0)</f>
        <v>71.039100000000005</v>
      </c>
      <c r="D1066" s="14">
        <f>70.9966 * CHOOSE(CONTROL!$C$15, $E$9, 100%, $G$9) + CHOOSE(CONTROL!$C$38, 0.0347, 0)</f>
        <v>71.031300000000002</v>
      </c>
      <c r="E1066" s="46">
        <f>76.7698 * CHOOSE(CONTROL!$C$15, $E$9, 100%, $G$9) + CHOOSE(CONTROL!$C$38, 0.0347, 0)</f>
        <v>76.804500000000004</v>
      </c>
      <c r="F1066" s="45">
        <f>76.7698 * CHOOSE(CONTROL!$C$15, $E$9, 100%, $G$9) + CHOOSE(CONTROL!$C$38, 0.0256, 0)</f>
        <v>76.795400000000001</v>
      </c>
      <c r="G1066" s="14">
        <f>71.0029 * CHOOSE(CONTROL!$C$15, $E$9, 100%, $G$9) + CHOOSE(CONTROL!$C$38, 0.0347, 0)</f>
        <v>71.037599999999998</v>
      </c>
      <c r="H1066" s="14">
        <f>71.0029 * CHOOSE(CONTROL!$C$15, $E$9, 100%, $G$9) + CHOOSE(CONTROL!$C$38, 0.0347, 0)</f>
        <v>71.037599999999998</v>
      </c>
      <c r="I1066" s="14">
        <f>71.0044 * CHOOSE(CONTROL!$C$15, $E$9, 100%, $G$9) + CHOOSE(CONTROL!$C$38, 0.0347, 0)</f>
        <v>71.039100000000005</v>
      </c>
      <c r="J1066" s="44">
        <f>727.1424</f>
        <v>727.14239999999995</v>
      </c>
    </row>
    <row r="1067" spans="1:11" ht="15.75" x14ac:dyDescent="0.25">
      <c r="A1067" s="32">
        <v>73415</v>
      </c>
      <c r="B1067" s="14">
        <f>77.5221 * CHOOSE(CONTROL!$C$15, $E$9, 100%, $G$9) + CHOOSE(CONTROL!$C$38, 0.0256, 0)</f>
        <v>77.547699999999992</v>
      </c>
      <c r="C1067" s="14">
        <f>71.6005 * CHOOSE(CONTROL!$C$15, $E$9, 100%, $G$9) + CHOOSE(CONTROL!$C$38, 0.0347, 0)</f>
        <v>71.635199999999998</v>
      </c>
      <c r="D1067" s="14">
        <f>71.5927 * CHOOSE(CONTROL!$C$15, $E$9, 100%, $G$9) + CHOOSE(CONTROL!$C$38, 0.0347, 0)</f>
        <v>71.627399999999994</v>
      </c>
      <c r="E1067" s="46">
        <f>77.3659 * CHOOSE(CONTROL!$C$15, $E$9, 100%, $G$9) + CHOOSE(CONTROL!$C$38, 0.0347, 0)</f>
        <v>77.400599999999997</v>
      </c>
      <c r="F1067" s="45">
        <f>77.3659 * CHOOSE(CONTROL!$C$15, $E$9, 100%, $G$9) + CHOOSE(CONTROL!$C$38, 0.0256, 0)</f>
        <v>77.391499999999994</v>
      </c>
      <c r="G1067" s="14">
        <f>71.5989 * CHOOSE(CONTROL!$C$15, $E$9, 100%, $G$9) + CHOOSE(CONTROL!$C$38, 0.0347, 0)</f>
        <v>71.633600000000001</v>
      </c>
      <c r="H1067" s="14">
        <f>71.5989 * CHOOSE(CONTROL!$C$15, $E$9, 100%, $G$9) + CHOOSE(CONTROL!$C$38, 0.0347, 0)</f>
        <v>71.633600000000001</v>
      </c>
      <c r="I1067" s="14">
        <f>71.6005 * CHOOSE(CONTROL!$C$15, $E$9, 100%, $G$9) + CHOOSE(CONTROL!$C$38, 0.0347, 0)</f>
        <v>71.635199999999998</v>
      </c>
      <c r="J1067" s="44">
        <f>705.5644</f>
        <v>705.56439999999998</v>
      </c>
    </row>
    <row r="1068" spans="1:11" ht="15" x14ac:dyDescent="0.2">
      <c r="A1068" s="12"/>
      <c r="B1068" s="14"/>
      <c r="C1068" s="14"/>
      <c r="D1068" s="14"/>
      <c r="E1068" s="14"/>
      <c r="F1068" s="14"/>
      <c r="G1068" s="14"/>
      <c r="H1068" s="14"/>
      <c r="I1068" s="14"/>
    </row>
    <row r="1069" spans="1:11" ht="15" x14ac:dyDescent="0.2">
      <c r="A1069" s="10">
        <v>2013</v>
      </c>
      <c r="B1069" s="14">
        <f t="shared" ref="B1069:J1069" si="0">AVERAGE(B12:B23)</f>
        <v>16.315327759245275</v>
      </c>
      <c r="C1069" s="14">
        <f t="shared" si="0"/>
        <v>15.661908596276314</v>
      </c>
      <c r="D1069" s="14">
        <f t="shared" si="0"/>
        <v>15.654098179609649</v>
      </c>
      <c r="E1069" s="14">
        <f t="shared" si="0"/>
        <v>15.654098179609649</v>
      </c>
      <c r="F1069" s="14">
        <f t="shared" si="0"/>
        <v>16.026063534172362</v>
      </c>
      <c r="G1069" s="14">
        <f t="shared" si="0"/>
        <v>15.660348179609651</v>
      </c>
      <c r="H1069" s="14">
        <f t="shared" si="0"/>
        <v>15.660348179609651</v>
      </c>
      <c r="I1069" s="14">
        <f t="shared" si="0"/>
        <v>15.661908596276314</v>
      </c>
      <c r="J1069" s="14">
        <f t="shared" si="0"/>
        <v>97.990833333333327</v>
      </c>
      <c r="K1069" s="14"/>
    </row>
    <row r="1070" spans="1:11" ht="15" x14ac:dyDescent="0.2">
      <c r="A1070" s="10">
        <v>2014</v>
      </c>
      <c r="B1070" s="14">
        <f t="shared" ref="B1070:J1070" si="1">AVERAGE(B24:B35)</f>
        <v>15.799958333333336</v>
      </c>
      <c r="C1070" s="14">
        <f t="shared" si="1"/>
        <v>15.027808333333338</v>
      </c>
      <c r="D1070" s="14">
        <f t="shared" si="1"/>
        <v>15.019975000000001</v>
      </c>
      <c r="E1070" s="14">
        <f t="shared" si="1"/>
        <v>15.65280833333334</v>
      </c>
      <c r="F1070" s="14">
        <f t="shared" si="1"/>
        <v>15.643708333333334</v>
      </c>
      <c r="G1070" s="14">
        <f t="shared" si="1"/>
        <v>15.026216666666668</v>
      </c>
      <c r="H1070" s="14">
        <f t="shared" si="1"/>
        <v>15.026216666666668</v>
      </c>
      <c r="I1070" s="14">
        <f t="shared" si="1"/>
        <v>15.027808333333338</v>
      </c>
      <c r="J1070" s="14">
        <f t="shared" si="1"/>
        <v>97.998333333333335</v>
      </c>
      <c r="K1070" s="14"/>
    </row>
    <row r="1071" spans="1:11" ht="15" x14ac:dyDescent="0.2">
      <c r="A1071" s="10">
        <v>2015</v>
      </c>
      <c r="B1071" s="14">
        <f t="shared" ref="B1071:J1071" si="2">AVERAGE(B36:B47)</f>
        <v>14.635216666666667</v>
      </c>
      <c r="C1071" s="14">
        <f t="shared" si="2"/>
        <v>14.560616666666663</v>
      </c>
      <c r="D1071" s="14">
        <f t="shared" si="2"/>
        <v>14.552816666666665</v>
      </c>
      <c r="E1071" s="14">
        <f t="shared" si="2"/>
        <v>14.488116666666668</v>
      </c>
      <c r="F1071" s="14">
        <f t="shared" si="2"/>
        <v>14.479016666666668</v>
      </c>
      <c r="G1071" s="14">
        <f t="shared" si="2"/>
        <v>14.559016666666666</v>
      </c>
      <c r="H1071" s="14">
        <f t="shared" si="2"/>
        <v>14.559016666666666</v>
      </c>
      <c r="I1071" s="14">
        <f t="shared" si="2"/>
        <v>14.560616666666663</v>
      </c>
      <c r="J1071" s="14">
        <f t="shared" si="2"/>
        <v>90.544166666666683</v>
      </c>
      <c r="K1071" s="14"/>
    </row>
    <row r="1072" spans="1:11" ht="15" x14ac:dyDescent="0.2">
      <c r="A1072" s="10">
        <v>2016</v>
      </c>
      <c r="B1072" s="14">
        <f t="shared" ref="B1072:J1072" si="3">AVERAGE(B48:B59)</f>
        <v>15.304391666666666</v>
      </c>
      <c r="C1072" s="14">
        <f t="shared" si="3"/>
        <v>14.841791666666667</v>
      </c>
      <c r="D1072" s="14">
        <f t="shared" si="3"/>
        <v>14.833983333333336</v>
      </c>
      <c r="E1072" s="14">
        <f t="shared" si="3"/>
        <v>15.157224999999997</v>
      </c>
      <c r="F1072" s="14">
        <f t="shared" si="3"/>
        <v>15.148125</v>
      </c>
      <c r="G1072" s="14">
        <f t="shared" si="3"/>
        <v>14.840216666666668</v>
      </c>
      <c r="H1072" s="14">
        <f t="shared" si="3"/>
        <v>14.840216666666668</v>
      </c>
      <c r="I1072" s="14">
        <f t="shared" si="3"/>
        <v>14.841791666666667</v>
      </c>
      <c r="J1072" s="14">
        <f t="shared" si="3"/>
        <v>95.174333333333337</v>
      </c>
      <c r="K1072" s="14"/>
    </row>
    <row r="1073" spans="1:11" ht="15" x14ac:dyDescent="0.2">
      <c r="A1073" s="10">
        <v>2017</v>
      </c>
      <c r="B1073" s="14">
        <f t="shared" ref="B1073:J1073" si="4">AVERAGE(B60:B71)</f>
        <v>15.259991666666664</v>
      </c>
      <c r="C1073" s="14">
        <f t="shared" si="4"/>
        <v>14.793991666666669</v>
      </c>
      <c r="D1073" s="14">
        <f t="shared" si="4"/>
        <v>14.786166666666668</v>
      </c>
      <c r="E1073" s="14">
        <f t="shared" si="4"/>
        <v>15.112824999999999</v>
      </c>
      <c r="F1073" s="14">
        <f t="shared" si="4"/>
        <v>15.103725000000003</v>
      </c>
      <c r="G1073" s="14">
        <f t="shared" si="4"/>
        <v>14.792416666666666</v>
      </c>
      <c r="H1073" s="14">
        <f t="shared" si="4"/>
        <v>14.792416666666666</v>
      </c>
      <c r="I1073" s="14">
        <f t="shared" si="4"/>
        <v>14.793991666666669</v>
      </c>
      <c r="J1073" s="14">
        <f t="shared" si="4"/>
        <v>95.085041666666655</v>
      </c>
      <c r="K1073" s="14"/>
    </row>
    <row r="1074" spans="1:11" ht="15" x14ac:dyDescent="0.2">
      <c r="A1074" s="10">
        <v>2018</v>
      </c>
      <c r="B1074" s="14">
        <f t="shared" ref="B1074:J1074" si="5">AVERAGE(B72:B83)</f>
        <v>17.259083333333329</v>
      </c>
      <c r="C1074" s="14">
        <f t="shared" si="5"/>
        <v>16.394175000000001</v>
      </c>
      <c r="D1074" s="14">
        <f t="shared" si="5"/>
        <v>16.386358333333334</v>
      </c>
      <c r="E1074" s="14">
        <f t="shared" si="5"/>
        <v>17.111916666666666</v>
      </c>
      <c r="F1074" s="14">
        <f t="shared" si="5"/>
        <v>17.102816666666666</v>
      </c>
      <c r="G1074" s="14">
        <f t="shared" si="5"/>
        <v>16.392616666666665</v>
      </c>
      <c r="H1074" s="14">
        <f t="shared" si="5"/>
        <v>16.392616666666665</v>
      </c>
      <c r="I1074" s="14">
        <f t="shared" si="5"/>
        <v>16.394175000000001</v>
      </c>
      <c r="J1074" s="14">
        <f t="shared" si="5"/>
        <v>108.58538333333333</v>
      </c>
      <c r="K1074" s="14"/>
    </row>
    <row r="1075" spans="1:11" ht="15" x14ac:dyDescent="0.2">
      <c r="A1075" s="10">
        <v>2019</v>
      </c>
      <c r="B1075" s="14">
        <f t="shared" ref="B1075:J1075" si="6">AVERAGE(B84:B95)</f>
        <v>17.676191666666664</v>
      </c>
      <c r="C1075" s="14">
        <f t="shared" si="6"/>
        <v>16.769858333333335</v>
      </c>
      <c r="D1075" s="14">
        <f t="shared" si="6"/>
        <v>16.762041666666665</v>
      </c>
      <c r="E1075" s="14">
        <f t="shared" si="6"/>
        <v>17.529025000000001</v>
      </c>
      <c r="F1075" s="14">
        <f t="shared" si="6"/>
        <v>17.519925000000001</v>
      </c>
      <c r="G1075" s="14">
        <f t="shared" si="6"/>
        <v>16.768308333333334</v>
      </c>
      <c r="H1075" s="14">
        <f t="shared" si="6"/>
        <v>16.768308333333334</v>
      </c>
      <c r="I1075" s="14">
        <f t="shared" si="6"/>
        <v>16.769858333333335</v>
      </c>
      <c r="J1075" s="14">
        <f t="shared" si="6"/>
        <v>110.81963333333334</v>
      </c>
      <c r="K1075" s="14"/>
    </row>
    <row r="1076" spans="1:11" ht="15" x14ac:dyDescent="0.2">
      <c r="A1076" s="10">
        <v>2020</v>
      </c>
      <c r="B1076" s="14">
        <f t="shared" ref="B1076:J1076" si="7">AVERAGE(B96:B107)</f>
        <v>18.210016666666672</v>
      </c>
      <c r="C1076" s="14">
        <f t="shared" si="7"/>
        <v>17.142225</v>
      </c>
      <c r="D1076" s="14">
        <f t="shared" si="7"/>
        <v>17.13441666666667</v>
      </c>
      <c r="E1076" s="14">
        <f t="shared" si="7"/>
        <v>18.062866666666668</v>
      </c>
      <c r="F1076" s="14">
        <f t="shared" si="7"/>
        <v>18.053766666666665</v>
      </c>
      <c r="G1076" s="14">
        <f t="shared" si="7"/>
        <v>17.140666666666672</v>
      </c>
      <c r="H1076" s="14">
        <f t="shared" si="7"/>
        <v>17.140666666666672</v>
      </c>
      <c r="I1076" s="14">
        <f t="shared" si="7"/>
        <v>17.142225</v>
      </c>
      <c r="J1076" s="14">
        <f t="shared" si="7"/>
        <v>113.18234166666667</v>
      </c>
      <c r="K1076" s="14"/>
    </row>
    <row r="1077" spans="1:11" ht="15" x14ac:dyDescent="0.2">
      <c r="A1077" s="10">
        <v>2021</v>
      </c>
      <c r="B1077" s="14">
        <f t="shared" ref="B1077:J1077" si="8">AVERAGE(B108:B119)</f>
        <v>19.104891666666663</v>
      </c>
      <c r="C1077" s="14">
        <f t="shared" si="8"/>
        <v>17.804324999999999</v>
      </c>
      <c r="D1077" s="14">
        <f t="shared" si="8"/>
        <v>17.796516666666673</v>
      </c>
      <c r="E1077" s="14">
        <f t="shared" si="8"/>
        <v>18.957725</v>
      </c>
      <c r="F1077" s="14">
        <f t="shared" si="8"/>
        <v>18.948624999999996</v>
      </c>
      <c r="G1077" s="14">
        <f t="shared" si="8"/>
        <v>17.802783333333331</v>
      </c>
      <c r="H1077" s="14">
        <f t="shared" si="8"/>
        <v>17.802783333333331</v>
      </c>
      <c r="I1077" s="14">
        <f t="shared" si="8"/>
        <v>17.804324999999999</v>
      </c>
      <c r="J1077" s="14">
        <f t="shared" si="8"/>
        <v>118.24135833333332</v>
      </c>
      <c r="K1077" s="14"/>
    </row>
    <row r="1078" spans="1:11" ht="15" x14ac:dyDescent="0.2">
      <c r="A1078" s="10">
        <v>2022</v>
      </c>
      <c r="B1078" s="14">
        <f t="shared" ref="B1078:J1078" si="9">AVERAGE(B120:B131)</f>
        <v>19.919474999999998</v>
      </c>
      <c r="C1078" s="14">
        <f t="shared" si="9"/>
        <v>18.520925000000002</v>
      </c>
      <c r="D1078" s="14">
        <f t="shared" si="9"/>
        <v>18.513116666666672</v>
      </c>
      <c r="E1078" s="14">
        <f t="shared" si="9"/>
        <v>19.772316666666665</v>
      </c>
      <c r="F1078" s="14">
        <f t="shared" si="9"/>
        <v>19.763216666666665</v>
      </c>
      <c r="G1078" s="14">
        <f t="shared" si="9"/>
        <v>18.519366666666663</v>
      </c>
      <c r="H1078" s="14">
        <f t="shared" si="9"/>
        <v>18.519366666666663</v>
      </c>
      <c r="I1078" s="14">
        <f t="shared" si="9"/>
        <v>18.520925000000002</v>
      </c>
      <c r="J1078" s="14">
        <f t="shared" si="9"/>
        <v>123.67511666666667</v>
      </c>
      <c r="K1078" s="14"/>
    </row>
    <row r="1079" spans="1:11" ht="15" x14ac:dyDescent="0.2">
      <c r="A1079" s="10">
        <v>2023</v>
      </c>
      <c r="B1079" s="14">
        <f t="shared" ref="B1079:J1079" si="10">AVERAGE(B132:B143)</f>
        <v>20.902008333333331</v>
      </c>
      <c r="C1079" s="14">
        <f t="shared" si="10"/>
        <v>19.323241666666668</v>
      </c>
      <c r="D1079" s="14">
        <f t="shared" si="10"/>
        <v>19.315425000000001</v>
      </c>
      <c r="E1079" s="14">
        <f t="shared" si="10"/>
        <v>20.754849999999998</v>
      </c>
      <c r="F1079" s="14">
        <f t="shared" si="10"/>
        <v>20.745749999999997</v>
      </c>
      <c r="G1079" s="14">
        <f t="shared" si="10"/>
        <v>19.321691666666666</v>
      </c>
      <c r="H1079" s="14">
        <f t="shared" si="10"/>
        <v>19.321691666666666</v>
      </c>
      <c r="I1079" s="14">
        <f t="shared" si="10"/>
        <v>19.323241666666668</v>
      </c>
      <c r="J1079" s="14">
        <f t="shared" si="10"/>
        <v>129.35190833333334</v>
      </c>
      <c r="K1079" s="14"/>
    </row>
    <row r="1080" spans="1:11" ht="15" x14ac:dyDescent="0.2">
      <c r="A1080" s="10">
        <v>2024</v>
      </c>
      <c r="B1080" s="14">
        <f t="shared" ref="B1080:J1080" si="11">AVERAGE(B144:B155)</f>
        <v>21.910116666666664</v>
      </c>
      <c r="C1080" s="14">
        <f t="shared" si="11"/>
        <v>20.150516666666668</v>
      </c>
      <c r="D1080" s="14">
        <f t="shared" si="11"/>
        <v>20.142716666666665</v>
      </c>
      <c r="E1080" s="14">
        <f t="shared" si="11"/>
        <v>21.762966666666667</v>
      </c>
      <c r="F1080" s="14">
        <f t="shared" si="11"/>
        <v>21.753866666666667</v>
      </c>
      <c r="G1080" s="14">
        <f t="shared" si="11"/>
        <v>20.148958333333336</v>
      </c>
      <c r="H1080" s="14">
        <f t="shared" si="11"/>
        <v>20.148958333333336</v>
      </c>
      <c r="I1080" s="14">
        <f t="shared" si="11"/>
        <v>20.150516666666668</v>
      </c>
      <c r="J1080" s="14">
        <f t="shared" si="11"/>
        <v>135.2825</v>
      </c>
      <c r="K1080" s="14"/>
    </row>
    <row r="1081" spans="1:11" ht="15" x14ac:dyDescent="0.2">
      <c r="A1081" s="10">
        <v>2025</v>
      </c>
      <c r="B1081" s="14">
        <f t="shared" ref="B1081:J1081" si="12">AVERAGE(B156:B167)</f>
        <v>22.913625</v>
      </c>
      <c r="C1081" s="14">
        <f t="shared" si="12"/>
        <v>20.973316666666665</v>
      </c>
      <c r="D1081" s="14">
        <f t="shared" si="12"/>
        <v>20.965508333333332</v>
      </c>
      <c r="E1081" s="14">
        <f t="shared" si="12"/>
        <v>22.766491666666667</v>
      </c>
      <c r="F1081" s="14">
        <f t="shared" si="12"/>
        <v>22.757391666666667</v>
      </c>
      <c r="G1081" s="14">
        <f t="shared" si="12"/>
        <v>20.971749999999997</v>
      </c>
      <c r="H1081" s="14">
        <f t="shared" si="12"/>
        <v>20.971749999999997</v>
      </c>
      <c r="I1081" s="14">
        <f t="shared" si="12"/>
        <v>20.973316666666665</v>
      </c>
      <c r="J1081" s="14">
        <f t="shared" si="12"/>
        <v>141.47811666666666</v>
      </c>
      <c r="K1081" s="14"/>
    </row>
    <row r="1082" spans="1:11" ht="15" x14ac:dyDescent="0.2">
      <c r="A1082" s="10">
        <v>2026</v>
      </c>
      <c r="B1082" s="14">
        <f t="shared" ref="B1082:J1082" si="13">AVERAGE(B168:B179)</f>
        <v>23.324341666666669</v>
      </c>
      <c r="C1082" s="14">
        <f t="shared" si="13"/>
        <v>21.374016666666666</v>
      </c>
      <c r="D1082" s="14">
        <f t="shared" si="13"/>
        <v>21.366208333333336</v>
      </c>
      <c r="E1082" s="14">
        <f t="shared" si="13"/>
        <v>23.177208333333329</v>
      </c>
      <c r="F1082" s="14">
        <f t="shared" si="13"/>
        <v>23.168108333333336</v>
      </c>
      <c r="G1082" s="14">
        <f t="shared" si="13"/>
        <v>21.372441666666663</v>
      </c>
      <c r="H1082" s="14">
        <f t="shared" si="13"/>
        <v>21.372441666666663</v>
      </c>
      <c r="I1082" s="14">
        <f t="shared" si="13"/>
        <v>21.374016666666666</v>
      </c>
      <c r="J1082" s="14">
        <f t="shared" si="13"/>
        <v>144.33447500000003</v>
      </c>
      <c r="K1082" s="14"/>
    </row>
    <row r="1083" spans="1:11" ht="15" x14ac:dyDescent="0.2">
      <c r="A1083" s="10">
        <v>2027</v>
      </c>
      <c r="B1083" s="14">
        <f t="shared" ref="B1083:J1083" si="14">AVERAGE(B180:B191)</f>
        <v>23.785024999999994</v>
      </c>
      <c r="C1083" s="14">
        <f t="shared" si="14"/>
        <v>21.823458333333335</v>
      </c>
      <c r="D1083" s="14">
        <f t="shared" si="14"/>
        <v>21.815641666666668</v>
      </c>
      <c r="E1083" s="14">
        <f t="shared" si="14"/>
        <v>23.637891666666665</v>
      </c>
      <c r="F1083" s="14">
        <f t="shared" si="14"/>
        <v>23.628791666666668</v>
      </c>
      <c r="G1083" s="14">
        <f t="shared" si="14"/>
        <v>21.821908333333329</v>
      </c>
      <c r="H1083" s="14">
        <f t="shared" si="14"/>
        <v>21.821908333333329</v>
      </c>
      <c r="I1083" s="14">
        <f t="shared" si="14"/>
        <v>21.823458333333335</v>
      </c>
      <c r="J1083" s="14">
        <f t="shared" si="14"/>
        <v>147.24845000000002</v>
      </c>
      <c r="K1083" s="14"/>
    </row>
    <row r="1084" spans="1:11" ht="15" x14ac:dyDescent="0.2">
      <c r="A1084" s="10">
        <v>2028</v>
      </c>
      <c r="B1084" s="14">
        <f t="shared" ref="B1084:J1084" si="15">AVERAGE(B192:B203)</f>
        <v>24.191808333333331</v>
      </c>
      <c r="C1084" s="14">
        <f t="shared" si="15"/>
        <v>22.220316666666665</v>
      </c>
      <c r="D1084" s="14">
        <f t="shared" si="15"/>
        <v>22.212508333333332</v>
      </c>
      <c r="E1084" s="14">
        <f t="shared" si="15"/>
        <v>24.044650000000001</v>
      </c>
      <c r="F1084" s="14">
        <f t="shared" si="15"/>
        <v>24.035550000000001</v>
      </c>
      <c r="G1084" s="14">
        <f t="shared" si="15"/>
        <v>22.21874166666667</v>
      </c>
      <c r="H1084" s="14">
        <f t="shared" si="15"/>
        <v>22.21874166666667</v>
      </c>
      <c r="I1084" s="14">
        <f t="shared" si="15"/>
        <v>22.220316666666665</v>
      </c>
      <c r="J1084" s="14">
        <f t="shared" si="15"/>
        <v>150.22115833333334</v>
      </c>
      <c r="K1084" s="14"/>
    </row>
    <row r="1085" spans="1:11" ht="15" x14ac:dyDescent="0.2">
      <c r="A1085" s="10">
        <v>2029</v>
      </c>
      <c r="B1085" s="14">
        <f t="shared" ref="B1085:J1085" si="16">AVERAGE(B204:B215)</f>
        <v>24.673008333333332</v>
      </c>
      <c r="C1085" s="14">
        <f t="shared" si="16"/>
        <v>22.689783333333335</v>
      </c>
      <c r="D1085" s="14">
        <f t="shared" si="16"/>
        <v>22.681966666666668</v>
      </c>
      <c r="E1085" s="14">
        <f t="shared" si="16"/>
        <v>24.525858333333332</v>
      </c>
      <c r="F1085" s="14">
        <f t="shared" si="16"/>
        <v>24.516758333333332</v>
      </c>
      <c r="G1085" s="14">
        <f t="shared" si="16"/>
        <v>22.688216666666662</v>
      </c>
      <c r="H1085" s="14">
        <f t="shared" si="16"/>
        <v>22.688216666666662</v>
      </c>
      <c r="I1085" s="14">
        <f t="shared" si="16"/>
        <v>22.689783333333335</v>
      </c>
      <c r="J1085" s="14">
        <f t="shared" si="16"/>
        <v>153.25382500000001</v>
      </c>
      <c r="K1085" s="14"/>
    </row>
    <row r="1086" spans="1:11" ht="15" x14ac:dyDescent="0.2">
      <c r="A1086" s="10">
        <v>2030</v>
      </c>
      <c r="B1086" s="14">
        <f t="shared" ref="B1086:J1086" si="17">AVERAGE(B216:B227)</f>
        <v>25.116766666666667</v>
      </c>
      <c r="C1086" s="14">
        <f t="shared" si="17"/>
        <v>23.122716666666665</v>
      </c>
      <c r="D1086" s="14">
        <f t="shared" si="17"/>
        <v>23.114908333333332</v>
      </c>
      <c r="E1086" s="14">
        <f t="shared" si="17"/>
        <v>24.969616666666671</v>
      </c>
      <c r="F1086" s="14">
        <f t="shared" si="17"/>
        <v>24.960516666666667</v>
      </c>
      <c r="G1086" s="14">
        <f t="shared" si="17"/>
        <v>23.12114166666667</v>
      </c>
      <c r="H1086" s="14">
        <f t="shared" si="17"/>
        <v>23.12114166666667</v>
      </c>
      <c r="I1086" s="14">
        <f t="shared" si="17"/>
        <v>23.122716666666665</v>
      </c>
      <c r="J1086" s="14">
        <f t="shared" si="17"/>
        <v>156.34759999999997</v>
      </c>
      <c r="K1086" s="14"/>
    </row>
    <row r="1087" spans="1:11" ht="15" x14ac:dyDescent="0.2">
      <c r="A1087" s="10">
        <v>2031</v>
      </c>
      <c r="B1087" s="14">
        <f t="shared" ref="B1087:J1087" si="18">AVERAGE(B228:B239)</f>
        <v>25.518008333333331</v>
      </c>
      <c r="C1087" s="14">
        <f t="shared" si="18"/>
        <v>23.493675</v>
      </c>
      <c r="D1087" s="14">
        <f t="shared" si="18"/>
        <v>23.485858333333336</v>
      </c>
      <c r="E1087" s="14">
        <f t="shared" si="18"/>
        <v>25.370850000000001</v>
      </c>
      <c r="F1087" s="14">
        <f t="shared" si="18"/>
        <v>25.361750000000004</v>
      </c>
      <c r="G1087" s="14">
        <f t="shared" si="18"/>
        <v>23.492108333333334</v>
      </c>
      <c r="H1087" s="14">
        <f t="shared" si="18"/>
        <v>23.492108333333334</v>
      </c>
      <c r="I1087" s="14">
        <f t="shared" si="18"/>
        <v>23.493675</v>
      </c>
      <c r="J1087" s="14">
        <f t="shared" si="18"/>
        <v>159.88489166666668</v>
      </c>
      <c r="K1087" s="14"/>
    </row>
    <row r="1088" spans="1:11" ht="15" x14ac:dyDescent="0.2">
      <c r="A1088" s="10">
        <v>2032</v>
      </c>
      <c r="B1088" s="14">
        <f t="shared" ref="B1088:J1088" si="19">AVERAGE(B240:B251)</f>
        <v>25.925816666666663</v>
      </c>
      <c r="C1088" s="14">
        <f t="shared" si="19"/>
        <v>23.870716666666663</v>
      </c>
      <c r="D1088" s="14">
        <f t="shared" si="19"/>
        <v>23.862908333333333</v>
      </c>
      <c r="E1088" s="14">
        <f t="shared" si="19"/>
        <v>25.778683333333333</v>
      </c>
      <c r="F1088" s="14">
        <f t="shared" si="19"/>
        <v>25.76958333333333</v>
      </c>
      <c r="G1088" s="14">
        <f t="shared" si="19"/>
        <v>23.869150000000001</v>
      </c>
      <c r="H1088" s="14">
        <f t="shared" si="19"/>
        <v>23.869150000000001</v>
      </c>
      <c r="I1088" s="14">
        <f t="shared" si="19"/>
        <v>23.870716666666663</v>
      </c>
      <c r="J1088" s="14">
        <f t="shared" si="19"/>
        <v>163.50219166666668</v>
      </c>
      <c r="K1088" s="14"/>
    </row>
    <row r="1089" spans="1:11" ht="15" x14ac:dyDescent="0.2">
      <c r="A1089" s="10">
        <v>2033</v>
      </c>
      <c r="B1089" s="14">
        <f t="shared" ref="B1089:J1089" si="20">AVERAGE(B252:B263)</f>
        <v>26.340325000000007</v>
      </c>
      <c r="C1089" s="14">
        <f t="shared" si="20"/>
        <v>24.253924999999999</v>
      </c>
      <c r="D1089" s="14">
        <f t="shared" si="20"/>
        <v>24.246116666666669</v>
      </c>
      <c r="E1089" s="14">
        <f t="shared" si="20"/>
        <v>26.193191666666667</v>
      </c>
      <c r="F1089" s="14">
        <f t="shared" si="20"/>
        <v>26.18409166666666</v>
      </c>
      <c r="G1089" s="14">
        <f t="shared" si="20"/>
        <v>24.252383333333331</v>
      </c>
      <c r="H1089" s="14">
        <f t="shared" si="20"/>
        <v>24.252383333333331</v>
      </c>
      <c r="I1089" s="14">
        <f t="shared" si="20"/>
        <v>24.253924999999999</v>
      </c>
      <c r="J1089" s="14">
        <f t="shared" si="20"/>
        <v>167.20135000000002</v>
      </c>
      <c r="K1089" s="14"/>
    </row>
    <row r="1090" spans="1:11" ht="15" x14ac:dyDescent="0.2">
      <c r="A1090" s="10">
        <v>2034</v>
      </c>
      <c r="B1090" s="14">
        <f t="shared" ref="B1090:J1090" si="21">AVERAGE(B264:B275)</f>
        <v>26.761624999999999</v>
      </c>
      <c r="C1090" s="14">
        <f t="shared" si="21"/>
        <v>24.643441666666671</v>
      </c>
      <c r="D1090" s="14">
        <f t="shared" si="21"/>
        <v>24.635625000000005</v>
      </c>
      <c r="E1090" s="14">
        <f t="shared" si="21"/>
        <v>26.61449166666667</v>
      </c>
      <c r="F1090" s="14">
        <f t="shared" si="21"/>
        <v>26.605391666666662</v>
      </c>
      <c r="G1090" s="14">
        <f t="shared" si="21"/>
        <v>24.64189166666667</v>
      </c>
      <c r="H1090" s="14">
        <f t="shared" si="21"/>
        <v>24.64189166666667</v>
      </c>
      <c r="I1090" s="14">
        <f t="shared" si="21"/>
        <v>24.643441666666671</v>
      </c>
      <c r="J1090" s="14">
        <f t="shared" si="21"/>
        <v>170.98420000000002</v>
      </c>
      <c r="K1090" s="14"/>
    </row>
    <row r="1091" spans="1:11" ht="15" x14ac:dyDescent="0.2">
      <c r="A1091" s="10">
        <v>2035</v>
      </c>
      <c r="B1091" s="14">
        <f t="shared" ref="B1091:J1091" si="22">AVERAGE(B276:B287)</f>
        <v>27.189833333333336</v>
      </c>
      <c r="C1091" s="14">
        <f t="shared" si="22"/>
        <v>25.039325000000002</v>
      </c>
      <c r="D1091" s="14">
        <f t="shared" si="22"/>
        <v>25.031516666666665</v>
      </c>
      <c r="E1091" s="14">
        <f t="shared" si="22"/>
        <v>27.042699999999996</v>
      </c>
      <c r="F1091" s="14">
        <f t="shared" si="22"/>
        <v>27.033599999999996</v>
      </c>
      <c r="G1091" s="14">
        <f t="shared" si="22"/>
        <v>25.037783333333334</v>
      </c>
      <c r="H1091" s="14">
        <f t="shared" si="22"/>
        <v>25.037783333333334</v>
      </c>
      <c r="I1091" s="14">
        <f t="shared" si="22"/>
        <v>25.039325000000002</v>
      </c>
      <c r="J1091" s="14">
        <f t="shared" si="22"/>
        <v>174.85262499999999</v>
      </c>
      <c r="K1091" s="14"/>
    </row>
    <row r="1092" spans="1:11" ht="15" x14ac:dyDescent="0.2">
      <c r="A1092" s="10">
        <v>2036</v>
      </c>
      <c r="B1092" s="14">
        <f t="shared" ref="B1092:J1092" si="23">AVERAGE(B288:B299)</f>
        <v>27.625074999999995</v>
      </c>
      <c r="C1092" s="14">
        <f t="shared" si="23"/>
        <v>25.441716666666665</v>
      </c>
      <c r="D1092" s="14">
        <f t="shared" si="23"/>
        <v>25.433916666666665</v>
      </c>
      <c r="E1092" s="14">
        <f t="shared" si="23"/>
        <v>27.477916666666662</v>
      </c>
      <c r="F1092" s="14">
        <f t="shared" si="23"/>
        <v>27.468816666666669</v>
      </c>
      <c r="G1092" s="14">
        <f t="shared" si="23"/>
        <v>25.440158333333329</v>
      </c>
      <c r="H1092" s="14">
        <f t="shared" si="23"/>
        <v>25.440158333333329</v>
      </c>
      <c r="I1092" s="14">
        <f t="shared" si="23"/>
        <v>25.441716666666665</v>
      </c>
      <c r="J1092" s="14">
        <f t="shared" si="23"/>
        <v>178.80859166666664</v>
      </c>
      <c r="K1092" s="14"/>
    </row>
    <row r="1093" spans="1:11" ht="15" x14ac:dyDescent="0.2">
      <c r="A1093" s="10">
        <v>2037</v>
      </c>
      <c r="B1093" s="14">
        <f t="shared" ref="B1093:J1093" si="24">AVERAGE(B300:B311)</f>
        <v>28.067425000000004</v>
      </c>
      <c r="C1093" s="14">
        <f t="shared" si="24"/>
        <v>25.850708333333333</v>
      </c>
      <c r="D1093" s="14">
        <f t="shared" si="24"/>
        <v>25.842908333333337</v>
      </c>
      <c r="E1093" s="14">
        <f t="shared" si="24"/>
        <v>27.920291666666667</v>
      </c>
      <c r="F1093" s="14">
        <f t="shared" si="24"/>
        <v>27.911191666666664</v>
      </c>
      <c r="G1093" s="14">
        <f t="shared" si="24"/>
        <v>25.849141666666668</v>
      </c>
      <c r="H1093" s="14">
        <f t="shared" si="24"/>
        <v>25.849141666666668</v>
      </c>
      <c r="I1093" s="14">
        <f t="shared" si="24"/>
        <v>25.850708333333333</v>
      </c>
      <c r="J1093" s="14">
        <f t="shared" si="24"/>
        <v>182.85403333333332</v>
      </c>
      <c r="K1093" s="14"/>
    </row>
    <row r="1094" spans="1:11" ht="15" x14ac:dyDescent="0.2">
      <c r="A1094" s="10">
        <f t="shared" ref="A1094:A1125" si="25">A1093+1</f>
        <v>2038</v>
      </c>
      <c r="B1094" s="14">
        <f t="shared" ref="B1094:J1094" si="26">AVERAGE(B312:B323)</f>
        <v>28.517049999999998</v>
      </c>
      <c r="C1094" s="14">
        <f t="shared" si="26"/>
        <v>26.266399999999994</v>
      </c>
      <c r="D1094" s="14">
        <f t="shared" si="26"/>
        <v>26.258591666666664</v>
      </c>
      <c r="E1094" s="14">
        <f t="shared" si="26"/>
        <v>28.369908333333328</v>
      </c>
      <c r="F1094" s="14">
        <f t="shared" si="26"/>
        <v>28.360808333333335</v>
      </c>
      <c r="G1094" s="14">
        <f t="shared" si="26"/>
        <v>26.264816666666661</v>
      </c>
      <c r="H1094" s="14">
        <f t="shared" si="26"/>
        <v>26.264816666666661</v>
      </c>
      <c r="I1094" s="14">
        <f t="shared" si="26"/>
        <v>26.266399999999994</v>
      </c>
      <c r="J1094" s="14">
        <f t="shared" si="26"/>
        <v>186.99100833333338</v>
      </c>
    </row>
    <row r="1095" spans="1:11" ht="15" x14ac:dyDescent="0.2">
      <c r="A1095" s="10">
        <f t="shared" si="25"/>
        <v>2039</v>
      </c>
      <c r="B1095" s="14">
        <f t="shared" ref="B1095:J1095" si="27">AVERAGE(B324:B335)</f>
        <v>28.974041666666665</v>
      </c>
      <c r="C1095" s="14">
        <f t="shared" si="27"/>
        <v>26.688908333333334</v>
      </c>
      <c r="D1095" s="14">
        <f t="shared" si="27"/>
        <v>26.681091666666671</v>
      </c>
      <c r="E1095" s="14">
        <f t="shared" si="27"/>
        <v>28.826908333333336</v>
      </c>
      <c r="F1095" s="14">
        <f t="shared" si="27"/>
        <v>28.817808333333332</v>
      </c>
      <c r="G1095" s="14">
        <f t="shared" si="27"/>
        <v>26.687325000000001</v>
      </c>
      <c r="H1095" s="14">
        <f t="shared" si="27"/>
        <v>26.687325000000001</v>
      </c>
      <c r="I1095" s="14">
        <f t="shared" si="27"/>
        <v>26.688908333333334</v>
      </c>
      <c r="J1095" s="14">
        <f t="shared" si="27"/>
        <v>191.2216</v>
      </c>
    </row>
    <row r="1096" spans="1:11" ht="15" x14ac:dyDescent="0.2">
      <c r="A1096" s="10">
        <f t="shared" si="25"/>
        <v>2040</v>
      </c>
      <c r="B1096" s="14">
        <f t="shared" ref="B1096:J1096" si="28">AVERAGE(B336:B347)</f>
        <v>29.438516666666661</v>
      </c>
      <c r="C1096" s="14">
        <f t="shared" si="28"/>
        <v>27.118316666666662</v>
      </c>
      <c r="D1096" s="14">
        <f t="shared" si="28"/>
        <v>27.110516666666665</v>
      </c>
      <c r="E1096" s="14">
        <f t="shared" si="28"/>
        <v>29.291383333333329</v>
      </c>
      <c r="F1096" s="14">
        <f t="shared" si="28"/>
        <v>29.282283333333339</v>
      </c>
      <c r="G1096" s="14">
        <f t="shared" si="28"/>
        <v>27.116758333333333</v>
      </c>
      <c r="H1096" s="14">
        <f t="shared" si="28"/>
        <v>27.116758333333333</v>
      </c>
      <c r="I1096" s="14">
        <f t="shared" si="28"/>
        <v>27.118316666666662</v>
      </c>
      <c r="J1096" s="14">
        <f t="shared" si="28"/>
        <v>195.54789166666669</v>
      </c>
    </row>
    <row r="1097" spans="1:11" ht="15" x14ac:dyDescent="0.2">
      <c r="A1097" s="10">
        <f t="shared" si="25"/>
        <v>2041</v>
      </c>
      <c r="B1097" s="14">
        <f t="shared" ref="B1097:J1097" si="29">AVERAGE(B348:B359)</f>
        <v>29.91061666666667</v>
      </c>
      <c r="C1097" s="14">
        <f t="shared" si="29"/>
        <v>27.554808333333327</v>
      </c>
      <c r="D1097" s="14">
        <f t="shared" si="29"/>
        <v>27.546991666666667</v>
      </c>
      <c r="E1097" s="14">
        <f t="shared" si="29"/>
        <v>29.76348333333333</v>
      </c>
      <c r="F1097" s="14">
        <f t="shared" si="29"/>
        <v>29.754383333333326</v>
      </c>
      <c r="G1097" s="14">
        <f t="shared" si="29"/>
        <v>27.553225000000001</v>
      </c>
      <c r="H1097" s="14">
        <f t="shared" si="29"/>
        <v>27.553225000000001</v>
      </c>
      <c r="I1097" s="14">
        <f t="shared" si="29"/>
        <v>27.554808333333327</v>
      </c>
      <c r="J1097" s="14">
        <f t="shared" si="29"/>
        <v>199.97207499999999</v>
      </c>
    </row>
    <row r="1098" spans="1:11" ht="15" x14ac:dyDescent="0.2">
      <c r="A1098" s="10">
        <f t="shared" si="25"/>
        <v>2042</v>
      </c>
      <c r="B1098" s="14">
        <f t="shared" ref="B1098:J1098" si="30">AVERAGE(B360:B371)</f>
        <v>30.390458333333331</v>
      </c>
      <c r="C1098" s="14">
        <f t="shared" si="30"/>
        <v>27.998416666666667</v>
      </c>
      <c r="D1098" s="14">
        <f t="shared" si="30"/>
        <v>27.990608333333327</v>
      </c>
      <c r="E1098" s="14">
        <f t="shared" si="30"/>
        <v>30.243316666666662</v>
      </c>
      <c r="F1098" s="14">
        <f t="shared" si="30"/>
        <v>30.234216666666669</v>
      </c>
      <c r="G1098" s="14">
        <f t="shared" si="30"/>
        <v>27.996858333333332</v>
      </c>
      <c r="H1098" s="14">
        <f t="shared" si="30"/>
        <v>27.996858333333332</v>
      </c>
      <c r="I1098" s="14">
        <f t="shared" si="30"/>
        <v>27.998416666666667</v>
      </c>
      <c r="J1098" s="14">
        <f t="shared" si="30"/>
        <v>204.49634166666669</v>
      </c>
    </row>
    <row r="1099" spans="1:11" ht="15" x14ac:dyDescent="0.2">
      <c r="A1099" s="10">
        <f t="shared" si="25"/>
        <v>2043</v>
      </c>
      <c r="B1099" s="14">
        <f t="shared" ref="B1099:J1099" si="31">AVERAGE(B372:B383)</f>
        <v>30.878166666666669</v>
      </c>
      <c r="C1099" s="14">
        <f t="shared" si="31"/>
        <v>28.449316666666665</v>
      </c>
      <c r="D1099" s="14">
        <f t="shared" si="31"/>
        <v>28.441508333333335</v>
      </c>
      <c r="E1099" s="14">
        <f t="shared" si="31"/>
        <v>30.731016666666672</v>
      </c>
      <c r="F1099" s="14">
        <f t="shared" si="31"/>
        <v>30.721916666666662</v>
      </c>
      <c r="G1099" s="14">
        <f t="shared" si="31"/>
        <v>28.447749999999996</v>
      </c>
      <c r="H1099" s="14">
        <f t="shared" si="31"/>
        <v>28.447749999999996</v>
      </c>
      <c r="I1099" s="14">
        <f t="shared" si="31"/>
        <v>28.449316666666665</v>
      </c>
      <c r="J1099" s="14">
        <f t="shared" si="31"/>
        <v>209.12295000000003</v>
      </c>
    </row>
    <row r="1100" spans="1:11" ht="15" x14ac:dyDescent="0.2">
      <c r="A1100" s="10">
        <f t="shared" si="25"/>
        <v>2044</v>
      </c>
      <c r="B1100" s="14">
        <f t="shared" ref="B1100:J1100" si="32">AVERAGE(B384:B395)</f>
        <v>31.373866666666672</v>
      </c>
      <c r="C1100" s="14">
        <f t="shared" si="32"/>
        <v>28.907616666666666</v>
      </c>
      <c r="D1100" s="14">
        <f t="shared" si="32"/>
        <v>28.899808333333329</v>
      </c>
      <c r="E1100" s="14">
        <f t="shared" si="32"/>
        <v>31.226716666666672</v>
      </c>
      <c r="F1100" s="14">
        <f t="shared" si="32"/>
        <v>31.217616666666661</v>
      </c>
      <c r="G1100" s="14">
        <f t="shared" si="32"/>
        <v>28.906041666666663</v>
      </c>
      <c r="H1100" s="14">
        <f t="shared" si="32"/>
        <v>28.906041666666663</v>
      </c>
      <c r="I1100" s="14">
        <f t="shared" si="32"/>
        <v>28.907616666666666</v>
      </c>
      <c r="J1100" s="14">
        <f t="shared" si="32"/>
        <v>213.85425000000006</v>
      </c>
    </row>
    <row r="1101" spans="1:11" ht="15" x14ac:dyDescent="0.2">
      <c r="A1101" s="10">
        <f t="shared" si="25"/>
        <v>2045</v>
      </c>
      <c r="B1101" s="14">
        <f t="shared" ref="B1101:J1101" si="33">AVERAGE(B396:B407)</f>
        <v>31.877708333333327</v>
      </c>
      <c r="C1101" s="14">
        <f t="shared" si="33"/>
        <v>29.37341666666666</v>
      </c>
      <c r="D1101" s="14">
        <f t="shared" si="33"/>
        <v>29.365608333333327</v>
      </c>
      <c r="E1101" s="14">
        <f t="shared" si="33"/>
        <v>31.730541666666664</v>
      </c>
      <c r="F1101" s="14">
        <f t="shared" si="33"/>
        <v>31.721441666666667</v>
      </c>
      <c r="G1101" s="14">
        <f t="shared" si="33"/>
        <v>29.371849999999998</v>
      </c>
      <c r="H1101" s="14">
        <f t="shared" si="33"/>
        <v>29.371849999999998</v>
      </c>
      <c r="I1101" s="14">
        <f t="shared" si="33"/>
        <v>29.37341666666666</v>
      </c>
      <c r="J1101" s="14">
        <f t="shared" si="33"/>
        <v>218.6926</v>
      </c>
    </row>
    <row r="1102" spans="1:11" ht="15" x14ac:dyDescent="0.2">
      <c r="A1102" s="10">
        <f t="shared" si="25"/>
        <v>2046</v>
      </c>
      <c r="B1102" s="14">
        <f t="shared" ref="B1102:J1102" si="34">AVERAGE(B408:B419)</f>
        <v>32.389791666666667</v>
      </c>
      <c r="C1102" s="14">
        <f t="shared" si="34"/>
        <v>29.846858333333326</v>
      </c>
      <c r="D1102" s="14">
        <f t="shared" si="34"/>
        <v>29.839041666666663</v>
      </c>
      <c r="E1102" s="14">
        <f t="shared" si="34"/>
        <v>32.242624999999997</v>
      </c>
      <c r="F1102" s="14">
        <f t="shared" si="34"/>
        <v>32.233525</v>
      </c>
      <c r="G1102" s="14">
        <f t="shared" si="34"/>
        <v>29.845308333333332</v>
      </c>
      <c r="H1102" s="14">
        <f t="shared" si="34"/>
        <v>29.845308333333332</v>
      </c>
      <c r="I1102" s="14">
        <f t="shared" si="34"/>
        <v>29.846858333333326</v>
      </c>
      <c r="J1102" s="14">
        <f t="shared" si="34"/>
        <v>223.64039166666669</v>
      </c>
    </row>
    <row r="1103" spans="1:11" ht="15" x14ac:dyDescent="0.2">
      <c r="A1103" s="10">
        <f t="shared" si="25"/>
        <v>2047</v>
      </c>
      <c r="B1103" s="14">
        <f t="shared" ref="B1103:J1103" si="35">AVERAGE(B420:B431)</f>
        <v>32.910266666666665</v>
      </c>
      <c r="C1103" s="14">
        <f t="shared" si="35"/>
        <v>30.328058333333331</v>
      </c>
      <c r="D1103" s="14">
        <f t="shared" si="35"/>
        <v>30.320241666666664</v>
      </c>
      <c r="E1103" s="14">
        <f t="shared" si="35"/>
        <v>32.763116666666669</v>
      </c>
      <c r="F1103" s="14">
        <f t="shared" si="35"/>
        <v>32.754016666666665</v>
      </c>
      <c r="G1103" s="14">
        <f t="shared" si="35"/>
        <v>30.326508333333333</v>
      </c>
      <c r="H1103" s="14">
        <f t="shared" si="35"/>
        <v>30.326508333333333</v>
      </c>
      <c r="I1103" s="14">
        <f t="shared" si="35"/>
        <v>30.328058333333331</v>
      </c>
      <c r="J1103" s="14">
        <f t="shared" si="35"/>
        <v>228.70017500000003</v>
      </c>
    </row>
    <row r="1104" spans="1:11" ht="15" x14ac:dyDescent="0.2">
      <c r="A1104" s="10">
        <f t="shared" si="25"/>
        <v>2048</v>
      </c>
      <c r="B1104" s="14">
        <f t="shared" ref="B1104:J1104" si="36">AVERAGE(B432:B443)</f>
        <v>33.439291666666669</v>
      </c>
      <c r="C1104" s="14">
        <f t="shared" si="36"/>
        <v>30.817158333333335</v>
      </c>
      <c r="D1104" s="14">
        <f t="shared" si="36"/>
        <v>30.809341666666665</v>
      </c>
      <c r="E1104" s="14">
        <f t="shared" si="36"/>
        <v>33.292124999999999</v>
      </c>
      <c r="F1104" s="14">
        <f t="shared" si="36"/>
        <v>33.283025000000002</v>
      </c>
      <c r="G1104" s="14">
        <f t="shared" si="36"/>
        <v>30.815608333333333</v>
      </c>
      <c r="H1104" s="14">
        <f t="shared" si="36"/>
        <v>30.815608333333333</v>
      </c>
      <c r="I1104" s="14">
        <f t="shared" si="36"/>
        <v>30.817158333333335</v>
      </c>
      <c r="J1104" s="14">
        <f t="shared" si="36"/>
        <v>233.87439166666664</v>
      </c>
    </row>
    <row r="1105" spans="1:10" ht="15" x14ac:dyDescent="0.2">
      <c r="A1105" s="10">
        <f t="shared" si="25"/>
        <v>2049</v>
      </c>
      <c r="B1105" s="14">
        <f t="shared" ref="B1105:J1105" si="37">AVERAGE(B444:B455)</f>
        <v>33.97698333333333</v>
      </c>
      <c r="C1105" s="14">
        <f t="shared" si="37"/>
        <v>31.314266666666665</v>
      </c>
      <c r="D1105" s="14">
        <f t="shared" si="37"/>
        <v>31.306458333333328</v>
      </c>
      <c r="E1105" s="14">
        <f t="shared" si="37"/>
        <v>33.829816666666666</v>
      </c>
      <c r="F1105" s="14">
        <f t="shared" si="37"/>
        <v>33.820716666666669</v>
      </c>
      <c r="G1105" s="14">
        <f t="shared" si="37"/>
        <v>31.31270833333333</v>
      </c>
      <c r="H1105" s="14">
        <f t="shared" si="37"/>
        <v>31.31270833333333</v>
      </c>
      <c r="I1105" s="14">
        <f t="shared" si="37"/>
        <v>31.314266666666665</v>
      </c>
      <c r="J1105" s="14">
        <f t="shared" si="37"/>
        <v>239.16568333333336</v>
      </c>
    </row>
    <row r="1106" spans="1:10" ht="15" x14ac:dyDescent="0.2">
      <c r="A1106" s="10">
        <f t="shared" si="25"/>
        <v>2050</v>
      </c>
      <c r="B1106" s="14">
        <f t="shared" ref="B1106:J1106" si="38">AVERAGE(B456:B467)</f>
        <v>34.523491666666665</v>
      </c>
      <c r="C1106" s="14">
        <f t="shared" si="38"/>
        <v>31.819524999999999</v>
      </c>
      <c r="D1106" s="14">
        <f t="shared" si="38"/>
        <v>31.811716666666658</v>
      </c>
      <c r="E1106" s="14">
        <f t="shared" si="38"/>
        <v>34.376325000000001</v>
      </c>
      <c r="F1106" s="14">
        <f t="shared" si="38"/>
        <v>34.367224999999998</v>
      </c>
      <c r="G1106" s="14">
        <f t="shared" si="38"/>
        <v>31.817966666666667</v>
      </c>
      <c r="H1106" s="14">
        <f t="shared" si="38"/>
        <v>31.817966666666667</v>
      </c>
      <c r="I1106" s="14">
        <f t="shared" si="38"/>
        <v>31.819524999999999</v>
      </c>
      <c r="J1106" s="14">
        <f t="shared" si="38"/>
        <v>244.57669999999999</v>
      </c>
    </row>
    <row r="1107" spans="1:10" ht="15" x14ac:dyDescent="0.2">
      <c r="A1107" s="10">
        <f t="shared" si="25"/>
        <v>2051</v>
      </c>
      <c r="B1107" s="14">
        <f t="shared" ref="B1107:J1107" si="39">AVERAGE(B468:B479)</f>
        <v>35.078941666666665</v>
      </c>
      <c r="C1107" s="14">
        <f t="shared" si="39"/>
        <v>32.333091666666668</v>
      </c>
      <c r="D1107" s="14">
        <f t="shared" si="39"/>
        <v>32.325266666666664</v>
      </c>
      <c r="E1107" s="14">
        <f t="shared" si="39"/>
        <v>34.931808333333329</v>
      </c>
      <c r="F1107" s="14">
        <f t="shared" si="39"/>
        <v>34.922708333333333</v>
      </c>
      <c r="G1107" s="14">
        <f t="shared" si="39"/>
        <v>32.331516666666666</v>
      </c>
      <c r="H1107" s="14">
        <f t="shared" si="39"/>
        <v>32.331516666666666</v>
      </c>
      <c r="I1107" s="14">
        <f t="shared" si="39"/>
        <v>32.333091666666668</v>
      </c>
      <c r="J1107" s="14">
        <f t="shared" si="39"/>
        <v>250.11010833333333</v>
      </c>
    </row>
    <row r="1108" spans="1:10" ht="15" x14ac:dyDescent="0.2">
      <c r="A1108" s="10">
        <f t="shared" si="25"/>
        <v>2052</v>
      </c>
      <c r="B1108" s="14">
        <f t="shared" ref="B1108:J1108" si="40">AVERAGE(B480:B491)</f>
        <v>35.64351666666667</v>
      </c>
      <c r="C1108" s="14">
        <f t="shared" si="40"/>
        <v>32.855041666666672</v>
      </c>
      <c r="D1108" s="14">
        <f t="shared" si="40"/>
        <v>32.847225000000002</v>
      </c>
      <c r="E1108" s="14">
        <f t="shared" si="40"/>
        <v>35.496375000000008</v>
      </c>
      <c r="F1108" s="14">
        <f t="shared" si="40"/>
        <v>35.487274999999997</v>
      </c>
      <c r="G1108" s="14">
        <f t="shared" si="40"/>
        <v>32.853491666666677</v>
      </c>
      <c r="H1108" s="14">
        <f t="shared" si="40"/>
        <v>32.853491666666677</v>
      </c>
      <c r="I1108" s="14">
        <f t="shared" si="40"/>
        <v>32.855041666666672</v>
      </c>
      <c r="J1108" s="14">
        <f t="shared" si="40"/>
        <v>255.76873333333333</v>
      </c>
    </row>
    <row r="1109" spans="1:10" ht="15" x14ac:dyDescent="0.2">
      <c r="A1109" s="10">
        <f t="shared" si="25"/>
        <v>2053</v>
      </c>
      <c r="B1109" s="14">
        <f t="shared" ref="B1109:J1109" si="41">AVERAGE(B492:B503)</f>
        <v>36.217341666666663</v>
      </c>
      <c r="C1109" s="14">
        <f t="shared" si="41"/>
        <v>33.385574999999996</v>
      </c>
      <c r="D1109" s="14">
        <f t="shared" si="41"/>
        <v>33.37775833333334</v>
      </c>
      <c r="E1109" s="14">
        <f t="shared" si="41"/>
        <v>36.070208333333333</v>
      </c>
      <c r="F1109" s="14">
        <f t="shared" si="41"/>
        <v>36.06110833333333</v>
      </c>
      <c r="G1109" s="14">
        <f t="shared" si="41"/>
        <v>33.384008333333334</v>
      </c>
      <c r="H1109" s="14">
        <f t="shared" si="41"/>
        <v>33.384008333333334</v>
      </c>
      <c r="I1109" s="14">
        <f t="shared" si="41"/>
        <v>33.385574999999996</v>
      </c>
      <c r="J1109" s="14">
        <f t="shared" si="41"/>
        <v>261.55537500000003</v>
      </c>
    </row>
    <row r="1110" spans="1:10" ht="15" x14ac:dyDescent="0.2">
      <c r="A1110" s="10">
        <f t="shared" si="25"/>
        <v>2054</v>
      </c>
      <c r="B1110" s="14">
        <f t="shared" ref="B1110:J1110" si="42">AVERAGE(B504:B515)</f>
        <v>36.800591666666669</v>
      </c>
      <c r="C1110" s="14">
        <f t="shared" si="42"/>
        <v>33.924808333333331</v>
      </c>
      <c r="D1110" s="14">
        <f t="shared" si="42"/>
        <v>33.916991666666668</v>
      </c>
      <c r="E1110" s="14">
        <f t="shared" si="42"/>
        <v>36.653424999999999</v>
      </c>
      <c r="F1110" s="14">
        <f t="shared" si="42"/>
        <v>36.644325000000002</v>
      </c>
      <c r="G1110" s="14">
        <f t="shared" si="42"/>
        <v>33.923224999999995</v>
      </c>
      <c r="H1110" s="14">
        <f t="shared" si="42"/>
        <v>33.923224999999995</v>
      </c>
      <c r="I1110" s="14">
        <f t="shared" si="42"/>
        <v>33.924808333333331</v>
      </c>
      <c r="J1110" s="14">
        <f t="shared" si="42"/>
        <v>267.47294166666671</v>
      </c>
    </row>
    <row r="1111" spans="1:10" ht="15" x14ac:dyDescent="0.2">
      <c r="A1111" s="10">
        <f t="shared" si="25"/>
        <v>2055</v>
      </c>
      <c r="B1111" s="14">
        <f t="shared" ref="B1111:J1111" si="43">AVERAGE(B516:B527)</f>
        <v>37.393391666666666</v>
      </c>
      <c r="C1111" s="14">
        <f t="shared" si="43"/>
        <v>34.472858333333328</v>
      </c>
      <c r="D1111" s="14">
        <f t="shared" si="43"/>
        <v>34.465041666666671</v>
      </c>
      <c r="E1111" s="14">
        <f t="shared" si="43"/>
        <v>37.246225000000003</v>
      </c>
      <c r="F1111" s="14">
        <f t="shared" si="43"/>
        <v>37.237124999999999</v>
      </c>
      <c r="G1111" s="14">
        <f t="shared" si="43"/>
        <v>34.471308333333333</v>
      </c>
      <c r="H1111" s="14">
        <f t="shared" si="43"/>
        <v>34.471308333333333</v>
      </c>
      <c r="I1111" s="14">
        <f t="shared" si="43"/>
        <v>34.472858333333328</v>
      </c>
      <c r="J1111" s="14">
        <f t="shared" si="43"/>
        <v>273.52437499999996</v>
      </c>
    </row>
    <row r="1112" spans="1:10" ht="15" x14ac:dyDescent="0.2">
      <c r="A1112" s="10">
        <f t="shared" si="25"/>
        <v>2056</v>
      </c>
      <c r="B1112" s="14">
        <f t="shared" ref="B1112:J1112" si="44">AVERAGE(B528:B539)</f>
        <v>37.995908333333325</v>
      </c>
      <c r="C1112" s="14">
        <f t="shared" si="44"/>
        <v>35.029908333333331</v>
      </c>
      <c r="D1112" s="14">
        <f t="shared" si="44"/>
        <v>35.022108333333335</v>
      </c>
      <c r="E1112" s="14">
        <f t="shared" si="44"/>
        <v>37.848758333333329</v>
      </c>
      <c r="F1112" s="14">
        <f t="shared" si="44"/>
        <v>37.83965833333334</v>
      </c>
      <c r="G1112" s="14">
        <f t="shared" si="44"/>
        <v>35.02834166666667</v>
      </c>
      <c r="H1112" s="14">
        <f t="shared" si="44"/>
        <v>35.02834166666667</v>
      </c>
      <c r="I1112" s="14">
        <f t="shared" si="44"/>
        <v>35.029908333333331</v>
      </c>
      <c r="J1112" s="14">
        <f t="shared" si="44"/>
        <v>279.71270833333335</v>
      </c>
    </row>
    <row r="1113" spans="1:10" ht="15" x14ac:dyDescent="0.2">
      <c r="A1113" s="10">
        <f t="shared" si="25"/>
        <v>2057</v>
      </c>
      <c r="B1113" s="14">
        <f t="shared" ref="B1113:J1113" si="45">AVERAGE(B540:B551)</f>
        <v>38.608308333333333</v>
      </c>
      <c r="C1113" s="14">
        <f t="shared" si="45"/>
        <v>35.596091666666666</v>
      </c>
      <c r="D1113" s="14">
        <f t="shared" si="45"/>
        <v>35.588283333333329</v>
      </c>
      <c r="E1113" s="14">
        <f t="shared" si="45"/>
        <v>38.461149999999996</v>
      </c>
      <c r="F1113" s="14">
        <f t="shared" si="45"/>
        <v>38.45205</v>
      </c>
      <c r="G1113" s="14">
        <f t="shared" si="45"/>
        <v>35.594516666666664</v>
      </c>
      <c r="H1113" s="14">
        <f t="shared" si="45"/>
        <v>35.594516666666664</v>
      </c>
      <c r="I1113" s="14">
        <f t="shared" si="45"/>
        <v>35.596091666666666</v>
      </c>
      <c r="J1113" s="14">
        <f t="shared" si="45"/>
        <v>286.04107500000003</v>
      </c>
    </row>
    <row r="1114" spans="1:10" ht="15" x14ac:dyDescent="0.2">
      <c r="A1114" s="10">
        <f t="shared" si="25"/>
        <v>2058</v>
      </c>
      <c r="B1114" s="14">
        <f t="shared" ref="B1114:J1114" si="46">AVERAGE(B552:B563)</f>
        <v>39.230741666666667</v>
      </c>
      <c r="C1114" s="14">
        <f t="shared" si="46"/>
        <v>36.171550000000003</v>
      </c>
      <c r="D1114" s="14">
        <f t="shared" si="46"/>
        <v>36.163724999999992</v>
      </c>
      <c r="E1114" s="14">
        <f t="shared" si="46"/>
        <v>39.083600000000004</v>
      </c>
      <c r="F1114" s="14">
        <f t="shared" si="46"/>
        <v>39.074499999999993</v>
      </c>
      <c r="G1114" s="14">
        <f t="shared" si="46"/>
        <v>36.169991666666668</v>
      </c>
      <c r="H1114" s="14">
        <f t="shared" si="46"/>
        <v>36.169991666666668</v>
      </c>
      <c r="I1114" s="14">
        <f t="shared" si="46"/>
        <v>36.171550000000003</v>
      </c>
      <c r="J1114" s="14">
        <f t="shared" si="46"/>
        <v>292.51261666666664</v>
      </c>
    </row>
    <row r="1115" spans="1:10" ht="15" x14ac:dyDescent="0.2">
      <c r="A1115" s="10">
        <f t="shared" si="25"/>
        <v>2059</v>
      </c>
      <c r="B1115" s="14">
        <f t="shared" ref="B1115:J1115" si="47">AVERAGE(B564:B575)</f>
        <v>39.863391666666665</v>
      </c>
      <c r="C1115" s="14">
        <f t="shared" si="47"/>
        <v>36.756449999999994</v>
      </c>
      <c r="D1115" s="14">
        <f t="shared" si="47"/>
        <v>36.748624999999997</v>
      </c>
      <c r="E1115" s="14">
        <f t="shared" si="47"/>
        <v>39.716225000000001</v>
      </c>
      <c r="F1115" s="14">
        <f t="shared" si="47"/>
        <v>39.707124999999998</v>
      </c>
      <c r="G1115" s="14">
        <f t="shared" si="47"/>
        <v>36.754891666666673</v>
      </c>
      <c r="H1115" s="14">
        <f t="shared" si="47"/>
        <v>36.754891666666673</v>
      </c>
      <c r="I1115" s="14">
        <f t="shared" si="47"/>
        <v>36.756449999999994</v>
      </c>
      <c r="J1115" s="14">
        <f t="shared" si="47"/>
        <v>299.13057499999996</v>
      </c>
    </row>
    <row r="1116" spans="1:10" ht="15" x14ac:dyDescent="0.2">
      <c r="A1116" s="10">
        <f t="shared" si="25"/>
        <v>2060</v>
      </c>
      <c r="B1116" s="14">
        <f t="shared" ref="B1116:J1116" si="48">AVERAGE(B576:B587)</f>
        <v>40.506408333333333</v>
      </c>
      <c r="C1116" s="14">
        <f t="shared" si="48"/>
        <v>37.350933333333337</v>
      </c>
      <c r="D1116" s="14">
        <f t="shared" si="48"/>
        <v>37.343116666666667</v>
      </c>
      <c r="E1116" s="14">
        <f t="shared" si="48"/>
        <v>40.359249999999996</v>
      </c>
      <c r="F1116" s="14">
        <f t="shared" si="48"/>
        <v>40.350149999999999</v>
      </c>
      <c r="G1116" s="14">
        <f t="shared" si="48"/>
        <v>37.349383333333328</v>
      </c>
      <c r="H1116" s="14">
        <f t="shared" si="48"/>
        <v>37.349383333333328</v>
      </c>
      <c r="I1116" s="14">
        <f t="shared" si="48"/>
        <v>37.350933333333337</v>
      </c>
      <c r="J1116" s="14">
        <f t="shared" si="48"/>
        <v>305.89822500000002</v>
      </c>
    </row>
    <row r="1117" spans="1:10" ht="15" x14ac:dyDescent="0.2">
      <c r="A1117" s="10">
        <f t="shared" si="25"/>
        <v>2061</v>
      </c>
      <c r="B1117" s="14">
        <f t="shared" ref="B1117:J1117" si="49">AVERAGE(B588:B599)</f>
        <v>41.159958333333329</v>
      </c>
      <c r="C1117" s="14">
        <f t="shared" si="49"/>
        <v>37.955183333333338</v>
      </c>
      <c r="D1117" s="14">
        <f t="shared" si="49"/>
        <v>37.947366666666667</v>
      </c>
      <c r="E1117" s="14">
        <f t="shared" si="49"/>
        <v>41.012808333333332</v>
      </c>
      <c r="F1117" s="14">
        <f t="shared" si="49"/>
        <v>41.003708333333329</v>
      </c>
      <c r="G1117" s="14">
        <f t="shared" si="49"/>
        <v>37.953616666666669</v>
      </c>
      <c r="H1117" s="14">
        <f t="shared" si="49"/>
        <v>37.953616666666669</v>
      </c>
      <c r="I1117" s="14">
        <f t="shared" si="49"/>
        <v>37.955183333333338</v>
      </c>
      <c r="J1117" s="14">
        <f t="shared" si="49"/>
        <v>312.81905833333332</v>
      </c>
    </row>
    <row r="1118" spans="1:10" ht="15" x14ac:dyDescent="0.2">
      <c r="A1118" s="10">
        <f t="shared" si="25"/>
        <v>2062</v>
      </c>
      <c r="B1118" s="14">
        <f t="shared" ref="B1118:J1127" ca="1" si="50">AVERAGE(OFFSET(B$600,($A1118-$A$1118)*12,0,12,1))</f>
        <v>41.824225000000006</v>
      </c>
      <c r="C1118" s="14">
        <f t="shared" ca="1" si="50"/>
        <v>38.569316666666673</v>
      </c>
      <c r="D1118" s="14">
        <f t="shared" ca="1" si="50"/>
        <v>38.561508333333336</v>
      </c>
      <c r="E1118" s="14">
        <f t="shared" ca="1" si="50"/>
        <v>41.677091666666676</v>
      </c>
      <c r="F1118" s="14">
        <f t="shared" ca="1" si="50"/>
        <v>41.667991666666659</v>
      </c>
      <c r="G1118" s="14">
        <f t="shared" ca="1" si="50"/>
        <v>38.567749999999997</v>
      </c>
      <c r="H1118" s="14">
        <f t="shared" ca="1" si="50"/>
        <v>38.567749999999997</v>
      </c>
      <c r="I1118" s="14">
        <f t="shared" ca="1" si="50"/>
        <v>38.569316666666673</v>
      </c>
      <c r="J1118" s="14">
        <f t="shared" ca="1" si="50"/>
        <v>319.89641666666665</v>
      </c>
    </row>
    <row r="1119" spans="1:10" ht="15" x14ac:dyDescent="0.2">
      <c r="A1119" s="10">
        <f t="shared" si="25"/>
        <v>2063</v>
      </c>
      <c r="B1119" s="14">
        <f t="shared" ca="1" si="50"/>
        <v>42.499408333333328</v>
      </c>
      <c r="C1119" s="14">
        <f t="shared" ca="1" si="50"/>
        <v>39.193516666666667</v>
      </c>
      <c r="D1119" s="14">
        <f t="shared" ca="1" si="50"/>
        <v>39.185716666666671</v>
      </c>
      <c r="E1119" s="14">
        <f t="shared" ca="1" si="50"/>
        <v>42.352241666666671</v>
      </c>
      <c r="F1119" s="14">
        <f t="shared" ca="1" si="50"/>
        <v>42.343141666666661</v>
      </c>
      <c r="G1119" s="14">
        <f t="shared" ca="1" si="50"/>
        <v>39.191966666666666</v>
      </c>
      <c r="H1119" s="14">
        <f t="shared" ca="1" si="50"/>
        <v>39.191966666666666</v>
      </c>
      <c r="I1119" s="14">
        <f t="shared" ca="1" si="50"/>
        <v>39.193516666666667</v>
      </c>
      <c r="J1119" s="14">
        <f t="shared" ca="1" si="50"/>
        <v>327.13389999999998</v>
      </c>
    </row>
    <row r="1120" spans="1:10" ht="15" x14ac:dyDescent="0.2">
      <c r="A1120" s="10">
        <f t="shared" si="25"/>
        <v>2064</v>
      </c>
      <c r="B1120" s="14">
        <f t="shared" ca="1" si="50"/>
        <v>43.185616666666668</v>
      </c>
      <c r="C1120" s="14">
        <f t="shared" ca="1" si="50"/>
        <v>39.827983333333329</v>
      </c>
      <c r="D1120" s="14">
        <f t="shared" ca="1" si="50"/>
        <v>39.820158333333339</v>
      </c>
      <c r="E1120" s="14">
        <f t="shared" ca="1" si="50"/>
        <v>43.038483333333325</v>
      </c>
      <c r="F1120" s="14">
        <f t="shared" ca="1" si="50"/>
        <v>43.029383333333328</v>
      </c>
      <c r="G1120" s="14">
        <f t="shared" ca="1" si="50"/>
        <v>39.826416666666667</v>
      </c>
      <c r="H1120" s="14">
        <f t="shared" ca="1" si="50"/>
        <v>39.826416666666667</v>
      </c>
      <c r="I1120" s="14">
        <f t="shared" ca="1" si="50"/>
        <v>39.827983333333329</v>
      </c>
      <c r="J1120" s="14">
        <f t="shared" ca="1" si="50"/>
        <v>334.53516666666661</v>
      </c>
    </row>
    <row r="1121" spans="1:10" ht="15" x14ac:dyDescent="0.2">
      <c r="A1121" s="10">
        <f t="shared" si="25"/>
        <v>2065</v>
      </c>
      <c r="B1121" s="14">
        <f t="shared" ca="1" si="50"/>
        <v>43.883116666666666</v>
      </c>
      <c r="C1121" s="14">
        <f t="shared" ca="1" si="50"/>
        <v>40.472816666666667</v>
      </c>
      <c r="D1121" s="14">
        <f t="shared" ca="1" si="50"/>
        <v>40.465016666666664</v>
      </c>
      <c r="E1121" s="14">
        <f t="shared" ca="1" si="50"/>
        <v>43.735958333333336</v>
      </c>
      <c r="F1121" s="14">
        <f t="shared" ca="1" si="50"/>
        <v>43.726858333333325</v>
      </c>
      <c r="G1121" s="14">
        <f t="shared" ca="1" si="50"/>
        <v>40.471258333333331</v>
      </c>
      <c r="H1121" s="14">
        <f t="shared" ca="1" si="50"/>
        <v>40.471258333333331</v>
      </c>
      <c r="I1121" s="14">
        <f t="shared" ca="1" si="50"/>
        <v>40.472816666666667</v>
      </c>
      <c r="J1121" s="14">
        <f t="shared" ca="1" si="50"/>
        <v>342.10385833333339</v>
      </c>
    </row>
    <row r="1122" spans="1:10" ht="15" x14ac:dyDescent="0.2">
      <c r="A1122" s="10">
        <f t="shared" si="25"/>
        <v>2066</v>
      </c>
      <c r="B1122" s="14">
        <f t="shared" ca="1" si="50"/>
        <v>44.592025</v>
      </c>
      <c r="C1122" s="14">
        <f t="shared" ca="1" si="50"/>
        <v>41.128233333333334</v>
      </c>
      <c r="D1122" s="14">
        <f t="shared" ca="1" si="50"/>
        <v>41.120416666666671</v>
      </c>
      <c r="E1122" s="14">
        <f t="shared" ca="1" si="50"/>
        <v>44.44489166666667</v>
      </c>
      <c r="F1122" s="14">
        <f t="shared" ca="1" si="50"/>
        <v>44.435791666666667</v>
      </c>
      <c r="G1122" s="14">
        <f t="shared" ca="1" si="50"/>
        <v>41.126683333333332</v>
      </c>
      <c r="H1122" s="14">
        <f t="shared" ca="1" si="50"/>
        <v>41.126683333333332</v>
      </c>
      <c r="I1122" s="14">
        <f t="shared" ca="1" si="50"/>
        <v>41.128233333333334</v>
      </c>
      <c r="J1122" s="14">
        <f t="shared" ca="1" si="50"/>
        <v>349.84377499999999</v>
      </c>
    </row>
    <row r="1123" spans="1:10" ht="15" x14ac:dyDescent="0.2">
      <c r="A1123" s="10">
        <f t="shared" si="25"/>
        <v>2067</v>
      </c>
      <c r="B1123" s="14">
        <f t="shared" ca="1" si="50"/>
        <v>45.312583333333329</v>
      </c>
      <c r="C1123" s="14">
        <f t="shared" ca="1" si="50"/>
        <v>41.794408333333337</v>
      </c>
      <c r="D1123" s="14">
        <f t="shared" ca="1" si="50"/>
        <v>41.786608333333334</v>
      </c>
      <c r="E1123" s="14">
        <f t="shared" ca="1" si="50"/>
        <v>45.165416666666665</v>
      </c>
      <c r="F1123" s="14">
        <f t="shared" ca="1" si="50"/>
        <v>45.156316666666669</v>
      </c>
      <c r="G1123" s="14">
        <f t="shared" ca="1" si="50"/>
        <v>41.792841666666668</v>
      </c>
      <c r="H1123" s="14">
        <f t="shared" ca="1" si="50"/>
        <v>41.792841666666668</v>
      </c>
      <c r="I1123" s="14">
        <f t="shared" ca="1" si="50"/>
        <v>41.794408333333337</v>
      </c>
      <c r="J1123" s="14">
        <f t="shared" ca="1" si="50"/>
        <v>357.75880000000001</v>
      </c>
    </row>
    <row r="1124" spans="1:10" ht="15" x14ac:dyDescent="0.2">
      <c r="A1124" s="10">
        <f t="shared" si="25"/>
        <v>2068</v>
      </c>
      <c r="B1124" s="14">
        <f t="shared" ca="1" si="50"/>
        <v>46.044916666666666</v>
      </c>
      <c r="C1124" s="14">
        <f t="shared" ca="1" si="50"/>
        <v>42.47150833333334</v>
      </c>
      <c r="D1124" s="14">
        <f t="shared" ca="1" si="50"/>
        <v>42.463691666666669</v>
      </c>
      <c r="E1124" s="14">
        <f t="shared" ca="1" si="50"/>
        <v>45.89779166666667</v>
      </c>
      <c r="F1124" s="14">
        <f t="shared" ca="1" si="50"/>
        <v>45.888691666666666</v>
      </c>
      <c r="G1124" s="14">
        <f t="shared" ca="1" si="50"/>
        <v>42.469924999999996</v>
      </c>
      <c r="H1124" s="14">
        <f t="shared" ca="1" si="50"/>
        <v>42.469924999999996</v>
      </c>
      <c r="I1124" s="14">
        <f t="shared" ca="1" si="50"/>
        <v>42.47150833333334</v>
      </c>
      <c r="J1124" s="14">
        <f t="shared" ca="1" si="50"/>
        <v>365.85293333333334</v>
      </c>
    </row>
    <row r="1125" spans="1:10" ht="15" x14ac:dyDescent="0.2">
      <c r="A1125" s="10">
        <f t="shared" si="25"/>
        <v>2069</v>
      </c>
      <c r="B1125" s="14">
        <f t="shared" ca="1" si="50"/>
        <v>46.789308333333338</v>
      </c>
      <c r="C1125" s="14">
        <f t="shared" ca="1" si="50"/>
        <v>43.159691666666674</v>
      </c>
      <c r="D1125" s="14">
        <f t="shared" ca="1" si="50"/>
        <v>43.15186666666667</v>
      </c>
      <c r="E1125" s="14">
        <f t="shared" ca="1" si="50"/>
        <v>46.642141666666667</v>
      </c>
      <c r="F1125" s="14">
        <f t="shared" ca="1" si="50"/>
        <v>46.633041666666664</v>
      </c>
      <c r="G1125" s="14">
        <f t="shared" ca="1" si="50"/>
        <v>43.158116666666672</v>
      </c>
      <c r="H1125" s="14">
        <f t="shared" ca="1" si="50"/>
        <v>43.158116666666672</v>
      </c>
      <c r="I1125" s="14">
        <f t="shared" ca="1" si="50"/>
        <v>43.159691666666674</v>
      </c>
      <c r="J1125" s="14">
        <f t="shared" ca="1" si="50"/>
        <v>374.13014999999996</v>
      </c>
    </row>
    <row r="1126" spans="1:10" ht="15" x14ac:dyDescent="0.2">
      <c r="A1126" s="10">
        <f t="shared" ref="A1126:A1156" si="51">A1125+1</f>
        <v>2070</v>
      </c>
      <c r="B1126" s="14">
        <f t="shared" ca="1" si="50"/>
        <v>47.545858333333342</v>
      </c>
      <c r="C1126" s="14">
        <f t="shared" ca="1" si="50"/>
        <v>43.85915</v>
      </c>
      <c r="D1126" s="14">
        <f t="shared" ca="1" si="50"/>
        <v>43.851333333333336</v>
      </c>
      <c r="E1126" s="14">
        <f t="shared" ca="1" si="50"/>
        <v>47.398716666666672</v>
      </c>
      <c r="F1126" s="14">
        <f t="shared" ca="1" si="50"/>
        <v>47.389616666666676</v>
      </c>
      <c r="G1126" s="14">
        <f t="shared" ca="1" si="50"/>
        <v>43.857599999999998</v>
      </c>
      <c r="H1126" s="14">
        <f t="shared" ca="1" si="50"/>
        <v>43.857599999999998</v>
      </c>
      <c r="I1126" s="14">
        <f t="shared" ca="1" si="50"/>
        <v>43.85915</v>
      </c>
      <c r="J1126" s="14">
        <f t="shared" ca="1" si="50"/>
        <v>382.59466666666663</v>
      </c>
    </row>
    <row r="1127" spans="1:10" ht="15" x14ac:dyDescent="0.2">
      <c r="A1127" s="10">
        <f t="shared" si="51"/>
        <v>2071</v>
      </c>
      <c r="B1127" s="14">
        <f t="shared" ca="1" si="50"/>
        <v>48.314824999999985</v>
      </c>
      <c r="C1127" s="14">
        <f t="shared" ca="1" si="50"/>
        <v>44.570100000000004</v>
      </c>
      <c r="D1127" s="14">
        <f t="shared" ca="1" si="50"/>
        <v>44.562291666666674</v>
      </c>
      <c r="E1127" s="14">
        <f t="shared" ca="1" si="50"/>
        <v>48.167691666666677</v>
      </c>
      <c r="F1127" s="14">
        <f t="shared" ca="1" si="50"/>
        <v>48.158591666666666</v>
      </c>
      <c r="G1127" s="14">
        <f t="shared" ca="1" si="50"/>
        <v>44.568525000000001</v>
      </c>
      <c r="H1127" s="14">
        <f t="shared" ca="1" si="50"/>
        <v>44.568525000000001</v>
      </c>
      <c r="I1127" s="14">
        <f t="shared" ca="1" si="50"/>
        <v>44.570100000000004</v>
      </c>
      <c r="J1127" s="14">
        <f t="shared" ca="1" si="50"/>
        <v>391.25068333333343</v>
      </c>
    </row>
    <row r="1128" spans="1:10" ht="15" x14ac:dyDescent="0.2">
      <c r="A1128" s="10">
        <f t="shared" si="51"/>
        <v>2072</v>
      </c>
      <c r="B1128" s="14">
        <f t="shared" ref="B1128:J1137" ca="1" si="52">AVERAGE(OFFSET(B$600,($A1128-$A$1118)*12,0,12,1))</f>
        <v>49.096416666666663</v>
      </c>
      <c r="C1128" s="14">
        <f t="shared" ca="1" si="52"/>
        <v>45.292691666666677</v>
      </c>
      <c r="D1128" s="14">
        <f t="shared" ca="1" si="52"/>
        <v>45.28488333333334</v>
      </c>
      <c r="E1128" s="14">
        <f t="shared" ca="1" si="52"/>
        <v>48.94925833333334</v>
      </c>
      <c r="F1128" s="14">
        <f t="shared" ca="1" si="52"/>
        <v>48.940158333333329</v>
      </c>
      <c r="G1128" s="14">
        <f t="shared" ca="1" si="52"/>
        <v>45.291116666666674</v>
      </c>
      <c r="H1128" s="14">
        <f t="shared" ca="1" si="52"/>
        <v>45.291116666666674</v>
      </c>
      <c r="I1128" s="14">
        <f t="shared" ca="1" si="52"/>
        <v>45.292691666666677</v>
      </c>
      <c r="J1128" s="14">
        <f t="shared" ca="1" si="52"/>
        <v>400.10253333333338</v>
      </c>
    </row>
    <row r="1129" spans="1:10" ht="15" x14ac:dyDescent="0.2">
      <c r="A1129" s="10">
        <f t="shared" si="51"/>
        <v>2073</v>
      </c>
      <c r="B1129" s="14">
        <f t="shared" ca="1" si="52"/>
        <v>49.890808333333325</v>
      </c>
      <c r="C1129" s="14">
        <f t="shared" ca="1" si="52"/>
        <v>46.027125000000005</v>
      </c>
      <c r="D1129" s="14">
        <f t="shared" ca="1" si="52"/>
        <v>46.019316666666668</v>
      </c>
      <c r="E1129" s="14">
        <f t="shared" ca="1" si="52"/>
        <v>49.743650000000002</v>
      </c>
      <c r="F1129" s="14">
        <f t="shared" ca="1" si="52"/>
        <v>49.734549999999992</v>
      </c>
      <c r="G1129" s="14">
        <f t="shared" ca="1" si="52"/>
        <v>46.02556666666667</v>
      </c>
      <c r="H1129" s="14">
        <f t="shared" ca="1" si="52"/>
        <v>46.02556666666667</v>
      </c>
      <c r="I1129" s="14">
        <f t="shared" ca="1" si="52"/>
        <v>46.027125000000005</v>
      </c>
      <c r="J1129" s="14">
        <f t="shared" ca="1" si="52"/>
        <v>409.15465</v>
      </c>
    </row>
    <row r="1130" spans="1:10" ht="15" x14ac:dyDescent="0.2">
      <c r="A1130" s="10">
        <f t="shared" si="51"/>
        <v>2074</v>
      </c>
      <c r="B1130" s="14">
        <f t="shared" ca="1" si="52"/>
        <v>50.698216666666667</v>
      </c>
      <c r="C1130" s="14">
        <f t="shared" ca="1" si="52"/>
        <v>46.773616666666676</v>
      </c>
      <c r="D1130" s="14">
        <f t="shared" ca="1" si="52"/>
        <v>46.765808333333325</v>
      </c>
      <c r="E1130" s="14">
        <f t="shared" ca="1" si="52"/>
        <v>50.551066666666664</v>
      </c>
      <c r="F1130" s="14">
        <f t="shared" ca="1" si="52"/>
        <v>50.54196666666666</v>
      </c>
      <c r="G1130" s="14">
        <f t="shared" ca="1" si="52"/>
        <v>46.77205</v>
      </c>
      <c r="H1130" s="14">
        <f t="shared" ca="1" si="52"/>
        <v>46.77205</v>
      </c>
      <c r="I1130" s="14">
        <f t="shared" ca="1" si="52"/>
        <v>46.773616666666676</v>
      </c>
      <c r="J1130" s="14">
        <f t="shared" ca="1" si="52"/>
        <v>418.41159166666665</v>
      </c>
    </row>
    <row r="1131" spans="1:10" ht="15" x14ac:dyDescent="0.2">
      <c r="A1131" s="10">
        <f t="shared" si="51"/>
        <v>2075</v>
      </c>
      <c r="B1131" s="14">
        <f t="shared" ca="1" si="52"/>
        <v>51.518883333333328</v>
      </c>
      <c r="C1131" s="14">
        <f t="shared" ca="1" si="52"/>
        <v>47.532325000000007</v>
      </c>
      <c r="D1131" s="14">
        <f t="shared" ca="1" si="52"/>
        <v>47.524516666666678</v>
      </c>
      <c r="E1131" s="14">
        <f t="shared" ca="1" si="52"/>
        <v>51.371716666666664</v>
      </c>
      <c r="F1131" s="14">
        <f t="shared" ca="1" si="52"/>
        <v>51.362616666666661</v>
      </c>
      <c r="G1131" s="14">
        <f t="shared" ca="1" si="52"/>
        <v>47.530783333333325</v>
      </c>
      <c r="H1131" s="14">
        <f t="shared" ca="1" si="52"/>
        <v>47.530783333333325</v>
      </c>
      <c r="I1131" s="14">
        <f t="shared" ca="1" si="52"/>
        <v>47.532325000000007</v>
      </c>
      <c r="J1131" s="14">
        <f t="shared" ca="1" si="52"/>
        <v>427.87790833333332</v>
      </c>
    </row>
    <row r="1132" spans="1:10" ht="15" x14ac:dyDescent="0.2">
      <c r="A1132" s="10">
        <f t="shared" si="51"/>
        <v>2076</v>
      </c>
      <c r="B1132" s="14">
        <f t="shared" ca="1" si="52"/>
        <v>52.352991666666668</v>
      </c>
      <c r="C1132" s="14">
        <f t="shared" ca="1" si="52"/>
        <v>48.303508333333333</v>
      </c>
      <c r="D1132" s="14">
        <f t="shared" ca="1" si="52"/>
        <v>48.295691666666663</v>
      </c>
      <c r="E1132" s="14">
        <f t="shared" ca="1" si="52"/>
        <v>52.205825000000004</v>
      </c>
      <c r="F1132" s="14">
        <f t="shared" ca="1" si="52"/>
        <v>52.196724999999994</v>
      </c>
      <c r="G1132" s="14">
        <f t="shared" ca="1" si="52"/>
        <v>48.301925000000011</v>
      </c>
      <c r="H1132" s="14">
        <f t="shared" ca="1" si="52"/>
        <v>48.301925000000011</v>
      </c>
      <c r="I1132" s="14">
        <f t="shared" ca="1" si="52"/>
        <v>48.303508333333333</v>
      </c>
      <c r="J1132" s="14">
        <f t="shared" ca="1" si="52"/>
        <v>437.55845833333325</v>
      </c>
    </row>
    <row r="1133" spans="1:10" ht="15" x14ac:dyDescent="0.2">
      <c r="A1133" s="10">
        <f t="shared" si="51"/>
        <v>2077</v>
      </c>
      <c r="B1133" s="14">
        <f t="shared" ca="1" si="52"/>
        <v>53.200766666666659</v>
      </c>
      <c r="C1133" s="14">
        <f t="shared" ca="1" si="52"/>
        <v>49.08730833333334</v>
      </c>
      <c r="D1133" s="14">
        <f t="shared" ca="1" si="52"/>
        <v>49.079500000000003</v>
      </c>
      <c r="E1133" s="14">
        <f t="shared" ca="1" si="52"/>
        <v>53.053616666666677</v>
      </c>
      <c r="F1133" s="14">
        <f t="shared" ca="1" si="52"/>
        <v>53.044516666666674</v>
      </c>
      <c r="G1133" s="14">
        <f t="shared" ca="1" si="52"/>
        <v>49.085733333333337</v>
      </c>
      <c r="H1133" s="14">
        <f t="shared" ca="1" si="52"/>
        <v>49.085733333333337</v>
      </c>
      <c r="I1133" s="14">
        <f t="shared" ca="1" si="52"/>
        <v>49.08730833333334</v>
      </c>
      <c r="J1133" s="14">
        <f t="shared" ca="1" si="52"/>
        <v>447.45797499999998</v>
      </c>
    </row>
    <row r="1134" spans="1:10" ht="15" x14ac:dyDescent="0.2">
      <c r="A1134" s="10">
        <f t="shared" si="51"/>
        <v>2078</v>
      </c>
      <c r="B1134" s="14">
        <f t="shared" ca="1" si="52"/>
        <v>54.062449999999991</v>
      </c>
      <c r="C1134" s="14">
        <f t="shared" ca="1" si="52"/>
        <v>49.883958333333332</v>
      </c>
      <c r="D1134" s="14">
        <f t="shared" ca="1" si="52"/>
        <v>49.876141666666662</v>
      </c>
      <c r="E1134" s="14">
        <f t="shared" ca="1" si="52"/>
        <v>53.915308333333321</v>
      </c>
      <c r="F1134" s="14">
        <f t="shared" ca="1" si="52"/>
        <v>53.906208333333332</v>
      </c>
      <c r="G1134" s="14">
        <f t="shared" ca="1" si="52"/>
        <v>49.882408333333338</v>
      </c>
      <c r="H1134" s="14">
        <f t="shared" ca="1" si="52"/>
        <v>49.882408333333338</v>
      </c>
      <c r="I1134" s="14">
        <f t="shared" ca="1" si="52"/>
        <v>49.883958333333332</v>
      </c>
      <c r="J1134" s="14">
        <f t="shared" ca="1" si="52"/>
        <v>457.58150000000001</v>
      </c>
    </row>
    <row r="1135" spans="1:10" ht="15" x14ac:dyDescent="0.2">
      <c r="A1135" s="10">
        <f t="shared" si="51"/>
        <v>2079</v>
      </c>
      <c r="B1135" s="14">
        <f t="shared" ca="1" si="52"/>
        <v>54.938266666666664</v>
      </c>
      <c r="C1135" s="14">
        <f t="shared" ca="1" si="52"/>
        <v>50.693683333333333</v>
      </c>
      <c r="D1135" s="14">
        <f t="shared" ca="1" si="52"/>
        <v>50.685866666666669</v>
      </c>
      <c r="E1135" s="14">
        <f t="shared" ca="1" si="52"/>
        <v>54.791116666666674</v>
      </c>
      <c r="F1135" s="14">
        <f t="shared" ca="1" si="52"/>
        <v>54.782016666666664</v>
      </c>
      <c r="G1135" s="14">
        <f t="shared" ca="1" si="52"/>
        <v>50.692116666666685</v>
      </c>
      <c r="H1135" s="14">
        <f t="shared" ca="1" si="52"/>
        <v>50.692116666666685</v>
      </c>
      <c r="I1135" s="14">
        <f t="shared" ca="1" si="52"/>
        <v>50.693683333333333</v>
      </c>
      <c r="J1135" s="14">
        <f t="shared" ca="1" si="52"/>
        <v>467.93405000000001</v>
      </c>
    </row>
    <row r="1136" spans="1:10" ht="15" x14ac:dyDescent="0.2">
      <c r="A1136" s="10">
        <f t="shared" si="51"/>
        <v>2080</v>
      </c>
      <c r="B1136" s="14">
        <f t="shared" ca="1" si="52"/>
        <v>55.828425000000003</v>
      </c>
      <c r="C1136" s="14">
        <f t="shared" ca="1" si="52"/>
        <v>51.516666666666673</v>
      </c>
      <c r="D1136" s="14">
        <f t="shared" ca="1" si="52"/>
        <v>51.508858333333336</v>
      </c>
      <c r="E1136" s="14">
        <f t="shared" ca="1" si="52"/>
        <v>55.681291666666674</v>
      </c>
      <c r="F1136" s="14">
        <f t="shared" ca="1" si="52"/>
        <v>55.672191666666663</v>
      </c>
      <c r="G1136" s="14">
        <f t="shared" ca="1" si="52"/>
        <v>51.515108333333352</v>
      </c>
      <c r="H1136" s="14">
        <f t="shared" ca="1" si="52"/>
        <v>51.515108333333352</v>
      </c>
      <c r="I1136" s="14">
        <f t="shared" ca="1" si="52"/>
        <v>51.516666666666673</v>
      </c>
      <c r="J1136" s="14">
        <f t="shared" ca="1" si="52"/>
        <v>478.52082499999989</v>
      </c>
    </row>
    <row r="1137" spans="1:10" ht="15" x14ac:dyDescent="0.2">
      <c r="A1137" s="10">
        <f t="shared" si="51"/>
        <v>2081</v>
      </c>
      <c r="B1137" s="14">
        <f t="shared" ca="1" si="52"/>
        <v>56.73320833333333</v>
      </c>
      <c r="C1137" s="14">
        <f t="shared" ca="1" si="52"/>
        <v>52.35315833333334</v>
      </c>
      <c r="D1137" s="14">
        <f t="shared" ca="1" si="52"/>
        <v>52.345341666666663</v>
      </c>
      <c r="E1137" s="14">
        <f t="shared" ca="1" si="52"/>
        <v>56.58605</v>
      </c>
      <c r="F1137" s="14">
        <f t="shared" ca="1" si="52"/>
        <v>56.576949999999989</v>
      </c>
      <c r="G1137" s="14">
        <f t="shared" ca="1" si="52"/>
        <v>52.351608333333338</v>
      </c>
      <c r="H1137" s="14">
        <f t="shared" ca="1" si="52"/>
        <v>52.351608333333338</v>
      </c>
      <c r="I1137" s="14">
        <f t="shared" ca="1" si="52"/>
        <v>52.35315833333334</v>
      </c>
      <c r="J1137" s="14">
        <f t="shared" ca="1" si="52"/>
        <v>489.34710833333338</v>
      </c>
    </row>
    <row r="1138" spans="1:10" ht="15" x14ac:dyDescent="0.2">
      <c r="A1138" s="10">
        <f t="shared" si="51"/>
        <v>2082</v>
      </c>
      <c r="B1138" s="14">
        <f t="shared" ref="B1138:J1147" ca="1" si="53">AVERAGE(OFFSET(B$600,($A1138-$A$1118)*12,0,12,1))</f>
        <v>57.652808333333347</v>
      </c>
      <c r="C1138" s="14">
        <f t="shared" ca="1" si="53"/>
        <v>53.203358333333334</v>
      </c>
      <c r="D1138" s="14">
        <f t="shared" ca="1" si="53"/>
        <v>53.195541666666664</v>
      </c>
      <c r="E1138" s="14">
        <f t="shared" ca="1" si="53"/>
        <v>57.505650000000003</v>
      </c>
      <c r="F1138" s="14">
        <f t="shared" ca="1" si="53"/>
        <v>57.496550000000013</v>
      </c>
      <c r="G1138" s="14">
        <f t="shared" ca="1" si="53"/>
        <v>53.201808333333332</v>
      </c>
      <c r="H1138" s="14">
        <f t="shared" ca="1" si="53"/>
        <v>53.201808333333332</v>
      </c>
      <c r="I1138" s="14">
        <f t="shared" ca="1" si="53"/>
        <v>53.203358333333334</v>
      </c>
      <c r="J1138" s="14">
        <f t="shared" ca="1" si="53"/>
        <v>500.41834166666666</v>
      </c>
    </row>
    <row r="1139" spans="1:10" ht="15" x14ac:dyDescent="0.2">
      <c r="A1139" s="10">
        <f t="shared" si="51"/>
        <v>2083</v>
      </c>
      <c r="B1139" s="14">
        <f t="shared" ca="1" si="53"/>
        <v>58.587483333333324</v>
      </c>
      <c r="C1139" s="14">
        <f t="shared" ca="1" si="53"/>
        <v>54.067508333333329</v>
      </c>
      <c r="D1139" s="14">
        <f t="shared" ca="1" si="53"/>
        <v>54.059691666666673</v>
      </c>
      <c r="E1139" s="14">
        <f t="shared" ca="1" si="53"/>
        <v>58.440316666666682</v>
      </c>
      <c r="F1139" s="14">
        <f t="shared" ca="1" si="53"/>
        <v>58.43121666666665</v>
      </c>
      <c r="G1139" s="14">
        <f t="shared" ca="1" si="53"/>
        <v>54.065925</v>
      </c>
      <c r="H1139" s="14">
        <f t="shared" ca="1" si="53"/>
        <v>54.065925</v>
      </c>
      <c r="I1139" s="14">
        <f t="shared" ca="1" si="53"/>
        <v>54.067508333333329</v>
      </c>
      <c r="J1139" s="14">
        <f t="shared" ca="1" si="53"/>
        <v>511.74006666666673</v>
      </c>
    </row>
    <row r="1140" spans="1:10" ht="15" x14ac:dyDescent="0.2">
      <c r="A1140" s="10">
        <f t="shared" si="51"/>
        <v>2084</v>
      </c>
      <c r="B1140" s="14">
        <f t="shared" ca="1" si="53"/>
        <v>59.537483333333334</v>
      </c>
      <c r="C1140" s="14">
        <f t="shared" ca="1" si="53"/>
        <v>54.945808333333339</v>
      </c>
      <c r="D1140" s="14">
        <f t="shared" ca="1" si="53"/>
        <v>54.938000000000009</v>
      </c>
      <c r="E1140" s="14">
        <f t="shared" ca="1" si="53"/>
        <v>59.390316666666671</v>
      </c>
      <c r="F1140" s="14">
        <f t="shared" ca="1" si="53"/>
        <v>59.381216666666667</v>
      </c>
      <c r="G1140" s="14">
        <f t="shared" ca="1" si="53"/>
        <v>54.944233333333329</v>
      </c>
      <c r="H1140" s="14">
        <f t="shared" ca="1" si="53"/>
        <v>54.944233333333329</v>
      </c>
      <c r="I1140" s="14">
        <f t="shared" ca="1" si="53"/>
        <v>54.945808333333339</v>
      </c>
      <c r="J1140" s="14">
        <f t="shared" ca="1" si="53"/>
        <v>523.31792500000006</v>
      </c>
    </row>
    <row r="1141" spans="1:10" ht="15" x14ac:dyDescent="0.2">
      <c r="A1141" s="10">
        <f t="shared" si="51"/>
        <v>2085</v>
      </c>
      <c r="B1141" s="14">
        <f t="shared" ca="1" si="53"/>
        <v>60.503049999999995</v>
      </c>
      <c r="C1141" s="14">
        <f t="shared" ca="1" si="53"/>
        <v>55.838516666666671</v>
      </c>
      <c r="D1141" s="14">
        <f t="shared" ca="1" si="53"/>
        <v>55.830708333333341</v>
      </c>
      <c r="E1141" s="14">
        <f t="shared" ca="1" si="53"/>
        <v>60.355908333333332</v>
      </c>
      <c r="F1141" s="14">
        <f t="shared" ca="1" si="53"/>
        <v>60.346808333333335</v>
      </c>
      <c r="G1141" s="14">
        <f t="shared" ca="1" si="53"/>
        <v>55.836941666666668</v>
      </c>
      <c r="H1141" s="14">
        <f t="shared" ca="1" si="53"/>
        <v>55.836941666666668</v>
      </c>
      <c r="I1141" s="14">
        <f t="shared" ca="1" si="53"/>
        <v>55.838516666666671</v>
      </c>
      <c r="J1141" s="14">
        <f t="shared" ca="1" si="53"/>
        <v>535.15774166666665</v>
      </c>
    </row>
    <row r="1142" spans="1:10" ht="15" x14ac:dyDescent="0.2">
      <c r="A1142" s="10">
        <f t="shared" si="51"/>
        <v>2086</v>
      </c>
      <c r="B1142" s="14">
        <f t="shared" ca="1" si="53"/>
        <v>61.484458333333322</v>
      </c>
      <c r="C1142" s="14">
        <f t="shared" ca="1" si="53"/>
        <v>56.745849999999997</v>
      </c>
      <c r="D1142" s="14">
        <f t="shared" ca="1" si="53"/>
        <v>56.738033333333334</v>
      </c>
      <c r="E1142" s="14">
        <f t="shared" ca="1" si="53"/>
        <v>61.337316666666673</v>
      </c>
      <c r="F1142" s="14">
        <f t="shared" ca="1" si="53"/>
        <v>61.328216666666663</v>
      </c>
      <c r="G1142" s="14">
        <f t="shared" ca="1" si="53"/>
        <v>56.744300000000003</v>
      </c>
      <c r="H1142" s="14">
        <f t="shared" ca="1" si="53"/>
        <v>56.744300000000003</v>
      </c>
      <c r="I1142" s="14">
        <f t="shared" ca="1" si="53"/>
        <v>56.745849999999997</v>
      </c>
      <c r="J1142" s="14">
        <f t="shared" ca="1" si="53"/>
        <v>547.2654</v>
      </c>
    </row>
    <row r="1143" spans="1:10" ht="15" x14ac:dyDescent="0.2">
      <c r="A1143" s="10">
        <f t="shared" si="51"/>
        <v>2087</v>
      </c>
      <c r="B1143" s="14">
        <f t="shared" ca="1" si="53"/>
        <v>62.481958333333331</v>
      </c>
      <c r="C1143" s="14">
        <f t="shared" ca="1" si="53"/>
        <v>57.668074999999995</v>
      </c>
      <c r="D1143" s="14">
        <f t="shared" ca="1" si="53"/>
        <v>57.660258333333331</v>
      </c>
      <c r="E1143" s="14">
        <f t="shared" ca="1" si="53"/>
        <v>62.334816666666676</v>
      </c>
      <c r="F1143" s="14">
        <f t="shared" ca="1" si="53"/>
        <v>62.325716666666665</v>
      </c>
      <c r="G1143" s="14">
        <f t="shared" ca="1" si="53"/>
        <v>57.666516666666666</v>
      </c>
      <c r="H1143" s="14">
        <f t="shared" ca="1" si="53"/>
        <v>57.666516666666666</v>
      </c>
      <c r="I1143" s="14">
        <f t="shared" ca="1" si="53"/>
        <v>57.668074999999995</v>
      </c>
      <c r="J1143" s="14">
        <f t="shared" ca="1" si="53"/>
        <v>559.64700833333325</v>
      </c>
    </row>
    <row r="1144" spans="1:10" ht="15" x14ac:dyDescent="0.2">
      <c r="A1144" s="10">
        <f t="shared" si="51"/>
        <v>2088</v>
      </c>
      <c r="B1144" s="14">
        <f t="shared" ca="1" si="53"/>
        <v>63.495816666666663</v>
      </c>
      <c r="C1144" s="14">
        <f t="shared" ca="1" si="53"/>
        <v>58.605416666666663</v>
      </c>
      <c r="D1144" s="14">
        <f t="shared" ca="1" si="53"/>
        <v>58.597608333333341</v>
      </c>
      <c r="E1144" s="14">
        <f t="shared" ca="1" si="53"/>
        <v>63.348658333333333</v>
      </c>
      <c r="F1144" s="14">
        <f t="shared" ca="1" si="53"/>
        <v>63.339558333333322</v>
      </c>
      <c r="G1144" s="14">
        <f t="shared" ca="1" si="53"/>
        <v>58.603841666666661</v>
      </c>
      <c r="H1144" s="14">
        <f t="shared" ca="1" si="53"/>
        <v>58.603841666666661</v>
      </c>
      <c r="I1144" s="14">
        <f t="shared" ca="1" si="53"/>
        <v>58.605416666666663</v>
      </c>
      <c r="J1144" s="14">
        <f t="shared" ca="1" si="53"/>
        <v>572.30874166666672</v>
      </c>
    </row>
    <row r="1145" spans="1:10" ht="15" x14ac:dyDescent="0.2">
      <c r="A1145" s="10">
        <f t="shared" si="51"/>
        <v>2089</v>
      </c>
      <c r="B1145" s="14">
        <f t="shared" ca="1" si="53"/>
        <v>64.526291666666665</v>
      </c>
      <c r="C1145" s="14">
        <f t="shared" ca="1" si="53"/>
        <v>59.55811666666667</v>
      </c>
      <c r="D1145" s="14">
        <f t="shared" ca="1" si="53"/>
        <v>59.550308333333327</v>
      </c>
      <c r="E1145" s="14">
        <f t="shared" ca="1" si="53"/>
        <v>64.379124999999988</v>
      </c>
      <c r="F1145" s="14">
        <f t="shared" ca="1" si="53"/>
        <v>64.370024999999984</v>
      </c>
      <c r="G1145" s="14">
        <f t="shared" ca="1" si="53"/>
        <v>59.556558333333328</v>
      </c>
      <c r="H1145" s="14">
        <f t="shared" ca="1" si="53"/>
        <v>59.556558333333328</v>
      </c>
      <c r="I1145" s="14">
        <f t="shared" ca="1" si="53"/>
        <v>59.55811666666667</v>
      </c>
      <c r="J1145" s="14">
        <f t="shared" ca="1" si="53"/>
        <v>585.25695833333327</v>
      </c>
    </row>
    <row r="1146" spans="1:10" ht="15" x14ac:dyDescent="0.2">
      <c r="A1146" s="10">
        <f t="shared" si="51"/>
        <v>2090</v>
      </c>
      <c r="B1146" s="14">
        <f t="shared" ca="1" si="53"/>
        <v>65.573650000000001</v>
      </c>
      <c r="C1146" s="14">
        <f t="shared" ca="1" si="53"/>
        <v>60.526441666666678</v>
      </c>
      <c r="D1146" s="14">
        <f t="shared" ca="1" si="53"/>
        <v>60.518625000000007</v>
      </c>
      <c r="E1146" s="14">
        <f t="shared" ca="1" si="53"/>
        <v>65.426508333333331</v>
      </c>
      <c r="F1146" s="14">
        <f t="shared" ca="1" si="53"/>
        <v>65.417408333333341</v>
      </c>
      <c r="G1146" s="14">
        <f t="shared" ca="1" si="53"/>
        <v>60.524891666666662</v>
      </c>
      <c r="H1146" s="14">
        <f t="shared" ca="1" si="53"/>
        <v>60.524891666666662</v>
      </c>
      <c r="I1146" s="14">
        <f t="shared" ca="1" si="53"/>
        <v>60.526441666666678</v>
      </c>
      <c r="J1146" s="14">
        <f t="shared" ca="1" si="53"/>
        <v>598.49809166666671</v>
      </c>
    </row>
    <row r="1147" spans="1:10" ht="15" x14ac:dyDescent="0.2">
      <c r="A1147" s="10">
        <f t="shared" si="51"/>
        <v>2091</v>
      </c>
      <c r="B1147" s="14">
        <f t="shared" ca="1" si="53"/>
        <v>66.63820833333331</v>
      </c>
      <c r="C1147" s="14">
        <f t="shared" ca="1" si="53"/>
        <v>61.510641666666679</v>
      </c>
      <c r="D1147" s="14">
        <f t="shared" ca="1" si="53"/>
        <v>61.502825000000009</v>
      </c>
      <c r="E1147" s="14">
        <f t="shared" ca="1" si="53"/>
        <v>66.491041666666661</v>
      </c>
      <c r="F1147" s="14">
        <f t="shared" ca="1" si="53"/>
        <v>66.481941666666671</v>
      </c>
      <c r="G1147" s="14">
        <f t="shared" ca="1" si="53"/>
        <v>61.509091666666656</v>
      </c>
      <c r="H1147" s="14">
        <f t="shared" ca="1" si="53"/>
        <v>61.509091666666656</v>
      </c>
      <c r="I1147" s="14">
        <f t="shared" ca="1" si="53"/>
        <v>61.510641666666679</v>
      </c>
      <c r="J1147" s="14">
        <f t="shared" ca="1" si="53"/>
        <v>612.03880833333346</v>
      </c>
    </row>
    <row r="1148" spans="1:10" ht="15" x14ac:dyDescent="0.2">
      <c r="A1148" s="10">
        <f t="shared" si="51"/>
        <v>2092</v>
      </c>
      <c r="B1148" s="14">
        <f t="shared" ref="B1148:J1156" ca="1" si="54">AVERAGE(OFFSET(B$600,($A1148-$A$1118)*12,0,12,1))</f>
        <v>67.720191666666651</v>
      </c>
      <c r="C1148" s="14">
        <f t="shared" ca="1" si="54"/>
        <v>62.510991666666676</v>
      </c>
      <c r="D1148" s="14">
        <f t="shared" ca="1" si="54"/>
        <v>62.503183333333332</v>
      </c>
      <c r="E1148" s="14">
        <f t="shared" ca="1" si="54"/>
        <v>67.573025000000001</v>
      </c>
      <c r="F1148" s="14">
        <f t="shared" ca="1" si="54"/>
        <v>67.563924999999983</v>
      </c>
      <c r="G1148" s="14">
        <f t="shared" ca="1" si="54"/>
        <v>62.509416666666674</v>
      </c>
      <c r="H1148" s="14">
        <f t="shared" ca="1" si="54"/>
        <v>62.509416666666674</v>
      </c>
      <c r="I1148" s="14">
        <f t="shared" ca="1" si="54"/>
        <v>62.510991666666676</v>
      </c>
      <c r="J1148" s="14">
        <f t="shared" ca="1" si="54"/>
        <v>625.88590000000011</v>
      </c>
    </row>
    <row r="1149" spans="1:10" ht="15" x14ac:dyDescent="0.2">
      <c r="A1149" s="10">
        <f t="shared" si="51"/>
        <v>2093</v>
      </c>
      <c r="B1149" s="14">
        <f t="shared" ca="1" si="54"/>
        <v>68.819916666666686</v>
      </c>
      <c r="C1149" s="14">
        <f t="shared" ca="1" si="54"/>
        <v>63.527716666666663</v>
      </c>
      <c r="D1149" s="14">
        <f t="shared" ca="1" si="54"/>
        <v>63.51991666666666</v>
      </c>
      <c r="E1149" s="14">
        <f t="shared" ca="1" si="54"/>
        <v>68.672775000000016</v>
      </c>
      <c r="F1149" s="14">
        <f t="shared" ca="1" si="54"/>
        <v>68.663675000000012</v>
      </c>
      <c r="G1149" s="14">
        <f t="shared" ca="1" si="54"/>
        <v>63.526166666666661</v>
      </c>
      <c r="H1149" s="14">
        <f t="shared" ca="1" si="54"/>
        <v>63.526166666666661</v>
      </c>
      <c r="I1149" s="14">
        <f t="shared" ca="1" si="54"/>
        <v>63.527716666666663</v>
      </c>
      <c r="J1149" s="14">
        <f t="shared" ca="1" si="54"/>
        <v>640.04623333333348</v>
      </c>
    </row>
    <row r="1150" spans="1:10" ht="15" x14ac:dyDescent="0.2">
      <c r="A1150" s="10">
        <f t="shared" si="51"/>
        <v>2094</v>
      </c>
      <c r="B1150" s="14">
        <f t="shared" ca="1" si="54"/>
        <v>69.93769166666668</v>
      </c>
      <c r="C1150" s="14">
        <f t="shared" ca="1" si="54"/>
        <v>64.561133333333331</v>
      </c>
      <c r="D1150" s="14">
        <f t="shared" ca="1" si="54"/>
        <v>64.553316666666674</v>
      </c>
      <c r="E1150" s="14">
        <f t="shared" ca="1" si="54"/>
        <v>69.790525000000017</v>
      </c>
      <c r="F1150" s="14">
        <f t="shared" ca="1" si="54"/>
        <v>69.781424999999999</v>
      </c>
      <c r="G1150" s="14">
        <f t="shared" ca="1" si="54"/>
        <v>64.559583333333336</v>
      </c>
      <c r="H1150" s="14">
        <f t="shared" ca="1" si="54"/>
        <v>64.559583333333336</v>
      </c>
      <c r="I1150" s="14">
        <f t="shared" ca="1" si="54"/>
        <v>64.561133333333331</v>
      </c>
      <c r="J1150" s="14">
        <f t="shared" ca="1" si="54"/>
        <v>654.52695833333325</v>
      </c>
    </row>
    <row r="1151" spans="1:10" ht="15" x14ac:dyDescent="0.2">
      <c r="A1151" s="10">
        <f t="shared" si="51"/>
        <v>2095</v>
      </c>
      <c r="B1151" s="14">
        <f t="shared" ca="1" si="54"/>
        <v>71.073783333333324</v>
      </c>
      <c r="C1151" s="14">
        <f t="shared" ca="1" si="54"/>
        <v>65.611500000000021</v>
      </c>
      <c r="D1151" s="14">
        <f t="shared" ca="1" si="54"/>
        <v>65.603691666666663</v>
      </c>
      <c r="E1151" s="14">
        <f t="shared" ca="1" si="54"/>
        <v>70.926616666666661</v>
      </c>
      <c r="F1151" s="14">
        <f t="shared" ca="1" si="54"/>
        <v>70.917516666666657</v>
      </c>
      <c r="G1151" s="14">
        <f t="shared" ca="1" si="54"/>
        <v>65.609916666666663</v>
      </c>
      <c r="H1151" s="14">
        <f t="shared" ca="1" si="54"/>
        <v>65.609916666666663</v>
      </c>
      <c r="I1151" s="14">
        <f t="shared" ca="1" si="54"/>
        <v>65.611500000000021</v>
      </c>
      <c r="J1151" s="14">
        <f t="shared" ca="1" si="54"/>
        <v>669.3353083333335</v>
      </c>
    </row>
    <row r="1152" spans="1:10" ht="15" x14ac:dyDescent="0.2">
      <c r="A1152" s="10">
        <f t="shared" si="51"/>
        <v>2096</v>
      </c>
      <c r="B1152" s="14">
        <f t="shared" ca="1" si="54"/>
        <v>72.228500000000011</v>
      </c>
      <c r="C1152" s="14">
        <f t="shared" ca="1" si="54"/>
        <v>66.679066666666685</v>
      </c>
      <c r="D1152" s="14">
        <f t="shared" ca="1" si="54"/>
        <v>66.671250000000001</v>
      </c>
      <c r="E1152" s="14">
        <f t="shared" ca="1" si="54"/>
        <v>72.081333333333333</v>
      </c>
      <c r="F1152" s="14">
        <f t="shared" ca="1" si="54"/>
        <v>72.072233333333344</v>
      </c>
      <c r="G1152" s="14">
        <f t="shared" ca="1" si="54"/>
        <v>66.677508333333336</v>
      </c>
      <c r="H1152" s="14">
        <f t="shared" ca="1" si="54"/>
        <v>66.677508333333336</v>
      </c>
      <c r="I1152" s="14">
        <f t="shared" ca="1" si="54"/>
        <v>66.679066666666685</v>
      </c>
      <c r="J1152" s="14">
        <f t="shared" ca="1" si="54"/>
        <v>684.47868333333327</v>
      </c>
    </row>
    <row r="1153" spans="1:10" ht="15" x14ac:dyDescent="0.2">
      <c r="A1153" s="10">
        <f t="shared" si="51"/>
        <v>2097</v>
      </c>
      <c r="B1153" s="14">
        <f t="shared" ca="1" si="54"/>
        <v>73.402133333333325</v>
      </c>
      <c r="C1153" s="14">
        <f t="shared" ca="1" si="54"/>
        <v>67.76414166666666</v>
      </c>
      <c r="D1153" s="14">
        <f t="shared" ca="1" si="54"/>
        <v>67.75632499999999</v>
      </c>
      <c r="E1153" s="14">
        <f t="shared" ca="1" si="54"/>
        <v>73.254999999999995</v>
      </c>
      <c r="F1153" s="14">
        <f t="shared" ca="1" si="54"/>
        <v>73.245899999999992</v>
      </c>
      <c r="G1153" s="14">
        <f t="shared" ca="1" si="54"/>
        <v>67.762591666666665</v>
      </c>
      <c r="H1153" s="14">
        <f t="shared" ca="1" si="54"/>
        <v>67.762591666666665</v>
      </c>
      <c r="I1153" s="14">
        <f t="shared" ca="1" si="54"/>
        <v>67.76414166666666</v>
      </c>
      <c r="J1153" s="14">
        <f t="shared" ca="1" si="54"/>
        <v>699.96466666666663</v>
      </c>
    </row>
    <row r="1154" spans="1:10" ht="15" x14ac:dyDescent="0.2">
      <c r="A1154" s="10">
        <f t="shared" si="51"/>
        <v>2098</v>
      </c>
      <c r="B1154" s="14">
        <f t="shared" ca="1" si="54"/>
        <v>74.595024999999993</v>
      </c>
      <c r="C1154" s="14">
        <f t="shared" ca="1" si="54"/>
        <v>68.867016666666686</v>
      </c>
      <c r="D1154" s="14">
        <f t="shared" ca="1" si="54"/>
        <v>68.859208333333314</v>
      </c>
      <c r="E1154" s="14">
        <f t="shared" ca="1" si="54"/>
        <v>74.447891666666663</v>
      </c>
      <c r="F1154" s="14">
        <f t="shared" ca="1" si="54"/>
        <v>74.43879166666666</v>
      </c>
      <c r="G1154" s="14">
        <f t="shared" ca="1" si="54"/>
        <v>68.865441666666655</v>
      </c>
      <c r="H1154" s="14">
        <f t="shared" ca="1" si="54"/>
        <v>68.865441666666655</v>
      </c>
      <c r="I1154" s="14">
        <f t="shared" ca="1" si="54"/>
        <v>68.867016666666686</v>
      </c>
      <c r="J1154" s="14">
        <f t="shared" ca="1" si="54"/>
        <v>715.80103333333329</v>
      </c>
    </row>
    <row r="1155" spans="1:10" ht="15" x14ac:dyDescent="0.2">
      <c r="A1155" s="10">
        <f t="shared" si="51"/>
        <v>2099</v>
      </c>
      <c r="B1155" s="14">
        <f t="shared" ca="1" si="54"/>
        <v>75.807483333333323</v>
      </c>
      <c r="C1155" s="14">
        <f t="shared" ca="1" si="54"/>
        <v>69.987958333333339</v>
      </c>
      <c r="D1155" s="14">
        <f t="shared" ca="1" si="54"/>
        <v>69.980141666666668</v>
      </c>
      <c r="E1155" s="14">
        <f t="shared" ca="1" si="54"/>
        <v>75.66031666666666</v>
      </c>
      <c r="F1155" s="14">
        <f t="shared" ca="1" si="54"/>
        <v>75.651216666666656</v>
      </c>
      <c r="G1155" s="14">
        <f t="shared" ca="1" si="54"/>
        <v>69.98640833333333</v>
      </c>
      <c r="H1155" s="14">
        <f t="shared" ca="1" si="54"/>
        <v>69.98640833333333</v>
      </c>
      <c r="I1155" s="14">
        <f t="shared" ca="1" si="54"/>
        <v>69.987958333333339</v>
      </c>
      <c r="J1155" s="14">
        <f t="shared" ca="1" si="54"/>
        <v>731.99564999999996</v>
      </c>
    </row>
    <row r="1156" spans="1:10" ht="15" x14ac:dyDescent="0.2">
      <c r="A1156" s="10">
        <f t="shared" si="51"/>
        <v>2100</v>
      </c>
      <c r="B1156" s="14">
        <f t="shared" ca="1" si="54"/>
        <v>77.039808333333326</v>
      </c>
      <c r="C1156" s="14">
        <f t="shared" ca="1" si="54"/>
        <v>71.127291666666665</v>
      </c>
      <c r="D1156" s="14">
        <f t="shared" ca="1" si="54"/>
        <v>71.119475000000008</v>
      </c>
      <c r="E1156" s="14">
        <f t="shared" ca="1" si="54"/>
        <v>76.892649999999989</v>
      </c>
      <c r="F1156" s="14">
        <f t="shared" ca="1" si="54"/>
        <v>76.883549999999985</v>
      </c>
      <c r="G1156" s="14">
        <f t="shared" ca="1" si="54"/>
        <v>71.125716666666662</v>
      </c>
      <c r="H1156" s="14">
        <f t="shared" ca="1" si="54"/>
        <v>71.125716666666662</v>
      </c>
      <c r="I1156" s="14">
        <f t="shared" ca="1" si="54"/>
        <v>71.127291666666665</v>
      </c>
      <c r="J1156" s="14">
        <f t="shared" ca="1" si="54"/>
        <v>748.55668333333324</v>
      </c>
    </row>
    <row r="1157" spans="1:10" x14ac:dyDescent="0.2">
      <c r="A1157" s="8"/>
    </row>
    <row r="1158" spans="1:10" x14ac:dyDescent="0.2">
      <c r="A1158" s="8"/>
    </row>
    <row r="1159" spans="1:10" x14ac:dyDescent="0.2">
      <c r="A1159" s="8"/>
    </row>
    <row r="1160" spans="1:10" x14ac:dyDescent="0.2">
      <c r="A1160" s="8"/>
    </row>
    <row r="1161" spans="1:10" x14ac:dyDescent="0.2">
      <c r="A1161" s="8"/>
    </row>
    <row r="1162" spans="1:10" x14ac:dyDescent="0.2">
      <c r="A1162" s="8"/>
    </row>
    <row r="1163" spans="1:10" x14ac:dyDescent="0.2">
      <c r="A1163" s="8"/>
    </row>
    <row r="1164" spans="1:10" x14ac:dyDescent="0.2">
      <c r="A1164" s="8"/>
    </row>
    <row r="1165" spans="1:10" x14ac:dyDescent="0.2">
      <c r="A1165" s="8"/>
    </row>
    <row r="1166" spans="1:10" x14ac:dyDescent="0.2">
      <c r="A1166" s="8"/>
    </row>
    <row r="1167" spans="1:10" x14ac:dyDescent="0.2">
      <c r="A1167" s="8"/>
    </row>
    <row r="1168" spans="1:10" x14ac:dyDescent="0.2">
      <c r="A1168" s="8"/>
    </row>
    <row r="1169" spans="1:1" x14ac:dyDescent="0.2">
      <c r="A1169" s="8"/>
    </row>
    <row r="1170" spans="1:1" x14ac:dyDescent="0.2">
      <c r="A1170" s="8"/>
    </row>
    <row r="1171" spans="1:1" x14ac:dyDescent="0.2">
      <c r="A1171" s="8"/>
    </row>
    <row r="1172" spans="1:1" x14ac:dyDescent="0.2">
      <c r="A1172" s="8"/>
    </row>
    <row r="1173" spans="1:1" x14ac:dyDescent="0.2">
      <c r="A1173" s="8"/>
    </row>
    <row r="1174" spans="1:1" x14ac:dyDescent="0.2">
      <c r="A1174" s="8"/>
    </row>
    <row r="1175" spans="1:1" x14ac:dyDescent="0.2">
      <c r="A1175" s="8"/>
    </row>
    <row r="1176" spans="1:1" x14ac:dyDescent="0.2">
      <c r="A1176" s="8"/>
    </row>
  </sheetData>
  <pageMargins left="0.25" right="0.25" top="0.5" bottom="0.5" header="0.25" footer="0.25"/>
  <pageSetup paperSize="5" scale="95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locked="0" defaultSize="0" autoLine="0" autoPict="0">
                <anchor moveWithCells="1">
                  <from>
                    <xdr:col>7</xdr:col>
                    <xdr:colOff>171450</xdr:colOff>
                    <xdr:row>7</xdr:row>
                    <xdr:rowOff>133350</xdr:rowOff>
                  </from>
                  <to>
                    <xdr:col>8</xdr:col>
                    <xdr:colOff>304800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Drop Down 2">
              <controlPr locked="0" defaultSize="0" autoLine="0" autoPict="0">
                <anchor moveWithCells="1">
                  <from>
                    <xdr:col>8</xdr:col>
                    <xdr:colOff>438150</xdr:colOff>
                    <xdr:row>7</xdr:row>
                    <xdr:rowOff>133350</xdr:rowOff>
                  </from>
                  <to>
                    <xdr:col>9</xdr:col>
                    <xdr:colOff>571500</xdr:colOff>
                    <xdr:row>9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AC1172"/>
  <sheetViews>
    <sheetView zoomScale="70" zoomScaleNormal="70" workbookViewId="0">
      <pane xSplit="1" ySplit="12" topLeftCell="B13" activePane="bottomRight" state="frozen"/>
      <selection activeCell="A7" sqref="A7"/>
      <selection pane="topRight" activeCell="A7" sqref="A7"/>
      <selection pane="bottomLeft" activeCell="A7" sqref="A7"/>
      <selection pane="bottomRight" activeCell="B13" sqref="B13"/>
    </sheetView>
  </sheetViews>
  <sheetFormatPr defaultColWidth="7.109375" defaultRowHeight="12.75" x14ac:dyDescent="0.2"/>
  <cols>
    <col min="1" max="1" width="18.21875" style="31" customWidth="1"/>
    <col min="2" max="10" width="13" style="31" customWidth="1"/>
    <col min="11" max="11" width="18.6640625" style="31" customWidth="1"/>
    <col min="12" max="12" width="13" style="31" customWidth="1"/>
    <col min="13" max="16" width="20.6640625" style="31" customWidth="1"/>
    <col min="17" max="17" width="15.5546875" style="31" customWidth="1"/>
    <col min="18" max="18" width="16.21875" style="31" customWidth="1"/>
    <col min="19" max="19" width="13" style="8" customWidth="1"/>
    <col min="20" max="25" width="19.77734375" style="8" customWidth="1"/>
    <col min="26" max="26" width="15.5546875" style="8" customWidth="1"/>
    <col min="27" max="27" width="16.88671875" style="8" customWidth="1"/>
    <col min="28" max="29" width="14.77734375" style="8" customWidth="1"/>
    <col min="30" max="30" width="14" style="8" customWidth="1"/>
    <col min="31" max="31" width="10.21875" style="8" customWidth="1"/>
    <col min="32" max="32" width="11.77734375" style="8" customWidth="1"/>
    <col min="33" max="33" width="7.109375" style="8" customWidth="1"/>
    <col min="34" max="34" width="8.77734375" style="8" customWidth="1"/>
    <col min="35" max="35" width="9.21875" style="8" customWidth="1"/>
    <col min="36" max="36" width="11.77734375" style="8" customWidth="1"/>
    <col min="37" max="37" width="7.109375" style="8" customWidth="1"/>
    <col min="38" max="38" width="9.21875" style="8" customWidth="1"/>
    <col min="39" max="39" width="9.33203125" style="8" customWidth="1"/>
    <col min="40" max="40" width="8.21875" style="8" customWidth="1"/>
    <col min="41" max="41" width="9" style="8" customWidth="1"/>
    <col min="42" max="16384" width="7.109375" style="8"/>
  </cols>
  <sheetData>
    <row r="1" spans="1:29" ht="15.75" x14ac:dyDescent="0.25">
      <c r="A1" s="107" t="s">
        <v>91</v>
      </c>
    </row>
    <row r="2" spans="1:29" ht="15.75" x14ac:dyDescent="0.25">
      <c r="A2" s="107" t="s">
        <v>92</v>
      </c>
    </row>
    <row r="3" spans="1:29" ht="15.75" x14ac:dyDescent="0.25">
      <c r="A3" s="107" t="s">
        <v>93</v>
      </c>
    </row>
    <row r="4" spans="1:29" ht="15.75" x14ac:dyDescent="0.25">
      <c r="A4" s="107" t="s">
        <v>94</v>
      </c>
    </row>
    <row r="5" spans="1:29" ht="15.75" x14ac:dyDescent="0.25">
      <c r="A5" s="107" t="s">
        <v>96</v>
      </c>
    </row>
    <row r="6" spans="1:29" ht="15.75" x14ac:dyDescent="0.25">
      <c r="A6" s="107" t="s">
        <v>100</v>
      </c>
    </row>
    <row r="8" spans="1:29" ht="15.75" x14ac:dyDescent="0.25">
      <c r="A8" s="43" t="s">
        <v>27</v>
      </c>
      <c r="M8" s="82"/>
      <c r="N8" s="82"/>
      <c r="O8" s="78"/>
      <c r="P8" s="78"/>
      <c r="T8" s="116" t="s">
        <v>79</v>
      </c>
      <c r="U8" s="116"/>
      <c r="V8" s="116"/>
      <c r="W8" s="116"/>
      <c r="X8" s="116"/>
      <c r="Y8" s="116"/>
    </row>
    <row r="9" spans="1:29" ht="16.5" thickBot="1" x14ac:dyDescent="0.3">
      <c r="A9" s="43"/>
      <c r="B9" s="41" t="s">
        <v>25</v>
      </c>
      <c r="C9" s="81">
        <f>1-0.216</f>
        <v>0.78400000000000003</v>
      </c>
      <c r="D9" s="41"/>
      <c r="E9" s="81">
        <f>1+0.216</f>
        <v>1.216</v>
      </c>
      <c r="F9" s="81"/>
      <c r="G9" s="81"/>
      <c r="H9" s="1"/>
      <c r="I9" s="1"/>
      <c r="J9" s="1"/>
      <c r="K9" s="1"/>
      <c r="L9" s="1"/>
      <c r="M9" s="1"/>
      <c r="N9" s="1"/>
      <c r="O9" s="1"/>
      <c r="P9" s="1"/>
      <c r="T9" s="116" t="s">
        <v>78</v>
      </c>
      <c r="U9" s="116"/>
      <c r="V9" s="116"/>
      <c r="W9" s="116"/>
      <c r="X9" s="116"/>
      <c r="Y9" s="116"/>
      <c r="Z9" s="112"/>
      <c r="AA9" s="112"/>
      <c r="AB9" s="1"/>
    </row>
    <row r="10" spans="1:29" ht="21.75" thickTop="1" thickBot="1" x14ac:dyDescent="0.35">
      <c r="B10" s="80"/>
      <c r="C10" s="79"/>
      <c r="D10" s="80"/>
      <c r="E10" s="79"/>
      <c r="F10" s="79"/>
      <c r="G10" s="79"/>
      <c r="H10" s="1"/>
      <c r="I10" s="1"/>
      <c r="J10" s="1"/>
      <c r="K10" s="1"/>
      <c r="L10" s="1"/>
      <c r="M10" s="1"/>
      <c r="N10" s="1"/>
      <c r="O10" s="1"/>
      <c r="P10" s="1"/>
      <c r="T10" s="117" t="s">
        <v>77</v>
      </c>
      <c r="U10" s="118"/>
      <c r="V10" s="118"/>
      <c r="W10" s="118"/>
      <c r="X10" s="118"/>
      <c r="Y10" s="119"/>
      <c r="Z10" s="78"/>
      <c r="AA10" s="78"/>
      <c r="AB10" s="1"/>
    </row>
    <row r="11" spans="1:29" s="36" customFormat="1" ht="112.5" customHeight="1" thickTop="1" x14ac:dyDescent="0.25">
      <c r="B11" s="73" t="s">
        <v>76</v>
      </c>
      <c r="C11" s="77" t="s">
        <v>75</v>
      </c>
      <c r="D11" s="73" t="s">
        <v>74</v>
      </c>
      <c r="E11" s="73" t="s">
        <v>73</v>
      </c>
      <c r="F11" s="77" t="s">
        <v>72</v>
      </c>
      <c r="G11" s="77" t="s">
        <v>71</v>
      </c>
      <c r="H11" s="77" t="s">
        <v>70</v>
      </c>
      <c r="I11" s="77" t="s">
        <v>69</v>
      </c>
      <c r="J11" s="77" t="s">
        <v>68</v>
      </c>
      <c r="K11" s="74" t="s">
        <v>67</v>
      </c>
      <c r="L11" s="37" t="s">
        <v>66</v>
      </c>
      <c r="M11" s="76" t="s">
        <v>65</v>
      </c>
      <c r="N11" s="76" t="s">
        <v>64</v>
      </c>
      <c r="O11" s="76" t="s">
        <v>63</v>
      </c>
      <c r="P11" s="76" t="s">
        <v>62</v>
      </c>
      <c r="Q11" s="37" t="s">
        <v>61</v>
      </c>
      <c r="R11" s="39" t="s">
        <v>60</v>
      </c>
      <c r="S11" s="37" t="s">
        <v>59</v>
      </c>
      <c r="T11" s="72" t="s">
        <v>58</v>
      </c>
      <c r="U11" s="72" t="s">
        <v>57</v>
      </c>
      <c r="V11" s="72" t="s">
        <v>56</v>
      </c>
      <c r="W11" s="72" t="s">
        <v>55</v>
      </c>
      <c r="X11" s="72" t="s">
        <v>54</v>
      </c>
      <c r="Y11" s="72" t="s">
        <v>53</v>
      </c>
      <c r="Z11" s="39" t="s">
        <v>52</v>
      </c>
      <c r="AA11" s="39" t="s">
        <v>51</v>
      </c>
      <c r="AB11" s="73" t="s">
        <v>50</v>
      </c>
      <c r="AC11" s="75" t="s">
        <v>49</v>
      </c>
    </row>
    <row r="12" spans="1:29" s="36" customFormat="1" ht="15.75" x14ac:dyDescent="0.25">
      <c r="A12" s="38" t="s">
        <v>15</v>
      </c>
      <c r="B12" s="37" t="s">
        <v>14</v>
      </c>
      <c r="C12" s="37" t="s">
        <v>14</v>
      </c>
      <c r="D12" s="37" t="s">
        <v>14</v>
      </c>
      <c r="E12" s="37" t="s">
        <v>14</v>
      </c>
      <c r="F12" s="37" t="s">
        <v>14</v>
      </c>
      <c r="G12" s="37" t="s">
        <v>14</v>
      </c>
      <c r="H12" s="37" t="s">
        <v>14</v>
      </c>
      <c r="I12" s="37" t="s">
        <v>14</v>
      </c>
      <c r="J12" s="37" t="s">
        <v>14</v>
      </c>
      <c r="K12" s="74" t="s">
        <v>14</v>
      </c>
      <c r="L12" s="37" t="s">
        <v>14</v>
      </c>
      <c r="M12" s="37" t="s">
        <v>14</v>
      </c>
      <c r="N12" s="37" t="s">
        <v>14</v>
      </c>
      <c r="O12" s="37" t="s">
        <v>14</v>
      </c>
      <c r="P12" s="37" t="s">
        <v>14</v>
      </c>
      <c r="Q12" s="37" t="s">
        <v>14</v>
      </c>
      <c r="R12" s="37" t="s">
        <v>14</v>
      </c>
      <c r="S12" s="37" t="s">
        <v>14</v>
      </c>
      <c r="T12" s="72" t="s">
        <v>48</v>
      </c>
      <c r="U12" s="72" t="s">
        <v>48</v>
      </c>
      <c r="V12" s="72" t="s">
        <v>48</v>
      </c>
      <c r="W12" s="72" t="s">
        <v>48</v>
      </c>
      <c r="X12" s="72" t="s">
        <v>48</v>
      </c>
      <c r="Y12" s="72" t="s">
        <v>48</v>
      </c>
      <c r="Z12" s="37" t="s">
        <v>14</v>
      </c>
      <c r="AA12" s="37" t="s">
        <v>48</v>
      </c>
      <c r="AB12" s="73" t="s">
        <v>14</v>
      </c>
      <c r="AC12" s="72" t="s">
        <v>14</v>
      </c>
    </row>
    <row r="13" spans="1:29" ht="15.75" x14ac:dyDescent="0.25">
      <c r="A13" s="13">
        <v>41275</v>
      </c>
      <c r="B13" s="69">
        <v>3.4693411405589898</v>
      </c>
      <c r="C13" s="69">
        <v>3.47442538832698</v>
      </c>
      <c r="D13" s="69">
        <v>3.5918799851734899</v>
      </c>
      <c r="E13" s="69">
        <v>3.62563976038513</v>
      </c>
      <c r="F13" s="69">
        <v>3.4827097294503502</v>
      </c>
      <c r="G13" s="69">
        <v>3.4975364689593298</v>
      </c>
      <c r="H13" s="69">
        <v>3.6145177663942398</v>
      </c>
      <c r="I13" s="69">
        <v>3.5091919375943799</v>
      </c>
      <c r="J13" s="69">
        <v>3.4753097294503501</v>
      </c>
      <c r="K13" s="71"/>
      <c r="L13" s="69">
        <v>4.2015177663942396</v>
      </c>
      <c r="M13" s="69">
        <v>3.4510577257516601</v>
      </c>
      <c r="N13" s="69">
        <v>3.46575112309643</v>
      </c>
      <c r="O13" s="69">
        <v>3.5890138150970801</v>
      </c>
      <c r="P13" s="69">
        <v>3.4845926581983502</v>
      </c>
      <c r="Q13" s="69">
        <v>4.1837138150970796</v>
      </c>
      <c r="R13" s="69">
        <v>4.7811730996348203</v>
      </c>
      <c r="S13" s="69">
        <v>3.3547069680724899</v>
      </c>
      <c r="T13" s="70">
        <v>29.034112</v>
      </c>
      <c r="U13" s="70">
        <v>12.063650000000001</v>
      </c>
      <c r="V13" s="70">
        <v>4.9444999999999997</v>
      </c>
      <c r="W13" s="70">
        <v>0.56798199999999999</v>
      </c>
      <c r="X13" s="70">
        <v>0</v>
      </c>
      <c r="Y13" s="70">
        <v>0.39</v>
      </c>
      <c r="Z13" s="69">
        <v>3.49160559679886</v>
      </c>
      <c r="AA13" s="68">
        <v>0.78900000000000003</v>
      </c>
      <c r="AB13" s="67">
        <v>3.5128713827202498</v>
      </c>
      <c r="AC13" s="66">
        <v>3.5263496753376899</v>
      </c>
    </row>
    <row r="14" spans="1:29" ht="15.75" x14ac:dyDescent="0.25">
      <c r="A14" s="13">
        <v>41306</v>
      </c>
      <c r="B14" s="14">
        <v>3.3373871192168498</v>
      </c>
      <c r="C14" s="14">
        <v>3.34247136698484</v>
      </c>
      <c r="D14" s="14">
        <v>3.4274416903447098</v>
      </c>
      <c r="E14" s="14">
        <v>3.4612014655563499</v>
      </c>
      <c r="F14" s="14">
        <v>3.32921003516193</v>
      </c>
      <c r="G14" s="14">
        <v>3.3428860878936399</v>
      </c>
      <c r="H14" s="14">
        <v>3.4500794715654499</v>
      </c>
      <c r="I14" s="14">
        <v>3.3623461586604102</v>
      </c>
      <c r="J14" s="14">
        <v>3.32181003516193</v>
      </c>
      <c r="K14" s="53"/>
      <c r="L14" s="14">
        <v>4.0370794715654501</v>
      </c>
      <c r="M14" s="14">
        <v>3.2989385090408998</v>
      </c>
      <c r="N14" s="14">
        <v>3.3124915681456</v>
      </c>
      <c r="O14" s="14">
        <v>3.42605437258766</v>
      </c>
      <c r="P14" s="14">
        <v>3.3390715772188799</v>
      </c>
      <c r="Q14" s="14">
        <v>4.0207543725876604</v>
      </c>
      <c r="R14" s="14">
        <v>4.6178062585191304</v>
      </c>
      <c r="S14" s="14">
        <v>3.2267511535770201</v>
      </c>
      <c r="T14" s="57">
        <v>26.280478500000001</v>
      </c>
      <c r="U14" s="57">
        <v>10.8962</v>
      </c>
      <c r="V14" s="57">
        <v>4.4660000000000002</v>
      </c>
      <c r="W14" s="57">
        <v>0.51301600000000003</v>
      </c>
      <c r="X14" s="57">
        <v>0</v>
      </c>
      <c r="Y14" s="57">
        <v>0.39</v>
      </c>
      <c r="Z14" s="14">
        <v>3.3376078337533501</v>
      </c>
      <c r="AA14" s="56">
        <v>0.78900000000000003</v>
      </c>
      <c r="AB14" s="50">
        <v>3.3650754313211002</v>
      </c>
      <c r="AC14" s="45">
        <v>3.36964273692133</v>
      </c>
    </row>
    <row r="15" spans="1:29" ht="15.75" x14ac:dyDescent="0.25">
      <c r="A15" s="13">
        <v>41334</v>
      </c>
      <c r="B15" s="14">
        <v>3.5446221553058099</v>
      </c>
      <c r="C15" s="14">
        <v>3.5497064030738099</v>
      </c>
      <c r="D15" s="14">
        <v>3.6259111288261701</v>
      </c>
      <c r="E15" s="14">
        <v>3.6596709040378101</v>
      </c>
      <c r="F15" s="14">
        <v>3.5438843996438298</v>
      </c>
      <c r="G15" s="14">
        <v>3.5577092992119201</v>
      </c>
      <c r="H15" s="14">
        <v>3.6485489100469102</v>
      </c>
      <c r="I15" s="14">
        <v>3.55729372718785</v>
      </c>
      <c r="J15" s="14">
        <v>3.5364843996438302</v>
      </c>
      <c r="K15" s="53"/>
      <c r="L15" s="14">
        <v>4.2355489100469104</v>
      </c>
      <c r="M15" s="14">
        <v>3.5116822302857602</v>
      </c>
      <c r="N15" s="14">
        <v>3.5253827975940699</v>
      </c>
      <c r="O15" s="14">
        <v>3.6227389045196601</v>
      </c>
      <c r="P15" s="14">
        <v>3.5322605208328999</v>
      </c>
      <c r="Q15" s="14">
        <v>4.2174389045196596</v>
      </c>
      <c r="R15" s="14">
        <v>4.8149825017809604</v>
      </c>
      <c r="S15" s="14">
        <v>3.4277069680724899</v>
      </c>
      <c r="T15" s="57">
        <v>29.128712</v>
      </c>
      <c r="U15" s="57">
        <v>12.063650000000001</v>
      </c>
      <c r="V15" s="57">
        <v>4.9444999999999997</v>
      </c>
      <c r="W15" s="57">
        <v>0.71033400000000002</v>
      </c>
      <c r="X15" s="57">
        <v>0</v>
      </c>
      <c r="Y15" s="57">
        <v>0.39</v>
      </c>
      <c r="Z15" s="14">
        <v>3.51872944531473</v>
      </c>
      <c r="AA15" s="56">
        <v>0.78900000000000003</v>
      </c>
      <c r="AB15" s="50">
        <v>3.5712349617297399</v>
      </c>
      <c r="AC15" s="45">
        <v>3.5713699258364802</v>
      </c>
    </row>
    <row r="16" spans="1:29" ht="15.75" x14ac:dyDescent="0.25">
      <c r="A16" s="13">
        <v>41365</v>
      </c>
      <c r="B16" s="14">
        <v>4.1484240687378904</v>
      </c>
      <c r="C16" s="14">
        <v>4.1529056348026501</v>
      </c>
      <c r="D16" s="14">
        <v>4.3764270426620504</v>
      </c>
      <c r="E16" s="14">
        <v>4.4085325011284802</v>
      </c>
      <c r="F16" s="14">
        <v>4.15877359890011</v>
      </c>
      <c r="G16" s="14">
        <v>4.1735123563116101</v>
      </c>
      <c r="H16" s="14">
        <v>4.3983177600115999</v>
      </c>
      <c r="I16" s="14">
        <v>4.1790239832917297</v>
      </c>
      <c r="J16" s="14">
        <v>4.1517735989001103</v>
      </c>
      <c r="K16" s="53"/>
      <c r="L16" s="14">
        <v>4.9853177600115997</v>
      </c>
      <c r="M16" s="14">
        <v>4.0847896384088997</v>
      </c>
      <c r="N16" s="14">
        <v>4.09926329400085</v>
      </c>
      <c r="O16" s="14">
        <v>4.3268992801176704</v>
      </c>
      <c r="P16" s="14">
        <v>4.1113948289032702</v>
      </c>
      <c r="Q16" s="14">
        <v>4.92159928011767</v>
      </c>
      <c r="R16" s="14">
        <v>5.5209032783179701</v>
      </c>
      <c r="S16" s="14">
        <v>3.9769278955951401</v>
      </c>
      <c r="T16" s="57">
        <v>29.897007500000001</v>
      </c>
      <c r="U16" s="57">
        <v>11.6745</v>
      </c>
      <c r="V16" s="57">
        <v>4.7850000000000001</v>
      </c>
      <c r="W16" s="57">
        <v>0.68742000000000003</v>
      </c>
      <c r="X16" s="57">
        <v>0.77903628000000003</v>
      </c>
      <c r="Y16" s="57">
        <v>0.4</v>
      </c>
      <c r="Z16" s="14">
        <v>4.09674472425296</v>
      </c>
      <c r="AA16" s="56">
        <v>0.78900000000000003</v>
      </c>
      <c r="AB16" s="50">
        <v>4.2271001079906796</v>
      </c>
      <c r="AC16" s="45">
        <v>4.1729811830449197</v>
      </c>
    </row>
    <row r="17" spans="1:29" ht="15.75" x14ac:dyDescent="0.25">
      <c r="A17" s="13">
        <v>41395</v>
      </c>
      <c r="B17" s="14">
        <v>4.3329812441523696</v>
      </c>
      <c r="C17" s="14">
        <v>4.3410072762624203</v>
      </c>
      <c r="D17" s="14">
        <v>4.5615906242399502</v>
      </c>
      <c r="E17" s="14">
        <v>4.5930548614354496</v>
      </c>
      <c r="F17" s="14">
        <v>4.3524466929221504</v>
      </c>
      <c r="G17" s="14">
        <v>4.3691468189663398</v>
      </c>
      <c r="H17" s="14">
        <v>4.5816875175305896</v>
      </c>
      <c r="I17" s="14">
        <v>4.36869293934142</v>
      </c>
      <c r="J17" s="14">
        <v>4.3454466929221498</v>
      </c>
      <c r="K17" s="53"/>
      <c r="L17" s="14">
        <v>5.1686875175305902</v>
      </c>
      <c r="M17" s="14">
        <v>4.2749791898098</v>
      </c>
      <c r="N17" s="14">
        <v>4.2913789354570904</v>
      </c>
      <c r="O17" s="14">
        <v>4.5069708181861499</v>
      </c>
      <c r="P17" s="14">
        <v>4.2976358181395602</v>
      </c>
      <c r="Q17" s="14">
        <v>5.1016708181861503</v>
      </c>
      <c r="R17" s="14">
        <v>5.7014249952316103</v>
      </c>
      <c r="S17" s="14">
        <v>4.1529278955951403</v>
      </c>
      <c r="T17" s="59">
        <v>31.3819585</v>
      </c>
      <c r="U17" s="57">
        <v>12.063650000000001</v>
      </c>
      <c r="V17" s="57">
        <v>4.9444999999999997</v>
      </c>
      <c r="W17" s="57">
        <v>0.71033400000000002</v>
      </c>
      <c r="X17" s="57">
        <v>0.80500415599999997</v>
      </c>
      <c r="Y17" s="57">
        <v>0.4</v>
      </c>
      <c r="Z17" s="14">
        <v>4.2804704151434398</v>
      </c>
      <c r="AA17" s="56">
        <v>0.78900000000000003</v>
      </c>
      <c r="AB17" s="50">
        <v>4.4132889274089298</v>
      </c>
      <c r="AC17" s="45">
        <v>4.3595139595638903</v>
      </c>
    </row>
    <row r="18" spans="1:29" ht="15.75" x14ac:dyDescent="0.25">
      <c r="A18" s="13">
        <v>41426</v>
      </c>
      <c r="B18" s="14">
        <v>4.32881848007702</v>
      </c>
      <c r="C18" s="14">
        <v>4.3368445121870796</v>
      </c>
      <c r="D18" s="14">
        <v>4.4403501205455003</v>
      </c>
      <c r="E18" s="14">
        <v>4.4718143577409899</v>
      </c>
      <c r="F18" s="14">
        <v>4.3429599926592797</v>
      </c>
      <c r="G18" s="14">
        <v>4.35962830355016</v>
      </c>
      <c r="H18" s="14">
        <v>4.4604470138361396</v>
      </c>
      <c r="I18" s="14">
        <v>4.3634731878015902</v>
      </c>
      <c r="J18" s="14">
        <v>4.33595999265928</v>
      </c>
      <c r="K18" s="53"/>
      <c r="L18" s="14">
        <v>5.0474470138361403</v>
      </c>
      <c r="M18" s="14">
        <v>4.2548110264488299</v>
      </c>
      <c r="N18" s="14">
        <v>4.2711378153734403</v>
      </c>
      <c r="O18" s="14">
        <v>4.3767473961214503</v>
      </c>
      <c r="P18" s="14">
        <v>4.2815661713651796</v>
      </c>
      <c r="Q18" s="14">
        <v>4.9714473961214498</v>
      </c>
      <c r="R18" s="14">
        <v>5.57087601461176</v>
      </c>
      <c r="S18" s="14">
        <v>4.1489278955951399</v>
      </c>
      <c r="T18" s="59">
        <v>30.856738499999999</v>
      </c>
      <c r="U18" s="57">
        <v>11.6745</v>
      </c>
      <c r="V18" s="57">
        <v>4.7850000000000001</v>
      </c>
      <c r="W18" s="57">
        <v>0.68742000000000003</v>
      </c>
      <c r="X18" s="57">
        <v>0.77903628000000003</v>
      </c>
      <c r="Y18" s="57">
        <v>0.4</v>
      </c>
      <c r="Z18" s="14">
        <v>4.2635819811618703</v>
      </c>
      <c r="AA18" s="56">
        <v>0.78900000000000003</v>
      </c>
      <c r="AB18" s="50">
        <v>4.3736763494942696</v>
      </c>
      <c r="AC18" s="45">
        <v>4.30270998477351</v>
      </c>
    </row>
    <row r="19" spans="1:29" ht="15.75" x14ac:dyDescent="0.25">
      <c r="A19" s="13">
        <v>41456</v>
      </c>
      <c r="B19" s="14">
        <v>3.86987374077012</v>
      </c>
      <c r="C19" s="14">
        <v>3.8778997728801801</v>
      </c>
      <c r="D19" s="14">
        <v>4.0828727555751598</v>
      </c>
      <c r="E19" s="14">
        <v>4.1143369927706503</v>
      </c>
      <c r="F19" s="14">
        <v>3.8837475175894101</v>
      </c>
      <c r="G19" s="14">
        <v>3.9003451281395698</v>
      </c>
      <c r="H19" s="14">
        <v>4.1029696488658001</v>
      </c>
      <c r="I19" s="14">
        <v>3.9057009777587899</v>
      </c>
      <c r="J19" s="14">
        <v>3.8767475175894099</v>
      </c>
      <c r="K19" s="53"/>
      <c r="L19" s="14">
        <v>4.6899696488657998</v>
      </c>
      <c r="M19" s="14">
        <v>3.8050074919996599</v>
      </c>
      <c r="N19" s="14">
        <v>3.8212650291838099</v>
      </c>
      <c r="O19" s="14">
        <v>4.0265944909226699</v>
      </c>
      <c r="P19" s="14">
        <v>3.83320216318522</v>
      </c>
      <c r="Q19" s="14">
        <v>4.6212944909226703</v>
      </c>
      <c r="R19" s="14">
        <v>5.2198477271499799</v>
      </c>
      <c r="S19" s="14">
        <v>3.70792789559514</v>
      </c>
      <c r="T19" s="59">
        <v>31.8711175</v>
      </c>
      <c r="U19" s="57">
        <v>12.063650000000001</v>
      </c>
      <c r="V19" s="57">
        <v>4.9444999999999997</v>
      </c>
      <c r="W19" s="57">
        <v>0.71033400000000002</v>
      </c>
      <c r="X19" s="57">
        <v>0.80500415599999997</v>
      </c>
      <c r="Y19" s="57">
        <v>0.4</v>
      </c>
      <c r="Z19" s="14">
        <v>3.82345915618746</v>
      </c>
      <c r="AA19" s="56">
        <v>0.78900000000000003</v>
      </c>
      <c r="AB19" s="50">
        <v>3.9441061076992199</v>
      </c>
      <c r="AC19" s="45">
        <v>3.8867964363558598</v>
      </c>
    </row>
    <row r="20" spans="1:29" ht="15.75" x14ac:dyDescent="0.25">
      <c r="A20" s="13">
        <v>41487</v>
      </c>
      <c r="B20" s="14">
        <v>3.61219621921822</v>
      </c>
      <c r="C20" s="14">
        <v>3.62022225132828</v>
      </c>
      <c r="D20" s="14">
        <v>3.8642211472296299</v>
      </c>
      <c r="E20" s="14">
        <v>3.89568538442512</v>
      </c>
      <c r="F20" s="14">
        <v>3.5994463096042302</v>
      </c>
      <c r="G20" s="14">
        <v>3.6149235738804899</v>
      </c>
      <c r="H20" s="14">
        <v>3.88431804052026</v>
      </c>
      <c r="I20" s="14">
        <v>3.6247715170016899</v>
      </c>
      <c r="J20" s="14">
        <v>3.5924463096042301</v>
      </c>
      <c r="K20" s="53"/>
      <c r="L20" s="14">
        <v>4.4713180405202602</v>
      </c>
      <c r="M20" s="14">
        <v>3.5265314157988898</v>
      </c>
      <c r="N20" s="14">
        <v>3.5416915618162701</v>
      </c>
      <c r="O20" s="14">
        <v>3.8124229002404899</v>
      </c>
      <c r="P20" s="14">
        <v>3.5580464060694501</v>
      </c>
      <c r="Q20" s="14">
        <v>4.4071229002404904</v>
      </c>
      <c r="R20" s="14">
        <v>5.0051407074910896</v>
      </c>
      <c r="S20" s="14">
        <v>3.4603255651359199</v>
      </c>
      <c r="T20" s="59">
        <v>31.898197499999998</v>
      </c>
      <c r="U20" s="57">
        <v>12.063650000000001</v>
      </c>
      <c r="V20" s="57">
        <v>4.9444999999999997</v>
      </c>
      <c r="W20" s="57">
        <v>0.71033400000000002</v>
      </c>
      <c r="X20" s="57">
        <v>0.80500415599999997</v>
      </c>
      <c r="Y20" s="57">
        <v>0.4</v>
      </c>
      <c r="Z20" s="14">
        <v>3.56235134609613</v>
      </c>
      <c r="AA20" s="56">
        <v>0.78900000000000003</v>
      </c>
      <c r="AB20" s="50">
        <v>3.68846444556352</v>
      </c>
      <c r="AC20" s="45">
        <v>3.6303518696016499</v>
      </c>
    </row>
    <row r="21" spans="1:29" ht="15.75" x14ac:dyDescent="0.25">
      <c r="A21" s="13">
        <v>41518</v>
      </c>
      <c r="B21" s="14">
        <v>3.7240390477598302</v>
      </c>
      <c r="C21" s="14">
        <v>3.73206507986988</v>
      </c>
      <c r="D21" s="14">
        <v>3.84337587086958</v>
      </c>
      <c r="E21" s="14">
        <v>3.8748401080650701</v>
      </c>
      <c r="F21" s="14">
        <v>3.6972945687336201</v>
      </c>
      <c r="G21" s="14">
        <v>3.71166810468806</v>
      </c>
      <c r="H21" s="14">
        <v>3.8634727641602198</v>
      </c>
      <c r="I21" s="14">
        <v>3.7040801859082899</v>
      </c>
      <c r="J21" s="14">
        <v>3.6902945687336199</v>
      </c>
      <c r="K21" s="53"/>
      <c r="L21" s="14">
        <v>4.45047276416022</v>
      </c>
      <c r="M21" s="14">
        <v>3.6223748329216501</v>
      </c>
      <c r="N21" s="14">
        <v>3.6364538652341998</v>
      </c>
      <c r="O21" s="14">
        <v>3.79200472893125</v>
      </c>
      <c r="P21" s="14">
        <v>3.6357251115353302</v>
      </c>
      <c r="Q21" s="14">
        <v>4.3867047289312504</v>
      </c>
      <c r="R21" s="14">
        <v>4.9846714907535699</v>
      </c>
      <c r="S21" s="14">
        <v>3.5677953390815502</v>
      </c>
      <c r="T21" s="59">
        <v>30.851674500000001</v>
      </c>
      <c r="U21" s="57">
        <v>11.6745</v>
      </c>
      <c r="V21" s="57">
        <v>4.7850000000000001</v>
      </c>
      <c r="W21" s="57">
        <v>0.68742000000000003</v>
      </c>
      <c r="X21" s="57">
        <v>0.77903628000000003</v>
      </c>
      <c r="Y21" s="57">
        <v>0.4</v>
      </c>
      <c r="Z21" s="14">
        <v>3.6431801832973898</v>
      </c>
      <c r="AA21" s="65">
        <v>0.84254499999999999</v>
      </c>
      <c r="AB21" s="50">
        <v>3.7554789789046401</v>
      </c>
      <c r="AC21" s="45">
        <v>3.6840835196858599</v>
      </c>
    </row>
    <row r="22" spans="1:29" ht="15.75" x14ac:dyDescent="0.25">
      <c r="A22" s="13">
        <v>41548</v>
      </c>
      <c r="B22" s="14">
        <v>3.6504702559508502</v>
      </c>
      <c r="C22" s="14">
        <v>3.6557916209136501</v>
      </c>
      <c r="D22" s="14">
        <v>3.7564616435515501</v>
      </c>
      <c r="E22" s="14">
        <v>3.7855856654759599</v>
      </c>
      <c r="F22" s="14">
        <v>3.6448891932193002</v>
      </c>
      <c r="G22" s="14">
        <v>3.6601434125871299</v>
      </c>
      <c r="H22" s="14">
        <v>3.7760547185779498</v>
      </c>
      <c r="I22" s="14">
        <v>3.63831131650648</v>
      </c>
      <c r="J22" s="14">
        <v>3.6378891932193</v>
      </c>
      <c r="K22" s="53"/>
      <c r="L22" s="14">
        <v>4.36305471857795</v>
      </c>
      <c r="M22" s="14">
        <v>3.57104320669157</v>
      </c>
      <c r="N22" s="14">
        <v>3.5859848778338201</v>
      </c>
      <c r="O22" s="14">
        <v>3.7063778176162598</v>
      </c>
      <c r="P22" s="14">
        <v>3.5713079336212199</v>
      </c>
      <c r="Q22" s="14">
        <v>4.3010778176162603</v>
      </c>
      <c r="R22" s="14">
        <v>4.8988305121603002</v>
      </c>
      <c r="S22" s="14">
        <v>3.4987953390815498</v>
      </c>
      <c r="T22" s="57">
        <v>31.278276000000002</v>
      </c>
      <c r="U22" s="57">
        <v>12.063650000000001</v>
      </c>
      <c r="V22" s="57">
        <v>4.9444999999999997</v>
      </c>
      <c r="W22" s="57">
        <v>0.71033400000000002</v>
      </c>
      <c r="X22" s="57">
        <v>0.80500415599999997</v>
      </c>
      <c r="Y22" s="57">
        <v>0.4</v>
      </c>
      <c r="Z22" s="14">
        <v>3.5786970717313702</v>
      </c>
      <c r="AA22" s="65">
        <v>0.84254499999999999</v>
      </c>
      <c r="AB22" s="50">
        <v>3.6855879247874999</v>
      </c>
      <c r="AC22" s="45">
        <v>3.61942177762299</v>
      </c>
    </row>
    <row r="23" spans="1:29" ht="15.75" x14ac:dyDescent="0.25">
      <c r="A23" s="13">
        <v>41579</v>
      </c>
      <c r="B23" s="14">
        <f>CHOOSE(CONTROL!$C$42, 3.74, 3.74) * CHOOSE(CONTROL!$C$21, $C$9, 100%, $E$9)</f>
        <v>3.74</v>
      </c>
      <c r="C23" s="14">
        <f>CHOOSE(CONTROL!$C$42, 3.745, 3.745) * CHOOSE(CONTROL!$C$21, $C$9, 100%, $E$9)</f>
        <v>3.7450000000000001</v>
      </c>
      <c r="D23" s="14">
        <f>CHOOSE(CONTROL!$C$42, 3.8003, 3.8003) * CHOOSE(CONTROL!$C$21, $C$9, 100%, $E$9)</f>
        <v>3.8003</v>
      </c>
      <c r="E23" s="14">
        <f>CHOOSE(CONTROL!$C$42, 3.8341, 3.8341) * CHOOSE(CONTROL!$C$21, $C$9, 100%, $E$9)</f>
        <v>3.8340999999999998</v>
      </c>
      <c r="F23" s="14">
        <f>CHOOSE(CONTROL!$C$42, 3.7399, 3.7399)*CHOOSE(CONTROL!$C$21, $C$9, 100%, $E$9)</f>
        <v>3.7399</v>
      </c>
      <c r="G23" s="14">
        <f>CHOOSE(CONTROL!$C$42, 3.7549, 3.7549)*CHOOSE(CONTROL!$C$21, $C$9, 100%, $E$9)</f>
        <v>3.7549000000000001</v>
      </c>
      <c r="H23" s="14">
        <f>CHOOSE(CONTROL!$C$42, 3.8233, 3.8233) * CHOOSE(CONTROL!$C$21, $C$9, 100%, $E$9)</f>
        <v>3.8233000000000001</v>
      </c>
      <c r="I23" s="14">
        <f>CHOOSE(CONTROL!$C$42, 3.7536, 3.7536)* CHOOSE(CONTROL!$C$21, $C$9, 100%, $E$9)</f>
        <v>3.7536</v>
      </c>
      <c r="J23" s="14">
        <f>CHOOSE(CONTROL!$C$42, 3.7329, 3.7329)* CHOOSE(CONTROL!$C$21, $C$9, 100%, $E$9)</f>
        <v>3.7328999999999999</v>
      </c>
      <c r="K23" s="53"/>
      <c r="L23" s="14">
        <f>CHOOSE(CONTROL!$C$42, 4.4103, 4.4103) * CHOOSE(CONTROL!$C$21, $C$9, 100%, $E$9)</f>
        <v>4.4103000000000003</v>
      </c>
      <c r="M23" s="14">
        <f>CHOOSE(CONTROL!$C$42, 3.7091, 3.7091) * CHOOSE(CONTROL!$C$21, $C$9, 100%, $E$9)</f>
        <v>3.7090999999999998</v>
      </c>
      <c r="N23" s="14">
        <f>CHOOSE(CONTROL!$C$42, 3.7239, 3.7239) * CHOOSE(CONTROL!$C$21, $C$9, 100%, $E$9)</f>
        <v>3.7239</v>
      </c>
      <c r="O23" s="14">
        <f>CHOOSE(CONTROL!$C$42, 3.7985, 3.7985) * CHOOSE(CONTROL!$C$21, $C$9, 100%, $E$9)</f>
        <v>3.7985000000000002</v>
      </c>
      <c r="P23" s="14">
        <f>CHOOSE(CONTROL!$C$42, 3.7295, 3.7295) * CHOOSE(CONTROL!$C$21, $C$9, 100%, $E$9)</f>
        <v>3.7294999999999998</v>
      </c>
      <c r="Q23" s="14">
        <f>CHOOSE(CONTROL!$C$42, 4.3938, 4.3938) * CHOOSE(CONTROL!$C$21, $C$9, 100%, $E$9)</f>
        <v>4.3937999999999997</v>
      </c>
      <c r="R23" s="14">
        <f>CHOOSE(CONTROL!$C$42, 4.9918, 4.9918) * CHOOSE(CONTROL!$C$21, $C$9, 100%, $E$9)</f>
        <v>4.9917999999999996</v>
      </c>
      <c r="S23" s="14">
        <f>CHOOSE(CONTROL!$C$42, 3.6298, 3.6298) * CHOOSE(CONTROL!$C$21, $C$9, 100%, $E$9)</f>
        <v>3.6297999999999999</v>
      </c>
      <c r="T23" s="57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23" s="57">
        <f>(1000*CHOOSE(CONTROL!$C$42, 695, 695)*CHOOSE(CONTROL!$C$42, 0.5599, 0.5599)*CHOOSE(CONTROL!$C$42, 30, 30))/1000000</f>
        <v>11.673914999999997</v>
      </c>
      <c r="V23" s="57">
        <f>(1000*CHOOSE(CONTROL!$C$42, 580, 580)*CHOOSE(CONTROL!$C$42, 0.275, 0.275)*CHOOSE(CONTROL!$C$42, 30, 30))/1000000</f>
        <v>4.7850000000000001</v>
      </c>
      <c r="W23" s="57">
        <f>(1000*CHOOSE(CONTROL!$C$42, 0.1146, 0.1146)*CHOOSE(CONTROL!$C$42, 200, 200)*CHOOSE(CONTROL!$C$42, 30, 30))/1000000</f>
        <v>0.68759999999999999</v>
      </c>
      <c r="X23" s="57">
        <v>0</v>
      </c>
      <c r="Y23" s="57">
        <f>(0.16*2500000)/1000000</f>
        <v>0.4</v>
      </c>
      <c r="Z23" s="14">
        <f>CHOOSE(CONTROL!$C$42, 3.7322, 3.7322) * CHOOSE(CONTROL!$C$21, $C$9, 100%, $E$9)</f>
        <v>3.7322000000000002</v>
      </c>
      <c r="AA23" s="64">
        <f>(30*((7.89*31500+7.95*100000)/30))/1000000</f>
        <v>1.0435350000000001</v>
      </c>
      <c r="AB23" s="50">
        <f>(B23*122.58+C23*297.941+D23*89.177+E23*200.302+F23*40+G23*0+H23*0+I23*100+J23*300)/(122.58+297.941+89.177+200.302+0+40+0+100+300)</f>
        <v>3.7616882576521737</v>
      </c>
      <c r="AC23" s="45">
        <f>(M23*240+N23*0+O23*355+P23*100)/(240+0+355+100)</f>
        <v>3.7576999999999998</v>
      </c>
    </row>
    <row r="24" spans="1:29" ht="15.75" x14ac:dyDescent="0.25">
      <c r="A24" s="13">
        <v>41609</v>
      </c>
      <c r="B24" s="14">
        <f>CHOOSE(CONTROL!$C$42, 3.9037, 3.9037) * CHOOSE(CONTROL!$C$21, $C$9, 100%, $E$9)</f>
        <v>3.9037000000000002</v>
      </c>
      <c r="C24" s="14">
        <f>CHOOSE(CONTROL!$C$42, 3.9087, 3.9087) * CHOOSE(CONTROL!$C$21, $C$9, 100%, $E$9)</f>
        <v>3.9087000000000001</v>
      </c>
      <c r="D24" s="14">
        <f>CHOOSE(CONTROL!$C$42, 3.9682, 3.9682) * CHOOSE(CONTROL!$C$21, $C$9, 100%, $E$9)</f>
        <v>3.9681999999999999</v>
      </c>
      <c r="E24" s="14">
        <f>CHOOSE(CONTROL!$C$42, 4.002, 4.002) * CHOOSE(CONTROL!$C$21, $C$9, 100%, $E$9)</f>
        <v>4.0019999999999998</v>
      </c>
      <c r="F24" s="14">
        <f>CHOOSE(CONTROL!$C$42, 3.9038, 3.9038)*CHOOSE(CONTROL!$C$21, $C$9, 100%, $E$9)</f>
        <v>3.9037999999999999</v>
      </c>
      <c r="G24" s="14">
        <f>CHOOSE(CONTROL!$C$42, 3.9193, 3.9193)*CHOOSE(CONTROL!$C$21, $C$9, 100%, $E$9)</f>
        <v>3.9192999999999998</v>
      </c>
      <c r="H24" s="14">
        <f>CHOOSE(CONTROL!$C$42, 3.9911, 3.9911) * CHOOSE(CONTROL!$C$21, $C$9, 100%, $E$9)</f>
        <v>3.9910999999999999</v>
      </c>
      <c r="I24" s="14">
        <f>CHOOSE(CONTROL!$C$42, 3.9237, 3.9237)* CHOOSE(CONTROL!$C$21, $C$9, 100%, $E$9)</f>
        <v>3.9237000000000002</v>
      </c>
      <c r="J24" s="14">
        <f>CHOOSE(CONTROL!$C$42, 3.8968, 3.8968)* CHOOSE(CONTROL!$C$21, $C$9, 100%, $E$9)</f>
        <v>3.8967999999999998</v>
      </c>
      <c r="K24" s="53"/>
      <c r="L24" s="14">
        <f>CHOOSE(CONTROL!$C$42, 4.5781, 4.5781) * CHOOSE(CONTROL!$C$21, $C$9, 100%, $E$9)</f>
        <v>4.5781000000000001</v>
      </c>
      <c r="M24" s="14">
        <f>CHOOSE(CONTROL!$C$42, 3.8713, 3.8713) * CHOOSE(CONTROL!$C$21, $C$9, 100%, $E$9)</f>
        <v>3.8713000000000002</v>
      </c>
      <c r="N24" s="14">
        <f>CHOOSE(CONTROL!$C$42, 3.8867, 3.8867) * CHOOSE(CONTROL!$C$21, $C$9, 100%, $E$9)</f>
        <v>3.8866999999999998</v>
      </c>
      <c r="O24" s="14">
        <f>CHOOSE(CONTROL!$C$42, 3.9647, 3.9647) * CHOOSE(CONTROL!$C$21, $C$9, 100%, $E$9)</f>
        <v>3.9647000000000001</v>
      </c>
      <c r="P24" s="14">
        <f>CHOOSE(CONTROL!$C$42, 3.898, 3.898) * CHOOSE(CONTROL!$C$21, $C$9, 100%, $E$9)</f>
        <v>3.8980000000000001</v>
      </c>
      <c r="Q24" s="14">
        <f>CHOOSE(CONTROL!$C$42, 4.56, 4.56) * CHOOSE(CONTROL!$C$21, $C$9, 100%, $E$9)</f>
        <v>4.5599999999999996</v>
      </c>
      <c r="R24" s="14">
        <f>CHOOSE(CONTROL!$C$42, 5.1584, 5.1584) * CHOOSE(CONTROL!$C$21, $C$9, 100%, $E$9)</f>
        <v>5.1584000000000003</v>
      </c>
      <c r="S24" s="14">
        <f>CHOOSE(CONTROL!$C$42, 3.7888, 3.7888) * CHOOSE(CONTROL!$C$21, $C$9, 100%, $E$9)</f>
        <v>3.7888000000000002</v>
      </c>
      <c r="T24" s="57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24" s="57">
        <f>(1000*CHOOSE(CONTROL!$C$42, 695, 695)*CHOOSE(CONTROL!$C$42, 0.5599, 0.5599)*CHOOSE(CONTROL!$C$42, 31, 31))/1000000</f>
        <v>12.063045499999998</v>
      </c>
      <c r="V24" s="57">
        <f>(1000*CHOOSE(CONTROL!$C$42, 580, 580)*CHOOSE(CONTROL!$C$42, 0.275, 0.275)*CHOOSE(CONTROL!$C$42, 31, 31))/1000000</f>
        <v>4.9444999999999997</v>
      </c>
      <c r="W24" s="57">
        <f>(1000*CHOOSE(CONTROL!$C$42, 0.1146, 0.1146)*CHOOSE(CONTROL!$C$42, 200, 200)*CHOOSE(CONTROL!$C$42, 31, 31))/1000000</f>
        <v>0.71052000000000004</v>
      </c>
      <c r="X24" s="57">
        <v>0</v>
      </c>
      <c r="Y24" s="57">
        <f>(0.16*2500000)/1000000</f>
        <v>0.4</v>
      </c>
      <c r="Z24" s="14">
        <f>CHOOSE(CONTROL!$C$42, 3.8975, 3.8975) * CHOOSE(CONTROL!$C$21, $C$9, 100%, $E$9)</f>
        <v>3.8975</v>
      </c>
      <c r="AA24" s="64">
        <f>(31*((7.89*31500+7.95*100000)/31))/1000000</f>
        <v>1.0435350000000001</v>
      </c>
      <c r="AB24" s="50">
        <f>(B24*122.58+C24*297.941+D24*89.177+E24*200.302+F24*40+G24*0+H24*0+I24*100+J24*300)/(122.58+297.941+89.177+200.302+0+40+0+100+300)</f>
        <v>3.9270611374782614</v>
      </c>
      <c r="AC24" s="45">
        <f>(M24*240+N24*0+O24*355+P24*100)/(240+0+355+100)</f>
        <v>3.9228496402877702</v>
      </c>
    </row>
    <row r="25" spans="1:29" ht="15" x14ac:dyDescent="0.2">
      <c r="A25" s="13">
        <v>41640</v>
      </c>
      <c r="B25" s="14">
        <f>CHOOSE(CONTROL!$C$42, 4.017, 4.017) * CHOOSE(CONTROL!$C$21, $C$9, 100%, $E$9)</f>
        <v>4.0170000000000003</v>
      </c>
      <c r="C25" s="14">
        <f>CHOOSE(CONTROL!$C$42, 4.022, 4.022) * CHOOSE(CONTROL!$C$21, $C$9, 100%, $E$9)</f>
        <v>4.0220000000000002</v>
      </c>
      <c r="D25" s="14">
        <f>CHOOSE(CONTROL!$C$42, 4.0863, 4.0863) * CHOOSE(CONTROL!$C$21, $C$9, 100%, $E$9)</f>
        <v>4.0862999999999996</v>
      </c>
      <c r="E25" s="14">
        <f>CHOOSE(CONTROL!$C$42, 4.12, 4.12) * CHOOSE(CONTROL!$C$21, $C$9, 100%, $E$9)</f>
        <v>4.12</v>
      </c>
      <c r="F25" s="14">
        <f>CHOOSE(CONTROL!$C$42, 4.0185, 4.0185)*CHOOSE(CONTROL!$C$21, $C$9, 100%, $E$9)</f>
        <v>4.0185000000000004</v>
      </c>
      <c r="G25" s="14">
        <f>CHOOSE(CONTROL!$C$42, 4.0345, 4.0345)*CHOOSE(CONTROL!$C$21, $C$9, 100%, $E$9)</f>
        <v>4.0345000000000004</v>
      </c>
      <c r="H25" s="14">
        <f>CHOOSE(CONTROL!$C$42, 4.1092, 4.1092) * CHOOSE(CONTROL!$C$21, $C$9, 100%, $E$9)</f>
        <v>4.1092000000000004</v>
      </c>
      <c r="I25" s="14">
        <f>CHOOSE(CONTROL!$C$42, 4.037, 4.037)* CHOOSE(CONTROL!$C$21, $C$9, 100%, $E$9)</f>
        <v>4.0369999999999999</v>
      </c>
      <c r="J25" s="14">
        <f>CHOOSE(CONTROL!$C$42, 4.0115, 4.0115)* CHOOSE(CONTROL!$C$21, $C$9, 100%, $E$9)</f>
        <v>4.0114999999999998</v>
      </c>
      <c r="K25" s="62"/>
      <c r="L25" s="14">
        <f>CHOOSE(CONTROL!$C$42, 4.6962, 4.6962) * CHOOSE(CONTROL!$C$21, $C$9, 100%, $E$9)</f>
        <v>4.6962000000000002</v>
      </c>
      <c r="M25" s="14">
        <f>CHOOSE(CONTROL!$C$42, 3.9849, 3.9849) * CHOOSE(CONTROL!$C$21, $C$9, 100%, $E$9)</f>
        <v>3.9849000000000001</v>
      </c>
      <c r="N25" s="14">
        <f>CHOOSE(CONTROL!$C$42, 4.0006, 4.0006) * CHOOSE(CONTROL!$C$21, $C$9, 100%, $E$9)</f>
        <v>4.0006000000000004</v>
      </c>
      <c r="O25" s="14">
        <f>CHOOSE(CONTROL!$C$42, 4.0816, 4.0816) * CHOOSE(CONTROL!$C$21, $C$9, 100%, $E$9)</f>
        <v>4.0815999999999999</v>
      </c>
      <c r="P25" s="14">
        <f>CHOOSE(CONTROL!$C$42, 4.0101, 4.0101) * CHOOSE(CONTROL!$C$21, $C$9, 100%, $E$9)</f>
        <v>4.0101000000000004</v>
      </c>
      <c r="Q25" s="14">
        <f>CHOOSE(CONTROL!$C$42, 4.6769, 4.6769) * CHOOSE(CONTROL!$C$21, $C$9, 100%, $E$9)</f>
        <v>4.6768999999999998</v>
      </c>
      <c r="R25" s="14">
        <f>CHOOSE(CONTROL!$C$42, 5.2756, 5.2756) * CHOOSE(CONTROL!$C$21, $C$9, 100%, $E$9)</f>
        <v>5.2755999999999998</v>
      </c>
      <c r="S25" s="14">
        <f>CHOOSE(CONTROL!$C$42, 3.8988, 3.8988) * CHOOSE(CONTROL!$C$21, $C$9, 100%, $E$9)</f>
        <v>3.8988</v>
      </c>
      <c r="T2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5" s="57">
        <f>(1000*CHOOSE(CONTROL!$C$42, 695, 695)*CHOOSE(CONTROL!$C$42, 0.5599, 0.5599)*CHOOSE(CONTROL!$C$42, 31, 31))/1000000</f>
        <v>12.063045499999998</v>
      </c>
      <c r="V25" s="57">
        <f>(1000*CHOOSE(CONTROL!$C$42, 580, 580)*CHOOSE(CONTROL!$C$42, 0.275, 0.275)*CHOOSE(CONTROL!$C$42, 31, 31))/1000000</f>
        <v>4.9444999999999997</v>
      </c>
      <c r="W25" s="57">
        <f>(1000*CHOOSE(CONTROL!$C$42, 0.1146, 0.1146)*CHOOSE(CONTROL!$C$42, 200, 200)*CHOOSE(CONTROL!$C$42, 31, 31))/1000000</f>
        <v>0.71052000000000004</v>
      </c>
      <c r="X25" s="57">
        <v>0</v>
      </c>
      <c r="Y25" s="57">
        <f>(0.16*2500000)/1000000</f>
        <v>0.4</v>
      </c>
      <c r="Z25" s="14">
        <f>CHOOSE(CONTROL!$C$42, 4.0093, 4.0093) * CHOOSE(CONTROL!$C$21, $C$9, 100%, $E$9)</f>
        <v>4.0092999999999996</v>
      </c>
      <c r="AA25" s="64">
        <f>(31*((7.89*31500+7.95*100000)/31))/1000000</f>
        <v>1.0435350000000001</v>
      </c>
      <c r="AB25" s="50">
        <f>(B25*122.58+C25*297.941+D25*89.177+E25*200.302+F25*40+G25*0+H25*0+I25*100+J25*300)/(122.58+297.941+89.177+200.302+0+40+0+100+300)</f>
        <v>4.0419658931304339</v>
      </c>
      <c r="AC25" s="45">
        <f>(M25*240+N25*0+O25*355+P25*100)/(240+0+355+100)</f>
        <v>4.0379194244604317</v>
      </c>
    </row>
    <row r="26" spans="1:29" ht="15" x14ac:dyDescent="0.2">
      <c r="A26" s="13">
        <v>41671</v>
      </c>
      <c r="B26" s="14">
        <f>CHOOSE(CONTROL!$C$42, 4.0211, 4.0211) * CHOOSE(CONTROL!$C$21, $C$9, 100%, $E$9)</f>
        <v>4.0210999999999997</v>
      </c>
      <c r="C26" s="14">
        <f>CHOOSE(CONTROL!$C$42, 4.0261, 4.0261) * CHOOSE(CONTROL!$C$21, $C$9, 100%, $E$9)</f>
        <v>4.0260999999999996</v>
      </c>
      <c r="D26" s="14">
        <f>CHOOSE(CONTROL!$C$42, 4.0904, 4.0904) * CHOOSE(CONTROL!$C$21, $C$9, 100%, $E$9)</f>
        <v>4.0903999999999998</v>
      </c>
      <c r="E26" s="14">
        <f>CHOOSE(CONTROL!$C$42, 4.1241, 4.1241) * CHOOSE(CONTROL!$C$21, $C$9, 100%, $E$9)</f>
        <v>4.1241000000000003</v>
      </c>
      <c r="F26" s="14">
        <f>CHOOSE(CONTROL!$C$42, 4.0227, 4.0227)*CHOOSE(CONTROL!$C$21, $C$9, 100%, $E$9)</f>
        <v>4.0227000000000004</v>
      </c>
      <c r="G26" s="14">
        <f>CHOOSE(CONTROL!$C$42, 4.0386, 4.0386)*CHOOSE(CONTROL!$C$21, $C$9, 100%, $E$9)</f>
        <v>4.0385999999999997</v>
      </c>
      <c r="H26" s="14">
        <f>CHOOSE(CONTROL!$C$42, 4.1133, 4.1133) * CHOOSE(CONTROL!$C$21, $C$9, 100%, $E$9)</f>
        <v>4.1132999999999997</v>
      </c>
      <c r="I26" s="14">
        <f>CHOOSE(CONTROL!$C$42, 4.0411, 4.0411)* CHOOSE(CONTROL!$C$21, $C$9, 100%, $E$9)</f>
        <v>4.0411000000000001</v>
      </c>
      <c r="J26" s="14">
        <f>CHOOSE(CONTROL!$C$42, 4.0157, 4.0157)* CHOOSE(CONTROL!$C$21, $C$9, 100%, $E$9)</f>
        <v>4.0156999999999998</v>
      </c>
      <c r="K26" s="62"/>
      <c r="L26" s="14">
        <f>CHOOSE(CONTROL!$C$42, 4.7003, 4.7003) * CHOOSE(CONTROL!$C$21, $C$9, 100%, $E$9)</f>
        <v>4.7003000000000004</v>
      </c>
      <c r="M26" s="14">
        <f>CHOOSE(CONTROL!$C$42, 3.989, 3.989) * CHOOSE(CONTROL!$C$21, $C$9, 100%, $E$9)</f>
        <v>3.9889999999999999</v>
      </c>
      <c r="N26" s="14">
        <f>CHOOSE(CONTROL!$C$42, 4.0048, 4.0048) * CHOOSE(CONTROL!$C$21, $C$9, 100%, $E$9)</f>
        <v>4.0048000000000004</v>
      </c>
      <c r="O26" s="14">
        <f>CHOOSE(CONTROL!$C$42, 4.0857, 4.0857) * CHOOSE(CONTROL!$C$21, $C$9, 100%, $E$9)</f>
        <v>4.0857000000000001</v>
      </c>
      <c r="P26" s="14">
        <f>CHOOSE(CONTROL!$C$42, 4.0142, 4.0142) * CHOOSE(CONTROL!$C$21, $C$9, 100%, $E$9)</f>
        <v>4.0141999999999998</v>
      </c>
      <c r="Q26" s="14">
        <f>CHOOSE(CONTROL!$C$42, 4.681, 4.681) * CHOOSE(CONTROL!$C$21, $C$9, 100%, $E$9)</f>
        <v>4.681</v>
      </c>
      <c r="R26" s="14">
        <f>CHOOSE(CONTROL!$C$42, 5.2797, 5.2797) * CHOOSE(CONTROL!$C$21, $C$9, 100%, $E$9)</f>
        <v>5.2797000000000001</v>
      </c>
      <c r="S26" s="14">
        <f>CHOOSE(CONTROL!$C$42, 3.9028, 3.9028) * CHOOSE(CONTROL!$C$21, $C$9, 100%, $E$9)</f>
        <v>3.9028</v>
      </c>
      <c r="T2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6" s="57">
        <f>(1000*CHOOSE(CONTROL!$C$42, 695, 695)*CHOOSE(CONTROL!$C$42, 0.5599, 0.5599)*CHOOSE(CONTROL!$C$42, 28, 28))/1000000</f>
        <v>10.895653999999999</v>
      </c>
      <c r="V26" s="57">
        <f>(1000*CHOOSE(CONTROL!$C$42, 580, 580)*CHOOSE(CONTROL!$C$42, 0.275, 0.275)*CHOOSE(CONTROL!$C$42, 28, 28))/1000000</f>
        <v>4.4660000000000002</v>
      </c>
      <c r="W26" s="57">
        <f>(1000*CHOOSE(CONTROL!$C$42, 0.1146, 0.1146)*CHOOSE(CONTROL!$C$42, 200, 200)*CHOOSE(CONTROL!$C$42, 28, 28))/1000000</f>
        <v>0.64176</v>
      </c>
      <c r="X26" s="57">
        <v>0</v>
      </c>
      <c r="Y26" s="57">
        <f>(0.16*2500000)/1000000</f>
        <v>0.4</v>
      </c>
      <c r="Z26" s="14">
        <f>CHOOSE(CONTROL!$C$42, 4.0134, 4.0134) * CHOOSE(CONTROL!$C$21, $C$9, 100%, $E$9)</f>
        <v>4.0133999999999999</v>
      </c>
      <c r="AA26" s="64">
        <f>(28*((7.89*31500+7.95*100000)/28))/1000000</f>
        <v>1.0435350000000001</v>
      </c>
      <c r="AB26" s="50">
        <f>(B26*122.58+C26*297.941+D26*89.177+E26*200.302+F26*40+G26*0+H26*0+I26*100+J26*300)/(122.58+297.941+89.177+200.302+0+40+0+100+300)</f>
        <v>4.0460954583478266</v>
      </c>
      <c r="AC26" s="45">
        <f>(M26*240+N26*0+O26*355+P26*100)/(240+0+355+100)</f>
        <v>4.0420194244604319</v>
      </c>
    </row>
    <row r="27" spans="1:29" ht="15" x14ac:dyDescent="0.2">
      <c r="A27" s="13">
        <v>41699</v>
      </c>
      <c r="B27" s="14">
        <f>CHOOSE(CONTROL!$C$42, 3.9964, 3.9964) * CHOOSE(CONTROL!$C$21, $C$9, 100%, $E$9)</f>
        <v>3.9964</v>
      </c>
      <c r="C27" s="14">
        <f>CHOOSE(CONTROL!$C$42, 4.0014, 4.0014) * CHOOSE(CONTROL!$C$21, $C$9, 100%, $E$9)</f>
        <v>4.0014000000000003</v>
      </c>
      <c r="D27" s="14">
        <f>CHOOSE(CONTROL!$C$42, 4.0657, 4.0657) * CHOOSE(CONTROL!$C$21, $C$9, 100%, $E$9)</f>
        <v>4.0656999999999996</v>
      </c>
      <c r="E27" s="14">
        <f>CHOOSE(CONTROL!$C$42, 4.0994, 4.0994) * CHOOSE(CONTROL!$C$21, $C$9, 100%, $E$9)</f>
        <v>4.0994000000000002</v>
      </c>
      <c r="F27" s="14">
        <f>CHOOSE(CONTROL!$C$42, 3.9977, 3.9977)*CHOOSE(CONTROL!$C$21, $C$9, 100%, $E$9)</f>
        <v>3.9977</v>
      </c>
      <c r="G27" s="14">
        <f>CHOOSE(CONTROL!$C$42, 4.0135, 4.0135)*CHOOSE(CONTROL!$C$21, $C$9, 100%, $E$9)</f>
        <v>4.0134999999999996</v>
      </c>
      <c r="H27" s="14">
        <f>CHOOSE(CONTROL!$C$42, 4.0886, 4.0886) * CHOOSE(CONTROL!$C$21, $C$9, 100%, $E$9)</f>
        <v>4.0885999999999996</v>
      </c>
      <c r="I27" s="14">
        <f>CHOOSE(CONTROL!$C$42, 4.0164, 4.0164)* CHOOSE(CONTROL!$C$21, $C$9, 100%, $E$9)</f>
        <v>4.0164</v>
      </c>
      <c r="J27" s="14">
        <f>CHOOSE(CONTROL!$C$42, 3.9907, 3.9907)* CHOOSE(CONTROL!$C$21, $C$9, 100%, $E$9)</f>
        <v>3.9906999999999999</v>
      </c>
      <c r="K27" s="62"/>
      <c r="L27" s="14">
        <f>CHOOSE(CONTROL!$C$42, 4.6756, 4.6756) * CHOOSE(CONTROL!$C$21, $C$9, 100%, $E$9)</f>
        <v>4.6756000000000002</v>
      </c>
      <c r="M27" s="14">
        <f>CHOOSE(CONTROL!$C$42, 3.9642, 3.9642) * CHOOSE(CONTROL!$C$21, $C$9, 100%, $E$9)</f>
        <v>3.9641999999999999</v>
      </c>
      <c r="N27" s="14">
        <f>CHOOSE(CONTROL!$C$42, 3.9799, 3.9799) * CHOOSE(CONTROL!$C$21, $C$9, 100%, $E$9)</f>
        <v>3.9799000000000002</v>
      </c>
      <c r="O27" s="14">
        <f>CHOOSE(CONTROL!$C$42, 4.0612, 4.0612) * CHOOSE(CONTROL!$C$21, $C$9, 100%, $E$9)</f>
        <v>4.0612000000000004</v>
      </c>
      <c r="P27" s="14">
        <f>CHOOSE(CONTROL!$C$42, 3.9897, 3.9897) * CHOOSE(CONTROL!$C$21, $C$9, 100%, $E$9)</f>
        <v>3.9897</v>
      </c>
      <c r="Q27" s="14">
        <f>CHOOSE(CONTROL!$C$42, 4.6565, 4.6565) * CHOOSE(CONTROL!$C$21, $C$9, 100%, $E$9)</f>
        <v>4.6565000000000003</v>
      </c>
      <c r="R27" s="14">
        <f>CHOOSE(CONTROL!$C$42, 5.2551, 5.2551) * CHOOSE(CONTROL!$C$21, $C$9, 100%, $E$9)</f>
        <v>5.2550999999999997</v>
      </c>
      <c r="S27" s="14">
        <f>CHOOSE(CONTROL!$C$42, 3.8788, 3.8788) * CHOOSE(CONTROL!$C$21, $C$9, 100%, $E$9)</f>
        <v>3.8788</v>
      </c>
      <c r="T2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7" s="57">
        <f>(1000*CHOOSE(CONTROL!$C$42, 695, 695)*CHOOSE(CONTROL!$C$42, 0.5599, 0.5599)*CHOOSE(CONTROL!$C$42, 31, 31))/1000000</f>
        <v>12.063045499999998</v>
      </c>
      <c r="V27" s="57">
        <f>(1000*CHOOSE(CONTROL!$C$42, 580, 580)*CHOOSE(CONTROL!$C$42, 0.275, 0.275)*CHOOSE(CONTROL!$C$42, 31, 31))/1000000</f>
        <v>4.9444999999999997</v>
      </c>
      <c r="W27" s="57">
        <f>(1000*CHOOSE(CONTROL!$C$42, 0.1146, 0.1146)*CHOOSE(CONTROL!$C$42, 200, 200)*CHOOSE(CONTROL!$C$42, 31, 31))/1000000</f>
        <v>0.71052000000000004</v>
      </c>
      <c r="X27" s="57">
        <v>0</v>
      </c>
      <c r="Y27" s="57">
        <f>(0.16*2500000)/1000000</f>
        <v>0.4</v>
      </c>
      <c r="Z27" s="14">
        <f>CHOOSE(CONTROL!$C$42, 3.9888, 3.9888) * CHOOSE(CONTROL!$C$21, $C$9, 100%, $E$9)</f>
        <v>3.9887999999999999</v>
      </c>
      <c r="AA27" s="64">
        <f>(31*((7.89*31500+7.95*100000)/31))/1000000</f>
        <v>1.0435350000000001</v>
      </c>
      <c r="AB27" s="50">
        <f>(B27*122.58+C27*297.941+D27*89.177+E27*200.302+F27*40+G27*0+H27*0+I27*100+J27*300)/(122.58+297.941+89.177+200.302+0+40+0+100+300)</f>
        <v>4.0213067626956516</v>
      </c>
      <c r="AC27" s="45">
        <f>(M27*240+N27*0+O27*355+P27*100)/(240+0+355+100)</f>
        <v>4.0174158273381302</v>
      </c>
    </row>
    <row r="28" spans="1:29" ht="15" x14ac:dyDescent="0.2">
      <c r="A28" s="13">
        <v>41730</v>
      </c>
      <c r="B28" s="14">
        <f>CHOOSE(CONTROL!$C$42, 3.9482, 3.9482) * CHOOSE(CONTROL!$C$21, $C$9, 100%, $E$9)</f>
        <v>3.9481999999999999</v>
      </c>
      <c r="C28" s="14">
        <f>CHOOSE(CONTROL!$C$42, 3.9525, 3.9525) * CHOOSE(CONTROL!$C$21, $C$9, 100%, $E$9)</f>
        <v>3.9525000000000001</v>
      </c>
      <c r="D28" s="14">
        <f>CHOOSE(CONTROL!$C$42, 4.1533, 4.1533) * CHOOSE(CONTROL!$C$21, $C$9, 100%, $E$9)</f>
        <v>4.1532999999999998</v>
      </c>
      <c r="E28" s="14">
        <f>CHOOSE(CONTROL!$C$42, 4.1851, 4.1851) * CHOOSE(CONTROL!$C$21, $C$9, 100%, $E$9)</f>
        <v>4.1851000000000003</v>
      </c>
      <c r="F28" s="14">
        <f>CHOOSE(CONTROL!$C$42, 3.9327, 3.9327)*CHOOSE(CONTROL!$C$21, $C$9, 100%, $E$9)</f>
        <v>3.9327000000000001</v>
      </c>
      <c r="G28" s="14">
        <f>CHOOSE(CONTROL!$C$42, 3.9484, 3.9484)*CHOOSE(CONTROL!$C$21, $C$9, 100%, $E$9)</f>
        <v>3.9483999999999999</v>
      </c>
      <c r="H28" s="14">
        <f>CHOOSE(CONTROL!$C$42, 4.1748, 4.1748) * CHOOSE(CONTROL!$C$21, $C$9, 100%, $E$9)</f>
        <v>4.1748000000000003</v>
      </c>
      <c r="I28" s="14">
        <f>CHOOSE(CONTROL!$C$42, 3.9609, 3.9609)* CHOOSE(CONTROL!$C$21, $C$9, 100%, $E$9)</f>
        <v>3.9609000000000001</v>
      </c>
      <c r="J28" s="14">
        <f>CHOOSE(CONTROL!$C$42, 3.9257, 3.9257)* CHOOSE(CONTROL!$C$21, $C$9, 100%, $E$9)</f>
        <v>3.9257</v>
      </c>
      <c r="K28" s="62"/>
      <c r="L28" s="14">
        <f>CHOOSE(CONTROL!$C$42, 4.7618, 4.7618) * CHOOSE(CONTROL!$C$21, $C$9, 100%, $E$9)</f>
        <v>4.7618</v>
      </c>
      <c r="M28" s="14">
        <f>CHOOSE(CONTROL!$C$42, 3.9, 3.9) * CHOOSE(CONTROL!$C$21, $C$9, 100%, $E$9)</f>
        <v>3.9</v>
      </c>
      <c r="N28" s="14">
        <f>CHOOSE(CONTROL!$C$42, 3.9154, 3.9154) * CHOOSE(CONTROL!$C$21, $C$9, 100%, $E$9)</f>
        <v>3.9154</v>
      </c>
      <c r="O28" s="14">
        <f>CHOOSE(CONTROL!$C$42, 4.1465, 4.1465) * CHOOSE(CONTROL!$C$21, $C$9, 100%, $E$9)</f>
        <v>4.1464999999999996</v>
      </c>
      <c r="P28" s="14">
        <f>CHOOSE(CONTROL!$C$42, 3.9348, 3.9348) * CHOOSE(CONTROL!$C$21, $C$9, 100%, $E$9)</f>
        <v>3.9348000000000001</v>
      </c>
      <c r="Q28" s="14">
        <f>CHOOSE(CONTROL!$C$42, 4.7418, 4.7418) * CHOOSE(CONTROL!$C$21, $C$9, 100%, $E$9)</f>
        <v>4.7417999999999996</v>
      </c>
      <c r="R28" s="14">
        <f>CHOOSE(CONTROL!$C$42, 5.3407, 5.3407) * CHOOSE(CONTROL!$C$21, $C$9, 100%, $E$9)</f>
        <v>5.3407</v>
      </c>
      <c r="S28" s="14">
        <f>CHOOSE(CONTROL!$C$42, 3.8312, 3.8312) * CHOOSE(CONTROL!$C$21, $C$9, 100%, $E$9)</f>
        <v>3.8311999999999999</v>
      </c>
      <c r="T2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8" s="57">
        <f>(1000*CHOOSE(CONTROL!$C$42, 695, 695)*CHOOSE(CONTROL!$C$42, 0.5599, 0.5599)*CHOOSE(CONTROL!$C$42, 30, 30))/1000000</f>
        <v>11.673914999999997</v>
      </c>
      <c r="V28" s="57">
        <f>(1000*CHOOSE(CONTROL!$C$42, 580, 580)*CHOOSE(CONTROL!$C$42, 0.275, 0.275)*CHOOSE(CONTROL!$C$42, 30, 30))/1000000</f>
        <v>4.7850000000000001</v>
      </c>
      <c r="W28" s="57">
        <f>(1000*CHOOSE(CONTROL!$C$42, 0.1146, 0.1146)*CHOOSE(CONTROL!$C$42, 200, 200)*CHOOSE(CONTROL!$C$42, 30, 30))/1000000</f>
        <v>0.68759999999999999</v>
      </c>
      <c r="X28" s="57">
        <f>30*0.1790888*145000/1000000</f>
        <v>0.77903627999999991</v>
      </c>
      <c r="Y28" s="57"/>
      <c r="Z28" s="14">
        <f>CHOOSE(CONTROL!$C$42, 3.9394, 3.9394) * CHOOSE(CONTROL!$C$21, $C$9, 100%, $E$9)</f>
        <v>3.9394</v>
      </c>
      <c r="AA28" s="64">
        <f>(30*((7.89*31500+7.95*100000)/30))/1000000</f>
        <v>1.0435350000000001</v>
      </c>
      <c r="AB28" s="50">
        <f>(B28*141.293+C28*267.993+D28*115.016+E28*249.698+F28*40+G28*25+H28*0+I28*100+J28*300)/(141.293+267.993+115.016+249.698+0+40+25+100+300)</f>
        <v>4.0109930651331718</v>
      </c>
      <c r="AC28" s="45">
        <f t="shared" ref="AC28:AC34" si="0">(M28*240+N28*120+O28*235+P28*100)/(240+120+235+100)</f>
        <v>3.9910151079136686</v>
      </c>
    </row>
    <row r="29" spans="1:29" ht="15" x14ac:dyDescent="0.2">
      <c r="A29" s="13">
        <v>41760</v>
      </c>
      <c r="B29" s="14">
        <f>CHOOSE(CONTROL!$C$42, 3.9681, 3.9681) * CHOOSE(CONTROL!$C$21, $C$9, 100%, $E$9)</f>
        <v>3.9681000000000002</v>
      </c>
      <c r="C29" s="14">
        <f>CHOOSE(CONTROL!$C$42, 3.976, 3.976) * CHOOSE(CONTROL!$C$21, $C$9, 100%, $E$9)</f>
        <v>3.976</v>
      </c>
      <c r="D29" s="14">
        <f>CHOOSE(CONTROL!$C$42, 4.1736, 4.1736) * CHOOSE(CONTROL!$C$21, $C$9, 100%, $E$9)</f>
        <v>4.1736000000000004</v>
      </c>
      <c r="E29" s="14">
        <f>CHOOSE(CONTROL!$C$42, 4.2047, 4.2047) * CHOOSE(CONTROL!$C$21, $C$9, 100%, $E$9)</f>
        <v>4.2046999999999999</v>
      </c>
      <c r="F29" s="14">
        <f>CHOOSE(CONTROL!$C$42, 3.9515, 3.9515)*CHOOSE(CONTROL!$C$21, $C$9, 100%, $E$9)</f>
        <v>3.9514999999999998</v>
      </c>
      <c r="G29" s="14">
        <f>CHOOSE(CONTROL!$C$42, 3.9676, 3.9676)*CHOOSE(CONTROL!$C$21, $C$9, 100%, $E$9)</f>
        <v>3.9676</v>
      </c>
      <c r="H29" s="14">
        <f>CHOOSE(CONTROL!$C$42, 4.1934, 4.1934) * CHOOSE(CONTROL!$C$21, $C$9, 100%, $E$9)</f>
        <v>4.1933999999999996</v>
      </c>
      <c r="I29" s="14">
        <f>CHOOSE(CONTROL!$C$42, 3.9795, 3.9795)* CHOOSE(CONTROL!$C$21, $C$9, 100%, $E$9)</f>
        <v>3.9794999999999998</v>
      </c>
      <c r="J29" s="14">
        <f>CHOOSE(CONTROL!$C$42, 3.9445, 3.9445)* CHOOSE(CONTROL!$C$21, $C$9, 100%, $E$9)</f>
        <v>3.9445000000000001</v>
      </c>
      <c r="K29" s="62"/>
      <c r="L29" s="14">
        <f>CHOOSE(CONTROL!$C$42, 4.7804, 4.7804) * CHOOSE(CONTROL!$C$21, $C$9, 100%, $E$9)</f>
        <v>4.7804000000000002</v>
      </c>
      <c r="M29" s="14">
        <f>CHOOSE(CONTROL!$C$42, 3.9185, 3.9185) * CHOOSE(CONTROL!$C$21, $C$9, 100%, $E$9)</f>
        <v>3.9184999999999999</v>
      </c>
      <c r="N29" s="14">
        <f>CHOOSE(CONTROL!$C$42, 3.9345, 3.9345) * CHOOSE(CONTROL!$C$21, $C$9, 100%, $E$9)</f>
        <v>3.9344999999999999</v>
      </c>
      <c r="O29" s="14">
        <f>CHOOSE(CONTROL!$C$42, 4.1649, 4.1649) * CHOOSE(CONTROL!$C$21, $C$9, 100%, $E$9)</f>
        <v>4.1649000000000003</v>
      </c>
      <c r="P29" s="14">
        <f>CHOOSE(CONTROL!$C$42, 3.9532, 3.9532) * CHOOSE(CONTROL!$C$21, $C$9, 100%, $E$9)</f>
        <v>3.9531999999999998</v>
      </c>
      <c r="Q29" s="14">
        <f>CHOOSE(CONTROL!$C$42, 4.7602, 4.7602) * CHOOSE(CONTROL!$C$21, $C$9, 100%, $E$9)</f>
        <v>4.7602000000000002</v>
      </c>
      <c r="R29" s="14">
        <f>CHOOSE(CONTROL!$C$42, 5.3591, 5.3591) * CHOOSE(CONTROL!$C$21, $C$9, 100%, $E$9)</f>
        <v>5.3590999999999998</v>
      </c>
      <c r="S29" s="14">
        <f>CHOOSE(CONTROL!$C$42, 3.8492, 3.8492) * CHOOSE(CONTROL!$C$21, $C$9, 100%, $E$9)</f>
        <v>3.8492000000000002</v>
      </c>
      <c r="T29" s="59">
        <f>((((430000*CHOOSE(CONTROL!$C$42, 0.4694, 0.4694)+(874000-430000)*CHOOSE(CONTROL!$C$42, 0.7185, 0.7185)+400000*CHOOSE(CONTROL!$C$42, 1.14, 1.14)+50000*0.98)*CHOOSE(CONTROL!$C$42, 31, 31))/1000000))+CHOOSE(CONTROL!$C$42, 0.1662, 0.1662)+CHOOSE(CONTROL!$C$42, 0.6286, 0.6286)</f>
        <v>32.596336000000001</v>
      </c>
      <c r="U29" s="57">
        <f>(1000*CHOOSE(CONTROL!$C$42, 695, 695)*CHOOSE(CONTROL!$C$42, 0.5599, 0.5599)*CHOOSE(CONTROL!$C$42, 31, 31))/1000000</f>
        <v>12.063045499999998</v>
      </c>
      <c r="V29" s="57">
        <f>(1000*CHOOSE(CONTROL!$C$42, 580, 580)*CHOOSE(CONTROL!$C$42, 0.275, 0.275)*CHOOSE(CONTROL!$C$42, 31, 31))/1000000</f>
        <v>4.9444999999999997</v>
      </c>
      <c r="W29" s="57">
        <f>(1000*CHOOSE(CONTROL!$C$42, 0.1146, 0.1146)*CHOOSE(CONTROL!$C$42, 200, 200)*CHOOSE(CONTROL!$C$42, 31, 31))/1000000</f>
        <v>0.71052000000000004</v>
      </c>
      <c r="X29" s="57">
        <f>31*0.1790888*145000/1000000</f>
        <v>0.80500415599999997</v>
      </c>
      <c r="Y29" s="57"/>
      <c r="Z29" s="14">
        <f>CHOOSE(CONTROL!$C$42, 3.9578, 3.9578) * CHOOSE(CONTROL!$C$21, $C$9, 100%, $E$9)</f>
        <v>3.9578000000000002</v>
      </c>
      <c r="AA29" s="64">
        <f>(31*((7.89*31500+7.95*100000)/31))/1000000</f>
        <v>1.0435350000000001</v>
      </c>
      <c r="AB29" s="50">
        <f>(B29*194.205+C29*267.466+D29*133.845+E29*213.484+F29*40+G29*25+H29*50+I29*100+J29*300)/(194.205+267.466+133.845+213.484+50+40+25+100+300)</f>
        <v>4.0321309239425984</v>
      </c>
      <c r="AC29" s="45">
        <f t="shared" si="0"/>
        <v>4.0095705035971232</v>
      </c>
    </row>
    <row r="30" spans="1:29" ht="15" x14ac:dyDescent="0.2">
      <c r="A30" s="13">
        <v>41791</v>
      </c>
      <c r="B30" s="14">
        <f>CHOOSE(CONTROL!$C$42, 4, 4) * CHOOSE(CONTROL!$C$21, $C$9, 100%, $E$9)</f>
        <v>4</v>
      </c>
      <c r="C30" s="14">
        <f>CHOOSE(CONTROL!$C$42, 4.0079, 4.0079) * CHOOSE(CONTROL!$C$21, $C$9, 100%, $E$9)</f>
        <v>4.0079000000000002</v>
      </c>
      <c r="D30" s="14">
        <f>CHOOSE(CONTROL!$C$42, 4.2055, 4.2055) * CHOOSE(CONTROL!$C$21, $C$9, 100%, $E$9)</f>
        <v>4.2054999999999998</v>
      </c>
      <c r="E30" s="14">
        <f>CHOOSE(CONTROL!$C$42, 4.2367, 4.2367) * CHOOSE(CONTROL!$C$21, $C$9, 100%, $E$9)</f>
        <v>4.2366999999999999</v>
      </c>
      <c r="F30" s="14">
        <f>CHOOSE(CONTROL!$C$42, 3.9839, 3.9839)*CHOOSE(CONTROL!$C$21, $C$9, 100%, $E$9)</f>
        <v>3.9839000000000002</v>
      </c>
      <c r="G30" s="14">
        <f>CHOOSE(CONTROL!$C$42, 4, 4)*CHOOSE(CONTROL!$C$21, $C$9, 100%, $E$9)</f>
        <v>4</v>
      </c>
      <c r="H30" s="14">
        <f>CHOOSE(CONTROL!$C$42, 4.2253, 4.2253) * CHOOSE(CONTROL!$C$21, $C$9, 100%, $E$9)</f>
        <v>4.2252999999999998</v>
      </c>
      <c r="I30" s="14">
        <f>CHOOSE(CONTROL!$C$42, 4.0114, 4.0114)* CHOOSE(CONTROL!$C$21, $C$9, 100%, $E$9)</f>
        <v>4.0114000000000001</v>
      </c>
      <c r="J30" s="14">
        <f>CHOOSE(CONTROL!$C$42, 3.9769, 3.9769)* CHOOSE(CONTROL!$C$21, $C$9, 100%, $E$9)</f>
        <v>3.9769000000000001</v>
      </c>
      <c r="K30" s="62"/>
      <c r="L30" s="14">
        <f>CHOOSE(CONTROL!$C$42, 4.8123, 4.8123) * CHOOSE(CONTROL!$C$21, $C$9, 100%, $E$9)</f>
        <v>4.8122999999999996</v>
      </c>
      <c r="M30" s="14">
        <f>CHOOSE(CONTROL!$C$42, 3.9506, 3.9506) * CHOOSE(CONTROL!$C$21, $C$9, 100%, $E$9)</f>
        <v>3.9506000000000001</v>
      </c>
      <c r="N30" s="14">
        <f>CHOOSE(CONTROL!$C$42, 3.9666, 3.9666) * CHOOSE(CONTROL!$C$21, $C$9, 100%, $E$9)</f>
        <v>3.9666000000000001</v>
      </c>
      <c r="O30" s="14">
        <f>CHOOSE(CONTROL!$C$42, 4.1965, 4.1965) * CHOOSE(CONTROL!$C$21, $C$9, 100%, $E$9)</f>
        <v>4.1965000000000003</v>
      </c>
      <c r="P30" s="14">
        <f>CHOOSE(CONTROL!$C$42, 3.9848, 3.9848) * CHOOSE(CONTROL!$C$21, $C$9, 100%, $E$9)</f>
        <v>3.9847999999999999</v>
      </c>
      <c r="Q30" s="14">
        <f>CHOOSE(CONTROL!$C$42, 4.7918, 4.7918) * CHOOSE(CONTROL!$C$21, $C$9, 100%, $E$9)</f>
        <v>4.7918000000000003</v>
      </c>
      <c r="R30" s="14">
        <f>CHOOSE(CONTROL!$C$42, 5.3908, 5.3908) * CHOOSE(CONTROL!$C$21, $C$9, 100%, $E$9)</f>
        <v>5.3907999999999996</v>
      </c>
      <c r="S30" s="14">
        <f>CHOOSE(CONTROL!$C$42, 3.8802, 3.8802) * CHOOSE(CONTROL!$C$21, $C$9, 100%, $E$9)</f>
        <v>3.8801999999999999</v>
      </c>
      <c r="T30" s="59">
        <f>((((430000*CHOOSE(CONTROL!$C$42, 0.4694, 0.4694)+(874000-430000)*CHOOSE(CONTROL!$C$42, 0.7185, 0.7185)+400000*CHOOSE(CONTROL!$C$42, 1.14, 1.14)+50000*0.98)*CHOOSE(CONTROL!$C$42, 30, 30))/1000000))+CHOOSE(CONTROL!$C$42, 0.1573, 0.1573)+CHOOSE(CONTROL!$C$42, 0.6376, 0.6376)</f>
        <v>31.57058</v>
      </c>
      <c r="U30" s="57">
        <f>(1000*CHOOSE(CONTROL!$C$42, 695, 695)*CHOOSE(CONTROL!$C$42, 0.5599, 0.5599)*CHOOSE(CONTROL!$C$42, 30, 30))/1000000</f>
        <v>11.673914999999997</v>
      </c>
      <c r="V30" s="57">
        <f>(1000*CHOOSE(CONTROL!$C$42, 580, 580)*CHOOSE(CONTROL!$C$42, 0.275, 0.275)*CHOOSE(CONTROL!$C$42, 30, 30))/1000000</f>
        <v>4.7850000000000001</v>
      </c>
      <c r="W30" s="57">
        <f>(1000*CHOOSE(CONTROL!$C$42, 0.1146, 0.1146)*CHOOSE(CONTROL!$C$42, 200, 200)*CHOOSE(CONTROL!$C$42, 30, 30))/1000000</f>
        <v>0.68759999999999999</v>
      </c>
      <c r="X30" s="57">
        <f>30*0.1790888*145000/1000000</f>
        <v>0.77903627999999991</v>
      </c>
      <c r="Y30" s="57"/>
      <c r="Z30" s="14">
        <f>CHOOSE(CONTROL!$C$42, 3.9895, 3.9895) * CHOOSE(CONTROL!$C$21, $C$9, 100%, $E$9)</f>
        <v>3.9895</v>
      </c>
      <c r="AA30" s="63">
        <f>(30*((7.95*31500+8.07*100000)/30))/1000000</f>
        <v>1.0574250000000001</v>
      </c>
      <c r="AB30" s="50">
        <f>(B30*194.205+C30*267.466+D30*133.845+E30*213.484+F30*40+G30*25+H30*50+I30*100+J30*300)/(194.205+267.466+133.845+213.484+50+40+25+100+300)</f>
        <v>4.0641848879909368</v>
      </c>
      <c r="AC30" s="45">
        <f t="shared" si="0"/>
        <v>4.0414294964028779</v>
      </c>
    </row>
    <row r="31" spans="1:29" ht="15" x14ac:dyDescent="0.2">
      <c r="A31" s="13">
        <v>41821</v>
      </c>
      <c r="B31" s="14">
        <f>CHOOSE(CONTROL!$C$42, 4.033, 4.033) * CHOOSE(CONTROL!$C$21, $C$9, 100%, $E$9)</f>
        <v>4.0330000000000004</v>
      </c>
      <c r="C31" s="14">
        <f>CHOOSE(CONTROL!$C$42, 4.0409, 4.0409) * CHOOSE(CONTROL!$C$21, $C$9, 100%, $E$9)</f>
        <v>4.0408999999999997</v>
      </c>
      <c r="D31" s="14">
        <f>CHOOSE(CONTROL!$C$42, 4.2385, 4.2385) * CHOOSE(CONTROL!$C$21, $C$9, 100%, $E$9)</f>
        <v>4.2385000000000002</v>
      </c>
      <c r="E31" s="14">
        <f>CHOOSE(CONTROL!$C$42, 4.2696, 4.2696) * CHOOSE(CONTROL!$C$21, $C$9, 100%, $E$9)</f>
        <v>4.2695999999999996</v>
      </c>
      <c r="F31" s="14">
        <f>CHOOSE(CONTROL!$C$42, 4.0172, 4.0172)*CHOOSE(CONTROL!$C$21, $C$9, 100%, $E$9)</f>
        <v>4.0171999999999999</v>
      </c>
      <c r="G31" s="14">
        <f>CHOOSE(CONTROL!$C$42, 4.0335, 4.0335)*CHOOSE(CONTROL!$C$21, $C$9, 100%, $E$9)</f>
        <v>4.0335000000000001</v>
      </c>
      <c r="H31" s="14">
        <f>CHOOSE(CONTROL!$C$42, 4.2582, 4.2582) * CHOOSE(CONTROL!$C$21, $C$9, 100%, $E$9)</f>
        <v>4.2582000000000004</v>
      </c>
      <c r="I31" s="14">
        <f>CHOOSE(CONTROL!$C$42, 4.0443, 4.0443)* CHOOSE(CONTROL!$C$21, $C$9, 100%, $E$9)</f>
        <v>4.0442999999999998</v>
      </c>
      <c r="J31" s="14">
        <f>CHOOSE(CONTROL!$C$42, 4.0102, 4.0102)* CHOOSE(CONTROL!$C$21, $C$9, 100%, $E$9)</f>
        <v>4.0102000000000002</v>
      </c>
      <c r="K31" s="62"/>
      <c r="L31" s="14">
        <f>CHOOSE(CONTROL!$C$42, 4.8452, 4.8452) * CHOOSE(CONTROL!$C$21, $C$9, 100%, $E$9)</f>
        <v>4.8452000000000002</v>
      </c>
      <c r="M31" s="14">
        <f>CHOOSE(CONTROL!$C$42, 3.9836, 3.9836) * CHOOSE(CONTROL!$C$21, $C$9, 100%, $E$9)</f>
        <v>3.9836</v>
      </c>
      <c r="N31" s="14">
        <f>CHOOSE(CONTROL!$C$42, 3.9997, 3.9997) * CHOOSE(CONTROL!$C$21, $C$9, 100%, $E$9)</f>
        <v>3.9996999999999998</v>
      </c>
      <c r="O31" s="14">
        <f>CHOOSE(CONTROL!$C$42, 4.2291, 4.2291) * CHOOSE(CONTROL!$C$21, $C$9, 100%, $E$9)</f>
        <v>4.2290999999999999</v>
      </c>
      <c r="P31" s="14">
        <f>CHOOSE(CONTROL!$C$42, 4.0174, 4.0174) * CHOOSE(CONTROL!$C$21, $C$9, 100%, $E$9)</f>
        <v>4.0174000000000003</v>
      </c>
      <c r="Q31" s="14">
        <f>CHOOSE(CONTROL!$C$42, 4.8244, 4.8244) * CHOOSE(CONTROL!$C$21, $C$9, 100%, $E$9)</f>
        <v>4.8243999999999998</v>
      </c>
      <c r="R31" s="14">
        <f>CHOOSE(CONTROL!$C$42, 5.4235, 5.4235) * CHOOSE(CONTROL!$C$21, $C$9, 100%, $E$9)</f>
        <v>5.4234999999999998</v>
      </c>
      <c r="S31" s="14">
        <f>CHOOSE(CONTROL!$C$42, 3.9122, 3.9122) * CHOOSE(CONTROL!$C$21, $C$9, 100%, $E$9)</f>
        <v>3.9121999999999999</v>
      </c>
      <c r="T31" s="59">
        <f>((((430000*CHOOSE(CONTROL!$C$42, 0.4694, 0.4694)+(874000-430000)*CHOOSE(CONTROL!$C$42, 0.7185, 0.7185)+400000*CHOOSE(CONTROL!$C$42, 1.14, 1.14)+50000*0.98)*CHOOSE(CONTROL!$C$42, 31, 31))/1000000))+CHOOSE(CONTROL!$C$42, 0.1519, 0.1519)+CHOOSE(CONTROL!$C$42, 0.626, 0.626)</f>
        <v>32.579436000000001</v>
      </c>
      <c r="U31" s="57">
        <f>(1000*CHOOSE(CONTROL!$C$42, 695, 695)*CHOOSE(CONTROL!$C$42, 0.5599, 0.5599)*CHOOSE(CONTROL!$C$42, 31, 31))/1000000</f>
        <v>12.063045499999998</v>
      </c>
      <c r="V31" s="57">
        <f>(1000*CHOOSE(CONTROL!$C$42, 580, 580)*CHOOSE(CONTROL!$C$42, 0.275, 0.275)*CHOOSE(CONTROL!$C$42, 31, 31))/1000000</f>
        <v>4.9444999999999997</v>
      </c>
      <c r="W31" s="57">
        <f>(1000*CHOOSE(CONTROL!$C$42, 0.1146, 0.1146)*CHOOSE(CONTROL!$C$42, 200, 200)*CHOOSE(CONTROL!$C$42, 31, 31))/1000000</f>
        <v>0.71052000000000004</v>
      </c>
      <c r="X31" s="57">
        <f>31*0.1790888*145000/1000000</f>
        <v>0.80500415599999997</v>
      </c>
      <c r="Y31" s="57"/>
      <c r="Z31" s="14">
        <f>CHOOSE(CONTROL!$C$42, 4.0223, 4.0223) * CHOOSE(CONTROL!$C$21, $C$9, 100%, $E$9)</f>
        <v>4.0223000000000004</v>
      </c>
      <c r="AA31" s="61">
        <f>(31*((8.01*31500+8.07*100000)/31))/1000000</f>
        <v>1.059315</v>
      </c>
      <c r="AB31" s="50">
        <f>(B31*194.205+C31*267.466+D31*133.845+E31*213.484+F31*40+G31*25+H31*50+I31*100+J31*300)/(194.205+267.466+133.845+213.484+50+40+25+100+300)</f>
        <v>4.0972439148791544</v>
      </c>
      <c r="AC31" s="45">
        <f t="shared" si="0"/>
        <v>4.0742539568345322</v>
      </c>
    </row>
    <row r="32" spans="1:29" ht="15" x14ac:dyDescent="0.2">
      <c r="A32" s="13">
        <v>41852</v>
      </c>
      <c r="B32" s="14">
        <f>CHOOSE(CONTROL!$C$42, 4.0474, 4.0474) * CHOOSE(CONTROL!$C$21, $C$9, 100%, $E$9)</f>
        <v>4.0473999999999997</v>
      </c>
      <c r="C32" s="14">
        <f>CHOOSE(CONTROL!$C$42, 4.0553, 4.0553) * CHOOSE(CONTROL!$C$21, $C$9, 100%, $E$9)</f>
        <v>4.0552999999999999</v>
      </c>
      <c r="D32" s="14">
        <f>CHOOSE(CONTROL!$C$42, 4.2529, 4.2529) * CHOOSE(CONTROL!$C$21, $C$9, 100%, $E$9)</f>
        <v>4.2529000000000003</v>
      </c>
      <c r="E32" s="14">
        <f>CHOOSE(CONTROL!$C$42, 4.284, 4.284) * CHOOSE(CONTROL!$C$21, $C$9, 100%, $E$9)</f>
        <v>4.2839999999999998</v>
      </c>
      <c r="F32" s="14">
        <f>CHOOSE(CONTROL!$C$42, 4.0318, 4.0318)*CHOOSE(CONTROL!$C$21, $C$9, 100%, $E$9)</f>
        <v>4.0317999999999996</v>
      </c>
      <c r="G32" s="14">
        <f>CHOOSE(CONTROL!$C$42, 4.0482, 4.0482)*CHOOSE(CONTROL!$C$21, $C$9, 100%, $E$9)</f>
        <v>4.0481999999999996</v>
      </c>
      <c r="H32" s="14">
        <f>CHOOSE(CONTROL!$C$42, 4.2727, 4.2727) * CHOOSE(CONTROL!$C$21, $C$9, 100%, $E$9)</f>
        <v>4.2727000000000004</v>
      </c>
      <c r="I32" s="14">
        <f>CHOOSE(CONTROL!$C$42, 4.0588, 4.0588)* CHOOSE(CONTROL!$C$21, $C$9, 100%, $E$9)</f>
        <v>4.0587999999999997</v>
      </c>
      <c r="J32" s="14">
        <f>CHOOSE(CONTROL!$C$42, 4.0248, 4.0248)* CHOOSE(CONTROL!$C$21, $C$9, 100%, $E$9)</f>
        <v>4.0247999999999999</v>
      </c>
      <c r="K32" s="62"/>
      <c r="L32" s="14">
        <f>CHOOSE(CONTROL!$C$42, 4.8597, 4.8597) * CHOOSE(CONTROL!$C$21, $C$9, 100%, $E$9)</f>
        <v>4.8597000000000001</v>
      </c>
      <c r="M32" s="14">
        <f>CHOOSE(CONTROL!$C$42, 3.998, 3.998) * CHOOSE(CONTROL!$C$21, $C$9, 100%, $E$9)</f>
        <v>3.9980000000000002</v>
      </c>
      <c r="N32" s="14">
        <f>CHOOSE(CONTROL!$C$42, 4.0142, 4.0142) * CHOOSE(CONTROL!$C$21, $C$9, 100%, $E$9)</f>
        <v>4.0141999999999998</v>
      </c>
      <c r="O32" s="14">
        <f>CHOOSE(CONTROL!$C$42, 4.2434, 4.2434) * CHOOSE(CONTROL!$C$21, $C$9, 100%, $E$9)</f>
        <v>4.2434000000000003</v>
      </c>
      <c r="P32" s="14">
        <f>CHOOSE(CONTROL!$C$42, 4.0317, 4.0317) * CHOOSE(CONTROL!$C$21, $C$9, 100%, $E$9)</f>
        <v>4.0316999999999998</v>
      </c>
      <c r="Q32" s="14">
        <f>CHOOSE(CONTROL!$C$42, 4.8387, 4.8387) * CHOOSE(CONTROL!$C$21, $C$9, 100%, $E$9)</f>
        <v>4.8387000000000002</v>
      </c>
      <c r="R32" s="14">
        <f>CHOOSE(CONTROL!$C$42, 5.4378, 5.4378) * CHOOSE(CONTROL!$C$21, $C$9, 100%, $E$9)</f>
        <v>5.4378000000000002</v>
      </c>
      <c r="S32" s="14">
        <f>CHOOSE(CONTROL!$C$42, 3.9262, 3.9262) * CHOOSE(CONTROL!$C$21, $C$9, 100%, $E$9)</f>
        <v>3.9262000000000001</v>
      </c>
      <c r="T32" s="59">
        <f>((((430000*CHOOSE(CONTROL!$C$42, 0.4694, 0.4694)+(874000-430000)*CHOOSE(CONTROL!$C$42, 0.7185, 0.7185)+400000*CHOOSE(CONTROL!$C$42, 1.14, 1.14)+50000*0.98)*CHOOSE(CONTROL!$C$42, 31, 31))/1000000))+CHOOSE(CONTROL!$C$42, 0.1868, 0.1868)+CHOOSE(CONTROL!$C$42, 0.6257, 0.6257)</f>
        <v>32.614035999999999</v>
      </c>
      <c r="U32" s="57">
        <f>(1000*CHOOSE(CONTROL!$C$42, 695, 695)*CHOOSE(CONTROL!$C$42, 0.5599, 0.5599)*CHOOSE(CONTROL!$C$42, 31, 31))/1000000</f>
        <v>12.063045499999998</v>
      </c>
      <c r="V32" s="57">
        <f>(1000*CHOOSE(CONTROL!$C$42, 580, 580)*CHOOSE(CONTROL!$C$42, 0.275, 0.275)*CHOOSE(CONTROL!$C$42, 31, 31))/1000000</f>
        <v>4.9444999999999997</v>
      </c>
      <c r="W32" s="57">
        <f>(1000*CHOOSE(CONTROL!$C$42, 0.1146, 0.1146)*CHOOSE(CONTROL!$C$42, 200, 200)*CHOOSE(CONTROL!$C$42, 31, 31))/1000000</f>
        <v>0.71052000000000004</v>
      </c>
      <c r="X32" s="57">
        <f>31*0.1790888*145000/1000000</f>
        <v>0.80500415599999997</v>
      </c>
      <c r="Y32" s="57"/>
      <c r="Z32" s="14">
        <f>CHOOSE(CONTROL!$C$42, 4.0366, 4.0366) * CHOOSE(CONTROL!$C$21, $C$9, 100%, $E$9)</f>
        <v>4.0366</v>
      </c>
      <c r="AA32" s="61">
        <f>(31*((8.01*31500+8.07*100000)/31))/1000000</f>
        <v>1.059315</v>
      </c>
      <c r="AB32" s="50">
        <f>(B32*194.205+C32*267.466+D32*133.845+E32*213.484+F32*40+G32*25+H32*50+I32*100+J32*300)/(194.205+267.466+133.845+213.484+50+40+25+100+300)</f>
        <v>4.1117122683534744</v>
      </c>
      <c r="AC32" s="45">
        <f t="shared" si="0"/>
        <v>4.0886230215827339</v>
      </c>
    </row>
    <row r="33" spans="1:29" ht="15" x14ac:dyDescent="0.2">
      <c r="A33" s="13">
        <v>41883</v>
      </c>
      <c r="B33" s="14">
        <f>CHOOSE(CONTROL!$C$42, 4.0419, 4.0419) * CHOOSE(CONTROL!$C$21, $C$9, 100%, $E$9)</f>
        <v>4.0419</v>
      </c>
      <c r="C33" s="14">
        <f>CHOOSE(CONTROL!$C$42, 4.0498, 4.0498) * CHOOSE(CONTROL!$C$21, $C$9, 100%, $E$9)</f>
        <v>4.0498000000000003</v>
      </c>
      <c r="D33" s="14">
        <f>CHOOSE(CONTROL!$C$42, 4.2474, 4.2474) * CHOOSE(CONTROL!$C$21, $C$9, 100%, $E$9)</f>
        <v>4.2473999999999998</v>
      </c>
      <c r="E33" s="14">
        <f>CHOOSE(CONTROL!$C$42, 4.2785, 4.2785) * CHOOSE(CONTROL!$C$21, $C$9, 100%, $E$9)</f>
        <v>4.2785000000000002</v>
      </c>
      <c r="F33" s="14">
        <f>CHOOSE(CONTROL!$C$42, 4.0262, 4.0262)*CHOOSE(CONTROL!$C$21, $C$9, 100%, $E$9)</f>
        <v>4.0262000000000002</v>
      </c>
      <c r="G33" s="14">
        <f>CHOOSE(CONTROL!$C$42, 4.0426, 4.0426)*CHOOSE(CONTROL!$C$21, $C$9, 100%, $E$9)</f>
        <v>4.0426000000000002</v>
      </c>
      <c r="H33" s="14">
        <f>CHOOSE(CONTROL!$C$42, 4.2671, 4.2671) * CHOOSE(CONTROL!$C$21, $C$9, 100%, $E$9)</f>
        <v>4.2671000000000001</v>
      </c>
      <c r="I33" s="14">
        <f>CHOOSE(CONTROL!$C$42, 4.0532, 4.0532)* CHOOSE(CONTROL!$C$21, $C$9, 100%, $E$9)</f>
        <v>4.0532000000000004</v>
      </c>
      <c r="J33" s="14">
        <f>CHOOSE(CONTROL!$C$42, 4.0192, 4.0192)* CHOOSE(CONTROL!$C$21, $C$9, 100%, $E$9)</f>
        <v>4.0191999999999997</v>
      </c>
      <c r="K33" s="62"/>
      <c r="L33" s="14">
        <f>CHOOSE(CONTROL!$C$42, 4.8541, 4.8541) * CHOOSE(CONTROL!$C$21, $C$9, 100%, $E$9)</f>
        <v>4.8540999999999999</v>
      </c>
      <c r="M33" s="14">
        <f>CHOOSE(CONTROL!$C$42, 3.9925, 3.9925) * CHOOSE(CONTROL!$C$21, $C$9, 100%, $E$9)</f>
        <v>3.9925000000000002</v>
      </c>
      <c r="N33" s="14">
        <f>CHOOSE(CONTROL!$C$42, 4.0087, 4.0087) * CHOOSE(CONTROL!$C$21, $C$9, 100%, $E$9)</f>
        <v>4.0087000000000002</v>
      </c>
      <c r="O33" s="14">
        <f>CHOOSE(CONTROL!$C$42, 4.2379, 4.2379) * CHOOSE(CONTROL!$C$21, $C$9, 100%, $E$9)</f>
        <v>4.2378999999999998</v>
      </c>
      <c r="P33" s="14">
        <f>CHOOSE(CONTROL!$C$42, 4.0262, 4.0262) * CHOOSE(CONTROL!$C$21, $C$9, 100%, $E$9)</f>
        <v>4.0262000000000002</v>
      </c>
      <c r="Q33" s="14">
        <f>CHOOSE(CONTROL!$C$42, 4.8332, 4.8332) * CHOOSE(CONTROL!$C$21, $C$9, 100%, $E$9)</f>
        <v>4.8331999999999997</v>
      </c>
      <c r="R33" s="14">
        <f>CHOOSE(CONTROL!$C$42, 5.4323, 5.4323) * CHOOSE(CONTROL!$C$21, $C$9, 100%, $E$9)</f>
        <v>5.4322999999999997</v>
      </c>
      <c r="S33" s="14">
        <f>CHOOSE(CONTROL!$C$42, 3.9208, 3.9208) * CHOOSE(CONTROL!$C$21, $C$9, 100%, $E$9)</f>
        <v>3.9207999999999998</v>
      </c>
      <c r="T33" s="59">
        <f>((((430000*CHOOSE(CONTROL!$C$42, 0.4694, 0.4694)+(874000-430000)*CHOOSE(CONTROL!$C$42, 0.7185, 0.7185)+400000*CHOOSE(CONTROL!$C$42, 1.14, 1.14)+50000*0.98)*CHOOSE(CONTROL!$C$42, 30, 30))/1000000))+CHOOSE(CONTROL!$C$42, 0.1677, 0.1677)+CHOOSE(CONTROL!$C$42, 0.1997, 0.1997)</f>
        <v>31.143080000000001</v>
      </c>
      <c r="U33" s="57">
        <f>(1000*CHOOSE(CONTROL!$C$42, 695, 695)*CHOOSE(CONTROL!$C$42, 0.5599, 0.5599)*CHOOSE(CONTROL!$C$42, 30, 30))/1000000</f>
        <v>11.673914999999997</v>
      </c>
      <c r="V33" s="57">
        <f>(1000*CHOOSE(CONTROL!$C$42, 580, 580)*CHOOSE(CONTROL!$C$42, 0.275, 0.275)*CHOOSE(CONTROL!$C$42, 30, 30))/1000000</f>
        <v>4.7850000000000001</v>
      </c>
      <c r="W33" s="57">
        <f>(1000*CHOOSE(CONTROL!$C$42, 0.1146, 0.1146)*CHOOSE(CONTROL!$C$42, 200, 200)*CHOOSE(CONTROL!$C$42, 30, 30))/1000000</f>
        <v>0.68759999999999999</v>
      </c>
      <c r="X33" s="57">
        <f>30*0.1790888*145000/1000000</f>
        <v>0.77903627999999991</v>
      </c>
      <c r="Y33" s="57"/>
      <c r="Z33" s="14">
        <f>CHOOSE(CONTROL!$C$42, 4.0311, 4.0311) * CHOOSE(CONTROL!$C$21, $C$9, 100%, $E$9)</f>
        <v>4.0311000000000003</v>
      </c>
      <c r="AA33" s="61">
        <f>(30*((8.01*31500+8.07*100000)/30))/1000000</f>
        <v>1.059315</v>
      </c>
      <c r="AB33" s="50">
        <f>(B33*194.205+C33*267.466+D33*133.845+E33*213.484+F33*40+G33*25+H33*50+I33*100+J33*300)/(194.205+267.466+133.845+213.484+50+40+25+100+300)</f>
        <v>4.1061733710725079</v>
      </c>
      <c r="AC33" s="45">
        <f t="shared" si="0"/>
        <v>4.0831230215827343</v>
      </c>
    </row>
    <row r="34" spans="1:29" ht="15" x14ac:dyDescent="0.2">
      <c r="A34" s="13">
        <v>41913</v>
      </c>
      <c r="B34" s="14">
        <f>CHOOSE(CONTROL!$C$42, 4.0586, 4.0586) * CHOOSE(CONTROL!$C$21, $C$9, 100%, $E$9)</f>
        <v>4.0586000000000002</v>
      </c>
      <c r="C34" s="14">
        <f>CHOOSE(CONTROL!$C$42, 4.0638, 4.0638) * CHOOSE(CONTROL!$C$21, $C$9, 100%, $E$9)</f>
        <v>4.0637999999999996</v>
      </c>
      <c r="D34" s="14">
        <f>CHOOSE(CONTROL!$C$42, 4.2664, 4.2664) * CHOOSE(CONTROL!$C$21, $C$9, 100%, $E$9)</f>
        <v>4.2664</v>
      </c>
      <c r="E34" s="14">
        <f>CHOOSE(CONTROL!$C$42, 4.2952, 4.2952) * CHOOSE(CONTROL!$C$21, $C$9, 100%, $E$9)</f>
        <v>4.2952000000000004</v>
      </c>
      <c r="F34" s="14">
        <f>CHOOSE(CONTROL!$C$42, 4.045, 4.045)*CHOOSE(CONTROL!$C$21, $C$9, 100%, $E$9)</f>
        <v>4.0449999999999999</v>
      </c>
      <c r="G34" s="14">
        <f>CHOOSE(CONTROL!$C$42, 4.061, 4.061)*CHOOSE(CONTROL!$C$21, $C$9, 100%, $E$9)</f>
        <v>4.0609999999999999</v>
      </c>
      <c r="H34" s="14">
        <f>CHOOSE(CONTROL!$C$42, 4.2857, 4.2857) * CHOOSE(CONTROL!$C$21, $C$9, 100%, $E$9)</f>
        <v>4.2857000000000003</v>
      </c>
      <c r="I34" s="14">
        <f>CHOOSE(CONTROL!$C$42, 4.0718, 4.0718)* CHOOSE(CONTROL!$C$21, $C$9, 100%, $E$9)</f>
        <v>4.0717999999999996</v>
      </c>
      <c r="J34" s="14">
        <f>CHOOSE(CONTROL!$C$42, 4.038, 4.038)* CHOOSE(CONTROL!$C$21, $C$9, 100%, $E$9)</f>
        <v>4.0380000000000003</v>
      </c>
      <c r="K34" s="62"/>
      <c r="L34" s="14">
        <f>CHOOSE(CONTROL!$C$42, 4.8727, 4.8727) * CHOOSE(CONTROL!$C$21, $C$9, 100%, $E$9)</f>
        <v>4.8727</v>
      </c>
      <c r="M34" s="14">
        <f>CHOOSE(CONTROL!$C$42, 4.0111, 4.0111) * CHOOSE(CONTROL!$C$21, $C$9, 100%, $E$9)</f>
        <v>4.0110999999999999</v>
      </c>
      <c r="N34" s="14">
        <f>CHOOSE(CONTROL!$C$42, 4.0269, 4.0269) * CHOOSE(CONTROL!$C$21, $C$9, 100%, $E$9)</f>
        <v>4.0269000000000004</v>
      </c>
      <c r="O34" s="14">
        <f>CHOOSE(CONTROL!$C$42, 4.2562, 4.2562) * CHOOSE(CONTROL!$C$21, $C$9, 100%, $E$9)</f>
        <v>4.2561999999999998</v>
      </c>
      <c r="P34" s="14">
        <f>CHOOSE(CONTROL!$C$42, 4.0445, 4.0445) * CHOOSE(CONTROL!$C$21, $C$9, 100%, $E$9)</f>
        <v>4.0445000000000002</v>
      </c>
      <c r="Q34" s="14">
        <f>CHOOSE(CONTROL!$C$42, 4.8515, 4.8515) * CHOOSE(CONTROL!$C$21, $C$9, 100%, $E$9)</f>
        <v>4.8514999999999997</v>
      </c>
      <c r="R34" s="14">
        <f>CHOOSE(CONTROL!$C$42, 5.4507, 5.4507) * CHOOSE(CONTROL!$C$21, $C$9, 100%, $E$9)</f>
        <v>5.4507000000000003</v>
      </c>
      <c r="S34" s="14">
        <f>CHOOSE(CONTROL!$C$42, 3.9388, 3.9388) * CHOOSE(CONTROL!$C$21, $C$9, 100%, $E$9)</f>
        <v>3.9388000000000001</v>
      </c>
      <c r="T3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4" s="57">
        <f>(1000*CHOOSE(CONTROL!$C$42, 695, 695)*CHOOSE(CONTROL!$C$42, 0.5599, 0.5599)*CHOOSE(CONTROL!$C$42, 31, 31))/1000000</f>
        <v>12.063045499999998</v>
      </c>
      <c r="V34" s="57">
        <f>(1000*CHOOSE(CONTROL!$C$42, 580, 580)*CHOOSE(CONTROL!$C$42, 0.275, 0.275)*CHOOSE(CONTROL!$C$42, 31, 31))/1000000</f>
        <v>4.9444999999999997</v>
      </c>
      <c r="W34" s="57">
        <f>(1000*CHOOSE(CONTROL!$C$42, 0.1146, 0.1146)*CHOOSE(CONTROL!$C$42, 200, 200)*CHOOSE(CONTROL!$C$42, 31, 31))/1000000</f>
        <v>0.71052000000000004</v>
      </c>
      <c r="X34" s="57">
        <f>31*0.1790888*145000/1000000</f>
        <v>0.80500415599999997</v>
      </c>
      <c r="Y34" s="57"/>
      <c r="Z34" s="14">
        <f>CHOOSE(CONTROL!$C$42, 4.0495, 4.0495) * CHOOSE(CONTROL!$C$21, $C$9, 100%, $E$9)</f>
        <v>4.0495000000000001</v>
      </c>
      <c r="AA34" s="61">
        <f>(31*((8.01*31500+8.07*100000)/31))/1000000</f>
        <v>1.059315</v>
      </c>
      <c r="AB34" s="50">
        <f>(B34*131.881+C34*277.167+D34*79.08+E34*285.872+F34*40+G34*25+H34*0+I34*100+J34*300)/(131.881+277.167+79.08+285.872+0+40+25+100+300)</f>
        <v>4.1233033152542378</v>
      </c>
      <c r="AC34" s="45">
        <f t="shared" si="0"/>
        <v>4.1015093525179855</v>
      </c>
    </row>
    <row r="35" spans="1:29" ht="15" x14ac:dyDescent="0.2">
      <c r="A35" s="13">
        <v>41944</v>
      </c>
      <c r="B35" s="14">
        <f>CHOOSE(CONTROL!$C$42, 4.1262, 4.1262) * CHOOSE(CONTROL!$C$21, $C$9, 100%, $E$9)</f>
        <v>4.1261999999999999</v>
      </c>
      <c r="C35" s="14">
        <f>CHOOSE(CONTROL!$C$42, 4.1311, 4.1311) * CHOOSE(CONTROL!$C$21, $C$9, 100%, $E$9)</f>
        <v>4.1311</v>
      </c>
      <c r="D35" s="14">
        <f>CHOOSE(CONTROL!$C$42, 4.1942, 4.1942) * CHOOSE(CONTROL!$C$21, $C$9, 100%, $E$9)</f>
        <v>4.1942000000000004</v>
      </c>
      <c r="E35" s="14">
        <f>CHOOSE(CONTROL!$C$42, 4.228, 4.228) * CHOOSE(CONTROL!$C$21, $C$9, 100%, $E$9)</f>
        <v>4.2279999999999998</v>
      </c>
      <c r="F35" s="14">
        <f>CHOOSE(CONTROL!$C$42, 4.1269, 4.1269)*CHOOSE(CONTROL!$C$21, $C$9, 100%, $E$9)</f>
        <v>4.1269</v>
      </c>
      <c r="G35" s="14">
        <f>CHOOSE(CONTROL!$C$42, 4.1432, 4.1432)*CHOOSE(CONTROL!$C$21, $C$9, 100%, $E$9)</f>
        <v>4.1432000000000002</v>
      </c>
      <c r="H35" s="14">
        <f>CHOOSE(CONTROL!$C$42, 4.2172, 4.2172) * CHOOSE(CONTROL!$C$21, $C$9, 100%, $E$9)</f>
        <v>4.2172000000000001</v>
      </c>
      <c r="I35" s="14">
        <f>CHOOSE(CONTROL!$C$42, 4.1397, 4.1397)* CHOOSE(CONTROL!$C$21, $C$9, 100%, $E$9)</f>
        <v>4.1397000000000004</v>
      </c>
      <c r="J35" s="14">
        <f>CHOOSE(CONTROL!$C$42, 4.1199, 4.1199)* CHOOSE(CONTROL!$C$21, $C$9, 100%, $E$9)</f>
        <v>4.1199000000000003</v>
      </c>
      <c r="K35" s="62"/>
      <c r="L35" s="14">
        <f>CHOOSE(CONTROL!$C$42, 4.8042, 4.8042) * CHOOSE(CONTROL!$C$21, $C$9, 100%, $E$9)</f>
        <v>4.8041999999999998</v>
      </c>
      <c r="M35" s="14">
        <f>CHOOSE(CONTROL!$C$42, 4.0921, 4.0921) * CHOOSE(CONTROL!$C$21, $C$9, 100%, $E$9)</f>
        <v>4.0921000000000003</v>
      </c>
      <c r="N35" s="14">
        <f>CHOOSE(CONTROL!$C$42, 4.1082, 4.1082) * CHOOSE(CONTROL!$C$21, $C$9, 100%, $E$9)</f>
        <v>4.1082000000000001</v>
      </c>
      <c r="O35" s="14">
        <f>CHOOSE(CONTROL!$C$42, 4.1884, 4.1884) * CHOOSE(CONTROL!$C$21, $C$9, 100%, $E$9)</f>
        <v>4.1883999999999997</v>
      </c>
      <c r="P35" s="14">
        <f>CHOOSE(CONTROL!$C$42, 4.1118, 4.1118) * CHOOSE(CONTROL!$C$21, $C$9, 100%, $E$9)</f>
        <v>4.1117999999999997</v>
      </c>
      <c r="Q35" s="14">
        <f>CHOOSE(CONTROL!$C$42, 4.7837, 4.7837) * CHOOSE(CONTROL!$C$21, $C$9, 100%, $E$9)</f>
        <v>4.7836999999999996</v>
      </c>
      <c r="R35" s="14">
        <f>CHOOSE(CONTROL!$C$42, 5.3827, 5.3827) * CHOOSE(CONTROL!$C$21, $C$9, 100%, $E$9)</f>
        <v>5.3826999999999998</v>
      </c>
      <c r="S35" s="14">
        <f>CHOOSE(CONTROL!$C$42, 4.0048, 4.0048) * CHOOSE(CONTROL!$C$21, $C$9, 100%, $E$9)</f>
        <v>4.0048000000000004</v>
      </c>
      <c r="T3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5" s="57">
        <f>(1000*CHOOSE(CONTROL!$C$42, 695, 695)*CHOOSE(CONTROL!$C$42, 0.5599, 0.5599)*CHOOSE(CONTROL!$C$42, 30, 30))/1000000</f>
        <v>11.673914999999997</v>
      </c>
      <c r="V35" s="57">
        <f>(1000*CHOOSE(CONTROL!$C$42, 580, 580)*CHOOSE(CONTROL!$C$42, 0.275, 0.275)*CHOOSE(CONTROL!$C$42, 30, 30))/1000000</f>
        <v>4.7850000000000001</v>
      </c>
      <c r="W35" s="57">
        <f>(1000*CHOOSE(CONTROL!$C$42, 0.1146, 0.1146)*CHOOSE(CONTROL!$C$42, 200, 200)*CHOOSE(CONTROL!$C$42, 30, 30))/1000000</f>
        <v>0.68759999999999999</v>
      </c>
      <c r="X35" s="57">
        <v>0</v>
      </c>
      <c r="Y35" s="57"/>
      <c r="Z35" s="14">
        <f>CHOOSE(CONTROL!$C$42, 4.1161, 4.1161) * CHOOSE(CONTROL!$C$21, $C$9, 100%, $E$9)</f>
        <v>4.1161000000000003</v>
      </c>
      <c r="AA35" s="61">
        <f>(30*((8.01*31500+8.07*100000)/30))/1000000</f>
        <v>1.059315</v>
      </c>
      <c r="AB35" s="50">
        <f>(B35*122.58+C35*297.941+D35*89.177+E35*200.302+F35*40+G35*0+H35*0+I35*100+J35*300)/(122.58+297.941+89.177+200.302+0+40+0+100+300)</f>
        <v>4.1500284265217395</v>
      </c>
      <c r="AC35" s="45">
        <f>(M35*240+N35*0+O35*355+P35*100)/(240+0+355+100)</f>
        <v>4.1441237410071938</v>
      </c>
    </row>
    <row r="36" spans="1:29" ht="15" x14ac:dyDescent="0.2">
      <c r="A36" s="13">
        <v>41974</v>
      </c>
      <c r="B36" s="14">
        <f>CHOOSE(CONTROL!$C$42, 4.2848, 4.2848) * CHOOSE(CONTROL!$C$21, $C$9, 100%, $E$9)</f>
        <v>4.2847999999999997</v>
      </c>
      <c r="C36" s="14">
        <f>CHOOSE(CONTROL!$C$42, 4.2897, 4.2897) * CHOOSE(CONTROL!$C$21, $C$9, 100%, $E$9)</f>
        <v>4.2896999999999998</v>
      </c>
      <c r="D36" s="14">
        <f>CHOOSE(CONTROL!$C$42, 4.3528, 4.3528) * CHOOSE(CONTROL!$C$21, $C$9, 100%, $E$9)</f>
        <v>4.3528000000000002</v>
      </c>
      <c r="E36" s="14">
        <f>CHOOSE(CONTROL!$C$42, 4.3866, 4.3866) * CHOOSE(CONTROL!$C$21, $C$9, 100%, $E$9)</f>
        <v>4.3865999999999996</v>
      </c>
      <c r="F36" s="14">
        <f>CHOOSE(CONTROL!$C$42, 4.2875, 4.2875)*CHOOSE(CONTROL!$C$21, $C$9, 100%, $E$9)</f>
        <v>4.2874999999999996</v>
      </c>
      <c r="G36" s="14">
        <f>CHOOSE(CONTROL!$C$42, 4.3043, 4.3043)*CHOOSE(CONTROL!$C$21, $C$9, 100%, $E$9)</f>
        <v>4.3042999999999996</v>
      </c>
      <c r="H36" s="14">
        <f>CHOOSE(CONTROL!$C$42, 4.3758, 4.3758) * CHOOSE(CONTROL!$C$21, $C$9, 100%, $E$9)</f>
        <v>4.3757999999999999</v>
      </c>
      <c r="I36" s="14">
        <f>CHOOSE(CONTROL!$C$42, 4.2983, 4.2983)* CHOOSE(CONTROL!$C$21, $C$9, 100%, $E$9)</f>
        <v>4.2983000000000002</v>
      </c>
      <c r="J36" s="14">
        <f>CHOOSE(CONTROL!$C$42, 4.2805, 4.2805)* CHOOSE(CONTROL!$C$21, $C$9, 100%, $E$9)</f>
        <v>4.2805</v>
      </c>
      <c r="K36" s="62"/>
      <c r="L36" s="14">
        <f>CHOOSE(CONTROL!$C$42, 4.9628, 4.9628) * CHOOSE(CONTROL!$C$21, $C$9, 100%, $E$9)</f>
        <v>4.9627999999999997</v>
      </c>
      <c r="M36" s="14">
        <f>CHOOSE(CONTROL!$C$42, 4.2511, 4.2511) * CHOOSE(CONTROL!$C$21, $C$9, 100%, $E$9)</f>
        <v>4.2511000000000001</v>
      </c>
      <c r="N36" s="14">
        <f>CHOOSE(CONTROL!$C$42, 4.2678, 4.2678) * CHOOSE(CONTROL!$C$21, $C$9, 100%, $E$9)</f>
        <v>4.2678000000000003</v>
      </c>
      <c r="O36" s="14">
        <f>CHOOSE(CONTROL!$C$42, 4.3454, 4.3454) * CHOOSE(CONTROL!$C$21, $C$9, 100%, $E$9)</f>
        <v>4.3453999999999997</v>
      </c>
      <c r="P36" s="14">
        <f>CHOOSE(CONTROL!$C$42, 4.2688, 4.2688) * CHOOSE(CONTROL!$C$21, $C$9, 100%, $E$9)</f>
        <v>4.2687999999999997</v>
      </c>
      <c r="Q36" s="14">
        <f>CHOOSE(CONTROL!$C$42, 4.9407, 4.9407) * CHOOSE(CONTROL!$C$21, $C$9, 100%, $E$9)</f>
        <v>4.9406999999999996</v>
      </c>
      <c r="R36" s="14">
        <f>CHOOSE(CONTROL!$C$42, 5.5401, 5.5401) * CHOOSE(CONTROL!$C$21, $C$9, 100%, $E$9)</f>
        <v>5.5400999999999998</v>
      </c>
      <c r="S36" s="14">
        <f>CHOOSE(CONTROL!$C$42, 4.1588, 4.1588) * CHOOSE(CONTROL!$C$21, $C$9, 100%, $E$9)</f>
        <v>4.1588000000000003</v>
      </c>
      <c r="T3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6" s="57">
        <f>(1000*CHOOSE(CONTROL!$C$42, 695, 695)*CHOOSE(CONTROL!$C$42, 0.5599, 0.5599)*CHOOSE(CONTROL!$C$42, 31, 31))/1000000</f>
        <v>12.063045499999998</v>
      </c>
      <c r="V36" s="57">
        <f>(1000*CHOOSE(CONTROL!$C$42, 580, 580)*CHOOSE(CONTROL!$C$42, 0.275, 0.275)*CHOOSE(CONTROL!$C$42, 31, 31))/1000000</f>
        <v>4.9444999999999997</v>
      </c>
      <c r="W36" s="57">
        <f>(1000*CHOOSE(CONTROL!$C$42, 0.1146, 0.1146)*CHOOSE(CONTROL!$C$42, 200, 200)*CHOOSE(CONTROL!$C$42, 31, 31))/1000000</f>
        <v>0.71052000000000004</v>
      </c>
      <c r="X36" s="57">
        <v>0</v>
      </c>
      <c r="Y36" s="57"/>
      <c r="Z36" s="14">
        <f>CHOOSE(CONTROL!$C$42, 4.2762, 4.2762) * CHOOSE(CONTROL!$C$21, $C$9, 100%, $E$9)</f>
        <v>4.2762000000000002</v>
      </c>
      <c r="AA36" s="61">
        <f>(31*((8.01*31500+8.07*100000)/31))/1000000</f>
        <v>1.059315</v>
      </c>
      <c r="AB36" s="50">
        <f>(B36*122.58+C36*297.941+D36*89.177+E36*200.302+F36*40+G36*0+H36*0+I36*100+J36*300)/(122.58+297.941+89.177+200.302+0+40+0+100+300)</f>
        <v>4.3092197308695654</v>
      </c>
      <c r="AC36" s="45">
        <f>(M36*240+N36*0+O36*355+P36*100)/(240+0+355+100)</f>
        <v>4.3018143884892082</v>
      </c>
    </row>
    <row r="37" spans="1:29" ht="15.75" x14ac:dyDescent="0.25">
      <c r="A37" s="13">
        <v>42005</v>
      </c>
      <c r="B37" s="14">
        <f>CHOOSE(CONTROL!$C$42, 4.3743, 4.3743) * CHOOSE(CONTROL!$C$21, $C$9, 100%, $E$9)</f>
        <v>4.3742999999999999</v>
      </c>
      <c r="C37" s="14">
        <f>CHOOSE(CONTROL!$C$42, 4.3793, 4.3793) * CHOOSE(CONTROL!$C$21, $C$9, 100%, $E$9)</f>
        <v>4.3792999999999997</v>
      </c>
      <c r="D37" s="14">
        <f>CHOOSE(CONTROL!$C$42, 4.4436, 4.4436) * CHOOSE(CONTROL!$C$21, $C$9, 100%, $E$9)</f>
        <v>4.4436</v>
      </c>
      <c r="E37" s="14">
        <f>CHOOSE(CONTROL!$C$42, 4.4774, 4.4774) * CHOOSE(CONTROL!$C$21, $C$9, 100%, $E$9)</f>
        <v>4.4774000000000003</v>
      </c>
      <c r="F37" s="14">
        <f>CHOOSE(CONTROL!$C$42, 4.3759, 4.3759)*CHOOSE(CONTROL!$C$21, $C$9, 100%, $E$9)</f>
        <v>4.3758999999999997</v>
      </c>
      <c r="G37" s="14">
        <f>CHOOSE(CONTROL!$C$42, 4.3918, 4.3918)*CHOOSE(CONTROL!$C$21, $C$9, 100%, $E$9)</f>
        <v>4.3917999999999999</v>
      </c>
      <c r="H37" s="14">
        <f>CHOOSE(CONTROL!$C$42, 4.4666, 4.4666) * CHOOSE(CONTROL!$C$21, $C$9, 100%, $E$9)</f>
        <v>4.4665999999999997</v>
      </c>
      <c r="I37" s="14">
        <f>CHOOSE(CONTROL!$C$42, 4.3943, 4.3943)* CHOOSE(CONTROL!$C$21, $C$9, 100%, $E$9)</f>
        <v>4.3943000000000003</v>
      </c>
      <c r="J37" s="14">
        <f>CHOOSE(CONTROL!$C$42, 4.3689, 4.3689)* CHOOSE(CONTROL!$C$21, $C$9, 100%, $E$9)</f>
        <v>4.3689</v>
      </c>
      <c r="K37" s="53"/>
      <c r="L37" s="14">
        <f>CHOOSE(CONTROL!$C$42, 5.0536, 5.0536) * CHOOSE(CONTROL!$C$21, $C$9, 100%, $E$9)</f>
        <v>5.0536000000000003</v>
      </c>
      <c r="M37" s="14">
        <f>CHOOSE(CONTROL!$C$42, 4.3386, 4.3386) * CHOOSE(CONTROL!$C$21, $C$9, 100%, $E$9)</f>
        <v>4.3385999999999996</v>
      </c>
      <c r="N37" s="14">
        <f>CHOOSE(CONTROL!$C$42, 4.3544, 4.3544) * CHOOSE(CONTROL!$C$21, $C$9, 100%, $E$9)</f>
        <v>4.3544</v>
      </c>
      <c r="O37" s="14">
        <f>CHOOSE(CONTROL!$C$42, 4.4353, 4.4353) * CHOOSE(CONTROL!$C$21, $C$9, 100%, $E$9)</f>
        <v>4.4352999999999998</v>
      </c>
      <c r="P37" s="14">
        <f>CHOOSE(CONTROL!$C$42, 4.3638, 4.3638) * CHOOSE(CONTROL!$C$21, $C$9, 100%, $E$9)</f>
        <v>4.3638000000000003</v>
      </c>
      <c r="Q37" s="14">
        <f>CHOOSE(CONTROL!$C$42, 5.0306, 5.0306) * CHOOSE(CONTROL!$C$21, $C$9, 100%, $E$9)</f>
        <v>5.0305999999999997</v>
      </c>
      <c r="R37" s="14">
        <f>CHOOSE(CONTROL!$C$42, 5.6302, 5.6302) * CHOOSE(CONTROL!$C$21, $C$9, 100%, $E$9)</f>
        <v>5.6302000000000003</v>
      </c>
      <c r="S37" s="14">
        <f>CHOOSE(CONTROL!$C$42, 4.2458, 4.2458) * CHOOSE(CONTROL!$C$21, $C$9, 100%, $E$9)</f>
        <v>4.2458</v>
      </c>
      <c r="T3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7" s="57">
        <f>(1000*CHOOSE(CONTROL!$C$42, 695, 695)*CHOOSE(CONTROL!$C$42, 0.5599, 0.5599)*CHOOSE(CONTROL!$C$42, 31, 31))/1000000</f>
        <v>12.063045499999998</v>
      </c>
      <c r="V37" s="57">
        <f>(1000*CHOOSE(CONTROL!$C$42, 580, 580)*CHOOSE(CONTROL!$C$42, 0.275, 0.275)*CHOOSE(CONTROL!$C$42, 31, 31))/1000000</f>
        <v>4.9444999999999997</v>
      </c>
      <c r="W37" s="57">
        <f>(1000*CHOOSE(CONTROL!$C$42, 0.1146, 0.1146)*CHOOSE(CONTROL!$C$42, 200, 200)*CHOOSE(CONTROL!$C$42, 31, 31))/1000000</f>
        <v>0.71052000000000004</v>
      </c>
      <c r="X37" s="57">
        <v>0</v>
      </c>
      <c r="Y37" s="57"/>
      <c r="Z37" s="14">
        <f>CHOOSE(CONTROL!$C$42, 4.3644, 4.3644) * CHOOSE(CONTROL!$C$21, $C$9, 100%, $E$9)</f>
        <v>4.3643999999999998</v>
      </c>
      <c r="AA37" s="61">
        <f>(31*((8.01*31500+8.07*100000)/31))/1000000</f>
        <v>1.059315</v>
      </c>
      <c r="AB37" s="50">
        <f>(B37*122.58+C37*297.941+D37*89.177+E37*200.302+F37*40+G37*0+H37*0+I37*100+J37*300)/(122.58+297.941+89.177+200.302+0+40+0+100+300)</f>
        <v>4.3993128759130435</v>
      </c>
      <c r="AC37" s="45">
        <f>(M37*240+N37*0+O37*355+P37*100)/(240+0+355+100)</f>
        <v>4.3916194244604316</v>
      </c>
    </row>
    <row r="38" spans="1:29" ht="15.75" x14ac:dyDescent="0.25">
      <c r="A38" s="13">
        <v>42036</v>
      </c>
      <c r="B38" s="14">
        <f>CHOOSE(CONTROL!$C$42, 4.3538, 4.3538) * CHOOSE(CONTROL!$C$21, $C$9, 100%, $E$9)</f>
        <v>4.3537999999999997</v>
      </c>
      <c r="C38" s="14">
        <f>CHOOSE(CONTROL!$C$42, 4.3587, 4.3587) * CHOOSE(CONTROL!$C$21, $C$9, 100%, $E$9)</f>
        <v>4.3586999999999998</v>
      </c>
      <c r="D38" s="14">
        <f>CHOOSE(CONTROL!$C$42, 4.423, 4.423) * CHOOSE(CONTROL!$C$21, $C$9, 100%, $E$9)</f>
        <v>4.423</v>
      </c>
      <c r="E38" s="14">
        <f>CHOOSE(CONTROL!$C$42, 4.4568, 4.4568) * CHOOSE(CONTROL!$C$21, $C$9, 100%, $E$9)</f>
        <v>4.4568000000000003</v>
      </c>
      <c r="F38" s="14">
        <f>CHOOSE(CONTROL!$C$42, 4.3553, 4.3553)*CHOOSE(CONTROL!$C$21, $C$9, 100%, $E$9)</f>
        <v>4.3552999999999997</v>
      </c>
      <c r="G38" s="14">
        <f>CHOOSE(CONTROL!$C$42, 4.3713, 4.3713)*CHOOSE(CONTROL!$C$21, $C$9, 100%, $E$9)</f>
        <v>4.3712999999999997</v>
      </c>
      <c r="H38" s="14">
        <f>CHOOSE(CONTROL!$C$42, 4.446, 4.446) * CHOOSE(CONTROL!$C$21, $C$9, 100%, $E$9)</f>
        <v>4.4459999999999997</v>
      </c>
      <c r="I38" s="14">
        <f>CHOOSE(CONTROL!$C$42, 4.3737, 4.3737)* CHOOSE(CONTROL!$C$21, $C$9, 100%, $E$9)</f>
        <v>4.3737000000000004</v>
      </c>
      <c r="J38" s="14">
        <f>CHOOSE(CONTROL!$C$42, 4.3483, 4.3483)* CHOOSE(CONTROL!$C$21, $C$9, 100%, $E$9)</f>
        <v>4.3483000000000001</v>
      </c>
      <c r="K38" s="53"/>
      <c r="L38" s="14">
        <f>CHOOSE(CONTROL!$C$42, 5.033, 5.033) * CHOOSE(CONTROL!$C$21, $C$9, 100%, $E$9)</f>
        <v>5.0330000000000004</v>
      </c>
      <c r="M38" s="14">
        <f>CHOOSE(CONTROL!$C$42, 4.3183, 4.3183) * CHOOSE(CONTROL!$C$21, $C$9, 100%, $E$9)</f>
        <v>4.3182999999999998</v>
      </c>
      <c r="N38" s="14">
        <f>CHOOSE(CONTROL!$C$42, 4.334, 4.334) * CHOOSE(CONTROL!$C$21, $C$9, 100%, $E$9)</f>
        <v>4.3339999999999996</v>
      </c>
      <c r="O38" s="14">
        <f>CHOOSE(CONTROL!$C$42, 4.4149, 4.4149) * CHOOSE(CONTROL!$C$21, $C$9, 100%, $E$9)</f>
        <v>4.4149000000000003</v>
      </c>
      <c r="P38" s="14">
        <f>CHOOSE(CONTROL!$C$42, 4.3435, 4.3435) * CHOOSE(CONTROL!$C$21, $C$9, 100%, $E$9)</f>
        <v>4.3434999999999997</v>
      </c>
      <c r="Q38" s="14">
        <f>CHOOSE(CONTROL!$C$42, 5.0102, 5.0102) * CHOOSE(CONTROL!$C$21, $C$9, 100%, $E$9)</f>
        <v>5.0102000000000002</v>
      </c>
      <c r="R38" s="14">
        <f>CHOOSE(CONTROL!$C$42, 5.6097, 5.6097) * CHOOSE(CONTROL!$C$21, $C$9, 100%, $E$9)</f>
        <v>5.6097000000000001</v>
      </c>
      <c r="S38" s="14">
        <f>CHOOSE(CONTROL!$C$42, 4.2258, 4.2258) * CHOOSE(CONTROL!$C$21, $C$9, 100%, $E$9)</f>
        <v>4.2257999999999996</v>
      </c>
      <c r="T3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8" s="57">
        <f>(1000*CHOOSE(CONTROL!$C$42, 695, 695)*CHOOSE(CONTROL!$C$42, 0.5599, 0.5599)*CHOOSE(CONTROL!$C$42, 28, 28))/1000000</f>
        <v>10.895653999999999</v>
      </c>
      <c r="V38" s="57">
        <f>(1000*CHOOSE(CONTROL!$C$42, 580, 580)*CHOOSE(CONTROL!$C$42, 0.275, 0.275)*CHOOSE(CONTROL!$C$42, 28, 28))/1000000</f>
        <v>4.4660000000000002</v>
      </c>
      <c r="W38" s="57">
        <f>(1000*CHOOSE(CONTROL!$C$42, 0.1146, 0.1146)*CHOOSE(CONTROL!$C$42, 200, 200)*CHOOSE(CONTROL!$C$42, 28, 28))/1000000</f>
        <v>0.64176</v>
      </c>
      <c r="X38" s="57">
        <v>0</v>
      </c>
      <c r="Y38" s="57"/>
      <c r="Z38" s="14">
        <f>CHOOSE(CONTROL!$C$42, 4.344, 4.344) * CHOOSE(CONTROL!$C$21, $C$9, 100%, $E$9)</f>
        <v>4.3440000000000003</v>
      </c>
      <c r="AA38" s="61">
        <f>(28*((8.01*31500+8.07*100000)/28))/1000000</f>
        <v>1.059315</v>
      </c>
      <c r="AB38" s="50">
        <f>(B38*122.58+C38*297.941+D38*89.177+E38*200.302+F38*40+G38*0+H38*0+I38*100+J38*300)/(122.58+297.941+89.177+200.302+0+40+0+100+300)</f>
        <v>4.3787235350434779</v>
      </c>
      <c r="AC38" s="45">
        <f>(M38*240+N38*0+O38*355+P38*100)/(240+0+355+100)</f>
        <v>4.3712683453237409</v>
      </c>
    </row>
    <row r="39" spans="1:29" ht="15.75" x14ac:dyDescent="0.25">
      <c r="A39" s="13">
        <v>42064</v>
      </c>
      <c r="B39" s="14">
        <f>CHOOSE(CONTROL!$C$42, 4.2909, 4.2909) * CHOOSE(CONTROL!$C$21, $C$9, 100%, $E$9)</f>
        <v>4.2908999999999997</v>
      </c>
      <c r="C39" s="14">
        <f>CHOOSE(CONTROL!$C$42, 4.2959, 4.2959) * CHOOSE(CONTROL!$C$21, $C$9, 100%, $E$9)</f>
        <v>4.2958999999999996</v>
      </c>
      <c r="D39" s="14">
        <f>CHOOSE(CONTROL!$C$42, 4.3602, 4.3602) * CHOOSE(CONTROL!$C$21, $C$9, 100%, $E$9)</f>
        <v>4.3601999999999999</v>
      </c>
      <c r="E39" s="14">
        <f>CHOOSE(CONTROL!$C$42, 4.3939, 4.3939) * CHOOSE(CONTROL!$C$21, $C$9, 100%, $E$9)</f>
        <v>4.3939000000000004</v>
      </c>
      <c r="F39" s="14">
        <f>CHOOSE(CONTROL!$C$42, 4.2922, 4.2922)*CHOOSE(CONTROL!$C$21, $C$9, 100%, $E$9)</f>
        <v>4.2922000000000002</v>
      </c>
      <c r="G39" s="14">
        <f>CHOOSE(CONTROL!$C$42, 4.308, 4.308)*CHOOSE(CONTROL!$C$21, $C$9, 100%, $E$9)</f>
        <v>4.3079999999999998</v>
      </c>
      <c r="H39" s="14">
        <f>CHOOSE(CONTROL!$C$42, 4.3831, 4.3831) * CHOOSE(CONTROL!$C$21, $C$9, 100%, $E$9)</f>
        <v>4.3830999999999998</v>
      </c>
      <c r="I39" s="14">
        <f>CHOOSE(CONTROL!$C$42, 4.3109, 4.3109)* CHOOSE(CONTROL!$C$21, $C$9, 100%, $E$9)</f>
        <v>4.3109000000000002</v>
      </c>
      <c r="J39" s="14">
        <f>CHOOSE(CONTROL!$C$42, 4.2852, 4.2852)* CHOOSE(CONTROL!$C$21, $C$9, 100%, $E$9)</f>
        <v>4.2851999999999997</v>
      </c>
      <c r="K39" s="53"/>
      <c r="L39" s="14">
        <f>CHOOSE(CONTROL!$C$42, 4.9701, 4.9701) * CHOOSE(CONTROL!$C$21, $C$9, 100%, $E$9)</f>
        <v>4.9701000000000004</v>
      </c>
      <c r="M39" s="14">
        <f>CHOOSE(CONTROL!$C$42, 4.2558, 4.2558) * CHOOSE(CONTROL!$C$21, $C$9, 100%, $E$9)</f>
        <v>4.2557999999999998</v>
      </c>
      <c r="N39" s="14">
        <f>CHOOSE(CONTROL!$C$42, 4.2715, 4.2715) * CHOOSE(CONTROL!$C$21, $C$9, 100%, $E$9)</f>
        <v>4.2714999999999996</v>
      </c>
      <c r="O39" s="14">
        <f>CHOOSE(CONTROL!$C$42, 4.3527, 4.3527) * CHOOSE(CONTROL!$C$21, $C$9, 100%, $E$9)</f>
        <v>4.3526999999999996</v>
      </c>
      <c r="P39" s="14">
        <f>CHOOSE(CONTROL!$C$42, 4.2813, 4.2813) * CHOOSE(CONTROL!$C$21, $C$9, 100%, $E$9)</f>
        <v>4.2812999999999999</v>
      </c>
      <c r="Q39" s="14">
        <f>CHOOSE(CONTROL!$C$42, 4.948, 4.948) * CHOOSE(CONTROL!$C$21, $C$9, 100%, $E$9)</f>
        <v>4.9480000000000004</v>
      </c>
      <c r="R39" s="14">
        <f>CHOOSE(CONTROL!$C$42, 5.5474, 5.5474) * CHOOSE(CONTROL!$C$21, $C$9, 100%, $E$9)</f>
        <v>5.5473999999999997</v>
      </c>
      <c r="S39" s="14">
        <f>CHOOSE(CONTROL!$C$42, 4.1648, 4.1648) * CHOOSE(CONTROL!$C$21, $C$9, 100%, $E$9)</f>
        <v>4.1647999999999996</v>
      </c>
      <c r="T3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9" s="57">
        <f>(1000*CHOOSE(CONTROL!$C$42, 695, 695)*CHOOSE(CONTROL!$C$42, 0.5599, 0.5599)*CHOOSE(CONTROL!$C$42, 31, 31))/1000000</f>
        <v>12.063045499999998</v>
      </c>
      <c r="V39" s="57">
        <f>(1000*CHOOSE(CONTROL!$C$42, 580, 580)*CHOOSE(CONTROL!$C$42, 0.275, 0.275)*CHOOSE(CONTROL!$C$42, 31, 31))/1000000</f>
        <v>4.9444999999999997</v>
      </c>
      <c r="W39" s="57">
        <f>(1000*CHOOSE(CONTROL!$C$42, 0.1146, 0.1146)*CHOOSE(CONTROL!$C$42, 200, 200)*CHOOSE(CONTROL!$C$42, 31, 31))/1000000</f>
        <v>0.71052000000000004</v>
      </c>
      <c r="X39" s="57">
        <v>0</v>
      </c>
      <c r="Y39" s="57"/>
      <c r="Z39" s="14">
        <f>CHOOSE(CONTROL!$C$42, 4.2815, 4.2815) * CHOOSE(CONTROL!$C$21, $C$9, 100%, $E$9)</f>
        <v>4.2815000000000003</v>
      </c>
      <c r="AA39" s="61">
        <f>(31*((8.01*31500+8.07*100000)/31))/1000000</f>
        <v>1.059315</v>
      </c>
      <c r="AB39" s="50">
        <f>(B39*122.58+C39*297.941+D39*89.177+E39*200.302+F39*40+G39*0+H39*0+I39*100+J39*300)/(122.58+297.941+89.177+200.302+0+40+0+100+300)</f>
        <v>4.3158067626956518</v>
      </c>
      <c r="AC39" s="45">
        <f>(M39*240+N39*0+O39*355+P39*100)/(240+0+355+100)</f>
        <v>4.308964748201439</v>
      </c>
    </row>
    <row r="40" spans="1:29" ht="15.75" x14ac:dyDescent="0.25">
      <c r="A40" s="13">
        <v>42095</v>
      </c>
      <c r="B40" s="14">
        <f>CHOOSE(CONTROL!$C$42, 4.0923, 4.0923) * CHOOSE(CONTROL!$C$21, $C$9, 100%, $E$9)</f>
        <v>4.0922999999999998</v>
      </c>
      <c r="C40" s="14">
        <f>CHOOSE(CONTROL!$C$42, 4.0967, 4.0967) * CHOOSE(CONTROL!$C$21, $C$9, 100%, $E$9)</f>
        <v>4.0967000000000002</v>
      </c>
      <c r="D40" s="14">
        <f>CHOOSE(CONTROL!$C$42, 4.2974, 4.2974) * CHOOSE(CONTROL!$C$21, $C$9, 100%, $E$9)</f>
        <v>4.2973999999999997</v>
      </c>
      <c r="E40" s="14">
        <f>CHOOSE(CONTROL!$C$42, 4.3292, 4.3292) * CHOOSE(CONTROL!$C$21, $C$9, 100%, $E$9)</f>
        <v>4.3292000000000002</v>
      </c>
      <c r="F40" s="14">
        <f>CHOOSE(CONTROL!$C$42, 4.0769, 4.0769)*CHOOSE(CONTROL!$C$21, $C$9, 100%, $E$9)</f>
        <v>4.0769000000000002</v>
      </c>
      <c r="G40" s="14">
        <f>CHOOSE(CONTROL!$C$42, 4.0925, 4.0925)*CHOOSE(CONTROL!$C$21, $C$9, 100%, $E$9)</f>
        <v>4.0925000000000002</v>
      </c>
      <c r="H40" s="14">
        <f>CHOOSE(CONTROL!$C$42, 4.319, 4.319) * CHOOSE(CONTROL!$C$21, $C$9, 100%, $E$9)</f>
        <v>4.319</v>
      </c>
      <c r="I40" s="14">
        <f>CHOOSE(CONTROL!$C$42, 4.1051, 4.1051)* CHOOSE(CONTROL!$C$21, $C$9, 100%, $E$9)</f>
        <v>4.1051000000000002</v>
      </c>
      <c r="J40" s="14">
        <f>CHOOSE(CONTROL!$C$42, 4.0699, 4.0699)* CHOOSE(CONTROL!$C$21, $C$9, 100%, $E$9)</f>
        <v>4.0698999999999996</v>
      </c>
      <c r="K40" s="53"/>
      <c r="L40" s="14">
        <f>CHOOSE(CONTROL!$C$42, 4.906, 4.906) * CHOOSE(CONTROL!$C$21, $C$9, 100%, $E$9)</f>
        <v>4.9059999999999997</v>
      </c>
      <c r="M40" s="14">
        <f>CHOOSE(CONTROL!$C$42, 4.0427, 4.0427) * CHOOSE(CONTROL!$C$21, $C$9, 100%, $E$9)</f>
        <v>4.0427</v>
      </c>
      <c r="N40" s="14">
        <f>CHOOSE(CONTROL!$C$42, 4.0581, 4.0581) * CHOOSE(CONTROL!$C$21, $C$9, 100%, $E$9)</f>
        <v>4.0580999999999996</v>
      </c>
      <c r="O40" s="14">
        <f>CHOOSE(CONTROL!$C$42, 4.2892, 4.2892) * CHOOSE(CONTROL!$C$21, $C$9, 100%, $E$9)</f>
        <v>4.2892000000000001</v>
      </c>
      <c r="P40" s="14">
        <f>CHOOSE(CONTROL!$C$42, 4.0775, 4.0775) * CHOOSE(CONTROL!$C$21, $C$9, 100%, $E$9)</f>
        <v>4.0774999999999997</v>
      </c>
      <c r="Q40" s="14">
        <f>CHOOSE(CONTROL!$C$42, 4.8845, 4.8845) * CHOOSE(CONTROL!$C$21, $C$9, 100%, $E$9)</f>
        <v>4.8845000000000001</v>
      </c>
      <c r="R40" s="14">
        <f>CHOOSE(CONTROL!$C$42, 5.4838, 5.4838) * CHOOSE(CONTROL!$C$21, $C$9, 100%, $E$9)</f>
        <v>5.4837999999999996</v>
      </c>
      <c r="S40" s="14">
        <f>CHOOSE(CONTROL!$C$42, 3.9712, 3.9712) * CHOOSE(CONTROL!$C$21, $C$9, 100%, $E$9)</f>
        <v>3.9712000000000001</v>
      </c>
      <c r="T4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0" s="57">
        <f>(1000*CHOOSE(CONTROL!$C$42, 695, 695)*CHOOSE(CONTROL!$C$42, 0.5599, 0.5599)*CHOOSE(CONTROL!$C$42, 30, 30))/1000000</f>
        <v>11.673914999999997</v>
      </c>
      <c r="V40" s="57">
        <f>(1000*CHOOSE(CONTROL!$C$42, 580, 580)*CHOOSE(CONTROL!$C$42, 0.275, 0.275)*CHOOSE(CONTROL!$C$42, 30, 30))/1000000</f>
        <v>4.7850000000000001</v>
      </c>
      <c r="W40" s="57">
        <f>(1000*CHOOSE(CONTROL!$C$42, 0.1146, 0.1146)*CHOOSE(CONTROL!$C$42, 200, 200)*CHOOSE(CONTROL!$C$42, 30, 30))/1000000</f>
        <v>0.68759999999999999</v>
      </c>
      <c r="X40" s="57">
        <f>(30*0.1790888*245000/1000000)+(30*0.2374*100000/1000000)</f>
        <v>2.0285026799999999</v>
      </c>
      <c r="Y40" s="57"/>
      <c r="Z40" s="14">
        <f>CHOOSE(CONTROL!$C$42, 4.0827, 4.0827) * CHOOSE(CONTROL!$C$21, $C$9, 100%, $E$9)</f>
        <v>4.0827</v>
      </c>
      <c r="AA40" s="61">
        <f>(30*((8.01*31500+8.07*100000)/30))/1000000</f>
        <v>1.059315</v>
      </c>
      <c r="AB40" s="50">
        <f>(B40*141.293+C40*267.993+D40*115.016+E40*89.698+F40*40+G40*185+H40*0+I40*100+J40*300)/(141.293+267.993+115.016+89.698+0+40+185+100+300)</f>
        <v>4.1245836214689264</v>
      </c>
      <c r="AC40" s="45">
        <f t="shared" ref="AC40:AC46" si="1">(M40*240+N40*160+O40*195+P40*100)/(240+160+195+100)</f>
        <v>4.120414388489209</v>
      </c>
    </row>
    <row r="41" spans="1:29" ht="15.75" x14ac:dyDescent="0.25">
      <c r="A41" s="13">
        <v>42125</v>
      </c>
      <c r="B41" s="14">
        <f>CHOOSE(CONTROL!$C$42, 4.104, 4.104) * CHOOSE(CONTROL!$C$21, $C$9, 100%, $E$9)</f>
        <v>4.1040000000000001</v>
      </c>
      <c r="C41" s="14">
        <f>CHOOSE(CONTROL!$C$42, 4.1119, 4.1119) * CHOOSE(CONTROL!$C$21, $C$9, 100%, $E$9)</f>
        <v>4.1119000000000003</v>
      </c>
      <c r="D41" s="14">
        <f>CHOOSE(CONTROL!$C$42, 4.3095, 4.3095) * CHOOSE(CONTROL!$C$21, $C$9, 100%, $E$9)</f>
        <v>4.3094999999999999</v>
      </c>
      <c r="E41" s="14">
        <f>CHOOSE(CONTROL!$C$42, 4.3407, 4.3407) * CHOOSE(CONTROL!$C$21, $C$9, 100%, $E$9)</f>
        <v>4.3407</v>
      </c>
      <c r="F41" s="14">
        <f>CHOOSE(CONTROL!$C$42, 4.0875, 4.0875)*CHOOSE(CONTROL!$C$21, $C$9, 100%, $E$9)</f>
        <v>4.0875000000000004</v>
      </c>
      <c r="G41" s="14">
        <f>CHOOSE(CONTROL!$C$42, 4.1035, 4.1035)*CHOOSE(CONTROL!$C$21, $C$9, 100%, $E$9)</f>
        <v>4.1035000000000004</v>
      </c>
      <c r="H41" s="14">
        <f>CHOOSE(CONTROL!$C$42, 4.3293, 4.3293) * CHOOSE(CONTROL!$C$21, $C$9, 100%, $E$9)</f>
        <v>4.3292999999999999</v>
      </c>
      <c r="I41" s="14">
        <f>CHOOSE(CONTROL!$C$42, 4.1154, 4.1154)* CHOOSE(CONTROL!$C$21, $C$9, 100%, $E$9)</f>
        <v>4.1154000000000002</v>
      </c>
      <c r="J41" s="14">
        <f>CHOOSE(CONTROL!$C$42, 4.0805, 4.0805)* CHOOSE(CONTROL!$C$21, $C$9, 100%, $E$9)</f>
        <v>4.0804999999999998</v>
      </c>
      <c r="K41" s="53"/>
      <c r="L41" s="14">
        <f>CHOOSE(CONTROL!$C$42, 4.9163, 4.9163) * CHOOSE(CONTROL!$C$21, $C$9, 100%, $E$9)</f>
        <v>4.9162999999999997</v>
      </c>
      <c r="M41" s="14">
        <f>CHOOSE(CONTROL!$C$42, 4.0531, 4.0531) * CHOOSE(CONTROL!$C$21, $C$9, 100%, $E$9)</f>
        <v>4.0530999999999997</v>
      </c>
      <c r="N41" s="14">
        <f>CHOOSE(CONTROL!$C$42, 4.069, 4.069) * CHOOSE(CONTROL!$C$21, $C$9, 100%, $E$9)</f>
        <v>4.069</v>
      </c>
      <c r="O41" s="14">
        <f>CHOOSE(CONTROL!$C$42, 4.2994, 4.2994) * CHOOSE(CONTROL!$C$21, $C$9, 100%, $E$9)</f>
        <v>4.2994000000000003</v>
      </c>
      <c r="P41" s="14">
        <f>CHOOSE(CONTROL!$C$42, 4.0877, 4.0877) * CHOOSE(CONTROL!$C$21, $C$9, 100%, $E$9)</f>
        <v>4.0876999999999999</v>
      </c>
      <c r="Q41" s="14">
        <f>CHOOSE(CONTROL!$C$42, 4.8947, 4.8947) * CHOOSE(CONTROL!$C$21, $C$9, 100%, $E$9)</f>
        <v>4.8947000000000003</v>
      </c>
      <c r="R41" s="14">
        <f>CHOOSE(CONTROL!$C$42, 5.494, 5.494) * CHOOSE(CONTROL!$C$21, $C$9, 100%, $E$9)</f>
        <v>5.4939999999999998</v>
      </c>
      <c r="S41" s="14">
        <f>CHOOSE(CONTROL!$C$42, 3.9812, 3.9812) * CHOOSE(CONTROL!$C$21, $C$9, 100%, $E$9)</f>
        <v>3.9811999999999999</v>
      </c>
      <c r="T41" s="59">
        <f>((((430000*CHOOSE(CONTROL!$C$42, 0.4694, 0.4694)+(874000-430000)*CHOOSE(CONTROL!$C$42, 0.7185, 0.7185)+400000*CHOOSE(CONTROL!$C$42, 1.14, 1.14)+50000*0.98)*CHOOSE(CONTROL!$C$42, 31, 31))/1000000))+CHOOSE(CONTROL!$C$42, 0.1662, 0.1662)+CHOOSE(CONTROL!$C$42, 0.6286, 0.6286)</f>
        <v>32.596336000000001</v>
      </c>
      <c r="U41" s="57">
        <f>(1000*CHOOSE(CONTROL!$C$42, 695, 695)*CHOOSE(CONTROL!$C$42, 0.5599, 0.5599)*CHOOSE(CONTROL!$C$42, 31, 31))/1000000</f>
        <v>12.063045499999998</v>
      </c>
      <c r="V41" s="57">
        <f>(1000*CHOOSE(CONTROL!$C$42, 580, 580)*CHOOSE(CONTROL!$C$42, 0.275, 0.275)*CHOOSE(CONTROL!$C$42, 31, 31))/1000000</f>
        <v>4.9444999999999997</v>
      </c>
      <c r="W41" s="57">
        <f>(1000*CHOOSE(CONTROL!$C$42, 0.1146, 0.1146)*CHOOSE(CONTROL!$C$42, 200, 200)*CHOOSE(CONTROL!$C$42, 31, 31))/1000000</f>
        <v>0.71052000000000004</v>
      </c>
      <c r="X41" s="57">
        <f>(31*0.1790888*245000/1000000)+(31*0.2374*100000/1000000)</f>
        <v>2.0961194359999999</v>
      </c>
      <c r="Y41" s="57"/>
      <c r="Z41" s="14">
        <f>CHOOSE(CONTROL!$C$42, 4.0929, 4.0929) * CHOOSE(CONTROL!$C$21, $C$9, 100%, $E$9)</f>
        <v>4.0929000000000002</v>
      </c>
      <c r="AA41" s="61">
        <f>(31*((8.01*31500+8.07*100000)/31))/1000000</f>
        <v>1.059315</v>
      </c>
      <c r="AB41" s="50">
        <f>(B41*194.205+C41*267.466+D41*133.845+E41*53.484+F41*40+G41*185+H41*50+I41*100+J41*300)/(194.205+267.466+133.845+53.484+50+40+185+100+300)</f>
        <v>4.1394080753021152</v>
      </c>
      <c r="AC41" s="45">
        <f t="shared" si="1"/>
        <v>4.1308446043165468</v>
      </c>
    </row>
    <row r="42" spans="1:29" ht="15.75" x14ac:dyDescent="0.25">
      <c r="A42" s="13">
        <v>42156</v>
      </c>
      <c r="B42" s="14">
        <f>CHOOSE(CONTROL!$C$42, 4.1308, 4.1308) * CHOOSE(CONTROL!$C$21, $C$9, 100%, $E$9)</f>
        <v>4.1307999999999998</v>
      </c>
      <c r="C42" s="14">
        <f>CHOOSE(CONTROL!$C$42, 4.1387, 4.1387) * CHOOSE(CONTROL!$C$21, $C$9, 100%, $E$9)</f>
        <v>4.1387</v>
      </c>
      <c r="D42" s="14">
        <f>CHOOSE(CONTROL!$C$42, 4.3363, 4.3363) * CHOOSE(CONTROL!$C$21, $C$9, 100%, $E$9)</f>
        <v>4.3362999999999996</v>
      </c>
      <c r="E42" s="14">
        <f>CHOOSE(CONTROL!$C$42, 4.3674, 4.3674) * CHOOSE(CONTROL!$C$21, $C$9, 100%, $E$9)</f>
        <v>4.3673999999999999</v>
      </c>
      <c r="F42" s="14">
        <f>CHOOSE(CONTROL!$C$42, 4.1146, 4.1146)*CHOOSE(CONTROL!$C$21, $C$9, 100%, $E$9)</f>
        <v>4.1146000000000003</v>
      </c>
      <c r="G42" s="14">
        <f>CHOOSE(CONTROL!$C$42, 4.1308, 4.1308)*CHOOSE(CONTROL!$C$21, $C$9, 100%, $E$9)</f>
        <v>4.1307999999999998</v>
      </c>
      <c r="H42" s="14">
        <f>CHOOSE(CONTROL!$C$42, 4.3561, 4.3561) * CHOOSE(CONTROL!$C$21, $C$9, 100%, $E$9)</f>
        <v>4.3560999999999996</v>
      </c>
      <c r="I42" s="14">
        <f>CHOOSE(CONTROL!$C$42, 4.1422, 4.1422)* CHOOSE(CONTROL!$C$21, $C$9, 100%, $E$9)</f>
        <v>4.1421999999999999</v>
      </c>
      <c r="J42" s="14">
        <f>CHOOSE(CONTROL!$C$42, 4.1076, 4.1076)* CHOOSE(CONTROL!$C$21, $C$9, 100%, $E$9)</f>
        <v>4.1075999999999997</v>
      </c>
      <c r="K42" s="53"/>
      <c r="L42" s="14">
        <f>CHOOSE(CONTROL!$C$42, 4.9431, 4.9431) * CHOOSE(CONTROL!$C$21, $C$9, 100%, $E$9)</f>
        <v>4.9431000000000003</v>
      </c>
      <c r="M42" s="14">
        <f>CHOOSE(CONTROL!$C$42, 4.08, 4.08) * CHOOSE(CONTROL!$C$21, $C$9, 100%, $E$9)</f>
        <v>4.08</v>
      </c>
      <c r="N42" s="14">
        <f>CHOOSE(CONTROL!$C$42, 4.096, 4.096) * CHOOSE(CONTROL!$C$21, $C$9, 100%, $E$9)</f>
        <v>4.0960000000000001</v>
      </c>
      <c r="O42" s="14">
        <f>CHOOSE(CONTROL!$C$42, 4.3259, 4.3259) * CHOOSE(CONTROL!$C$21, $C$9, 100%, $E$9)</f>
        <v>4.3258999999999999</v>
      </c>
      <c r="P42" s="14">
        <f>CHOOSE(CONTROL!$C$42, 4.1142, 4.1142) * CHOOSE(CONTROL!$C$21, $C$9, 100%, $E$9)</f>
        <v>4.1142000000000003</v>
      </c>
      <c r="Q42" s="14">
        <f>CHOOSE(CONTROL!$C$42, 4.9212, 4.9212) * CHOOSE(CONTROL!$C$21, $C$9, 100%, $E$9)</f>
        <v>4.9211999999999998</v>
      </c>
      <c r="R42" s="14">
        <f>CHOOSE(CONTROL!$C$42, 5.5205, 5.5205) * CHOOSE(CONTROL!$C$21, $C$9, 100%, $E$9)</f>
        <v>5.5205000000000002</v>
      </c>
      <c r="S42" s="14">
        <f>CHOOSE(CONTROL!$C$42, 4.0072, 4.0072) * CHOOSE(CONTROL!$C$21, $C$9, 100%, $E$9)</f>
        <v>4.0072000000000001</v>
      </c>
      <c r="T42" s="59">
        <f>((((430000*CHOOSE(CONTROL!$C$42, 0.4694, 0.4694)+(874000-430000)*CHOOSE(CONTROL!$C$42, 0.7185, 0.7185)+400000*CHOOSE(CONTROL!$C$42, 1.14, 1.14)+50000*0.98)*CHOOSE(CONTROL!$C$42, 30, 30))/1000000))+CHOOSE(CONTROL!$C$42, 0.1573, 0.1573)+CHOOSE(CONTROL!$C$42, 0.6376, 0.6376)</f>
        <v>31.57058</v>
      </c>
      <c r="U42" s="57">
        <f>(1000*CHOOSE(CONTROL!$C$42, 695, 695)*CHOOSE(CONTROL!$C$42, 0.5599, 0.5599)*CHOOSE(CONTROL!$C$42, 30, 30))/1000000</f>
        <v>11.673914999999997</v>
      </c>
      <c r="V42" s="57">
        <f>(1000*CHOOSE(CONTROL!$C$42, 580, 580)*CHOOSE(CONTROL!$C$42, 0.275, 0.275)*CHOOSE(CONTROL!$C$42, 30, 30))/1000000</f>
        <v>4.7850000000000001</v>
      </c>
      <c r="W42" s="57">
        <f>(1000*CHOOSE(CONTROL!$C$42, 0.1146, 0.1146)*CHOOSE(CONTROL!$C$42, 200, 200)*CHOOSE(CONTROL!$C$42, 30, 30))/1000000</f>
        <v>0.68759999999999999</v>
      </c>
      <c r="X42" s="57">
        <f>(30*0.1790888*245000/1000000)+(30*0.2374*100000/1000000)</f>
        <v>2.0285026799999999</v>
      </c>
      <c r="Y42" s="57"/>
      <c r="Z42" s="14">
        <f>CHOOSE(CONTROL!$C$42, 4.1195, 4.1195) * CHOOSE(CONTROL!$C$21, $C$9, 100%, $E$9)</f>
        <v>4.1195000000000004</v>
      </c>
      <c r="AA42" s="60">
        <f>(30*((8.07*31500+8.18*100000)/30))/1000000</f>
        <v>1.0722050000000001</v>
      </c>
      <c r="AB42" s="50">
        <f>(B42*194.205+C42*267.466+D42*133.845+E42*53.484+F42*40+G42*185+H42*50+I42*100+J42*300)/(194.205+267.466+133.845+53.484+50+40+185+100+300)</f>
        <v>4.1663509390483382</v>
      </c>
      <c r="AC42" s="45">
        <f t="shared" si="1"/>
        <v>4.1575978417266182</v>
      </c>
    </row>
    <row r="43" spans="1:29" ht="15.75" x14ac:dyDescent="0.25">
      <c r="A43" s="13">
        <v>42186</v>
      </c>
      <c r="B43" s="14">
        <f>CHOOSE(CONTROL!$C$42, 4.1596, 4.1596) * CHOOSE(CONTROL!$C$21, $C$9, 100%, $E$9)</f>
        <v>4.1596000000000002</v>
      </c>
      <c r="C43" s="14">
        <f>CHOOSE(CONTROL!$C$42, 4.1676, 4.1676) * CHOOSE(CONTROL!$C$21, $C$9, 100%, $E$9)</f>
        <v>4.1676000000000002</v>
      </c>
      <c r="D43" s="14">
        <f>CHOOSE(CONTROL!$C$42, 4.3651, 4.3651) * CHOOSE(CONTROL!$C$21, $C$9, 100%, $E$9)</f>
        <v>4.3651</v>
      </c>
      <c r="E43" s="14">
        <f>CHOOSE(CONTROL!$C$42, 4.3963, 4.3963) * CHOOSE(CONTROL!$C$21, $C$9, 100%, $E$9)</f>
        <v>4.3963000000000001</v>
      </c>
      <c r="F43" s="14">
        <f>CHOOSE(CONTROL!$C$42, 4.1439, 4.1439)*CHOOSE(CONTROL!$C$21, $C$9, 100%, $E$9)</f>
        <v>4.1439000000000004</v>
      </c>
      <c r="G43" s="14">
        <f>CHOOSE(CONTROL!$C$42, 4.1602, 4.1602)*CHOOSE(CONTROL!$C$21, $C$9, 100%, $E$9)</f>
        <v>4.1601999999999997</v>
      </c>
      <c r="H43" s="14">
        <f>CHOOSE(CONTROL!$C$42, 4.3849, 4.3849) * CHOOSE(CONTROL!$C$21, $C$9, 100%, $E$9)</f>
        <v>4.3849</v>
      </c>
      <c r="I43" s="14">
        <f>CHOOSE(CONTROL!$C$42, 4.171, 4.171)* CHOOSE(CONTROL!$C$21, $C$9, 100%, $E$9)</f>
        <v>4.1710000000000003</v>
      </c>
      <c r="J43" s="14">
        <f>CHOOSE(CONTROL!$C$42, 4.1369, 4.1369)* CHOOSE(CONTROL!$C$21, $C$9, 100%, $E$9)</f>
        <v>4.1368999999999998</v>
      </c>
      <c r="K43" s="53"/>
      <c r="L43" s="14">
        <f>CHOOSE(CONTROL!$C$42, 4.9719, 4.9719) * CHOOSE(CONTROL!$C$21, $C$9, 100%, $E$9)</f>
        <v>4.9718999999999998</v>
      </c>
      <c r="M43" s="14">
        <f>CHOOSE(CONTROL!$C$42, 4.109, 4.109) * CHOOSE(CONTROL!$C$21, $C$9, 100%, $E$9)</f>
        <v>4.109</v>
      </c>
      <c r="N43" s="14">
        <f>CHOOSE(CONTROL!$C$42, 4.1251, 4.1251) * CHOOSE(CONTROL!$C$21, $C$9, 100%, $E$9)</f>
        <v>4.1250999999999998</v>
      </c>
      <c r="O43" s="14">
        <f>CHOOSE(CONTROL!$C$42, 4.3545, 4.3545) * CHOOSE(CONTROL!$C$21, $C$9, 100%, $E$9)</f>
        <v>4.3544999999999998</v>
      </c>
      <c r="P43" s="14">
        <f>CHOOSE(CONTROL!$C$42, 4.1428, 4.1428) * CHOOSE(CONTROL!$C$21, $C$9, 100%, $E$9)</f>
        <v>4.1428000000000003</v>
      </c>
      <c r="Q43" s="14">
        <f>CHOOSE(CONTROL!$C$42, 4.9498, 4.9498) * CHOOSE(CONTROL!$C$21, $C$9, 100%, $E$9)</f>
        <v>4.9497999999999998</v>
      </c>
      <c r="R43" s="14">
        <f>CHOOSE(CONTROL!$C$42, 5.5492, 5.5492) * CHOOSE(CONTROL!$C$21, $C$9, 100%, $E$9)</f>
        <v>5.5491999999999999</v>
      </c>
      <c r="S43" s="14">
        <f>CHOOSE(CONTROL!$C$42, 4.0352, 4.0352) * CHOOSE(CONTROL!$C$21, $C$9, 100%, $E$9)</f>
        <v>4.0351999999999997</v>
      </c>
      <c r="T43" s="59">
        <f>((((430000*CHOOSE(CONTROL!$C$42, 0.4694, 0.4694)+(874000-430000)*CHOOSE(CONTROL!$C$42, 0.7185, 0.7185)+400000*CHOOSE(CONTROL!$C$42, 1.14, 1.14)+50000*0.98)*CHOOSE(CONTROL!$C$42, 31, 31))/1000000))+CHOOSE(CONTROL!$C$42, 0.1519, 0.1519)+CHOOSE(CONTROL!$C$42, 0.626, 0.626)</f>
        <v>32.579436000000001</v>
      </c>
      <c r="U43" s="57">
        <f>(1000*CHOOSE(CONTROL!$C$42, 695, 695)*CHOOSE(CONTROL!$C$42, 0.5599, 0.5599)*CHOOSE(CONTROL!$C$42, 31, 31))/1000000</f>
        <v>12.063045499999998</v>
      </c>
      <c r="V43" s="57">
        <f>(1000*CHOOSE(CONTROL!$C$42, 580, 580)*CHOOSE(CONTROL!$C$42, 0.275, 0.275)*CHOOSE(CONTROL!$C$42, 31, 31))/1000000</f>
        <v>4.9444999999999997</v>
      </c>
      <c r="W43" s="57">
        <f>(1000*CHOOSE(CONTROL!$C$42, 0.1146, 0.1146)*CHOOSE(CONTROL!$C$42, 200, 200)*CHOOSE(CONTROL!$C$42, 31, 31))/1000000</f>
        <v>0.71052000000000004</v>
      </c>
      <c r="X43" s="57">
        <f>(31*0.1790888*245000/1000000)+(31*0.2374*100000/1000000)</f>
        <v>2.0961194359999999</v>
      </c>
      <c r="Y43" s="57"/>
      <c r="Z43" s="14">
        <f>CHOOSE(CONTROL!$C$42, 4.1482, 4.1482) * CHOOSE(CONTROL!$C$21, $C$9, 100%, $E$9)</f>
        <v>4.1482000000000001</v>
      </c>
      <c r="AA43" s="58">
        <f>(31*((8.12*31500+8.18*100000)/31))/1000000</f>
        <v>1.07378</v>
      </c>
      <c r="AB43" s="50">
        <f>(B43*194.205+C43*267.466+D43*133.845+E43*53.484+F43*40+G43*185+H43*50+I43*100+J43*300)/(194.205+267.466+133.845+53.484+50+40+185+100+300)</f>
        <v>4.1953874156344408</v>
      </c>
      <c r="AC43" s="45">
        <f t="shared" si="1"/>
        <v>4.1864510791366909</v>
      </c>
    </row>
    <row r="44" spans="1:29" ht="15.75" x14ac:dyDescent="0.25">
      <c r="A44" s="13">
        <v>42217</v>
      </c>
      <c r="B44" s="14">
        <f>CHOOSE(CONTROL!$C$42, 4.173, 4.173) * CHOOSE(CONTROL!$C$21, $C$9, 100%, $E$9)</f>
        <v>4.173</v>
      </c>
      <c r="C44" s="14">
        <f>CHOOSE(CONTROL!$C$42, 4.1809, 4.1809) * CHOOSE(CONTROL!$C$21, $C$9, 100%, $E$9)</f>
        <v>4.1809000000000003</v>
      </c>
      <c r="D44" s="14">
        <f>CHOOSE(CONTROL!$C$42, 4.3785, 4.3785) * CHOOSE(CONTROL!$C$21, $C$9, 100%, $E$9)</f>
        <v>4.3784999999999998</v>
      </c>
      <c r="E44" s="14">
        <f>CHOOSE(CONTROL!$C$42, 4.4097, 4.4097) * CHOOSE(CONTROL!$C$21, $C$9, 100%, $E$9)</f>
        <v>4.4097</v>
      </c>
      <c r="F44" s="14">
        <f>CHOOSE(CONTROL!$C$42, 4.1575, 4.1575)*CHOOSE(CONTROL!$C$21, $C$9, 100%, $E$9)</f>
        <v>4.1574999999999998</v>
      </c>
      <c r="G44" s="14">
        <f>CHOOSE(CONTROL!$C$42, 4.1738, 4.1738)*CHOOSE(CONTROL!$C$21, $C$9, 100%, $E$9)</f>
        <v>4.1738</v>
      </c>
      <c r="H44" s="14">
        <f>CHOOSE(CONTROL!$C$42, 4.3983, 4.3983) * CHOOSE(CONTROL!$C$21, $C$9, 100%, $E$9)</f>
        <v>4.3982999999999999</v>
      </c>
      <c r="I44" s="14">
        <f>CHOOSE(CONTROL!$C$42, 4.1844, 4.1844)* CHOOSE(CONTROL!$C$21, $C$9, 100%, $E$9)</f>
        <v>4.1844000000000001</v>
      </c>
      <c r="J44" s="14">
        <f>CHOOSE(CONTROL!$C$42, 4.1505, 4.1505)* CHOOSE(CONTROL!$C$21, $C$9, 100%, $E$9)</f>
        <v>4.1505000000000001</v>
      </c>
      <c r="K44" s="53"/>
      <c r="L44" s="14">
        <f>CHOOSE(CONTROL!$C$42, 4.9853, 4.9853) * CHOOSE(CONTROL!$C$21, $C$9, 100%, $E$9)</f>
        <v>4.9852999999999996</v>
      </c>
      <c r="M44" s="14">
        <f>CHOOSE(CONTROL!$C$42, 4.1224, 4.1224) * CHOOSE(CONTROL!$C$21, $C$9, 100%, $E$9)</f>
        <v>4.1223999999999998</v>
      </c>
      <c r="N44" s="14">
        <f>CHOOSE(CONTROL!$C$42, 4.1386, 4.1386) * CHOOSE(CONTROL!$C$21, $C$9, 100%, $E$9)</f>
        <v>4.1386000000000003</v>
      </c>
      <c r="O44" s="14">
        <f>CHOOSE(CONTROL!$C$42, 4.3677, 4.3677) * CHOOSE(CONTROL!$C$21, $C$9, 100%, $E$9)</f>
        <v>4.3677000000000001</v>
      </c>
      <c r="P44" s="14">
        <f>CHOOSE(CONTROL!$C$42, 4.156, 4.156) * CHOOSE(CONTROL!$C$21, $C$9, 100%, $E$9)</f>
        <v>4.1559999999999997</v>
      </c>
      <c r="Q44" s="14">
        <f>CHOOSE(CONTROL!$C$42, 4.963, 4.963) * CHOOSE(CONTROL!$C$21, $C$9, 100%, $E$9)</f>
        <v>4.9630000000000001</v>
      </c>
      <c r="R44" s="14">
        <f>CHOOSE(CONTROL!$C$42, 5.5624, 5.5624) * CHOOSE(CONTROL!$C$21, $C$9, 100%, $E$9)</f>
        <v>5.5624000000000002</v>
      </c>
      <c r="S44" s="14">
        <f>CHOOSE(CONTROL!$C$42, 4.0482, 4.0482) * CHOOSE(CONTROL!$C$21, $C$9, 100%, $E$9)</f>
        <v>4.0481999999999996</v>
      </c>
      <c r="T44" s="59">
        <f>((((430000*CHOOSE(CONTROL!$C$42, 0.4694, 0.4694)+(874000-430000)*CHOOSE(CONTROL!$C$42, 0.7185, 0.7185)+400000*CHOOSE(CONTROL!$C$42, 1.14, 1.14)+50000*0.98)*CHOOSE(CONTROL!$C$42, 31, 31))/1000000))+CHOOSE(CONTROL!$C$42, 0.1868, 0.1868)+CHOOSE(CONTROL!$C$42, 0.6257, 0.6257)</f>
        <v>32.614035999999999</v>
      </c>
      <c r="U44" s="57">
        <f>(1000*CHOOSE(CONTROL!$C$42, 695, 695)*CHOOSE(CONTROL!$C$42, 0.5599, 0.5599)*CHOOSE(CONTROL!$C$42, 31, 31))/1000000</f>
        <v>12.063045499999998</v>
      </c>
      <c r="V44" s="57">
        <f>(1000*CHOOSE(CONTROL!$C$42, 580, 580)*CHOOSE(CONTROL!$C$42, 0.275, 0.275)*CHOOSE(CONTROL!$C$42, 31, 31))/1000000</f>
        <v>4.9444999999999997</v>
      </c>
      <c r="W44" s="57">
        <f>(1000*CHOOSE(CONTROL!$C$42, 0.1146, 0.1146)*CHOOSE(CONTROL!$C$42, 200, 200)*CHOOSE(CONTROL!$C$42, 31, 31))/1000000</f>
        <v>0.71052000000000004</v>
      </c>
      <c r="X44" s="57">
        <f>(31*0.1790888*245000/1000000)+(31*0.2374*100000/1000000)</f>
        <v>2.0961194359999999</v>
      </c>
      <c r="Y44" s="57"/>
      <c r="Z44" s="14">
        <f>CHOOSE(CONTROL!$C$42, 4.1615, 4.1615) * CHOOSE(CONTROL!$C$21, $C$9, 100%, $E$9)</f>
        <v>4.1615000000000002</v>
      </c>
      <c r="AA44" s="58">
        <f>(31*((8.12*31500+8.18*100000)/31))/1000000</f>
        <v>1.07378</v>
      </c>
      <c r="AB44" s="50">
        <f>(B44*194.205+C44*267.466+D44*133.845+E44*53.484+F44*40+G44*185+H44*50+I44*100+J44*300)/(194.205+267.466+133.845+53.484+50+40+185+100+300)</f>
        <v>4.2088465194108755</v>
      </c>
      <c r="AC44" s="45">
        <f t="shared" si="1"/>
        <v>4.1997892086330939</v>
      </c>
    </row>
    <row r="45" spans="1:29" ht="15.75" x14ac:dyDescent="0.25">
      <c r="A45" s="13">
        <v>42248</v>
      </c>
      <c r="B45" s="14">
        <f>CHOOSE(CONTROL!$C$42, 4.1716, 4.1716) * CHOOSE(CONTROL!$C$21, $C$9, 100%, $E$9)</f>
        <v>4.1715999999999998</v>
      </c>
      <c r="C45" s="14">
        <f>CHOOSE(CONTROL!$C$42, 4.1795, 4.1795) * CHOOSE(CONTROL!$C$21, $C$9, 100%, $E$9)</f>
        <v>4.1795</v>
      </c>
      <c r="D45" s="14">
        <f>CHOOSE(CONTROL!$C$42, 4.3771, 4.3771) * CHOOSE(CONTROL!$C$21, $C$9, 100%, $E$9)</f>
        <v>4.3771000000000004</v>
      </c>
      <c r="E45" s="14">
        <f>CHOOSE(CONTROL!$C$42, 4.4082, 4.4082) * CHOOSE(CONTROL!$C$21, $C$9, 100%, $E$9)</f>
        <v>4.4081999999999999</v>
      </c>
      <c r="F45" s="14">
        <f>CHOOSE(CONTROL!$C$42, 4.156, 4.156)*CHOOSE(CONTROL!$C$21, $C$9, 100%, $E$9)</f>
        <v>4.1559999999999997</v>
      </c>
      <c r="G45" s="14">
        <f>CHOOSE(CONTROL!$C$42, 4.1723, 4.1723)*CHOOSE(CONTROL!$C$21, $C$9, 100%, $E$9)</f>
        <v>4.1722999999999999</v>
      </c>
      <c r="H45" s="14">
        <f>CHOOSE(CONTROL!$C$42, 4.3969, 4.3969) * CHOOSE(CONTROL!$C$21, $C$9, 100%, $E$9)</f>
        <v>4.3968999999999996</v>
      </c>
      <c r="I45" s="14">
        <f>CHOOSE(CONTROL!$C$42, 4.183, 4.183)* CHOOSE(CONTROL!$C$21, $C$9, 100%, $E$9)</f>
        <v>4.1829999999999998</v>
      </c>
      <c r="J45" s="14">
        <f>CHOOSE(CONTROL!$C$42, 4.149, 4.149)* CHOOSE(CONTROL!$C$21, $C$9, 100%, $E$9)</f>
        <v>4.149</v>
      </c>
      <c r="K45" s="53"/>
      <c r="L45" s="14">
        <f>CHOOSE(CONTROL!$C$42, 4.9839, 4.9839) * CHOOSE(CONTROL!$C$21, $C$9, 100%, $E$9)</f>
        <v>4.9839000000000002</v>
      </c>
      <c r="M45" s="14">
        <f>CHOOSE(CONTROL!$C$42, 4.1209, 4.1209) * CHOOSE(CONTROL!$C$21, $C$9, 100%, $E$9)</f>
        <v>4.1208999999999998</v>
      </c>
      <c r="N45" s="14">
        <f>CHOOSE(CONTROL!$C$42, 4.1371, 4.1371) * CHOOSE(CONTROL!$C$21, $C$9, 100%, $E$9)</f>
        <v>4.1371000000000002</v>
      </c>
      <c r="O45" s="14">
        <f>CHOOSE(CONTROL!$C$42, 4.3663, 4.3663) * CHOOSE(CONTROL!$C$21, $C$9, 100%, $E$9)</f>
        <v>4.3662999999999998</v>
      </c>
      <c r="P45" s="14">
        <f>CHOOSE(CONTROL!$C$42, 4.1546, 4.1546) * CHOOSE(CONTROL!$C$21, $C$9, 100%, $E$9)</f>
        <v>4.1546000000000003</v>
      </c>
      <c r="Q45" s="14">
        <f>CHOOSE(CONTROL!$C$42, 4.9616, 4.9616) * CHOOSE(CONTROL!$C$21, $C$9, 100%, $E$9)</f>
        <v>4.9615999999999998</v>
      </c>
      <c r="R45" s="14">
        <f>CHOOSE(CONTROL!$C$42, 5.561, 5.561) * CHOOSE(CONTROL!$C$21, $C$9, 100%, $E$9)</f>
        <v>5.5609999999999999</v>
      </c>
      <c r="S45" s="14">
        <f>CHOOSE(CONTROL!$C$42, 4.0468, 4.0468) * CHOOSE(CONTROL!$C$21, $C$9, 100%, $E$9)</f>
        <v>4.0468000000000002</v>
      </c>
      <c r="T45" s="59">
        <f>((((430000*CHOOSE(CONTROL!$C$42, 0.4694, 0.4694)+(874000-430000)*CHOOSE(CONTROL!$C$42, 0.7185, 0.7185)+400000*CHOOSE(CONTROL!$C$42, 1.14, 1.14)+50000*0.98)*CHOOSE(CONTROL!$C$42, 30, 30))/1000000))+CHOOSE(CONTROL!$C$42, 0.1677, 0.1677)+CHOOSE(CONTROL!$C$42, 0.1997, 0.1997)</f>
        <v>31.143080000000001</v>
      </c>
      <c r="U45" s="57">
        <f>(1000*CHOOSE(CONTROL!$C$42, 695, 695)*CHOOSE(CONTROL!$C$42, 0.5599, 0.5599)*CHOOSE(CONTROL!$C$42, 30, 30))/1000000</f>
        <v>11.673914999999997</v>
      </c>
      <c r="V45" s="57">
        <f>(1000*CHOOSE(CONTROL!$C$42, 580, 580)*CHOOSE(CONTROL!$C$42, 0.275, 0.275)*CHOOSE(CONTROL!$C$42, 30, 30))/1000000</f>
        <v>4.7850000000000001</v>
      </c>
      <c r="W45" s="57">
        <f>(1000*CHOOSE(CONTROL!$C$42, 0.1146, 0.1146)*CHOOSE(CONTROL!$C$42, 200, 200)*CHOOSE(CONTROL!$C$42, 30, 30))/1000000</f>
        <v>0.68759999999999999</v>
      </c>
      <c r="X45" s="57">
        <f>(30*0.1790888*245000/1000000)+(30*0.2374*100000/1000000)</f>
        <v>2.0285026799999999</v>
      </c>
      <c r="Y45" s="57"/>
      <c r="Z45" s="14">
        <f>CHOOSE(CONTROL!$C$42, 4.1601, 4.1601) * CHOOSE(CONTROL!$C$21, $C$9, 100%, $E$9)</f>
        <v>4.1600999999999999</v>
      </c>
      <c r="AA45" s="58">
        <f>(30*((8.12*31500+8.18*100000)/30))/1000000</f>
        <v>1.07378</v>
      </c>
      <c r="AB45" s="50">
        <f>(B45*194.205+C45*267.466+D45*133.845+E45*53.484+F45*40+G45*185+H45*50+I45*100+J45*300)/(194.205+267.466+133.845+53.484+50+40+185+100+300)</f>
        <v>4.2074028272658612</v>
      </c>
      <c r="AC45" s="45">
        <f t="shared" si="1"/>
        <v>4.1983316546762595</v>
      </c>
    </row>
    <row r="46" spans="1:29" ht="15.75" x14ac:dyDescent="0.25">
      <c r="A46" s="13">
        <v>42278</v>
      </c>
      <c r="B46" s="14">
        <f>CHOOSE(CONTROL!$C$42, 4.1946, 4.1946) * CHOOSE(CONTROL!$C$21, $C$9, 100%, $E$9)</f>
        <v>4.1946000000000003</v>
      </c>
      <c r="C46" s="14">
        <f>CHOOSE(CONTROL!$C$42, 4.1998, 4.1998) * CHOOSE(CONTROL!$C$21, $C$9, 100%, $E$9)</f>
        <v>4.1997999999999998</v>
      </c>
      <c r="D46" s="14">
        <f>CHOOSE(CONTROL!$C$42, 4.4023, 4.4023) * CHOOSE(CONTROL!$C$21, $C$9, 100%, $E$9)</f>
        <v>4.4023000000000003</v>
      </c>
      <c r="E46" s="14">
        <f>CHOOSE(CONTROL!$C$42, 4.4311, 4.4311) * CHOOSE(CONTROL!$C$21, $C$9, 100%, $E$9)</f>
        <v>4.4310999999999998</v>
      </c>
      <c r="F46" s="14">
        <f>CHOOSE(CONTROL!$C$42, 4.1809, 4.1809)*CHOOSE(CONTROL!$C$21, $C$9, 100%, $E$9)</f>
        <v>4.1809000000000003</v>
      </c>
      <c r="G46" s="14">
        <f>CHOOSE(CONTROL!$C$42, 4.1969, 4.1969)*CHOOSE(CONTROL!$C$21, $C$9, 100%, $E$9)</f>
        <v>4.1969000000000003</v>
      </c>
      <c r="H46" s="14">
        <f>CHOOSE(CONTROL!$C$42, 4.4216, 4.4216) * CHOOSE(CONTROL!$C$21, $C$9, 100%, $E$9)</f>
        <v>4.4215999999999998</v>
      </c>
      <c r="I46" s="14">
        <f>CHOOSE(CONTROL!$C$42, 4.2077, 4.2077)* CHOOSE(CONTROL!$C$21, $C$9, 100%, $E$9)</f>
        <v>4.2077</v>
      </c>
      <c r="J46" s="14">
        <f>CHOOSE(CONTROL!$C$42, 4.1739, 4.1739)* CHOOSE(CONTROL!$C$21, $C$9, 100%, $E$9)</f>
        <v>4.1738999999999997</v>
      </c>
      <c r="K46" s="53"/>
      <c r="L46" s="14">
        <f>CHOOSE(CONTROL!$C$42, 5.0086, 5.0086) * CHOOSE(CONTROL!$C$21, $C$9, 100%, $E$9)</f>
        <v>5.0086000000000004</v>
      </c>
      <c r="M46" s="14">
        <f>CHOOSE(CONTROL!$C$42, 4.1456, 4.1456) * CHOOSE(CONTROL!$C$21, $C$9, 100%, $E$9)</f>
        <v>4.1456</v>
      </c>
      <c r="N46" s="14">
        <f>CHOOSE(CONTROL!$C$42, 4.1615, 4.1615) * CHOOSE(CONTROL!$C$21, $C$9, 100%, $E$9)</f>
        <v>4.1615000000000002</v>
      </c>
      <c r="O46" s="14">
        <f>CHOOSE(CONTROL!$C$42, 4.3908, 4.3908) * CHOOSE(CONTROL!$C$21, $C$9, 100%, $E$9)</f>
        <v>4.3907999999999996</v>
      </c>
      <c r="P46" s="14">
        <f>CHOOSE(CONTROL!$C$42, 4.1791, 4.1791) * CHOOSE(CONTROL!$C$21, $C$9, 100%, $E$9)</f>
        <v>4.1791</v>
      </c>
      <c r="Q46" s="14">
        <f>CHOOSE(CONTROL!$C$42, 4.9861, 4.9861) * CHOOSE(CONTROL!$C$21, $C$9, 100%, $E$9)</f>
        <v>4.9861000000000004</v>
      </c>
      <c r="R46" s="14">
        <f>CHOOSE(CONTROL!$C$42, 5.5856, 5.5856) * CHOOSE(CONTROL!$C$21, $C$9, 100%, $E$9)</f>
        <v>5.5856000000000003</v>
      </c>
      <c r="S46" s="14">
        <f>CHOOSE(CONTROL!$C$42, 4.0708, 4.0708) * CHOOSE(CONTROL!$C$21, $C$9, 100%, $E$9)</f>
        <v>4.0708000000000002</v>
      </c>
      <c r="T4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6" s="57">
        <f>(1000*CHOOSE(CONTROL!$C$42, 695, 695)*CHOOSE(CONTROL!$C$42, 0.5599, 0.5599)*CHOOSE(CONTROL!$C$42, 31, 31))/1000000</f>
        <v>12.063045499999998</v>
      </c>
      <c r="V46" s="57">
        <f>(1000*CHOOSE(CONTROL!$C$42, 580, 580)*CHOOSE(CONTROL!$C$42, 0.275, 0.275)*CHOOSE(CONTROL!$C$42, 31, 31))/1000000</f>
        <v>4.9444999999999997</v>
      </c>
      <c r="W46" s="57">
        <f>(1000*CHOOSE(CONTROL!$C$42, 0.1146, 0.1146)*CHOOSE(CONTROL!$C$42, 200, 200)*CHOOSE(CONTROL!$C$42, 31, 31))/1000000</f>
        <v>0.71052000000000004</v>
      </c>
      <c r="X46" s="57">
        <f>(31*0.1790888*245000/1000000)+(31*0.2374*100000/1000000)</f>
        <v>2.0961194359999999</v>
      </c>
      <c r="Y46" s="57"/>
      <c r="Z46" s="14">
        <f>CHOOSE(CONTROL!$C$42, 4.1846, 4.1846) * CHOOSE(CONTROL!$C$21, $C$9, 100%, $E$9)</f>
        <v>4.1845999999999997</v>
      </c>
      <c r="AA46" s="58">
        <f>(31*((8.12*31500+8.18*100000)/31))/1000000</f>
        <v>1.07378</v>
      </c>
      <c r="AB46" s="50">
        <f>(B46*131.881+C46*277.167+D46*79.08+E46*125.872+F46*40+G46*185+H46*0+I46*100+J46*300)/(131.881+277.167+79.08+125.872+0+40+185+100+300)</f>
        <v>4.2289925846650522</v>
      </c>
      <c r="AC46" s="45">
        <f t="shared" si="1"/>
        <v>4.2228776978417262</v>
      </c>
    </row>
    <row r="47" spans="1:29" ht="15.75" x14ac:dyDescent="0.25">
      <c r="A47" s="13">
        <v>42309</v>
      </c>
      <c r="B47" s="14">
        <f>CHOOSE(CONTROL!$C$42, 4.2693, 4.2693) * CHOOSE(CONTROL!$C$21, $C$9, 100%, $E$9)</f>
        <v>4.2693000000000003</v>
      </c>
      <c r="C47" s="14">
        <f>CHOOSE(CONTROL!$C$42, 4.2743, 4.2743) * CHOOSE(CONTROL!$C$21, $C$9, 100%, $E$9)</f>
        <v>4.2743000000000002</v>
      </c>
      <c r="D47" s="14">
        <f>CHOOSE(CONTROL!$C$42, 4.3373, 4.3373) * CHOOSE(CONTROL!$C$21, $C$9, 100%, $E$9)</f>
        <v>4.3372999999999999</v>
      </c>
      <c r="E47" s="14">
        <f>CHOOSE(CONTROL!$C$42, 4.3711, 4.3711) * CHOOSE(CONTROL!$C$21, $C$9, 100%, $E$9)</f>
        <v>4.3711000000000002</v>
      </c>
      <c r="F47" s="14">
        <f>CHOOSE(CONTROL!$C$42, 4.27, 4.27)*CHOOSE(CONTROL!$C$21, $C$9, 100%, $E$9)</f>
        <v>4.2699999999999996</v>
      </c>
      <c r="G47" s="14">
        <f>CHOOSE(CONTROL!$C$42, 4.2863, 4.2863)*CHOOSE(CONTROL!$C$21, $C$9, 100%, $E$9)</f>
        <v>4.2862999999999998</v>
      </c>
      <c r="H47" s="14">
        <f>CHOOSE(CONTROL!$C$42, 4.3603, 4.3603) * CHOOSE(CONTROL!$C$21, $C$9, 100%, $E$9)</f>
        <v>4.3602999999999996</v>
      </c>
      <c r="I47" s="14">
        <f>CHOOSE(CONTROL!$C$42, 4.2829, 4.2829)* CHOOSE(CONTROL!$C$21, $C$9, 100%, $E$9)</f>
        <v>4.2828999999999997</v>
      </c>
      <c r="J47" s="14">
        <f>CHOOSE(CONTROL!$C$42, 4.263, 4.263)* CHOOSE(CONTROL!$C$21, $C$9, 100%, $E$9)</f>
        <v>4.2629999999999999</v>
      </c>
      <c r="K47" s="53"/>
      <c r="L47" s="14">
        <f>CHOOSE(CONTROL!$C$42, 4.9473, 4.9473) * CHOOSE(CONTROL!$C$21, $C$9, 100%, $E$9)</f>
        <v>4.9473000000000003</v>
      </c>
      <c r="M47" s="14">
        <f>CHOOSE(CONTROL!$C$42, 4.2338, 4.2338) * CHOOSE(CONTROL!$C$21, $C$9, 100%, $E$9)</f>
        <v>4.2337999999999996</v>
      </c>
      <c r="N47" s="14">
        <f>CHOOSE(CONTROL!$C$42, 4.2499, 4.2499) * CHOOSE(CONTROL!$C$21, $C$9, 100%, $E$9)</f>
        <v>4.2499000000000002</v>
      </c>
      <c r="O47" s="14">
        <f>CHOOSE(CONTROL!$C$42, 4.3301, 4.3301) * CHOOSE(CONTROL!$C$21, $C$9, 100%, $E$9)</f>
        <v>4.3300999999999998</v>
      </c>
      <c r="P47" s="14">
        <f>CHOOSE(CONTROL!$C$42, 4.2535, 4.2535) * CHOOSE(CONTROL!$C$21, $C$9, 100%, $E$9)</f>
        <v>4.2534999999999998</v>
      </c>
      <c r="Q47" s="14">
        <f>CHOOSE(CONTROL!$C$42, 4.9254, 4.9254) * CHOOSE(CONTROL!$C$21, $C$9, 100%, $E$9)</f>
        <v>4.9253999999999998</v>
      </c>
      <c r="R47" s="14">
        <f>CHOOSE(CONTROL!$C$42, 5.5248, 5.5248) * CHOOSE(CONTROL!$C$21, $C$9, 100%, $E$9)</f>
        <v>5.5247999999999999</v>
      </c>
      <c r="S47" s="14">
        <f>CHOOSE(CONTROL!$C$42, 4.1438, 4.1438) * CHOOSE(CONTROL!$C$21, $C$9, 100%, $E$9)</f>
        <v>4.1437999999999997</v>
      </c>
      <c r="T4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7" s="57">
        <f>(1000*CHOOSE(CONTROL!$C$42, 695, 695)*CHOOSE(CONTROL!$C$42, 0.5599, 0.5599)*CHOOSE(CONTROL!$C$42, 30, 30))/1000000</f>
        <v>11.673914999999997</v>
      </c>
      <c r="V47" s="57">
        <f>(1000*CHOOSE(CONTROL!$C$42, 580, 580)*CHOOSE(CONTROL!$C$42, 0.275, 0.275)*CHOOSE(CONTROL!$C$42, 30, 30))/1000000</f>
        <v>4.7850000000000001</v>
      </c>
      <c r="W47" s="57">
        <f>(1000*CHOOSE(CONTROL!$C$42, 0.1146, 0.1146)*CHOOSE(CONTROL!$C$42, 200, 200)*CHOOSE(CONTROL!$C$42, 30, 30))/1000000</f>
        <v>0.68759999999999999</v>
      </c>
      <c r="X47" s="57">
        <f>(30*0.1790888*100000/1000000)+(30*0.2374*100000/1000000)</f>
        <v>1.2494664</v>
      </c>
      <c r="Y47" s="57"/>
      <c r="Z47" s="14">
        <f>CHOOSE(CONTROL!$C$42, 4.2583, 4.2583) * CHOOSE(CONTROL!$C$21, $C$9, 100%, $E$9)</f>
        <v>4.2583000000000002</v>
      </c>
      <c r="AA47" s="58">
        <f>(30*((8.12*31500+8.18*100000)/30))/1000000</f>
        <v>1.07378</v>
      </c>
      <c r="AB47" s="50">
        <f>(B47*122.58+C47*297.941+D47*89.177+E47*40.302+F47*40+G47*160+H47*0+I47*100+J47*300)/(122.58+297.941+89.177+40.302+0+40+160+100+300)</f>
        <v>4.2813647692173911</v>
      </c>
      <c r="AC47" s="45">
        <f>(M47*240+N47*40+O47*315+P47*100)/(240+40+315+100)</f>
        <v>4.2812079136690651</v>
      </c>
    </row>
    <row r="48" spans="1:29" ht="15.75" x14ac:dyDescent="0.25">
      <c r="A48" s="13">
        <v>42339</v>
      </c>
      <c r="B48" s="14">
        <f>CHOOSE(CONTROL!$C$42, 4.4382, 4.4382) * CHOOSE(CONTROL!$C$21, $C$9, 100%, $E$9)</f>
        <v>4.4382000000000001</v>
      </c>
      <c r="C48" s="14">
        <f>CHOOSE(CONTROL!$C$42, 4.4431, 4.4431) * CHOOSE(CONTROL!$C$21, $C$9, 100%, $E$9)</f>
        <v>4.4431000000000003</v>
      </c>
      <c r="D48" s="14">
        <f>CHOOSE(CONTROL!$C$42, 4.5062, 4.5062) * CHOOSE(CONTROL!$C$21, $C$9, 100%, $E$9)</f>
        <v>4.5061999999999998</v>
      </c>
      <c r="E48" s="14">
        <f>CHOOSE(CONTROL!$C$42, 4.54, 4.54) * CHOOSE(CONTROL!$C$21, $C$9, 100%, $E$9)</f>
        <v>4.54</v>
      </c>
      <c r="F48" s="14">
        <f>CHOOSE(CONTROL!$C$42, 4.4409, 4.4409)*CHOOSE(CONTROL!$C$21, $C$9, 100%, $E$9)</f>
        <v>4.4409000000000001</v>
      </c>
      <c r="G48" s="14">
        <f>CHOOSE(CONTROL!$C$42, 4.4578, 4.4578)*CHOOSE(CONTROL!$C$21, $C$9, 100%, $E$9)</f>
        <v>4.4577999999999998</v>
      </c>
      <c r="H48" s="14">
        <f>CHOOSE(CONTROL!$C$42, 4.5292, 4.5292) * CHOOSE(CONTROL!$C$21, $C$9, 100%, $E$9)</f>
        <v>4.5292000000000003</v>
      </c>
      <c r="I48" s="14">
        <f>CHOOSE(CONTROL!$C$42, 4.4517, 4.4517)* CHOOSE(CONTROL!$C$21, $C$9, 100%, $E$9)</f>
        <v>4.4516999999999998</v>
      </c>
      <c r="J48" s="14">
        <f>CHOOSE(CONTROL!$C$42, 4.4339, 4.4339)* CHOOSE(CONTROL!$C$21, $C$9, 100%, $E$9)</f>
        <v>4.4339000000000004</v>
      </c>
      <c r="K48" s="53"/>
      <c r="L48" s="14">
        <f>CHOOSE(CONTROL!$C$42, 5.1162, 5.1162) * CHOOSE(CONTROL!$C$21, $C$9, 100%, $E$9)</f>
        <v>5.1162000000000001</v>
      </c>
      <c r="M48" s="14">
        <f>CHOOSE(CONTROL!$C$42, 4.403, 4.403) * CHOOSE(CONTROL!$C$21, $C$9, 100%, $E$9)</f>
        <v>4.4029999999999996</v>
      </c>
      <c r="N48" s="14">
        <f>CHOOSE(CONTROL!$C$42, 4.4197, 4.4197) * CHOOSE(CONTROL!$C$21, $C$9, 100%, $E$9)</f>
        <v>4.4196999999999997</v>
      </c>
      <c r="O48" s="14">
        <f>CHOOSE(CONTROL!$C$42, 4.4973, 4.4973) * CHOOSE(CONTROL!$C$21, $C$9, 100%, $E$9)</f>
        <v>4.4973000000000001</v>
      </c>
      <c r="P48" s="14">
        <f>CHOOSE(CONTROL!$C$42, 4.4207, 4.4207) * CHOOSE(CONTROL!$C$21, $C$9, 100%, $E$9)</f>
        <v>4.4207000000000001</v>
      </c>
      <c r="Q48" s="14">
        <f>CHOOSE(CONTROL!$C$42, 5.0926, 5.0926) * CHOOSE(CONTROL!$C$21, $C$9, 100%, $E$9)</f>
        <v>5.0926</v>
      </c>
      <c r="R48" s="14">
        <f>CHOOSE(CONTROL!$C$42, 5.6923, 5.6923) * CHOOSE(CONTROL!$C$21, $C$9, 100%, $E$9)</f>
        <v>5.6923000000000004</v>
      </c>
      <c r="S48" s="14">
        <f>CHOOSE(CONTROL!$C$42, 4.3078, 4.3078) * CHOOSE(CONTROL!$C$21, $C$9, 100%, $E$9)</f>
        <v>4.3078000000000003</v>
      </c>
      <c r="T4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8" s="57">
        <f>(1000*CHOOSE(CONTROL!$C$42, 695, 695)*CHOOSE(CONTROL!$C$42, 0.5599, 0.5599)*CHOOSE(CONTROL!$C$42, 31, 31))/1000000</f>
        <v>12.063045499999998</v>
      </c>
      <c r="V48" s="57">
        <f>(1000*CHOOSE(CONTROL!$C$42, 580, 580)*CHOOSE(CONTROL!$C$42, 0.275, 0.275)*CHOOSE(CONTROL!$C$42, 31, 31))/1000000</f>
        <v>4.9444999999999997</v>
      </c>
      <c r="W48" s="57">
        <f>(1000*CHOOSE(CONTROL!$C$42, 0.1146, 0.1146)*CHOOSE(CONTROL!$C$42, 200, 200)*CHOOSE(CONTROL!$C$42, 31, 31))/1000000</f>
        <v>0.71052000000000004</v>
      </c>
      <c r="X48" s="57">
        <f>(31*0.1790888*100000/1000000)+(31*0.2374*100000/1000000)</f>
        <v>1.2911152800000001</v>
      </c>
      <c r="Y48" s="57"/>
      <c r="Z48" s="14">
        <f>CHOOSE(CONTROL!$C$42, 4.4287, 4.4287) * CHOOSE(CONTROL!$C$21, $C$9, 100%, $E$9)</f>
        <v>4.4287000000000001</v>
      </c>
      <c r="AA48" s="58">
        <f>(31*((8.12*31500+8.18*100000)/31))/1000000</f>
        <v>1.07378</v>
      </c>
      <c r="AB48" s="50">
        <f>(B48*122.58+C48*297.941+D48*89.177+E48*40.302+F48*40+G48*160+H48*0+I48*100+J48*300)/(122.58+297.941+89.177+40.302+0+40+160+100+300)</f>
        <v>4.4511832091304342</v>
      </c>
      <c r="AC48" s="45">
        <f>(M48*240+N48*40+O48*315+P48*100)/(240+40+315+100)</f>
        <v>4.4492482014388486</v>
      </c>
    </row>
    <row r="49" spans="1:29" ht="15.75" x14ac:dyDescent="0.25">
      <c r="A49" s="13">
        <v>42370</v>
      </c>
      <c r="B49" s="14">
        <f>CHOOSE(CONTROL!$C$42, 4.6411, 4.6411) * CHOOSE(CONTROL!$C$21, $C$9, 100%, $E$9)</f>
        <v>4.6410999999999998</v>
      </c>
      <c r="C49" s="14">
        <f>CHOOSE(CONTROL!$C$42, 4.6461, 4.6461) * CHOOSE(CONTROL!$C$21, $C$9, 100%, $E$9)</f>
        <v>4.6460999999999997</v>
      </c>
      <c r="D49" s="14">
        <f>CHOOSE(CONTROL!$C$42, 4.7104, 4.7104) * CHOOSE(CONTROL!$C$21, $C$9, 100%, $E$9)</f>
        <v>4.7103999999999999</v>
      </c>
      <c r="E49" s="14">
        <f>CHOOSE(CONTROL!$C$42, 4.7441, 4.7441) * CHOOSE(CONTROL!$C$21, $C$9, 100%, $E$9)</f>
        <v>4.7441000000000004</v>
      </c>
      <c r="F49" s="14">
        <f>CHOOSE(CONTROL!$C$42, 4.6426, 4.6426)*CHOOSE(CONTROL!$C$21, $C$9, 100%, $E$9)</f>
        <v>4.6425999999999998</v>
      </c>
      <c r="G49" s="14">
        <f>CHOOSE(CONTROL!$C$42, 4.6586, 4.6586)*CHOOSE(CONTROL!$C$21, $C$9, 100%, $E$9)</f>
        <v>4.6585999999999999</v>
      </c>
      <c r="H49" s="14">
        <f>CHOOSE(CONTROL!$C$42, 4.7333, 4.7333) * CHOOSE(CONTROL!$C$21, $C$9, 100%, $E$9)</f>
        <v>4.7332999999999998</v>
      </c>
      <c r="I49" s="14">
        <f>CHOOSE(CONTROL!$C$42, 4.6611, 4.6611)* CHOOSE(CONTROL!$C$21, $C$9, 100%, $E$9)</f>
        <v>4.6611000000000002</v>
      </c>
      <c r="J49" s="14">
        <f>CHOOSE(CONTROL!$C$42, 4.6356, 4.6356)* CHOOSE(CONTROL!$C$21, $C$9, 100%, $E$9)</f>
        <v>4.6356000000000002</v>
      </c>
      <c r="K49" s="53"/>
      <c r="L49" s="14">
        <f>CHOOSE(CONTROL!$C$42, 5.3203, 5.3203) * CHOOSE(CONTROL!$C$21, $C$9, 100%, $E$9)</f>
        <v>5.3202999999999996</v>
      </c>
      <c r="M49" s="14">
        <f>CHOOSE(CONTROL!$C$42, 4.6027, 4.6027) * CHOOSE(CONTROL!$C$21, $C$9, 100%, $E$9)</f>
        <v>4.6026999999999996</v>
      </c>
      <c r="N49" s="14">
        <f>CHOOSE(CONTROL!$C$42, 4.6184, 4.6184) * CHOOSE(CONTROL!$C$21, $C$9, 100%, $E$9)</f>
        <v>4.6184000000000003</v>
      </c>
      <c r="O49" s="14">
        <f>CHOOSE(CONTROL!$C$42, 4.6994, 4.6994) * CHOOSE(CONTROL!$C$21, $C$9, 100%, $E$9)</f>
        <v>4.6993999999999998</v>
      </c>
      <c r="P49" s="14">
        <f>CHOOSE(CONTROL!$C$42, 4.6279, 4.6279) * CHOOSE(CONTROL!$C$21, $C$9, 100%, $E$9)</f>
        <v>4.6279000000000003</v>
      </c>
      <c r="Q49" s="14">
        <f>CHOOSE(CONTROL!$C$42, 5.2947, 5.2947) * CHOOSE(CONTROL!$C$21, $C$9, 100%, $E$9)</f>
        <v>5.2946999999999997</v>
      </c>
      <c r="R49" s="14">
        <f>CHOOSE(CONTROL!$C$42, 5.8949, 5.8949) * CHOOSE(CONTROL!$C$21, $C$9, 100%, $E$9)</f>
        <v>5.8948999999999998</v>
      </c>
      <c r="S49" s="14">
        <f>CHOOSE(CONTROL!$C$42, 4.5049, 4.5049) * CHOOSE(CONTROL!$C$21, $C$9, 100%, $E$9)</f>
        <v>4.5049000000000001</v>
      </c>
      <c r="T4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9" s="57">
        <f>(1000*CHOOSE(CONTROL!$C$42, 695, 695)*CHOOSE(CONTROL!$C$42, 0.5599, 0.5599)*CHOOSE(CONTROL!$C$42, 31, 31))/1000000</f>
        <v>12.063045499999998</v>
      </c>
      <c r="V49" s="57">
        <f>(1000*CHOOSE(CONTROL!$C$42, 580, 580)*CHOOSE(CONTROL!$C$42, 0.275, 0.275)*CHOOSE(CONTROL!$C$42, 31, 31))/1000000</f>
        <v>4.9444999999999997</v>
      </c>
      <c r="W49" s="57">
        <f>(1000*CHOOSE(CONTROL!$C$42, 0.1146, 0.1146)*CHOOSE(CONTROL!$C$42, 200, 200)*CHOOSE(CONTROL!$C$42, 31, 31))/1000000</f>
        <v>0.71052000000000004</v>
      </c>
      <c r="X49" s="57">
        <f>(31*0.1790888*100000/1000000)+(31*0.2374*100000/1000000)</f>
        <v>1.2911152800000001</v>
      </c>
      <c r="Y49" s="57"/>
      <c r="Z49" s="14"/>
      <c r="AA49" s="56"/>
      <c r="AB49" s="50">
        <f>(B49*122.58+C49*297.941+D49*89.177+E49*40.302+F49*40+G49*160+H49*0+I49*100+J49*300)/(122.58+297.941+89.177+40.302+0+40+160+100+300)</f>
        <v>4.654170240956522</v>
      </c>
      <c r="AC49" s="45">
        <f>(M49*'RAP TEMPLATE-GAS AVAILABILITY'!O48+N49*'RAP TEMPLATE-GAS AVAILABILITY'!P48+O49*'RAP TEMPLATE-GAS AVAILABILITY'!Q48+P49*'RAP TEMPLATE-GAS AVAILABILITY'!R48)/('RAP TEMPLATE-GAS AVAILABILITY'!O48+'RAP TEMPLATE-GAS AVAILABILITY'!P48+'RAP TEMPLATE-GAS AVAILABILITY'!Q48+'RAP TEMPLATE-GAS AVAILABILITY'!R48)</f>
        <v>4.651057553956834</v>
      </c>
    </row>
    <row r="50" spans="1:29" ht="15.75" x14ac:dyDescent="0.25">
      <c r="A50" s="13">
        <v>42401</v>
      </c>
      <c r="B50" s="14">
        <f>CHOOSE(CONTROL!$C$42, 4.7237, 4.7237) * CHOOSE(CONTROL!$C$21, $C$9, 100%, $E$9)</f>
        <v>4.7237</v>
      </c>
      <c r="C50" s="14">
        <f>CHOOSE(CONTROL!$C$42, 4.7286, 4.7286) * CHOOSE(CONTROL!$C$21, $C$9, 100%, $E$9)</f>
        <v>4.7286000000000001</v>
      </c>
      <c r="D50" s="14">
        <f>CHOOSE(CONTROL!$C$42, 4.7929, 4.7929) * CHOOSE(CONTROL!$C$21, $C$9, 100%, $E$9)</f>
        <v>4.7929000000000004</v>
      </c>
      <c r="E50" s="14">
        <f>CHOOSE(CONTROL!$C$42, 4.8267, 4.8267) * CHOOSE(CONTROL!$C$21, $C$9, 100%, $E$9)</f>
        <v>4.8266999999999998</v>
      </c>
      <c r="F50" s="14">
        <f>CHOOSE(CONTROL!$C$42, 4.7253, 4.7253)*CHOOSE(CONTROL!$C$21, $C$9, 100%, $E$9)</f>
        <v>4.7252999999999998</v>
      </c>
      <c r="G50" s="14">
        <f>CHOOSE(CONTROL!$C$42, 4.7412, 4.7412)*CHOOSE(CONTROL!$C$21, $C$9, 100%, $E$9)</f>
        <v>4.7412000000000001</v>
      </c>
      <c r="H50" s="14">
        <f>CHOOSE(CONTROL!$C$42, 4.8159, 4.8159) * CHOOSE(CONTROL!$C$21, $C$9, 100%, $E$9)</f>
        <v>4.8159000000000001</v>
      </c>
      <c r="I50" s="14">
        <f>CHOOSE(CONTROL!$C$42, 4.7437, 4.7437)* CHOOSE(CONTROL!$C$21, $C$9, 100%, $E$9)</f>
        <v>4.7436999999999996</v>
      </c>
      <c r="J50" s="14">
        <f>CHOOSE(CONTROL!$C$42, 4.7183, 4.7183)* CHOOSE(CONTROL!$C$21, $C$9, 100%, $E$9)</f>
        <v>4.7183000000000002</v>
      </c>
      <c r="K50" s="53"/>
      <c r="L50" s="14">
        <f>CHOOSE(CONTROL!$C$42, 5.4029, 5.4029) * CHOOSE(CONTROL!$C$21, $C$9, 100%, $E$9)</f>
        <v>5.4028999999999998</v>
      </c>
      <c r="M50" s="14">
        <f>CHOOSE(CONTROL!$C$42, 4.6845, 4.6845) * CHOOSE(CONTROL!$C$21, $C$9, 100%, $E$9)</f>
        <v>4.6844999999999999</v>
      </c>
      <c r="N50" s="14">
        <f>CHOOSE(CONTROL!$C$42, 4.7002, 4.7002) * CHOOSE(CONTROL!$C$21, $C$9, 100%, $E$9)</f>
        <v>4.7001999999999997</v>
      </c>
      <c r="O50" s="14">
        <f>CHOOSE(CONTROL!$C$42, 4.7811, 4.7811) * CHOOSE(CONTROL!$C$21, $C$9, 100%, $E$9)</f>
        <v>4.7811000000000003</v>
      </c>
      <c r="P50" s="14">
        <f>CHOOSE(CONTROL!$C$42, 4.7097, 4.7097) * CHOOSE(CONTROL!$C$21, $C$9, 100%, $E$9)</f>
        <v>4.7096999999999998</v>
      </c>
      <c r="Q50" s="14">
        <f>CHOOSE(CONTROL!$C$42, 5.3764, 5.3764) * CHOOSE(CONTROL!$C$21, $C$9, 100%, $E$9)</f>
        <v>5.3764000000000003</v>
      </c>
      <c r="R50" s="14">
        <f>CHOOSE(CONTROL!$C$42, 5.9769, 5.9769) * CHOOSE(CONTROL!$C$21, $C$9, 100%, $E$9)</f>
        <v>5.9768999999999997</v>
      </c>
      <c r="S50" s="14">
        <f>CHOOSE(CONTROL!$C$42, 4.585, 4.585) * CHOOSE(CONTROL!$C$21, $C$9, 100%, $E$9)</f>
        <v>4.585</v>
      </c>
      <c r="T5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0" s="57">
        <f>(1000*CHOOSE(CONTROL!$C$42, 695, 695)*CHOOSE(CONTROL!$C$42, 0.5599, 0.5599)*CHOOSE(CONTROL!$C$42, 29, 29))/1000000</f>
        <v>11.284784499999999</v>
      </c>
      <c r="V50" s="57">
        <f>(1000*CHOOSE(CONTROL!$C$42, 580, 580)*CHOOSE(CONTROL!$C$42, 0.275, 0.275)*CHOOSE(CONTROL!$C$42, 29, 29))/1000000</f>
        <v>4.6254999999999997</v>
      </c>
      <c r="W50" s="57">
        <f>(1000*CHOOSE(CONTROL!$C$42, 0.1146, 0.1146)*CHOOSE(CONTROL!$C$42, 200, 200)*CHOOSE(CONTROL!$C$42, 29, 29))/1000000</f>
        <v>0.66468000000000005</v>
      </c>
      <c r="X50" s="57">
        <f>(29*0.1790888*100000/1000000)+(29*0.2374*100000/1000000)</f>
        <v>1.2078175199999999</v>
      </c>
      <c r="Y50" s="57"/>
      <c r="Z50" s="14"/>
      <c r="AA50" s="56"/>
      <c r="AB50" s="50">
        <f>(B50*122.58+C50*297.941+D50*89.177+E50*40.302+F50*40+G50*160+H50*0+I50*100+J50*300)/(122.58+297.941+89.177+40.302+0+40+160+100+300)</f>
        <v>4.7367661437391302</v>
      </c>
      <c r="AC50" s="45">
        <f>(M50*'RAP TEMPLATE-GAS AVAILABILITY'!O49+N50*'RAP TEMPLATE-GAS AVAILABILITY'!P49+O50*'RAP TEMPLATE-GAS AVAILABILITY'!Q49+P50*'RAP TEMPLATE-GAS AVAILABILITY'!R49)/('RAP TEMPLATE-GAS AVAILABILITY'!O49+'RAP TEMPLATE-GAS AVAILABILITY'!P49+'RAP TEMPLATE-GAS AVAILABILITY'!Q49+'RAP TEMPLATE-GAS AVAILABILITY'!R49)</f>
        <v>4.7328122302158269</v>
      </c>
    </row>
    <row r="51" spans="1:29" ht="15.75" x14ac:dyDescent="0.25">
      <c r="A51" s="13">
        <v>42430</v>
      </c>
      <c r="B51" s="14">
        <f>CHOOSE(CONTROL!$C$42, 4.5897, 4.5897) * CHOOSE(CONTROL!$C$21, $C$9, 100%, $E$9)</f>
        <v>4.5896999999999997</v>
      </c>
      <c r="C51" s="14">
        <f>CHOOSE(CONTROL!$C$42, 4.5946, 4.5946) * CHOOSE(CONTROL!$C$21, $C$9, 100%, $E$9)</f>
        <v>4.5945999999999998</v>
      </c>
      <c r="D51" s="14">
        <f>CHOOSE(CONTROL!$C$42, 4.6589, 4.6589) * CHOOSE(CONTROL!$C$21, $C$9, 100%, $E$9)</f>
        <v>4.6589</v>
      </c>
      <c r="E51" s="14">
        <f>CHOOSE(CONTROL!$C$42, 4.6927, 4.6927) * CHOOSE(CONTROL!$C$21, $C$9, 100%, $E$9)</f>
        <v>4.6927000000000003</v>
      </c>
      <c r="F51" s="14">
        <f>CHOOSE(CONTROL!$C$42, 4.5909, 4.5909)*CHOOSE(CONTROL!$C$21, $C$9, 100%, $E$9)</f>
        <v>4.5909000000000004</v>
      </c>
      <c r="G51" s="14">
        <f>CHOOSE(CONTROL!$C$42, 4.6068, 4.6068)*CHOOSE(CONTROL!$C$21, $C$9, 100%, $E$9)</f>
        <v>4.6067999999999998</v>
      </c>
      <c r="H51" s="14">
        <f>CHOOSE(CONTROL!$C$42, 4.6819, 4.6819) * CHOOSE(CONTROL!$C$21, $C$9, 100%, $E$9)</f>
        <v>4.6818999999999997</v>
      </c>
      <c r="I51" s="14">
        <f>CHOOSE(CONTROL!$C$42, 4.6096, 4.6096)* CHOOSE(CONTROL!$C$21, $C$9, 100%, $E$9)</f>
        <v>4.6096000000000004</v>
      </c>
      <c r="J51" s="14">
        <f>CHOOSE(CONTROL!$C$42, 4.5839, 4.5839)* CHOOSE(CONTROL!$C$21, $C$9, 100%, $E$9)</f>
        <v>4.5838999999999999</v>
      </c>
      <c r="K51" s="53"/>
      <c r="L51" s="14">
        <f>CHOOSE(CONTROL!$C$42, 5.2689, 5.2689) * CHOOSE(CONTROL!$C$21, $C$9, 100%, $E$9)</f>
        <v>5.2689000000000004</v>
      </c>
      <c r="M51" s="14">
        <f>CHOOSE(CONTROL!$C$42, 4.5515, 4.5515) * CHOOSE(CONTROL!$C$21, $C$9, 100%, $E$9)</f>
        <v>4.5514999999999999</v>
      </c>
      <c r="N51" s="14">
        <f>CHOOSE(CONTROL!$C$42, 4.5672, 4.5672) * CHOOSE(CONTROL!$C$21, $C$9, 100%, $E$9)</f>
        <v>4.5671999999999997</v>
      </c>
      <c r="O51" s="14">
        <f>CHOOSE(CONTROL!$C$42, 4.6484, 4.6484) * CHOOSE(CONTROL!$C$21, $C$9, 100%, $E$9)</f>
        <v>4.6483999999999996</v>
      </c>
      <c r="P51" s="14">
        <f>CHOOSE(CONTROL!$C$42, 4.577, 4.577) * CHOOSE(CONTROL!$C$21, $C$9, 100%, $E$9)</f>
        <v>4.577</v>
      </c>
      <c r="Q51" s="14">
        <f>CHOOSE(CONTROL!$C$42, 5.2437, 5.2437) * CHOOSE(CONTROL!$C$21, $C$9, 100%, $E$9)</f>
        <v>5.2436999999999996</v>
      </c>
      <c r="R51" s="14">
        <f>CHOOSE(CONTROL!$C$42, 5.8439, 5.8439) * CHOOSE(CONTROL!$C$21, $C$9, 100%, $E$9)</f>
        <v>5.8438999999999997</v>
      </c>
      <c r="S51" s="14">
        <f>CHOOSE(CONTROL!$C$42, 4.4549, 4.4549) * CHOOSE(CONTROL!$C$21, $C$9, 100%, $E$9)</f>
        <v>4.4549000000000003</v>
      </c>
      <c r="T5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1" s="57">
        <f>(1000*CHOOSE(CONTROL!$C$42, 695, 695)*CHOOSE(CONTROL!$C$42, 0.5599, 0.5599)*CHOOSE(CONTROL!$C$42, 31, 31))/1000000</f>
        <v>12.063045499999998</v>
      </c>
      <c r="V51" s="57">
        <f>(1000*CHOOSE(CONTROL!$C$42, 580, 580)*CHOOSE(CONTROL!$C$42, 0.275, 0.275)*CHOOSE(CONTROL!$C$42, 31, 31))/1000000</f>
        <v>4.9444999999999997</v>
      </c>
      <c r="W51" s="57">
        <f>(1000*CHOOSE(CONTROL!$C$42, 0.1146, 0.1146)*CHOOSE(CONTROL!$C$42, 200, 200)*CHOOSE(CONTROL!$C$42, 31, 31))/1000000</f>
        <v>0.71052000000000004</v>
      </c>
      <c r="X51" s="57">
        <f>(31*0.1790888*100000/1000000)+(31*0.2374*100000/1000000)</f>
        <v>1.2911152800000001</v>
      </c>
      <c r="Y51" s="57"/>
      <c r="Z51" s="14"/>
      <c r="AA51" s="56"/>
      <c r="AB51" s="50">
        <f>(B51*122.58+C51*297.941+D51*89.177+E51*40.302+F51*40+G51*160+H51*0+I51*100+J51*300)/(122.58+297.941+89.177+40.302+0+40+160+100+300)</f>
        <v>4.6025835350434781</v>
      </c>
      <c r="AC51" s="45">
        <f>(M51*'RAP TEMPLATE-GAS AVAILABILITY'!O50+N51*'RAP TEMPLATE-GAS AVAILABILITY'!P50+O51*'RAP TEMPLATE-GAS AVAILABILITY'!Q50+P51*'RAP TEMPLATE-GAS AVAILABILITY'!R50)/('RAP TEMPLATE-GAS AVAILABILITY'!O50+'RAP TEMPLATE-GAS AVAILABILITY'!P50+'RAP TEMPLATE-GAS AVAILABILITY'!Q50+'RAP TEMPLATE-GAS AVAILABILITY'!R50)</f>
        <v>4.5999913669064743</v>
      </c>
    </row>
    <row r="52" spans="1:29" ht="15.75" x14ac:dyDescent="0.25">
      <c r="A52" s="13">
        <v>42461</v>
      </c>
      <c r="B52" s="14">
        <f>CHOOSE(CONTROL!$C$42, 4.5771, 4.5771) * CHOOSE(CONTROL!$C$21, $C$9, 100%, $E$9)</f>
        <v>4.5770999999999997</v>
      </c>
      <c r="C52" s="14">
        <f>CHOOSE(CONTROL!$C$42, 4.5815, 4.5815) * CHOOSE(CONTROL!$C$21, $C$9, 100%, $E$9)</f>
        <v>4.5815000000000001</v>
      </c>
      <c r="D52" s="14">
        <f>CHOOSE(CONTROL!$C$42, 4.7822, 4.7822) * CHOOSE(CONTROL!$C$21, $C$9, 100%, $E$9)</f>
        <v>4.7821999999999996</v>
      </c>
      <c r="E52" s="14">
        <f>CHOOSE(CONTROL!$C$42, 4.814, 4.814) * CHOOSE(CONTROL!$C$21, $C$9, 100%, $E$9)</f>
        <v>4.8140000000000001</v>
      </c>
      <c r="F52" s="14">
        <f>CHOOSE(CONTROL!$C$42, 4.5617, 4.5617)*CHOOSE(CONTROL!$C$21, $C$9, 100%, $E$9)</f>
        <v>4.5617000000000001</v>
      </c>
      <c r="G52" s="14">
        <f>CHOOSE(CONTROL!$C$42, 4.5773, 4.5773)*CHOOSE(CONTROL!$C$21, $C$9, 100%, $E$9)</f>
        <v>4.5773000000000001</v>
      </c>
      <c r="H52" s="14">
        <f>CHOOSE(CONTROL!$C$42, 4.8038, 4.8038) * CHOOSE(CONTROL!$C$21, $C$9, 100%, $E$9)</f>
        <v>4.8037999999999998</v>
      </c>
      <c r="I52" s="14">
        <f>CHOOSE(CONTROL!$C$42, 4.5899, 4.5899)* CHOOSE(CONTROL!$C$21, $C$9, 100%, $E$9)</f>
        <v>4.5899000000000001</v>
      </c>
      <c r="J52" s="14">
        <f>CHOOSE(CONTROL!$C$42, 4.5547, 4.5547)* CHOOSE(CONTROL!$C$21, $C$9, 100%, $E$9)</f>
        <v>4.5547000000000004</v>
      </c>
      <c r="K52" s="53"/>
      <c r="L52" s="14">
        <f>CHOOSE(CONTROL!$C$42, 5.3908, 5.3908) * CHOOSE(CONTROL!$C$21, $C$9, 100%, $E$9)</f>
        <v>5.3907999999999996</v>
      </c>
      <c r="M52" s="14">
        <f>CHOOSE(CONTROL!$C$42, 4.5225, 4.5225) * CHOOSE(CONTROL!$C$21, $C$9, 100%, $E$9)</f>
        <v>4.5225</v>
      </c>
      <c r="N52" s="14">
        <f>CHOOSE(CONTROL!$C$42, 4.538, 4.538) * CHOOSE(CONTROL!$C$21, $C$9, 100%, $E$9)</f>
        <v>4.5380000000000003</v>
      </c>
      <c r="O52" s="14">
        <f>CHOOSE(CONTROL!$C$42, 4.7691, 4.7691) * CHOOSE(CONTROL!$C$21, $C$9, 100%, $E$9)</f>
        <v>4.7690999999999999</v>
      </c>
      <c r="P52" s="14">
        <f>CHOOSE(CONTROL!$C$42, 4.5574, 4.5574) * CHOOSE(CONTROL!$C$21, $C$9, 100%, $E$9)</f>
        <v>4.5574000000000003</v>
      </c>
      <c r="Q52" s="14">
        <f>CHOOSE(CONTROL!$C$42, 5.3644, 5.3644) * CHOOSE(CONTROL!$C$21, $C$9, 100%, $E$9)</f>
        <v>5.3643999999999998</v>
      </c>
      <c r="R52" s="14">
        <f>CHOOSE(CONTROL!$C$42, 5.9648, 5.9648) * CHOOSE(CONTROL!$C$21, $C$9, 100%, $E$9)</f>
        <v>5.9648000000000003</v>
      </c>
      <c r="S52" s="14">
        <f>CHOOSE(CONTROL!$C$42, 4.4419, 4.4419) * CHOOSE(CONTROL!$C$21, $C$9, 100%, $E$9)</f>
        <v>4.4419000000000004</v>
      </c>
      <c r="T5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2" s="57">
        <f>(1000*CHOOSE(CONTROL!$C$42, 695, 695)*CHOOSE(CONTROL!$C$42, 0.5599, 0.5599)*CHOOSE(CONTROL!$C$42, 30, 30))/1000000</f>
        <v>11.673914999999997</v>
      </c>
      <c r="V52" s="57">
        <f>(1000*CHOOSE(CONTROL!$C$42, 580, 580)*CHOOSE(CONTROL!$C$42, 0.275, 0.275)*CHOOSE(CONTROL!$C$42, 30, 30))/1000000</f>
        <v>4.7850000000000001</v>
      </c>
      <c r="W52" s="57">
        <f>(1000*CHOOSE(CONTROL!$C$42, 0.1146, 0.1146)*CHOOSE(CONTROL!$C$42, 200, 200)*CHOOSE(CONTROL!$C$42, 30, 30))/1000000</f>
        <v>0.68759999999999999</v>
      </c>
      <c r="X52" s="57">
        <f>(30*0.1790888*245000/1000000)+(30*0.2374*100000/1000000)</f>
        <v>2.0285026799999999</v>
      </c>
      <c r="Y52" s="57"/>
      <c r="Z52" s="14"/>
      <c r="AA52" s="56"/>
      <c r="AB52" s="50">
        <f>(B52*141.293+C52*267.993+D52*115.016+E52*89.698+F52*40+G52*185+H52*0+I52*100+J52*300)/(141.293+267.993+115.016+89.698+0+40+185+100+300)</f>
        <v>4.6093836214689263</v>
      </c>
      <c r="AC52" s="45">
        <f>(M52*'RAP TEMPLATE-GAS AVAILABILITY'!O51+N52*'RAP TEMPLATE-GAS AVAILABILITY'!P51+O52*'RAP TEMPLATE-GAS AVAILABILITY'!Q51+P52*'RAP TEMPLATE-GAS AVAILABILITY'!R51)/('RAP TEMPLATE-GAS AVAILABILITY'!O51+'RAP TEMPLATE-GAS AVAILABILITY'!P51+'RAP TEMPLATE-GAS AVAILABILITY'!Q51+'RAP TEMPLATE-GAS AVAILABILITY'!R51)</f>
        <v>4.6002798561151073</v>
      </c>
    </row>
    <row r="53" spans="1:29" ht="15.75" x14ac:dyDescent="0.25">
      <c r="A53" s="13">
        <v>42491</v>
      </c>
      <c r="B53" s="14">
        <f>CHOOSE(CONTROL!$C$42, 4.6189, 4.6189) * CHOOSE(CONTROL!$C$21, $C$9, 100%, $E$9)</f>
        <v>4.6189</v>
      </c>
      <c r="C53" s="14">
        <f>CHOOSE(CONTROL!$C$42, 4.6268, 4.6268) * CHOOSE(CONTROL!$C$21, $C$9, 100%, $E$9)</f>
        <v>4.6268000000000002</v>
      </c>
      <c r="D53" s="14">
        <f>CHOOSE(CONTROL!$C$42, 4.8244, 4.8244) * CHOOSE(CONTROL!$C$21, $C$9, 100%, $E$9)</f>
        <v>4.8243999999999998</v>
      </c>
      <c r="E53" s="14">
        <f>CHOOSE(CONTROL!$C$42, 4.8555, 4.8555) * CHOOSE(CONTROL!$C$21, $C$9, 100%, $E$9)</f>
        <v>4.8555000000000001</v>
      </c>
      <c r="F53" s="14">
        <f>CHOOSE(CONTROL!$C$42, 4.6023, 4.6023)*CHOOSE(CONTROL!$C$21, $C$9, 100%, $E$9)</f>
        <v>4.6022999999999996</v>
      </c>
      <c r="G53" s="14">
        <f>CHOOSE(CONTROL!$C$42, 4.6184, 4.6184)*CHOOSE(CONTROL!$C$21, $C$9, 100%, $E$9)</f>
        <v>4.6184000000000003</v>
      </c>
      <c r="H53" s="14">
        <f>CHOOSE(CONTROL!$C$42, 4.8441, 4.8441) * CHOOSE(CONTROL!$C$21, $C$9, 100%, $E$9)</f>
        <v>4.8441000000000001</v>
      </c>
      <c r="I53" s="14">
        <f>CHOOSE(CONTROL!$C$42, 4.6302, 4.6302)* CHOOSE(CONTROL!$C$21, $C$9, 100%, $E$9)</f>
        <v>4.6302000000000003</v>
      </c>
      <c r="J53" s="14">
        <f>CHOOSE(CONTROL!$C$42, 4.5953, 4.5953)* CHOOSE(CONTROL!$C$21, $C$9, 100%, $E$9)</f>
        <v>4.5952999999999999</v>
      </c>
      <c r="K53" s="53"/>
      <c r="L53" s="14">
        <f>CHOOSE(CONTROL!$C$42, 5.4311, 5.4311) * CHOOSE(CONTROL!$C$21, $C$9, 100%, $E$9)</f>
        <v>5.4310999999999998</v>
      </c>
      <c r="M53" s="14">
        <f>CHOOSE(CONTROL!$C$42, 4.5627, 4.5627) * CHOOSE(CONTROL!$C$21, $C$9, 100%, $E$9)</f>
        <v>4.5627000000000004</v>
      </c>
      <c r="N53" s="14">
        <f>CHOOSE(CONTROL!$C$42, 4.5787, 4.5787) * CHOOSE(CONTROL!$C$21, $C$9, 100%, $E$9)</f>
        <v>4.5787000000000004</v>
      </c>
      <c r="O53" s="14">
        <f>CHOOSE(CONTROL!$C$42, 4.8091, 4.8091) * CHOOSE(CONTROL!$C$21, $C$9, 100%, $E$9)</f>
        <v>4.8090999999999999</v>
      </c>
      <c r="P53" s="14">
        <f>CHOOSE(CONTROL!$C$42, 4.5974, 4.5974) * CHOOSE(CONTROL!$C$21, $C$9, 100%, $E$9)</f>
        <v>4.5974000000000004</v>
      </c>
      <c r="Q53" s="14">
        <f>CHOOSE(CONTROL!$C$42, 5.4044, 5.4044) * CHOOSE(CONTROL!$C$21, $C$9, 100%, $E$9)</f>
        <v>5.4043999999999999</v>
      </c>
      <c r="R53" s="14">
        <f>CHOOSE(CONTROL!$C$42, 6.0049, 6.0049) * CHOOSE(CONTROL!$C$21, $C$9, 100%, $E$9)</f>
        <v>6.0049000000000001</v>
      </c>
      <c r="S53" s="14">
        <f>CHOOSE(CONTROL!$C$42, 4.4811, 4.4811) * CHOOSE(CONTROL!$C$21, $C$9, 100%, $E$9)</f>
        <v>4.4810999999999996</v>
      </c>
      <c r="T5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3" s="57">
        <f>(1000*CHOOSE(CONTROL!$C$42, 695, 695)*CHOOSE(CONTROL!$C$42, 0.5599, 0.5599)*CHOOSE(CONTROL!$C$42, 31, 31))/1000000</f>
        <v>12.063045499999998</v>
      </c>
      <c r="V53" s="57">
        <f>(1000*CHOOSE(CONTROL!$C$42, 580, 580)*CHOOSE(CONTROL!$C$42, 0.275, 0.275)*CHOOSE(CONTROL!$C$42, 31, 31))/1000000</f>
        <v>4.9444999999999997</v>
      </c>
      <c r="W53" s="57">
        <f>(1000*CHOOSE(CONTROL!$C$42, 0.1146, 0.1146)*CHOOSE(CONTROL!$C$42, 121.5, 121.5)*CHOOSE(CONTROL!$C$42, 31, 31))/1000000</f>
        <v>0.43164089999999994</v>
      </c>
      <c r="X53" s="57">
        <f>(31*0.1790888*245000/1000000)+(31*0.2374*100000/1000000)</f>
        <v>2.0961194359999999</v>
      </c>
      <c r="Y53" s="57"/>
      <c r="Z53" s="14"/>
      <c r="AA53" s="56"/>
      <c r="AB53" s="50">
        <f>(B53*194.205+C53*267.466+D53*133.845+E53*53.484+F53*40+G53*185+H53*0+I53*100+J53*300)/(194.205+267.466+133.845+53.484+0+40+185+100+300)</f>
        <v>4.6468167529827316</v>
      </c>
      <c r="AC53" s="45">
        <f>(M53*'RAP TEMPLATE-GAS AVAILABILITY'!O52+N53*'RAP TEMPLATE-GAS AVAILABILITY'!P52+O53*'RAP TEMPLATE-GAS AVAILABILITY'!Q52+P53*'RAP TEMPLATE-GAS AVAILABILITY'!R52)/('RAP TEMPLATE-GAS AVAILABILITY'!O52+'RAP TEMPLATE-GAS AVAILABILITY'!P52+'RAP TEMPLATE-GAS AVAILABILITY'!Q52+'RAP TEMPLATE-GAS AVAILABILITY'!R52)</f>
        <v>4.6405100719424457</v>
      </c>
    </row>
    <row r="54" spans="1:29" ht="15.75" x14ac:dyDescent="0.25">
      <c r="A54" s="13">
        <v>42522</v>
      </c>
      <c r="B54" s="14">
        <f>CHOOSE(CONTROL!$C$42, 4.7497, 4.7497) * CHOOSE(CONTROL!$C$21, $C$9, 100%, $E$9)</f>
        <v>4.7496999999999998</v>
      </c>
      <c r="C54" s="14">
        <f>CHOOSE(CONTROL!$C$42, 4.7576, 4.7576) * CHOOSE(CONTROL!$C$21, $C$9, 100%, $E$9)</f>
        <v>4.7576000000000001</v>
      </c>
      <c r="D54" s="14">
        <f>CHOOSE(CONTROL!$C$42, 4.9552, 4.9552) * CHOOSE(CONTROL!$C$21, $C$9, 100%, $E$9)</f>
        <v>4.9551999999999996</v>
      </c>
      <c r="E54" s="14">
        <f>CHOOSE(CONTROL!$C$42, 4.9864, 4.9864) * CHOOSE(CONTROL!$C$21, $C$9, 100%, $E$9)</f>
        <v>4.9863999999999997</v>
      </c>
      <c r="F54" s="14">
        <f>CHOOSE(CONTROL!$C$42, 4.7336, 4.7336)*CHOOSE(CONTROL!$C$21, $C$9, 100%, $E$9)</f>
        <v>4.7336</v>
      </c>
      <c r="G54" s="14">
        <f>CHOOSE(CONTROL!$C$42, 4.7497, 4.7497)*CHOOSE(CONTROL!$C$21, $C$9, 100%, $E$9)</f>
        <v>4.7496999999999998</v>
      </c>
      <c r="H54" s="14">
        <f>CHOOSE(CONTROL!$C$42, 4.975, 4.975) * CHOOSE(CONTROL!$C$21, $C$9, 100%, $E$9)</f>
        <v>4.9749999999999996</v>
      </c>
      <c r="I54" s="14">
        <f>CHOOSE(CONTROL!$C$42, 4.7611, 4.7611)* CHOOSE(CONTROL!$C$21, $C$9, 100%, $E$9)</f>
        <v>4.7610999999999999</v>
      </c>
      <c r="J54" s="14">
        <f>CHOOSE(CONTROL!$C$42, 4.7266, 4.7266)* CHOOSE(CONTROL!$C$21, $C$9, 100%, $E$9)</f>
        <v>4.7266000000000004</v>
      </c>
      <c r="K54" s="53"/>
      <c r="L54" s="14">
        <f>CHOOSE(CONTROL!$C$42, 5.562, 5.562) * CHOOSE(CONTROL!$C$21, $C$9, 100%, $E$9)</f>
        <v>5.5620000000000003</v>
      </c>
      <c r="M54" s="14">
        <f>CHOOSE(CONTROL!$C$42, 4.6927, 4.6927) * CHOOSE(CONTROL!$C$21, $C$9, 100%, $E$9)</f>
        <v>4.6927000000000003</v>
      </c>
      <c r="N54" s="14">
        <f>CHOOSE(CONTROL!$C$42, 4.7087, 4.7087) * CHOOSE(CONTROL!$C$21, $C$9, 100%, $E$9)</f>
        <v>4.7087000000000003</v>
      </c>
      <c r="O54" s="14">
        <f>CHOOSE(CONTROL!$C$42, 4.9386, 4.9386) * CHOOSE(CONTROL!$C$21, $C$9, 100%, $E$9)</f>
        <v>4.9386000000000001</v>
      </c>
      <c r="P54" s="14">
        <f>CHOOSE(CONTROL!$C$42, 4.7269, 4.7269) * CHOOSE(CONTROL!$C$21, $C$9, 100%, $E$9)</f>
        <v>4.7268999999999997</v>
      </c>
      <c r="Q54" s="14">
        <f>CHOOSE(CONTROL!$C$42, 5.5339, 5.5339) * CHOOSE(CONTROL!$C$21, $C$9, 100%, $E$9)</f>
        <v>5.5339</v>
      </c>
      <c r="R54" s="14">
        <f>CHOOSE(CONTROL!$C$42, 6.1347, 6.1347) * CHOOSE(CONTROL!$C$21, $C$9, 100%, $E$9)</f>
        <v>6.1346999999999996</v>
      </c>
      <c r="S54" s="14">
        <f>CHOOSE(CONTROL!$C$42, 4.6082, 4.6082) * CHOOSE(CONTROL!$C$21, $C$9, 100%, $E$9)</f>
        <v>4.6082000000000001</v>
      </c>
      <c r="T5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4" s="57">
        <f>(1000*CHOOSE(CONTROL!$C$42, 695, 695)*CHOOSE(CONTROL!$C$42, 0.5599, 0.5599)*CHOOSE(CONTROL!$C$42, 30, 30))/1000000</f>
        <v>11.673914999999997</v>
      </c>
      <c r="V54" s="57">
        <f>(1000*CHOOSE(CONTROL!$C$42, 580, 580)*CHOOSE(CONTROL!$C$42, 0.275, 0.275)*CHOOSE(CONTROL!$C$42, 30, 30))/1000000</f>
        <v>4.7850000000000001</v>
      </c>
      <c r="W54" s="57">
        <f>(1000*CHOOSE(CONTROL!$C$42, 0.1146, 0.1146)*CHOOSE(CONTROL!$C$42, 121.5, 121.5)*CHOOSE(CONTROL!$C$42, 30, 30))/1000000</f>
        <v>0.417717</v>
      </c>
      <c r="X54" s="57">
        <f>(30*0.1790888*245000/1000000)+(30*0.2374*100000/1000000)</f>
        <v>2.0285026799999999</v>
      </c>
      <c r="Y54" s="57"/>
      <c r="Z54" s="14"/>
      <c r="AA54" s="56"/>
      <c r="AB54" s="50">
        <f>(B54*194.205+C54*267.466+D54*133.845+E54*53.484+F54*40+G54*185+H54*0+I54*100+J54*300)/(194.205+267.466+133.845+53.484+0+40+185+100+300)</f>
        <v>4.7778348443485079</v>
      </c>
      <c r="AC54" s="45">
        <f>(M54*'RAP TEMPLATE-GAS AVAILABILITY'!O53+N54*'RAP TEMPLATE-GAS AVAILABILITY'!P53+O54*'RAP TEMPLATE-GAS AVAILABILITY'!Q53+P54*'RAP TEMPLATE-GAS AVAILABILITY'!R53)/('RAP TEMPLATE-GAS AVAILABILITY'!O53+'RAP TEMPLATE-GAS AVAILABILITY'!P53+'RAP TEMPLATE-GAS AVAILABILITY'!Q53+'RAP TEMPLATE-GAS AVAILABILITY'!R53)</f>
        <v>4.7702978417266193</v>
      </c>
    </row>
    <row r="55" spans="1:29" ht="15.75" x14ac:dyDescent="0.25">
      <c r="A55" s="13">
        <v>42552</v>
      </c>
      <c r="B55" s="14">
        <f>CHOOSE(CONTROL!$C$42, 4.6587, 4.6587) * CHOOSE(CONTROL!$C$21, $C$9, 100%, $E$9)</f>
        <v>4.6586999999999996</v>
      </c>
      <c r="C55" s="14">
        <f>CHOOSE(CONTROL!$C$42, 4.6666, 4.6666) * CHOOSE(CONTROL!$C$21, $C$9, 100%, $E$9)</f>
        <v>4.6665999999999999</v>
      </c>
      <c r="D55" s="14">
        <f>CHOOSE(CONTROL!$C$42, 4.8642, 4.8642) * CHOOSE(CONTROL!$C$21, $C$9, 100%, $E$9)</f>
        <v>4.8642000000000003</v>
      </c>
      <c r="E55" s="14">
        <f>CHOOSE(CONTROL!$C$42, 4.8953, 4.8953) * CHOOSE(CONTROL!$C$21, $C$9, 100%, $E$9)</f>
        <v>4.8952999999999998</v>
      </c>
      <c r="F55" s="14">
        <f>CHOOSE(CONTROL!$C$42, 4.643, 4.643)*CHOOSE(CONTROL!$C$21, $C$9, 100%, $E$9)</f>
        <v>4.6429999999999998</v>
      </c>
      <c r="G55" s="14">
        <f>CHOOSE(CONTROL!$C$42, 4.6593, 4.6593)*CHOOSE(CONTROL!$C$21, $C$9, 100%, $E$9)</f>
        <v>4.6593</v>
      </c>
      <c r="H55" s="14">
        <f>CHOOSE(CONTROL!$C$42, 4.884, 4.884) * CHOOSE(CONTROL!$C$21, $C$9, 100%, $E$9)</f>
        <v>4.8840000000000003</v>
      </c>
      <c r="I55" s="14">
        <f>CHOOSE(CONTROL!$C$42, 4.6701, 4.6701)* CHOOSE(CONTROL!$C$21, $C$9, 100%, $E$9)</f>
        <v>4.6700999999999997</v>
      </c>
      <c r="J55" s="14">
        <f>CHOOSE(CONTROL!$C$42, 4.636, 4.636)* CHOOSE(CONTROL!$C$21, $C$9, 100%, $E$9)</f>
        <v>4.6360000000000001</v>
      </c>
      <c r="K55" s="53"/>
      <c r="L55" s="14">
        <f>CHOOSE(CONTROL!$C$42, 5.471, 5.471) * CHOOSE(CONTROL!$C$21, $C$9, 100%, $E$9)</f>
        <v>5.4710000000000001</v>
      </c>
      <c r="M55" s="14">
        <f>CHOOSE(CONTROL!$C$42, 4.603, 4.603) * CHOOSE(CONTROL!$C$21, $C$9, 100%, $E$9)</f>
        <v>4.6029999999999998</v>
      </c>
      <c r="N55" s="14">
        <f>CHOOSE(CONTROL!$C$42, 4.6191, 4.6191) * CHOOSE(CONTROL!$C$21, $C$9, 100%, $E$9)</f>
        <v>4.6191000000000004</v>
      </c>
      <c r="O55" s="14">
        <f>CHOOSE(CONTROL!$C$42, 4.8485, 4.8485) * CHOOSE(CONTROL!$C$21, $C$9, 100%, $E$9)</f>
        <v>4.8484999999999996</v>
      </c>
      <c r="P55" s="14">
        <f>CHOOSE(CONTROL!$C$42, 4.6368, 4.6368) * CHOOSE(CONTROL!$C$21, $C$9, 100%, $E$9)</f>
        <v>4.6368</v>
      </c>
      <c r="Q55" s="14">
        <f>CHOOSE(CONTROL!$C$42, 5.4438, 5.4438) * CHOOSE(CONTROL!$C$21, $C$9, 100%, $E$9)</f>
        <v>5.4438000000000004</v>
      </c>
      <c r="R55" s="14">
        <f>CHOOSE(CONTROL!$C$42, 6.0444, 6.0444) * CHOOSE(CONTROL!$C$21, $C$9, 100%, $E$9)</f>
        <v>6.0444000000000004</v>
      </c>
      <c r="S55" s="14">
        <f>CHOOSE(CONTROL!$C$42, 4.5198, 4.5198) * CHOOSE(CONTROL!$C$21, $C$9, 100%, $E$9)</f>
        <v>4.5198</v>
      </c>
      <c r="T5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5" s="57">
        <f>(1000*CHOOSE(CONTROL!$C$42, 695, 695)*CHOOSE(CONTROL!$C$42, 0.5599, 0.5599)*CHOOSE(CONTROL!$C$42, 31, 31))/1000000</f>
        <v>12.063045499999998</v>
      </c>
      <c r="V55" s="57">
        <f>(1000*CHOOSE(CONTROL!$C$42, 580, 580)*CHOOSE(CONTROL!$C$42, 0.275, 0.275)*CHOOSE(CONTROL!$C$42, 31, 31))/1000000</f>
        <v>4.9444999999999997</v>
      </c>
      <c r="W55" s="57">
        <f>(1000*CHOOSE(CONTROL!$C$42, 0.1146, 0.1146)*CHOOSE(CONTROL!$C$42, 121.5, 121.5)*CHOOSE(CONTROL!$C$42, 31, 31))/1000000</f>
        <v>0.43164089999999994</v>
      </c>
      <c r="X55" s="57">
        <f>(31*0.1790888*245000/1000000)+(31*0.2374*100000/1000000)</f>
        <v>2.0961194359999999</v>
      </c>
      <c r="Y55" s="57"/>
      <c r="Z55" s="14"/>
      <c r="AA55" s="56"/>
      <c r="AB55" s="50">
        <f>(B55*194.205+C55*267.466+D55*133.845+E55*53.484+F55*40+G55*185+H55*0+I55*100+J55*300)/(194.205+267.466+133.845+53.484+0+40+185+100+300)</f>
        <v>4.6870245237833599</v>
      </c>
      <c r="AC55" s="45">
        <f>(M55*'RAP TEMPLATE-GAS AVAILABILITY'!O54+N55*'RAP TEMPLATE-GAS AVAILABILITY'!P54+O55*'RAP TEMPLATE-GAS AVAILABILITY'!Q54+P55*'RAP TEMPLATE-GAS AVAILABILITY'!R54)/('RAP TEMPLATE-GAS AVAILABILITY'!O54+'RAP TEMPLATE-GAS AVAILABILITY'!P54+'RAP TEMPLATE-GAS AVAILABILITY'!Q54+'RAP TEMPLATE-GAS AVAILABILITY'!R54)</f>
        <v>4.6804510791366898</v>
      </c>
    </row>
    <row r="56" spans="1:29" ht="15.75" x14ac:dyDescent="0.25">
      <c r="A56" s="13">
        <v>42583</v>
      </c>
      <c r="B56" s="14">
        <f>CHOOSE(CONTROL!$C$42, 4.4289, 4.4289) * CHOOSE(CONTROL!$C$21, $C$9, 100%, $E$9)</f>
        <v>4.4288999999999996</v>
      </c>
      <c r="C56" s="14">
        <f>CHOOSE(CONTROL!$C$42, 4.4368, 4.4368) * CHOOSE(CONTROL!$C$21, $C$9, 100%, $E$9)</f>
        <v>4.4367999999999999</v>
      </c>
      <c r="D56" s="14">
        <f>CHOOSE(CONTROL!$C$42, 4.6344, 4.6344) * CHOOSE(CONTROL!$C$21, $C$9, 100%, $E$9)</f>
        <v>4.6344000000000003</v>
      </c>
      <c r="E56" s="14">
        <f>CHOOSE(CONTROL!$C$42, 4.6655, 4.6655) * CHOOSE(CONTROL!$C$21, $C$9, 100%, $E$9)</f>
        <v>4.6654999999999998</v>
      </c>
      <c r="F56" s="14">
        <f>CHOOSE(CONTROL!$C$42, 4.4133, 4.4133)*CHOOSE(CONTROL!$C$21, $C$9, 100%, $E$9)</f>
        <v>4.4132999999999996</v>
      </c>
      <c r="G56" s="14">
        <f>CHOOSE(CONTROL!$C$42, 4.4297, 4.4297)*CHOOSE(CONTROL!$C$21, $C$9, 100%, $E$9)</f>
        <v>4.4297000000000004</v>
      </c>
      <c r="H56" s="14">
        <f>CHOOSE(CONTROL!$C$42, 4.6541, 4.6541) * CHOOSE(CONTROL!$C$21, $C$9, 100%, $E$9)</f>
        <v>4.6540999999999997</v>
      </c>
      <c r="I56" s="14">
        <f>CHOOSE(CONTROL!$C$42, 4.4402, 4.4402)* CHOOSE(CONTROL!$C$21, $C$9, 100%, $E$9)</f>
        <v>4.4401999999999999</v>
      </c>
      <c r="J56" s="14">
        <f>CHOOSE(CONTROL!$C$42, 4.4063, 4.4063)* CHOOSE(CONTROL!$C$21, $C$9, 100%, $E$9)</f>
        <v>4.4062999999999999</v>
      </c>
      <c r="K56" s="53"/>
      <c r="L56" s="14">
        <f>CHOOSE(CONTROL!$C$42, 5.2411, 5.2411) * CHOOSE(CONTROL!$C$21, $C$9, 100%, $E$9)</f>
        <v>5.2411000000000003</v>
      </c>
      <c r="M56" s="14">
        <f>CHOOSE(CONTROL!$C$42, 4.3757, 4.3757) * CHOOSE(CONTROL!$C$21, $C$9, 100%, $E$9)</f>
        <v>4.3757000000000001</v>
      </c>
      <c r="N56" s="14">
        <f>CHOOSE(CONTROL!$C$42, 4.3919, 4.3919) * CHOOSE(CONTROL!$C$21, $C$9, 100%, $E$9)</f>
        <v>4.3918999999999997</v>
      </c>
      <c r="O56" s="14">
        <f>CHOOSE(CONTROL!$C$42, 4.621, 4.621) * CHOOSE(CONTROL!$C$21, $C$9, 100%, $E$9)</f>
        <v>4.6210000000000004</v>
      </c>
      <c r="P56" s="14">
        <f>CHOOSE(CONTROL!$C$42, 4.4093, 4.4093) * CHOOSE(CONTROL!$C$21, $C$9, 100%, $E$9)</f>
        <v>4.4093</v>
      </c>
      <c r="Q56" s="14">
        <f>CHOOSE(CONTROL!$C$42, 5.2163, 5.2163) * CHOOSE(CONTROL!$C$21, $C$9, 100%, $E$9)</f>
        <v>5.2163000000000004</v>
      </c>
      <c r="R56" s="14">
        <f>CHOOSE(CONTROL!$C$42, 5.8163, 5.8163) * CHOOSE(CONTROL!$C$21, $C$9, 100%, $E$9)</f>
        <v>5.8163</v>
      </c>
      <c r="S56" s="14">
        <f>CHOOSE(CONTROL!$C$42, 4.2966, 4.2966) * CHOOSE(CONTROL!$C$21, $C$9, 100%, $E$9)</f>
        <v>4.2965999999999998</v>
      </c>
      <c r="T5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6" s="57">
        <f>(1000*CHOOSE(CONTROL!$C$42, 695, 695)*CHOOSE(CONTROL!$C$42, 0.5599, 0.5599)*CHOOSE(CONTROL!$C$42, 31, 31))/1000000</f>
        <v>12.063045499999998</v>
      </c>
      <c r="V56" s="57">
        <f>(1000*CHOOSE(CONTROL!$C$42, 580, 580)*CHOOSE(CONTROL!$C$42, 0.275, 0.275)*CHOOSE(CONTROL!$C$42, 31, 31))/1000000</f>
        <v>4.9444999999999997</v>
      </c>
      <c r="W56" s="57">
        <f>(1000*CHOOSE(CONTROL!$C$42, 0.1146, 0.1146)*CHOOSE(CONTROL!$C$42, 121.5, 121.5)*CHOOSE(CONTROL!$C$42, 31, 31))/1000000</f>
        <v>0.43164089999999994</v>
      </c>
      <c r="X56" s="57">
        <f>(31*0.1790888*245000/1000000)+(31*0.2374*100000/1000000)</f>
        <v>2.0961194359999999</v>
      </c>
      <c r="Y56" s="57"/>
      <c r="Z56" s="14"/>
      <c r="AA56" s="56"/>
      <c r="AB56" s="50">
        <f>(B56*194.205+C56*267.466+D56*133.845+E56*53.484+F56*40+G56*185+H56*0+I56*100+J56*300)/(194.205+267.466+133.845+53.484+0+40+185+100+300)</f>
        <v>4.4572724044740983</v>
      </c>
      <c r="AC56" s="45">
        <f>(M56*'RAP TEMPLATE-GAS AVAILABILITY'!O55+N56*'RAP TEMPLATE-GAS AVAILABILITY'!P55+O56*'RAP TEMPLATE-GAS AVAILABILITY'!Q55+P56*'RAP TEMPLATE-GAS AVAILABILITY'!R55)/('RAP TEMPLATE-GAS AVAILABILITY'!O55+'RAP TEMPLATE-GAS AVAILABILITY'!P55+'RAP TEMPLATE-GAS AVAILABILITY'!Q55+'RAP TEMPLATE-GAS AVAILABILITY'!R55)</f>
        <v>4.4530892086330933</v>
      </c>
    </row>
    <row r="57" spans="1:29" ht="15.75" x14ac:dyDescent="0.25">
      <c r="A57" s="13">
        <v>42614</v>
      </c>
      <c r="B57" s="14">
        <f>CHOOSE(CONTROL!$C$42, 4.1476, 4.1476) * CHOOSE(CONTROL!$C$21, $C$9, 100%, $E$9)</f>
        <v>4.1475999999999997</v>
      </c>
      <c r="C57" s="14">
        <f>CHOOSE(CONTROL!$C$42, 4.1556, 4.1556) * CHOOSE(CONTROL!$C$21, $C$9, 100%, $E$9)</f>
        <v>4.1555999999999997</v>
      </c>
      <c r="D57" s="14">
        <f>CHOOSE(CONTROL!$C$42, 4.3531, 4.3531) * CHOOSE(CONTROL!$C$21, $C$9, 100%, $E$9)</f>
        <v>4.3531000000000004</v>
      </c>
      <c r="E57" s="14">
        <f>CHOOSE(CONTROL!$C$42, 4.3843, 4.3843) * CHOOSE(CONTROL!$C$21, $C$9, 100%, $E$9)</f>
        <v>4.3842999999999996</v>
      </c>
      <c r="F57" s="14">
        <f>CHOOSE(CONTROL!$C$42, 4.132, 4.132)*CHOOSE(CONTROL!$C$21, $C$9, 100%, $E$9)</f>
        <v>4.1319999999999997</v>
      </c>
      <c r="G57" s="14">
        <f>CHOOSE(CONTROL!$C$42, 4.1484, 4.1484)*CHOOSE(CONTROL!$C$21, $C$9, 100%, $E$9)</f>
        <v>4.1483999999999996</v>
      </c>
      <c r="H57" s="14">
        <f>CHOOSE(CONTROL!$C$42, 4.3729, 4.3729) * CHOOSE(CONTROL!$C$21, $C$9, 100%, $E$9)</f>
        <v>4.3728999999999996</v>
      </c>
      <c r="I57" s="14">
        <f>CHOOSE(CONTROL!$C$42, 4.159, 4.159)* CHOOSE(CONTROL!$C$21, $C$9, 100%, $E$9)</f>
        <v>4.1589999999999998</v>
      </c>
      <c r="J57" s="14">
        <f>CHOOSE(CONTROL!$C$42, 4.125, 4.125)* CHOOSE(CONTROL!$C$21, $C$9, 100%, $E$9)</f>
        <v>4.125</v>
      </c>
      <c r="K57" s="53"/>
      <c r="L57" s="14">
        <f>CHOOSE(CONTROL!$C$42, 4.9599, 4.9599) * CHOOSE(CONTROL!$C$21, $C$9, 100%, $E$9)</f>
        <v>4.9599000000000002</v>
      </c>
      <c r="M57" s="14">
        <f>CHOOSE(CONTROL!$C$42, 4.0972, 4.0972) * CHOOSE(CONTROL!$C$21, $C$9, 100%, $E$9)</f>
        <v>4.0972</v>
      </c>
      <c r="N57" s="14">
        <f>CHOOSE(CONTROL!$C$42, 4.1134, 4.1134) * CHOOSE(CONTROL!$C$21, $C$9, 100%, $E$9)</f>
        <v>4.1134000000000004</v>
      </c>
      <c r="O57" s="14">
        <f>CHOOSE(CONTROL!$C$42, 4.3426, 4.3426) * CHOOSE(CONTROL!$C$21, $C$9, 100%, $E$9)</f>
        <v>4.3426</v>
      </c>
      <c r="P57" s="14">
        <f>CHOOSE(CONTROL!$C$42, 4.1309, 4.1309) * CHOOSE(CONTROL!$C$21, $C$9, 100%, $E$9)</f>
        <v>4.1308999999999996</v>
      </c>
      <c r="Q57" s="14">
        <f>CHOOSE(CONTROL!$C$42, 4.9379, 4.9379) * CHOOSE(CONTROL!$C$21, $C$9, 100%, $E$9)</f>
        <v>4.9379</v>
      </c>
      <c r="R57" s="14">
        <f>CHOOSE(CONTROL!$C$42, 5.5373, 5.5373) * CHOOSE(CONTROL!$C$21, $C$9, 100%, $E$9)</f>
        <v>5.5373000000000001</v>
      </c>
      <c r="S57" s="14">
        <f>CHOOSE(CONTROL!$C$42, 4.0235, 4.0235) * CHOOSE(CONTROL!$C$21, $C$9, 100%, $E$9)</f>
        <v>4.0235000000000003</v>
      </c>
      <c r="T5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7" s="57">
        <f>(1000*CHOOSE(CONTROL!$C$42, 695, 695)*CHOOSE(CONTROL!$C$42, 0.5599, 0.5599)*CHOOSE(CONTROL!$C$42, 30, 30))/1000000</f>
        <v>11.673914999999997</v>
      </c>
      <c r="V57" s="57">
        <f>(1000*CHOOSE(CONTROL!$C$42, 580, 580)*CHOOSE(CONTROL!$C$42, 0.275, 0.275)*CHOOSE(CONTROL!$C$42, 30, 30))/1000000</f>
        <v>4.7850000000000001</v>
      </c>
      <c r="W57" s="57">
        <f>(1000*CHOOSE(CONTROL!$C$42, 0.1146, 0.1146)*CHOOSE(CONTROL!$C$42, 121.5, 121.5)*CHOOSE(CONTROL!$C$42, 30, 30))/1000000</f>
        <v>0.417717</v>
      </c>
      <c r="X57" s="57">
        <f>(30*0.1790888*245000/1000000)+(30*0.2374*100000/1000000)</f>
        <v>2.0285026799999999</v>
      </c>
      <c r="Y57" s="57"/>
      <c r="Z57" s="14"/>
      <c r="AA57" s="56"/>
      <c r="AB57" s="50">
        <f>(B57*194.205+C57*267.466+D57*133.845+E57*53.484+F57*40+G57*185+H57*0+I57*100+J57*300)/(194.205+267.466+133.845+53.484+0+40+185+100+300)</f>
        <v>4.1760054460753526</v>
      </c>
      <c r="AC57" s="45">
        <f>(M57*'RAP TEMPLATE-GAS AVAILABILITY'!O56+N57*'RAP TEMPLATE-GAS AVAILABILITY'!P56+O57*'RAP TEMPLATE-GAS AVAILABILITY'!Q56+P57*'RAP TEMPLATE-GAS AVAILABILITY'!R56)/('RAP TEMPLATE-GAS AVAILABILITY'!O56+'RAP TEMPLATE-GAS AVAILABILITY'!P56+'RAP TEMPLATE-GAS AVAILABILITY'!Q56+'RAP TEMPLATE-GAS AVAILABILITY'!R56)</f>
        <v>4.1746316546762596</v>
      </c>
    </row>
    <row r="58" spans="1:29" ht="15.75" x14ac:dyDescent="0.25">
      <c r="A58" s="13">
        <v>42644</v>
      </c>
      <c r="B58" s="14">
        <f>CHOOSE(CONTROL!$C$42, 4.0618, 4.0618) * CHOOSE(CONTROL!$C$21, $C$9, 100%, $E$9)</f>
        <v>4.0617999999999999</v>
      </c>
      <c r="C58" s="14">
        <f>CHOOSE(CONTROL!$C$42, 4.067, 4.067) * CHOOSE(CONTROL!$C$21, $C$9, 100%, $E$9)</f>
        <v>4.0670000000000002</v>
      </c>
      <c r="D58" s="14">
        <f>CHOOSE(CONTROL!$C$42, 4.2695, 4.2695) * CHOOSE(CONTROL!$C$21, $C$9, 100%, $E$9)</f>
        <v>4.2694999999999999</v>
      </c>
      <c r="E58" s="14">
        <f>CHOOSE(CONTROL!$C$42, 4.2983, 4.2983) * CHOOSE(CONTROL!$C$21, $C$9, 100%, $E$9)</f>
        <v>4.2983000000000002</v>
      </c>
      <c r="F58" s="14">
        <f>CHOOSE(CONTROL!$C$42, 4.0482, 4.0482)*CHOOSE(CONTROL!$C$21, $C$9, 100%, $E$9)</f>
        <v>4.0481999999999996</v>
      </c>
      <c r="G58" s="14">
        <f>CHOOSE(CONTROL!$C$42, 4.0642, 4.0642)*CHOOSE(CONTROL!$C$21, $C$9, 100%, $E$9)</f>
        <v>4.0641999999999996</v>
      </c>
      <c r="H58" s="14">
        <f>CHOOSE(CONTROL!$C$42, 4.2888, 4.2888) * CHOOSE(CONTROL!$C$21, $C$9, 100%, $E$9)</f>
        <v>4.2888000000000002</v>
      </c>
      <c r="I58" s="14">
        <f>CHOOSE(CONTROL!$C$42, 4.0749, 4.0749)* CHOOSE(CONTROL!$C$21, $C$9, 100%, $E$9)</f>
        <v>4.0749000000000004</v>
      </c>
      <c r="J58" s="14">
        <f>CHOOSE(CONTROL!$C$42, 4.0412, 4.0412)* CHOOSE(CONTROL!$C$21, $C$9, 100%, $E$9)</f>
        <v>4.0411999999999999</v>
      </c>
      <c r="K58" s="53"/>
      <c r="L58" s="14">
        <f>CHOOSE(CONTROL!$C$42, 4.8758, 4.8758) * CHOOSE(CONTROL!$C$21, $C$9, 100%, $E$9)</f>
        <v>4.8757999999999999</v>
      </c>
      <c r="M58" s="14">
        <f>CHOOSE(CONTROL!$C$42, 4.0142, 4.0142) * CHOOSE(CONTROL!$C$21, $C$9, 100%, $E$9)</f>
        <v>4.0141999999999998</v>
      </c>
      <c r="N58" s="14">
        <f>CHOOSE(CONTROL!$C$42, 4.03, 4.03) * CHOOSE(CONTROL!$C$21, $C$9, 100%, $E$9)</f>
        <v>4.03</v>
      </c>
      <c r="O58" s="14">
        <f>CHOOSE(CONTROL!$C$42, 4.2594, 4.2594) * CHOOSE(CONTROL!$C$21, $C$9, 100%, $E$9)</f>
        <v>4.2594000000000003</v>
      </c>
      <c r="P58" s="14">
        <f>CHOOSE(CONTROL!$C$42, 4.0476, 4.0476) * CHOOSE(CONTROL!$C$21, $C$9, 100%, $E$9)</f>
        <v>4.0476000000000001</v>
      </c>
      <c r="Q58" s="14">
        <f>CHOOSE(CONTROL!$C$42, 4.8547, 4.8547) * CHOOSE(CONTROL!$C$21, $C$9, 100%, $E$9)</f>
        <v>4.8547000000000002</v>
      </c>
      <c r="R58" s="14">
        <f>CHOOSE(CONTROL!$C$42, 5.4538, 5.4538) * CHOOSE(CONTROL!$C$21, $C$9, 100%, $E$9)</f>
        <v>5.4538000000000002</v>
      </c>
      <c r="S58" s="14">
        <f>CHOOSE(CONTROL!$C$42, 3.9419, 3.9419) * CHOOSE(CONTROL!$C$21, $C$9, 100%, $E$9)</f>
        <v>3.9419</v>
      </c>
      <c r="T5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8" s="57">
        <f>(1000*CHOOSE(CONTROL!$C$42, 695, 695)*CHOOSE(CONTROL!$C$42, 0.5599, 0.5599)*CHOOSE(CONTROL!$C$42, 31, 31))/1000000</f>
        <v>12.063045499999998</v>
      </c>
      <c r="V58" s="57">
        <f>(1000*CHOOSE(CONTROL!$C$42, 580, 580)*CHOOSE(CONTROL!$C$42, 0.275, 0.275)*CHOOSE(CONTROL!$C$42, 31, 31))/1000000</f>
        <v>4.9444999999999997</v>
      </c>
      <c r="W58" s="57">
        <f>(1000*CHOOSE(CONTROL!$C$42, 0.1146, 0.1146)*CHOOSE(CONTROL!$C$42, 121.5, 121.5)*CHOOSE(CONTROL!$C$42, 31, 31))/1000000</f>
        <v>0.43164089999999994</v>
      </c>
      <c r="X58" s="57">
        <f>(31*0.1790888*245000/1000000)+(31*0.2374*100000/1000000)</f>
        <v>2.0961194359999999</v>
      </c>
      <c r="Y58" s="57"/>
      <c r="Z58" s="14"/>
      <c r="AA58" s="56"/>
      <c r="AB58" s="50">
        <f>(B58*131.881+C58*277.167+D58*79.08+E58*125.872+F58*40+G58*185+H58*0+I58*100+J58*300)/(131.881+277.167+79.08+125.872+0+40+185+100+300)</f>
        <v>4.0962349575464083</v>
      </c>
      <c r="AC58" s="45">
        <f>(M58*'RAP TEMPLATE-GAS AVAILABILITY'!O57+N58*'RAP TEMPLATE-GAS AVAILABILITY'!P57+O58*'RAP TEMPLATE-GAS AVAILABILITY'!Q57+P58*'RAP TEMPLATE-GAS AVAILABILITY'!R57)/('RAP TEMPLATE-GAS AVAILABILITY'!O57+'RAP TEMPLATE-GAS AVAILABILITY'!P57+'RAP TEMPLATE-GAS AVAILABILITY'!Q57+'RAP TEMPLATE-GAS AVAILABILITY'!R57)</f>
        <v>4.0914402877697844</v>
      </c>
    </row>
    <row r="59" spans="1:29" ht="15.75" x14ac:dyDescent="0.25">
      <c r="A59" s="13">
        <v>42675</v>
      </c>
      <c r="B59" s="14">
        <f>CHOOSE(CONTROL!$C$42, 4.1683, 4.1683) * CHOOSE(CONTROL!$C$21, $C$9, 100%, $E$9)</f>
        <v>4.1683000000000003</v>
      </c>
      <c r="C59" s="14">
        <f>CHOOSE(CONTROL!$C$42, 4.1732, 4.1732) * CHOOSE(CONTROL!$C$21, $C$9, 100%, $E$9)</f>
        <v>4.1731999999999996</v>
      </c>
      <c r="D59" s="14">
        <f>CHOOSE(CONTROL!$C$42, 4.2363, 4.2363) * CHOOSE(CONTROL!$C$21, $C$9, 100%, $E$9)</f>
        <v>4.2363</v>
      </c>
      <c r="E59" s="14">
        <f>CHOOSE(CONTROL!$C$42, 4.2701, 4.2701) * CHOOSE(CONTROL!$C$21, $C$9, 100%, $E$9)</f>
        <v>4.2701000000000002</v>
      </c>
      <c r="F59" s="14">
        <f>CHOOSE(CONTROL!$C$42, 4.169, 4.169)*CHOOSE(CONTROL!$C$21, $C$9, 100%, $E$9)</f>
        <v>4.1689999999999996</v>
      </c>
      <c r="G59" s="14">
        <f>CHOOSE(CONTROL!$C$42, 4.1853, 4.1853)*CHOOSE(CONTROL!$C$21, $C$9, 100%, $E$9)</f>
        <v>4.1852999999999998</v>
      </c>
      <c r="H59" s="14">
        <f>CHOOSE(CONTROL!$C$42, 4.2593, 4.2593) * CHOOSE(CONTROL!$C$21, $C$9, 100%, $E$9)</f>
        <v>4.2592999999999996</v>
      </c>
      <c r="I59" s="14">
        <f>CHOOSE(CONTROL!$C$42, 4.1818, 4.1818)* CHOOSE(CONTROL!$C$21, $C$9, 100%, $E$9)</f>
        <v>4.1818</v>
      </c>
      <c r="J59" s="14">
        <f>CHOOSE(CONTROL!$C$42, 4.162, 4.162)* CHOOSE(CONTROL!$C$21, $C$9, 100%, $E$9)</f>
        <v>4.1619999999999999</v>
      </c>
      <c r="K59" s="53"/>
      <c r="L59" s="14">
        <f>CHOOSE(CONTROL!$C$42, 4.8463, 4.8463) * CHOOSE(CONTROL!$C$21, $C$9, 100%, $E$9)</f>
        <v>4.8463000000000003</v>
      </c>
      <c r="M59" s="14">
        <f>CHOOSE(CONTROL!$C$42, 4.1338, 4.1338) * CHOOSE(CONTROL!$C$21, $C$9, 100%, $E$9)</f>
        <v>4.1337999999999999</v>
      </c>
      <c r="N59" s="14">
        <f>CHOOSE(CONTROL!$C$42, 4.1499, 4.1499) * CHOOSE(CONTROL!$C$21, $C$9, 100%, $E$9)</f>
        <v>4.1498999999999997</v>
      </c>
      <c r="O59" s="14">
        <f>CHOOSE(CONTROL!$C$42, 4.2301, 4.2301) * CHOOSE(CONTROL!$C$21, $C$9, 100%, $E$9)</f>
        <v>4.2301000000000002</v>
      </c>
      <c r="P59" s="14">
        <f>CHOOSE(CONTROL!$C$42, 4.1535, 4.1535) * CHOOSE(CONTROL!$C$21, $C$9, 100%, $E$9)</f>
        <v>4.1535000000000002</v>
      </c>
      <c r="Q59" s="14">
        <f>CHOOSE(CONTROL!$C$42, 4.8254, 4.8254) * CHOOSE(CONTROL!$C$21, $C$9, 100%, $E$9)</f>
        <v>4.8254000000000001</v>
      </c>
      <c r="R59" s="14">
        <f>CHOOSE(CONTROL!$C$42, 5.4245, 5.4245) * CHOOSE(CONTROL!$C$21, $C$9, 100%, $E$9)</f>
        <v>5.4245000000000001</v>
      </c>
      <c r="S59" s="14">
        <f>CHOOSE(CONTROL!$C$42, 4.0457, 4.0457) * CHOOSE(CONTROL!$C$21, $C$9, 100%, $E$9)</f>
        <v>4.0457000000000001</v>
      </c>
      <c r="T5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9" s="57">
        <f>(1000*CHOOSE(CONTROL!$C$42, 695, 695)*CHOOSE(CONTROL!$C$42, 0.5599, 0.5599)*CHOOSE(CONTROL!$C$42, 30, 30))/1000000</f>
        <v>11.673914999999997</v>
      </c>
      <c r="V59" s="57">
        <f>(1000*CHOOSE(CONTROL!$C$42, 580, 580)*CHOOSE(CONTROL!$C$42, 0.275, 0.275)*CHOOSE(CONTROL!$C$42, 30, 30))/1000000</f>
        <v>4.7850000000000001</v>
      </c>
      <c r="W59" s="57">
        <f>(1000*CHOOSE(CONTROL!$C$42, 0.1146, 0.1146)*CHOOSE(CONTROL!$C$42, 121.5, 121.5)*CHOOSE(CONTROL!$C$42, 30, 30))/1000000</f>
        <v>0.417717</v>
      </c>
      <c r="X59" s="57">
        <f>(30*0.1790888*100000/1000000)+(30*0.2374*100000/1000000)</f>
        <v>1.2494664</v>
      </c>
      <c r="Y59" s="57"/>
      <c r="Z59" s="14"/>
      <c r="AA59" s="56"/>
      <c r="AB59" s="50">
        <f>(B59*122.58+C59*297.941+D59*89.177+E59*40.302+F59*40+G59*160+H59*0+I59*100+J59*300)/(122.58+297.941+89.177+40.302+0+40+160+100+300)</f>
        <v>4.1803301656521734</v>
      </c>
      <c r="AC59" s="45">
        <f>(M59*'RAP TEMPLATE-GAS AVAILABILITY'!O58+N59*'RAP TEMPLATE-GAS AVAILABILITY'!P58+O59*'RAP TEMPLATE-GAS AVAILABILITY'!Q58+P59*'RAP TEMPLATE-GAS AVAILABILITY'!R58)/('RAP TEMPLATE-GAS AVAILABILITY'!O58+'RAP TEMPLATE-GAS AVAILABILITY'!P58+'RAP TEMPLATE-GAS AVAILABILITY'!Q58+'RAP TEMPLATE-GAS AVAILABILITY'!R58)</f>
        <v>4.1812079136690645</v>
      </c>
    </row>
    <row r="60" spans="1:29" ht="15.75" x14ac:dyDescent="0.25">
      <c r="A60" s="13">
        <v>42705</v>
      </c>
      <c r="B60" s="14">
        <f>CHOOSE(CONTROL!$C$42, 4.4523, 4.4523) * CHOOSE(CONTROL!$C$21, $C$9, 100%, $E$9)</f>
        <v>4.4523000000000001</v>
      </c>
      <c r="C60" s="14">
        <f>CHOOSE(CONTROL!$C$42, 4.4572, 4.4572) * CHOOSE(CONTROL!$C$21, $C$9, 100%, $E$9)</f>
        <v>4.4572000000000003</v>
      </c>
      <c r="D60" s="14">
        <f>CHOOSE(CONTROL!$C$42, 4.5203, 4.5203) * CHOOSE(CONTROL!$C$21, $C$9, 100%, $E$9)</f>
        <v>4.5202999999999998</v>
      </c>
      <c r="E60" s="14">
        <f>CHOOSE(CONTROL!$C$42, 4.5541, 4.5541) * CHOOSE(CONTROL!$C$21, $C$9, 100%, $E$9)</f>
        <v>4.5541</v>
      </c>
      <c r="F60" s="14">
        <f>CHOOSE(CONTROL!$C$42, 4.455, 4.455)*CHOOSE(CONTROL!$C$21, $C$9, 100%, $E$9)</f>
        <v>4.4550000000000001</v>
      </c>
      <c r="G60" s="14">
        <f>CHOOSE(CONTROL!$C$42, 4.4718, 4.4718)*CHOOSE(CONTROL!$C$21, $C$9, 100%, $E$9)</f>
        <v>4.4718</v>
      </c>
      <c r="H60" s="14">
        <f>CHOOSE(CONTROL!$C$42, 4.5433, 4.5433) * CHOOSE(CONTROL!$C$21, $C$9, 100%, $E$9)</f>
        <v>4.5433000000000003</v>
      </c>
      <c r="I60" s="14">
        <f>CHOOSE(CONTROL!$C$42, 4.4658, 4.4658)* CHOOSE(CONTROL!$C$21, $C$9, 100%, $E$9)</f>
        <v>4.4657999999999998</v>
      </c>
      <c r="J60" s="14">
        <f>CHOOSE(CONTROL!$C$42, 4.448, 4.448)* CHOOSE(CONTROL!$C$21, $C$9, 100%, $E$9)</f>
        <v>4.4480000000000004</v>
      </c>
      <c r="K60" s="53"/>
      <c r="L60" s="14">
        <f>CHOOSE(CONTROL!$C$42, 5.1303, 5.1303) * CHOOSE(CONTROL!$C$21, $C$9, 100%, $E$9)</f>
        <v>5.1303000000000001</v>
      </c>
      <c r="M60" s="14">
        <f>CHOOSE(CONTROL!$C$42, 4.4169, 4.4169) * CHOOSE(CONTROL!$C$21, $C$9, 100%, $E$9)</f>
        <v>4.4169</v>
      </c>
      <c r="N60" s="14">
        <f>CHOOSE(CONTROL!$C$42, 4.4336, 4.4336) * CHOOSE(CONTROL!$C$21, $C$9, 100%, $E$9)</f>
        <v>4.4336000000000002</v>
      </c>
      <c r="O60" s="14">
        <f>CHOOSE(CONTROL!$C$42, 4.5112, 4.5112) * CHOOSE(CONTROL!$C$21, $C$9, 100%, $E$9)</f>
        <v>4.5111999999999997</v>
      </c>
      <c r="P60" s="14">
        <f>CHOOSE(CONTROL!$C$42, 4.4346, 4.4346) * CHOOSE(CONTROL!$C$21, $C$9, 100%, $E$9)</f>
        <v>4.4345999999999997</v>
      </c>
      <c r="Q60" s="14">
        <f>CHOOSE(CONTROL!$C$42, 5.1065, 5.1065) * CHOOSE(CONTROL!$C$21, $C$9, 100%, $E$9)</f>
        <v>5.1064999999999996</v>
      </c>
      <c r="R60" s="14">
        <f>CHOOSE(CONTROL!$C$42, 5.7063, 5.7063) * CHOOSE(CONTROL!$C$21, $C$9, 100%, $E$9)</f>
        <v>5.7062999999999997</v>
      </c>
      <c r="S60" s="14">
        <f>CHOOSE(CONTROL!$C$42, 4.3215, 4.3215) * CHOOSE(CONTROL!$C$21, $C$9, 100%, $E$9)</f>
        <v>4.3215000000000003</v>
      </c>
      <c r="T6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0" s="57">
        <f>(1000*CHOOSE(CONTROL!$C$42, 695, 695)*CHOOSE(CONTROL!$C$42, 0.5599, 0.5599)*CHOOSE(CONTROL!$C$42, 31, 31))/1000000</f>
        <v>12.063045499999998</v>
      </c>
      <c r="V60" s="57">
        <f>(1000*CHOOSE(CONTROL!$C$42, 580, 580)*CHOOSE(CONTROL!$C$42, 0.275, 0.275)*CHOOSE(CONTROL!$C$42, 31, 31))/1000000</f>
        <v>4.9444999999999997</v>
      </c>
      <c r="W60" s="57">
        <f>(1000*CHOOSE(CONTROL!$C$42, 0.1146, 0.1146)*CHOOSE(CONTROL!$C$42, 121.5, 121.5)*CHOOSE(CONTROL!$C$42, 31, 31))/1000000</f>
        <v>0.43164089999999994</v>
      </c>
      <c r="X60" s="57">
        <f>(31*0.1790888*100000/1000000)+(31*0.2374*100000/1000000)</f>
        <v>1.2911152800000001</v>
      </c>
      <c r="Y60" s="57"/>
      <c r="Z60" s="14"/>
      <c r="AA60" s="56"/>
      <c r="AB60" s="50">
        <f>(B60*122.58+C60*297.941+D60*89.177+E60*40.302+F60*40+G60*160+H60*0+I60*100+J60*300)/(122.58+297.941+89.177+40.302+0+40+160+100+300)</f>
        <v>4.4652692960869569</v>
      </c>
      <c r="AC60" s="45">
        <f>(M60*'RAP TEMPLATE-GAS AVAILABILITY'!O59+N60*'RAP TEMPLATE-GAS AVAILABILITY'!P59+O60*'RAP TEMPLATE-GAS AVAILABILITY'!Q59+P60*'RAP TEMPLATE-GAS AVAILABILITY'!R59)/('RAP TEMPLATE-GAS AVAILABILITY'!O59+'RAP TEMPLATE-GAS AVAILABILITY'!P59+'RAP TEMPLATE-GAS AVAILABILITY'!Q59+'RAP TEMPLATE-GAS AVAILABILITY'!R59)</f>
        <v>4.463148201438849</v>
      </c>
    </row>
    <row r="61" spans="1:29" ht="15.75" x14ac:dyDescent="0.25">
      <c r="A61" s="13">
        <v>42736</v>
      </c>
      <c r="B61" s="14">
        <f>CHOOSE(CONTROL!$C$42, 5.0795, 5.0795) * CHOOSE(CONTROL!$C$21, $C$9, 100%, $E$9)</f>
        <v>5.0795000000000003</v>
      </c>
      <c r="C61" s="14">
        <f>CHOOSE(CONTROL!$C$42, 5.0844, 5.0844) * CHOOSE(CONTROL!$C$21, $C$9, 100%, $E$9)</f>
        <v>5.0843999999999996</v>
      </c>
      <c r="D61" s="14">
        <f>CHOOSE(CONTROL!$C$42, 5.1487, 5.1487) * CHOOSE(CONTROL!$C$21, $C$9, 100%, $E$9)</f>
        <v>5.1486999999999998</v>
      </c>
      <c r="E61" s="14">
        <f>CHOOSE(CONTROL!$C$42, 5.1825, 5.1825) * CHOOSE(CONTROL!$C$21, $C$9, 100%, $E$9)</f>
        <v>5.1825000000000001</v>
      </c>
      <c r="F61" s="14">
        <f>CHOOSE(CONTROL!$C$42, 5.081, 5.081)*CHOOSE(CONTROL!$C$21, $C$9, 100%, $E$9)</f>
        <v>5.0810000000000004</v>
      </c>
      <c r="G61" s="14">
        <f>CHOOSE(CONTROL!$C$42, 5.0969, 5.0969)*CHOOSE(CONTROL!$C$21, $C$9, 100%, $E$9)</f>
        <v>5.0968999999999998</v>
      </c>
      <c r="H61" s="14">
        <f>CHOOSE(CONTROL!$C$42, 5.1717, 5.1717) * CHOOSE(CONTROL!$C$21, $C$9, 100%, $E$9)</f>
        <v>5.1717000000000004</v>
      </c>
      <c r="I61" s="14">
        <f>CHOOSE(CONTROL!$C$42, 5.0994, 5.0994)* CHOOSE(CONTROL!$C$21, $C$9, 100%, $E$9)</f>
        <v>5.0994000000000002</v>
      </c>
      <c r="J61" s="14">
        <f>CHOOSE(CONTROL!$C$42, 5.074, 5.074)* CHOOSE(CONTROL!$C$21, $C$9, 100%, $E$9)</f>
        <v>5.0739999999999998</v>
      </c>
      <c r="K61" s="53">
        <f>CHOOSE(CONTROL!$C$42, 5.0956, 5.0956) * CHOOSE(CONTROL!$C$21, $C$9, 100%, $E$9)</f>
        <v>5.0956000000000001</v>
      </c>
      <c r="L61" s="14">
        <f>CHOOSE(CONTROL!$C$42, 5.7587, 5.7587) * CHOOSE(CONTROL!$C$21, $C$9, 100%, $E$9)</f>
        <v>5.7587000000000002</v>
      </c>
      <c r="M61" s="14">
        <f>CHOOSE(CONTROL!$C$42, 5.0366, 5.0366) * CHOOSE(CONTROL!$C$21, $C$9, 100%, $E$9)</f>
        <v>5.0366</v>
      </c>
      <c r="N61" s="14">
        <f>CHOOSE(CONTROL!$C$42, 5.0524, 5.0524) * CHOOSE(CONTROL!$C$21, $C$9, 100%, $E$9)</f>
        <v>5.0523999999999996</v>
      </c>
      <c r="O61" s="14">
        <f>CHOOSE(CONTROL!$C$42, 5.1333, 5.1333) * CHOOSE(CONTROL!$C$21, $C$9, 100%, $E$9)</f>
        <v>5.1333000000000002</v>
      </c>
      <c r="P61" s="14">
        <f>CHOOSE(CONTROL!$C$42, 5.0618, 5.0618) * CHOOSE(CONTROL!$C$21, $C$9, 100%, $E$9)</f>
        <v>5.0617999999999999</v>
      </c>
      <c r="Q61" s="14">
        <f>CHOOSE(CONTROL!$C$42, 5.7286, 5.7286) * CHOOSE(CONTROL!$C$21, $C$9, 100%, $E$9)</f>
        <v>5.7286000000000001</v>
      </c>
      <c r="R61" s="14">
        <f>CHOOSE(CONTROL!$C$42, 6.3299, 6.3299) * CHOOSE(CONTROL!$C$21, $C$9, 100%, $E$9)</f>
        <v>6.3299000000000003</v>
      </c>
      <c r="S61" s="14">
        <f>CHOOSE(CONTROL!$C$42, 4.9305, 4.9305) * CHOOSE(CONTROL!$C$21, $C$9, 100%, $E$9)</f>
        <v>4.9305000000000003</v>
      </c>
      <c r="T6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1" s="57">
        <f>(1000*CHOOSE(CONTROL!$C$42, 695, 695)*CHOOSE(CONTROL!$C$42, 0.5599, 0.5599)*CHOOSE(CONTROL!$C$42, 31, 31))/1000000</f>
        <v>12.063045499999998</v>
      </c>
      <c r="V61" s="57">
        <f>(1000*CHOOSE(CONTROL!$C$42, 580, 580)*CHOOSE(CONTROL!$C$42, 0.275, 0.275)*CHOOSE(CONTROL!$C$42, 31, 31))/1000000</f>
        <v>4.9444999999999997</v>
      </c>
      <c r="W61" s="57">
        <f>(1000*CHOOSE(CONTROL!$C$42, 0.1146, 0.1146)*CHOOSE(CONTROL!$C$42, 121.5, 121.5)*CHOOSE(CONTROL!$C$42, 31, 31))/1000000</f>
        <v>0.43164089999999994</v>
      </c>
      <c r="X61" s="57">
        <f>(31*0.1790888*100000/1000000)+(31*0.2374*100000/1000000)</f>
        <v>1.2911152800000001</v>
      </c>
      <c r="Y61" s="57"/>
      <c r="Z61" s="14"/>
      <c r="AA61" s="56"/>
      <c r="AB61" s="50">
        <f>(B61*122.58+C61*297.941+D61*89.177+E61*40.302+F61*40+G61*160+H61*0+I61*100+J61*300)/(122.58+297.941+89.177+40.302+0+40+160+100+300)</f>
        <v>5.0925139698260864</v>
      </c>
      <c r="AC61" s="45">
        <f>(M61*'RAP TEMPLATE-GAS AVAILABILITY'!O60+N61*'RAP TEMPLATE-GAS AVAILABILITY'!P60+O61*'RAP TEMPLATE-GAS AVAILABILITY'!Q60+P61*'RAP TEMPLATE-GAS AVAILABILITY'!R60)/('RAP TEMPLATE-GAS AVAILABILITY'!O60+'RAP TEMPLATE-GAS AVAILABILITY'!P60+'RAP TEMPLATE-GAS AVAILABILITY'!Q60+'RAP TEMPLATE-GAS AVAILABILITY'!R60)</f>
        <v>5.0849633093525179</v>
      </c>
    </row>
    <row r="62" spans="1:29" ht="15.75" x14ac:dyDescent="0.25">
      <c r="A62" s="13">
        <v>42767</v>
      </c>
      <c r="B62" s="14">
        <f>CHOOSE(CONTROL!$C$42, 5.1698, 5.1698) * CHOOSE(CONTROL!$C$21, $C$9, 100%, $E$9)</f>
        <v>5.1698000000000004</v>
      </c>
      <c r="C62" s="14">
        <f>CHOOSE(CONTROL!$C$42, 5.1748, 5.1748) * CHOOSE(CONTROL!$C$21, $C$9, 100%, $E$9)</f>
        <v>5.1748000000000003</v>
      </c>
      <c r="D62" s="14">
        <f>CHOOSE(CONTROL!$C$42, 5.2391, 5.2391) * CHOOSE(CONTROL!$C$21, $C$9, 100%, $E$9)</f>
        <v>5.2390999999999996</v>
      </c>
      <c r="E62" s="14">
        <f>CHOOSE(CONTROL!$C$42, 5.2728, 5.2728) * CHOOSE(CONTROL!$C$21, $C$9, 100%, $E$9)</f>
        <v>5.2728000000000002</v>
      </c>
      <c r="F62" s="14">
        <f>CHOOSE(CONTROL!$C$42, 5.1714, 5.1714)*CHOOSE(CONTROL!$C$21, $C$9, 100%, $E$9)</f>
        <v>5.1714000000000002</v>
      </c>
      <c r="G62" s="14">
        <f>CHOOSE(CONTROL!$C$42, 5.1873, 5.1873)*CHOOSE(CONTROL!$C$21, $C$9, 100%, $E$9)</f>
        <v>5.1872999999999996</v>
      </c>
      <c r="H62" s="14">
        <f>CHOOSE(CONTROL!$C$42, 5.262, 5.262) * CHOOSE(CONTROL!$C$21, $C$9, 100%, $E$9)</f>
        <v>5.2619999999999996</v>
      </c>
      <c r="I62" s="14">
        <f>CHOOSE(CONTROL!$C$42, 5.1898, 5.1898)* CHOOSE(CONTROL!$C$21, $C$9, 100%, $E$9)</f>
        <v>5.1898</v>
      </c>
      <c r="J62" s="14">
        <f>CHOOSE(CONTROL!$C$42, 5.1644, 5.1644)* CHOOSE(CONTROL!$C$21, $C$9, 100%, $E$9)</f>
        <v>5.1643999999999997</v>
      </c>
      <c r="K62" s="53">
        <f>CHOOSE(CONTROL!$C$42, 5.1859, 5.1859) * CHOOSE(CONTROL!$C$21, $C$9, 100%, $E$9)</f>
        <v>5.1859000000000002</v>
      </c>
      <c r="L62" s="14">
        <f>CHOOSE(CONTROL!$C$42, 5.849, 5.849) * CHOOSE(CONTROL!$C$21, $C$9, 100%, $E$9)</f>
        <v>5.8490000000000002</v>
      </c>
      <c r="M62" s="14">
        <f>CHOOSE(CONTROL!$C$42, 5.1261, 5.1261) * CHOOSE(CONTROL!$C$21, $C$9, 100%, $E$9)</f>
        <v>5.1261000000000001</v>
      </c>
      <c r="N62" s="14">
        <f>CHOOSE(CONTROL!$C$42, 5.1419, 5.1419) * CHOOSE(CONTROL!$C$21, $C$9, 100%, $E$9)</f>
        <v>5.1418999999999997</v>
      </c>
      <c r="O62" s="14">
        <f>CHOOSE(CONTROL!$C$42, 5.2228, 5.2228) * CHOOSE(CONTROL!$C$21, $C$9, 100%, $E$9)</f>
        <v>5.2228000000000003</v>
      </c>
      <c r="P62" s="14">
        <f>CHOOSE(CONTROL!$C$42, 5.1513, 5.1513) * CHOOSE(CONTROL!$C$21, $C$9, 100%, $E$9)</f>
        <v>5.1513</v>
      </c>
      <c r="Q62" s="14">
        <f>CHOOSE(CONTROL!$C$42, 5.8181, 5.8181) * CHOOSE(CONTROL!$C$21, $C$9, 100%, $E$9)</f>
        <v>5.8181000000000003</v>
      </c>
      <c r="R62" s="14">
        <f>CHOOSE(CONTROL!$C$42, 6.4196, 6.4196) * CHOOSE(CONTROL!$C$21, $C$9, 100%, $E$9)</f>
        <v>6.4196</v>
      </c>
      <c r="S62" s="14">
        <f>CHOOSE(CONTROL!$C$42, 5.0183, 5.0183) * CHOOSE(CONTROL!$C$21, $C$9, 100%, $E$9)</f>
        <v>5.0183</v>
      </c>
      <c r="T6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2" s="57">
        <f>(1000*CHOOSE(CONTROL!$C$42, 695, 695)*CHOOSE(CONTROL!$C$42, 0.5599, 0.5599)*CHOOSE(CONTROL!$C$42, 28, 28))/1000000</f>
        <v>10.895653999999999</v>
      </c>
      <c r="V62" s="57">
        <f>(1000*CHOOSE(CONTROL!$C$42, 580, 580)*CHOOSE(CONTROL!$C$42, 0.275, 0.275)*CHOOSE(CONTROL!$C$42, 28, 28))/1000000</f>
        <v>4.4660000000000002</v>
      </c>
      <c r="W62" s="57">
        <f>(1000*CHOOSE(CONTROL!$C$42, 0.1146, 0.1146)*CHOOSE(CONTROL!$C$42, 121.5, 121.5)*CHOOSE(CONTROL!$C$42, 28, 28))/1000000</f>
        <v>0.38986920000000003</v>
      </c>
      <c r="X62" s="57">
        <f>(28*0.1790888*100000/1000000)+(28*0.2374*100000/1000000)</f>
        <v>1.16616864</v>
      </c>
      <c r="Y62" s="57"/>
      <c r="Z62" s="14"/>
      <c r="AA62" s="56"/>
      <c r="AB62" s="50">
        <f>(B62*122.58+C62*297.941+D62*89.177+E62*40.302+F62*40+G62*160+H62*0+I62*100+J62*300)/(122.58+297.941+89.177+40.302+0+40+160+100+300)</f>
        <v>5.1828998061739133</v>
      </c>
      <c r="AC62" s="45">
        <f>(M62*'RAP TEMPLATE-GAS AVAILABILITY'!O61+N62*'RAP TEMPLATE-GAS AVAILABILITY'!P61+O62*'RAP TEMPLATE-GAS AVAILABILITY'!Q61+P62*'RAP TEMPLATE-GAS AVAILABILITY'!R61)/('RAP TEMPLATE-GAS AVAILABILITY'!O61+'RAP TEMPLATE-GAS AVAILABILITY'!P61+'RAP TEMPLATE-GAS AVAILABILITY'!Q61+'RAP TEMPLATE-GAS AVAILABILITY'!R61)</f>
        <v>5.174463309352519</v>
      </c>
    </row>
    <row r="63" spans="1:29" ht="15.75" x14ac:dyDescent="0.25">
      <c r="A63" s="13">
        <v>42795</v>
      </c>
      <c r="B63" s="14">
        <f>CHOOSE(CONTROL!$C$42, 5.0231, 5.0231) * CHOOSE(CONTROL!$C$21, $C$9, 100%, $E$9)</f>
        <v>5.0231000000000003</v>
      </c>
      <c r="C63" s="14">
        <f>CHOOSE(CONTROL!$C$42, 5.0281, 5.0281) * CHOOSE(CONTROL!$C$21, $C$9, 100%, $E$9)</f>
        <v>5.0281000000000002</v>
      </c>
      <c r="D63" s="14">
        <f>CHOOSE(CONTROL!$C$42, 5.0924, 5.0924) * CHOOSE(CONTROL!$C$21, $C$9, 100%, $E$9)</f>
        <v>5.0923999999999996</v>
      </c>
      <c r="E63" s="14">
        <f>CHOOSE(CONTROL!$C$42, 5.1262, 5.1262) * CHOOSE(CONTROL!$C$21, $C$9, 100%, $E$9)</f>
        <v>5.1261999999999999</v>
      </c>
      <c r="F63" s="14">
        <f>CHOOSE(CONTROL!$C$42, 5.0244, 5.0244)*CHOOSE(CONTROL!$C$21, $C$9, 100%, $E$9)</f>
        <v>5.0244</v>
      </c>
      <c r="G63" s="14">
        <f>CHOOSE(CONTROL!$C$42, 5.0402, 5.0402)*CHOOSE(CONTROL!$C$21, $C$9, 100%, $E$9)</f>
        <v>5.0401999999999996</v>
      </c>
      <c r="H63" s="14">
        <f>CHOOSE(CONTROL!$C$42, 5.1153, 5.1153) * CHOOSE(CONTROL!$C$21, $C$9, 100%, $E$9)</f>
        <v>5.1153000000000004</v>
      </c>
      <c r="I63" s="14">
        <f>CHOOSE(CONTROL!$C$42, 5.0431, 5.0431)* CHOOSE(CONTROL!$C$21, $C$9, 100%, $E$9)</f>
        <v>5.0430999999999999</v>
      </c>
      <c r="J63" s="14">
        <f>CHOOSE(CONTROL!$C$42, 5.0174, 5.0174)* CHOOSE(CONTROL!$C$21, $C$9, 100%, $E$9)</f>
        <v>5.0174000000000003</v>
      </c>
      <c r="K63" s="53">
        <f>CHOOSE(CONTROL!$C$42, 5.0392, 5.0392) * CHOOSE(CONTROL!$C$21, $C$9, 100%, $E$9)</f>
        <v>5.0392000000000001</v>
      </c>
      <c r="L63" s="14">
        <f>CHOOSE(CONTROL!$C$42, 5.7023, 5.7023) * CHOOSE(CONTROL!$C$21, $C$9, 100%, $E$9)</f>
        <v>5.7023000000000001</v>
      </c>
      <c r="M63" s="14">
        <f>CHOOSE(CONTROL!$C$42, 4.9806, 4.9806) * CHOOSE(CONTROL!$C$21, $C$9, 100%, $E$9)</f>
        <v>4.9805999999999999</v>
      </c>
      <c r="N63" s="14">
        <f>CHOOSE(CONTROL!$C$42, 4.9963, 4.9963) * CHOOSE(CONTROL!$C$21, $C$9, 100%, $E$9)</f>
        <v>4.9962999999999997</v>
      </c>
      <c r="O63" s="14">
        <f>CHOOSE(CONTROL!$C$42, 5.0776, 5.0776) * CHOOSE(CONTROL!$C$21, $C$9, 100%, $E$9)</f>
        <v>5.0776000000000003</v>
      </c>
      <c r="P63" s="14">
        <f>CHOOSE(CONTROL!$C$42, 5.0061, 5.0061) * CHOOSE(CONTROL!$C$21, $C$9, 100%, $E$9)</f>
        <v>5.0061</v>
      </c>
      <c r="Q63" s="14">
        <f>CHOOSE(CONTROL!$C$42, 5.6729, 5.6729) * CHOOSE(CONTROL!$C$21, $C$9, 100%, $E$9)</f>
        <v>5.6729000000000003</v>
      </c>
      <c r="R63" s="14">
        <f>CHOOSE(CONTROL!$C$42, 6.274, 6.274) * CHOOSE(CONTROL!$C$21, $C$9, 100%, $E$9)</f>
        <v>6.274</v>
      </c>
      <c r="S63" s="14">
        <f>CHOOSE(CONTROL!$C$42, 4.8758, 4.8758) * CHOOSE(CONTROL!$C$21, $C$9, 100%, $E$9)</f>
        <v>4.8757999999999999</v>
      </c>
      <c r="T6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3" s="57">
        <f>(1000*CHOOSE(CONTROL!$C$42, 695, 695)*CHOOSE(CONTROL!$C$42, 0.5599, 0.5599)*CHOOSE(CONTROL!$C$42, 31, 31))/1000000</f>
        <v>12.063045499999998</v>
      </c>
      <c r="V63" s="57">
        <f>(1000*CHOOSE(CONTROL!$C$42, 580, 580)*CHOOSE(CONTROL!$C$42, 0.275, 0.275)*CHOOSE(CONTROL!$C$42, 31, 31))/1000000</f>
        <v>4.9444999999999997</v>
      </c>
      <c r="W63" s="57">
        <f>(1000*CHOOSE(CONTROL!$C$42, 0.1146, 0.1146)*CHOOSE(CONTROL!$C$42, 121.5, 121.5)*CHOOSE(CONTROL!$C$42, 31, 31))/1000000</f>
        <v>0.43164089999999994</v>
      </c>
      <c r="X63" s="57">
        <f>(31*0.1790888*100000/1000000)+(31*0.2374*100000/1000000)</f>
        <v>1.2911152800000001</v>
      </c>
      <c r="Y63" s="57"/>
      <c r="Z63" s="14"/>
      <c r="AA63" s="56"/>
      <c r="AB63" s="50">
        <f>(B63*122.58+C63*297.941+D63*89.177+E63*40.302+F63*40+G63*160+H63*0+I63*100+J63*300)/(122.58+297.941+89.177+40.302+0+40+160+100+300)</f>
        <v>5.036058962869566</v>
      </c>
      <c r="AC63" s="45">
        <f>(M63*'RAP TEMPLATE-GAS AVAILABILITY'!O62+N63*'RAP TEMPLATE-GAS AVAILABILITY'!P62+O63*'RAP TEMPLATE-GAS AVAILABILITY'!Q62+P63*'RAP TEMPLATE-GAS AVAILABILITY'!R62)/('RAP TEMPLATE-GAS AVAILABILITY'!O62+'RAP TEMPLATE-GAS AVAILABILITY'!P62+'RAP TEMPLATE-GAS AVAILABILITY'!Q62+'RAP TEMPLATE-GAS AVAILABILITY'!R62)</f>
        <v>5.0291366906474826</v>
      </c>
    </row>
    <row r="64" spans="1:29" ht="15.75" x14ac:dyDescent="0.25">
      <c r="A64" s="13">
        <v>42826</v>
      </c>
      <c r="B64" s="14">
        <f>CHOOSE(CONTROL!$C$42, 5.0093, 5.0093) * CHOOSE(CONTROL!$C$21, $C$9, 100%, $E$9)</f>
        <v>5.0092999999999996</v>
      </c>
      <c r="C64" s="14">
        <f>CHOOSE(CONTROL!$C$42, 5.0137, 5.0137) * CHOOSE(CONTROL!$C$21, $C$9, 100%, $E$9)</f>
        <v>5.0137</v>
      </c>
      <c r="D64" s="14">
        <f>CHOOSE(CONTROL!$C$42, 5.2144, 5.2144) * CHOOSE(CONTROL!$C$21, $C$9, 100%, $E$9)</f>
        <v>5.2144000000000004</v>
      </c>
      <c r="E64" s="14">
        <f>CHOOSE(CONTROL!$C$42, 5.2462, 5.2462) * CHOOSE(CONTROL!$C$21, $C$9, 100%, $E$9)</f>
        <v>5.2462</v>
      </c>
      <c r="F64" s="14">
        <f>CHOOSE(CONTROL!$C$42, 4.9939, 4.9939)*CHOOSE(CONTROL!$C$21, $C$9, 100%, $E$9)</f>
        <v>4.9939</v>
      </c>
      <c r="G64" s="14">
        <f>CHOOSE(CONTROL!$C$42, 5.0095, 5.0095)*CHOOSE(CONTROL!$C$21, $C$9, 100%, $E$9)</f>
        <v>5.0095000000000001</v>
      </c>
      <c r="H64" s="14">
        <f>CHOOSE(CONTROL!$C$42, 5.2359, 5.2359) * CHOOSE(CONTROL!$C$21, $C$9, 100%, $E$9)</f>
        <v>5.2359</v>
      </c>
      <c r="I64" s="14">
        <f>CHOOSE(CONTROL!$C$42, 5.022, 5.022)* CHOOSE(CONTROL!$C$21, $C$9, 100%, $E$9)</f>
        <v>5.0220000000000002</v>
      </c>
      <c r="J64" s="14">
        <f>CHOOSE(CONTROL!$C$42, 4.9869, 4.9869)* CHOOSE(CONTROL!$C$21, $C$9, 100%, $E$9)</f>
        <v>4.9869000000000003</v>
      </c>
      <c r="K64" s="53">
        <f>CHOOSE(CONTROL!$C$42, 5.0182, 5.0182) * CHOOSE(CONTROL!$C$21, $C$9, 100%, $E$9)</f>
        <v>5.0182000000000002</v>
      </c>
      <c r="L64" s="14">
        <f>CHOOSE(CONTROL!$C$42, 5.8229, 5.8229) * CHOOSE(CONTROL!$C$21, $C$9, 100%, $E$9)</f>
        <v>5.8228999999999997</v>
      </c>
      <c r="M64" s="14">
        <f>CHOOSE(CONTROL!$C$42, 4.9504, 4.9504) * CHOOSE(CONTROL!$C$21, $C$9, 100%, $E$9)</f>
        <v>4.9504000000000001</v>
      </c>
      <c r="N64" s="14">
        <f>CHOOSE(CONTROL!$C$42, 4.9658, 4.9658) * CHOOSE(CONTROL!$C$21, $C$9, 100%, $E$9)</f>
        <v>4.9657999999999998</v>
      </c>
      <c r="O64" s="14">
        <f>CHOOSE(CONTROL!$C$42, 5.1969, 5.1969) * CHOOSE(CONTROL!$C$21, $C$9, 100%, $E$9)</f>
        <v>5.1969000000000003</v>
      </c>
      <c r="P64" s="14">
        <f>CHOOSE(CONTROL!$C$42, 4.9852, 4.9852) * CHOOSE(CONTROL!$C$21, $C$9, 100%, $E$9)</f>
        <v>4.9851999999999999</v>
      </c>
      <c r="Q64" s="14">
        <f>CHOOSE(CONTROL!$C$42, 5.7922, 5.7922) * CHOOSE(CONTROL!$C$21, $C$9, 100%, $E$9)</f>
        <v>5.7922000000000002</v>
      </c>
      <c r="R64" s="14">
        <f>CHOOSE(CONTROL!$C$42, 6.3937, 6.3937) * CHOOSE(CONTROL!$C$21, $C$9, 100%, $E$9)</f>
        <v>6.3936999999999999</v>
      </c>
      <c r="S64" s="14">
        <f>CHOOSE(CONTROL!$C$42, 4.8616, 4.8616) * CHOOSE(CONTROL!$C$21, $C$9, 100%, $E$9)</f>
        <v>4.8616000000000001</v>
      </c>
      <c r="T6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4" s="57">
        <f>(1000*CHOOSE(CONTROL!$C$42, 695, 695)*CHOOSE(CONTROL!$C$42, 0.5599, 0.5599)*CHOOSE(CONTROL!$C$42, 30, 30))/1000000</f>
        <v>11.673914999999997</v>
      </c>
      <c r="V64" s="57">
        <f>(1000*CHOOSE(CONTROL!$C$42, 580, 580)*CHOOSE(CONTROL!$C$42, 0.275, 0.275)*CHOOSE(CONTROL!$C$42, 30, 30))/1000000</f>
        <v>4.7850000000000001</v>
      </c>
      <c r="W64" s="57">
        <f>(1000*CHOOSE(CONTROL!$C$42, 0.1146, 0.1146)*CHOOSE(CONTROL!$C$42, 121.5, 121.5)*CHOOSE(CONTROL!$C$42, 30, 30))/1000000</f>
        <v>0.417717</v>
      </c>
      <c r="X64" s="57">
        <f>(30*0.1790888*245000/1000000)+(30*0.2374*100000/1000000)</f>
        <v>2.0285026799999999</v>
      </c>
      <c r="Y64" s="57"/>
      <c r="Z64" s="14"/>
      <c r="AA64" s="56"/>
      <c r="AB64" s="50">
        <f>(B64*141.293+C64*267.993+D64*115.016+E64*89.698+F64*40+G64*185+H64*0+I64*100+J64*300)/(141.293+267.993+115.016+89.698+0+40+185+100+300)</f>
        <v>5.0415755504439064</v>
      </c>
      <c r="AC64" s="45">
        <f>(M64*'RAP TEMPLATE-GAS AVAILABILITY'!O63+N64*'RAP TEMPLATE-GAS AVAILABILITY'!P63+O64*'RAP TEMPLATE-GAS AVAILABILITY'!Q63+P64*'RAP TEMPLATE-GAS AVAILABILITY'!R63)/('RAP TEMPLATE-GAS AVAILABILITY'!O63+'RAP TEMPLATE-GAS AVAILABILITY'!P63+'RAP TEMPLATE-GAS AVAILABILITY'!Q63+'RAP TEMPLATE-GAS AVAILABILITY'!R63)</f>
        <v>5.0281143884892092</v>
      </c>
    </row>
    <row r="65" spans="1:29" ht="15.75" x14ac:dyDescent="0.25">
      <c r="A65" s="13">
        <v>42856</v>
      </c>
      <c r="B65" s="14">
        <f>CHOOSE(CONTROL!$C$42, 5.0549, 5.0549) * CHOOSE(CONTROL!$C$21, $C$9, 100%, $E$9)</f>
        <v>5.0548999999999999</v>
      </c>
      <c r="C65" s="14">
        <f>CHOOSE(CONTROL!$C$42, 5.0628, 5.0628) * CHOOSE(CONTROL!$C$21, $C$9, 100%, $E$9)</f>
        <v>5.0628000000000002</v>
      </c>
      <c r="D65" s="14">
        <f>CHOOSE(CONTROL!$C$42, 5.2604, 5.2604) * CHOOSE(CONTROL!$C$21, $C$9, 100%, $E$9)</f>
        <v>5.2603999999999997</v>
      </c>
      <c r="E65" s="14">
        <f>CHOOSE(CONTROL!$C$42, 5.2915, 5.2915) * CHOOSE(CONTROL!$C$21, $C$9, 100%, $E$9)</f>
        <v>5.2915000000000001</v>
      </c>
      <c r="F65" s="14">
        <f>CHOOSE(CONTROL!$C$42, 5.0383, 5.0383)*CHOOSE(CONTROL!$C$21, $C$9, 100%, $E$9)</f>
        <v>5.0382999999999996</v>
      </c>
      <c r="G65" s="14">
        <f>CHOOSE(CONTROL!$C$42, 5.0544, 5.0544)*CHOOSE(CONTROL!$C$21, $C$9, 100%, $E$9)</f>
        <v>5.0544000000000002</v>
      </c>
      <c r="H65" s="14">
        <f>CHOOSE(CONTROL!$C$42, 5.2801, 5.2801) * CHOOSE(CONTROL!$C$21, $C$9, 100%, $E$9)</f>
        <v>5.2801</v>
      </c>
      <c r="I65" s="14">
        <f>CHOOSE(CONTROL!$C$42, 5.0662, 5.0662)* CHOOSE(CONTROL!$C$21, $C$9, 100%, $E$9)</f>
        <v>5.0662000000000003</v>
      </c>
      <c r="J65" s="14">
        <f>CHOOSE(CONTROL!$C$42, 5.0313, 5.0313)* CHOOSE(CONTROL!$C$21, $C$9, 100%, $E$9)</f>
        <v>5.0312999999999999</v>
      </c>
      <c r="K65" s="53">
        <f>CHOOSE(CONTROL!$C$42, 5.0623, 5.0623) * CHOOSE(CONTROL!$C$21, $C$9, 100%, $E$9)</f>
        <v>5.0622999999999996</v>
      </c>
      <c r="L65" s="14">
        <f>CHOOSE(CONTROL!$C$42, 5.8671, 5.8671) * CHOOSE(CONTROL!$C$21, $C$9, 100%, $E$9)</f>
        <v>5.8670999999999998</v>
      </c>
      <c r="M65" s="14">
        <f>CHOOSE(CONTROL!$C$42, 4.9943, 4.9943) * CHOOSE(CONTROL!$C$21, $C$9, 100%, $E$9)</f>
        <v>4.9943</v>
      </c>
      <c r="N65" s="14">
        <f>CHOOSE(CONTROL!$C$42, 5.0103, 5.0103) * CHOOSE(CONTROL!$C$21, $C$9, 100%, $E$9)</f>
        <v>5.0103</v>
      </c>
      <c r="O65" s="14">
        <f>CHOOSE(CONTROL!$C$42, 5.2407, 5.2407) * CHOOSE(CONTROL!$C$21, $C$9, 100%, $E$9)</f>
        <v>5.2407000000000004</v>
      </c>
      <c r="P65" s="14">
        <f>CHOOSE(CONTROL!$C$42, 5.029, 5.029) * CHOOSE(CONTROL!$C$21, $C$9, 100%, $E$9)</f>
        <v>5.0289999999999999</v>
      </c>
      <c r="Q65" s="14">
        <f>CHOOSE(CONTROL!$C$42, 5.836, 5.836) * CHOOSE(CONTROL!$C$21, $C$9, 100%, $E$9)</f>
        <v>5.8360000000000003</v>
      </c>
      <c r="R65" s="14">
        <f>CHOOSE(CONTROL!$C$42, 6.4376, 6.4376) * CHOOSE(CONTROL!$C$21, $C$9, 100%, $E$9)</f>
        <v>6.4375999999999998</v>
      </c>
      <c r="S65" s="14">
        <f>CHOOSE(CONTROL!$C$42, 4.9045, 4.9045) * CHOOSE(CONTROL!$C$21, $C$9, 100%, $E$9)</f>
        <v>4.9044999999999996</v>
      </c>
      <c r="T6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5" s="57">
        <f>(1000*CHOOSE(CONTROL!$C$42, 695, 695)*CHOOSE(CONTROL!$C$42, 0.5599, 0.5599)*CHOOSE(CONTROL!$C$42, 31, 31))/1000000</f>
        <v>12.063045499999998</v>
      </c>
      <c r="V65" s="57">
        <f>(1000*CHOOSE(CONTROL!$C$42, 580, 580)*CHOOSE(CONTROL!$C$42, 0.275, 0.275)*CHOOSE(CONTROL!$C$42, 31, 31))/1000000</f>
        <v>4.9444999999999997</v>
      </c>
      <c r="W65" s="57">
        <f>(1000*CHOOSE(CONTROL!$C$42, 0.1146, 0.1146)*CHOOSE(CONTROL!$C$42, 121.5, 121.5)*CHOOSE(CONTROL!$C$42, 31, 31))/1000000</f>
        <v>0.43164089999999994</v>
      </c>
      <c r="X65" s="57">
        <f>(31*0.1790888*245000/1000000)+(31*0.2374*100000/1000000)</f>
        <v>2.0961194359999999</v>
      </c>
      <c r="Y65" s="57"/>
      <c r="Z65" s="14"/>
      <c r="AA65" s="56"/>
      <c r="AB65" s="50">
        <f>(B65*194.205+C65*267.466+D65*133.845+E65*53.484+F65*40+G65*185+H65*0+I65*100+J65*300)/(194.205+267.466+133.845+53.484+0+40+185+100+300)</f>
        <v>5.0828167529827315</v>
      </c>
      <c r="AC65" s="45">
        <f>(M65*'RAP TEMPLATE-GAS AVAILABILITY'!O64+N65*'RAP TEMPLATE-GAS AVAILABILITY'!P64+O65*'RAP TEMPLATE-GAS AVAILABILITY'!Q64+P65*'RAP TEMPLATE-GAS AVAILABILITY'!R64)/('RAP TEMPLATE-GAS AVAILABILITY'!O64+'RAP TEMPLATE-GAS AVAILABILITY'!P64+'RAP TEMPLATE-GAS AVAILABILITY'!Q64+'RAP TEMPLATE-GAS AVAILABILITY'!R64)</f>
        <v>5.072110071942447</v>
      </c>
    </row>
    <row r="66" spans="1:29" ht="15.75" x14ac:dyDescent="0.25">
      <c r="A66" s="13">
        <v>42887</v>
      </c>
      <c r="B66" s="14">
        <f>CHOOSE(CONTROL!$C$42, 5.1981, 5.1981) * CHOOSE(CONTROL!$C$21, $C$9, 100%, $E$9)</f>
        <v>5.1981000000000002</v>
      </c>
      <c r="C66" s="14">
        <f>CHOOSE(CONTROL!$C$42, 5.206, 5.206) * CHOOSE(CONTROL!$C$21, $C$9, 100%, $E$9)</f>
        <v>5.2060000000000004</v>
      </c>
      <c r="D66" s="14">
        <f>CHOOSE(CONTROL!$C$42, 5.4036, 5.4036) * CHOOSE(CONTROL!$C$21, $C$9, 100%, $E$9)</f>
        <v>5.4036</v>
      </c>
      <c r="E66" s="14">
        <f>CHOOSE(CONTROL!$C$42, 5.4347, 5.4347) * CHOOSE(CONTROL!$C$21, $C$9, 100%, $E$9)</f>
        <v>5.4347000000000003</v>
      </c>
      <c r="F66" s="14">
        <f>CHOOSE(CONTROL!$C$42, 5.1819, 5.1819)*CHOOSE(CONTROL!$C$21, $C$9, 100%, $E$9)</f>
        <v>5.1818999999999997</v>
      </c>
      <c r="G66" s="14">
        <f>CHOOSE(CONTROL!$C$42, 5.1981, 5.1981)*CHOOSE(CONTROL!$C$21, $C$9, 100%, $E$9)</f>
        <v>5.1981000000000002</v>
      </c>
      <c r="H66" s="14">
        <f>CHOOSE(CONTROL!$C$42, 5.4234, 5.4234) * CHOOSE(CONTROL!$C$21, $C$9, 100%, $E$9)</f>
        <v>5.4234</v>
      </c>
      <c r="I66" s="14">
        <f>CHOOSE(CONTROL!$C$42, 5.2095, 5.2095)* CHOOSE(CONTROL!$C$21, $C$9, 100%, $E$9)</f>
        <v>5.2095000000000002</v>
      </c>
      <c r="J66" s="14">
        <f>CHOOSE(CONTROL!$C$42, 5.1749, 5.1749)* CHOOSE(CONTROL!$C$21, $C$9, 100%, $E$9)</f>
        <v>5.1749000000000001</v>
      </c>
      <c r="K66" s="53">
        <f>CHOOSE(CONTROL!$C$42, 5.2056, 5.2056) * CHOOSE(CONTROL!$C$21, $C$9, 100%, $E$9)</f>
        <v>5.2055999999999996</v>
      </c>
      <c r="L66" s="14">
        <f>CHOOSE(CONTROL!$C$42, 6.0104, 6.0104) * CHOOSE(CONTROL!$C$21, $C$9, 100%, $E$9)</f>
        <v>6.0103999999999997</v>
      </c>
      <c r="M66" s="14">
        <f>CHOOSE(CONTROL!$C$42, 5.1365, 5.1365) * CHOOSE(CONTROL!$C$21, $C$9, 100%, $E$9)</f>
        <v>5.1364999999999998</v>
      </c>
      <c r="N66" s="14">
        <f>CHOOSE(CONTROL!$C$42, 5.1525, 5.1525) * CHOOSE(CONTROL!$C$21, $C$9, 100%, $E$9)</f>
        <v>5.1524999999999999</v>
      </c>
      <c r="O66" s="14">
        <f>CHOOSE(CONTROL!$C$42, 5.3825, 5.3825) * CHOOSE(CONTROL!$C$21, $C$9, 100%, $E$9)</f>
        <v>5.3825000000000003</v>
      </c>
      <c r="P66" s="14">
        <f>CHOOSE(CONTROL!$C$42, 5.1707, 5.1707) * CHOOSE(CONTROL!$C$21, $C$9, 100%, $E$9)</f>
        <v>5.1707000000000001</v>
      </c>
      <c r="Q66" s="14">
        <f>CHOOSE(CONTROL!$C$42, 5.9778, 5.9778) * CHOOSE(CONTROL!$C$21, $C$9, 100%, $E$9)</f>
        <v>5.9778000000000002</v>
      </c>
      <c r="R66" s="14">
        <f>CHOOSE(CONTROL!$C$42, 6.5797, 6.5797) * CHOOSE(CONTROL!$C$21, $C$9, 100%, $E$9)</f>
        <v>6.5796999999999999</v>
      </c>
      <c r="S66" s="14">
        <f>CHOOSE(CONTROL!$C$42, 5.0436, 5.0436) * CHOOSE(CONTROL!$C$21, $C$9, 100%, $E$9)</f>
        <v>5.0435999999999996</v>
      </c>
      <c r="T6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6" s="57">
        <f>(1000*CHOOSE(CONTROL!$C$42, 695, 695)*CHOOSE(CONTROL!$C$42, 0.5599, 0.5599)*CHOOSE(CONTROL!$C$42, 30, 30))/1000000</f>
        <v>11.673914999999997</v>
      </c>
      <c r="V66" s="57">
        <f>(1000*CHOOSE(CONTROL!$C$42, 580, 580)*CHOOSE(CONTROL!$C$42, 0.275, 0.275)*CHOOSE(CONTROL!$C$42, 30, 30))/1000000</f>
        <v>4.7850000000000001</v>
      </c>
      <c r="W66" s="57">
        <f>(1000*CHOOSE(CONTROL!$C$42, 0.1146, 0.1146)*CHOOSE(CONTROL!$C$42, 121.5, 121.5)*CHOOSE(CONTROL!$C$42, 30, 30))/1000000</f>
        <v>0.417717</v>
      </c>
      <c r="X66" s="57">
        <f>(30*0.1790888*245000/1000000)+(30*0.2374*100000/1000000)</f>
        <v>2.0285026799999999</v>
      </c>
      <c r="Y66" s="57"/>
      <c r="Z66" s="14"/>
      <c r="AA66" s="56"/>
      <c r="AB66" s="50">
        <f>(B66*194.205+C66*267.466+D66*133.845+E66*53.484+F66*40+G66*185+H66*0+I66*100+J66*300)/(194.205+267.466+133.845+53.484+0+40+185+100+300)</f>
        <v>5.2262039586342235</v>
      </c>
      <c r="AC66" s="45">
        <f>(M66*'RAP TEMPLATE-GAS AVAILABILITY'!O65+N66*'RAP TEMPLATE-GAS AVAILABILITY'!P65+O66*'RAP TEMPLATE-GAS AVAILABILITY'!Q65+P66*'RAP TEMPLATE-GAS AVAILABILITY'!R65)/('RAP TEMPLATE-GAS AVAILABILITY'!O65+'RAP TEMPLATE-GAS AVAILABILITY'!P65+'RAP TEMPLATE-GAS AVAILABILITY'!Q65+'RAP TEMPLATE-GAS AVAILABILITY'!R65)</f>
        <v>5.2141258992805755</v>
      </c>
    </row>
    <row r="67" spans="1:29" ht="15.75" x14ac:dyDescent="0.25">
      <c r="A67" s="13">
        <v>42917</v>
      </c>
      <c r="B67" s="14">
        <f>CHOOSE(CONTROL!$C$42, 5.0985, 5.0985) * CHOOSE(CONTROL!$C$21, $C$9, 100%, $E$9)</f>
        <v>5.0984999999999996</v>
      </c>
      <c r="C67" s="14">
        <f>CHOOSE(CONTROL!$C$42, 5.1064, 5.1064) * CHOOSE(CONTROL!$C$21, $C$9, 100%, $E$9)</f>
        <v>5.1063999999999998</v>
      </c>
      <c r="D67" s="14">
        <f>CHOOSE(CONTROL!$C$42, 5.304, 5.304) * CHOOSE(CONTROL!$C$21, $C$9, 100%, $E$9)</f>
        <v>5.3040000000000003</v>
      </c>
      <c r="E67" s="14">
        <f>CHOOSE(CONTROL!$C$42, 5.3351, 5.3351) * CHOOSE(CONTROL!$C$21, $C$9, 100%, $E$9)</f>
        <v>5.3350999999999997</v>
      </c>
      <c r="F67" s="14">
        <f>CHOOSE(CONTROL!$C$42, 5.0827, 5.0827)*CHOOSE(CONTROL!$C$21, $C$9, 100%, $E$9)</f>
        <v>5.0827</v>
      </c>
      <c r="G67" s="14">
        <f>CHOOSE(CONTROL!$C$42, 5.099, 5.099)*CHOOSE(CONTROL!$C$21, $C$9, 100%, $E$9)</f>
        <v>5.0990000000000002</v>
      </c>
      <c r="H67" s="14">
        <f>CHOOSE(CONTROL!$C$42, 5.3237, 5.3237) * CHOOSE(CONTROL!$C$21, $C$9, 100%, $E$9)</f>
        <v>5.3236999999999997</v>
      </c>
      <c r="I67" s="14">
        <f>CHOOSE(CONTROL!$C$42, 5.1098, 5.1098)* CHOOSE(CONTROL!$C$21, $C$9, 100%, $E$9)</f>
        <v>5.1097999999999999</v>
      </c>
      <c r="J67" s="14">
        <f>CHOOSE(CONTROL!$C$42, 5.0757, 5.0757)* CHOOSE(CONTROL!$C$21, $C$9, 100%, $E$9)</f>
        <v>5.0757000000000003</v>
      </c>
      <c r="K67" s="53">
        <f>CHOOSE(CONTROL!$C$42, 5.1059, 5.1059) * CHOOSE(CONTROL!$C$21, $C$9, 100%, $E$9)</f>
        <v>5.1059000000000001</v>
      </c>
      <c r="L67" s="14">
        <f>CHOOSE(CONTROL!$C$42, 5.9107, 5.9107) * CHOOSE(CONTROL!$C$21, $C$9, 100%, $E$9)</f>
        <v>5.9107000000000003</v>
      </c>
      <c r="M67" s="14">
        <f>CHOOSE(CONTROL!$C$42, 5.0383, 5.0383) * CHOOSE(CONTROL!$C$21, $C$9, 100%, $E$9)</f>
        <v>5.0382999999999996</v>
      </c>
      <c r="N67" s="14">
        <f>CHOOSE(CONTROL!$C$42, 5.0545, 5.0545) * CHOOSE(CONTROL!$C$21, $C$9, 100%, $E$9)</f>
        <v>5.0545</v>
      </c>
      <c r="O67" s="14">
        <f>CHOOSE(CONTROL!$C$42, 5.2838, 5.2838) * CHOOSE(CONTROL!$C$21, $C$9, 100%, $E$9)</f>
        <v>5.2838000000000003</v>
      </c>
      <c r="P67" s="14">
        <f>CHOOSE(CONTROL!$C$42, 5.0721, 5.0721) * CHOOSE(CONTROL!$C$21, $C$9, 100%, $E$9)</f>
        <v>5.0720999999999998</v>
      </c>
      <c r="Q67" s="14">
        <f>CHOOSE(CONTROL!$C$42, 5.8791, 5.8791) * CHOOSE(CONTROL!$C$21, $C$9, 100%, $E$9)</f>
        <v>5.8791000000000002</v>
      </c>
      <c r="R67" s="14">
        <f>CHOOSE(CONTROL!$C$42, 6.4808, 6.4808) * CHOOSE(CONTROL!$C$21, $C$9, 100%, $E$9)</f>
        <v>6.4808000000000003</v>
      </c>
      <c r="S67" s="14">
        <f>CHOOSE(CONTROL!$C$42, 4.9469, 4.9469) * CHOOSE(CONTROL!$C$21, $C$9, 100%, $E$9)</f>
        <v>4.9469000000000003</v>
      </c>
      <c r="T6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7" s="57">
        <f>(1000*CHOOSE(CONTROL!$C$42, 695, 695)*CHOOSE(CONTROL!$C$42, 0.5599, 0.5599)*CHOOSE(CONTROL!$C$42, 31, 31))/1000000</f>
        <v>12.063045499999998</v>
      </c>
      <c r="V67" s="57">
        <f>(1000*CHOOSE(CONTROL!$C$42, 580, 580)*CHOOSE(CONTROL!$C$42, 0.275, 0.275)*CHOOSE(CONTROL!$C$42, 31, 31))/1000000</f>
        <v>4.9444999999999997</v>
      </c>
      <c r="W67" s="57">
        <f>(1000*CHOOSE(CONTROL!$C$42, 0.1146, 0.1146)*CHOOSE(CONTROL!$C$42, 121.5, 121.5)*CHOOSE(CONTROL!$C$42, 31, 31))/1000000</f>
        <v>0.43164089999999994</v>
      </c>
      <c r="X67" s="57">
        <f>(31*0.1790888*245000/1000000)+(31*0.2374*100000/1000000)</f>
        <v>2.0961194359999999</v>
      </c>
      <c r="Y67" s="57"/>
      <c r="Z67" s="14"/>
      <c r="AA67" s="56"/>
      <c r="AB67" s="50">
        <f>(B67*194.205+C67*267.466+D67*133.845+E67*53.484+F67*40+G67*185+H67*0+I67*100+J67*300)/(194.205+267.466+133.845+53.484+0+40+185+100+300)</f>
        <v>5.1267754656985876</v>
      </c>
      <c r="AC67" s="45">
        <f>(M67*'RAP TEMPLATE-GAS AVAILABILITY'!O66+N67*'RAP TEMPLATE-GAS AVAILABILITY'!P66+O67*'RAP TEMPLATE-GAS AVAILABILITY'!Q66+P67*'RAP TEMPLATE-GAS AVAILABILITY'!R66)/('RAP TEMPLATE-GAS AVAILABILITY'!O66+'RAP TEMPLATE-GAS AVAILABILITY'!P66+'RAP TEMPLATE-GAS AVAILABILITY'!Q66+'RAP TEMPLATE-GAS AVAILABILITY'!R66)</f>
        <v>5.1157741007194248</v>
      </c>
    </row>
    <row r="68" spans="1:29" ht="15.75" x14ac:dyDescent="0.25">
      <c r="A68" s="13">
        <v>42948</v>
      </c>
      <c r="B68" s="14">
        <f>CHOOSE(CONTROL!$C$42, 4.8469, 4.8469) * CHOOSE(CONTROL!$C$21, $C$9, 100%, $E$9)</f>
        <v>4.8468999999999998</v>
      </c>
      <c r="C68" s="14">
        <f>CHOOSE(CONTROL!$C$42, 4.8548, 4.8548) * CHOOSE(CONTROL!$C$21, $C$9, 100%, $E$9)</f>
        <v>4.8548</v>
      </c>
      <c r="D68" s="14">
        <f>CHOOSE(CONTROL!$C$42, 5.0524, 5.0524) * CHOOSE(CONTROL!$C$21, $C$9, 100%, $E$9)</f>
        <v>5.0523999999999996</v>
      </c>
      <c r="E68" s="14">
        <f>CHOOSE(CONTROL!$C$42, 5.0835, 5.0835) * CHOOSE(CONTROL!$C$21, $C$9, 100%, $E$9)</f>
        <v>5.0834999999999999</v>
      </c>
      <c r="F68" s="14">
        <f>CHOOSE(CONTROL!$C$42, 4.8313, 4.8313)*CHOOSE(CONTROL!$C$21, $C$9, 100%, $E$9)</f>
        <v>4.8312999999999997</v>
      </c>
      <c r="G68" s="14">
        <f>CHOOSE(CONTROL!$C$42, 4.8477, 4.8477)*CHOOSE(CONTROL!$C$21, $C$9, 100%, $E$9)</f>
        <v>4.8476999999999997</v>
      </c>
      <c r="H68" s="14">
        <f>CHOOSE(CONTROL!$C$42, 5.0722, 5.0722) * CHOOSE(CONTROL!$C$21, $C$9, 100%, $E$9)</f>
        <v>5.0721999999999996</v>
      </c>
      <c r="I68" s="14">
        <f>CHOOSE(CONTROL!$C$42, 4.8583, 4.8583)* CHOOSE(CONTROL!$C$21, $C$9, 100%, $E$9)</f>
        <v>4.8582999999999998</v>
      </c>
      <c r="J68" s="14">
        <f>CHOOSE(CONTROL!$C$42, 4.8243, 4.8243)* CHOOSE(CONTROL!$C$21, $C$9, 100%, $E$9)</f>
        <v>4.8243</v>
      </c>
      <c r="K68" s="53">
        <f>CHOOSE(CONTROL!$C$42, 4.8544, 4.8544) * CHOOSE(CONTROL!$C$21, $C$9, 100%, $E$9)</f>
        <v>4.8544</v>
      </c>
      <c r="L68" s="14">
        <f>CHOOSE(CONTROL!$C$42, 5.6592, 5.6592) * CHOOSE(CONTROL!$C$21, $C$9, 100%, $E$9)</f>
        <v>5.6592000000000002</v>
      </c>
      <c r="M68" s="14">
        <f>CHOOSE(CONTROL!$C$42, 4.7895, 4.7895) * CHOOSE(CONTROL!$C$21, $C$9, 100%, $E$9)</f>
        <v>4.7895000000000003</v>
      </c>
      <c r="N68" s="14">
        <f>CHOOSE(CONTROL!$C$42, 4.8057, 4.8057) * CHOOSE(CONTROL!$C$21, $C$9, 100%, $E$9)</f>
        <v>4.8056999999999999</v>
      </c>
      <c r="O68" s="14">
        <f>CHOOSE(CONTROL!$C$42, 5.0348, 5.0348) * CHOOSE(CONTROL!$C$21, $C$9, 100%, $E$9)</f>
        <v>5.0347999999999997</v>
      </c>
      <c r="P68" s="14">
        <f>CHOOSE(CONTROL!$C$42, 4.8231, 4.8231) * CHOOSE(CONTROL!$C$21, $C$9, 100%, $E$9)</f>
        <v>4.8231000000000002</v>
      </c>
      <c r="Q68" s="14">
        <f>CHOOSE(CONTROL!$C$42, 5.6301, 5.6301) * CHOOSE(CONTROL!$C$21, $C$9, 100%, $E$9)</f>
        <v>5.6300999999999997</v>
      </c>
      <c r="R68" s="14">
        <f>CHOOSE(CONTROL!$C$42, 6.2312, 6.2312) * CHOOSE(CONTROL!$C$21, $C$9, 100%, $E$9)</f>
        <v>6.2312000000000003</v>
      </c>
      <c r="S68" s="14">
        <f>CHOOSE(CONTROL!$C$42, 4.7026, 4.7026) * CHOOSE(CONTROL!$C$21, $C$9, 100%, $E$9)</f>
        <v>4.7026000000000003</v>
      </c>
      <c r="T6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8" s="57">
        <f>(1000*CHOOSE(CONTROL!$C$42, 695, 695)*CHOOSE(CONTROL!$C$42, 0.5599, 0.5599)*CHOOSE(CONTROL!$C$42, 31, 31))/1000000</f>
        <v>12.063045499999998</v>
      </c>
      <c r="V68" s="57">
        <f>(1000*CHOOSE(CONTROL!$C$42, 580, 580)*CHOOSE(CONTROL!$C$42, 0.275, 0.275)*CHOOSE(CONTROL!$C$42, 31, 31))/1000000</f>
        <v>4.9444999999999997</v>
      </c>
      <c r="W68" s="57">
        <f>(1000*CHOOSE(CONTROL!$C$42, 0.1146, 0.1146)*CHOOSE(CONTROL!$C$42, 121.5, 121.5)*CHOOSE(CONTROL!$C$42, 31, 31))/1000000</f>
        <v>0.43164089999999994</v>
      </c>
      <c r="X68" s="57">
        <f>(31*0.1790888*245000/1000000)+(31*0.2374*100000/1000000)</f>
        <v>2.0961194359999999</v>
      </c>
      <c r="Y68" s="57"/>
      <c r="Z68" s="14"/>
      <c r="AA68" s="56"/>
      <c r="AB68" s="50">
        <f>(B68*194.205+C68*267.466+D68*133.845+E68*53.484+F68*40+G68*185+H68*0+I68*100+J68*300)/(194.205+267.466+133.845+53.484+0+40+185+100+300)</f>
        <v>4.8752802537676603</v>
      </c>
      <c r="AC68" s="45">
        <f>(M68*'RAP TEMPLATE-GAS AVAILABILITY'!O67+N68*'RAP TEMPLATE-GAS AVAILABILITY'!P67+O68*'RAP TEMPLATE-GAS AVAILABILITY'!Q67+P68*'RAP TEMPLATE-GAS AVAILABILITY'!R67)/('RAP TEMPLATE-GAS AVAILABILITY'!O67+'RAP TEMPLATE-GAS AVAILABILITY'!P67+'RAP TEMPLATE-GAS AVAILABILITY'!Q67+'RAP TEMPLATE-GAS AVAILABILITY'!R67)</f>
        <v>4.8668892086330935</v>
      </c>
    </row>
    <row r="69" spans="1:29" ht="15.75" x14ac:dyDescent="0.25">
      <c r="A69" s="13">
        <v>42979</v>
      </c>
      <c r="B69" s="14">
        <f>CHOOSE(CONTROL!$C$42, 4.5391, 4.5391) * CHOOSE(CONTROL!$C$21, $C$9, 100%, $E$9)</f>
        <v>4.5391000000000004</v>
      </c>
      <c r="C69" s="14">
        <f>CHOOSE(CONTROL!$C$42, 4.5471, 4.5471) * CHOOSE(CONTROL!$C$21, $C$9, 100%, $E$9)</f>
        <v>4.5471000000000004</v>
      </c>
      <c r="D69" s="14">
        <f>CHOOSE(CONTROL!$C$42, 4.7446, 4.7446) * CHOOSE(CONTROL!$C$21, $C$9, 100%, $E$9)</f>
        <v>4.7446000000000002</v>
      </c>
      <c r="E69" s="14">
        <f>CHOOSE(CONTROL!$C$42, 4.7758, 4.7758) * CHOOSE(CONTROL!$C$21, $C$9, 100%, $E$9)</f>
        <v>4.7758000000000003</v>
      </c>
      <c r="F69" s="14">
        <f>CHOOSE(CONTROL!$C$42, 4.5235, 4.5235)*CHOOSE(CONTROL!$C$21, $C$9, 100%, $E$9)</f>
        <v>4.5235000000000003</v>
      </c>
      <c r="G69" s="14">
        <f>CHOOSE(CONTROL!$C$42, 4.5399, 4.5399)*CHOOSE(CONTROL!$C$21, $C$9, 100%, $E$9)</f>
        <v>4.5399000000000003</v>
      </c>
      <c r="H69" s="14">
        <f>CHOOSE(CONTROL!$C$42, 4.7644, 4.7644) * CHOOSE(CONTROL!$C$21, $C$9, 100%, $E$9)</f>
        <v>4.7644000000000002</v>
      </c>
      <c r="I69" s="14">
        <f>CHOOSE(CONTROL!$C$42, 4.5505, 4.5505)* CHOOSE(CONTROL!$C$21, $C$9, 100%, $E$9)</f>
        <v>4.5505000000000004</v>
      </c>
      <c r="J69" s="14">
        <f>CHOOSE(CONTROL!$C$42, 4.5165, 4.5165)* CHOOSE(CONTROL!$C$21, $C$9, 100%, $E$9)</f>
        <v>4.5164999999999997</v>
      </c>
      <c r="K69" s="53">
        <f>CHOOSE(CONTROL!$C$42, 4.5466, 4.5466) * CHOOSE(CONTROL!$C$21, $C$9, 100%, $E$9)</f>
        <v>4.5465999999999998</v>
      </c>
      <c r="L69" s="14">
        <f>CHOOSE(CONTROL!$C$42, 5.3514, 5.3514) * CHOOSE(CONTROL!$C$21, $C$9, 100%, $E$9)</f>
        <v>5.3513999999999999</v>
      </c>
      <c r="M69" s="14">
        <f>CHOOSE(CONTROL!$C$42, 4.4848, 4.4848) * CHOOSE(CONTROL!$C$21, $C$9, 100%, $E$9)</f>
        <v>4.4847999999999999</v>
      </c>
      <c r="N69" s="14">
        <f>CHOOSE(CONTROL!$C$42, 4.5009, 4.5009) * CHOOSE(CONTROL!$C$21, $C$9, 100%, $E$9)</f>
        <v>4.5008999999999997</v>
      </c>
      <c r="O69" s="14">
        <f>CHOOSE(CONTROL!$C$42, 4.7302, 4.7302) * CHOOSE(CONTROL!$C$21, $C$9, 100%, $E$9)</f>
        <v>4.7302</v>
      </c>
      <c r="P69" s="14">
        <f>CHOOSE(CONTROL!$C$42, 4.5185, 4.5185) * CHOOSE(CONTROL!$C$21, $C$9, 100%, $E$9)</f>
        <v>4.5185000000000004</v>
      </c>
      <c r="Q69" s="14">
        <f>CHOOSE(CONTROL!$C$42, 5.3255, 5.3255) * CHOOSE(CONTROL!$C$21, $C$9, 100%, $E$9)</f>
        <v>5.3254999999999999</v>
      </c>
      <c r="R69" s="14">
        <f>CHOOSE(CONTROL!$C$42, 5.9258, 5.9258) * CHOOSE(CONTROL!$C$21, $C$9, 100%, $E$9)</f>
        <v>5.9257999999999997</v>
      </c>
      <c r="S69" s="14">
        <f>CHOOSE(CONTROL!$C$42, 4.4037, 4.4037) * CHOOSE(CONTROL!$C$21, $C$9, 100%, $E$9)</f>
        <v>4.4036999999999997</v>
      </c>
      <c r="T6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9" s="57">
        <f>(1000*CHOOSE(CONTROL!$C$42, 695, 695)*CHOOSE(CONTROL!$C$42, 0.5599, 0.5599)*CHOOSE(CONTROL!$C$42, 30, 30))/1000000</f>
        <v>11.673914999999997</v>
      </c>
      <c r="V69" s="57">
        <f>(1000*CHOOSE(CONTROL!$C$42, 580, 580)*CHOOSE(CONTROL!$C$42, 0.275, 0.275)*CHOOSE(CONTROL!$C$42, 30, 30))/1000000</f>
        <v>4.7850000000000001</v>
      </c>
      <c r="W69" s="57">
        <f>(1000*CHOOSE(CONTROL!$C$42, 0.1146, 0.1146)*CHOOSE(CONTROL!$C$42, 121.5, 121.5)*CHOOSE(CONTROL!$C$42, 30, 30))/1000000</f>
        <v>0.417717</v>
      </c>
      <c r="X69" s="57">
        <f>(30*0.1790888*245000/1000000)+(30*0.2374*100000/1000000)</f>
        <v>2.0285026799999999</v>
      </c>
      <c r="Y69" s="57"/>
      <c r="Z69" s="14"/>
      <c r="AA69" s="56"/>
      <c r="AB69" s="50">
        <f>(B69*194.205+C69*267.466+D69*133.845+E69*53.484+F69*40+G69*185+H69*0+I69*100+J69*300)/(194.205+267.466+133.845+53.484+0+40+185+100+300)</f>
        <v>4.5675054460753532</v>
      </c>
      <c r="AC69" s="45">
        <f>(M69*'RAP TEMPLATE-GAS AVAILABILITY'!O68+N69*'RAP TEMPLATE-GAS AVAILABILITY'!P68+O69*'RAP TEMPLATE-GAS AVAILABILITY'!Q68+P69*'RAP TEMPLATE-GAS AVAILABILITY'!R68)/('RAP TEMPLATE-GAS AVAILABILITY'!O68+'RAP TEMPLATE-GAS AVAILABILITY'!P68+'RAP TEMPLATE-GAS AVAILABILITY'!Q68+'RAP TEMPLATE-GAS AVAILABILITY'!R68)</f>
        <v>4.5622086330935243</v>
      </c>
    </row>
    <row r="70" spans="1:29" ht="15.75" x14ac:dyDescent="0.25">
      <c r="A70" s="13">
        <v>43009</v>
      </c>
      <c r="B70" s="14">
        <f>CHOOSE(CONTROL!$C$42, 4.4453, 4.4453) * CHOOSE(CONTROL!$C$21, $C$9, 100%, $E$9)</f>
        <v>4.4452999999999996</v>
      </c>
      <c r="C70" s="14">
        <f>CHOOSE(CONTROL!$C$42, 4.4505, 4.4505) * CHOOSE(CONTROL!$C$21, $C$9, 100%, $E$9)</f>
        <v>4.4504999999999999</v>
      </c>
      <c r="D70" s="14">
        <f>CHOOSE(CONTROL!$C$42, 4.6531, 4.6531) * CHOOSE(CONTROL!$C$21, $C$9, 100%, $E$9)</f>
        <v>4.6531000000000002</v>
      </c>
      <c r="E70" s="14">
        <f>CHOOSE(CONTROL!$C$42, 4.6819, 4.6819) * CHOOSE(CONTROL!$C$21, $C$9, 100%, $E$9)</f>
        <v>4.6818999999999997</v>
      </c>
      <c r="F70" s="14">
        <f>CHOOSE(CONTROL!$C$42, 4.4317, 4.4317)*CHOOSE(CONTROL!$C$21, $C$9, 100%, $E$9)</f>
        <v>4.4317000000000002</v>
      </c>
      <c r="G70" s="14">
        <f>CHOOSE(CONTROL!$C$42, 4.4477, 4.4477)*CHOOSE(CONTROL!$C$21, $C$9, 100%, $E$9)</f>
        <v>4.4477000000000002</v>
      </c>
      <c r="H70" s="14">
        <f>CHOOSE(CONTROL!$C$42, 4.6724, 4.6724) * CHOOSE(CONTROL!$C$21, $C$9, 100%, $E$9)</f>
        <v>4.6723999999999997</v>
      </c>
      <c r="I70" s="14">
        <f>CHOOSE(CONTROL!$C$42, 4.4585, 4.4585)* CHOOSE(CONTROL!$C$21, $C$9, 100%, $E$9)</f>
        <v>4.4584999999999999</v>
      </c>
      <c r="J70" s="14">
        <f>CHOOSE(CONTROL!$C$42, 4.4247, 4.4247)* CHOOSE(CONTROL!$C$21, $C$9, 100%, $E$9)</f>
        <v>4.4246999999999996</v>
      </c>
      <c r="K70" s="53">
        <f>CHOOSE(CONTROL!$C$42, 4.4546, 4.4546) * CHOOSE(CONTROL!$C$21, $C$9, 100%, $E$9)</f>
        <v>4.4546000000000001</v>
      </c>
      <c r="L70" s="14">
        <f>CHOOSE(CONTROL!$C$42, 5.2594, 5.2594) * CHOOSE(CONTROL!$C$21, $C$9, 100%, $E$9)</f>
        <v>5.2594000000000003</v>
      </c>
      <c r="M70" s="14">
        <f>CHOOSE(CONTROL!$C$42, 4.3939, 4.3939) * CHOOSE(CONTROL!$C$21, $C$9, 100%, $E$9)</f>
        <v>4.3939000000000004</v>
      </c>
      <c r="N70" s="14">
        <f>CHOOSE(CONTROL!$C$42, 4.4097, 4.4097) * CHOOSE(CONTROL!$C$21, $C$9, 100%, $E$9)</f>
        <v>4.4097</v>
      </c>
      <c r="O70" s="14">
        <f>CHOOSE(CONTROL!$C$42, 4.639, 4.639) * CHOOSE(CONTROL!$C$21, $C$9, 100%, $E$9)</f>
        <v>4.6390000000000002</v>
      </c>
      <c r="P70" s="14">
        <f>CHOOSE(CONTROL!$C$42, 4.4273, 4.4273) * CHOOSE(CONTROL!$C$21, $C$9, 100%, $E$9)</f>
        <v>4.4272999999999998</v>
      </c>
      <c r="Q70" s="14">
        <f>CHOOSE(CONTROL!$C$42, 5.2343, 5.2343) * CHOOSE(CONTROL!$C$21, $C$9, 100%, $E$9)</f>
        <v>5.2343000000000002</v>
      </c>
      <c r="R70" s="14">
        <f>CHOOSE(CONTROL!$C$42, 5.8344, 5.8344) * CHOOSE(CONTROL!$C$21, $C$9, 100%, $E$9)</f>
        <v>5.8343999999999996</v>
      </c>
      <c r="S70" s="14">
        <f>CHOOSE(CONTROL!$C$42, 4.3143, 4.3143) * CHOOSE(CONTROL!$C$21, $C$9, 100%, $E$9)</f>
        <v>4.3143000000000002</v>
      </c>
      <c r="T7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0" s="57">
        <f>(1000*CHOOSE(CONTROL!$C$42, 695, 695)*CHOOSE(CONTROL!$C$42, 0.5599, 0.5599)*CHOOSE(CONTROL!$C$42, 31, 31))/1000000</f>
        <v>12.063045499999998</v>
      </c>
      <c r="V70" s="57">
        <f>(1000*CHOOSE(CONTROL!$C$42, 580, 580)*CHOOSE(CONTROL!$C$42, 0.275, 0.275)*CHOOSE(CONTROL!$C$42, 31, 31))/1000000</f>
        <v>4.9444999999999997</v>
      </c>
      <c r="W70" s="57">
        <f>(1000*CHOOSE(CONTROL!$C$42, 0.1146, 0.1146)*CHOOSE(CONTROL!$C$42, 121.5, 121.5)*CHOOSE(CONTROL!$C$42, 31, 31))/1000000</f>
        <v>0.43164089999999994</v>
      </c>
      <c r="X70" s="57">
        <f>(31*0.1790888*245000/1000000)+(31*0.2374*100000/1000000)</f>
        <v>2.0961194359999999</v>
      </c>
      <c r="Y70" s="57"/>
      <c r="Z70" s="14"/>
      <c r="AA70" s="56"/>
      <c r="AB70" s="50">
        <f>(B70*131.881+C70*277.167+D70*79.08+E70*125.872+F70*40+G70*185+H70*0+I70*100+J70*300)/(131.881+277.167+79.08+125.872+0+40+185+100+300)</f>
        <v>4.4797595702986284</v>
      </c>
      <c r="AC70" s="45">
        <f>(M70*'RAP TEMPLATE-GAS AVAILABILITY'!O69+N70*'RAP TEMPLATE-GAS AVAILABILITY'!P69+O70*'RAP TEMPLATE-GAS AVAILABILITY'!Q69+P70*'RAP TEMPLATE-GAS AVAILABILITY'!R69)/('RAP TEMPLATE-GAS AVAILABILITY'!O69+'RAP TEMPLATE-GAS AVAILABILITY'!P69+'RAP TEMPLATE-GAS AVAILABILITY'!Q69+'RAP TEMPLATE-GAS AVAILABILITY'!R69)</f>
        <v>4.4711122302158275</v>
      </c>
    </row>
    <row r="71" spans="1:29" ht="15.75" x14ac:dyDescent="0.25">
      <c r="A71" s="13">
        <v>43040</v>
      </c>
      <c r="B71" s="14">
        <f>CHOOSE(CONTROL!$C$42, 4.5619, 4.5619) * CHOOSE(CONTROL!$C$21, $C$9, 100%, $E$9)</f>
        <v>4.5618999999999996</v>
      </c>
      <c r="C71" s="14">
        <f>CHOOSE(CONTROL!$C$42, 4.5669, 4.5669) * CHOOSE(CONTROL!$C$21, $C$9, 100%, $E$9)</f>
        <v>4.5669000000000004</v>
      </c>
      <c r="D71" s="14">
        <f>CHOOSE(CONTROL!$C$42, 4.63, 4.63) * CHOOSE(CONTROL!$C$21, $C$9, 100%, $E$9)</f>
        <v>4.63</v>
      </c>
      <c r="E71" s="14">
        <f>CHOOSE(CONTROL!$C$42, 4.6637, 4.6637) * CHOOSE(CONTROL!$C$21, $C$9, 100%, $E$9)</f>
        <v>4.6637000000000004</v>
      </c>
      <c r="F71" s="14">
        <f>CHOOSE(CONTROL!$C$42, 4.5626, 4.5626)*CHOOSE(CONTROL!$C$21, $C$9, 100%, $E$9)</f>
        <v>4.5625999999999998</v>
      </c>
      <c r="G71" s="14">
        <f>CHOOSE(CONTROL!$C$42, 4.5789, 4.5789)*CHOOSE(CONTROL!$C$21, $C$9, 100%, $E$9)</f>
        <v>4.5789</v>
      </c>
      <c r="H71" s="14">
        <f>CHOOSE(CONTROL!$C$42, 4.6529, 4.6529) * CHOOSE(CONTROL!$C$21, $C$9, 100%, $E$9)</f>
        <v>4.6528999999999998</v>
      </c>
      <c r="I71" s="14">
        <f>CHOOSE(CONTROL!$C$42, 4.5755, 4.5755)* CHOOSE(CONTROL!$C$21, $C$9, 100%, $E$9)</f>
        <v>4.5754999999999999</v>
      </c>
      <c r="J71" s="14">
        <f>CHOOSE(CONTROL!$C$42, 4.5556, 4.5556)* CHOOSE(CONTROL!$C$21, $C$9, 100%, $E$9)</f>
        <v>4.5556000000000001</v>
      </c>
      <c r="K71" s="53">
        <f>CHOOSE(CONTROL!$C$42, 4.5716, 4.5716) * CHOOSE(CONTROL!$C$21, $C$9, 100%, $E$9)</f>
        <v>4.5716000000000001</v>
      </c>
      <c r="L71" s="14">
        <f>CHOOSE(CONTROL!$C$42, 5.2399, 5.2399) * CHOOSE(CONTROL!$C$21, $C$9, 100%, $E$9)</f>
        <v>5.2398999999999996</v>
      </c>
      <c r="M71" s="14">
        <f>CHOOSE(CONTROL!$C$42, 4.5235, 4.5235) * CHOOSE(CONTROL!$C$21, $C$9, 100%, $E$9)</f>
        <v>4.5235000000000003</v>
      </c>
      <c r="N71" s="14">
        <f>CHOOSE(CONTROL!$C$42, 4.5396, 4.5396) * CHOOSE(CONTROL!$C$21, $C$9, 100%, $E$9)</f>
        <v>4.5396000000000001</v>
      </c>
      <c r="O71" s="14">
        <f>CHOOSE(CONTROL!$C$42, 4.6198, 4.6198) * CHOOSE(CONTROL!$C$21, $C$9, 100%, $E$9)</f>
        <v>4.6197999999999997</v>
      </c>
      <c r="P71" s="14">
        <f>CHOOSE(CONTROL!$C$42, 4.5432, 4.5432) * CHOOSE(CONTROL!$C$21, $C$9, 100%, $E$9)</f>
        <v>4.5431999999999997</v>
      </c>
      <c r="Q71" s="14">
        <f>CHOOSE(CONTROL!$C$42, 5.2151, 5.2151) * CHOOSE(CONTROL!$C$21, $C$9, 100%, $E$9)</f>
        <v>5.2150999999999996</v>
      </c>
      <c r="R71" s="14">
        <f>CHOOSE(CONTROL!$C$42, 5.8151, 5.8151) * CHOOSE(CONTROL!$C$21, $C$9, 100%, $E$9)</f>
        <v>5.8151000000000002</v>
      </c>
      <c r="S71" s="14">
        <f>CHOOSE(CONTROL!$C$42, 4.428, 4.428) * CHOOSE(CONTROL!$C$21, $C$9, 100%, $E$9)</f>
        <v>4.4279999999999999</v>
      </c>
      <c r="T7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1" s="57">
        <f>(1000*CHOOSE(CONTROL!$C$42, 695, 695)*CHOOSE(CONTROL!$C$42, 0.5599, 0.5599)*CHOOSE(CONTROL!$C$42, 30, 30))/1000000</f>
        <v>11.673914999999997</v>
      </c>
      <c r="V71" s="57">
        <f>(1000*CHOOSE(CONTROL!$C$42, 580, 580)*CHOOSE(CONTROL!$C$42, 0.275, 0.275)*CHOOSE(CONTROL!$C$42, 30, 30))/1000000</f>
        <v>4.7850000000000001</v>
      </c>
      <c r="W71" s="57">
        <f>(1000*CHOOSE(CONTROL!$C$42, 0.1146, 0.1146)*CHOOSE(CONTROL!$C$42, 121.5, 121.5)*CHOOSE(CONTROL!$C$42, 30, 30))/1000000</f>
        <v>0.417717</v>
      </c>
      <c r="X71" s="57">
        <f>(30*0.1790888*100000/1000000)+(30*0.2374*100000/1000000)</f>
        <v>1.2494664</v>
      </c>
      <c r="Y71" s="57"/>
      <c r="Z71" s="14"/>
      <c r="AA71" s="56"/>
      <c r="AB71" s="50">
        <f>(B71*122.58+C71*297.941+D71*89.177+E71*40.302+F71*40+G71*160+H71*0+I71*100+J71*300)/(122.58+297.941+89.177+40.302+0+40+160+100+300)</f>
        <v>4.5739725237391307</v>
      </c>
      <c r="AC71" s="45">
        <f>(M71*'RAP TEMPLATE-GAS AVAILABILITY'!O70+N71*'RAP TEMPLATE-GAS AVAILABILITY'!P70+O71*'RAP TEMPLATE-GAS AVAILABILITY'!Q70+P71*'RAP TEMPLATE-GAS AVAILABILITY'!R70)/('RAP TEMPLATE-GAS AVAILABILITY'!O70+'RAP TEMPLATE-GAS AVAILABILITY'!P70+'RAP TEMPLATE-GAS AVAILABILITY'!Q70+'RAP TEMPLATE-GAS AVAILABILITY'!R70)</f>
        <v>4.5709079136690649</v>
      </c>
    </row>
    <row r="72" spans="1:29" ht="15.75" x14ac:dyDescent="0.25">
      <c r="A72" s="13">
        <v>43070</v>
      </c>
      <c r="B72" s="14">
        <f>CHOOSE(CONTROL!$C$42, 4.8728, 4.8728) * CHOOSE(CONTROL!$C$21, $C$9, 100%, $E$9)</f>
        <v>4.8727999999999998</v>
      </c>
      <c r="C72" s="14">
        <f>CHOOSE(CONTROL!$C$42, 4.8777, 4.8777) * CHOOSE(CONTROL!$C$21, $C$9, 100%, $E$9)</f>
        <v>4.8776999999999999</v>
      </c>
      <c r="D72" s="14">
        <f>CHOOSE(CONTROL!$C$42, 4.9408, 4.9408) * CHOOSE(CONTROL!$C$21, $C$9, 100%, $E$9)</f>
        <v>4.9408000000000003</v>
      </c>
      <c r="E72" s="14">
        <f>CHOOSE(CONTROL!$C$42, 4.9746, 4.9746) * CHOOSE(CONTROL!$C$21, $C$9, 100%, $E$9)</f>
        <v>4.9745999999999997</v>
      </c>
      <c r="F72" s="14">
        <f>CHOOSE(CONTROL!$C$42, 4.8755, 4.8755)*CHOOSE(CONTROL!$C$21, $C$9, 100%, $E$9)</f>
        <v>4.8754999999999997</v>
      </c>
      <c r="G72" s="14">
        <f>CHOOSE(CONTROL!$C$42, 4.8923, 4.8923)*CHOOSE(CONTROL!$C$21, $C$9, 100%, $E$9)</f>
        <v>4.8922999999999996</v>
      </c>
      <c r="H72" s="14">
        <f>CHOOSE(CONTROL!$C$42, 4.9638, 4.9638) * CHOOSE(CONTROL!$C$21, $C$9, 100%, $E$9)</f>
        <v>4.9638</v>
      </c>
      <c r="I72" s="14">
        <f>CHOOSE(CONTROL!$C$42, 4.8863, 4.8863)* CHOOSE(CONTROL!$C$21, $C$9, 100%, $E$9)</f>
        <v>4.8863000000000003</v>
      </c>
      <c r="J72" s="14">
        <f>CHOOSE(CONTROL!$C$42, 4.8685, 4.8685)* CHOOSE(CONTROL!$C$21, $C$9, 100%, $E$9)</f>
        <v>4.8685</v>
      </c>
      <c r="K72" s="53">
        <f>CHOOSE(CONTROL!$C$42, 4.8824, 4.8824) * CHOOSE(CONTROL!$C$21, $C$9, 100%, $E$9)</f>
        <v>4.8823999999999996</v>
      </c>
      <c r="L72" s="14">
        <f>CHOOSE(CONTROL!$C$42, 5.5508, 5.5508) * CHOOSE(CONTROL!$C$21, $C$9, 100%, $E$9)</f>
        <v>5.5507999999999997</v>
      </c>
      <c r="M72" s="14">
        <f>CHOOSE(CONTROL!$C$42, 4.8332, 4.8332) * CHOOSE(CONTROL!$C$21, $C$9, 100%, $E$9)</f>
        <v>4.8331999999999997</v>
      </c>
      <c r="N72" s="14">
        <f>CHOOSE(CONTROL!$C$42, 4.8498, 4.8498) * CHOOSE(CONTROL!$C$21, $C$9, 100%, $E$9)</f>
        <v>4.8498000000000001</v>
      </c>
      <c r="O72" s="14">
        <f>CHOOSE(CONTROL!$C$42, 4.9275, 4.9275) * CHOOSE(CONTROL!$C$21, $C$9, 100%, $E$9)</f>
        <v>4.9275000000000002</v>
      </c>
      <c r="P72" s="14">
        <f>CHOOSE(CONTROL!$C$42, 4.8509, 4.8509) * CHOOSE(CONTROL!$C$21, $C$9, 100%, $E$9)</f>
        <v>4.8509000000000002</v>
      </c>
      <c r="Q72" s="14">
        <f>CHOOSE(CONTROL!$C$42, 5.5228, 5.5228) * CHOOSE(CONTROL!$C$21, $C$9, 100%, $E$9)</f>
        <v>5.5228000000000002</v>
      </c>
      <c r="R72" s="14">
        <f>CHOOSE(CONTROL!$C$42, 6.1236, 6.1236) * CHOOSE(CONTROL!$C$21, $C$9, 100%, $E$9)</f>
        <v>6.1235999999999997</v>
      </c>
      <c r="S72" s="14">
        <f>CHOOSE(CONTROL!$C$42, 4.7298, 4.7298) * CHOOSE(CONTROL!$C$21, $C$9, 100%, $E$9)</f>
        <v>4.7298</v>
      </c>
      <c r="T7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2" s="57">
        <f>(1000*CHOOSE(CONTROL!$C$42, 695, 695)*CHOOSE(CONTROL!$C$42, 0.5599, 0.5599)*CHOOSE(CONTROL!$C$42, 31, 31))/1000000</f>
        <v>12.063045499999998</v>
      </c>
      <c r="V72" s="57">
        <f>(1000*CHOOSE(CONTROL!$C$42, 580, 580)*CHOOSE(CONTROL!$C$42, 0.275, 0.275)*CHOOSE(CONTROL!$C$42, 31, 31))/1000000</f>
        <v>4.9444999999999997</v>
      </c>
      <c r="W72" s="57">
        <f>(1000*CHOOSE(CONTROL!$C$42, 0.1146, 0.1146)*CHOOSE(CONTROL!$C$42, 121.5, 121.5)*CHOOSE(CONTROL!$C$42, 31, 31))/1000000</f>
        <v>0.43164089999999994</v>
      </c>
      <c r="X72" s="57">
        <f>(31*0.1790888*100000/1000000)+(31*0.2374*100000/1000000)</f>
        <v>1.2911152800000001</v>
      </c>
      <c r="Y72" s="57"/>
      <c r="Z72" s="14"/>
      <c r="AA72" s="56"/>
      <c r="AB72" s="50">
        <f>(B72*122.58+C72*297.941+D72*89.177+E72*40.302+F72*40+G72*160+H72*0+I72*100+J72*300)/(122.58+297.941+89.177+40.302+0+40+160+100+300)</f>
        <v>4.8857692960869565</v>
      </c>
      <c r="AC72" s="45">
        <f>(M72*'RAP TEMPLATE-GAS AVAILABILITY'!O71+N72*'RAP TEMPLATE-GAS AVAILABILITY'!P71+O72*'RAP TEMPLATE-GAS AVAILABILITY'!Q71+P72*'RAP TEMPLATE-GAS AVAILABILITY'!R71)/('RAP TEMPLATE-GAS AVAILABILITY'!O71+'RAP TEMPLATE-GAS AVAILABILITY'!P71+'RAP TEMPLATE-GAS AVAILABILITY'!Q71+'RAP TEMPLATE-GAS AVAILABILITY'!R71)</f>
        <v>4.879442446043166</v>
      </c>
    </row>
    <row r="73" spans="1:29" ht="15.75" x14ac:dyDescent="0.25">
      <c r="A73" s="13">
        <v>43101</v>
      </c>
      <c r="B73" s="14">
        <f>CHOOSE(CONTROL!$C$42, 6.1856, 6.1856) * CHOOSE(CONTROL!$C$21, $C$9, 100%, $E$9)</f>
        <v>6.1856</v>
      </c>
      <c r="C73" s="14">
        <f>CHOOSE(CONTROL!$C$42, 6.1905, 6.1905) * CHOOSE(CONTROL!$C$21, $C$9, 100%, $E$9)</f>
        <v>6.1905000000000001</v>
      </c>
      <c r="D73" s="14">
        <f>CHOOSE(CONTROL!$C$42, 6.2548, 6.2548) * CHOOSE(CONTROL!$C$21, $C$9, 100%, $E$9)</f>
        <v>6.2548000000000004</v>
      </c>
      <c r="E73" s="14">
        <f>CHOOSE(CONTROL!$C$42, 6.2886, 6.2886) * CHOOSE(CONTROL!$C$21, $C$9, 100%, $E$9)</f>
        <v>6.2885999999999997</v>
      </c>
      <c r="F73" s="14">
        <f>CHOOSE(CONTROL!$C$42, 6.1871, 6.1871)*CHOOSE(CONTROL!$C$21, $C$9, 100%, $E$9)</f>
        <v>6.1871</v>
      </c>
      <c r="G73" s="14">
        <f>CHOOSE(CONTROL!$C$42, 6.203, 6.203)*CHOOSE(CONTROL!$C$21, $C$9, 100%, $E$9)</f>
        <v>6.2030000000000003</v>
      </c>
      <c r="H73" s="14">
        <f>CHOOSE(CONTROL!$C$42, 6.2778, 6.2778) * CHOOSE(CONTROL!$C$21, $C$9, 100%, $E$9)</f>
        <v>6.2778</v>
      </c>
      <c r="I73" s="14">
        <f>CHOOSE(CONTROL!$C$42, 6.2056, 6.2056)* CHOOSE(CONTROL!$C$21, $C$9, 100%, $E$9)</f>
        <v>6.2055999999999996</v>
      </c>
      <c r="J73" s="14">
        <f>CHOOSE(CONTROL!$C$42, 6.1801, 6.1801)* CHOOSE(CONTROL!$C$21, $C$9, 100%, $E$9)</f>
        <v>6.1801000000000004</v>
      </c>
      <c r="K73" s="53">
        <f>CHOOSE(CONTROL!$C$42, 6.2017, 6.2017) * CHOOSE(CONTROL!$C$21, $C$9, 100%, $E$9)</f>
        <v>6.2016999999999998</v>
      </c>
      <c r="L73" s="14">
        <f>CHOOSE(CONTROL!$C$42, 6.8648, 6.8648) * CHOOSE(CONTROL!$C$21, $C$9, 100%, $E$9)</f>
        <v>6.8647999999999998</v>
      </c>
      <c r="M73" s="14">
        <f>CHOOSE(CONTROL!$C$42, 6.1315, 6.1315) * CHOOSE(CONTROL!$C$21, $C$9, 100%, $E$9)</f>
        <v>6.1315</v>
      </c>
      <c r="N73" s="14">
        <f>CHOOSE(CONTROL!$C$42, 6.1473, 6.1473) * CHOOSE(CONTROL!$C$21, $C$9, 100%, $E$9)</f>
        <v>6.1473000000000004</v>
      </c>
      <c r="O73" s="14">
        <f>CHOOSE(CONTROL!$C$42, 6.2283, 6.2283) * CHOOSE(CONTROL!$C$21, $C$9, 100%, $E$9)</f>
        <v>6.2282999999999999</v>
      </c>
      <c r="P73" s="14">
        <f>CHOOSE(CONTROL!$C$42, 6.1568, 6.1568) * CHOOSE(CONTROL!$C$21, $C$9, 100%, $E$9)</f>
        <v>6.1567999999999996</v>
      </c>
      <c r="Q73" s="14">
        <f>CHOOSE(CONTROL!$C$42, 6.8236, 6.8236) * CHOOSE(CONTROL!$C$21, $C$9, 100%, $E$9)</f>
        <v>6.8235999999999999</v>
      </c>
      <c r="R73" s="14">
        <f>CHOOSE(CONTROL!$C$42, 7.4276, 7.4276) * CHOOSE(CONTROL!$C$21, $C$9, 100%, $E$9)</f>
        <v>7.4276</v>
      </c>
      <c r="S73" s="14">
        <f>CHOOSE(CONTROL!$C$42, 6.0047, 6.0047) * CHOOSE(CONTROL!$C$21, $C$9, 100%, $E$9)</f>
        <v>6.0046999999999997</v>
      </c>
      <c r="T7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3" s="57">
        <f>(1000*CHOOSE(CONTROL!$C$42, 695, 695)*CHOOSE(CONTROL!$C$42, 0.5599, 0.5599)*CHOOSE(CONTROL!$C$42, 31, 31))/1000000</f>
        <v>12.063045499999998</v>
      </c>
      <c r="V73" s="57">
        <f>(1000*CHOOSE(CONTROL!$C$42, 500, 500)*CHOOSE(CONTROL!$C$42, 0.275, 0.275)*CHOOSE(CONTROL!$C$42, 31, 31))/1000000</f>
        <v>4.2625000000000002</v>
      </c>
      <c r="W73" s="57">
        <f>(1000*CHOOSE(CONTROL!$C$42, 0.1146, 0.1146)*CHOOSE(CONTROL!$C$42, 121.5, 121.5)*CHOOSE(CONTROL!$C$42, 31, 31))/1000000</f>
        <v>0.43164089999999994</v>
      </c>
      <c r="X73" s="57">
        <f>(31*0.1790888*100000/1000000)+(31*0.2374*100000/1000000)</f>
        <v>1.2911152800000001</v>
      </c>
      <c r="Y73" s="57"/>
      <c r="Z73" s="14"/>
      <c r="AA73" s="56"/>
      <c r="AB73" s="50">
        <f>(B73*122.58+C73*297.941+D73*89.177+E73*40.302+F73*40+G73*160+H73*0+I73*100+J73*300)/(122.58+297.941+89.177+40.302+0+40+160+100+300)</f>
        <v>6.1986226654782604</v>
      </c>
      <c r="AC73" s="45">
        <f>(M73*'RAP TEMPLATE-GAS AVAILABILITY'!O72+N73*'RAP TEMPLATE-GAS AVAILABILITY'!P72+O73*'RAP TEMPLATE-GAS AVAILABILITY'!Q72+P73*'RAP TEMPLATE-GAS AVAILABILITY'!R72)/('RAP TEMPLATE-GAS AVAILABILITY'!O72+'RAP TEMPLATE-GAS AVAILABILITY'!P72+'RAP TEMPLATE-GAS AVAILABILITY'!Q72+'RAP TEMPLATE-GAS AVAILABILITY'!R72)</f>
        <v>6.1799230215827343</v>
      </c>
    </row>
    <row r="74" spans="1:29" ht="15.75" x14ac:dyDescent="0.25">
      <c r="A74" s="13">
        <v>43132</v>
      </c>
      <c r="B74" s="14">
        <f>CHOOSE(CONTROL!$C$42, 6.2956, 6.2956) * CHOOSE(CONTROL!$C$21, $C$9, 100%, $E$9)</f>
        <v>6.2956000000000003</v>
      </c>
      <c r="C74" s="14">
        <f>CHOOSE(CONTROL!$C$42, 6.3006, 6.3006) * CHOOSE(CONTROL!$C$21, $C$9, 100%, $E$9)</f>
        <v>6.3006000000000002</v>
      </c>
      <c r="D74" s="14">
        <f>CHOOSE(CONTROL!$C$42, 6.3649, 6.3649) * CHOOSE(CONTROL!$C$21, $C$9, 100%, $E$9)</f>
        <v>6.3648999999999996</v>
      </c>
      <c r="E74" s="14">
        <f>CHOOSE(CONTROL!$C$42, 6.3986, 6.3986) * CHOOSE(CONTROL!$C$21, $C$9, 100%, $E$9)</f>
        <v>6.3986000000000001</v>
      </c>
      <c r="F74" s="14">
        <f>CHOOSE(CONTROL!$C$42, 6.2972, 6.2972)*CHOOSE(CONTROL!$C$21, $C$9, 100%, $E$9)</f>
        <v>6.2972000000000001</v>
      </c>
      <c r="G74" s="14">
        <f>CHOOSE(CONTROL!$C$42, 6.3131, 6.3131)*CHOOSE(CONTROL!$C$21, $C$9, 100%, $E$9)</f>
        <v>6.3131000000000004</v>
      </c>
      <c r="H74" s="14">
        <f>CHOOSE(CONTROL!$C$42, 6.3878, 6.3878) * CHOOSE(CONTROL!$C$21, $C$9, 100%, $E$9)</f>
        <v>6.3878000000000004</v>
      </c>
      <c r="I74" s="14">
        <f>CHOOSE(CONTROL!$C$42, 6.3156, 6.3156)* CHOOSE(CONTROL!$C$21, $C$9, 100%, $E$9)</f>
        <v>6.3155999999999999</v>
      </c>
      <c r="J74" s="14">
        <f>CHOOSE(CONTROL!$C$42, 6.2902, 6.2902)* CHOOSE(CONTROL!$C$21, $C$9, 100%, $E$9)</f>
        <v>6.2901999999999996</v>
      </c>
      <c r="K74" s="53">
        <f>CHOOSE(CONTROL!$C$42, 6.3117, 6.3117) * CHOOSE(CONTROL!$C$21, $C$9, 100%, $E$9)</f>
        <v>6.3117000000000001</v>
      </c>
      <c r="L74" s="14">
        <f>CHOOSE(CONTROL!$C$42, 6.9748, 6.9748) * CHOOSE(CONTROL!$C$21, $C$9, 100%, $E$9)</f>
        <v>6.9748000000000001</v>
      </c>
      <c r="M74" s="14">
        <f>CHOOSE(CONTROL!$C$42, 6.2405, 6.2405) * CHOOSE(CONTROL!$C$21, $C$9, 100%, $E$9)</f>
        <v>6.2404999999999999</v>
      </c>
      <c r="N74" s="14">
        <f>CHOOSE(CONTROL!$C$42, 6.2563, 6.2563) * CHOOSE(CONTROL!$C$21, $C$9, 100%, $E$9)</f>
        <v>6.2563000000000004</v>
      </c>
      <c r="O74" s="14">
        <f>CHOOSE(CONTROL!$C$42, 6.3372, 6.3372) * CHOOSE(CONTROL!$C$21, $C$9, 100%, $E$9)</f>
        <v>6.3372000000000002</v>
      </c>
      <c r="P74" s="14">
        <f>CHOOSE(CONTROL!$C$42, 6.2657, 6.2657) * CHOOSE(CONTROL!$C$21, $C$9, 100%, $E$9)</f>
        <v>6.2656999999999998</v>
      </c>
      <c r="Q74" s="14">
        <f>CHOOSE(CONTROL!$C$42, 6.9325, 6.9325) * CHOOSE(CONTROL!$C$21, $C$9, 100%, $E$9)</f>
        <v>6.9325000000000001</v>
      </c>
      <c r="R74" s="14">
        <f>CHOOSE(CONTROL!$C$42, 7.5368, 7.5368) * CHOOSE(CONTROL!$C$21, $C$9, 100%, $E$9)</f>
        <v>7.5368000000000004</v>
      </c>
      <c r="S74" s="14">
        <f>CHOOSE(CONTROL!$C$42, 6.1116, 6.1116) * CHOOSE(CONTROL!$C$21, $C$9, 100%, $E$9)</f>
        <v>6.1116000000000001</v>
      </c>
      <c r="T7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4" s="57">
        <f>(1000*CHOOSE(CONTROL!$C$42, 695, 695)*CHOOSE(CONTROL!$C$42, 0.5599, 0.5599)*CHOOSE(CONTROL!$C$42, 28, 28))/1000000</f>
        <v>10.895653999999999</v>
      </c>
      <c r="V74" s="57">
        <f>(1000*CHOOSE(CONTROL!$C$42, 500, 500)*CHOOSE(CONTROL!$C$42, 0.275, 0.275)*CHOOSE(CONTROL!$C$42, 28, 28))/1000000</f>
        <v>3.85</v>
      </c>
      <c r="W74" s="57">
        <f>(1000*CHOOSE(CONTROL!$C$42, 0.1146, 0.1146)*CHOOSE(CONTROL!$C$42, 121.5, 121.5)*CHOOSE(CONTROL!$C$42, 28, 28))/1000000</f>
        <v>0.38986920000000003</v>
      </c>
      <c r="X74" s="57">
        <f>(28*0.1790888*100000/1000000)+(28*0.2374*100000/1000000)</f>
        <v>1.16616864</v>
      </c>
      <c r="Y74" s="57"/>
      <c r="Z74" s="14"/>
      <c r="AA74" s="56"/>
      <c r="AB74" s="50">
        <f>(B74*122.58+C74*297.941+D74*89.177+E74*40.302+F74*40+G74*160+H74*0+I74*100+J74*300)/(122.58+297.941+89.177+40.302+0+40+160+100+300)</f>
        <v>6.3086998061739124</v>
      </c>
      <c r="AC74" s="45">
        <f>(M74*'RAP TEMPLATE-GAS AVAILABILITY'!O73+N74*'RAP TEMPLATE-GAS AVAILABILITY'!P73+O74*'RAP TEMPLATE-GAS AVAILABILITY'!Q73+P74*'RAP TEMPLATE-GAS AVAILABILITY'!R73)/('RAP TEMPLATE-GAS AVAILABILITY'!O73+'RAP TEMPLATE-GAS AVAILABILITY'!P73+'RAP TEMPLATE-GAS AVAILABILITY'!Q73+'RAP TEMPLATE-GAS AVAILABILITY'!R73)</f>
        <v>6.2888633093525179</v>
      </c>
    </row>
    <row r="75" spans="1:29" ht="15.75" x14ac:dyDescent="0.25">
      <c r="A75" s="13">
        <v>43160</v>
      </c>
      <c r="B75" s="14">
        <f>CHOOSE(CONTROL!$C$42, 6.117, 6.117) * CHOOSE(CONTROL!$C$21, $C$9, 100%, $E$9)</f>
        <v>6.117</v>
      </c>
      <c r="C75" s="14">
        <f>CHOOSE(CONTROL!$C$42, 6.1219, 6.1219) * CHOOSE(CONTROL!$C$21, $C$9, 100%, $E$9)</f>
        <v>6.1219000000000001</v>
      </c>
      <c r="D75" s="14">
        <f>CHOOSE(CONTROL!$C$42, 6.1862, 6.1862) * CHOOSE(CONTROL!$C$21, $C$9, 100%, $E$9)</f>
        <v>6.1862000000000004</v>
      </c>
      <c r="E75" s="14">
        <f>CHOOSE(CONTROL!$C$42, 6.22, 6.22) * CHOOSE(CONTROL!$C$21, $C$9, 100%, $E$9)</f>
        <v>6.22</v>
      </c>
      <c r="F75" s="14">
        <f>CHOOSE(CONTROL!$C$42, 6.1182, 6.1182)*CHOOSE(CONTROL!$C$21, $C$9, 100%, $E$9)</f>
        <v>6.1181999999999999</v>
      </c>
      <c r="G75" s="14">
        <f>CHOOSE(CONTROL!$C$42, 6.1341, 6.1341)*CHOOSE(CONTROL!$C$21, $C$9, 100%, $E$9)</f>
        <v>6.1341000000000001</v>
      </c>
      <c r="H75" s="14">
        <f>CHOOSE(CONTROL!$C$42, 6.2092, 6.2092) * CHOOSE(CONTROL!$C$21, $C$9, 100%, $E$9)</f>
        <v>6.2092000000000001</v>
      </c>
      <c r="I75" s="14">
        <f>CHOOSE(CONTROL!$C$42, 6.137, 6.137)* CHOOSE(CONTROL!$C$21, $C$9, 100%, $E$9)</f>
        <v>6.1369999999999996</v>
      </c>
      <c r="J75" s="14">
        <f>CHOOSE(CONTROL!$C$42, 6.1112, 6.1112)* CHOOSE(CONTROL!$C$21, $C$9, 100%, $E$9)</f>
        <v>6.1112000000000002</v>
      </c>
      <c r="K75" s="53">
        <f>CHOOSE(CONTROL!$C$42, 6.1331, 6.1331) * CHOOSE(CONTROL!$C$21, $C$9, 100%, $E$9)</f>
        <v>6.1330999999999998</v>
      </c>
      <c r="L75" s="14">
        <f>CHOOSE(CONTROL!$C$42, 6.7962, 6.7962) * CHOOSE(CONTROL!$C$21, $C$9, 100%, $E$9)</f>
        <v>6.7961999999999998</v>
      </c>
      <c r="M75" s="14">
        <f>CHOOSE(CONTROL!$C$42, 6.0634, 6.0634) * CHOOSE(CONTROL!$C$21, $C$9, 100%, $E$9)</f>
        <v>6.0633999999999997</v>
      </c>
      <c r="N75" s="14">
        <f>CHOOSE(CONTROL!$C$42, 6.0791, 6.0791) * CHOOSE(CONTROL!$C$21, $C$9, 100%, $E$9)</f>
        <v>6.0791000000000004</v>
      </c>
      <c r="O75" s="14">
        <f>CHOOSE(CONTROL!$C$42, 6.1604, 6.1604) * CHOOSE(CONTROL!$C$21, $C$9, 100%, $E$9)</f>
        <v>6.1604000000000001</v>
      </c>
      <c r="P75" s="14">
        <f>CHOOSE(CONTROL!$C$42, 6.0889, 6.0889) * CHOOSE(CONTROL!$C$21, $C$9, 100%, $E$9)</f>
        <v>6.0888999999999998</v>
      </c>
      <c r="Q75" s="14">
        <f>CHOOSE(CONTROL!$C$42, 6.7557, 6.7557) * CHOOSE(CONTROL!$C$21, $C$9, 100%, $E$9)</f>
        <v>6.7557</v>
      </c>
      <c r="R75" s="14">
        <f>CHOOSE(CONTROL!$C$42, 7.3595, 7.3595) * CHOOSE(CONTROL!$C$21, $C$9, 100%, $E$9)</f>
        <v>7.3594999999999997</v>
      </c>
      <c r="S75" s="14">
        <f>CHOOSE(CONTROL!$C$42, 5.9381, 5.9381) * CHOOSE(CONTROL!$C$21, $C$9, 100%, $E$9)</f>
        <v>5.9381000000000004</v>
      </c>
      <c r="T7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5" s="57">
        <f>(1000*CHOOSE(CONTROL!$C$42, 695, 695)*CHOOSE(CONTROL!$C$42, 0.5599, 0.5599)*CHOOSE(CONTROL!$C$42, 31, 31))/1000000</f>
        <v>12.063045499999998</v>
      </c>
      <c r="V75" s="57">
        <f>(1000*CHOOSE(CONTROL!$C$42, 500, 500)*CHOOSE(CONTROL!$C$42, 0.275, 0.275)*CHOOSE(CONTROL!$C$42, 31, 31))/1000000</f>
        <v>4.2625000000000002</v>
      </c>
      <c r="W75" s="57">
        <f>(1000*CHOOSE(CONTROL!$C$42, 0.1146, 0.1146)*CHOOSE(CONTROL!$C$42, 121.5, 121.5)*CHOOSE(CONTROL!$C$42, 31, 31))/1000000</f>
        <v>0.43164089999999994</v>
      </c>
      <c r="X75" s="57">
        <f>(31*0.1790888*100000/1000000)+(31*0.2374*100000/1000000)</f>
        <v>1.2911152800000001</v>
      </c>
      <c r="Y75" s="57"/>
      <c r="Z75" s="14"/>
      <c r="AA75" s="56"/>
      <c r="AB75" s="50">
        <f>(B75*122.58+C75*297.941+D75*89.177+E75*40.302+F75*40+G75*160+H75*0+I75*100+J75*300)/(122.58+297.941+89.177+40.302+0+40+160+100+300)</f>
        <v>6.1298922306956509</v>
      </c>
      <c r="AC75" s="45">
        <f>(M75*'RAP TEMPLATE-GAS AVAILABILITY'!O74+N75*'RAP TEMPLATE-GAS AVAILABILITY'!P74+O75*'RAP TEMPLATE-GAS AVAILABILITY'!Q74+P75*'RAP TEMPLATE-GAS AVAILABILITY'!R74)/('RAP TEMPLATE-GAS AVAILABILITY'!O74+'RAP TEMPLATE-GAS AVAILABILITY'!P74+'RAP TEMPLATE-GAS AVAILABILITY'!Q74+'RAP TEMPLATE-GAS AVAILABILITY'!R74)</f>
        <v>6.1119366906474824</v>
      </c>
    </row>
    <row r="76" spans="1:29" ht="15.75" x14ac:dyDescent="0.25">
      <c r="A76" s="13">
        <v>43191</v>
      </c>
      <c r="B76" s="14">
        <f>CHOOSE(CONTROL!$C$42, 6.0998, 6.0998) * CHOOSE(CONTROL!$C$21, $C$9, 100%, $E$9)</f>
        <v>6.0998000000000001</v>
      </c>
      <c r="C76" s="14">
        <f>CHOOSE(CONTROL!$C$42, 6.1042, 6.1042) * CHOOSE(CONTROL!$C$21, $C$9, 100%, $E$9)</f>
        <v>6.1041999999999996</v>
      </c>
      <c r="D76" s="14">
        <f>CHOOSE(CONTROL!$C$42, 6.3049, 6.3049) * CHOOSE(CONTROL!$C$21, $C$9, 100%, $E$9)</f>
        <v>6.3048999999999999</v>
      </c>
      <c r="E76" s="14">
        <f>CHOOSE(CONTROL!$C$42, 6.3367, 6.3367) * CHOOSE(CONTROL!$C$21, $C$9, 100%, $E$9)</f>
        <v>6.3367000000000004</v>
      </c>
      <c r="F76" s="14">
        <f>CHOOSE(CONTROL!$C$42, 6.0844, 6.0844)*CHOOSE(CONTROL!$C$21, $C$9, 100%, $E$9)</f>
        <v>6.0843999999999996</v>
      </c>
      <c r="G76" s="14">
        <f>CHOOSE(CONTROL!$C$42, 6.1001, 6.1001)*CHOOSE(CONTROL!$C$21, $C$9, 100%, $E$9)</f>
        <v>6.1001000000000003</v>
      </c>
      <c r="H76" s="14">
        <f>CHOOSE(CONTROL!$C$42, 6.3265, 6.3265) * CHOOSE(CONTROL!$C$21, $C$9, 100%, $E$9)</f>
        <v>6.3265000000000002</v>
      </c>
      <c r="I76" s="14">
        <f>CHOOSE(CONTROL!$C$42, 6.1126, 6.1126)* CHOOSE(CONTROL!$C$21, $C$9, 100%, $E$9)</f>
        <v>6.1125999999999996</v>
      </c>
      <c r="J76" s="14">
        <f>CHOOSE(CONTROL!$C$42, 6.0774, 6.0774)* CHOOSE(CONTROL!$C$21, $C$9, 100%, $E$9)</f>
        <v>6.0773999999999999</v>
      </c>
      <c r="K76" s="53">
        <f>CHOOSE(CONTROL!$C$42, 6.1087, 6.1087) * CHOOSE(CONTROL!$C$21, $C$9, 100%, $E$9)</f>
        <v>6.1086999999999998</v>
      </c>
      <c r="L76" s="14">
        <f>CHOOSE(CONTROL!$C$42, 6.9135, 6.9135) * CHOOSE(CONTROL!$C$21, $C$9, 100%, $E$9)</f>
        <v>6.9135</v>
      </c>
      <c r="M76" s="14">
        <f>CHOOSE(CONTROL!$C$42, 6.0299, 6.0299) * CHOOSE(CONTROL!$C$21, $C$9, 100%, $E$9)</f>
        <v>6.0298999999999996</v>
      </c>
      <c r="N76" s="14">
        <f>CHOOSE(CONTROL!$C$42, 6.0454, 6.0454) * CHOOSE(CONTROL!$C$21, $C$9, 100%, $E$9)</f>
        <v>6.0453999999999999</v>
      </c>
      <c r="O76" s="14">
        <f>CHOOSE(CONTROL!$C$42, 6.2765, 6.2765) * CHOOSE(CONTROL!$C$21, $C$9, 100%, $E$9)</f>
        <v>6.2765000000000004</v>
      </c>
      <c r="P76" s="14">
        <f>CHOOSE(CONTROL!$C$42, 6.0648, 6.0648) * CHOOSE(CONTROL!$C$21, $C$9, 100%, $E$9)</f>
        <v>6.0648</v>
      </c>
      <c r="Q76" s="14">
        <f>CHOOSE(CONTROL!$C$42, 6.8718, 6.8718) * CHOOSE(CONTROL!$C$21, $C$9, 100%, $E$9)</f>
        <v>6.8718000000000004</v>
      </c>
      <c r="R76" s="14">
        <f>CHOOSE(CONTROL!$C$42, 7.476, 7.476) * CHOOSE(CONTROL!$C$21, $C$9, 100%, $E$9)</f>
        <v>7.476</v>
      </c>
      <c r="S76" s="14">
        <f>CHOOSE(CONTROL!$C$42, 5.9207, 5.9207) * CHOOSE(CONTROL!$C$21, $C$9, 100%, $E$9)</f>
        <v>5.9207000000000001</v>
      </c>
      <c r="T7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6" s="57">
        <f>(1000*CHOOSE(CONTROL!$C$42, 695, 695)*CHOOSE(CONTROL!$C$42, 0.5599, 0.5599)*CHOOSE(CONTROL!$C$42, 30, 30))/1000000</f>
        <v>11.673914999999997</v>
      </c>
      <c r="V76" s="57">
        <f>(1000*CHOOSE(CONTROL!$C$42, 500, 500)*CHOOSE(CONTROL!$C$42, 0.275, 0.275)*CHOOSE(CONTROL!$C$42, 30, 30))/1000000</f>
        <v>4.125</v>
      </c>
      <c r="W76" s="57">
        <f>(1000*CHOOSE(CONTROL!$C$42, 0.1146, 0.1146)*CHOOSE(CONTROL!$C$42, 121.5, 121.5)*CHOOSE(CONTROL!$C$42, 30, 30))/1000000</f>
        <v>0.417717</v>
      </c>
      <c r="X76" s="57">
        <f>(30*0.1790888*245000/1000000)+(30*0.2374*100000/1000000)</f>
        <v>2.0285026799999999</v>
      </c>
      <c r="Y76" s="57"/>
      <c r="Z76" s="14"/>
      <c r="AA76" s="56"/>
      <c r="AB76" s="50">
        <f>(B76*141.293+C76*267.993+D76*115.016+E76*89.698+F76*40+G76*185+H76*0+I76*100+J76*300)/(141.293+267.993+115.016+89.698+0+40+185+100+300)</f>
        <v>6.132098552865215</v>
      </c>
      <c r="AC76" s="45">
        <f>(M76*'RAP TEMPLATE-GAS AVAILABILITY'!O75+N76*'RAP TEMPLATE-GAS AVAILABILITY'!P75+O76*'RAP TEMPLATE-GAS AVAILABILITY'!Q75+P76*'RAP TEMPLATE-GAS AVAILABILITY'!R75)/('RAP TEMPLATE-GAS AVAILABILITY'!O75+'RAP TEMPLATE-GAS AVAILABILITY'!P75+'RAP TEMPLATE-GAS AVAILABILITY'!Q75+'RAP TEMPLATE-GAS AVAILABILITY'!R75)</f>
        <v>6.1076798561151078</v>
      </c>
    </row>
    <row r="77" spans="1:29" ht="15.75" x14ac:dyDescent="0.25">
      <c r="A77" s="13">
        <v>43221</v>
      </c>
      <c r="B77" s="14">
        <f>CHOOSE(CONTROL!$C$42, 6.155, 6.155) * CHOOSE(CONTROL!$C$21, $C$9, 100%, $E$9)</f>
        <v>6.1550000000000002</v>
      </c>
      <c r="C77" s="14">
        <f>CHOOSE(CONTROL!$C$42, 6.163, 6.163) * CHOOSE(CONTROL!$C$21, $C$9, 100%, $E$9)</f>
        <v>6.1630000000000003</v>
      </c>
      <c r="D77" s="14">
        <f>CHOOSE(CONTROL!$C$42, 6.3605, 6.3605) * CHOOSE(CONTROL!$C$21, $C$9, 100%, $E$9)</f>
        <v>6.3605</v>
      </c>
      <c r="E77" s="14">
        <f>CHOOSE(CONTROL!$C$42, 6.3917, 6.3917) * CHOOSE(CONTROL!$C$21, $C$9, 100%, $E$9)</f>
        <v>6.3917000000000002</v>
      </c>
      <c r="F77" s="14">
        <f>CHOOSE(CONTROL!$C$42, 6.1385, 6.1385)*CHOOSE(CONTROL!$C$21, $C$9, 100%, $E$9)</f>
        <v>6.1384999999999996</v>
      </c>
      <c r="G77" s="14">
        <f>CHOOSE(CONTROL!$C$42, 6.1545, 6.1545)*CHOOSE(CONTROL!$C$21, $C$9, 100%, $E$9)</f>
        <v>6.1544999999999996</v>
      </c>
      <c r="H77" s="14">
        <f>CHOOSE(CONTROL!$C$42, 6.3803, 6.3803) * CHOOSE(CONTROL!$C$21, $C$9, 100%, $E$9)</f>
        <v>6.3803000000000001</v>
      </c>
      <c r="I77" s="14">
        <f>CHOOSE(CONTROL!$C$42, 6.1664, 6.1664)* CHOOSE(CONTROL!$C$21, $C$9, 100%, $E$9)</f>
        <v>6.1664000000000003</v>
      </c>
      <c r="J77" s="14">
        <f>CHOOSE(CONTROL!$C$42, 6.1315, 6.1315)* CHOOSE(CONTROL!$C$21, $C$9, 100%, $E$9)</f>
        <v>6.1315</v>
      </c>
      <c r="K77" s="53">
        <f>CHOOSE(CONTROL!$C$42, 6.1625, 6.1625) * CHOOSE(CONTROL!$C$21, $C$9, 100%, $E$9)</f>
        <v>6.1624999999999996</v>
      </c>
      <c r="L77" s="14">
        <f>CHOOSE(CONTROL!$C$42, 6.9673, 6.9673) * CHOOSE(CONTROL!$C$21, $C$9, 100%, $E$9)</f>
        <v>6.9672999999999998</v>
      </c>
      <c r="M77" s="14">
        <f>CHOOSE(CONTROL!$C$42, 6.0834, 6.0834) * CHOOSE(CONTROL!$C$21, $C$9, 100%, $E$9)</f>
        <v>6.0834000000000001</v>
      </c>
      <c r="N77" s="14">
        <f>CHOOSE(CONTROL!$C$42, 6.0993, 6.0993) * CHOOSE(CONTROL!$C$21, $C$9, 100%, $E$9)</f>
        <v>6.0993000000000004</v>
      </c>
      <c r="O77" s="14">
        <f>CHOOSE(CONTROL!$C$42, 6.3298, 6.3298) * CHOOSE(CONTROL!$C$21, $C$9, 100%, $E$9)</f>
        <v>6.3297999999999996</v>
      </c>
      <c r="P77" s="14">
        <f>CHOOSE(CONTROL!$C$42, 6.118, 6.118) * CHOOSE(CONTROL!$C$21, $C$9, 100%, $E$9)</f>
        <v>6.1180000000000003</v>
      </c>
      <c r="Q77" s="14">
        <f>CHOOSE(CONTROL!$C$42, 6.9251, 6.9251) * CHOOSE(CONTROL!$C$21, $C$9, 100%, $E$9)</f>
        <v>6.9250999999999996</v>
      </c>
      <c r="R77" s="14">
        <f>CHOOSE(CONTROL!$C$42, 7.5294, 7.5294) * CHOOSE(CONTROL!$C$21, $C$9, 100%, $E$9)</f>
        <v>7.5293999999999999</v>
      </c>
      <c r="S77" s="14">
        <f>CHOOSE(CONTROL!$C$42, 5.9729, 5.9729) * CHOOSE(CONTROL!$C$21, $C$9, 100%, $E$9)</f>
        <v>5.9729000000000001</v>
      </c>
      <c r="T7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7" s="57">
        <f>(1000*CHOOSE(CONTROL!$C$42, 695, 695)*CHOOSE(CONTROL!$C$42, 0.5599, 0.5599)*CHOOSE(CONTROL!$C$42, 31, 31))/1000000</f>
        <v>12.063045499999998</v>
      </c>
      <c r="V77" s="57">
        <f>(1000*CHOOSE(CONTROL!$C$42, 500, 500)*CHOOSE(CONTROL!$C$42, 0.275, 0.275)*CHOOSE(CONTROL!$C$42, 31, 31))/1000000</f>
        <v>4.2625000000000002</v>
      </c>
      <c r="W77" s="57">
        <f>(1000*CHOOSE(CONTROL!$C$42, 0.1146, 0.1146)*CHOOSE(CONTROL!$C$42, 121.5, 121.5)*CHOOSE(CONTROL!$C$42, 31, 31))/1000000</f>
        <v>0.43164089999999994</v>
      </c>
      <c r="X77" s="57">
        <f>(31*0.1790888*245000/1000000)+(31*0.2374*100000/1000000)</f>
        <v>2.0961194359999999</v>
      </c>
      <c r="Y77" s="57"/>
      <c r="Z77" s="14"/>
      <c r="AA77" s="56"/>
      <c r="AB77" s="50">
        <f>(B77*194.205+C77*267.466+D77*133.845+E77*53.484+F77*40+G77*185+H77*0+I77*100+J77*300)/(194.205+267.466+133.845+53.484+0+40+185+100+300)</f>
        <v>6.1829764821821032</v>
      </c>
      <c r="AC77" s="45">
        <f>(M77*'RAP TEMPLATE-GAS AVAILABILITY'!O76+N77*'RAP TEMPLATE-GAS AVAILABILITY'!P76+O77*'RAP TEMPLATE-GAS AVAILABILITY'!Q76+P77*'RAP TEMPLATE-GAS AVAILABILITY'!R76)/('RAP TEMPLATE-GAS AVAILABILITY'!O76+'RAP TEMPLATE-GAS AVAILABILITY'!P76+'RAP TEMPLATE-GAS AVAILABILITY'!Q76+'RAP TEMPLATE-GAS AVAILABILITY'!R76)</f>
        <v>6.1611726618705038</v>
      </c>
    </row>
    <row r="78" spans="1:29" ht="15.75" x14ac:dyDescent="0.25">
      <c r="A78" s="13">
        <v>43252</v>
      </c>
      <c r="B78" s="14">
        <f>CHOOSE(CONTROL!$C$42, 6.3295, 6.3295) * CHOOSE(CONTROL!$C$21, $C$9, 100%, $E$9)</f>
        <v>6.3295000000000003</v>
      </c>
      <c r="C78" s="14">
        <f>CHOOSE(CONTROL!$C$42, 6.3374, 6.3374) * CHOOSE(CONTROL!$C$21, $C$9, 100%, $E$9)</f>
        <v>6.3373999999999997</v>
      </c>
      <c r="D78" s="14">
        <f>CHOOSE(CONTROL!$C$42, 6.535, 6.535) * CHOOSE(CONTROL!$C$21, $C$9, 100%, $E$9)</f>
        <v>6.5350000000000001</v>
      </c>
      <c r="E78" s="14">
        <f>CHOOSE(CONTROL!$C$42, 6.5661, 6.5661) * CHOOSE(CONTROL!$C$21, $C$9, 100%, $E$9)</f>
        <v>6.5660999999999996</v>
      </c>
      <c r="F78" s="14">
        <f>CHOOSE(CONTROL!$C$42, 6.3133, 6.3133)*CHOOSE(CONTROL!$C$21, $C$9, 100%, $E$9)</f>
        <v>6.3132999999999999</v>
      </c>
      <c r="G78" s="14">
        <f>CHOOSE(CONTROL!$C$42, 6.3295, 6.3295)*CHOOSE(CONTROL!$C$21, $C$9, 100%, $E$9)</f>
        <v>6.3295000000000003</v>
      </c>
      <c r="H78" s="14">
        <f>CHOOSE(CONTROL!$C$42, 6.5548, 6.5548) * CHOOSE(CONTROL!$C$21, $C$9, 100%, $E$9)</f>
        <v>6.5548000000000002</v>
      </c>
      <c r="I78" s="14">
        <f>CHOOSE(CONTROL!$C$42, 6.3408, 6.3408)* CHOOSE(CONTROL!$C$21, $C$9, 100%, $E$9)</f>
        <v>6.3407999999999998</v>
      </c>
      <c r="J78" s="14">
        <f>CHOOSE(CONTROL!$C$42, 6.3063, 6.3063)* CHOOSE(CONTROL!$C$21, $C$9, 100%, $E$9)</f>
        <v>6.3063000000000002</v>
      </c>
      <c r="K78" s="53">
        <f>CHOOSE(CONTROL!$C$42, 6.337, 6.337) * CHOOSE(CONTROL!$C$21, $C$9, 100%, $E$9)</f>
        <v>6.3369999999999997</v>
      </c>
      <c r="L78" s="14">
        <f>CHOOSE(CONTROL!$C$42, 7.1418, 7.1418) * CHOOSE(CONTROL!$C$21, $C$9, 100%, $E$9)</f>
        <v>7.1417999999999999</v>
      </c>
      <c r="M78" s="14">
        <f>CHOOSE(CONTROL!$C$42, 6.2565, 6.2565) * CHOOSE(CONTROL!$C$21, $C$9, 100%, $E$9)</f>
        <v>6.2565</v>
      </c>
      <c r="N78" s="14">
        <f>CHOOSE(CONTROL!$C$42, 6.2725, 6.2725) * CHOOSE(CONTROL!$C$21, $C$9, 100%, $E$9)</f>
        <v>6.2725</v>
      </c>
      <c r="O78" s="14">
        <f>CHOOSE(CONTROL!$C$42, 6.5024, 6.5024) * CHOOSE(CONTROL!$C$21, $C$9, 100%, $E$9)</f>
        <v>6.5023999999999997</v>
      </c>
      <c r="P78" s="14">
        <f>CHOOSE(CONTROL!$C$42, 6.2907, 6.2907) * CHOOSE(CONTROL!$C$21, $C$9, 100%, $E$9)</f>
        <v>6.2907000000000002</v>
      </c>
      <c r="Q78" s="14">
        <f>CHOOSE(CONTROL!$C$42, 7.0977, 7.0977) * CHOOSE(CONTROL!$C$21, $C$9, 100%, $E$9)</f>
        <v>7.0976999999999997</v>
      </c>
      <c r="R78" s="14">
        <f>CHOOSE(CONTROL!$C$42, 7.7025, 7.7025) * CHOOSE(CONTROL!$C$21, $C$9, 100%, $E$9)</f>
        <v>7.7024999999999997</v>
      </c>
      <c r="S78" s="14">
        <f>CHOOSE(CONTROL!$C$42, 6.1423, 6.1423) * CHOOSE(CONTROL!$C$21, $C$9, 100%, $E$9)</f>
        <v>6.1422999999999996</v>
      </c>
      <c r="T7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8" s="57">
        <f>(1000*CHOOSE(CONTROL!$C$42, 695, 695)*CHOOSE(CONTROL!$C$42, 0.5599, 0.5599)*CHOOSE(CONTROL!$C$42, 30, 30))/1000000</f>
        <v>11.673914999999997</v>
      </c>
      <c r="V78" s="57">
        <f>(1000*CHOOSE(CONTROL!$C$42, 500, 500)*CHOOSE(CONTROL!$C$42, 0.275, 0.275)*CHOOSE(CONTROL!$C$42, 30, 30))/1000000</f>
        <v>4.125</v>
      </c>
      <c r="W78" s="57">
        <f>(1000*CHOOSE(CONTROL!$C$42, 0.1146, 0.1146)*CHOOSE(CONTROL!$C$42, 121.5, 121.5)*CHOOSE(CONTROL!$C$42, 30, 30))/1000000</f>
        <v>0.417717</v>
      </c>
      <c r="X78" s="57">
        <f>(30*0.1790888*245000/1000000)+(30*0.2374*100000/1000000)</f>
        <v>2.0285026799999999</v>
      </c>
      <c r="Y78" s="57"/>
      <c r="Z78" s="14"/>
      <c r="AA78" s="56"/>
      <c r="AB78" s="50">
        <f>(B78*194.205+C78*267.466+D78*133.845+E78*53.484+F78*40+G78*185+H78*0+I78*100+J78*300)/(194.205+267.466+133.845+53.484+0+40+185+100+300)</f>
        <v>6.3575961093406592</v>
      </c>
      <c r="AC78" s="45">
        <f>(M78*'RAP TEMPLATE-GAS AVAILABILITY'!O77+N78*'RAP TEMPLATE-GAS AVAILABILITY'!P77+O78*'RAP TEMPLATE-GAS AVAILABILITY'!Q77+P78*'RAP TEMPLATE-GAS AVAILABILITY'!R77)/('RAP TEMPLATE-GAS AVAILABILITY'!O77+'RAP TEMPLATE-GAS AVAILABILITY'!P77+'RAP TEMPLATE-GAS AVAILABILITY'!Q77+'RAP TEMPLATE-GAS AVAILABILITY'!R77)</f>
        <v>6.3340978417266181</v>
      </c>
    </row>
    <row r="79" spans="1:29" ht="15.75" x14ac:dyDescent="0.25">
      <c r="A79" s="13">
        <v>43282</v>
      </c>
      <c r="B79" s="14">
        <f>CHOOSE(CONTROL!$C$42, 6.2082, 6.2082) * CHOOSE(CONTROL!$C$21, $C$9, 100%, $E$9)</f>
        <v>6.2081999999999997</v>
      </c>
      <c r="C79" s="14">
        <f>CHOOSE(CONTROL!$C$42, 6.2161, 6.2161) * CHOOSE(CONTROL!$C$21, $C$9, 100%, $E$9)</f>
        <v>6.2161</v>
      </c>
      <c r="D79" s="14">
        <f>CHOOSE(CONTROL!$C$42, 6.4137, 6.4137) * CHOOSE(CONTROL!$C$21, $C$9, 100%, $E$9)</f>
        <v>6.4137000000000004</v>
      </c>
      <c r="E79" s="14">
        <f>CHOOSE(CONTROL!$C$42, 6.4448, 6.4448) * CHOOSE(CONTROL!$C$21, $C$9, 100%, $E$9)</f>
        <v>6.4447999999999999</v>
      </c>
      <c r="F79" s="14">
        <f>CHOOSE(CONTROL!$C$42, 6.1924, 6.1924)*CHOOSE(CONTROL!$C$21, $C$9, 100%, $E$9)</f>
        <v>6.1924000000000001</v>
      </c>
      <c r="G79" s="14">
        <f>CHOOSE(CONTROL!$C$42, 6.2087, 6.2087)*CHOOSE(CONTROL!$C$21, $C$9, 100%, $E$9)</f>
        <v>6.2087000000000003</v>
      </c>
      <c r="H79" s="14">
        <f>CHOOSE(CONTROL!$C$42, 6.4334, 6.4334) * CHOOSE(CONTROL!$C$21, $C$9, 100%, $E$9)</f>
        <v>6.4333999999999998</v>
      </c>
      <c r="I79" s="14">
        <f>CHOOSE(CONTROL!$C$42, 6.2195, 6.2195)* CHOOSE(CONTROL!$C$21, $C$9, 100%, $E$9)</f>
        <v>6.2195</v>
      </c>
      <c r="J79" s="14">
        <f>CHOOSE(CONTROL!$C$42, 6.1854, 6.1854)* CHOOSE(CONTROL!$C$21, $C$9, 100%, $E$9)</f>
        <v>6.1853999999999996</v>
      </c>
      <c r="K79" s="53">
        <f>CHOOSE(CONTROL!$C$42, 6.2156, 6.2156) * CHOOSE(CONTROL!$C$21, $C$9, 100%, $E$9)</f>
        <v>6.2156000000000002</v>
      </c>
      <c r="L79" s="14">
        <f>CHOOSE(CONTROL!$C$42, 7.0204, 7.0204) * CHOOSE(CONTROL!$C$21, $C$9, 100%, $E$9)</f>
        <v>7.0204000000000004</v>
      </c>
      <c r="M79" s="14">
        <f>CHOOSE(CONTROL!$C$42, 6.1368, 6.1368) * CHOOSE(CONTROL!$C$21, $C$9, 100%, $E$9)</f>
        <v>6.1368</v>
      </c>
      <c r="N79" s="14">
        <f>CHOOSE(CONTROL!$C$42, 6.153, 6.153) * CHOOSE(CONTROL!$C$21, $C$9, 100%, $E$9)</f>
        <v>6.1529999999999996</v>
      </c>
      <c r="O79" s="14">
        <f>CHOOSE(CONTROL!$C$42, 6.3823, 6.3823) * CHOOSE(CONTROL!$C$21, $C$9, 100%, $E$9)</f>
        <v>6.3822999999999999</v>
      </c>
      <c r="P79" s="14">
        <f>CHOOSE(CONTROL!$C$42, 6.1706, 6.1706) * CHOOSE(CONTROL!$C$21, $C$9, 100%, $E$9)</f>
        <v>6.1706000000000003</v>
      </c>
      <c r="Q79" s="14">
        <f>CHOOSE(CONTROL!$C$42, 6.9776, 6.9776) * CHOOSE(CONTROL!$C$21, $C$9, 100%, $E$9)</f>
        <v>6.9775999999999998</v>
      </c>
      <c r="R79" s="14">
        <f>CHOOSE(CONTROL!$C$42, 7.5821, 7.5821) * CHOOSE(CONTROL!$C$21, $C$9, 100%, $E$9)</f>
        <v>7.5820999999999996</v>
      </c>
      <c r="S79" s="14">
        <f>CHOOSE(CONTROL!$C$42, 6.0245, 6.0245) * CHOOSE(CONTROL!$C$21, $C$9, 100%, $E$9)</f>
        <v>6.0244999999999997</v>
      </c>
      <c r="T7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9" s="57">
        <f>(1000*CHOOSE(CONTROL!$C$42, 695, 695)*CHOOSE(CONTROL!$C$42, 0.5599, 0.5599)*CHOOSE(CONTROL!$C$42, 31, 31))/1000000</f>
        <v>12.063045499999998</v>
      </c>
      <c r="V79" s="57">
        <f>(1000*CHOOSE(CONTROL!$C$42, 500, 500)*CHOOSE(CONTROL!$C$42, 0.275, 0.275)*CHOOSE(CONTROL!$C$42, 31, 31))/1000000</f>
        <v>4.2625000000000002</v>
      </c>
      <c r="W79" s="57">
        <f>(1000*CHOOSE(CONTROL!$C$42, 0.1146, 0.1146)*CHOOSE(CONTROL!$C$42, 121.5, 121.5)*CHOOSE(CONTROL!$C$42, 31, 31))/1000000</f>
        <v>0.43164089999999994</v>
      </c>
      <c r="X79" s="57">
        <f>(31*0.1790888*245000/1000000)+(31*0.2374*100000/1000000)</f>
        <v>2.0961194359999999</v>
      </c>
      <c r="Y79" s="57"/>
      <c r="Z79" s="14"/>
      <c r="AA79" s="56"/>
      <c r="AB79" s="50">
        <f>(B79*194.205+C79*267.466+D79*133.845+E79*53.484+F79*40+G79*185+H79*0+I79*100+J79*300)/(194.205+267.466+133.845+53.484+0+40+185+100+300)</f>
        <v>6.2364754656985868</v>
      </c>
      <c r="AC79" s="45">
        <f>(M79*'RAP TEMPLATE-GAS AVAILABILITY'!O78+N79*'RAP TEMPLATE-GAS AVAILABILITY'!P78+O79*'RAP TEMPLATE-GAS AVAILABILITY'!Q78+P79*'RAP TEMPLATE-GAS AVAILABILITY'!R78)/('RAP TEMPLATE-GAS AVAILABILITY'!O78+'RAP TEMPLATE-GAS AVAILABILITY'!P78+'RAP TEMPLATE-GAS AVAILABILITY'!Q78+'RAP TEMPLATE-GAS AVAILABILITY'!R78)</f>
        <v>6.2142741007194244</v>
      </c>
    </row>
    <row r="80" spans="1:29" ht="15.75" x14ac:dyDescent="0.25">
      <c r="A80" s="13">
        <v>43313</v>
      </c>
      <c r="B80" s="14">
        <f>CHOOSE(CONTROL!$C$42, 5.9018, 5.9018) * CHOOSE(CONTROL!$C$21, $C$9, 100%, $E$9)</f>
        <v>5.9017999999999997</v>
      </c>
      <c r="C80" s="14">
        <f>CHOOSE(CONTROL!$C$42, 5.9097, 5.9097) * CHOOSE(CONTROL!$C$21, $C$9, 100%, $E$9)</f>
        <v>5.9097</v>
      </c>
      <c r="D80" s="14">
        <f>CHOOSE(CONTROL!$C$42, 6.1073, 6.1073) * CHOOSE(CONTROL!$C$21, $C$9, 100%, $E$9)</f>
        <v>6.1073000000000004</v>
      </c>
      <c r="E80" s="14">
        <f>CHOOSE(CONTROL!$C$42, 6.1384, 6.1384) * CHOOSE(CONTROL!$C$21, $C$9, 100%, $E$9)</f>
        <v>6.1383999999999999</v>
      </c>
      <c r="F80" s="14">
        <f>CHOOSE(CONTROL!$C$42, 5.8862, 5.8862)*CHOOSE(CONTROL!$C$21, $C$9, 100%, $E$9)</f>
        <v>5.8861999999999997</v>
      </c>
      <c r="G80" s="14">
        <f>CHOOSE(CONTROL!$C$42, 5.9026, 5.9026)*CHOOSE(CONTROL!$C$21, $C$9, 100%, $E$9)</f>
        <v>5.9025999999999996</v>
      </c>
      <c r="H80" s="14">
        <f>CHOOSE(CONTROL!$C$42, 6.127, 6.127) * CHOOSE(CONTROL!$C$21, $C$9, 100%, $E$9)</f>
        <v>6.1269999999999998</v>
      </c>
      <c r="I80" s="14">
        <f>CHOOSE(CONTROL!$C$42, 5.9131, 5.9131)* CHOOSE(CONTROL!$C$21, $C$9, 100%, $E$9)</f>
        <v>5.9131</v>
      </c>
      <c r="J80" s="14">
        <f>CHOOSE(CONTROL!$C$42, 5.8792, 5.8792)* CHOOSE(CONTROL!$C$21, $C$9, 100%, $E$9)</f>
        <v>5.8792</v>
      </c>
      <c r="K80" s="53">
        <f>CHOOSE(CONTROL!$C$42, 5.9093, 5.9093) * CHOOSE(CONTROL!$C$21, $C$9, 100%, $E$9)</f>
        <v>5.9093</v>
      </c>
      <c r="L80" s="14">
        <f>CHOOSE(CONTROL!$C$42, 6.714, 6.714) * CHOOSE(CONTROL!$C$21, $C$9, 100%, $E$9)</f>
        <v>6.7140000000000004</v>
      </c>
      <c r="M80" s="14">
        <f>CHOOSE(CONTROL!$C$42, 5.8337, 5.8337) * CHOOSE(CONTROL!$C$21, $C$9, 100%, $E$9)</f>
        <v>5.8337000000000003</v>
      </c>
      <c r="N80" s="14">
        <f>CHOOSE(CONTROL!$C$42, 5.8499, 5.8499) * CHOOSE(CONTROL!$C$21, $C$9, 100%, $E$9)</f>
        <v>5.8498999999999999</v>
      </c>
      <c r="O80" s="14">
        <f>CHOOSE(CONTROL!$C$42, 6.079, 6.079) * CHOOSE(CONTROL!$C$21, $C$9, 100%, $E$9)</f>
        <v>6.0789999999999997</v>
      </c>
      <c r="P80" s="14">
        <f>CHOOSE(CONTROL!$C$42, 5.8673, 5.8673) * CHOOSE(CONTROL!$C$21, $C$9, 100%, $E$9)</f>
        <v>5.8673000000000002</v>
      </c>
      <c r="Q80" s="14">
        <f>CHOOSE(CONTROL!$C$42, 6.6743, 6.6743) * CHOOSE(CONTROL!$C$21, $C$9, 100%, $E$9)</f>
        <v>6.6742999999999997</v>
      </c>
      <c r="R80" s="14">
        <f>CHOOSE(CONTROL!$C$42, 7.278, 7.278) * CHOOSE(CONTROL!$C$21, $C$9, 100%, $E$9)</f>
        <v>7.2779999999999996</v>
      </c>
      <c r="S80" s="14">
        <f>CHOOSE(CONTROL!$C$42, 5.727, 5.727) * CHOOSE(CONTROL!$C$21, $C$9, 100%, $E$9)</f>
        <v>5.7270000000000003</v>
      </c>
      <c r="T8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0" s="57">
        <f>(1000*CHOOSE(CONTROL!$C$42, 695, 695)*CHOOSE(CONTROL!$C$42, 0.5599, 0.5599)*CHOOSE(CONTROL!$C$42, 31, 31))/1000000</f>
        <v>12.063045499999998</v>
      </c>
      <c r="V80" s="57">
        <f>(1000*CHOOSE(CONTROL!$C$42, 500, 500)*CHOOSE(CONTROL!$C$42, 0.275, 0.275)*CHOOSE(CONTROL!$C$42, 31, 31))/1000000</f>
        <v>4.2625000000000002</v>
      </c>
      <c r="W80" s="57">
        <f>(1000*CHOOSE(CONTROL!$C$42, 0.1146, 0.1146)*CHOOSE(CONTROL!$C$42, 121.5, 121.5)*CHOOSE(CONTROL!$C$42, 31, 31))/1000000</f>
        <v>0.43164089999999994</v>
      </c>
      <c r="X80" s="57">
        <f>(31*0.1790888*245000/1000000)+(31*0.2374*100000/1000000)</f>
        <v>2.0961194359999999</v>
      </c>
      <c r="Y80" s="57"/>
      <c r="Z80" s="14"/>
      <c r="AA80" s="56"/>
      <c r="AB80" s="50">
        <f>(B80*194.205+C80*267.466+D80*133.845+E80*53.484+F80*40+G80*185+H80*0+I80*100+J80*300)/(194.205+267.466+133.845+53.484+0+40+185+100+300)</f>
        <v>5.9301724044740975</v>
      </c>
      <c r="AC80" s="45">
        <f>(M80*'RAP TEMPLATE-GAS AVAILABILITY'!O79+N80*'RAP TEMPLATE-GAS AVAILABILITY'!P79+O80*'RAP TEMPLATE-GAS AVAILABILITY'!Q79+P80*'RAP TEMPLATE-GAS AVAILABILITY'!R79)/('RAP TEMPLATE-GAS AVAILABILITY'!O79+'RAP TEMPLATE-GAS AVAILABILITY'!P79+'RAP TEMPLATE-GAS AVAILABILITY'!Q79+'RAP TEMPLATE-GAS AVAILABILITY'!R79)</f>
        <v>5.9110892086330944</v>
      </c>
    </row>
    <row r="81" spans="1:29" ht="15.75" x14ac:dyDescent="0.25">
      <c r="A81" s="13">
        <v>43344</v>
      </c>
      <c r="B81" s="14">
        <f>CHOOSE(CONTROL!$C$42, 5.5271, 5.5271) * CHOOSE(CONTROL!$C$21, $C$9, 100%, $E$9)</f>
        <v>5.5270999999999999</v>
      </c>
      <c r="C81" s="14">
        <f>CHOOSE(CONTROL!$C$42, 5.535, 5.535) * CHOOSE(CONTROL!$C$21, $C$9, 100%, $E$9)</f>
        <v>5.5350000000000001</v>
      </c>
      <c r="D81" s="14">
        <f>CHOOSE(CONTROL!$C$42, 5.7326, 5.7326) * CHOOSE(CONTROL!$C$21, $C$9, 100%, $E$9)</f>
        <v>5.7325999999999997</v>
      </c>
      <c r="E81" s="14">
        <f>CHOOSE(CONTROL!$C$42, 5.7637, 5.7637) * CHOOSE(CONTROL!$C$21, $C$9, 100%, $E$9)</f>
        <v>5.7637</v>
      </c>
      <c r="F81" s="14">
        <f>CHOOSE(CONTROL!$C$42, 5.5114, 5.5114)*CHOOSE(CONTROL!$C$21, $C$9, 100%, $E$9)</f>
        <v>5.5114000000000001</v>
      </c>
      <c r="G81" s="14">
        <f>CHOOSE(CONTROL!$C$42, 5.5278, 5.5278)*CHOOSE(CONTROL!$C$21, $C$9, 100%, $E$9)</f>
        <v>5.5278</v>
      </c>
      <c r="H81" s="14">
        <f>CHOOSE(CONTROL!$C$42, 5.7523, 5.7523) * CHOOSE(CONTROL!$C$21, $C$9, 100%, $E$9)</f>
        <v>5.7523</v>
      </c>
      <c r="I81" s="14">
        <f>CHOOSE(CONTROL!$C$42, 5.5384, 5.5384)* CHOOSE(CONTROL!$C$21, $C$9, 100%, $E$9)</f>
        <v>5.5384000000000002</v>
      </c>
      <c r="J81" s="14">
        <f>CHOOSE(CONTROL!$C$42, 5.5044, 5.5044)* CHOOSE(CONTROL!$C$21, $C$9, 100%, $E$9)</f>
        <v>5.5044000000000004</v>
      </c>
      <c r="K81" s="53">
        <f>CHOOSE(CONTROL!$C$42, 5.5345, 5.5345) * CHOOSE(CONTROL!$C$21, $C$9, 100%, $E$9)</f>
        <v>5.5345000000000004</v>
      </c>
      <c r="L81" s="14">
        <f>CHOOSE(CONTROL!$C$42, 6.3393, 6.3393) * CHOOSE(CONTROL!$C$21, $C$9, 100%, $E$9)</f>
        <v>6.3392999999999997</v>
      </c>
      <c r="M81" s="14">
        <f>CHOOSE(CONTROL!$C$42, 5.4627, 5.4627) * CHOOSE(CONTROL!$C$21, $C$9, 100%, $E$9)</f>
        <v>5.4626999999999999</v>
      </c>
      <c r="N81" s="14">
        <f>CHOOSE(CONTROL!$C$42, 5.4789, 5.4789) * CHOOSE(CONTROL!$C$21, $C$9, 100%, $E$9)</f>
        <v>5.4789000000000003</v>
      </c>
      <c r="O81" s="14">
        <f>CHOOSE(CONTROL!$C$42, 5.7081, 5.7081) * CHOOSE(CONTROL!$C$21, $C$9, 100%, $E$9)</f>
        <v>5.7081</v>
      </c>
      <c r="P81" s="14">
        <f>CHOOSE(CONTROL!$C$42, 5.4964, 5.4964) * CHOOSE(CONTROL!$C$21, $C$9, 100%, $E$9)</f>
        <v>5.4964000000000004</v>
      </c>
      <c r="Q81" s="14">
        <f>CHOOSE(CONTROL!$C$42, 6.3034, 6.3034) * CHOOSE(CONTROL!$C$21, $C$9, 100%, $E$9)</f>
        <v>6.3033999999999999</v>
      </c>
      <c r="R81" s="14">
        <f>CHOOSE(CONTROL!$C$42, 6.9062, 6.9062) * CHOOSE(CONTROL!$C$21, $C$9, 100%, $E$9)</f>
        <v>6.9062000000000001</v>
      </c>
      <c r="S81" s="14">
        <f>CHOOSE(CONTROL!$C$42, 5.3631, 5.3631) * CHOOSE(CONTROL!$C$21, $C$9, 100%, $E$9)</f>
        <v>5.3631000000000002</v>
      </c>
      <c r="T8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1" s="57">
        <f>(1000*CHOOSE(CONTROL!$C$42, 695, 695)*CHOOSE(CONTROL!$C$42, 0.5599, 0.5599)*CHOOSE(CONTROL!$C$42, 30, 30))/1000000</f>
        <v>11.673914999999997</v>
      </c>
      <c r="V81" s="57">
        <f>(1000*CHOOSE(CONTROL!$C$42, 500, 500)*CHOOSE(CONTROL!$C$42, 0.275, 0.275)*CHOOSE(CONTROL!$C$42, 30, 30))/1000000</f>
        <v>4.125</v>
      </c>
      <c r="W81" s="57">
        <f>(1000*CHOOSE(CONTROL!$C$42, 0.1146, 0.1146)*CHOOSE(CONTROL!$C$42, 121.5, 121.5)*CHOOSE(CONTROL!$C$42, 30, 30))/1000000</f>
        <v>0.417717</v>
      </c>
      <c r="X81" s="57">
        <f>(30*0.1790888*245000/1000000)+(30*0.2374*100000/1000000)</f>
        <v>2.0285026799999999</v>
      </c>
      <c r="Y81" s="57"/>
      <c r="Z81" s="14"/>
      <c r="AA81" s="56"/>
      <c r="AB81" s="50">
        <f>(B81*194.205+C81*267.466+D81*133.845+E81*53.484+F81*40+G81*185+H81*0+I81*100+J81*300)/(194.205+267.466+133.845+53.484+0+40+185+100+300)</f>
        <v>5.555431195682889</v>
      </c>
      <c r="AC81" s="45">
        <f>(M81*'RAP TEMPLATE-GAS AVAILABILITY'!O80+N81*'RAP TEMPLATE-GAS AVAILABILITY'!P80+O81*'RAP TEMPLATE-GAS AVAILABILITY'!Q80+P81*'RAP TEMPLATE-GAS AVAILABILITY'!R80)/('RAP TEMPLATE-GAS AVAILABILITY'!O80+'RAP TEMPLATE-GAS AVAILABILITY'!P80+'RAP TEMPLATE-GAS AVAILABILITY'!Q80+'RAP TEMPLATE-GAS AVAILABILITY'!R80)</f>
        <v>5.5401316546762596</v>
      </c>
    </row>
    <row r="82" spans="1:29" ht="15.75" x14ac:dyDescent="0.25">
      <c r="A82" s="13">
        <v>43374</v>
      </c>
      <c r="B82" s="14">
        <f>CHOOSE(CONTROL!$C$42, 5.4132, 5.4132) * CHOOSE(CONTROL!$C$21, $C$9, 100%, $E$9)</f>
        <v>5.4131999999999998</v>
      </c>
      <c r="C82" s="14">
        <f>CHOOSE(CONTROL!$C$42, 5.4184, 5.4184) * CHOOSE(CONTROL!$C$21, $C$9, 100%, $E$9)</f>
        <v>5.4184000000000001</v>
      </c>
      <c r="D82" s="14">
        <f>CHOOSE(CONTROL!$C$42, 5.6209, 5.6209) * CHOOSE(CONTROL!$C$21, $C$9, 100%, $E$9)</f>
        <v>5.6208999999999998</v>
      </c>
      <c r="E82" s="14">
        <f>CHOOSE(CONTROL!$C$42, 5.6497, 5.6497) * CHOOSE(CONTROL!$C$21, $C$9, 100%, $E$9)</f>
        <v>5.6497000000000002</v>
      </c>
      <c r="F82" s="14">
        <f>CHOOSE(CONTROL!$C$42, 5.3995, 5.3995)*CHOOSE(CONTROL!$C$21, $C$9, 100%, $E$9)</f>
        <v>5.3994999999999997</v>
      </c>
      <c r="G82" s="14">
        <f>CHOOSE(CONTROL!$C$42, 5.4156, 5.4156)*CHOOSE(CONTROL!$C$21, $C$9, 100%, $E$9)</f>
        <v>5.4156000000000004</v>
      </c>
      <c r="H82" s="14">
        <f>CHOOSE(CONTROL!$C$42, 5.6402, 5.6402) * CHOOSE(CONTROL!$C$21, $C$9, 100%, $E$9)</f>
        <v>5.6402000000000001</v>
      </c>
      <c r="I82" s="14">
        <f>CHOOSE(CONTROL!$C$42, 5.4263, 5.4263)* CHOOSE(CONTROL!$C$21, $C$9, 100%, $E$9)</f>
        <v>5.4263000000000003</v>
      </c>
      <c r="J82" s="14">
        <f>CHOOSE(CONTROL!$C$42, 5.3925, 5.3925)* CHOOSE(CONTROL!$C$21, $C$9, 100%, $E$9)</f>
        <v>5.3925000000000001</v>
      </c>
      <c r="K82" s="53">
        <f>CHOOSE(CONTROL!$C$42, 5.4224, 5.4224) * CHOOSE(CONTROL!$C$21, $C$9, 100%, $E$9)</f>
        <v>5.4223999999999997</v>
      </c>
      <c r="L82" s="14">
        <f>CHOOSE(CONTROL!$C$42, 6.2272, 6.2272) * CHOOSE(CONTROL!$C$21, $C$9, 100%, $E$9)</f>
        <v>6.2271999999999998</v>
      </c>
      <c r="M82" s="14">
        <f>CHOOSE(CONTROL!$C$42, 5.352, 5.352) * CHOOSE(CONTROL!$C$21, $C$9, 100%, $E$9)</f>
        <v>5.3520000000000003</v>
      </c>
      <c r="N82" s="14">
        <f>CHOOSE(CONTROL!$C$42, 5.3678, 5.3678) * CHOOSE(CONTROL!$C$21, $C$9, 100%, $E$9)</f>
        <v>5.3677999999999999</v>
      </c>
      <c r="O82" s="14">
        <f>CHOOSE(CONTROL!$C$42, 5.5971, 5.5971) * CHOOSE(CONTROL!$C$21, $C$9, 100%, $E$9)</f>
        <v>5.5971000000000002</v>
      </c>
      <c r="P82" s="14">
        <f>CHOOSE(CONTROL!$C$42, 5.3854, 5.3854) * CHOOSE(CONTROL!$C$21, $C$9, 100%, $E$9)</f>
        <v>5.3853999999999997</v>
      </c>
      <c r="Q82" s="14">
        <f>CHOOSE(CONTROL!$C$42, 6.1924, 6.1924) * CHOOSE(CONTROL!$C$21, $C$9, 100%, $E$9)</f>
        <v>6.1924000000000001</v>
      </c>
      <c r="R82" s="14">
        <f>CHOOSE(CONTROL!$C$42, 6.7949, 6.7949) * CHOOSE(CONTROL!$C$21, $C$9, 100%, $E$9)</f>
        <v>6.7949000000000002</v>
      </c>
      <c r="S82" s="14">
        <f>CHOOSE(CONTROL!$C$42, 5.2542, 5.2542) * CHOOSE(CONTROL!$C$21, $C$9, 100%, $E$9)</f>
        <v>5.2542</v>
      </c>
      <c r="T8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2" s="57">
        <f>(1000*CHOOSE(CONTROL!$C$42, 695, 695)*CHOOSE(CONTROL!$C$42, 0.5599, 0.5599)*CHOOSE(CONTROL!$C$42, 31, 31))/1000000</f>
        <v>12.063045499999998</v>
      </c>
      <c r="V82" s="57">
        <f>(1000*CHOOSE(CONTROL!$C$42, 500, 500)*CHOOSE(CONTROL!$C$42, 0.275, 0.275)*CHOOSE(CONTROL!$C$42, 31, 31))/1000000</f>
        <v>4.2625000000000002</v>
      </c>
      <c r="W82" s="57">
        <f>(1000*CHOOSE(CONTROL!$C$42, 0.1146, 0.1146)*CHOOSE(CONTROL!$C$42, 121.5, 121.5)*CHOOSE(CONTROL!$C$42, 31, 31))/1000000</f>
        <v>0.43164089999999994</v>
      </c>
      <c r="X82" s="57">
        <f>(31*0.1790888*245000/1000000)+(31*0.2374*100000/1000000)</f>
        <v>2.0961194359999999</v>
      </c>
      <c r="Y82" s="57"/>
      <c r="Z82" s="14"/>
      <c r="AA82" s="56"/>
      <c r="AB82" s="50">
        <f>(B82*131.881+C82*277.167+D82*79.08+E82*125.872+F82*40+G82*185+H82*0+I82*100+J82*300)/(131.881+277.167+79.08+125.872+0+40+185+100+300)</f>
        <v>5.44760751606134</v>
      </c>
      <c r="AC82" s="45">
        <f>(M82*'RAP TEMPLATE-GAS AVAILABILITY'!O81+N82*'RAP TEMPLATE-GAS AVAILABILITY'!P81+O82*'RAP TEMPLATE-GAS AVAILABILITY'!Q81+P82*'RAP TEMPLATE-GAS AVAILABILITY'!R81)/('RAP TEMPLATE-GAS AVAILABILITY'!O81+'RAP TEMPLATE-GAS AVAILABILITY'!P81+'RAP TEMPLATE-GAS AVAILABILITY'!Q81+'RAP TEMPLATE-GAS AVAILABILITY'!R81)</f>
        <v>5.4292122302158274</v>
      </c>
    </row>
    <row r="83" spans="1:29" ht="15.75" x14ac:dyDescent="0.25">
      <c r="A83" s="13">
        <v>43405</v>
      </c>
      <c r="B83" s="14">
        <f>CHOOSE(CONTROL!$C$42, 5.5553, 5.5553) * CHOOSE(CONTROL!$C$21, $C$9, 100%, $E$9)</f>
        <v>5.5552999999999999</v>
      </c>
      <c r="C83" s="14">
        <f>CHOOSE(CONTROL!$C$42, 5.5602, 5.5602) * CHOOSE(CONTROL!$C$21, $C$9, 100%, $E$9)</f>
        <v>5.5602</v>
      </c>
      <c r="D83" s="14">
        <f>CHOOSE(CONTROL!$C$42, 5.6233, 5.6233) * CHOOSE(CONTROL!$C$21, $C$9, 100%, $E$9)</f>
        <v>5.6233000000000004</v>
      </c>
      <c r="E83" s="14">
        <f>CHOOSE(CONTROL!$C$42, 5.6571, 5.6571) * CHOOSE(CONTROL!$C$21, $C$9, 100%, $E$9)</f>
        <v>5.6570999999999998</v>
      </c>
      <c r="F83" s="14">
        <f>CHOOSE(CONTROL!$C$42, 5.556, 5.556)*CHOOSE(CONTROL!$C$21, $C$9, 100%, $E$9)</f>
        <v>5.556</v>
      </c>
      <c r="G83" s="14">
        <f>CHOOSE(CONTROL!$C$42, 5.5723, 5.5723)*CHOOSE(CONTROL!$C$21, $C$9, 100%, $E$9)</f>
        <v>5.5723000000000003</v>
      </c>
      <c r="H83" s="14">
        <f>CHOOSE(CONTROL!$C$42, 5.6463, 5.6463) * CHOOSE(CONTROL!$C$21, $C$9, 100%, $E$9)</f>
        <v>5.6463000000000001</v>
      </c>
      <c r="I83" s="14">
        <f>CHOOSE(CONTROL!$C$42, 5.5688, 5.5688)* CHOOSE(CONTROL!$C$21, $C$9, 100%, $E$9)</f>
        <v>5.5688000000000004</v>
      </c>
      <c r="J83" s="14">
        <f>CHOOSE(CONTROL!$C$42, 5.549, 5.549)* CHOOSE(CONTROL!$C$21, $C$9, 100%, $E$9)</f>
        <v>5.5490000000000004</v>
      </c>
      <c r="K83" s="53">
        <f>CHOOSE(CONTROL!$C$42, 5.5649, 5.5649) * CHOOSE(CONTROL!$C$21, $C$9, 100%, $E$9)</f>
        <v>5.5648999999999997</v>
      </c>
      <c r="L83" s="14">
        <f>CHOOSE(CONTROL!$C$42, 6.2333, 6.2333) * CHOOSE(CONTROL!$C$21, $C$9, 100%, $E$9)</f>
        <v>6.2332999999999998</v>
      </c>
      <c r="M83" s="14">
        <f>CHOOSE(CONTROL!$C$42, 5.5068, 5.5068) * CHOOSE(CONTROL!$C$21, $C$9, 100%, $E$9)</f>
        <v>5.5068000000000001</v>
      </c>
      <c r="N83" s="14">
        <f>CHOOSE(CONTROL!$C$42, 5.5229, 5.5229) * CHOOSE(CONTROL!$C$21, $C$9, 100%, $E$9)</f>
        <v>5.5228999999999999</v>
      </c>
      <c r="O83" s="14">
        <f>CHOOSE(CONTROL!$C$42, 5.6031, 5.6031) * CHOOSE(CONTROL!$C$21, $C$9, 100%, $E$9)</f>
        <v>5.6031000000000004</v>
      </c>
      <c r="P83" s="14">
        <f>CHOOSE(CONTROL!$C$42, 5.5265, 5.5265) * CHOOSE(CONTROL!$C$21, $C$9, 100%, $E$9)</f>
        <v>5.5265000000000004</v>
      </c>
      <c r="Q83" s="14">
        <f>CHOOSE(CONTROL!$C$42, 6.1984, 6.1984) * CHOOSE(CONTROL!$C$21, $C$9, 100%, $E$9)</f>
        <v>6.1984000000000004</v>
      </c>
      <c r="R83" s="14">
        <f>CHOOSE(CONTROL!$C$42, 6.8009, 6.8009) * CHOOSE(CONTROL!$C$21, $C$9, 100%, $E$9)</f>
        <v>6.8009000000000004</v>
      </c>
      <c r="S83" s="14">
        <f>CHOOSE(CONTROL!$C$42, 5.3926, 5.3926) * CHOOSE(CONTROL!$C$21, $C$9, 100%, $E$9)</f>
        <v>5.3925999999999998</v>
      </c>
      <c r="T8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3" s="57">
        <f>(1000*CHOOSE(CONTROL!$C$42, 695, 695)*CHOOSE(CONTROL!$C$42, 0.5599, 0.5599)*CHOOSE(CONTROL!$C$42, 30, 30))/1000000</f>
        <v>11.673914999999997</v>
      </c>
      <c r="V83" s="57">
        <f>(1000*CHOOSE(CONTROL!$C$42, 500, 500)*CHOOSE(CONTROL!$C$42, 0.275, 0.275)*CHOOSE(CONTROL!$C$42, 30, 30))/1000000</f>
        <v>4.125</v>
      </c>
      <c r="W83" s="57">
        <f>(1000*CHOOSE(CONTROL!$C$42, 0.1146, 0.1146)*CHOOSE(CONTROL!$C$42, 121.5, 121.5)*CHOOSE(CONTROL!$C$42, 30, 30))/1000000</f>
        <v>0.417717</v>
      </c>
      <c r="X83" s="57">
        <f>(30*0.1790888*100000/1000000)+(30*0.2374*100000/1000000)</f>
        <v>1.2494664</v>
      </c>
      <c r="Y83" s="57"/>
      <c r="Z83" s="14"/>
      <c r="AA83" s="56"/>
      <c r="AB83" s="50">
        <f>(B83*122.58+C83*297.941+D83*89.177+E83*40.302+F83*40+G83*160+H83*0+I83*100+J83*300)/(122.58+297.941+89.177+40.302+0+40+160+100+300)</f>
        <v>5.5673301656521739</v>
      </c>
      <c r="AC83" s="45">
        <f>(M83*'RAP TEMPLATE-GAS AVAILABILITY'!O82+N83*'RAP TEMPLATE-GAS AVAILABILITY'!P82+O83*'RAP TEMPLATE-GAS AVAILABILITY'!Q82+P83*'RAP TEMPLATE-GAS AVAILABILITY'!R82)/('RAP TEMPLATE-GAS AVAILABILITY'!O82+'RAP TEMPLATE-GAS AVAILABILITY'!P82+'RAP TEMPLATE-GAS AVAILABILITY'!Q82+'RAP TEMPLATE-GAS AVAILABILITY'!R82)</f>
        <v>5.5542079136690656</v>
      </c>
    </row>
    <row r="84" spans="1:29" ht="15.75" x14ac:dyDescent="0.25">
      <c r="A84" s="13">
        <v>43435</v>
      </c>
      <c r="B84" s="14">
        <f>CHOOSE(CONTROL!$C$42, 5.9338, 5.9338) * CHOOSE(CONTROL!$C$21, $C$9, 100%, $E$9)</f>
        <v>5.9337999999999997</v>
      </c>
      <c r="C84" s="14">
        <f>CHOOSE(CONTROL!$C$42, 5.9388, 5.9388) * CHOOSE(CONTROL!$C$21, $C$9, 100%, $E$9)</f>
        <v>5.9387999999999996</v>
      </c>
      <c r="D84" s="14">
        <f>CHOOSE(CONTROL!$C$42, 6.0019, 6.0019) * CHOOSE(CONTROL!$C$21, $C$9, 100%, $E$9)</f>
        <v>6.0019</v>
      </c>
      <c r="E84" s="14">
        <f>CHOOSE(CONTROL!$C$42, 6.0356, 6.0356) * CHOOSE(CONTROL!$C$21, $C$9, 100%, $E$9)</f>
        <v>6.0355999999999996</v>
      </c>
      <c r="F84" s="14">
        <f>CHOOSE(CONTROL!$C$42, 5.9366, 5.9366)*CHOOSE(CONTROL!$C$21, $C$9, 100%, $E$9)</f>
        <v>5.9366000000000003</v>
      </c>
      <c r="G84" s="14">
        <f>CHOOSE(CONTROL!$C$42, 5.9534, 5.9534)*CHOOSE(CONTROL!$C$21, $C$9, 100%, $E$9)</f>
        <v>5.9534000000000002</v>
      </c>
      <c r="H84" s="14">
        <f>CHOOSE(CONTROL!$C$42, 6.0248, 6.0248) * CHOOSE(CONTROL!$C$21, $C$9, 100%, $E$9)</f>
        <v>6.0247999999999999</v>
      </c>
      <c r="I84" s="14">
        <f>CHOOSE(CONTROL!$C$42, 5.9474, 5.9474)* CHOOSE(CONTROL!$C$21, $C$9, 100%, $E$9)</f>
        <v>5.9474</v>
      </c>
      <c r="J84" s="14">
        <f>CHOOSE(CONTROL!$C$42, 5.9296, 5.9296)* CHOOSE(CONTROL!$C$21, $C$9, 100%, $E$9)</f>
        <v>5.9295999999999998</v>
      </c>
      <c r="K84" s="53">
        <f>CHOOSE(CONTROL!$C$42, 5.9435, 5.9435) * CHOOSE(CONTROL!$C$21, $C$9, 100%, $E$9)</f>
        <v>5.9435000000000002</v>
      </c>
      <c r="L84" s="14">
        <f>CHOOSE(CONTROL!$C$42, 6.6118, 6.6118) * CHOOSE(CONTROL!$C$21, $C$9, 100%, $E$9)</f>
        <v>6.6117999999999997</v>
      </c>
      <c r="M84" s="14">
        <f>CHOOSE(CONTROL!$C$42, 5.8836, 5.8836) * CHOOSE(CONTROL!$C$21, $C$9, 100%, $E$9)</f>
        <v>5.8836000000000004</v>
      </c>
      <c r="N84" s="14">
        <f>CHOOSE(CONTROL!$C$42, 5.9002, 5.9002) * CHOOSE(CONTROL!$C$21, $C$9, 100%, $E$9)</f>
        <v>5.9001999999999999</v>
      </c>
      <c r="O84" s="14">
        <f>CHOOSE(CONTROL!$C$42, 5.9779, 5.9779) * CHOOSE(CONTROL!$C$21, $C$9, 100%, $E$9)</f>
        <v>5.9779</v>
      </c>
      <c r="P84" s="14">
        <f>CHOOSE(CONTROL!$C$42, 5.9012, 5.9012) * CHOOSE(CONTROL!$C$21, $C$9, 100%, $E$9)</f>
        <v>5.9012000000000002</v>
      </c>
      <c r="Q84" s="14">
        <f>CHOOSE(CONTROL!$C$42, 6.5732, 6.5732) * CHOOSE(CONTROL!$C$21, $C$9, 100%, $E$9)</f>
        <v>6.5731999999999999</v>
      </c>
      <c r="R84" s="14">
        <f>CHOOSE(CONTROL!$C$42, 7.1766, 7.1766) * CHOOSE(CONTROL!$C$21, $C$9, 100%, $E$9)</f>
        <v>7.1765999999999996</v>
      </c>
      <c r="S84" s="14">
        <f>CHOOSE(CONTROL!$C$42, 5.7602, 5.7602) * CHOOSE(CONTROL!$C$21, $C$9, 100%, $E$9)</f>
        <v>5.7602000000000002</v>
      </c>
      <c r="T8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4" s="57">
        <f>(1000*CHOOSE(CONTROL!$C$42, 695, 695)*CHOOSE(CONTROL!$C$42, 0.5599, 0.5599)*CHOOSE(CONTROL!$C$42, 31, 31))/1000000</f>
        <v>12.063045499999998</v>
      </c>
      <c r="V84" s="57">
        <f>(1000*CHOOSE(CONTROL!$C$42, 500, 500)*CHOOSE(CONTROL!$C$42, 0.275, 0.275)*CHOOSE(CONTROL!$C$42, 31, 31))/1000000</f>
        <v>4.2625000000000002</v>
      </c>
      <c r="W84" s="57">
        <f>(1000*CHOOSE(CONTROL!$C$42, 0.1146, 0.1146)*CHOOSE(CONTROL!$C$42, 121.5, 121.5)*CHOOSE(CONTROL!$C$42, 31, 31))/1000000</f>
        <v>0.43164089999999994</v>
      </c>
      <c r="X84" s="57">
        <f>(31*0.1790888*100000/1000000)+(31*0.2374*100000/1000000)</f>
        <v>1.2911152800000001</v>
      </c>
      <c r="Y84" s="57"/>
      <c r="Z84" s="14"/>
      <c r="AA84" s="56"/>
      <c r="AB84" s="50">
        <f>(B84*122.58+C84*297.941+D84*89.177+E84*40.302+F84*40+G84*160+H84*0+I84*100+J84*300)/(122.58+297.941+89.177+40.302+0+40+160+100+300)</f>
        <v>5.9468551324347816</v>
      </c>
      <c r="AC84" s="45">
        <f>(M84*'RAP TEMPLATE-GAS AVAILABILITY'!O83+N84*'RAP TEMPLATE-GAS AVAILABILITY'!P83+O84*'RAP TEMPLATE-GAS AVAILABILITY'!Q83+P84*'RAP TEMPLATE-GAS AVAILABILITY'!R83)/('RAP TEMPLATE-GAS AVAILABILITY'!O83+'RAP TEMPLATE-GAS AVAILABILITY'!P83+'RAP TEMPLATE-GAS AVAILABILITY'!Q83+'RAP TEMPLATE-GAS AVAILABILITY'!R83)</f>
        <v>5.9298280575539559</v>
      </c>
    </row>
    <row r="85" spans="1:29" ht="15.75" x14ac:dyDescent="0.25">
      <c r="A85" s="13">
        <v>43466</v>
      </c>
      <c r="B85" s="14">
        <f>CHOOSE(CONTROL!$C$42, 6.3455, 6.3455) * CHOOSE(CONTROL!$C$21, $C$9, 100%, $E$9)</f>
        <v>6.3455000000000004</v>
      </c>
      <c r="C85" s="14">
        <f>CHOOSE(CONTROL!$C$42, 6.3504, 6.3504) * CHOOSE(CONTROL!$C$21, $C$9, 100%, $E$9)</f>
        <v>6.3503999999999996</v>
      </c>
      <c r="D85" s="14">
        <f>CHOOSE(CONTROL!$C$42, 6.4147, 6.4147) * CHOOSE(CONTROL!$C$21, $C$9, 100%, $E$9)</f>
        <v>6.4146999999999998</v>
      </c>
      <c r="E85" s="14">
        <f>CHOOSE(CONTROL!$C$42, 6.4485, 6.4485) * CHOOSE(CONTROL!$C$21, $C$9, 100%, $E$9)</f>
        <v>6.4485000000000001</v>
      </c>
      <c r="F85" s="14">
        <f>CHOOSE(CONTROL!$C$42, 6.347, 6.347)*CHOOSE(CONTROL!$C$21, $C$9, 100%, $E$9)</f>
        <v>6.3470000000000004</v>
      </c>
      <c r="G85" s="14">
        <f>CHOOSE(CONTROL!$C$42, 6.3629, 6.3629)*CHOOSE(CONTROL!$C$21, $C$9, 100%, $E$9)</f>
        <v>6.3628999999999998</v>
      </c>
      <c r="H85" s="14">
        <f>CHOOSE(CONTROL!$C$42, 6.4377, 6.4377) * CHOOSE(CONTROL!$C$21, $C$9, 100%, $E$9)</f>
        <v>6.4377000000000004</v>
      </c>
      <c r="I85" s="14">
        <f>CHOOSE(CONTROL!$C$42, 6.3654, 6.3654)* CHOOSE(CONTROL!$C$21, $C$9, 100%, $E$9)</f>
        <v>6.3654000000000002</v>
      </c>
      <c r="J85" s="14">
        <f>CHOOSE(CONTROL!$C$42, 6.34, 6.34)* CHOOSE(CONTROL!$C$21, $C$9, 100%, $E$9)</f>
        <v>6.34</v>
      </c>
      <c r="K85" s="53">
        <f>CHOOSE(CONTROL!$C$42, 6.3616, 6.3616) * CHOOSE(CONTROL!$C$21, $C$9, 100%, $E$9)</f>
        <v>6.3616000000000001</v>
      </c>
      <c r="L85" s="14">
        <f>CHOOSE(CONTROL!$C$42, 7.0247, 7.0247) * CHOOSE(CONTROL!$C$21, $C$9, 100%, $E$9)</f>
        <v>7.0247000000000002</v>
      </c>
      <c r="M85" s="14">
        <f>CHOOSE(CONTROL!$C$42, 6.2898, 6.2898) * CHOOSE(CONTROL!$C$21, $C$9, 100%, $E$9)</f>
        <v>6.2897999999999996</v>
      </c>
      <c r="N85" s="14">
        <f>CHOOSE(CONTROL!$C$42, 6.3056, 6.3056) * CHOOSE(CONTROL!$C$21, $C$9, 100%, $E$9)</f>
        <v>6.3056000000000001</v>
      </c>
      <c r="O85" s="14">
        <f>CHOOSE(CONTROL!$C$42, 6.3865, 6.3865) * CHOOSE(CONTROL!$C$21, $C$9, 100%, $E$9)</f>
        <v>6.3864999999999998</v>
      </c>
      <c r="P85" s="14">
        <f>CHOOSE(CONTROL!$C$42, 6.3151, 6.3151) * CHOOSE(CONTROL!$C$21, $C$9, 100%, $E$9)</f>
        <v>6.3151000000000002</v>
      </c>
      <c r="Q85" s="14">
        <f>CHOOSE(CONTROL!$C$42, 6.9818, 6.9818) * CHOOSE(CONTROL!$C$21, $C$9, 100%, $E$9)</f>
        <v>6.9817999999999998</v>
      </c>
      <c r="R85" s="14">
        <f>CHOOSE(CONTROL!$C$42, 7.5863, 7.5863) * CHOOSE(CONTROL!$C$21, $C$9, 100%, $E$9)</f>
        <v>7.5862999999999996</v>
      </c>
      <c r="S85" s="14">
        <f>CHOOSE(CONTROL!$C$42, 6.1599, 6.1599) * CHOOSE(CONTROL!$C$21, $C$9, 100%, $E$9)</f>
        <v>6.1599000000000004</v>
      </c>
      <c r="T8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5" s="57">
        <f>(1000*CHOOSE(CONTROL!$C$42, 695, 695)*CHOOSE(CONTROL!$C$42, 0.5599, 0.5599)*CHOOSE(CONTROL!$C$42, 31, 31))/1000000</f>
        <v>12.063045499999998</v>
      </c>
      <c r="V85" s="57">
        <f>(1000*CHOOSE(CONTROL!$C$42, 500, 500)*CHOOSE(CONTROL!$C$42, 0.275, 0.275)*CHOOSE(CONTROL!$C$42, 31, 31))/1000000</f>
        <v>4.2625000000000002</v>
      </c>
      <c r="W85" s="57">
        <f>(1000*CHOOSE(CONTROL!$C$42, 0.1146, 0.1146)*CHOOSE(CONTROL!$C$42, 121.5, 121.5)*CHOOSE(CONTROL!$C$42, 31, 31))/1000000</f>
        <v>0.43164089999999994</v>
      </c>
      <c r="X85" s="57">
        <f>(31*0.1790888*100000/1000000)+(31*0.2374*100000/1000000)</f>
        <v>1.2911152800000001</v>
      </c>
      <c r="Y85" s="57"/>
      <c r="Z85" s="14"/>
      <c r="AA85" s="56"/>
      <c r="AB85" s="50">
        <f>(B85*122.58+C85*297.941+D85*89.177+E85*40.302+F85*40+G85*160+H85*0+I85*100+J85*300)/(122.58+297.941+89.177+40.302+0+40+160+100+300)</f>
        <v>6.3585139698260873</v>
      </c>
      <c r="AC85" s="45">
        <f>(M85*'RAP TEMPLATE-GAS AVAILABILITY'!O84+N85*'RAP TEMPLATE-GAS AVAILABILITY'!P84+O85*'RAP TEMPLATE-GAS AVAILABILITY'!Q84+P85*'RAP TEMPLATE-GAS AVAILABILITY'!R84)/('RAP TEMPLATE-GAS AVAILABILITY'!O84+'RAP TEMPLATE-GAS AVAILABILITY'!P84+'RAP TEMPLATE-GAS AVAILABILITY'!Q84+'RAP TEMPLATE-GAS AVAILABILITY'!R84)</f>
        <v>6.3381776978417257</v>
      </c>
    </row>
    <row r="86" spans="1:29" ht="15.75" x14ac:dyDescent="0.25">
      <c r="A86" s="13">
        <v>43497</v>
      </c>
      <c r="B86" s="14">
        <f>CHOOSE(CONTROL!$C$42, 6.4584, 6.4584) * CHOOSE(CONTROL!$C$21, $C$9, 100%, $E$9)</f>
        <v>6.4584000000000001</v>
      </c>
      <c r="C86" s="14">
        <f>CHOOSE(CONTROL!$C$42, 6.4633, 6.4633) * CHOOSE(CONTROL!$C$21, $C$9, 100%, $E$9)</f>
        <v>6.4633000000000003</v>
      </c>
      <c r="D86" s="14">
        <f>CHOOSE(CONTROL!$C$42, 6.5276, 6.5276) * CHOOSE(CONTROL!$C$21, $C$9, 100%, $E$9)</f>
        <v>6.5275999999999996</v>
      </c>
      <c r="E86" s="14">
        <f>CHOOSE(CONTROL!$C$42, 6.5614, 6.5614) * CHOOSE(CONTROL!$C$21, $C$9, 100%, $E$9)</f>
        <v>6.5613999999999999</v>
      </c>
      <c r="F86" s="14">
        <f>CHOOSE(CONTROL!$C$42, 6.4599, 6.4599)*CHOOSE(CONTROL!$C$21, $C$9, 100%, $E$9)</f>
        <v>6.4599000000000002</v>
      </c>
      <c r="G86" s="14">
        <f>CHOOSE(CONTROL!$C$42, 6.4759, 6.4759)*CHOOSE(CONTROL!$C$21, $C$9, 100%, $E$9)</f>
        <v>6.4759000000000002</v>
      </c>
      <c r="H86" s="14">
        <f>CHOOSE(CONTROL!$C$42, 6.5506, 6.5506) * CHOOSE(CONTROL!$C$21, $C$9, 100%, $E$9)</f>
        <v>6.5506000000000002</v>
      </c>
      <c r="I86" s="14">
        <f>CHOOSE(CONTROL!$C$42, 6.4783, 6.4783)* CHOOSE(CONTROL!$C$21, $C$9, 100%, $E$9)</f>
        <v>6.4782999999999999</v>
      </c>
      <c r="J86" s="14">
        <f>CHOOSE(CONTROL!$C$42, 6.4529, 6.4529)* CHOOSE(CONTROL!$C$21, $C$9, 100%, $E$9)</f>
        <v>6.4528999999999996</v>
      </c>
      <c r="K86" s="53">
        <f>CHOOSE(CONTROL!$C$42, 6.4745, 6.4745) * CHOOSE(CONTROL!$C$21, $C$9, 100%, $E$9)</f>
        <v>6.4744999999999999</v>
      </c>
      <c r="L86" s="14">
        <f>CHOOSE(CONTROL!$C$42, 7.1376, 7.1376) * CHOOSE(CONTROL!$C$21, $C$9, 100%, $E$9)</f>
        <v>7.1375999999999999</v>
      </c>
      <c r="M86" s="14">
        <f>CHOOSE(CONTROL!$C$42, 6.4016, 6.4016) * CHOOSE(CONTROL!$C$21, $C$9, 100%, $E$9)</f>
        <v>6.4016000000000002</v>
      </c>
      <c r="N86" s="14">
        <f>CHOOSE(CONTROL!$C$42, 6.4174, 6.4174) * CHOOSE(CONTROL!$C$21, $C$9, 100%, $E$9)</f>
        <v>6.4173999999999998</v>
      </c>
      <c r="O86" s="14">
        <f>CHOOSE(CONTROL!$C$42, 6.4983, 6.4983) * CHOOSE(CONTROL!$C$21, $C$9, 100%, $E$9)</f>
        <v>6.4983000000000004</v>
      </c>
      <c r="P86" s="14">
        <f>CHOOSE(CONTROL!$C$42, 6.4268, 6.4268) * CHOOSE(CONTROL!$C$21, $C$9, 100%, $E$9)</f>
        <v>6.4268000000000001</v>
      </c>
      <c r="Q86" s="14">
        <f>CHOOSE(CONTROL!$C$42, 7.0936, 7.0936) * CHOOSE(CONTROL!$C$21, $C$9, 100%, $E$9)</f>
        <v>7.0936000000000003</v>
      </c>
      <c r="R86" s="14">
        <f>CHOOSE(CONTROL!$C$42, 7.6983, 7.6983) * CHOOSE(CONTROL!$C$21, $C$9, 100%, $E$9)</f>
        <v>7.6982999999999997</v>
      </c>
      <c r="S86" s="14">
        <f>CHOOSE(CONTROL!$C$42, 6.2696, 6.2696) * CHOOSE(CONTROL!$C$21, $C$9, 100%, $E$9)</f>
        <v>6.2695999999999996</v>
      </c>
      <c r="T8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6" s="57">
        <f>(1000*CHOOSE(CONTROL!$C$42, 695, 695)*CHOOSE(CONTROL!$C$42, 0.5599, 0.5599)*CHOOSE(CONTROL!$C$42, 28, 28))/1000000</f>
        <v>10.895653999999999</v>
      </c>
      <c r="V86" s="57">
        <f>(1000*CHOOSE(CONTROL!$C$42, 500, 500)*CHOOSE(CONTROL!$C$42, 0.275, 0.275)*CHOOSE(CONTROL!$C$42, 28, 28))/1000000</f>
        <v>3.85</v>
      </c>
      <c r="W86" s="57">
        <f>(1000*CHOOSE(CONTROL!$C$42, 0.1146, 0.1146)*CHOOSE(CONTROL!$C$42, 121.5, 121.5)*CHOOSE(CONTROL!$C$42, 28, 28))/1000000</f>
        <v>0.38986920000000003</v>
      </c>
      <c r="X86" s="57">
        <f>(28*0.1790888*100000/1000000)+(28*0.2374*100000/1000000)</f>
        <v>1.16616864</v>
      </c>
      <c r="Y86" s="57"/>
      <c r="Z86" s="14"/>
      <c r="AA86" s="56"/>
      <c r="AB86" s="50">
        <f>(B86*122.58+C86*297.941+D86*89.177+E86*40.302+F86*40+G86*160+H86*0+I86*100+J86*300)/(122.58+297.941+89.177+40.302+0+40+160+100+300)</f>
        <v>6.4714278828695653</v>
      </c>
      <c r="AC86" s="45">
        <f>(M86*'RAP TEMPLATE-GAS AVAILABILITY'!O85+N86*'RAP TEMPLATE-GAS AVAILABILITY'!P85+O86*'RAP TEMPLATE-GAS AVAILABILITY'!Q85+P86*'RAP TEMPLATE-GAS AVAILABILITY'!R85)/('RAP TEMPLATE-GAS AVAILABILITY'!O85+'RAP TEMPLATE-GAS AVAILABILITY'!P85+'RAP TEMPLATE-GAS AVAILABILITY'!Q85+'RAP TEMPLATE-GAS AVAILABILITY'!R85)</f>
        <v>6.4499633093525182</v>
      </c>
    </row>
    <row r="87" spans="1:29" ht="15.75" x14ac:dyDescent="0.25">
      <c r="A87" s="13">
        <v>43525</v>
      </c>
      <c r="B87" s="14">
        <f>CHOOSE(CONTROL!$C$42, 6.2751, 6.2751) * CHOOSE(CONTROL!$C$21, $C$9, 100%, $E$9)</f>
        <v>6.2751000000000001</v>
      </c>
      <c r="C87" s="14">
        <f>CHOOSE(CONTROL!$C$42, 6.2801, 6.2801) * CHOOSE(CONTROL!$C$21, $C$9, 100%, $E$9)</f>
        <v>6.2801</v>
      </c>
      <c r="D87" s="14">
        <f>CHOOSE(CONTROL!$C$42, 6.3443, 6.3443) * CHOOSE(CONTROL!$C$21, $C$9, 100%, $E$9)</f>
        <v>6.3442999999999996</v>
      </c>
      <c r="E87" s="14">
        <f>CHOOSE(CONTROL!$C$42, 6.3781, 6.3781) * CHOOSE(CONTROL!$C$21, $C$9, 100%, $E$9)</f>
        <v>6.3780999999999999</v>
      </c>
      <c r="F87" s="14">
        <f>CHOOSE(CONTROL!$C$42, 6.2763, 6.2763)*CHOOSE(CONTROL!$C$21, $C$9, 100%, $E$9)</f>
        <v>6.2763</v>
      </c>
      <c r="G87" s="14">
        <f>CHOOSE(CONTROL!$C$42, 6.2922, 6.2922)*CHOOSE(CONTROL!$C$21, $C$9, 100%, $E$9)</f>
        <v>6.2922000000000002</v>
      </c>
      <c r="H87" s="14">
        <f>CHOOSE(CONTROL!$C$42, 6.3673, 6.3673) * CHOOSE(CONTROL!$C$21, $C$9, 100%, $E$9)</f>
        <v>6.3673000000000002</v>
      </c>
      <c r="I87" s="14">
        <f>CHOOSE(CONTROL!$C$42, 6.2951, 6.2951)* CHOOSE(CONTROL!$C$21, $C$9, 100%, $E$9)</f>
        <v>6.2950999999999997</v>
      </c>
      <c r="J87" s="14">
        <f>CHOOSE(CONTROL!$C$42, 6.2693, 6.2693)* CHOOSE(CONTROL!$C$21, $C$9, 100%, $E$9)</f>
        <v>6.2693000000000003</v>
      </c>
      <c r="K87" s="53">
        <f>CHOOSE(CONTROL!$C$42, 6.2912, 6.2912) * CHOOSE(CONTROL!$C$21, $C$9, 100%, $E$9)</f>
        <v>6.2911999999999999</v>
      </c>
      <c r="L87" s="14">
        <f>CHOOSE(CONTROL!$C$42, 6.9543, 6.9543) * CHOOSE(CONTROL!$C$21, $C$9, 100%, $E$9)</f>
        <v>6.9542999999999999</v>
      </c>
      <c r="M87" s="14">
        <f>CHOOSE(CONTROL!$C$42, 6.2199, 6.2199) * CHOOSE(CONTROL!$C$21, $C$9, 100%, $E$9)</f>
        <v>6.2199</v>
      </c>
      <c r="N87" s="14">
        <f>CHOOSE(CONTROL!$C$42, 6.2356, 6.2356) * CHOOSE(CONTROL!$C$21, $C$9, 100%, $E$9)</f>
        <v>6.2355999999999998</v>
      </c>
      <c r="O87" s="14">
        <f>CHOOSE(CONTROL!$C$42, 6.3169, 6.3169) * CHOOSE(CONTROL!$C$21, $C$9, 100%, $E$9)</f>
        <v>6.3169000000000004</v>
      </c>
      <c r="P87" s="14">
        <f>CHOOSE(CONTROL!$C$42, 6.2454, 6.2454) * CHOOSE(CONTROL!$C$21, $C$9, 100%, $E$9)</f>
        <v>6.2454000000000001</v>
      </c>
      <c r="Q87" s="14">
        <f>CHOOSE(CONTROL!$C$42, 6.9122, 6.9122) * CHOOSE(CONTROL!$C$21, $C$9, 100%, $E$9)</f>
        <v>6.9122000000000003</v>
      </c>
      <c r="R87" s="14">
        <f>CHOOSE(CONTROL!$C$42, 7.5165, 7.5165) * CHOOSE(CONTROL!$C$21, $C$9, 100%, $E$9)</f>
        <v>7.5164999999999997</v>
      </c>
      <c r="S87" s="14">
        <f>CHOOSE(CONTROL!$C$42, 6.0916, 6.0916) * CHOOSE(CONTROL!$C$21, $C$9, 100%, $E$9)</f>
        <v>6.0915999999999997</v>
      </c>
      <c r="T8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7" s="57">
        <f>(1000*CHOOSE(CONTROL!$C$42, 695, 695)*CHOOSE(CONTROL!$C$42, 0.5599, 0.5599)*CHOOSE(CONTROL!$C$42, 31, 31))/1000000</f>
        <v>12.063045499999998</v>
      </c>
      <c r="V87" s="57">
        <f>(1000*CHOOSE(CONTROL!$C$42, 500, 500)*CHOOSE(CONTROL!$C$42, 0.275, 0.275)*CHOOSE(CONTROL!$C$42, 31, 31))/1000000</f>
        <v>4.2625000000000002</v>
      </c>
      <c r="W87" s="57">
        <f>(1000*CHOOSE(CONTROL!$C$42, 0.1146, 0.1146)*CHOOSE(CONTROL!$C$42, 121.5, 121.5)*CHOOSE(CONTROL!$C$42, 31, 31))/1000000</f>
        <v>0.43164089999999994</v>
      </c>
      <c r="X87" s="57">
        <f>(31*0.1790888*100000/1000000)+(31*0.2374*100000/1000000)</f>
        <v>1.2911152800000001</v>
      </c>
      <c r="Y87" s="57"/>
      <c r="Z87" s="14"/>
      <c r="AA87" s="56"/>
      <c r="AB87" s="50">
        <f>(B87*122.58+C87*297.941+D87*89.177+E87*40.302+F87*40+G87*160+H87*0+I87*100+J87*300)/(122.58+297.941+89.177+40.302+0+40+160+100+300)</f>
        <v>6.2880181386086962</v>
      </c>
      <c r="AC87" s="45">
        <f>(M87*'RAP TEMPLATE-GAS AVAILABILITY'!O86+N87*'RAP TEMPLATE-GAS AVAILABILITY'!P86+O87*'RAP TEMPLATE-GAS AVAILABILITY'!Q86+P87*'RAP TEMPLATE-GAS AVAILABILITY'!R86)/('RAP TEMPLATE-GAS AVAILABILITY'!O86+'RAP TEMPLATE-GAS AVAILABILITY'!P86+'RAP TEMPLATE-GAS AVAILABILITY'!Q86+'RAP TEMPLATE-GAS AVAILABILITY'!R86)</f>
        <v>6.2684366906474827</v>
      </c>
    </row>
    <row r="88" spans="1:29" ht="15.75" x14ac:dyDescent="0.25">
      <c r="A88" s="13">
        <v>43556</v>
      </c>
      <c r="B88" s="14">
        <f>CHOOSE(CONTROL!$C$42, 6.2575, 6.2575) * CHOOSE(CONTROL!$C$21, $C$9, 100%, $E$9)</f>
        <v>6.2575000000000003</v>
      </c>
      <c r="C88" s="14">
        <f>CHOOSE(CONTROL!$C$42, 6.2619, 6.2619) * CHOOSE(CONTROL!$C$21, $C$9, 100%, $E$9)</f>
        <v>6.2618999999999998</v>
      </c>
      <c r="D88" s="14">
        <f>CHOOSE(CONTROL!$C$42, 6.4626, 6.4626) * CHOOSE(CONTROL!$C$21, $C$9, 100%, $E$9)</f>
        <v>6.4626000000000001</v>
      </c>
      <c r="E88" s="14">
        <f>CHOOSE(CONTROL!$C$42, 6.4944, 6.4944) * CHOOSE(CONTROL!$C$21, $C$9, 100%, $E$9)</f>
        <v>6.4943999999999997</v>
      </c>
      <c r="F88" s="14">
        <f>CHOOSE(CONTROL!$C$42, 6.2421, 6.2421)*CHOOSE(CONTROL!$C$21, $C$9, 100%, $E$9)</f>
        <v>6.2420999999999998</v>
      </c>
      <c r="G88" s="14">
        <f>CHOOSE(CONTROL!$C$42, 6.2577, 6.2577)*CHOOSE(CONTROL!$C$21, $C$9, 100%, $E$9)</f>
        <v>6.2576999999999998</v>
      </c>
      <c r="H88" s="14">
        <f>CHOOSE(CONTROL!$C$42, 6.4842, 6.4842) * CHOOSE(CONTROL!$C$21, $C$9, 100%, $E$9)</f>
        <v>6.4842000000000004</v>
      </c>
      <c r="I88" s="14">
        <f>CHOOSE(CONTROL!$C$42, 6.2703, 6.2703)* CHOOSE(CONTROL!$C$21, $C$9, 100%, $E$9)</f>
        <v>6.2702999999999998</v>
      </c>
      <c r="J88" s="14">
        <f>CHOOSE(CONTROL!$C$42, 6.2351, 6.2351)* CHOOSE(CONTROL!$C$21, $C$9, 100%, $E$9)</f>
        <v>6.2351000000000001</v>
      </c>
      <c r="K88" s="53">
        <f>CHOOSE(CONTROL!$C$42, 6.2664, 6.2664) * CHOOSE(CONTROL!$C$21, $C$9, 100%, $E$9)</f>
        <v>6.2664</v>
      </c>
      <c r="L88" s="14">
        <f>CHOOSE(CONTROL!$C$42, 7.0712, 7.0712) * CHOOSE(CONTROL!$C$21, $C$9, 100%, $E$9)</f>
        <v>7.0712000000000002</v>
      </c>
      <c r="M88" s="14">
        <f>CHOOSE(CONTROL!$C$42, 6.186, 6.186) * CHOOSE(CONTROL!$C$21, $C$9, 100%, $E$9)</f>
        <v>6.1859999999999999</v>
      </c>
      <c r="N88" s="14">
        <f>CHOOSE(CONTROL!$C$42, 6.2014, 6.2014) * CHOOSE(CONTROL!$C$21, $C$9, 100%, $E$9)</f>
        <v>6.2013999999999996</v>
      </c>
      <c r="O88" s="14">
        <f>CHOOSE(CONTROL!$C$42, 6.4325, 6.4325) * CHOOSE(CONTROL!$C$21, $C$9, 100%, $E$9)</f>
        <v>6.4325000000000001</v>
      </c>
      <c r="P88" s="14">
        <f>CHOOSE(CONTROL!$C$42, 6.2208, 6.2208) * CHOOSE(CONTROL!$C$21, $C$9, 100%, $E$9)</f>
        <v>6.2207999999999997</v>
      </c>
      <c r="Q88" s="14">
        <f>CHOOSE(CONTROL!$C$42, 7.0278, 7.0278) * CHOOSE(CONTROL!$C$21, $C$9, 100%, $E$9)</f>
        <v>7.0278</v>
      </c>
      <c r="R88" s="14">
        <f>CHOOSE(CONTROL!$C$42, 7.6324, 7.6324) * CHOOSE(CONTROL!$C$21, $C$9, 100%, $E$9)</f>
        <v>7.6323999999999996</v>
      </c>
      <c r="S88" s="14">
        <f>CHOOSE(CONTROL!$C$42, 6.0738, 6.0738) * CHOOSE(CONTROL!$C$21, $C$9, 100%, $E$9)</f>
        <v>6.0738000000000003</v>
      </c>
      <c r="T8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8" s="57">
        <f>(1000*CHOOSE(CONTROL!$C$42, 695, 695)*CHOOSE(CONTROL!$C$42, 0.5599, 0.5599)*CHOOSE(CONTROL!$C$42, 30, 30))/1000000</f>
        <v>11.673914999999997</v>
      </c>
      <c r="V88" s="57">
        <f>(1000*CHOOSE(CONTROL!$C$42, 500, 500)*CHOOSE(CONTROL!$C$42, 0.275, 0.275)*CHOOSE(CONTROL!$C$42, 30, 30))/1000000</f>
        <v>4.125</v>
      </c>
      <c r="W88" s="57">
        <f>(1000*CHOOSE(CONTROL!$C$42, 0.1146, 0.1146)*CHOOSE(CONTROL!$C$42, 121.5, 121.5)*CHOOSE(CONTROL!$C$42, 30, 30))/1000000</f>
        <v>0.417717</v>
      </c>
      <c r="X88" s="57">
        <f>(30*0.1790888*245000/1000000)+(30*0.2374*100000/1000000)</f>
        <v>2.0285026799999999</v>
      </c>
      <c r="Y88" s="57"/>
      <c r="Z88" s="14"/>
      <c r="AA88" s="56"/>
      <c r="AB88" s="50">
        <f>(B88*141.293+C88*267.993+D88*115.016+E88*89.698+F88*40+G88*185+H88*0+I88*100+J88*300)/(141.293+267.993+115.016+89.698+0+40+185+100+300)</f>
        <v>6.289783621468926</v>
      </c>
      <c r="AC88" s="45">
        <f>(M88*'RAP TEMPLATE-GAS AVAILABILITY'!O87+N88*'RAP TEMPLATE-GAS AVAILABILITY'!P87+O88*'RAP TEMPLATE-GAS AVAILABILITY'!Q87+P88*'RAP TEMPLATE-GAS AVAILABILITY'!R87)/('RAP TEMPLATE-GAS AVAILABILITY'!O87+'RAP TEMPLATE-GAS AVAILABILITY'!P87+'RAP TEMPLATE-GAS AVAILABILITY'!Q87+'RAP TEMPLATE-GAS AVAILABILITY'!R87)</f>
        <v>6.2637143884892073</v>
      </c>
    </row>
    <row r="89" spans="1:29" ht="15.75" x14ac:dyDescent="0.25">
      <c r="A89" s="13">
        <v>43586</v>
      </c>
      <c r="B89" s="14">
        <f>CHOOSE(CONTROL!$C$42, 6.3141, 6.3141) * CHOOSE(CONTROL!$C$21, $C$9, 100%, $E$9)</f>
        <v>6.3140999999999998</v>
      </c>
      <c r="C89" s="14">
        <f>CHOOSE(CONTROL!$C$42, 6.322, 6.322) * CHOOSE(CONTROL!$C$21, $C$9, 100%, $E$9)</f>
        <v>6.3220000000000001</v>
      </c>
      <c r="D89" s="14">
        <f>CHOOSE(CONTROL!$C$42, 6.5196, 6.5196) * CHOOSE(CONTROL!$C$21, $C$9, 100%, $E$9)</f>
        <v>6.5195999999999996</v>
      </c>
      <c r="E89" s="14">
        <f>CHOOSE(CONTROL!$C$42, 6.5507, 6.5507) * CHOOSE(CONTROL!$C$21, $C$9, 100%, $E$9)</f>
        <v>6.5507</v>
      </c>
      <c r="F89" s="14">
        <f>CHOOSE(CONTROL!$C$42, 6.2975, 6.2975)*CHOOSE(CONTROL!$C$21, $C$9, 100%, $E$9)</f>
        <v>6.2975000000000003</v>
      </c>
      <c r="G89" s="14">
        <f>CHOOSE(CONTROL!$C$42, 6.3136, 6.3136)*CHOOSE(CONTROL!$C$21, $C$9, 100%, $E$9)</f>
        <v>6.3136000000000001</v>
      </c>
      <c r="H89" s="14">
        <f>CHOOSE(CONTROL!$C$42, 6.5393, 6.5393) * CHOOSE(CONTROL!$C$21, $C$9, 100%, $E$9)</f>
        <v>6.5392999999999999</v>
      </c>
      <c r="I89" s="14">
        <f>CHOOSE(CONTROL!$C$42, 6.3254, 6.3254)* CHOOSE(CONTROL!$C$21, $C$9, 100%, $E$9)</f>
        <v>6.3254000000000001</v>
      </c>
      <c r="J89" s="14">
        <f>CHOOSE(CONTROL!$C$42, 6.2905, 6.2905)* CHOOSE(CONTROL!$C$21, $C$9, 100%, $E$9)</f>
        <v>6.2904999999999998</v>
      </c>
      <c r="K89" s="53">
        <f>CHOOSE(CONTROL!$C$42, 6.3216, 6.3216) * CHOOSE(CONTROL!$C$21, $C$9, 100%, $E$9)</f>
        <v>6.3216000000000001</v>
      </c>
      <c r="L89" s="14">
        <f>CHOOSE(CONTROL!$C$42, 7.1263, 7.1263) * CHOOSE(CONTROL!$C$21, $C$9, 100%, $E$9)</f>
        <v>7.1262999999999996</v>
      </c>
      <c r="M89" s="14">
        <f>CHOOSE(CONTROL!$C$42, 6.2408, 6.2408) * CHOOSE(CONTROL!$C$21, $C$9, 100%, $E$9)</f>
        <v>6.2408000000000001</v>
      </c>
      <c r="N89" s="14">
        <f>CHOOSE(CONTROL!$C$42, 6.2568, 6.2568) * CHOOSE(CONTROL!$C$21, $C$9, 100%, $E$9)</f>
        <v>6.2568000000000001</v>
      </c>
      <c r="O89" s="14">
        <f>CHOOSE(CONTROL!$C$42, 6.4872, 6.4872) * CHOOSE(CONTROL!$C$21, $C$9, 100%, $E$9)</f>
        <v>6.4871999999999996</v>
      </c>
      <c r="P89" s="14">
        <f>CHOOSE(CONTROL!$C$42, 6.2755, 6.2755) * CHOOSE(CONTROL!$C$21, $C$9, 100%, $E$9)</f>
        <v>6.2755000000000001</v>
      </c>
      <c r="Q89" s="14">
        <f>CHOOSE(CONTROL!$C$42, 7.0825, 7.0825) * CHOOSE(CONTROL!$C$21, $C$9, 100%, $E$9)</f>
        <v>7.0824999999999996</v>
      </c>
      <c r="R89" s="14">
        <f>CHOOSE(CONTROL!$C$42, 7.6872, 7.6872) * CHOOSE(CONTROL!$C$21, $C$9, 100%, $E$9)</f>
        <v>7.6871999999999998</v>
      </c>
      <c r="S89" s="14">
        <f>CHOOSE(CONTROL!$C$42, 6.1274, 6.1274) * CHOOSE(CONTROL!$C$21, $C$9, 100%, $E$9)</f>
        <v>6.1273999999999997</v>
      </c>
      <c r="T8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9" s="57">
        <f>(1000*CHOOSE(CONTROL!$C$42, 695, 695)*CHOOSE(CONTROL!$C$42, 0.5599, 0.5599)*CHOOSE(CONTROL!$C$42, 31, 31))/1000000</f>
        <v>12.063045499999998</v>
      </c>
      <c r="V89" s="57">
        <f>(1000*CHOOSE(CONTROL!$C$42, 500, 500)*CHOOSE(CONTROL!$C$42, 0.275, 0.275)*CHOOSE(CONTROL!$C$42, 31, 31))/1000000</f>
        <v>4.2625000000000002</v>
      </c>
      <c r="W89" s="57">
        <f>(1000*CHOOSE(CONTROL!$C$42, 0.1146, 0.1146)*CHOOSE(CONTROL!$C$42, 121.5, 121.5)*CHOOSE(CONTROL!$C$42, 31, 31))/1000000</f>
        <v>0.43164089999999994</v>
      </c>
      <c r="X89" s="57">
        <f>(31*0.1790888*245000/1000000)+(31*0.2374*100000/1000000)</f>
        <v>2.0961194359999999</v>
      </c>
      <c r="Y89" s="57"/>
      <c r="Z89" s="14"/>
      <c r="AA89" s="56"/>
      <c r="AB89" s="50">
        <f>(B89*194.205+C89*267.466+D89*133.845+E89*53.484+F89*40+G89*185+H89*0+I89*100+J89*300)/(194.205+267.466+133.845+53.484+0+40+185+100+300)</f>
        <v>6.3420167529827305</v>
      </c>
      <c r="AC89" s="45">
        <f>(M89*'RAP TEMPLATE-GAS AVAILABILITY'!O88+N89*'RAP TEMPLATE-GAS AVAILABILITY'!P88+O89*'RAP TEMPLATE-GAS AVAILABILITY'!Q88+P89*'RAP TEMPLATE-GAS AVAILABILITY'!R88)/('RAP TEMPLATE-GAS AVAILABILITY'!O88+'RAP TEMPLATE-GAS AVAILABILITY'!P88+'RAP TEMPLATE-GAS AVAILABILITY'!Q88+'RAP TEMPLATE-GAS AVAILABILITY'!R88)</f>
        <v>6.3186100719424463</v>
      </c>
    </row>
    <row r="90" spans="1:29" ht="15.75" x14ac:dyDescent="0.25">
      <c r="A90" s="13">
        <v>43617</v>
      </c>
      <c r="B90" s="14">
        <f>CHOOSE(CONTROL!$C$42, 6.493, 6.493) * CHOOSE(CONTROL!$C$21, $C$9, 100%, $E$9)</f>
        <v>6.4930000000000003</v>
      </c>
      <c r="C90" s="14">
        <f>CHOOSE(CONTROL!$C$42, 6.5009, 6.5009) * CHOOSE(CONTROL!$C$21, $C$9, 100%, $E$9)</f>
        <v>6.5008999999999997</v>
      </c>
      <c r="D90" s="14">
        <f>CHOOSE(CONTROL!$C$42, 6.6985, 6.6985) * CHOOSE(CONTROL!$C$21, $C$9, 100%, $E$9)</f>
        <v>6.6985000000000001</v>
      </c>
      <c r="E90" s="14">
        <f>CHOOSE(CONTROL!$C$42, 6.7297, 6.7297) * CHOOSE(CONTROL!$C$21, $C$9, 100%, $E$9)</f>
        <v>6.7297000000000002</v>
      </c>
      <c r="F90" s="14">
        <f>CHOOSE(CONTROL!$C$42, 6.4769, 6.4769)*CHOOSE(CONTROL!$C$21, $C$9, 100%, $E$9)</f>
        <v>6.4768999999999997</v>
      </c>
      <c r="G90" s="14">
        <f>CHOOSE(CONTROL!$C$42, 6.4931, 6.4931)*CHOOSE(CONTROL!$C$21, $C$9, 100%, $E$9)</f>
        <v>6.4931000000000001</v>
      </c>
      <c r="H90" s="14">
        <f>CHOOSE(CONTROL!$C$42, 6.7183, 6.7183) * CHOOSE(CONTROL!$C$21, $C$9, 100%, $E$9)</f>
        <v>6.7183000000000002</v>
      </c>
      <c r="I90" s="14">
        <f>CHOOSE(CONTROL!$C$42, 6.5044, 6.5044)* CHOOSE(CONTROL!$C$21, $C$9, 100%, $E$9)</f>
        <v>6.5044000000000004</v>
      </c>
      <c r="J90" s="14">
        <f>CHOOSE(CONTROL!$C$42, 6.4699, 6.4699)* CHOOSE(CONTROL!$C$21, $C$9, 100%, $E$9)</f>
        <v>6.4699</v>
      </c>
      <c r="K90" s="53">
        <f>CHOOSE(CONTROL!$C$42, 6.5005, 6.5005) * CHOOSE(CONTROL!$C$21, $C$9, 100%, $E$9)</f>
        <v>6.5004999999999997</v>
      </c>
      <c r="L90" s="14">
        <f>CHOOSE(CONTROL!$C$42, 7.3053, 7.3053) * CHOOSE(CONTROL!$C$21, $C$9, 100%, $E$9)</f>
        <v>7.3052999999999999</v>
      </c>
      <c r="M90" s="14">
        <f>CHOOSE(CONTROL!$C$42, 6.4184, 6.4184) * CHOOSE(CONTROL!$C$21, $C$9, 100%, $E$9)</f>
        <v>6.4184000000000001</v>
      </c>
      <c r="N90" s="14">
        <f>CHOOSE(CONTROL!$C$42, 6.4344, 6.4344) * CHOOSE(CONTROL!$C$21, $C$9, 100%, $E$9)</f>
        <v>6.4344000000000001</v>
      </c>
      <c r="O90" s="14">
        <f>CHOOSE(CONTROL!$C$42, 6.6643, 6.6643) * CHOOSE(CONTROL!$C$21, $C$9, 100%, $E$9)</f>
        <v>6.6642999999999999</v>
      </c>
      <c r="P90" s="14">
        <f>CHOOSE(CONTROL!$C$42, 6.4526, 6.4526) * CHOOSE(CONTROL!$C$21, $C$9, 100%, $E$9)</f>
        <v>6.4526000000000003</v>
      </c>
      <c r="Q90" s="14">
        <f>CHOOSE(CONTROL!$C$42, 7.2596, 7.2596) * CHOOSE(CONTROL!$C$21, $C$9, 100%, $E$9)</f>
        <v>7.2595999999999998</v>
      </c>
      <c r="R90" s="14">
        <f>CHOOSE(CONTROL!$C$42, 7.8648, 7.8648) * CHOOSE(CONTROL!$C$21, $C$9, 100%, $E$9)</f>
        <v>7.8647999999999998</v>
      </c>
      <c r="S90" s="14">
        <f>CHOOSE(CONTROL!$C$42, 6.3011, 6.3011) * CHOOSE(CONTROL!$C$21, $C$9, 100%, $E$9)</f>
        <v>6.3010999999999999</v>
      </c>
      <c r="T9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0" s="57">
        <f>(1000*CHOOSE(CONTROL!$C$42, 695, 695)*CHOOSE(CONTROL!$C$42, 0.5599, 0.5599)*CHOOSE(CONTROL!$C$42, 30, 30))/1000000</f>
        <v>11.673914999999997</v>
      </c>
      <c r="V90" s="57">
        <f>(1000*CHOOSE(CONTROL!$C$42, 500, 500)*CHOOSE(CONTROL!$C$42, 0.275, 0.275)*CHOOSE(CONTROL!$C$42, 30, 30))/1000000</f>
        <v>4.125</v>
      </c>
      <c r="W90" s="57">
        <f>(1000*CHOOSE(CONTROL!$C$42, 0.1146, 0.1146)*CHOOSE(CONTROL!$C$42, 121.5, 121.5)*CHOOSE(CONTROL!$C$42, 30, 30))/1000000</f>
        <v>0.417717</v>
      </c>
      <c r="X90" s="57">
        <f>(30*0.1790888*245000/1000000)+(30*0.2374*100000/1000000)</f>
        <v>2.0285026799999999</v>
      </c>
      <c r="Y90" s="57"/>
      <c r="Z90" s="14"/>
      <c r="AA90" s="56"/>
      <c r="AB90" s="50">
        <f>(B90*194.205+C90*267.466+D90*133.845+E90*53.484+F90*40+G90*185+H90*0+I90*100+J90*300)/(194.205+267.466+133.845+53.484+0+40+185+100+300)</f>
        <v>6.5211493655416009</v>
      </c>
      <c r="AC90" s="45">
        <f>(M90*'RAP TEMPLATE-GAS AVAILABILITY'!O89+N90*'RAP TEMPLATE-GAS AVAILABILITY'!P89+O90*'RAP TEMPLATE-GAS AVAILABILITY'!Q89+P90*'RAP TEMPLATE-GAS AVAILABILITY'!R89)/('RAP TEMPLATE-GAS AVAILABILITY'!O89+'RAP TEMPLATE-GAS AVAILABILITY'!P89+'RAP TEMPLATE-GAS AVAILABILITY'!Q89+'RAP TEMPLATE-GAS AVAILABILITY'!R89)</f>
        <v>6.4959978417266182</v>
      </c>
    </row>
    <row r="91" spans="1:29" ht="15.75" x14ac:dyDescent="0.25">
      <c r="A91" s="13">
        <v>43647</v>
      </c>
      <c r="B91" s="14">
        <f>CHOOSE(CONTROL!$C$42, 6.3686, 6.3686) * CHOOSE(CONTROL!$C$21, $C$9, 100%, $E$9)</f>
        <v>6.3685999999999998</v>
      </c>
      <c r="C91" s="14">
        <f>CHOOSE(CONTROL!$C$42, 6.3765, 6.3765) * CHOOSE(CONTROL!$C$21, $C$9, 100%, $E$9)</f>
        <v>6.3765000000000001</v>
      </c>
      <c r="D91" s="14">
        <f>CHOOSE(CONTROL!$C$42, 6.5741, 6.5741) * CHOOSE(CONTROL!$C$21, $C$9, 100%, $E$9)</f>
        <v>6.5740999999999996</v>
      </c>
      <c r="E91" s="14">
        <f>CHOOSE(CONTROL!$C$42, 6.6052, 6.6052) * CHOOSE(CONTROL!$C$21, $C$9, 100%, $E$9)</f>
        <v>6.6052</v>
      </c>
      <c r="F91" s="14">
        <f>CHOOSE(CONTROL!$C$42, 6.3528, 6.3528)*CHOOSE(CONTROL!$C$21, $C$9, 100%, $E$9)</f>
        <v>6.3528000000000002</v>
      </c>
      <c r="G91" s="14">
        <f>CHOOSE(CONTROL!$C$42, 6.3691, 6.3691)*CHOOSE(CONTROL!$C$21, $C$9, 100%, $E$9)</f>
        <v>6.3691000000000004</v>
      </c>
      <c r="H91" s="14">
        <f>CHOOSE(CONTROL!$C$42, 6.5938, 6.5938) * CHOOSE(CONTROL!$C$21, $C$9, 100%, $E$9)</f>
        <v>6.5937999999999999</v>
      </c>
      <c r="I91" s="14">
        <f>CHOOSE(CONTROL!$C$42, 6.3799, 6.3799)* CHOOSE(CONTROL!$C$21, $C$9, 100%, $E$9)</f>
        <v>6.3799000000000001</v>
      </c>
      <c r="J91" s="14">
        <f>CHOOSE(CONTROL!$C$42, 6.3458, 6.3458)* CHOOSE(CONTROL!$C$21, $C$9, 100%, $E$9)</f>
        <v>6.3457999999999997</v>
      </c>
      <c r="K91" s="53">
        <f>CHOOSE(CONTROL!$C$42, 6.376, 6.376) * CHOOSE(CONTROL!$C$21, $C$9, 100%, $E$9)</f>
        <v>6.3760000000000003</v>
      </c>
      <c r="L91" s="14">
        <f>CHOOSE(CONTROL!$C$42, 7.1808, 7.1808) * CHOOSE(CONTROL!$C$21, $C$9, 100%, $E$9)</f>
        <v>7.1807999999999996</v>
      </c>
      <c r="M91" s="14">
        <f>CHOOSE(CONTROL!$C$42, 6.2956, 6.2956) * CHOOSE(CONTROL!$C$21, $C$9, 100%, $E$9)</f>
        <v>6.2956000000000003</v>
      </c>
      <c r="N91" s="14">
        <f>CHOOSE(CONTROL!$C$42, 6.3118, 6.3118) * CHOOSE(CONTROL!$C$21, $C$9, 100%, $E$9)</f>
        <v>6.3117999999999999</v>
      </c>
      <c r="O91" s="14">
        <f>CHOOSE(CONTROL!$C$42, 6.5411, 6.5411) * CHOOSE(CONTROL!$C$21, $C$9, 100%, $E$9)</f>
        <v>6.5411000000000001</v>
      </c>
      <c r="P91" s="14">
        <f>CHOOSE(CONTROL!$C$42, 6.3294, 6.3294) * CHOOSE(CONTROL!$C$21, $C$9, 100%, $E$9)</f>
        <v>6.3293999999999997</v>
      </c>
      <c r="Q91" s="14">
        <f>CHOOSE(CONTROL!$C$42, 7.1364, 7.1364) * CHOOSE(CONTROL!$C$21, $C$9, 100%, $E$9)</f>
        <v>7.1364000000000001</v>
      </c>
      <c r="R91" s="14">
        <f>CHOOSE(CONTROL!$C$42, 7.7413, 7.7413) * CHOOSE(CONTROL!$C$21, $C$9, 100%, $E$9)</f>
        <v>7.7412999999999998</v>
      </c>
      <c r="S91" s="14">
        <f>CHOOSE(CONTROL!$C$42, 6.1803, 6.1803) * CHOOSE(CONTROL!$C$21, $C$9, 100%, $E$9)</f>
        <v>6.1802999999999999</v>
      </c>
      <c r="T9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1" s="57">
        <f>(1000*CHOOSE(CONTROL!$C$42, 695, 695)*CHOOSE(CONTROL!$C$42, 0.5599, 0.5599)*CHOOSE(CONTROL!$C$42, 31, 31))/1000000</f>
        <v>12.063045499999998</v>
      </c>
      <c r="V91" s="57">
        <f>(1000*CHOOSE(CONTROL!$C$42, 500, 500)*CHOOSE(CONTROL!$C$42, 0.275, 0.275)*CHOOSE(CONTROL!$C$42, 31, 31))/1000000</f>
        <v>4.2625000000000002</v>
      </c>
      <c r="W91" s="57">
        <f>(1000*CHOOSE(CONTROL!$C$42, 0.1146, 0.1146)*CHOOSE(CONTROL!$C$42, 121.5, 121.5)*CHOOSE(CONTROL!$C$42, 31, 31))/1000000</f>
        <v>0.43164089999999994</v>
      </c>
      <c r="X91" s="57">
        <f>(31*0.1790888*245000/1000000)+(31*0.2374*100000/1000000)</f>
        <v>2.0961194359999999</v>
      </c>
      <c r="Y91" s="57"/>
      <c r="Z91" s="14"/>
      <c r="AA91" s="56"/>
      <c r="AB91" s="50">
        <f>(B91*194.205+C91*267.466+D91*133.845+E91*53.484+F91*40+G91*185+H91*0+I91*100+J91*300)/(194.205+267.466+133.845+53.484+0+40+185+100+300)</f>
        <v>6.396875465698586</v>
      </c>
      <c r="AC91" s="45">
        <f>(M91*'RAP TEMPLATE-GAS AVAILABILITY'!O90+N91*'RAP TEMPLATE-GAS AVAILABILITY'!P90+O91*'RAP TEMPLATE-GAS AVAILABILITY'!Q90+P91*'RAP TEMPLATE-GAS AVAILABILITY'!R90)/('RAP TEMPLATE-GAS AVAILABILITY'!O90+'RAP TEMPLATE-GAS AVAILABILITY'!P90+'RAP TEMPLATE-GAS AVAILABILITY'!Q90+'RAP TEMPLATE-GAS AVAILABILITY'!R90)</f>
        <v>6.3730741007194238</v>
      </c>
    </row>
    <row r="92" spans="1:29" ht="15.75" x14ac:dyDescent="0.25">
      <c r="A92" s="13">
        <v>43678</v>
      </c>
      <c r="B92" s="14">
        <f>CHOOSE(CONTROL!$C$42, 6.0543, 6.0543) * CHOOSE(CONTROL!$C$21, $C$9, 100%, $E$9)</f>
        <v>6.0542999999999996</v>
      </c>
      <c r="C92" s="14">
        <f>CHOOSE(CONTROL!$C$42, 6.0622, 6.0622) * CHOOSE(CONTROL!$C$21, $C$9, 100%, $E$9)</f>
        <v>6.0621999999999998</v>
      </c>
      <c r="D92" s="14">
        <f>CHOOSE(CONTROL!$C$42, 6.2598, 6.2598) * CHOOSE(CONTROL!$C$21, $C$9, 100%, $E$9)</f>
        <v>6.2598000000000003</v>
      </c>
      <c r="E92" s="14">
        <f>CHOOSE(CONTROL!$C$42, 6.2909, 6.2909) * CHOOSE(CONTROL!$C$21, $C$9, 100%, $E$9)</f>
        <v>6.2908999999999997</v>
      </c>
      <c r="F92" s="14">
        <f>CHOOSE(CONTROL!$C$42, 6.0387, 6.0387)*CHOOSE(CONTROL!$C$21, $C$9, 100%, $E$9)</f>
        <v>6.0387000000000004</v>
      </c>
      <c r="G92" s="14">
        <f>CHOOSE(CONTROL!$C$42, 6.0551, 6.0551)*CHOOSE(CONTROL!$C$21, $C$9, 100%, $E$9)</f>
        <v>6.0551000000000004</v>
      </c>
      <c r="H92" s="14">
        <f>CHOOSE(CONTROL!$C$42, 6.2795, 6.2795) * CHOOSE(CONTROL!$C$21, $C$9, 100%, $E$9)</f>
        <v>6.2794999999999996</v>
      </c>
      <c r="I92" s="14">
        <f>CHOOSE(CONTROL!$C$42, 6.0656, 6.0656)* CHOOSE(CONTROL!$C$21, $C$9, 100%, $E$9)</f>
        <v>6.0655999999999999</v>
      </c>
      <c r="J92" s="14">
        <f>CHOOSE(CONTROL!$C$42, 6.0317, 6.0317)* CHOOSE(CONTROL!$C$21, $C$9, 100%, $E$9)</f>
        <v>6.0316999999999998</v>
      </c>
      <c r="K92" s="53">
        <f>CHOOSE(CONTROL!$C$42, 6.0617, 6.0617) * CHOOSE(CONTROL!$C$21, $C$9, 100%, $E$9)</f>
        <v>6.0617000000000001</v>
      </c>
      <c r="L92" s="14">
        <f>CHOOSE(CONTROL!$C$42, 6.8665, 6.8665) * CHOOSE(CONTROL!$C$21, $C$9, 100%, $E$9)</f>
        <v>6.8665000000000003</v>
      </c>
      <c r="M92" s="14">
        <f>CHOOSE(CONTROL!$C$42, 5.9847, 5.9847) * CHOOSE(CONTROL!$C$21, $C$9, 100%, $E$9)</f>
        <v>5.9847000000000001</v>
      </c>
      <c r="N92" s="14">
        <f>CHOOSE(CONTROL!$C$42, 6.0009, 6.0009) * CHOOSE(CONTROL!$C$21, $C$9, 100%, $E$9)</f>
        <v>6.0008999999999997</v>
      </c>
      <c r="O92" s="14">
        <f>CHOOSE(CONTROL!$C$42, 6.23, 6.23) * CHOOSE(CONTROL!$C$21, $C$9, 100%, $E$9)</f>
        <v>6.23</v>
      </c>
      <c r="P92" s="14">
        <f>CHOOSE(CONTROL!$C$42, 6.0183, 6.0183) * CHOOSE(CONTROL!$C$21, $C$9, 100%, $E$9)</f>
        <v>6.0183</v>
      </c>
      <c r="Q92" s="14">
        <f>CHOOSE(CONTROL!$C$42, 6.8253, 6.8253) * CHOOSE(CONTROL!$C$21, $C$9, 100%, $E$9)</f>
        <v>6.8253000000000004</v>
      </c>
      <c r="R92" s="14">
        <f>CHOOSE(CONTROL!$C$42, 7.4294, 7.4294) * CHOOSE(CONTROL!$C$21, $C$9, 100%, $E$9)</f>
        <v>7.4294000000000002</v>
      </c>
      <c r="S92" s="14">
        <f>CHOOSE(CONTROL!$C$42, 5.875, 5.875) * CHOOSE(CONTROL!$C$21, $C$9, 100%, $E$9)</f>
        <v>5.875</v>
      </c>
      <c r="T9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2" s="57">
        <f>(1000*CHOOSE(CONTROL!$C$42, 695, 695)*CHOOSE(CONTROL!$C$42, 0.5599, 0.5599)*CHOOSE(CONTROL!$C$42, 31, 31))/1000000</f>
        <v>12.063045499999998</v>
      </c>
      <c r="V92" s="57">
        <f>(1000*CHOOSE(CONTROL!$C$42, 500, 500)*CHOOSE(CONTROL!$C$42, 0.275, 0.275)*CHOOSE(CONTROL!$C$42, 31, 31))/1000000</f>
        <v>4.2625000000000002</v>
      </c>
      <c r="W92" s="57">
        <f>(1000*CHOOSE(CONTROL!$C$42, 0.1146, 0.1146)*CHOOSE(CONTROL!$C$42, 121.5, 121.5)*CHOOSE(CONTROL!$C$42, 31, 31))/1000000</f>
        <v>0.43164089999999994</v>
      </c>
      <c r="X92" s="57">
        <f>(31*0.1790888*245000/1000000)+(31*0.2374*100000/1000000)</f>
        <v>2.0961194359999999</v>
      </c>
      <c r="Y92" s="57"/>
      <c r="Z92" s="14"/>
      <c r="AA92" s="56"/>
      <c r="AB92" s="50">
        <f>(B92*194.205+C92*267.466+D92*133.845+E92*53.484+F92*40+G92*185+H92*0+I92*100+J92*300)/(194.205+267.466+133.845+53.484+0+40+185+100+300)</f>
        <v>6.0826724044740974</v>
      </c>
      <c r="AC92" s="45">
        <f>(M92*'RAP TEMPLATE-GAS AVAILABILITY'!O91+N92*'RAP TEMPLATE-GAS AVAILABILITY'!P91+O92*'RAP TEMPLATE-GAS AVAILABILITY'!Q91+P92*'RAP TEMPLATE-GAS AVAILABILITY'!R91)/('RAP TEMPLATE-GAS AVAILABILITY'!O91+'RAP TEMPLATE-GAS AVAILABILITY'!P91+'RAP TEMPLATE-GAS AVAILABILITY'!Q91+'RAP TEMPLATE-GAS AVAILABILITY'!R91)</f>
        <v>6.0620892086330933</v>
      </c>
    </row>
    <row r="93" spans="1:29" ht="15.75" x14ac:dyDescent="0.25">
      <c r="A93" s="13">
        <v>43709</v>
      </c>
      <c r="B93" s="14">
        <f>CHOOSE(CONTROL!$C$42, 5.6699, 5.6699) * CHOOSE(CONTROL!$C$21, $C$9, 100%, $E$9)</f>
        <v>5.6699000000000002</v>
      </c>
      <c r="C93" s="14">
        <f>CHOOSE(CONTROL!$C$42, 5.6778, 5.6778) * CHOOSE(CONTROL!$C$21, $C$9, 100%, $E$9)</f>
        <v>5.6778000000000004</v>
      </c>
      <c r="D93" s="14">
        <f>CHOOSE(CONTROL!$C$42, 5.8754, 5.8754) * CHOOSE(CONTROL!$C$21, $C$9, 100%, $E$9)</f>
        <v>5.8754</v>
      </c>
      <c r="E93" s="14">
        <f>CHOOSE(CONTROL!$C$42, 5.9065, 5.9065) * CHOOSE(CONTROL!$C$21, $C$9, 100%, $E$9)</f>
        <v>5.9065000000000003</v>
      </c>
      <c r="F93" s="14">
        <f>CHOOSE(CONTROL!$C$42, 5.6542, 5.6542)*CHOOSE(CONTROL!$C$21, $C$9, 100%, $E$9)</f>
        <v>5.6542000000000003</v>
      </c>
      <c r="G93" s="14">
        <f>CHOOSE(CONTROL!$C$42, 5.6706, 5.6706)*CHOOSE(CONTROL!$C$21, $C$9, 100%, $E$9)</f>
        <v>5.6706000000000003</v>
      </c>
      <c r="H93" s="14">
        <f>CHOOSE(CONTROL!$C$42, 5.8951, 5.8951) * CHOOSE(CONTROL!$C$21, $C$9, 100%, $E$9)</f>
        <v>5.8951000000000002</v>
      </c>
      <c r="I93" s="14">
        <f>CHOOSE(CONTROL!$C$42, 5.6812, 5.6812)* CHOOSE(CONTROL!$C$21, $C$9, 100%, $E$9)</f>
        <v>5.6811999999999996</v>
      </c>
      <c r="J93" s="14">
        <f>CHOOSE(CONTROL!$C$42, 5.6472, 5.6472)* CHOOSE(CONTROL!$C$21, $C$9, 100%, $E$9)</f>
        <v>5.6471999999999998</v>
      </c>
      <c r="K93" s="53">
        <f>CHOOSE(CONTROL!$C$42, 5.6773, 5.6773) * CHOOSE(CONTROL!$C$21, $C$9, 100%, $E$9)</f>
        <v>5.6772999999999998</v>
      </c>
      <c r="L93" s="14">
        <f>CHOOSE(CONTROL!$C$42, 6.4821, 6.4821) * CHOOSE(CONTROL!$C$21, $C$9, 100%, $E$9)</f>
        <v>6.4821</v>
      </c>
      <c r="M93" s="14">
        <f>CHOOSE(CONTROL!$C$42, 5.6041, 5.6041) * CHOOSE(CONTROL!$C$21, $C$9, 100%, $E$9)</f>
        <v>5.6040999999999999</v>
      </c>
      <c r="N93" s="14">
        <f>CHOOSE(CONTROL!$C$42, 5.6202, 5.6202) * CHOOSE(CONTROL!$C$21, $C$9, 100%, $E$9)</f>
        <v>5.6201999999999996</v>
      </c>
      <c r="O93" s="14">
        <f>CHOOSE(CONTROL!$C$42, 5.8495, 5.8495) * CHOOSE(CONTROL!$C$21, $C$9, 100%, $E$9)</f>
        <v>5.8494999999999999</v>
      </c>
      <c r="P93" s="14">
        <f>CHOOSE(CONTROL!$C$42, 5.6378, 5.6378) * CHOOSE(CONTROL!$C$21, $C$9, 100%, $E$9)</f>
        <v>5.6378000000000004</v>
      </c>
      <c r="Q93" s="14">
        <f>CHOOSE(CONTROL!$C$42, 6.4448, 6.4448) * CHOOSE(CONTROL!$C$21, $C$9, 100%, $E$9)</f>
        <v>6.4447999999999999</v>
      </c>
      <c r="R93" s="14">
        <f>CHOOSE(CONTROL!$C$42, 7.0479, 7.0479) * CHOOSE(CONTROL!$C$21, $C$9, 100%, $E$9)</f>
        <v>7.0479000000000003</v>
      </c>
      <c r="S93" s="14">
        <f>CHOOSE(CONTROL!$C$42, 5.5017, 5.5017) * CHOOSE(CONTROL!$C$21, $C$9, 100%, $E$9)</f>
        <v>5.5016999999999996</v>
      </c>
      <c r="T9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3" s="57">
        <f>(1000*CHOOSE(CONTROL!$C$42, 695, 695)*CHOOSE(CONTROL!$C$42, 0.5599, 0.5599)*CHOOSE(CONTROL!$C$42, 30, 30))/1000000</f>
        <v>11.673914999999997</v>
      </c>
      <c r="V93" s="57">
        <f>(1000*CHOOSE(CONTROL!$C$42, 500, 500)*CHOOSE(CONTROL!$C$42, 0.275, 0.275)*CHOOSE(CONTROL!$C$42, 30, 30))/1000000</f>
        <v>4.125</v>
      </c>
      <c r="W93" s="57">
        <f>(1000*CHOOSE(CONTROL!$C$42, 0.1146, 0.1146)*CHOOSE(CONTROL!$C$42, 121.5, 121.5)*CHOOSE(CONTROL!$C$42, 30, 30))/1000000</f>
        <v>0.417717</v>
      </c>
      <c r="X93" s="57">
        <f>(30*0.1790888*245000/1000000)+(30*0.2374*100000/1000000)</f>
        <v>2.0285026799999999</v>
      </c>
      <c r="Y93" s="57"/>
      <c r="Z93" s="14"/>
      <c r="AA93" s="56"/>
      <c r="AB93" s="50">
        <f>(B93*194.205+C93*267.466+D93*133.845+E93*53.484+F93*40+G93*185+H93*0+I93*100+J93*300)/(194.205+267.466+133.845+53.484+0+40+185+100+300)</f>
        <v>5.6982311956828884</v>
      </c>
      <c r="AC93" s="45">
        <f>(M93*'RAP TEMPLATE-GAS AVAILABILITY'!O92+N93*'RAP TEMPLATE-GAS AVAILABILITY'!P92+O93*'RAP TEMPLATE-GAS AVAILABILITY'!Q92+P93*'RAP TEMPLATE-GAS AVAILABILITY'!R92)/('RAP TEMPLATE-GAS AVAILABILITY'!O92+'RAP TEMPLATE-GAS AVAILABILITY'!P92+'RAP TEMPLATE-GAS AVAILABILITY'!Q92+'RAP TEMPLATE-GAS AVAILABILITY'!R92)</f>
        <v>5.6815086330935252</v>
      </c>
    </row>
    <row r="94" spans="1:29" ht="15.75" x14ac:dyDescent="0.25">
      <c r="A94" s="13">
        <v>43739</v>
      </c>
      <c r="B94" s="14">
        <f>CHOOSE(CONTROL!$C$42, 5.5531, 5.5531) * CHOOSE(CONTROL!$C$21, $C$9, 100%, $E$9)</f>
        <v>5.5530999999999997</v>
      </c>
      <c r="C94" s="14">
        <f>CHOOSE(CONTROL!$C$42, 5.5583, 5.5583) * CHOOSE(CONTROL!$C$21, $C$9, 100%, $E$9)</f>
        <v>5.5583</v>
      </c>
      <c r="D94" s="14">
        <f>CHOOSE(CONTROL!$C$42, 5.7608, 5.7608) * CHOOSE(CONTROL!$C$21, $C$9, 100%, $E$9)</f>
        <v>5.7607999999999997</v>
      </c>
      <c r="E94" s="14">
        <f>CHOOSE(CONTROL!$C$42, 5.7896, 5.7896) * CHOOSE(CONTROL!$C$21, $C$9, 100%, $E$9)</f>
        <v>5.7896000000000001</v>
      </c>
      <c r="F94" s="14">
        <f>CHOOSE(CONTROL!$C$42, 5.5395, 5.5395)*CHOOSE(CONTROL!$C$21, $C$9, 100%, $E$9)</f>
        <v>5.5395000000000003</v>
      </c>
      <c r="G94" s="14">
        <f>CHOOSE(CONTROL!$C$42, 5.5555, 5.5555)*CHOOSE(CONTROL!$C$21, $C$9, 100%, $E$9)</f>
        <v>5.5555000000000003</v>
      </c>
      <c r="H94" s="14">
        <f>CHOOSE(CONTROL!$C$42, 5.7801, 5.7801) * CHOOSE(CONTROL!$C$21, $C$9, 100%, $E$9)</f>
        <v>5.7801</v>
      </c>
      <c r="I94" s="14">
        <f>CHOOSE(CONTROL!$C$42, 5.5662, 5.5662)* CHOOSE(CONTROL!$C$21, $C$9, 100%, $E$9)</f>
        <v>5.5662000000000003</v>
      </c>
      <c r="J94" s="14">
        <f>CHOOSE(CONTROL!$C$42, 5.5325, 5.5325)* CHOOSE(CONTROL!$C$21, $C$9, 100%, $E$9)</f>
        <v>5.5324999999999998</v>
      </c>
      <c r="K94" s="53">
        <f>CHOOSE(CONTROL!$C$42, 5.5623, 5.5623) * CHOOSE(CONTROL!$C$21, $C$9, 100%, $E$9)</f>
        <v>5.5622999999999996</v>
      </c>
      <c r="L94" s="14">
        <f>CHOOSE(CONTROL!$C$42, 6.3671, 6.3671) * CHOOSE(CONTROL!$C$21, $C$9, 100%, $E$9)</f>
        <v>6.3670999999999998</v>
      </c>
      <c r="M94" s="14">
        <f>CHOOSE(CONTROL!$C$42, 5.4904, 5.4904) * CHOOSE(CONTROL!$C$21, $C$9, 100%, $E$9)</f>
        <v>5.4904000000000002</v>
      </c>
      <c r="N94" s="14">
        <f>CHOOSE(CONTROL!$C$42, 5.5063, 5.5063) * CHOOSE(CONTROL!$C$21, $C$9, 100%, $E$9)</f>
        <v>5.5063000000000004</v>
      </c>
      <c r="O94" s="14">
        <f>CHOOSE(CONTROL!$C$42, 5.7356, 5.7356) * CHOOSE(CONTROL!$C$21, $C$9, 100%, $E$9)</f>
        <v>5.7355999999999998</v>
      </c>
      <c r="P94" s="14">
        <f>CHOOSE(CONTROL!$C$42, 5.5239, 5.5239) * CHOOSE(CONTROL!$C$21, $C$9, 100%, $E$9)</f>
        <v>5.5239000000000003</v>
      </c>
      <c r="Q94" s="14">
        <f>CHOOSE(CONTROL!$C$42, 6.3309, 6.3309) * CHOOSE(CONTROL!$C$21, $C$9, 100%, $E$9)</f>
        <v>6.3308999999999997</v>
      </c>
      <c r="R94" s="14">
        <f>CHOOSE(CONTROL!$C$42, 6.9337, 6.9337) * CHOOSE(CONTROL!$C$21, $C$9, 100%, $E$9)</f>
        <v>6.9337</v>
      </c>
      <c r="S94" s="14">
        <f>CHOOSE(CONTROL!$C$42, 5.3901, 5.3901) * CHOOSE(CONTROL!$C$21, $C$9, 100%, $E$9)</f>
        <v>5.3901000000000003</v>
      </c>
      <c r="T9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4" s="57">
        <f>(1000*CHOOSE(CONTROL!$C$42, 695, 695)*CHOOSE(CONTROL!$C$42, 0.5599, 0.5599)*CHOOSE(CONTROL!$C$42, 31, 31))/1000000</f>
        <v>12.063045499999998</v>
      </c>
      <c r="V94" s="57">
        <f>(1000*CHOOSE(CONTROL!$C$42, 500, 500)*CHOOSE(CONTROL!$C$42, 0.275, 0.275)*CHOOSE(CONTROL!$C$42, 31, 31))/1000000</f>
        <v>4.2625000000000002</v>
      </c>
      <c r="W94" s="57">
        <f>(1000*CHOOSE(CONTROL!$C$42, 0.1146, 0.1146)*CHOOSE(CONTROL!$C$42, 121.5, 121.5)*CHOOSE(CONTROL!$C$42, 31, 31))/1000000</f>
        <v>0.43164089999999994</v>
      </c>
      <c r="X94" s="57">
        <f>(31*0.1790888*245000/1000000)+(31*0.2374*100000/1000000)</f>
        <v>2.0961194359999999</v>
      </c>
      <c r="Y94" s="57"/>
      <c r="Z94" s="14"/>
      <c r="AA94" s="56"/>
      <c r="AB94" s="50">
        <f>(B94*131.881+C94*277.167+D94*79.08+E94*125.872+F94*40+G94*185+H94*0+I94*100+J94*300)/(131.881+277.167+79.08+125.872+0+40+185+100+300)</f>
        <v>5.5875349575464082</v>
      </c>
      <c r="AC94" s="45">
        <f>(M94*'RAP TEMPLATE-GAS AVAILABILITY'!O93+N94*'RAP TEMPLATE-GAS AVAILABILITY'!P93+O94*'RAP TEMPLATE-GAS AVAILABILITY'!Q93+P94*'RAP TEMPLATE-GAS AVAILABILITY'!R93)/('RAP TEMPLATE-GAS AVAILABILITY'!O93+'RAP TEMPLATE-GAS AVAILABILITY'!P93+'RAP TEMPLATE-GAS AVAILABILITY'!Q93+'RAP TEMPLATE-GAS AVAILABILITY'!R93)</f>
        <v>5.5676776978417264</v>
      </c>
    </row>
    <row r="95" spans="1:29" ht="15.75" x14ac:dyDescent="0.25">
      <c r="A95" s="13">
        <v>43770</v>
      </c>
      <c r="B95" s="14">
        <f>CHOOSE(CONTROL!$C$42, 5.6989, 5.6989) * CHOOSE(CONTROL!$C$21, $C$9, 100%, $E$9)</f>
        <v>5.6989000000000001</v>
      </c>
      <c r="C95" s="14">
        <f>CHOOSE(CONTROL!$C$42, 5.7038, 5.7038) * CHOOSE(CONTROL!$C$21, $C$9, 100%, $E$9)</f>
        <v>5.7038000000000002</v>
      </c>
      <c r="D95" s="14">
        <f>CHOOSE(CONTROL!$C$42, 5.7669, 5.7669) * CHOOSE(CONTROL!$C$21, $C$9, 100%, $E$9)</f>
        <v>5.7668999999999997</v>
      </c>
      <c r="E95" s="14">
        <f>CHOOSE(CONTROL!$C$42, 5.8007, 5.8007) * CHOOSE(CONTROL!$C$21, $C$9, 100%, $E$9)</f>
        <v>5.8007</v>
      </c>
      <c r="F95" s="14">
        <f>CHOOSE(CONTROL!$C$42, 5.6996, 5.6996)*CHOOSE(CONTROL!$C$21, $C$9, 100%, $E$9)</f>
        <v>5.6996000000000002</v>
      </c>
      <c r="G95" s="14">
        <f>CHOOSE(CONTROL!$C$42, 5.7159, 5.7159)*CHOOSE(CONTROL!$C$21, $C$9, 100%, $E$9)</f>
        <v>5.7159000000000004</v>
      </c>
      <c r="H95" s="14">
        <f>CHOOSE(CONTROL!$C$42, 5.7899, 5.7899) * CHOOSE(CONTROL!$C$21, $C$9, 100%, $E$9)</f>
        <v>5.7899000000000003</v>
      </c>
      <c r="I95" s="14">
        <f>CHOOSE(CONTROL!$C$42, 5.7124, 5.7124)* CHOOSE(CONTROL!$C$21, $C$9, 100%, $E$9)</f>
        <v>5.7123999999999997</v>
      </c>
      <c r="J95" s="14">
        <f>CHOOSE(CONTROL!$C$42, 5.6926, 5.6926)* CHOOSE(CONTROL!$C$21, $C$9, 100%, $E$9)</f>
        <v>5.6925999999999997</v>
      </c>
      <c r="K95" s="53">
        <f>CHOOSE(CONTROL!$C$42, 5.7085, 5.7085) * CHOOSE(CONTROL!$C$21, $C$9, 100%, $E$9)</f>
        <v>5.7084999999999999</v>
      </c>
      <c r="L95" s="14">
        <f>CHOOSE(CONTROL!$C$42, 6.3769, 6.3769) * CHOOSE(CONTROL!$C$21, $C$9, 100%, $E$9)</f>
        <v>6.3769</v>
      </c>
      <c r="M95" s="14">
        <f>CHOOSE(CONTROL!$C$42, 5.6489, 5.6489) * CHOOSE(CONTROL!$C$21, $C$9, 100%, $E$9)</f>
        <v>5.6489000000000003</v>
      </c>
      <c r="N95" s="14">
        <f>CHOOSE(CONTROL!$C$42, 5.6651, 5.6651) * CHOOSE(CONTROL!$C$21, $C$9, 100%, $E$9)</f>
        <v>5.6650999999999998</v>
      </c>
      <c r="O95" s="14">
        <f>CHOOSE(CONTROL!$C$42, 5.7453, 5.7453) * CHOOSE(CONTROL!$C$21, $C$9, 100%, $E$9)</f>
        <v>5.7453000000000003</v>
      </c>
      <c r="P95" s="14">
        <f>CHOOSE(CONTROL!$C$42, 5.6686, 5.6686) * CHOOSE(CONTROL!$C$21, $C$9, 100%, $E$9)</f>
        <v>5.6685999999999996</v>
      </c>
      <c r="Q95" s="14">
        <f>CHOOSE(CONTROL!$C$42, 6.3406, 6.3406) * CHOOSE(CONTROL!$C$21, $C$9, 100%, $E$9)</f>
        <v>6.3406000000000002</v>
      </c>
      <c r="R95" s="14">
        <f>CHOOSE(CONTROL!$C$42, 6.9434, 6.9434) * CHOOSE(CONTROL!$C$21, $C$9, 100%, $E$9)</f>
        <v>6.9433999999999996</v>
      </c>
      <c r="S95" s="14">
        <f>CHOOSE(CONTROL!$C$42, 5.532, 5.532) * CHOOSE(CONTROL!$C$21, $C$9, 100%, $E$9)</f>
        <v>5.532</v>
      </c>
      <c r="T9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5" s="57">
        <f>(1000*CHOOSE(CONTROL!$C$42, 695, 695)*CHOOSE(CONTROL!$C$42, 0.5599, 0.5599)*CHOOSE(CONTROL!$C$42, 30, 30))/1000000</f>
        <v>11.673914999999997</v>
      </c>
      <c r="V95" s="57">
        <f>(1000*CHOOSE(CONTROL!$C$42, 500, 500)*CHOOSE(CONTROL!$C$42, 0.275, 0.275)*CHOOSE(CONTROL!$C$42, 30, 30))/1000000</f>
        <v>4.125</v>
      </c>
      <c r="W95" s="57">
        <f>(1000*CHOOSE(CONTROL!$C$42, 0.1146, 0.1146)*CHOOSE(CONTROL!$C$42, 121.5, 121.5)*CHOOSE(CONTROL!$C$42, 30, 30))/1000000</f>
        <v>0.417717</v>
      </c>
      <c r="X95" s="57">
        <f>(30*0.1790888*100000/1000000)+(30*0.2374*100000/1000000)</f>
        <v>1.2494664</v>
      </c>
      <c r="Y95" s="57"/>
      <c r="Z95" s="14"/>
      <c r="AA95" s="56"/>
      <c r="AB95" s="50">
        <f>(B95*122.58+C95*297.941+D95*89.177+E95*40.302+F95*40+G95*160+H95*0+I95*100+J95*300)/(122.58+297.941+89.177+40.302+0+40+160+100+300)</f>
        <v>5.7109301656521732</v>
      </c>
      <c r="AC95" s="45">
        <f>(M95*'RAP TEMPLATE-GAS AVAILABILITY'!O94+N95*'RAP TEMPLATE-GAS AVAILABILITY'!P94+O95*'RAP TEMPLATE-GAS AVAILABILITY'!Q94+P95*'RAP TEMPLATE-GAS AVAILABILITY'!R94)/('RAP TEMPLATE-GAS AVAILABILITY'!O94+'RAP TEMPLATE-GAS AVAILABILITY'!P94+'RAP TEMPLATE-GAS AVAILABILITY'!Q94+'RAP TEMPLATE-GAS AVAILABILITY'!R94)</f>
        <v>5.6963589928057559</v>
      </c>
    </row>
    <row r="96" spans="1:29" ht="15.75" x14ac:dyDescent="0.25">
      <c r="A96" s="13">
        <v>43800</v>
      </c>
      <c r="B96" s="14">
        <f>CHOOSE(CONTROL!$C$42, 6.0872, 6.0872) * CHOOSE(CONTROL!$C$21, $C$9, 100%, $E$9)</f>
        <v>6.0872000000000002</v>
      </c>
      <c r="C96" s="14">
        <f>CHOOSE(CONTROL!$C$42, 6.0922, 6.0922) * CHOOSE(CONTROL!$C$21, $C$9, 100%, $E$9)</f>
        <v>6.0922000000000001</v>
      </c>
      <c r="D96" s="14">
        <f>CHOOSE(CONTROL!$C$42, 6.1552, 6.1552) * CHOOSE(CONTROL!$C$21, $C$9, 100%, $E$9)</f>
        <v>6.1551999999999998</v>
      </c>
      <c r="E96" s="14">
        <f>CHOOSE(CONTROL!$C$42, 6.189, 6.189) * CHOOSE(CONTROL!$C$21, $C$9, 100%, $E$9)</f>
        <v>6.1890000000000001</v>
      </c>
      <c r="F96" s="14">
        <f>CHOOSE(CONTROL!$C$42, 6.09, 6.09)*CHOOSE(CONTROL!$C$21, $C$9, 100%, $E$9)</f>
        <v>6.09</v>
      </c>
      <c r="G96" s="14">
        <f>CHOOSE(CONTROL!$C$42, 6.1068, 6.1068)*CHOOSE(CONTROL!$C$21, $C$9, 100%, $E$9)</f>
        <v>6.1067999999999998</v>
      </c>
      <c r="H96" s="14">
        <f>CHOOSE(CONTROL!$C$42, 6.1782, 6.1782) * CHOOSE(CONTROL!$C$21, $C$9, 100%, $E$9)</f>
        <v>6.1782000000000004</v>
      </c>
      <c r="I96" s="14">
        <f>CHOOSE(CONTROL!$C$42, 6.1008, 6.1008)* CHOOSE(CONTROL!$C$21, $C$9, 100%, $E$9)</f>
        <v>6.1007999999999996</v>
      </c>
      <c r="J96" s="14">
        <f>CHOOSE(CONTROL!$C$42, 6.083, 6.083)* CHOOSE(CONTROL!$C$21, $C$9, 100%, $E$9)</f>
        <v>6.0830000000000002</v>
      </c>
      <c r="K96" s="53">
        <f>CHOOSE(CONTROL!$C$42, 6.0969, 6.0969) * CHOOSE(CONTROL!$C$21, $C$9, 100%, $E$9)</f>
        <v>6.0968999999999998</v>
      </c>
      <c r="L96" s="14">
        <f>CHOOSE(CONTROL!$C$42, 6.7652, 6.7652) * CHOOSE(CONTROL!$C$21, $C$9, 100%, $E$9)</f>
        <v>6.7652000000000001</v>
      </c>
      <c r="M96" s="14">
        <f>CHOOSE(CONTROL!$C$42, 6.0354, 6.0354) * CHOOSE(CONTROL!$C$21, $C$9, 100%, $E$9)</f>
        <v>6.0354000000000001</v>
      </c>
      <c r="N96" s="14">
        <f>CHOOSE(CONTROL!$C$42, 6.052, 6.052) * CHOOSE(CONTROL!$C$21, $C$9, 100%, $E$9)</f>
        <v>6.0519999999999996</v>
      </c>
      <c r="O96" s="14">
        <f>CHOOSE(CONTROL!$C$42, 6.1297, 6.1297) * CHOOSE(CONTROL!$C$21, $C$9, 100%, $E$9)</f>
        <v>6.1296999999999997</v>
      </c>
      <c r="P96" s="14">
        <f>CHOOSE(CONTROL!$C$42, 6.0531, 6.0531) * CHOOSE(CONTROL!$C$21, $C$9, 100%, $E$9)</f>
        <v>6.0530999999999997</v>
      </c>
      <c r="Q96" s="14">
        <f>CHOOSE(CONTROL!$C$42, 6.725, 6.725) * CHOOSE(CONTROL!$C$21, $C$9, 100%, $E$9)</f>
        <v>6.7249999999999996</v>
      </c>
      <c r="R96" s="14">
        <f>CHOOSE(CONTROL!$C$42, 7.3288, 7.3288) * CHOOSE(CONTROL!$C$21, $C$9, 100%, $E$9)</f>
        <v>7.3288000000000002</v>
      </c>
      <c r="S96" s="14">
        <f>CHOOSE(CONTROL!$C$42, 5.9092, 5.9092) * CHOOSE(CONTROL!$C$21, $C$9, 100%, $E$9)</f>
        <v>5.9092000000000002</v>
      </c>
      <c r="T9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6" s="57">
        <f>(1000*CHOOSE(CONTROL!$C$42, 695, 695)*CHOOSE(CONTROL!$C$42, 0.5599, 0.5599)*CHOOSE(CONTROL!$C$42, 31, 31))/1000000</f>
        <v>12.063045499999998</v>
      </c>
      <c r="V96" s="57">
        <f>(1000*CHOOSE(CONTROL!$C$42, 500, 500)*CHOOSE(CONTROL!$C$42, 0.275, 0.275)*CHOOSE(CONTROL!$C$42, 31, 31))/1000000</f>
        <v>4.2625000000000002</v>
      </c>
      <c r="W96" s="57">
        <f>(1000*CHOOSE(CONTROL!$C$42, 0.1146, 0.1146)*CHOOSE(CONTROL!$C$42, 121.5, 121.5)*CHOOSE(CONTROL!$C$42, 31, 31))/1000000</f>
        <v>0.43164089999999994</v>
      </c>
      <c r="X96" s="57">
        <f>(31*0.1790888*100000/1000000)+(31*0.2374*100000/1000000)</f>
        <v>1.2911152800000001</v>
      </c>
      <c r="Y96" s="57"/>
      <c r="Z96" s="14"/>
      <c r="AA96" s="56"/>
      <c r="AB96" s="50">
        <f>(B96*122.58+C96*297.941+D96*89.177+E96*40.302+F96*40+G96*160+H96*0+I96*100+J96*300)/(122.58+297.941+89.177+40.302+0+40+160+100+300)</f>
        <v>6.1002473779130444</v>
      </c>
      <c r="AC96" s="45">
        <f>(M96*'RAP TEMPLATE-GAS AVAILABILITY'!O95+N96*'RAP TEMPLATE-GAS AVAILABILITY'!P95+O96*'RAP TEMPLATE-GAS AVAILABILITY'!Q95+P96*'RAP TEMPLATE-GAS AVAILABILITY'!R95)/('RAP TEMPLATE-GAS AVAILABILITY'!O95+'RAP TEMPLATE-GAS AVAILABILITY'!P95+'RAP TEMPLATE-GAS AVAILABILITY'!Q95+'RAP TEMPLATE-GAS AVAILABILITY'!R95)</f>
        <v>6.0816424460431655</v>
      </c>
    </row>
    <row r="97" spans="1:29" ht="15.75" x14ac:dyDescent="0.25">
      <c r="A97" s="13">
        <v>43831</v>
      </c>
      <c r="B97" s="14">
        <f>CHOOSE(CONTROL!$C$42, 6.5054, 6.5054) * CHOOSE(CONTROL!$C$21, $C$9, 100%, $E$9)</f>
        <v>6.5053999999999998</v>
      </c>
      <c r="C97" s="14">
        <f>CHOOSE(CONTROL!$C$42, 6.5103, 6.5103) * CHOOSE(CONTROL!$C$21, $C$9, 100%, $E$9)</f>
        <v>6.5103</v>
      </c>
      <c r="D97" s="14">
        <f>CHOOSE(CONTROL!$C$42, 6.5746, 6.5746) * CHOOSE(CONTROL!$C$21, $C$9, 100%, $E$9)</f>
        <v>6.5746000000000002</v>
      </c>
      <c r="E97" s="14">
        <f>CHOOSE(CONTROL!$C$42, 6.6084, 6.6084) * CHOOSE(CONTROL!$C$21, $C$9, 100%, $E$9)</f>
        <v>6.6083999999999996</v>
      </c>
      <c r="F97" s="14">
        <f>CHOOSE(CONTROL!$C$42, 6.5069, 6.5069)*CHOOSE(CONTROL!$C$21, $C$9, 100%, $E$9)</f>
        <v>6.5068999999999999</v>
      </c>
      <c r="G97" s="14">
        <f>CHOOSE(CONTROL!$C$42, 6.5228, 6.5228)*CHOOSE(CONTROL!$C$21, $C$9, 100%, $E$9)</f>
        <v>6.5228000000000002</v>
      </c>
      <c r="H97" s="14">
        <f>CHOOSE(CONTROL!$C$42, 6.5976, 6.5976) * CHOOSE(CONTROL!$C$21, $C$9, 100%, $E$9)</f>
        <v>6.5975999999999999</v>
      </c>
      <c r="I97" s="14">
        <f>CHOOSE(CONTROL!$C$42, 6.5253, 6.5253)* CHOOSE(CONTROL!$C$21, $C$9, 100%, $E$9)</f>
        <v>6.5252999999999997</v>
      </c>
      <c r="J97" s="14">
        <f>CHOOSE(CONTROL!$C$42, 6.4999, 6.4999)* CHOOSE(CONTROL!$C$21, $C$9, 100%, $E$9)</f>
        <v>6.4999000000000002</v>
      </c>
      <c r="K97" s="53">
        <f>CHOOSE(CONTROL!$C$42, 6.5214, 6.5214) * CHOOSE(CONTROL!$C$21, $C$9, 100%, $E$9)</f>
        <v>6.5213999999999999</v>
      </c>
      <c r="L97" s="14">
        <f>CHOOSE(CONTROL!$C$42, 7.1846, 7.1846) * CHOOSE(CONTROL!$C$21, $C$9, 100%, $E$9)</f>
        <v>7.1845999999999997</v>
      </c>
      <c r="M97" s="14">
        <f>CHOOSE(CONTROL!$C$42, 6.4481, 6.4481) * CHOOSE(CONTROL!$C$21, $C$9, 100%, $E$9)</f>
        <v>6.4481000000000002</v>
      </c>
      <c r="N97" s="14">
        <f>CHOOSE(CONTROL!$C$42, 6.4639, 6.4639) * CHOOSE(CONTROL!$C$21, $C$9, 100%, $E$9)</f>
        <v>6.4638999999999998</v>
      </c>
      <c r="O97" s="14">
        <f>CHOOSE(CONTROL!$C$42, 6.5448, 6.5448) * CHOOSE(CONTROL!$C$21, $C$9, 100%, $E$9)</f>
        <v>6.5448000000000004</v>
      </c>
      <c r="P97" s="14">
        <f>CHOOSE(CONTROL!$C$42, 6.4734, 6.4734) * CHOOSE(CONTROL!$C$21, $C$9, 100%, $E$9)</f>
        <v>6.4733999999999998</v>
      </c>
      <c r="Q97" s="14">
        <f>CHOOSE(CONTROL!$C$42, 7.1401, 7.1401) * CHOOSE(CONTROL!$C$21, $C$9, 100%, $E$9)</f>
        <v>7.1401000000000003</v>
      </c>
      <c r="R97" s="14">
        <f>CHOOSE(CONTROL!$C$42, 7.745, 7.745) * CHOOSE(CONTROL!$C$21, $C$9, 100%, $E$9)</f>
        <v>7.7450000000000001</v>
      </c>
      <c r="S97" s="14">
        <f>CHOOSE(CONTROL!$C$42, 6.3152, 6.3152) * CHOOSE(CONTROL!$C$21, $C$9, 100%, $E$9)</f>
        <v>6.3151999999999999</v>
      </c>
      <c r="T9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7" s="57">
        <f>(1000*CHOOSE(CONTROL!$C$42, 695, 695)*CHOOSE(CONTROL!$C$42, 0.5599, 0.5599)*CHOOSE(CONTROL!$C$42, 31, 31))/1000000</f>
        <v>12.063045499999998</v>
      </c>
      <c r="V97" s="57">
        <f>(1000*CHOOSE(CONTROL!$C$42, 500, 500)*CHOOSE(CONTROL!$C$42, 0.275, 0.275)*CHOOSE(CONTROL!$C$42, 31, 31))/1000000</f>
        <v>4.2625000000000002</v>
      </c>
      <c r="W97" s="57">
        <f>(1000*CHOOSE(CONTROL!$C$42, 0.1146, 0.1146)*CHOOSE(CONTROL!$C$42, 121.5, 121.5)*CHOOSE(CONTROL!$C$42, 31, 31))/1000000</f>
        <v>0.43164089999999994</v>
      </c>
      <c r="X97" s="57">
        <f>(31*0.1790888*100000/1000000)+(31*0.2374*100000/1000000)</f>
        <v>1.2911152800000001</v>
      </c>
      <c r="Y97" s="57"/>
      <c r="Z97" s="14"/>
      <c r="AA97" s="56"/>
      <c r="AB97" s="50">
        <f>(B97*122.58+C97*297.941+D97*89.177+E97*40.302+F97*40+G97*160+H97*0+I97*100+J97*300)/(122.58+297.941+89.177+40.302+0+40+160+100+300)</f>
        <v>6.5184139698260868</v>
      </c>
      <c r="AC97" s="45">
        <f>(M97*'RAP TEMPLATE-GAS AVAILABILITY'!O96+N97*'RAP TEMPLATE-GAS AVAILABILITY'!P96+O97*'RAP TEMPLATE-GAS AVAILABILITY'!Q96+P97*'RAP TEMPLATE-GAS AVAILABILITY'!R96)/('RAP TEMPLATE-GAS AVAILABILITY'!O96+'RAP TEMPLATE-GAS AVAILABILITY'!P96+'RAP TEMPLATE-GAS AVAILABILITY'!Q96+'RAP TEMPLATE-GAS AVAILABILITY'!R96)</f>
        <v>6.4964776978417271</v>
      </c>
    </row>
    <row r="98" spans="1:29" ht="15.75" x14ac:dyDescent="0.25">
      <c r="A98" s="13">
        <v>43862</v>
      </c>
      <c r="B98" s="14">
        <f>CHOOSE(CONTROL!$C$42, 6.6211, 6.6211) * CHOOSE(CONTROL!$C$21, $C$9, 100%, $E$9)</f>
        <v>6.6211000000000002</v>
      </c>
      <c r="C98" s="14">
        <f>CHOOSE(CONTROL!$C$42, 6.6261, 6.6261) * CHOOSE(CONTROL!$C$21, $C$9, 100%, $E$9)</f>
        <v>6.6261000000000001</v>
      </c>
      <c r="D98" s="14">
        <f>CHOOSE(CONTROL!$C$42, 6.6903, 6.6903) * CHOOSE(CONTROL!$C$21, $C$9, 100%, $E$9)</f>
        <v>6.6902999999999997</v>
      </c>
      <c r="E98" s="14">
        <f>CHOOSE(CONTROL!$C$42, 6.7241, 6.7241) * CHOOSE(CONTROL!$C$21, $C$9, 100%, $E$9)</f>
        <v>6.7241</v>
      </c>
      <c r="F98" s="14">
        <f>CHOOSE(CONTROL!$C$42, 6.6227, 6.6227)*CHOOSE(CONTROL!$C$21, $C$9, 100%, $E$9)</f>
        <v>6.6227</v>
      </c>
      <c r="G98" s="14">
        <f>CHOOSE(CONTROL!$C$42, 6.6386, 6.6386)*CHOOSE(CONTROL!$C$21, $C$9, 100%, $E$9)</f>
        <v>6.6386000000000003</v>
      </c>
      <c r="H98" s="14">
        <f>CHOOSE(CONTROL!$C$42, 6.7133, 6.7133) * CHOOSE(CONTROL!$C$21, $C$9, 100%, $E$9)</f>
        <v>6.7133000000000003</v>
      </c>
      <c r="I98" s="14">
        <f>CHOOSE(CONTROL!$C$42, 6.6411, 6.6411)* CHOOSE(CONTROL!$C$21, $C$9, 100%, $E$9)</f>
        <v>6.6410999999999998</v>
      </c>
      <c r="J98" s="14">
        <f>CHOOSE(CONTROL!$C$42, 6.6157, 6.6157)* CHOOSE(CONTROL!$C$21, $C$9, 100%, $E$9)</f>
        <v>6.6157000000000004</v>
      </c>
      <c r="K98" s="53">
        <f>CHOOSE(CONTROL!$C$42, 6.6372, 6.6372) * CHOOSE(CONTROL!$C$21, $C$9, 100%, $E$9)</f>
        <v>6.6372</v>
      </c>
      <c r="L98" s="14">
        <f>CHOOSE(CONTROL!$C$42, 7.3003, 7.3003) * CHOOSE(CONTROL!$C$21, $C$9, 100%, $E$9)</f>
        <v>7.3003</v>
      </c>
      <c r="M98" s="14">
        <f>CHOOSE(CONTROL!$C$42, 6.5627, 6.5627) * CHOOSE(CONTROL!$C$21, $C$9, 100%, $E$9)</f>
        <v>6.5627000000000004</v>
      </c>
      <c r="N98" s="14">
        <f>CHOOSE(CONTROL!$C$42, 6.5785, 6.5785) * CHOOSE(CONTROL!$C$21, $C$9, 100%, $E$9)</f>
        <v>6.5785</v>
      </c>
      <c r="O98" s="14">
        <f>CHOOSE(CONTROL!$C$42, 6.6594, 6.6594) * CHOOSE(CONTROL!$C$21, $C$9, 100%, $E$9)</f>
        <v>6.6593999999999998</v>
      </c>
      <c r="P98" s="14">
        <f>CHOOSE(CONTROL!$C$42, 6.5879, 6.5879) * CHOOSE(CONTROL!$C$21, $C$9, 100%, $E$9)</f>
        <v>6.5879000000000003</v>
      </c>
      <c r="Q98" s="14">
        <f>CHOOSE(CONTROL!$C$42, 7.2547, 7.2547) * CHOOSE(CONTROL!$C$21, $C$9, 100%, $E$9)</f>
        <v>7.2546999999999997</v>
      </c>
      <c r="R98" s="14">
        <f>CHOOSE(CONTROL!$C$42, 7.8598, 7.8598) * CHOOSE(CONTROL!$C$21, $C$9, 100%, $E$9)</f>
        <v>7.8597999999999999</v>
      </c>
      <c r="S98" s="14">
        <f>CHOOSE(CONTROL!$C$42, 6.4276, 6.4276) * CHOOSE(CONTROL!$C$21, $C$9, 100%, $E$9)</f>
        <v>6.4276</v>
      </c>
      <c r="T9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8" s="57">
        <f>(1000*CHOOSE(CONTROL!$C$42, 695, 695)*CHOOSE(CONTROL!$C$42, 0.5599, 0.5599)*CHOOSE(CONTROL!$C$42, 29, 29))/1000000</f>
        <v>11.284784499999999</v>
      </c>
      <c r="V98" s="57">
        <f>(1000*CHOOSE(CONTROL!$C$42, 500, 500)*CHOOSE(CONTROL!$C$42, 0.275, 0.275)*CHOOSE(CONTROL!$C$42, 29, 29))/1000000</f>
        <v>3.9874999999999998</v>
      </c>
      <c r="W98" s="57">
        <f>(1000*CHOOSE(CONTROL!$C$42, 0.1146, 0.1146)*CHOOSE(CONTROL!$C$42, 121.5, 121.5)*CHOOSE(CONTROL!$C$42, 29, 29))/1000000</f>
        <v>0.40379309999999996</v>
      </c>
      <c r="X98" s="57">
        <f>(29*0.1790888*100000/1000000)+(29*0.2374*100000/1000000)</f>
        <v>1.2078175199999999</v>
      </c>
      <c r="Y98" s="57"/>
      <c r="Z98" s="14"/>
      <c r="AA98" s="56"/>
      <c r="AB98" s="50">
        <f>(B98*122.58+C98*297.941+D98*89.177+E98*40.302+F98*40+G98*160+H98*0+I98*100+J98*300)/(122.58+297.941+89.177+40.302+0+40+160+100+300)</f>
        <v>6.6341920516521737</v>
      </c>
      <c r="AC98" s="45">
        <f>(M98*'RAP TEMPLATE-GAS AVAILABILITY'!O97+N98*'RAP TEMPLATE-GAS AVAILABILITY'!P97+O98*'RAP TEMPLATE-GAS AVAILABILITY'!Q97+P98*'RAP TEMPLATE-GAS AVAILABILITY'!R97)/('RAP TEMPLATE-GAS AVAILABILITY'!O97+'RAP TEMPLATE-GAS AVAILABILITY'!P97+'RAP TEMPLATE-GAS AVAILABILITY'!Q97+'RAP TEMPLATE-GAS AVAILABILITY'!R97)</f>
        <v>6.6110633093525184</v>
      </c>
    </row>
    <row r="99" spans="1:29" ht="15.75" x14ac:dyDescent="0.25">
      <c r="A99" s="13">
        <v>43891</v>
      </c>
      <c r="B99" s="14">
        <f>CHOOSE(CONTROL!$C$42, 6.4332, 6.4332) * CHOOSE(CONTROL!$C$21, $C$9, 100%, $E$9)</f>
        <v>6.4332000000000003</v>
      </c>
      <c r="C99" s="14">
        <f>CHOOSE(CONTROL!$C$42, 6.4382, 6.4382) * CHOOSE(CONTROL!$C$21, $C$9, 100%, $E$9)</f>
        <v>6.4382000000000001</v>
      </c>
      <c r="D99" s="14">
        <f>CHOOSE(CONTROL!$C$42, 6.5025, 6.5025) * CHOOSE(CONTROL!$C$21, $C$9, 100%, $E$9)</f>
        <v>6.5025000000000004</v>
      </c>
      <c r="E99" s="14">
        <f>CHOOSE(CONTROL!$C$42, 6.5362, 6.5362) * CHOOSE(CONTROL!$C$21, $C$9, 100%, $E$9)</f>
        <v>6.5362</v>
      </c>
      <c r="F99" s="14">
        <f>CHOOSE(CONTROL!$C$42, 6.4345, 6.4345)*CHOOSE(CONTROL!$C$21, $C$9, 100%, $E$9)</f>
        <v>6.4344999999999999</v>
      </c>
      <c r="G99" s="14">
        <f>CHOOSE(CONTROL!$C$42, 6.4503, 6.4503)*CHOOSE(CONTROL!$C$21, $C$9, 100%, $E$9)</f>
        <v>6.4503000000000004</v>
      </c>
      <c r="H99" s="14">
        <f>CHOOSE(CONTROL!$C$42, 6.5254, 6.5254) * CHOOSE(CONTROL!$C$21, $C$9, 100%, $E$9)</f>
        <v>6.5254000000000003</v>
      </c>
      <c r="I99" s="14">
        <f>CHOOSE(CONTROL!$C$42, 6.4532, 6.4532)* CHOOSE(CONTROL!$C$21, $C$9, 100%, $E$9)</f>
        <v>6.4531999999999998</v>
      </c>
      <c r="J99" s="14">
        <f>CHOOSE(CONTROL!$C$42, 6.4275, 6.4275)* CHOOSE(CONTROL!$C$21, $C$9, 100%, $E$9)</f>
        <v>6.4275000000000002</v>
      </c>
      <c r="K99" s="53">
        <f>CHOOSE(CONTROL!$C$42, 6.4493, 6.4493) * CHOOSE(CONTROL!$C$21, $C$9, 100%, $E$9)</f>
        <v>6.4493</v>
      </c>
      <c r="L99" s="14">
        <f>CHOOSE(CONTROL!$C$42, 7.1124, 7.1124) * CHOOSE(CONTROL!$C$21, $C$9, 100%, $E$9)</f>
        <v>7.1124000000000001</v>
      </c>
      <c r="M99" s="14">
        <f>CHOOSE(CONTROL!$C$42, 6.3764, 6.3764) * CHOOSE(CONTROL!$C$21, $C$9, 100%, $E$9)</f>
        <v>6.3764000000000003</v>
      </c>
      <c r="N99" s="14">
        <f>CHOOSE(CONTROL!$C$42, 6.3921, 6.3921) * CHOOSE(CONTROL!$C$21, $C$9, 100%, $E$9)</f>
        <v>6.3921000000000001</v>
      </c>
      <c r="O99" s="14">
        <f>CHOOSE(CONTROL!$C$42, 6.4734, 6.4734) * CHOOSE(CONTROL!$C$21, $C$9, 100%, $E$9)</f>
        <v>6.4733999999999998</v>
      </c>
      <c r="P99" s="14">
        <f>CHOOSE(CONTROL!$C$42, 6.4019, 6.4019) * CHOOSE(CONTROL!$C$21, $C$9, 100%, $E$9)</f>
        <v>6.4019000000000004</v>
      </c>
      <c r="Q99" s="14">
        <f>CHOOSE(CONTROL!$C$42, 7.0687, 7.0687) * CHOOSE(CONTROL!$C$21, $C$9, 100%, $E$9)</f>
        <v>7.0686999999999998</v>
      </c>
      <c r="R99" s="14">
        <f>CHOOSE(CONTROL!$C$42, 7.6734, 7.6734) * CHOOSE(CONTROL!$C$21, $C$9, 100%, $E$9)</f>
        <v>7.6734</v>
      </c>
      <c r="S99" s="14">
        <f>CHOOSE(CONTROL!$C$42, 6.2452, 6.2452) * CHOOSE(CONTROL!$C$21, $C$9, 100%, $E$9)</f>
        <v>6.2451999999999996</v>
      </c>
      <c r="T9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9" s="57">
        <f>(1000*CHOOSE(CONTROL!$C$42, 695, 695)*CHOOSE(CONTROL!$C$42, 0.5599, 0.5599)*CHOOSE(CONTROL!$C$42, 31, 31))/1000000</f>
        <v>12.063045499999998</v>
      </c>
      <c r="V99" s="57">
        <f>(1000*CHOOSE(CONTROL!$C$42, 500, 500)*CHOOSE(CONTROL!$C$42, 0.275, 0.275)*CHOOSE(CONTROL!$C$42, 31, 31))/1000000</f>
        <v>4.2625000000000002</v>
      </c>
      <c r="W99" s="57">
        <f>(1000*CHOOSE(CONTROL!$C$42, 0.1146, 0.1146)*CHOOSE(CONTROL!$C$42, 121.5, 121.5)*CHOOSE(CONTROL!$C$42, 31, 31))/1000000</f>
        <v>0.43164089999999994</v>
      </c>
      <c r="X99" s="57">
        <f>(31*0.1790888*100000/1000000)+(31*0.2374*100000/1000000)</f>
        <v>1.2911152800000001</v>
      </c>
      <c r="Y99" s="57"/>
      <c r="Z99" s="14"/>
      <c r="AA99" s="56"/>
      <c r="AB99" s="50">
        <f>(B99*122.58+C99*297.941+D99*89.177+E99*40.302+F99*40+G99*160+H99*0+I99*100+J99*300)/(122.58+297.941+89.177+40.302+0+40+160+100+300)</f>
        <v>6.4461554583478264</v>
      </c>
      <c r="AC99" s="45">
        <f>(M99*'RAP TEMPLATE-GAS AVAILABILITY'!O98+N99*'RAP TEMPLATE-GAS AVAILABILITY'!P98+O99*'RAP TEMPLATE-GAS AVAILABILITY'!Q98+P99*'RAP TEMPLATE-GAS AVAILABILITY'!R98)/('RAP TEMPLATE-GAS AVAILABILITY'!O98+'RAP TEMPLATE-GAS AVAILABILITY'!P98+'RAP TEMPLATE-GAS AVAILABILITY'!Q98+'RAP TEMPLATE-GAS AVAILABILITY'!R98)</f>
        <v>6.4249366906474821</v>
      </c>
    </row>
    <row r="100" spans="1:29" ht="15.75" x14ac:dyDescent="0.25">
      <c r="A100" s="13">
        <v>43922</v>
      </c>
      <c r="B100" s="14">
        <f>CHOOSE(CONTROL!$C$42, 6.4151, 6.4151) * CHOOSE(CONTROL!$C$21, $C$9, 100%, $E$9)</f>
        <v>6.4150999999999998</v>
      </c>
      <c r="C100" s="14">
        <f>CHOOSE(CONTROL!$C$42, 6.4195, 6.4195) * CHOOSE(CONTROL!$C$21, $C$9, 100%, $E$9)</f>
        <v>6.4195000000000002</v>
      </c>
      <c r="D100" s="14">
        <f>CHOOSE(CONTROL!$C$42, 6.6202, 6.6202) * CHOOSE(CONTROL!$C$21, $C$9, 100%, $E$9)</f>
        <v>6.6201999999999996</v>
      </c>
      <c r="E100" s="14">
        <f>CHOOSE(CONTROL!$C$42, 6.652, 6.652) * CHOOSE(CONTROL!$C$21, $C$9, 100%, $E$9)</f>
        <v>6.6520000000000001</v>
      </c>
      <c r="F100" s="14">
        <f>CHOOSE(CONTROL!$C$42, 6.3997, 6.3997)*CHOOSE(CONTROL!$C$21, $C$9, 100%, $E$9)</f>
        <v>6.3997000000000002</v>
      </c>
      <c r="G100" s="14">
        <f>CHOOSE(CONTROL!$C$42, 6.4153, 6.4153)*CHOOSE(CONTROL!$C$21, $C$9, 100%, $E$9)</f>
        <v>6.4153000000000002</v>
      </c>
      <c r="H100" s="14">
        <f>CHOOSE(CONTROL!$C$42, 6.6418, 6.6418) * CHOOSE(CONTROL!$C$21, $C$9, 100%, $E$9)</f>
        <v>6.6417999999999999</v>
      </c>
      <c r="I100" s="14">
        <f>CHOOSE(CONTROL!$C$42, 6.4279, 6.4279)* CHOOSE(CONTROL!$C$21, $C$9, 100%, $E$9)</f>
        <v>6.4279000000000002</v>
      </c>
      <c r="J100" s="14">
        <f>CHOOSE(CONTROL!$C$42, 6.3927, 6.3927)* CHOOSE(CONTROL!$C$21, $C$9, 100%, $E$9)</f>
        <v>6.3926999999999996</v>
      </c>
      <c r="K100" s="53">
        <f>CHOOSE(CONTROL!$C$42, 6.424, 6.424) * CHOOSE(CONTROL!$C$21, $C$9, 100%, $E$9)</f>
        <v>6.4240000000000004</v>
      </c>
      <c r="L100" s="14">
        <f>CHOOSE(CONTROL!$C$42, 7.2288, 7.2288) * CHOOSE(CONTROL!$C$21, $C$9, 100%, $E$9)</f>
        <v>7.2287999999999997</v>
      </c>
      <c r="M100" s="14">
        <f>CHOOSE(CONTROL!$C$42, 6.342, 6.342) * CHOOSE(CONTROL!$C$21, $C$9, 100%, $E$9)</f>
        <v>6.3419999999999996</v>
      </c>
      <c r="N100" s="14">
        <f>CHOOSE(CONTROL!$C$42, 6.3575, 6.3575) * CHOOSE(CONTROL!$C$21, $C$9, 100%, $E$9)</f>
        <v>6.3574999999999999</v>
      </c>
      <c r="O100" s="14">
        <f>CHOOSE(CONTROL!$C$42, 6.5886, 6.5886) * CHOOSE(CONTROL!$C$21, $C$9, 100%, $E$9)</f>
        <v>6.5885999999999996</v>
      </c>
      <c r="P100" s="14">
        <f>CHOOSE(CONTROL!$C$42, 6.3769, 6.3769) * CHOOSE(CONTROL!$C$21, $C$9, 100%, $E$9)</f>
        <v>6.3769</v>
      </c>
      <c r="Q100" s="14">
        <f>CHOOSE(CONTROL!$C$42, 7.1839, 7.1839) * CHOOSE(CONTROL!$C$21, $C$9, 100%, $E$9)</f>
        <v>7.1839000000000004</v>
      </c>
      <c r="R100" s="14">
        <f>CHOOSE(CONTROL!$C$42, 7.7889, 7.7889) * CHOOSE(CONTROL!$C$21, $C$9, 100%, $E$9)</f>
        <v>7.7888999999999999</v>
      </c>
      <c r="S100" s="14">
        <f>CHOOSE(CONTROL!$C$42, 6.2268, 6.2268) * CHOOSE(CONTROL!$C$21, $C$9, 100%, $E$9)</f>
        <v>6.2267999999999999</v>
      </c>
      <c r="T10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0" s="57">
        <f>(1000*CHOOSE(CONTROL!$C$42, 695, 695)*CHOOSE(CONTROL!$C$42, 0.5599, 0.5599)*CHOOSE(CONTROL!$C$42, 30, 30))/1000000</f>
        <v>11.673914999999997</v>
      </c>
      <c r="V100" s="57">
        <f>(1000*CHOOSE(CONTROL!$C$42, 500, 500)*CHOOSE(CONTROL!$C$42, 0.275, 0.275)*CHOOSE(CONTROL!$C$42, 30, 30))/1000000</f>
        <v>4.125</v>
      </c>
      <c r="W100" s="57">
        <f>(1000*CHOOSE(CONTROL!$C$42, 0.1146, 0.1146)*CHOOSE(CONTROL!$C$42, 121.5, 121.5)*CHOOSE(CONTROL!$C$42, 30, 30))/1000000</f>
        <v>0.417717</v>
      </c>
      <c r="X100" s="57">
        <f>(30*0.1790888*245000/1000000)+(30*0.2374*100000/1000000)</f>
        <v>2.0285026799999999</v>
      </c>
      <c r="Y100" s="57"/>
      <c r="Z100" s="14"/>
      <c r="AA100" s="56"/>
      <c r="AB100" s="50">
        <f>(B100*141.293+C100*267.993+D100*115.016+E100*89.698+F100*40+G100*185+H100*0+I100*100+J100*300)/(141.293+267.993+115.016+89.698+0+40+185+100+300)</f>
        <v>6.4473836214689264</v>
      </c>
      <c r="AC100" s="45">
        <f>(M100*'RAP TEMPLATE-GAS AVAILABILITY'!O99+N100*'RAP TEMPLATE-GAS AVAILABILITY'!P99+O100*'RAP TEMPLATE-GAS AVAILABILITY'!Q99+P100*'RAP TEMPLATE-GAS AVAILABILITY'!R99)/('RAP TEMPLATE-GAS AVAILABILITY'!O99+'RAP TEMPLATE-GAS AVAILABILITY'!P99+'RAP TEMPLATE-GAS AVAILABILITY'!Q99+'RAP TEMPLATE-GAS AVAILABILITY'!R99)</f>
        <v>6.4197798561151069</v>
      </c>
    </row>
    <row r="101" spans="1:29" ht="15.75" x14ac:dyDescent="0.25">
      <c r="A101" s="13">
        <v>43952</v>
      </c>
      <c r="B101" s="14">
        <f>CHOOSE(CONTROL!$C$42, 6.4731, 6.4731) * CHOOSE(CONTROL!$C$21, $C$9, 100%, $E$9)</f>
        <v>6.4730999999999996</v>
      </c>
      <c r="C101" s="14">
        <f>CHOOSE(CONTROL!$C$42, 6.481, 6.481) * CHOOSE(CONTROL!$C$21, $C$9, 100%, $E$9)</f>
        <v>6.4809999999999999</v>
      </c>
      <c r="D101" s="14">
        <f>CHOOSE(CONTROL!$C$42, 6.6786, 6.6786) * CHOOSE(CONTROL!$C$21, $C$9, 100%, $E$9)</f>
        <v>6.6786000000000003</v>
      </c>
      <c r="E101" s="14">
        <f>CHOOSE(CONTROL!$C$42, 6.7098, 6.7098) * CHOOSE(CONTROL!$C$21, $C$9, 100%, $E$9)</f>
        <v>6.7098000000000004</v>
      </c>
      <c r="F101" s="14">
        <f>CHOOSE(CONTROL!$C$42, 6.4565, 6.4565)*CHOOSE(CONTROL!$C$21, $C$9, 100%, $E$9)</f>
        <v>6.4565000000000001</v>
      </c>
      <c r="G101" s="14">
        <f>CHOOSE(CONTROL!$C$42, 6.4726, 6.4726)*CHOOSE(CONTROL!$C$21, $C$9, 100%, $E$9)</f>
        <v>6.4725999999999999</v>
      </c>
      <c r="H101" s="14">
        <f>CHOOSE(CONTROL!$C$42, 6.6984, 6.6984) * CHOOSE(CONTROL!$C$21, $C$9, 100%, $E$9)</f>
        <v>6.6984000000000004</v>
      </c>
      <c r="I101" s="14">
        <f>CHOOSE(CONTROL!$C$42, 6.4845, 6.4845)* CHOOSE(CONTROL!$C$21, $C$9, 100%, $E$9)</f>
        <v>6.4844999999999997</v>
      </c>
      <c r="J101" s="14">
        <f>CHOOSE(CONTROL!$C$42, 6.4495, 6.4495)* CHOOSE(CONTROL!$C$21, $C$9, 100%, $E$9)</f>
        <v>6.4494999999999996</v>
      </c>
      <c r="K101" s="53">
        <f>CHOOSE(CONTROL!$C$42, 6.4806, 6.4806) * CHOOSE(CONTROL!$C$21, $C$9, 100%, $E$9)</f>
        <v>6.4805999999999999</v>
      </c>
      <c r="L101" s="14">
        <f>CHOOSE(CONTROL!$C$42, 7.2854, 7.2854) * CHOOSE(CONTROL!$C$21, $C$9, 100%, $E$9)</f>
        <v>7.2854000000000001</v>
      </c>
      <c r="M101" s="14">
        <f>CHOOSE(CONTROL!$C$42, 6.3983, 6.3983) * CHOOSE(CONTROL!$C$21, $C$9, 100%, $E$9)</f>
        <v>6.3982999999999999</v>
      </c>
      <c r="N101" s="14">
        <f>CHOOSE(CONTROL!$C$42, 6.4142, 6.4142) * CHOOSE(CONTROL!$C$21, $C$9, 100%, $E$9)</f>
        <v>6.4142000000000001</v>
      </c>
      <c r="O101" s="14">
        <f>CHOOSE(CONTROL!$C$42, 6.6446, 6.6446) * CHOOSE(CONTROL!$C$21, $C$9, 100%, $E$9)</f>
        <v>6.6445999999999996</v>
      </c>
      <c r="P101" s="14">
        <f>CHOOSE(CONTROL!$C$42, 6.4329, 6.4329) * CHOOSE(CONTROL!$C$21, $C$9, 100%, $E$9)</f>
        <v>6.4329000000000001</v>
      </c>
      <c r="Q101" s="14">
        <f>CHOOSE(CONTROL!$C$42, 7.2399, 7.2399) * CHOOSE(CONTROL!$C$21, $C$9, 100%, $E$9)</f>
        <v>7.2398999999999996</v>
      </c>
      <c r="R101" s="14">
        <f>CHOOSE(CONTROL!$C$42, 7.845, 7.845) * CHOOSE(CONTROL!$C$21, $C$9, 100%, $E$9)</f>
        <v>7.8449999999999998</v>
      </c>
      <c r="S101" s="14">
        <f>CHOOSE(CONTROL!$C$42, 6.2818, 6.2818) * CHOOSE(CONTROL!$C$21, $C$9, 100%, $E$9)</f>
        <v>6.2817999999999996</v>
      </c>
      <c r="T10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1" s="57">
        <f>(1000*CHOOSE(CONTROL!$C$42, 695, 695)*CHOOSE(CONTROL!$C$42, 0.5599, 0.5599)*CHOOSE(CONTROL!$C$42, 31, 31))/1000000</f>
        <v>12.063045499999998</v>
      </c>
      <c r="V101" s="57">
        <f>(1000*CHOOSE(CONTROL!$C$42, 500, 500)*CHOOSE(CONTROL!$C$42, 0.275, 0.275)*CHOOSE(CONTROL!$C$42, 31, 31))/1000000</f>
        <v>4.2625000000000002</v>
      </c>
      <c r="W101" s="57">
        <f>(1000*CHOOSE(CONTROL!$C$42, 0.1146, 0.1146)*CHOOSE(CONTROL!$C$42, 121.5, 121.5)*CHOOSE(CONTROL!$C$42, 31, 31))/1000000</f>
        <v>0.43164089999999994</v>
      </c>
      <c r="X101" s="57">
        <f>(31*0.1790888*245000/1000000)+(31*0.2374*100000/1000000)</f>
        <v>2.0961194359999999</v>
      </c>
      <c r="Y101" s="57"/>
      <c r="Z101" s="14"/>
      <c r="AA101" s="56"/>
      <c r="AB101" s="50">
        <f>(B101*194.205+C101*267.466+D101*133.845+E101*53.484+F101*40+G101*185+H101*0+I101*100+J101*300)/(194.205+267.466+133.845+53.484+0+40+185+100+300)</f>
        <v>6.501028800392465</v>
      </c>
      <c r="AC101" s="45">
        <f>(M101*'RAP TEMPLATE-GAS AVAILABILITY'!O100+N101*'RAP TEMPLATE-GAS AVAILABILITY'!P100+O101*'RAP TEMPLATE-GAS AVAILABILITY'!Q100+P101*'RAP TEMPLATE-GAS AVAILABILITY'!R100)/('RAP TEMPLATE-GAS AVAILABILITY'!O100+'RAP TEMPLATE-GAS AVAILABILITY'!P100+'RAP TEMPLATE-GAS AVAILABILITY'!Q100+'RAP TEMPLATE-GAS AVAILABILITY'!R100)</f>
        <v>6.476044604316546</v>
      </c>
    </row>
    <row r="102" spans="1:29" ht="15.75" x14ac:dyDescent="0.25">
      <c r="A102" s="13">
        <v>43983</v>
      </c>
      <c r="B102" s="14">
        <f>CHOOSE(CONTROL!$C$42, 6.6566, 6.6566) * CHOOSE(CONTROL!$C$21, $C$9, 100%, $E$9)</f>
        <v>6.6566000000000001</v>
      </c>
      <c r="C102" s="14">
        <f>CHOOSE(CONTROL!$C$42, 6.6645, 6.6645) * CHOOSE(CONTROL!$C$21, $C$9, 100%, $E$9)</f>
        <v>6.6645000000000003</v>
      </c>
      <c r="D102" s="14">
        <f>CHOOSE(CONTROL!$C$42, 6.8621, 6.8621) * CHOOSE(CONTROL!$C$21, $C$9, 100%, $E$9)</f>
        <v>6.8620999999999999</v>
      </c>
      <c r="E102" s="14">
        <f>CHOOSE(CONTROL!$C$42, 6.8932, 6.8932) * CHOOSE(CONTROL!$C$21, $C$9, 100%, $E$9)</f>
        <v>6.8932000000000002</v>
      </c>
      <c r="F102" s="14">
        <f>CHOOSE(CONTROL!$C$42, 6.6404, 6.6404)*CHOOSE(CONTROL!$C$21, $C$9, 100%, $E$9)</f>
        <v>6.6403999999999996</v>
      </c>
      <c r="G102" s="14">
        <f>CHOOSE(CONTROL!$C$42, 6.6566, 6.6566)*CHOOSE(CONTROL!$C$21, $C$9, 100%, $E$9)</f>
        <v>6.6566000000000001</v>
      </c>
      <c r="H102" s="14">
        <f>CHOOSE(CONTROL!$C$42, 6.8818, 6.8818) * CHOOSE(CONTROL!$C$21, $C$9, 100%, $E$9)</f>
        <v>6.8818000000000001</v>
      </c>
      <c r="I102" s="14">
        <f>CHOOSE(CONTROL!$C$42, 6.6679, 6.6679)* CHOOSE(CONTROL!$C$21, $C$9, 100%, $E$9)</f>
        <v>6.6679000000000004</v>
      </c>
      <c r="J102" s="14">
        <f>CHOOSE(CONTROL!$C$42, 6.6334, 6.6334)* CHOOSE(CONTROL!$C$21, $C$9, 100%, $E$9)</f>
        <v>6.6334</v>
      </c>
      <c r="K102" s="53">
        <f>CHOOSE(CONTROL!$C$42, 6.6641, 6.6641) * CHOOSE(CONTROL!$C$21, $C$9, 100%, $E$9)</f>
        <v>6.6641000000000004</v>
      </c>
      <c r="L102" s="14">
        <f>CHOOSE(CONTROL!$C$42, 7.4688, 7.4688) * CHOOSE(CONTROL!$C$21, $C$9, 100%, $E$9)</f>
        <v>7.4687999999999999</v>
      </c>
      <c r="M102" s="14">
        <f>CHOOSE(CONTROL!$C$42, 6.5803, 6.5803) * CHOOSE(CONTROL!$C$21, $C$9, 100%, $E$9)</f>
        <v>6.5803000000000003</v>
      </c>
      <c r="N102" s="14">
        <f>CHOOSE(CONTROL!$C$42, 6.5963, 6.5963) * CHOOSE(CONTROL!$C$21, $C$9, 100%, $E$9)</f>
        <v>6.5963000000000003</v>
      </c>
      <c r="O102" s="14">
        <f>CHOOSE(CONTROL!$C$42, 6.8262, 6.8262) * CHOOSE(CONTROL!$C$21, $C$9, 100%, $E$9)</f>
        <v>6.8262</v>
      </c>
      <c r="P102" s="14">
        <f>CHOOSE(CONTROL!$C$42, 6.6145, 6.6145) * CHOOSE(CONTROL!$C$21, $C$9, 100%, $E$9)</f>
        <v>6.6144999999999996</v>
      </c>
      <c r="Q102" s="14">
        <f>CHOOSE(CONTROL!$C$42, 7.4215, 7.4215) * CHOOSE(CONTROL!$C$21, $C$9, 100%, $E$9)</f>
        <v>7.4215</v>
      </c>
      <c r="R102" s="14">
        <f>CHOOSE(CONTROL!$C$42, 8.0271, 8.0271) * CHOOSE(CONTROL!$C$21, $C$9, 100%, $E$9)</f>
        <v>8.0271000000000008</v>
      </c>
      <c r="S102" s="14">
        <f>CHOOSE(CONTROL!$C$42, 6.46, 6.46) * CHOOSE(CONTROL!$C$21, $C$9, 100%, $E$9)</f>
        <v>6.46</v>
      </c>
      <c r="T10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2" s="57">
        <f>(1000*CHOOSE(CONTROL!$C$42, 695, 695)*CHOOSE(CONTROL!$C$42, 0.5599, 0.5599)*CHOOSE(CONTROL!$C$42, 30, 30))/1000000</f>
        <v>11.673914999999997</v>
      </c>
      <c r="V102" s="57">
        <f>(1000*CHOOSE(CONTROL!$C$42, 500, 500)*CHOOSE(CONTROL!$C$42, 0.275, 0.275)*CHOOSE(CONTROL!$C$42, 30, 30))/1000000</f>
        <v>4.125</v>
      </c>
      <c r="W102" s="57">
        <f>(1000*CHOOSE(CONTROL!$C$42, 0.1146, 0.1146)*CHOOSE(CONTROL!$C$42, 121.5, 121.5)*CHOOSE(CONTROL!$C$42, 30, 30))/1000000</f>
        <v>0.417717</v>
      </c>
      <c r="X102" s="57">
        <f>(30*0.1790888*245000/1000000)+(30*0.2374*100000/1000000)</f>
        <v>2.0285026799999999</v>
      </c>
      <c r="Y102" s="57"/>
      <c r="Z102" s="14"/>
      <c r="AA102" s="56"/>
      <c r="AB102" s="50">
        <f>(B102*194.205+C102*267.466+D102*133.845+E102*53.484+F102*40+G102*185+H102*0+I102*100+J102*300)/(194.205+267.466+133.845+53.484+0+40+185+100+300)</f>
        <v>6.6846961093406589</v>
      </c>
      <c r="AC102" s="45">
        <f>(M102*'RAP TEMPLATE-GAS AVAILABILITY'!O101+N102*'RAP TEMPLATE-GAS AVAILABILITY'!P101+O102*'RAP TEMPLATE-GAS AVAILABILITY'!Q101+P102*'RAP TEMPLATE-GAS AVAILABILITY'!R101)/('RAP TEMPLATE-GAS AVAILABILITY'!O101+'RAP TEMPLATE-GAS AVAILABILITY'!P101+'RAP TEMPLATE-GAS AVAILABILITY'!Q101+'RAP TEMPLATE-GAS AVAILABILITY'!R101)</f>
        <v>6.6578978417266192</v>
      </c>
    </row>
    <row r="103" spans="1:29" ht="15.75" x14ac:dyDescent="0.25">
      <c r="A103" s="13">
        <v>44013</v>
      </c>
      <c r="B103" s="14">
        <f>CHOOSE(CONTROL!$C$42, 6.529, 6.529) * CHOOSE(CONTROL!$C$21, $C$9, 100%, $E$9)</f>
        <v>6.5289999999999999</v>
      </c>
      <c r="C103" s="14">
        <f>CHOOSE(CONTROL!$C$42, 6.5369, 6.5369) * CHOOSE(CONTROL!$C$21, $C$9, 100%, $E$9)</f>
        <v>6.5369000000000002</v>
      </c>
      <c r="D103" s="14">
        <f>CHOOSE(CONTROL!$C$42, 6.7345, 6.7345) * CHOOSE(CONTROL!$C$21, $C$9, 100%, $E$9)</f>
        <v>6.7344999999999997</v>
      </c>
      <c r="E103" s="14">
        <f>CHOOSE(CONTROL!$C$42, 6.7656, 6.7656) * CHOOSE(CONTROL!$C$21, $C$9, 100%, $E$9)</f>
        <v>6.7656000000000001</v>
      </c>
      <c r="F103" s="14">
        <f>CHOOSE(CONTROL!$C$42, 6.5132, 6.5132)*CHOOSE(CONTROL!$C$21, $C$9, 100%, $E$9)</f>
        <v>6.5132000000000003</v>
      </c>
      <c r="G103" s="14">
        <f>CHOOSE(CONTROL!$C$42, 6.5295, 6.5295)*CHOOSE(CONTROL!$C$21, $C$9, 100%, $E$9)</f>
        <v>6.5294999999999996</v>
      </c>
      <c r="H103" s="14">
        <f>CHOOSE(CONTROL!$C$42, 6.7543, 6.7543) * CHOOSE(CONTROL!$C$21, $C$9, 100%, $E$9)</f>
        <v>6.7542999999999997</v>
      </c>
      <c r="I103" s="14">
        <f>CHOOSE(CONTROL!$C$42, 6.5403, 6.5403)* CHOOSE(CONTROL!$C$21, $C$9, 100%, $E$9)</f>
        <v>6.5403000000000002</v>
      </c>
      <c r="J103" s="14">
        <f>CHOOSE(CONTROL!$C$42, 6.5062, 6.5062)* CHOOSE(CONTROL!$C$21, $C$9, 100%, $E$9)</f>
        <v>6.5061999999999998</v>
      </c>
      <c r="K103" s="53">
        <f>CHOOSE(CONTROL!$C$42, 6.5365, 6.5365) * CHOOSE(CONTROL!$C$21, $C$9, 100%, $E$9)</f>
        <v>6.5365000000000002</v>
      </c>
      <c r="L103" s="14">
        <f>CHOOSE(CONTROL!$C$42, 7.3413, 7.3413) * CHOOSE(CONTROL!$C$21, $C$9, 100%, $E$9)</f>
        <v>7.3413000000000004</v>
      </c>
      <c r="M103" s="14">
        <f>CHOOSE(CONTROL!$C$42, 6.4544, 6.4544) * CHOOSE(CONTROL!$C$21, $C$9, 100%, $E$9)</f>
        <v>6.4543999999999997</v>
      </c>
      <c r="N103" s="14">
        <f>CHOOSE(CONTROL!$C$42, 6.4705, 6.4705) * CHOOSE(CONTROL!$C$21, $C$9, 100%, $E$9)</f>
        <v>6.4705000000000004</v>
      </c>
      <c r="O103" s="14">
        <f>CHOOSE(CONTROL!$C$42, 6.6999, 6.6999) * CHOOSE(CONTROL!$C$21, $C$9, 100%, $E$9)</f>
        <v>6.6999000000000004</v>
      </c>
      <c r="P103" s="14">
        <f>CHOOSE(CONTROL!$C$42, 6.4882, 6.4882) * CHOOSE(CONTROL!$C$21, $C$9, 100%, $E$9)</f>
        <v>6.4882</v>
      </c>
      <c r="Q103" s="14">
        <f>CHOOSE(CONTROL!$C$42, 7.2952, 7.2952) * CHOOSE(CONTROL!$C$21, $C$9, 100%, $E$9)</f>
        <v>7.2952000000000004</v>
      </c>
      <c r="R103" s="14">
        <f>CHOOSE(CONTROL!$C$42, 7.9005, 7.9005) * CHOOSE(CONTROL!$C$21, $C$9, 100%, $E$9)</f>
        <v>7.9005000000000001</v>
      </c>
      <c r="S103" s="14">
        <f>CHOOSE(CONTROL!$C$42, 6.336, 6.336) * CHOOSE(CONTROL!$C$21, $C$9, 100%, $E$9)</f>
        <v>6.3360000000000003</v>
      </c>
      <c r="T10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3" s="57">
        <f>(1000*CHOOSE(CONTROL!$C$42, 695, 695)*CHOOSE(CONTROL!$C$42, 0.5599, 0.5599)*CHOOSE(CONTROL!$C$42, 31, 31))/1000000</f>
        <v>12.063045499999998</v>
      </c>
      <c r="V103" s="57">
        <f>(1000*CHOOSE(CONTROL!$C$42, 500, 500)*CHOOSE(CONTROL!$C$42, 0.275, 0.275)*CHOOSE(CONTROL!$C$42, 31, 31))/1000000</f>
        <v>4.2625000000000002</v>
      </c>
      <c r="W103" s="57">
        <f>(1000*CHOOSE(CONTROL!$C$42, 0.1146, 0.1146)*CHOOSE(CONTROL!$C$42, 121.5, 121.5)*CHOOSE(CONTROL!$C$42, 31, 31))/1000000</f>
        <v>0.43164089999999994</v>
      </c>
      <c r="X103" s="57">
        <f>(31*0.1790888*245000/1000000)+(31*0.2374*100000/1000000)</f>
        <v>2.0961194359999999</v>
      </c>
      <c r="Y103" s="57"/>
      <c r="Z103" s="14"/>
      <c r="AA103" s="56"/>
      <c r="AB103" s="50">
        <f>(B103*194.205+C103*267.466+D103*133.845+E103*53.484+F103*40+G103*185+H103*0+I103*100+J103*300)/(194.205+267.466+133.845+53.484+0+40+185+100+300)</f>
        <v>6.557275465698587</v>
      </c>
      <c r="AC103" s="45">
        <f>(M103*'RAP TEMPLATE-GAS AVAILABILITY'!O102+N103*'RAP TEMPLATE-GAS AVAILABILITY'!P102+O103*'RAP TEMPLATE-GAS AVAILABILITY'!Q102+P103*'RAP TEMPLATE-GAS AVAILABILITY'!R102)/('RAP TEMPLATE-GAS AVAILABILITY'!O102+'RAP TEMPLATE-GAS AVAILABILITY'!P102+'RAP TEMPLATE-GAS AVAILABILITY'!Q102+'RAP TEMPLATE-GAS AVAILABILITY'!R102)</f>
        <v>6.5318510791366915</v>
      </c>
    </row>
    <row r="104" spans="1:29" ht="15.75" x14ac:dyDescent="0.25">
      <c r="A104" s="13">
        <v>44044</v>
      </c>
      <c r="B104" s="14">
        <f>CHOOSE(CONTROL!$C$42, 6.2068, 6.2068) * CHOOSE(CONTROL!$C$21, $C$9, 100%, $E$9)</f>
        <v>6.2068000000000003</v>
      </c>
      <c r="C104" s="14">
        <f>CHOOSE(CONTROL!$C$42, 6.2147, 6.2147) * CHOOSE(CONTROL!$C$21, $C$9, 100%, $E$9)</f>
        <v>6.2146999999999997</v>
      </c>
      <c r="D104" s="14">
        <f>CHOOSE(CONTROL!$C$42, 6.4123, 6.4123) * CHOOSE(CONTROL!$C$21, $C$9, 100%, $E$9)</f>
        <v>6.4123000000000001</v>
      </c>
      <c r="E104" s="14">
        <f>CHOOSE(CONTROL!$C$42, 6.4434, 6.4434) * CHOOSE(CONTROL!$C$21, $C$9, 100%, $E$9)</f>
        <v>6.4433999999999996</v>
      </c>
      <c r="F104" s="14">
        <f>CHOOSE(CONTROL!$C$42, 6.1912, 6.1912)*CHOOSE(CONTROL!$C$21, $C$9, 100%, $E$9)</f>
        <v>6.1912000000000003</v>
      </c>
      <c r="G104" s="14">
        <f>CHOOSE(CONTROL!$C$42, 6.2075, 6.2075)*CHOOSE(CONTROL!$C$21, $C$9, 100%, $E$9)</f>
        <v>6.2074999999999996</v>
      </c>
      <c r="H104" s="14">
        <f>CHOOSE(CONTROL!$C$42, 6.432, 6.432) * CHOOSE(CONTROL!$C$21, $C$9, 100%, $E$9)</f>
        <v>6.4320000000000004</v>
      </c>
      <c r="I104" s="14">
        <f>CHOOSE(CONTROL!$C$42, 6.2181, 6.2181)* CHOOSE(CONTROL!$C$21, $C$9, 100%, $E$9)</f>
        <v>6.2180999999999997</v>
      </c>
      <c r="J104" s="14">
        <f>CHOOSE(CONTROL!$C$42, 6.1842, 6.1842)* CHOOSE(CONTROL!$C$21, $C$9, 100%, $E$9)</f>
        <v>6.1841999999999997</v>
      </c>
      <c r="K104" s="53">
        <f>CHOOSE(CONTROL!$C$42, 6.2142, 6.2142) * CHOOSE(CONTROL!$C$21, $C$9, 100%, $E$9)</f>
        <v>6.2141999999999999</v>
      </c>
      <c r="L104" s="14">
        <f>CHOOSE(CONTROL!$C$42, 7.019, 7.019) * CHOOSE(CONTROL!$C$21, $C$9, 100%, $E$9)</f>
        <v>7.0190000000000001</v>
      </c>
      <c r="M104" s="14">
        <f>CHOOSE(CONTROL!$C$42, 6.1356, 6.1356) * CHOOSE(CONTROL!$C$21, $C$9, 100%, $E$9)</f>
        <v>6.1356000000000002</v>
      </c>
      <c r="N104" s="14">
        <f>CHOOSE(CONTROL!$C$42, 6.1518, 6.1518) * CHOOSE(CONTROL!$C$21, $C$9, 100%, $E$9)</f>
        <v>6.1517999999999997</v>
      </c>
      <c r="O104" s="14">
        <f>CHOOSE(CONTROL!$C$42, 6.3809, 6.3809) * CHOOSE(CONTROL!$C$21, $C$9, 100%, $E$9)</f>
        <v>6.3808999999999996</v>
      </c>
      <c r="P104" s="14">
        <f>CHOOSE(CONTROL!$C$42, 6.1692, 6.1692) * CHOOSE(CONTROL!$C$21, $C$9, 100%, $E$9)</f>
        <v>6.1692</v>
      </c>
      <c r="Q104" s="14">
        <f>CHOOSE(CONTROL!$C$42, 6.9762, 6.9762) * CHOOSE(CONTROL!$C$21, $C$9, 100%, $E$9)</f>
        <v>6.9762000000000004</v>
      </c>
      <c r="R104" s="14">
        <f>CHOOSE(CONTROL!$C$42, 7.5807, 7.5807) * CHOOSE(CONTROL!$C$21, $C$9, 100%, $E$9)</f>
        <v>7.5807000000000002</v>
      </c>
      <c r="S104" s="14">
        <f>CHOOSE(CONTROL!$C$42, 6.0231, 6.0231) * CHOOSE(CONTROL!$C$21, $C$9, 100%, $E$9)</f>
        <v>6.0231000000000003</v>
      </c>
      <c r="T10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4" s="57">
        <f>(1000*CHOOSE(CONTROL!$C$42, 695, 695)*CHOOSE(CONTROL!$C$42, 0.5599, 0.5599)*CHOOSE(CONTROL!$C$42, 31, 31))/1000000</f>
        <v>12.063045499999998</v>
      </c>
      <c r="V104" s="57">
        <f>(1000*CHOOSE(CONTROL!$C$42, 500, 500)*CHOOSE(CONTROL!$C$42, 0.275, 0.275)*CHOOSE(CONTROL!$C$42, 31, 31))/1000000</f>
        <v>4.2625000000000002</v>
      </c>
      <c r="W104" s="57">
        <f>(1000*CHOOSE(CONTROL!$C$42, 0.1146, 0.1146)*CHOOSE(CONTROL!$C$42, 121.5, 121.5)*CHOOSE(CONTROL!$C$42, 31, 31))/1000000</f>
        <v>0.43164089999999994</v>
      </c>
      <c r="X104" s="57">
        <f>(31*0.1790888*245000/1000000)+(31*0.2374*100000/1000000)</f>
        <v>2.0961194359999999</v>
      </c>
      <c r="Y104" s="57"/>
      <c r="Z104" s="14"/>
      <c r="AA104" s="56"/>
      <c r="AB104" s="50">
        <f>(B104*194.205+C104*267.466+D104*133.845+E104*53.484+F104*40+G104*185+H104*0+I104*100+J104*300)/(194.205+267.466+133.845+53.484+0+40+185+100+300)</f>
        <v>6.2351578832810048</v>
      </c>
      <c r="AC104" s="45">
        <f>(M104*'RAP TEMPLATE-GAS AVAILABILITY'!O103+N104*'RAP TEMPLATE-GAS AVAILABILITY'!P103+O104*'RAP TEMPLATE-GAS AVAILABILITY'!Q103+P104*'RAP TEMPLATE-GAS AVAILABILITY'!R103)/('RAP TEMPLATE-GAS AVAILABILITY'!O103+'RAP TEMPLATE-GAS AVAILABILITY'!P103+'RAP TEMPLATE-GAS AVAILABILITY'!Q103+'RAP TEMPLATE-GAS AVAILABILITY'!R103)</f>
        <v>6.2129892086330933</v>
      </c>
    </row>
    <row r="105" spans="1:29" ht="15.75" x14ac:dyDescent="0.25">
      <c r="A105" s="13">
        <v>44075</v>
      </c>
      <c r="B105" s="14">
        <f>CHOOSE(CONTROL!$C$42, 5.8127, 5.8127) * CHOOSE(CONTROL!$C$21, $C$9, 100%, $E$9)</f>
        <v>5.8127000000000004</v>
      </c>
      <c r="C105" s="14">
        <f>CHOOSE(CONTROL!$C$42, 5.8206, 5.8206) * CHOOSE(CONTROL!$C$21, $C$9, 100%, $E$9)</f>
        <v>5.8205999999999998</v>
      </c>
      <c r="D105" s="14">
        <f>CHOOSE(CONTROL!$C$42, 6.0182, 6.0182) * CHOOSE(CONTROL!$C$21, $C$9, 100%, $E$9)</f>
        <v>6.0182000000000002</v>
      </c>
      <c r="E105" s="14">
        <f>CHOOSE(CONTROL!$C$42, 6.0493, 6.0493) * CHOOSE(CONTROL!$C$21, $C$9, 100%, $E$9)</f>
        <v>6.0492999999999997</v>
      </c>
      <c r="F105" s="14">
        <f>CHOOSE(CONTROL!$C$42, 5.797, 5.797)*CHOOSE(CONTROL!$C$21, $C$9, 100%, $E$9)</f>
        <v>5.7969999999999997</v>
      </c>
      <c r="G105" s="14">
        <f>CHOOSE(CONTROL!$C$42, 5.8134, 5.8134)*CHOOSE(CONTROL!$C$21, $C$9, 100%, $E$9)</f>
        <v>5.8133999999999997</v>
      </c>
      <c r="H105" s="14">
        <f>CHOOSE(CONTROL!$C$42, 6.0379, 6.0379) * CHOOSE(CONTROL!$C$21, $C$9, 100%, $E$9)</f>
        <v>6.0378999999999996</v>
      </c>
      <c r="I105" s="14">
        <f>CHOOSE(CONTROL!$C$42, 5.824, 5.824)* CHOOSE(CONTROL!$C$21, $C$9, 100%, $E$9)</f>
        <v>5.8239999999999998</v>
      </c>
      <c r="J105" s="14">
        <f>CHOOSE(CONTROL!$C$42, 5.79, 5.79)* CHOOSE(CONTROL!$C$21, $C$9, 100%, $E$9)</f>
        <v>5.79</v>
      </c>
      <c r="K105" s="53">
        <f>CHOOSE(CONTROL!$C$42, 5.8201, 5.8201) * CHOOSE(CONTROL!$C$21, $C$9, 100%, $E$9)</f>
        <v>5.8201000000000001</v>
      </c>
      <c r="L105" s="14">
        <f>CHOOSE(CONTROL!$C$42, 6.6249, 6.6249) * CHOOSE(CONTROL!$C$21, $C$9, 100%, $E$9)</f>
        <v>6.6249000000000002</v>
      </c>
      <c r="M105" s="14">
        <f>CHOOSE(CONTROL!$C$42, 5.7454, 5.7454) * CHOOSE(CONTROL!$C$21, $C$9, 100%, $E$9)</f>
        <v>5.7454000000000001</v>
      </c>
      <c r="N105" s="14">
        <f>CHOOSE(CONTROL!$C$42, 5.7616, 5.7616) * CHOOSE(CONTROL!$C$21, $C$9, 100%, $E$9)</f>
        <v>5.7615999999999996</v>
      </c>
      <c r="O105" s="14">
        <f>CHOOSE(CONTROL!$C$42, 5.9908, 5.9908) * CHOOSE(CONTROL!$C$21, $C$9, 100%, $E$9)</f>
        <v>5.9908000000000001</v>
      </c>
      <c r="P105" s="14">
        <f>CHOOSE(CONTROL!$C$42, 5.7791, 5.7791) * CHOOSE(CONTROL!$C$21, $C$9, 100%, $E$9)</f>
        <v>5.7790999999999997</v>
      </c>
      <c r="Q105" s="14">
        <f>CHOOSE(CONTROL!$C$42, 6.5861, 6.5861) * CHOOSE(CONTROL!$C$21, $C$9, 100%, $E$9)</f>
        <v>6.5861000000000001</v>
      </c>
      <c r="R105" s="14">
        <f>CHOOSE(CONTROL!$C$42, 7.1896, 7.1896) * CHOOSE(CONTROL!$C$21, $C$9, 100%, $E$9)</f>
        <v>7.1896000000000004</v>
      </c>
      <c r="S105" s="14">
        <f>CHOOSE(CONTROL!$C$42, 5.6404, 5.6404) * CHOOSE(CONTROL!$C$21, $C$9, 100%, $E$9)</f>
        <v>5.6403999999999996</v>
      </c>
      <c r="T10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5" s="57">
        <f>(1000*CHOOSE(CONTROL!$C$42, 695, 695)*CHOOSE(CONTROL!$C$42, 0.5599, 0.5599)*CHOOSE(CONTROL!$C$42, 30, 30))/1000000</f>
        <v>11.673914999999997</v>
      </c>
      <c r="V105" s="57">
        <f>(1000*CHOOSE(CONTROL!$C$42, 500, 500)*CHOOSE(CONTROL!$C$42, 0.275, 0.275)*CHOOSE(CONTROL!$C$42, 30, 30))/1000000</f>
        <v>4.125</v>
      </c>
      <c r="W105" s="57">
        <f>(1000*CHOOSE(CONTROL!$C$42, 0.1146, 0.1146)*CHOOSE(CONTROL!$C$42, 121.5, 121.5)*CHOOSE(CONTROL!$C$42, 30, 30))/1000000</f>
        <v>0.417717</v>
      </c>
      <c r="X105" s="57">
        <f>(30*0.1790888*245000/1000000)+(30*0.2374*100000/1000000)</f>
        <v>2.0285026799999999</v>
      </c>
      <c r="Y105" s="57"/>
      <c r="Z105" s="14"/>
      <c r="AA105" s="56"/>
      <c r="AB105" s="50">
        <f>(B105*194.205+C105*267.466+D105*133.845+E105*53.484+F105*40+G105*185+H105*0+I105*100+J105*300)/(194.205+267.466+133.845+53.484+0+40+185+100+300)</f>
        <v>5.8410311956828886</v>
      </c>
      <c r="AC105" s="45">
        <f>(M105*'RAP TEMPLATE-GAS AVAILABILITY'!O104+N105*'RAP TEMPLATE-GAS AVAILABILITY'!P104+O105*'RAP TEMPLATE-GAS AVAILABILITY'!Q104+P105*'RAP TEMPLATE-GAS AVAILABILITY'!R104)/('RAP TEMPLATE-GAS AVAILABILITY'!O104+'RAP TEMPLATE-GAS AVAILABILITY'!P104+'RAP TEMPLATE-GAS AVAILABILITY'!Q104+'RAP TEMPLATE-GAS AVAILABILITY'!R104)</f>
        <v>5.8228316546762589</v>
      </c>
    </row>
    <row r="106" spans="1:29" ht="15.75" x14ac:dyDescent="0.25">
      <c r="A106" s="13">
        <v>44105</v>
      </c>
      <c r="B106" s="14">
        <f>CHOOSE(CONTROL!$C$42, 5.693, 5.693) * CHOOSE(CONTROL!$C$21, $C$9, 100%, $E$9)</f>
        <v>5.6929999999999996</v>
      </c>
      <c r="C106" s="14">
        <f>CHOOSE(CONTROL!$C$42, 5.6982, 5.6982) * CHOOSE(CONTROL!$C$21, $C$9, 100%, $E$9)</f>
        <v>5.6981999999999999</v>
      </c>
      <c r="D106" s="14">
        <f>CHOOSE(CONTROL!$C$42, 5.9008, 5.9008) * CHOOSE(CONTROL!$C$21, $C$9, 100%, $E$9)</f>
        <v>5.9008000000000003</v>
      </c>
      <c r="E106" s="14">
        <f>CHOOSE(CONTROL!$C$42, 5.9295, 5.9295) * CHOOSE(CONTROL!$C$21, $C$9, 100%, $E$9)</f>
        <v>5.9295</v>
      </c>
      <c r="F106" s="14">
        <f>CHOOSE(CONTROL!$C$42, 5.6794, 5.6794)*CHOOSE(CONTROL!$C$21, $C$9, 100%, $E$9)</f>
        <v>5.6794000000000002</v>
      </c>
      <c r="G106" s="14">
        <f>CHOOSE(CONTROL!$C$42, 5.6954, 5.6954)*CHOOSE(CONTROL!$C$21, $C$9, 100%, $E$9)</f>
        <v>5.6954000000000002</v>
      </c>
      <c r="H106" s="14">
        <f>CHOOSE(CONTROL!$C$42, 5.92, 5.92) * CHOOSE(CONTROL!$C$21, $C$9, 100%, $E$9)</f>
        <v>5.92</v>
      </c>
      <c r="I106" s="14">
        <f>CHOOSE(CONTROL!$C$42, 5.7061, 5.7061)* CHOOSE(CONTROL!$C$21, $C$9, 100%, $E$9)</f>
        <v>5.7061000000000002</v>
      </c>
      <c r="J106" s="14">
        <f>CHOOSE(CONTROL!$C$42, 5.6724, 5.6724)* CHOOSE(CONTROL!$C$21, $C$9, 100%, $E$9)</f>
        <v>5.6723999999999997</v>
      </c>
      <c r="K106" s="53">
        <f>CHOOSE(CONTROL!$C$42, 5.7022, 5.7022) * CHOOSE(CONTROL!$C$21, $C$9, 100%, $E$9)</f>
        <v>5.7022000000000004</v>
      </c>
      <c r="L106" s="14">
        <f>CHOOSE(CONTROL!$C$42, 6.507, 6.507) * CHOOSE(CONTROL!$C$21, $C$9, 100%, $E$9)</f>
        <v>6.5069999999999997</v>
      </c>
      <c r="M106" s="14">
        <f>CHOOSE(CONTROL!$C$42, 5.6289, 5.6289) * CHOOSE(CONTROL!$C$21, $C$9, 100%, $E$9)</f>
        <v>5.6288999999999998</v>
      </c>
      <c r="N106" s="14">
        <f>CHOOSE(CONTROL!$C$42, 5.6448, 5.6448) * CHOOSE(CONTROL!$C$21, $C$9, 100%, $E$9)</f>
        <v>5.6448</v>
      </c>
      <c r="O106" s="14">
        <f>CHOOSE(CONTROL!$C$42, 5.8741, 5.8741) * CHOOSE(CONTROL!$C$21, $C$9, 100%, $E$9)</f>
        <v>5.8741000000000003</v>
      </c>
      <c r="P106" s="14">
        <f>CHOOSE(CONTROL!$C$42, 5.6624, 5.6624) * CHOOSE(CONTROL!$C$21, $C$9, 100%, $E$9)</f>
        <v>5.6623999999999999</v>
      </c>
      <c r="Q106" s="14">
        <f>CHOOSE(CONTROL!$C$42, 6.4694, 6.4694) * CHOOSE(CONTROL!$C$21, $C$9, 100%, $E$9)</f>
        <v>6.4694000000000003</v>
      </c>
      <c r="R106" s="14">
        <f>CHOOSE(CONTROL!$C$42, 7.0726, 7.0726) * CHOOSE(CONTROL!$C$21, $C$9, 100%, $E$9)</f>
        <v>7.0726000000000004</v>
      </c>
      <c r="S106" s="14">
        <f>CHOOSE(CONTROL!$C$42, 5.5259, 5.5259) * CHOOSE(CONTROL!$C$21, $C$9, 100%, $E$9)</f>
        <v>5.5259</v>
      </c>
      <c r="T10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6" s="57">
        <f>(1000*CHOOSE(CONTROL!$C$42, 695, 695)*CHOOSE(CONTROL!$C$42, 0.5599, 0.5599)*CHOOSE(CONTROL!$C$42, 31, 31))/1000000</f>
        <v>12.063045499999998</v>
      </c>
      <c r="V106" s="57">
        <f>(1000*CHOOSE(CONTROL!$C$42, 500, 500)*CHOOSE(CONTROL!$C$42, 0.275, 0.275)*CHOOSE(CONTROL!$C$42, 31, 31))/1000000</f>
        <v>4.2625000000000002</v>
      </c>
      <c r="W106" s="57">
        <f>(1000*CHOOSE(CONTROL!$C$42, 0.1146, 0.1146)*CHOOSE(CONTROL!$C$42, 121.5, 121.5)*CHOOSE(CONTROL!$C$42, 31, 31))/1000000</f>
        <v>0.43164089999999994</v>
      </c>
      <c r="X106" s="57">
        <f>(31*0.1790888*245000/1000000)+(31*0.2374*100000/1000000)</f>
        <v>2.0961194359999999</v>
      </c>
      <c r="Y106" s="57"/>
      <c r="Z106" s="14"/>
      <c r="AA106" s="56"/>
      <c r="AB106" s="50">
        <f>(B106*131.881+C106*277.167+D106*79.08+E106*125.872+F106*40+G106*185+H106*0+I106*100+J106*300)/(131.881+277.167+79.08+125.872+0+40+185+100+300)</f>
        <v>5.7274413401129944</v>
      </c>
      <c r="AC106" s="45">
        <f>(M106*'RAP TEMPLATE-GAS AVAILABILITY'!O105+N106*'RAP TEMPLATE-GAS AVAILABILITY'!P105+O106*'RAP TEMPLATE-GAS AVAILABILITY'!Q105+P106*'RAP TEMPLATE-GAS AVAILABILITY'!R105)/('RAP TEMPLATE-GAS AVAILABILITY'!O105+'RAP TEMPLATE-GAS AVAILABILITY'!P105+'RAP TEMPLATE-GAS AVAILABILITY'!Q105+'RAP TEMPLATE-GAS AVAILABILITY'!R105)</f>
        <v>5.706177697841726</v>
      </c>
    </row>
    <row r="107" spans="1:29" ht="15.75" x14ac:dyDescent="0.25">
      <c r="A107" s="13">
        <v>44136</v>
      </c>
      <c r="B107" s="14">
        <f>CHOOSE(CONTROL!$C$42, 5.8425, 5.8425) * CHOOSE(CONTROL!$C$21, $C$9, 100%, $E$9)</f>
        <v>5.8425000000000002</v>
      </c>
      <c r="C107" s="14">
        <f>CHOOSE(CONTROL!$C$42, 5.8474, 5.8474) * CHOOSE(CONTROL!$C$21, $C$9, 100%, $E$9)</f>
        <v>5.8474000000000004</v>
      </c>
      <c r="D107" s="14">
        <f>CHOOSE(CONTROL!$C$42, 5.9105, 5.9105) * CHOOSE(CONTROL!$C$21, $C$9, 100%, $E$9)</f>
        <v>5.9104999999999999</v>
      </c>
      <c r="E107" s="14">
        <f>CHOOSE(CONTROL!$C$42, 5.9443, 5.9443) * CHOOSE(CONTROL!$C$21, $C$9, 100%, $E$9)</f>
        <v>5.9443000000000001</v>
      </c>
      <c r="F107" s="14">
        <f>CHOOSE(CONTROL!$C$42, 5.8432, 5.8432)*CHOOSE(CONTROL!$C$21, $C$9, 100%, $E$9)</f>
        <v>5.8432000000000004</v>
      </c>
      <c r="G107" s="14">
        <f>CHOOSE(CONTROL!$C$42, 5.8594, 5.8594)*CHOOSE(CONTROL!$C$21, $C$9, 100%, $E$9)</f>
        <v>5.8593999999999999</v>
      </c>
      <c r="H107" s="14">
        <f>CHOOSE(CONTROL!$C$42, 5.9335, 5.9335) * CHOOSE(CONTROL!$C$21, $C$9, 100%, $E$9)</f>
        <v>5.9335000000000004</v>
      </c>
      <c r="I107" s="14">
        <f>CHOOSE(CONTROL!$C$42, 5.856, 5.856)* CHOOSE(CONTROL!$C$21, $C$9, 100%, $E$9)</f>
        <v>5.8559999999999999</v>
      </c>
      <c r="J107" s="14">
        <f>CHOOSE(CONTROL!$C$42, 5.8362, 5.8362)* CHOOSE(CONTROL!$C$21, $C$9, 100%, $E$9)</f>
        <v>5.8361999999999998</v>
      </c>
      <c r="K107" s="53">
        <f>CHOOSE(CONTROL!$C$42, 5.8521, 5.8521) * CHOOSE(CONTROL!$C$21, $C$9, 100%, $E$9)</f>
        <v>5.8521000000000001</v>
      </c>
      <c r="L107" s="14">
        <f>CHOOSE(CONTROL!$C$42, 6.5205, 6.5205) * CHOOSE(CONTROL!$C$21, $C$9, 100%, $E$9)</f>
        <v>6.5205000000000002</v>
      </c>
      <c r="M107" s="14">
        <f>CHOOSE(CONTROL!$C$42, 5.7911, 5.7911) * CHOOSE(CONTROL!$C$21, $C$9, 100%, $E$9)</f>
        <v>5.7911000000000001</v>
      </c>
      <c r="N107" s="14">
        <f>CHOOSE(CONTROL!$C$42, 5.8072, 5.8072) * CHOOSE(CONTROL!$C$21, $C$9, 100%, $E$9)</f>
        <v>5.8071999999999999</v>
      </c>
      <c r="O107" s="14">
        <f>CHOOSE(CONTROL!$C$42, 5.8874, 5.8874) * CHOOSE(CONTROL!$C$21, $C$9, 100%, $E$9)</f>
        <v>5.8874000000000004</v>
      </c>
      <c r="P107" s="14">
        <f>CHOOSE(CONTROL!$C$42, 5.8108, 5.8108) * CHOOSE(CONTROL!$C$21, $C$9, 100%, $E$9)</f>
        <v>5.8108000000000004</v>
      </c>
      <c r="Q107" s="14">
        <f>CHOOSE(CONTROL!$C$42, 6.4827, 6.4827) * CHOOSE(CONTROL!$C$21, $C$9, 100%, $E$9)</f>
        <v>6.4827000000000004</v>
      </c>
      <c r="R107" s="14">
        <f>CHOOSE(CONTROL!$C$42, 7.0859, 7.0859) * CHOOSE(CONTROL!$C$21, $C$9, 100%, $E$9)</f>
        <v>7.0858999999999996</v>
      </c>
      <c r="S107" s="14">
        <f>CHOOSE(CONTROL!$C$42, 5.6715, 5.6715) * CHOOSE(CONTROL!$C$21, $C$9, 100%, $E$9)</f>
        <v>5.6715</v>
      </c>
      <c r="T10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7" s="57">
        <f>(1000*CHOOSE(CONTROL!$C$42, 695, 695)*CHOOSE(CONTROL!$C$42, 0.5599, 0.5599)*CHOOSE(CONTROL!$C$42, 30, 30))/1000000</f>
        <v>11.673914999999997</v>
      </c>
      <c r="V107" s="57">
        <f>(1000*CHOOSE(CONTROL!$C$42, 500, 500)*CHOOSE(CONTROL!$C$42, 0.275, 0.275)*CHOOSE(CONTROL!$C$42, 30, 30))/1000000</f>
        <v>4.125</v>
      </c>
      <c r="W107" s="57">
        <f>(1000*CHOOSE(CONTROL!$C$42, 0.1146, 0.1146)*CHOOSE(CONTROL!$C$42, 121.5, 121.5)*CHOOSE(CONTROL!$C$42, 30, 30))/1000000</f>
        <v>0.417717</v>
      </c>
      <c r="X107" s="57">
        <f>(30*0.1790888*100000/1000000)+(30*0.2374*100000/1000000)</f>
        <v>1.2494664</v>
      </c>
      <c r="Y107" s="57"/>
      <c r="Z107" s="14"/>
      <c r="AA107" s="56"/>
      <c r="AB107" s="50">
        <f>(B107*122.58+C107*297.941+D107*89.177+E107*40.302+F107*40+G107*160+H107*0+I107*100+J107*300)/(122.58+297.941+89.177+40.302+0+40+160+100+300)</f>
        <v>5.854516252608696</v>
      </c>
      <c r="AC107" s="45">
        <f>(M107*'RAP TEMPLATE-GAS AVAILABILITY'!O106+N107*'RAP TEMPLATE-GAS AVAILABILITY'!P106+O107*'RAP TEMPLATE-GAS AVAILABILITY'!Q106+P107*'RAP TEMPLATE-GAS AVAILABILITY'!R106)/('RAP TEMPLATE-GAS AVAILABILITY'!O106+'RAP TEMPLATE-GAS AVAILABILITY'!P106+'RAP TEMPLATE-GAS AVAILABILITY'!Q106+'RAP TEMPLATE-GAS AVAILABILITY'!R106)</f>
        <v>5.8385079136690647</v>
      </c>
    </row>
    <row r="108" spans="1:29" ht="15.75" x14ac:dyDescent="0.25">
      <c r="A108" s="13">
        <v>44166</v>
      </c>
      <c r="B108" s="14">
        <f>CHOOSE(CONTROL!$C$42, 6.2406, 6.2406) * CHOOSE(CONTROL!$C$21, $C$9, 100%, $E$9)</f>
        <v>6.2405999999999997</v>
      </c>
      <c r="C108" s="14">
        <f>CHOOSE(CONTROL!$C$42, 6.2455, 6.2455) * CHOOSE(CONTROL!$C$21, $C$9, 100%, $E$9)</f>
        <v>6.2454999999999998</v>
      </c>
      <c r="D108" s="14">
        <f>CHOOSE(CONTROL!$C$42, 6.3086, 6.3086) * CHOOSE(CONTROL!$C$21, $C$9, 100%, $E$9)</f>
        <v>6.3086000000000002</v>
      </c>
      <c r="E108" s="14">
        <f>CHOOSE(CONTROL!$C$42, 6.3424, 6.3424) * CHOOSE(CONTROL!$C$21, $C$9, 100%, $E$9)</f>
        <v>6.3423999999999996</v>
      </c>
      <c r="F108" s="14">
        <f>CHOOSE(CONTROL!$C$42, 6.2433, 6.2433)*CHOOSE(CONTROL!$C$21, $C$9, 100%, $E$9)</f>
        <v>6.2432999999999996</v>
      </c>
      <c r="G108" s="14">
        <f>CHOOSE(CONTROL!$C$42, 6.2602, 6.2602)*CHOOSE(CONTROL!$C$21, $C$9, 100%, $E$9)</f>
        <v>6.2602000000000002</v>
      </c>
      <c r="H108" s="14">
        <f>CHOOSE(CONTROL!$C$42, 6.3316, 6.3316) * CHOOSE(CONTROL!$C$21, $C$9, 100%, $E$9)</f>
        <v>6.3315999999999999</v>
      </c>
      <c r="I108" s="14">
        <f>CHOOSE(CONTROL!$C$42, 6.2541, 6.2541)* CHOOSE(CONTROL!$C$21, $C$9, 100%, $E$9)</f>
        <v>6.2541000000000002</v>
      </c>
      <c r="J108" s="14">
        <f>CHOOSE(CONTROL!$C$42, 6.2363, 6.2363)* CHOOSE(CONTROL!$C$21, $C$9, 100%, $E$9)</f>
        <v>6.2363</v>
      </c>
      <c r="K108" s="53">
        <f>CHOOSE(CONTROL!$C$42, 6.2502, 6.2502) * CHOOSE(CONTROL!$C$21, $C$9, 100%, $E$9)</f>
        <v>6.2502000000000004</v>
      </c>
      <c r="L108" s="14">
        <f>CHOOSE(CONTROL!$C$42, 6.9186, 6.9186) * CHOOSE(CONTROL!$C$21, $C$9, 100%, $E$9)</f>
        <v>6.9185999999999996</v>
      </c>
      <c r="M108" s="14">
        <f>CHOOSE(CONTROL!$C$42, 6.1872, 6.1872) * CHOOSE(CONTROL!$C$21, $C$9, 100%, $E$9)</f>
        <v>6.1871999999999998</v>
      </c>
      <c r="N108" s="14">
        <f>CHOOSE(CONTROL!$C$42, 6.2039, 6.2039) * CHOOSE(CONTROL!$C$21, $C$9, 100%, $E$9)</f>
        <v>6.2039</v>
      </c>
      <c r="O108" s="14">
        <f>CHOOSE(CONTROL!$C$42, 6.2815, 6.2815) * CHOOSE(CONTROL!$C$21, $C$9, 100%, $E$9)</f>
        <v>6.2815000000000003</v>
      </c>
      <c r="P108" s="14">
        <f>CHOOSE(CONTROL!$C$42, 6.2049, 6.2049) * CHOOSE(CONTROL!$C$21, $C$9, 100%, $E$9)</f>
        <v>6.2049000000000003</v>
      </c>
      <c r="Q108" s="14">
        <f>CHOOSE(CONTROL!$C$42, 6.8768, 6.8768) * CHOOSE(CONTROL!$C$21, $C$9, 100%, $E$9)</f>
        <v>6.8768000000000002</v>
      </c>
      <c r="R108" s="14">
        <f>CHOOSE(CONTROL!$C$42, 7.481, 7.481) * CHOOSE(CONTROL!$C$21, $C$9, 100%, $E$9)</f>
        <v>7.4809999999999999</v>
      </c>
      <c r="S108" s="14">
        <f>CHOOSE(CONTROL!$C$42, 6.0581, 6.0581) * CHOOSE(CONTROL!$C$21, $C$9, 100%, $E$9)</f>
        <v>6.0580999999999996</v>
      </c>
      <c r="T10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8" s="57">
        <f>(1000*CHOOSE(CONTROL!$C$42, 695, 695)*CHOOSE(CONTROL!$C$42, 0.5599, 0.5599)*CHOOSE(CONTROL!$C$42, 31, 31))/1000000</f>
        <v>12.063045499999998</v>
      </c>
      <c r="V108" s="57">
        <f>(1000*CHOOSE(CONTROL!$C$42, 500, 500)*CHOOSE(CONTROL!$C$42, 0.275, 0.275)*CHOOSE(CONTROL!$C$42, 31, 31))/1000000</f>
        <v>4.2625000000000002</v>
      </c>
      <c r="W108" s="57">
        <f>(1000*CHOOSE(CONTROL!$C$42, 0.1146, 0.1146)*CHOOSE(CONTROL!$C$42, 121.5, 121.5)*CHOOSE(CONTROL!$C$42, 31, 31))/1000000</f>
        <v>0.43164089999999994</v>
      </c>
      <c r="X108" s="57">
        <f>(31*0.1790888*100000/1000000)+(31*0.2374*100000/1000000)</f>
        <v>1.2911152800000001</v>
      </c>
      <c r="Y108" s="57"/>
      <c r="Z108" s="14"/>
      <c r="AA108" s="56"/>
      <c r="AB108" s="50">
        <f>(B108*122.58+C108*297.941+D108*89.177+E108*40.302+F108*40+G108*160+H108*0+I108*100+J108*300)/(122.58+297.941+89.177+40.302+0+40+160+100+300)</f>
        <v>6.2535832091304346</v>
      </c>
      <c r="AC108" s="45">
        <f>(M108*'RAP TEMPLATE-GAS AVAILABILITY'!O107+N108*'RAP TEMPLATE-GAS AVAILABILITY'!P107+O108*'RAP TEMPLATE-GAS AVAILABILITY'!Q107+P108*'RAP TEMPLATE-GAS AVAILABILITY'!R107)/('RAP TEMPLATE-GAS AVAILABILITY'!O107+'RAP TEMPLATE-GAS AVAILABILITY'!P107+'RAP TEMPLATE-GAS AVAILABILITY'!Q107+'RAP TEMPLATE-GAS AVAILABILITY'!R107)</f>
        <v>6.2334482014388488</v>
      </c>
    </row>
    <row r="109" spans="1:29" ht="15.75" x14ac:dyDescent="0.25">
      <c r="A109" s="13">
        <v>44197</v>
      </c>
      <c r="B109" s="14">
        <f>CHOOSE(CONTROL!$C$42, 6.612, 6.612) * CHOOSE(CONTROL!$C$21, $C$9, 100%, $E$9)</f>
        <v>6.6120000000000001</v>
      </c>
      <c r="C109" s="14">
        <f>CHOOSE(CONTROL!$C$42, 6.6169, 6.6169) * CHOOSE(CONTROL!$C$21, $C$9, 100%, $E$9)</f>
        <v>6.6169000000000002</v>
      </c>
      <c r="D109" s="14">
        <f>CHOOSE(CONTROL!$C$42, 6.6812, 6.6812) * CHOOSE(CONTROL!$C$21, $C$9, 100%, $E$9)</f>
        <v>6.6811999999999996</v>
      </c>
      <c r="E109" s="14">
        <f>CHOOSE(CONTROL!$C$42, 6.715, 6.715) * CHOOSE(CONTROL!$C$21, $C$9, 100%, $E$9)</f>
        <v>6.7149999999999999</v>
      </c>
      <c r="F109" s="14">
        <f>CHOOSE(CONTROL!$C$42, 6.6135, 6.6135)*CHOOSE(CONTROL!$C$21, $C$9, 100%, $E$9)</f>
        <v>6.6135000000000002</v>
      </c>
      <c r="G109" s="14">
        <f>CHOOSE(CONTROL!$C$42, 6.6294, 6.6294)*CHOOSE(CONTROL!$C$21, $C$9, 100%, $E$9)</f>
        <v>6.6294000000000004</v>
      </c>
      <c r="H109" s="14">
        <f>CHOOSE(CONTROL!$C$42, 6.7042, 6.7042) * CHOOSE(CONTROL!$C$21, $C$9, 100%, $E$9)</f>
        <v>6.7042000000000002</v>
      </c>
      <c r="I109" s="14">
        <f>CHOOSE(CONTROL!$C$42, 6.6319, 6.6319)* CHOOSE(CONTROL!$C$21, $C$9, 100%, $E$9)</f>
        <v>6.6318999999999999</v>
      </c>
      <c r="J109" s="14">
        <f>CHOOSE(CONTROL!$C$42, 6.6065, 6.6065)* CHOOSE(CONTROL!$C$21, $C$9, 100%, $E$9)</f>
        <v>6.6064999999999996</v>
      </c>
      <c r="K109" s="53">
        <f>CHOOSE(CONTROL!$C$42, 6.628, 6.628) * CHOOSE(CONTROL!$C$21, $C$9, 100%, $E$9)</f>
        <v>6.6280000000000001</v>
      </c>
      <c r="L109" s="14">
        <f>CHOOSE(CONTROL!$C$42, 7.2912, 7.2912) * CHOOSE(CONTROL!$C$21, $C$9, 100%, $E$9)</f>
        <v>7.2911999999999999</v>
      </c>
      <c r="M109" s="14">
        <f>CHOOSE(CONTROL!$C$42, 6.5536, 6.5536) * CHOOSE(CONTROL!$C$21, $C$9, 100%, $E$9)</f>
        <v>6.5536000000000003</v>
      </c>
      <c r="N109" s="14">
        <f>CHOOSE(CONTROL!$C$42, 6.5694, 6.5694) * CHOOSE(CONTROL!$C$21, $C$9, 100%, $E$9)</f>
        <v>6.5693999999999999</v>
      </c>
      <c r="O109" s="14">
        <f>CHOOSE(CONTROL!$C$42, 6.6503, 6.6503) * CHOOSE(CONTROL!$C$21, $C$9, 100%, $E$9)</f>
        <v>6.6502999999999997</v>
      </c>
      <c r="P109" s="14">
        <f>CHOOSE(CONTROL!$C$42, 6.5789, 6.5789) * CHOOSE(CONTROL!$C$21, $C$9, 100%, $E$9)</f>
        <v>6.5789</v>
      </c>
      <c r="Q109" s="14">
        <f>CHOOSE(CONTROL!$C$42, 7.2456, 7.2456) * CHOOSE(CONTROL!$C$21, $C$9, 100%, $E$9)</f>
        <v>7.2455999999999996</v>
      </c>
      <c r="R109" s="14">
        <f>CHOOSE(CONTROL!$C$42, 7.8507, 7.8507) * CHOOSE(CONTROL!$C$21, $C$9, 100%, $E$9)</f>
        <v>7.8506999999999998</v>
      </c>
      <c r="S109" s="14">
        <f>CHOOSE(CONTROL!$C$42, 6.4187, 6.4187) * CHOOSE(CONTROL!$C$21, $C$9, 100%, $E$9)</f>
        <v>6.4187000000000003</v>
      </c>
      <c r="T10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9" s="57">
        <f>(1000*CHOOSE(CONTROL!$C$42, 695, 695)*CHOOSE(CONTROL!$C$42, 0.5599, 0.5599)*CHOOSE(CONTROL!$C$42, 31, 31))/1000000</f>
        <v>12.063045499999998</v>
      </c>
      <c r="V109" s="57">
        <f>(1000*CHOOSE(CONTROL!$C$42, 500, 500)*CHOOSE(CONTROL!$C$42, 0.275, 0.275)*CHOOSE(CONTROL!$C$42, 31, 31))/1000000</f>
        <v>4.2625000000000002</v>
      </c>
      <c r="W109" s="57">
        <f>(1000*CHOOSE(CONTROL!$C$42, 0.1146, 0.1146)*CHOOSE(CONTROL!$C$42, 121.5, 121.5)*CHOOSE(CONTROL!$C$42, 31, 31))/1000000</f>
        <v>0.43164089999999994</v>
      </c>
      <c r="X109" s="57">
        <f>(31*0.1790888*100000/1000000)+(31*0.2374*100000/1000000)</f>
        <v>1.2911152800000001</v>
      </c>
      <c r="Y109" s="57"/>
      <c r="Z109" s="14"/>
      <c r="AA109" s="56"/>
      <c r="AB109" s="50">
        <f>(B109*122.58+C109*297.941+D109*89.177+E109*40.302+F109*40+G109*160+H109*0+I109*100+J109*300)/(122.58+297.941+89.177+40.302+0+40+160+100+300)</f>
        <v>6.625013969826087</v>
      </c>
      <c r="AC109" s="45">
        <f>(M109*'RAP TEMPLATE-GAS AVAILABILITY'!O108+N109*'RAP TEMPLATE-GAS AVAILABILITY'!P108+O109*'RAP TEMPLATE-GAS AVAILABILITY'!Q108+P109*'RAP TEMPLATE-GAS AVAILABILITY'!R108)/('RAP TEMPLATE-GAS AVAILABILITY'!O108+'RAP TEMPLATE-GAS AVAILABILITY'!P108+'RAP TEMPLATE-GAS AVAILABILITY'!Q108+'RAP TEMPLATE-GAS AVAILABILITY'!R108)</f>
        <v>6.6019776978417264</v>
      </c>
    </row>
    <row r="110" spans="1:29" ht="15.75" x14ac:dyDescent="0.25">
      <c r="A110" s="13">
        <v>44228</v>
      </c>
      <c r="B110" s="14">
        <f>CHOOSE(CONTROL!$C$42, 6.7296, 6.7296) * CHOOSE(CONTROL!$C$21, $C$9, 100%, $E$9)</f>
        <v>6.7295999999999996</v>
      </c>
      <c r="C110" s="14">
        <f>CHOOSE(CONTROL!$C$42, 6.7346, 6.7346) * CHOOSE(CONTROL!$C$21, $C$9, 100%, $E$9)</f>
        <v>6.7346000000000004</v>
      </c>
      <c r="D110" s="14">
        <f>CHOOSE(CONTROL!$C$42, 6.7988, 6.7988) * CHOOSE(CONTROL!$C$21, $C$9, 100%, $E$9)</f>
        <v>6.7988</v>
      </c>
      <c r="E110" s="14">
        <f>CHOOSE(CONTROL!$C$42, 6.8326, 6.8326) * CHOOSE(CONTROL!$C$21, $C$9, 100%, $E$9)</f>
        <v>6.8326000000000002</v>
      </c>
      <c r="F110" s="14">
        <f>CHOOSE(CONTROL!$C$42, 6.7312, 6.7312)*CHOOSE(CONTROL!$C$21, $C$9, 100%, $E$9)</f>
        <v>6.7312000000000003</v>
      </c>
      <c r="G110" s="14">
        <f>CHOOSE(CONTROL!$C$42, 6.7471, 6.7471)*CHOOSE(CONTROL!$C$21, $C$9, 100%, $E$9)</f>
        <v>6.7470999999999997</v>
      </c>
      <c r="H110" s="14">
        <f>CHOOSE(CONTROL!$C$42, 6.8218, 6.8218) * CHOOSE(CONTROL!$C$21, $C$9, 100%, $E$9)</f>
        <v>6.8217999999999996</v>
      </c>
      <c r="I110" s="14">
        <f>CHOOSE(CONTROL!$C$42, 6.7496, 6.7496)* CHOOSE(CONTROL!$C$21, $C$9, 100%, $E$9)</f>
        <v>6.7496</v>
      </c>
      <c r="J110" s="14">
        <f>CHOOSE(CONTROL!$C$42, 6.7242, 6.7242)* CHOOSE(CONTROL!$C$21, $C$9, 100%, $E$9)</f>
        <v>6.7241999999999997</v>
      </c>
      <c r="K110" s="53">
        <f>CHOOSE(CONTROL!$C$42, 6.7457, 6.7457) * CHOOSE(CONTROL!$C$21, $C$9, 100%, $E$9)</f>
        <v>6.7457000000000003</v>
      </c>
      <c r="L110" s="14">
        <f>CHOOSE(CONTROL!$C$42, 7.4088, 7.4088) * CHOOSE(CONTROL!$C$21, $C$9, 100%, $E$9)</f>
        <v>7.4088000000000003</v>
      </c>
      <c r="M110" s="14">
        <f>CHOOSE(CONTROL!$C$42, 6.6701, 6.6701) * CHOOSE(CONTROL!$C$21, $C$9, 100%, $E$9)</f>
        <v>6.6700999999999997</v>
      </c>
      <c r="N110" s="14">
        <f>CHOOSE(CONTROL!$C$42, 6.6859, 6.6859) * CHOOSE(CONTROL!$C$21, $C$9, 100%, $E$9)</f>
        <v>6.6859000000000002</v>
      </c>
      <c r="O110" s="14">
        <f>CHOOSE(CONTROL!$C$42, 6.7668, 6.7668) * CHOOSE(CONTROL!$C$21, $C$9, 100%, $E$9)</f>
        <v>6.7667999999999999</v>
      </c>
      <c r="P110" s="14">
        <f>CHOOSE(CONTROL!$C$42, 6.6953, 6.6953) * CHOOSE(CONTROL!$C$21, $C$9, 100%, $E$9)</f>
        <v>6.6952999999999996</v>
      </c>
      <c r="Q110" s="14">
        <f>CHOOSE(CONTROL!$C$42, 7.3621, 7.3621) * CHOOSE(CONTROL!$C$21, $C$9, 100%, $E$9)</f>
        <v>7.3620999999999999</v>
      </c>
      <c r="R110" s="14">
        <f>CHOOSE(CONTROL!$C$42, 7.9675, 7.9675) * CHOOSE(CONTROL!$C$21, $C$9, 100%, $E$9)</f>
        <v>7.9675000000000002</v>
      </c>
      <c r="S110" s="14">
        <f>CHOOSE(CONTROL!$C$42, 6.533, 6.533) * CHOOSE(CONTROL!$C$21, $C$9, 100%, $E$9)</f>
        <v>6.5330000000000004</v>
      </c>
      <c r="T11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10" s="57">
        <f>(1000*CHOOSE(CONTROL!$C$42, 695, 695)*CHOOSE(CONTROL!$C$42, 0.5599, 0.5599)*CHOOSE(CONTROL!$C$42, 28, 28))/1000000</f>
        <v>10.895653999999999</v>
      </c>
      <c r="V110" s="57">
        <f>(1000*CHOOSE(CONTROL!$C$42, 500, 500)*CHOOSE(CONTROL!$C$42, 0.275, 0.275)*CHOOSE(CONTROL!$C$42, 28, 28))/1000000</f>
        <v>3.85</v>
      </c>
      <c r="W110" s="57">
        <f>(1000*CHOOSE(CONTROL!$C$42, 0.1146, 0.1146)*CHOOSE(CONTROL!$C$42, 121.5, 121.5)*CHOOSE(CONTROL!$C$42, 28, 28))/1000000</f>
        <v>0.38986920000000003</v>
      </c>
      <c r="X110" s="57">
        <f>(28*0.1790888*100000/1000000)+(28*0.2374*100000/1000000)</f>
        <v>1.16616864</v>
      </c>
      <c r="Y110" s="57"/>
      <c r="Z110" s="14"/>
      <c r="AA110" s="56"/>
      <c r="AB110" s="50">
        <f>(B110*122.58+C110*297.941+D110*89.177+E110*40.302+F110*40+G110*160+H110*0+I110*100+J110*300)/(122.58+297.941+89.177+40.302+0+40+160+100+300)</f>
        <v>6.742692051652174</v>
      </c>
      <c r="AC110" s="45">
        <f>(M110*'RAP TEMPLATE-GAS AVAILABILITY'!O109+N110*'RAP TEMPLATE-GAS AVAILABILITY'!P109+O110*'RAP TEMPLATE-GAS AVAILABILITY'!Q109+P110*'RAP TEMPLATE-GAS AVAILABILITY'!R109)/('RAP TEMPLATE-GAS AVAILABILITY'!O109+'RAP TEMPLATE-GAS AVAILABILITY'!P109+'RAP TEMPLATE-GAS AVAILABILITY'!Q109+'RAP TEMPLATE-GAS AVAILABILITY'!R109)</f>
        <v>6.7184633093525168</v>
      </c>
    </row>
    <row r="111" spans="1:29" ht="15.75" x14ac:dyDescent="0.25">
      <c r="A111" s="13">
        <v>44256</v>
      </c>
      <c r="B111" s="14">
        <f>CHOOSE(CONTROL!$C$42, 6.5386, 6.5386) * CHOOSE(CONTROL!$C$21, $C$9, 100%, $E$9)</f>
        <v>6.5385999999999997</v>
      </c>
      <c r="C111" s="14">
        <f>CHOOSE(CONTROL!$C$42, 6.5436, 6.5436) * CHOOSE(CONTROL!$C$21, $C$9, 100%, $E$9)</f>
        <v>6.5435999999999996</v>
      </c>
      <c r="D111" s="14">
        <f>CHOOSE(CONTROL!$C$42, 6.6079, 6.6079) * CHOOSE(CONTROL!$C$21, $C$9, 100%, $E$9)</f>
        <v>6.6078999999999999</v>
      </c>
      <c r="E111" s="14">
        <f>CHOOSE(CONTROL!$C$42, 6.6416, 6.6416) * CHOOSE(CONTROL!$C$21, $C$9, 100%, $E$9)</f>
        <v>6.6416000000000004</v>
      </c>
      <c r="F111" s="14">
        <f>CHOOSE(CONTROL!$C$42, 6.5399, 6.5399)*CHOOSE(CONTROL!$C$21, $C$9, 100%, $E$9)</f>
        <v>6.5399000000000003</v>
      </c>
      <c r="G111" s="14">
        <f>CHOOSE(CONTROL!$C$42, 6.5557, 6.5557)*CHOOSE(CONTROL!$C$21, $C$9, 100%, $E$9)</f>
        <v>6.5556999999999999</v>
      </c>
      <c r="H111" s="14">
        <f>CHOOSE(CONTROL!$C$42, 6.6308, 6.6308) * CHOOSE(CONTROL!$C$21, $C$9, 100%, $E$9)</f>
        <v>6.6307999999999998</v>
      </c>
      <c r="I111" s="14">
        <f>CHOOSE(CONTROL!$C$42, 6.5586, 6.5586)* CHOOSE(CONTROL!$C$21, $C$9, 100%, $E$9)</f>
        <v>6.5586000000000002</v>
      </c>
      <c r="J111" s="14">
        <f>CHOOSE(CONTROL!$C$42, 6.5329, 6.5329)* CHOOSE(CONTROL!$C$21, $C$9, 100%, $E$9)</f>
        <v>6.5328999999999997</v>
      </c>
      <c r="K111" s="53">
        <f>CHOOSE(CONTROL!$C$42, 6.5547, 6.5547) * CHOOSE(CONTROL!$C$21, $C$9, 100%, $E$9)</f>
        <v>6.5547000000000004</v>
      </c>
      <c r="L111" s="14">
        <f>CHOOSE(CONTROL!$C$42, 7.2178, 7.2178) * CHOOSE(CONTROL!$C$21, $C$9, 100%, $E$9)</f>
        <v>7.2178000000000004</v>
      </c>
      <c r="M111" s="14">
        <f>CHOOSE(CONTROL!$C$42, 6.4808, 6.4808) * CHOOSE(CONTROL!$C$21, $C$9, 100%, $E$9)</f>
        <v>6.4808000000000003</v>
      </c>
      <c r="N111" s="14">
        <f>CHOOSE(CONTROL!$C$42, 6.4965, 6.4965) * CHOOSE(CONTROL!$C$21, $C$9, 100%, $E$9)</f>
        <v>6.4965000000000002</v>
      </c>
      <c r="O111" s="14">
        <f>CHOOSE(CONTROL!$C$42, 6.5777, 6.5777) * CHOOSE(CONTROL!$C$21, $C$9, 100%, $E$9)</f>
        <v>6.5777000000000001</v>
      </c>
      <c r="P111" s="14">
        <f>CHOOSE(CONTROL!$C$42, 6.5063, 6.5063) * CHOOSE(CONTROL!$C$21, $C$9, 100%, $E$9)</f>
        <v>6.5063000000000004</v>
      </c>
      <c r="Q111" s="14">
        <f>CHOOSE(CONTROL!$C$42, 7.173, 7.173) * CHOOSE(CONTROL!$C$21, $C$9, 100%, $E$9)</f>
        <v>7.173</v>
      </c>
      <c r="R111" s="14">
        <f>CHOOSE(CONTROL!$C$42, 7.778, 7.778) * CHOOSE(CONTROL!$C$21, $C$9, 100%, $E$9)</f>
        <v>7.7779999999999996</v>
      </c>
      <c r="S111" s="14">
        <f>CHOOSE(CONTROL!$C$42, 6.3475, 6.3475) * CHOOSE(CONTROL!$C$21, $C$9, 100%, $E$9)</f>
        <v>6.3475000000000001</v>
      </c>
      <c r="T11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11" s="57">
        <f>(1000*CHOOSE(CONTROL!$C$42, 695, 695)*CHOOSE(CONTROL!$C$42, 0.5599, 0.5599)*CHOOSE(CONTROL!$C$42, 31, 31))/1000000</f>
        <v>12.063045499999998</v>
      </c>
      <c r="V111" s="57">
        <f>(1000*CHOOSE(CONTROL!$C$42, 500, 500)*CHOOSE(CONTROL!$C$42, 0.275, 0.275)*CHOOSE(CONTROL!$C$42, 31, 31))/1000000</f>
        <v>4.2625000000000002</v>
      </c>
      <c r="W111" s="57">
        <f>(1000*CHOOSE(CONTROL!$C$42, 0.1146, 0.1146)*CHOOSE(CONTROL!$C$42, 121.5, 121.5)*CHOOSE(CONTROL!$C$42, 31, 31))/1000000</f>
        <v>0.43164089999999994</v>
      </c>
      <c r="X111" s="57">
        <f>(31*0.1790888*100000/1000000)+(31*0.2374*100000/1000000)</f>
        <v>1.2911152800000001</v>
      </c>
      <c r="Y111" s="57"/>
      <c r="Z111" s="14"/>
      <c r="AA111" s="56"/>
      <c r="AB111" s="50">
        <f>(B111*122.58+C111*297.941+D111*89.177+E111*40.302+F111*40+G111*160+H111*0+I111*100+J111*300)/(122.58+297.941+89.177+40.302+0+40+160+100+300)</f>
        <v>6.5515554583478259</v>
      </c>
      <c r="AC111" s="45">
        <f>(M111*'RAP TEMPLATE-GAS AVAILABILITY'!O110+N111*'RAP TEMPLATE-GAS AVAILABILITY'!P110+O111*'RAP TEMPLATE-GAS AVAILABILITY'!Q110+P111*'RAP TEMPLATE-GAS AVAILABILITY'!R110)/('RAP TEMPLATE-GAS AVAILABILITY'!O110+'RAP TEMPLATE-GAS AVAILABILITY'!P110+'RAP TEMPLATE-GAS AVAILABILITY'!Q110+'RAP TEMPLATE-GAS AVAILABILITY'!R110)</f>
        <v>6.5292913669064747</v>
      </c>
    </row>
    <row r="112" spans="1:29" ht="15.75" x14ac:dyDescent="0.25">
      <c r="A112" s="13">
        <v>44287</v>
      </c>
      <c r="B112" s="14">
        <f>CHOOSE(CONTROL!$C$42, 6.5202, 6.5202) * CHOOSE(CONTROL!$C$21, $C$9, 100%, $E$9)</f>
        <v>6.5202</v>
      </c>
      <c r="C112" s="14">
        <f>CHOOSE(CONTROL!$C$42, 6.5246, 6.5246) * CHOOSE(CONTROL!$C$21, $C$9, 100%, $E$9)</f>
        <v>6.5246000000000004</v>
      </c>
      <c r="D112" s="14">
        <f>CHOOSE(CONTROL!$C$42, 6.7253, 6.7253) * CHOOSE(CONTROL!$C$21, $C$9, 100%, $E$9)</f>
        <v>6.7252999999999998</v>
      </c>
      <c r="E112" s="14">
        <f>CHOOSE(CONTROL!$C$42, 6.7571, 6.7571) * CHOOSE(CONTROL!$C$21, $C$9, 100%, $E$9)</f>
        <v>6.7571000000000003</v>
      </c>
      <c r="F112" s="14">
        <f>CHOOSE(CONTROL!$C$42, 6.5048, 6.5048)*CHOOSE(CONTROL!$C$21, $C$9, 100%, $E$9)</f>
        <v>6.5048000000000004</v>
      </c>
      <c r="G112" s="14">
        <f>CHOOSE(CONTROL!$C$42, 6.5204, 6.5204)*CHOOSE(CONTROL!$C$21, $C$9, 100%, $E$9)</f>
        <v>6.5204000000000004</v>
      </c>
      <c r="H112" s="14">
        <f>CHOOSE(CONTROL!$C$42, 6.7469, 6.7469) * CHOOSE(CONTROL!$C$21, $C$9, 100%, $E$9)</f>
        <v>6.7469000000000001</v>
      </c>
      <c r="I112" s="14">
        <f>CHOOSE(CONTROL!$C$42, 6.533, 6.533)* CHOOSE(CONTROL!$C$21, $C$9, 100%, $E$9)</f>
        <v>6.5330000000000004</v>
      </c>
      <c r="J112" s="14">
        <f>CHOOSE(CONTROL!$C$42, 6.4978, 6.4978)* CHOOSE(CONTROL!$C$21, $C$9, 100%, $E$9)</f>
        <v>6.4977999999999998</v>
      </c>
      <c r="K112" s="53">
        <f>CHOOSE(CONTROL!$C$42, 6.5291, 6.5291) * CHOOSE(CONTROL!$C$21, $C$9, 100%, $E$9)</f>
        <v>6.5290999999999997</v>
      </c>
      <c r="L112" s="14">
        <f>CHOOSE(CONTROL!$C$42, 7.3339, 7.3339) * CHOOSE(CONTROL!$C$21, $C$9, 100%, $E$9)</f>
        <v>7.3338999999999999</v>
      </c>
      <c r="M112" s="14">
        <f>CHOOSE(CONTROL!$C$42, 6.4461, 6.4461) * CHOOSE(CONTROL!$C$21, $C$9, 100%, $E$9)</f>
        <v>6.4461000000000004</v>
      </c>
      <c r="N112" s="14">
        <f>CHOOSE(CONTROL!$C$42, 6.4615, 6.4615) * CHOOSE(CONTROL!$C$21, $C$9, 100%, $E$9)</f>
        <v>6.4615</v>
      </c>
      <c r="O112" s="14">
        <f>CHOOSE(CONTROL!$C$42, 6.6926, 6.6926) * CHOOSE(CONTROL!$C$21, $C$9, 100%, $E$9)</f>
        <v>6.6925999999999997</v>
      </c>
      <c r="P112" s="14">
        <f>CHOOSE(CONTROL!$C$42, 6.4809, 6.4809) * CHOOSE(CONTROL!$C$21, $C$9, 100%, $E$9)</f>
        <v>6.4809000000000001</v>
      </c>
      <c r="Q112" s="14">
        <f>CHOOSE(CONTROL!$C$42, 7.2879, 7.2879) * CHOOSE(CONTROL!$C$21, $C$9, 100%, $E$9)</f>
        <v>7.2878999999999996</v>
      </c>
      <c r="R112" s="14">
        <f>CHOOSE(CONTROL!$C$42, 7.8932, 7.8932) * CHOOSE(CONTROL!$C$21, $C$9, 100%, $E$9)</f>
        <v>7.8932000000000002</v>
      </c>
      <c r="S112" s="14">
        <f>CHOOSE(CONTROL!$C$42, 6.3289, 6.3289) * CHOOSE(CONTROL!$C$21, $C$9, 100%, $E$9)</f>
        <v>6.3289</v>
      </c>
      <c r="T11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12" s="57">
        <f>(1000*CHOOSE(CONTROL!$C$42, 695, 695)*CHOOSE(CONTROL!$C$42, 0.5599, 0.5599)*CHOOSE(CONTROL!$C$42, 30, 30))/1000000</f>
        <v>11.673914999999997</v>
      </c>
      <c r="V112" s="57">
        <f>(1000*CHOOSE(CONTROL!$C$42, 500, 500)*CHOOSE(CONTROL!$C$42, 0.275, 0.275)*CHOOSE(CONTROL!$C$42, 30, 30))/1000000</f>
        <v>4.125</v>
      </c>
      <c r="W112" s="57">
        <f>(1000*CHOOSE(CONTROL!$C$42, 0.1146, 0.1146)*CHOOSE(CONTROL!$C$42, 121.5, 121.5)*CHOOSE(CONTROL!$C$42, 30, 30))/1000000</f>
        <v>0.417717</v>
      </c>
      <c r="X112" s="57">
        <f>(30*0.1790888*245000/1000000)+(30*0.2374*100000/1000000)</f>
        <v>2.0285026799999999</v>
      </c>
      <c r="Y112" s="57"/>
      <c r="Z112" s="14"/>
      <c r="AA112" s="56"/>
      <c r="AB112" s="50">
        <f>(B112*141.293+C112*267.993+D112*115.016+E112*89.698+F112*40+G112*185+H112*0+I112*100+J112*300)/(141.293+267.993+115.016+89.698+0+40+185+100+300)</f>
        <v>6.5524836214689275</v>
      </c>
      <c r="AC112" s="45">
        <f>(M112*'RAP TEMPLATE-GAS AVAILABILITY'!O111+N112*'RAP TEMPLATE-GAS AVAILABILITY'!P111+O112*'RAP TEMPLATE-GAS AVAILABILITY'!Q111+P112*'RAP TEMPLATE-GAS AVAILABILITY'!R111)/('RAP TEMPLATE-GAS AVAILABILITY'!O111+'RAP TEMPLATE-GAS AVAILABILITY'!P111+'RAP TEMPLATE-GAS AVAILABILITY'!Q111+'RAP TEMPLATE-GAS AVAILABILITY'!R111)</f>
        <v>6.5238143884892095</v>
      </c>
    </row>
    <row r="113" spans="1:29" ht="15.75" x14ac:dyDescent="0.25">
      <c r="A113" s="13">
        <v>44317</v>
      </c>
      <c r="B113" s="14">
        <f>CHOOSE(CONTROL!$C$42, 6.5791, 6.5791) * CHOOSE(CONTROL!$C$21, $C$9, 100%, $E$9)</f>
        <v>6.5791000000000004</v>
      </c>
      <c r="C113" s="14">
        <f>CHOOSE(CONTROL!$C$42, 6.5871, 6.5871) * CHOOSE(CONTROL!$C$21, $C$9, 100%, $E$9)</f>
        <v>6.5871000000000004</v>
      </c>
      <c r="D113" s="14">
        <f>CHOOSE(CONTROL!$C$42, 6.7846, 6.7846) * CHOOSE(CONTROL!$C$21, $C$9, 100%, $E$9)</f>
        <v>6.7846000000000002</v>
      </c>
      <c r="E113" s="14">
        <f>CHOOSE(CONTROL!$C$42, 6.8158, 6.8158) * CHOOSE(CONTROL!$C$21, $C$9, 100%, $E$9)</f>
        <v>6.8158000000000003</v>
      </c>
      <c r="F113" s="14">
        <f>CHOOSE(CONTROL!$C$42, 6.5626, 6.5626)*CHOOSE(CONTROL!$C$21, $C$9, 100%, $E$9)</f>
        <v>6.5625999999999998</v>
      </c>
      <c r="G113" s="14">
        <f>CHOOSE(CONTROL!$C$42, 6.5786, 6.5786)*CHOOSE(CONTROL!$C$21, $C$9, 100%, $E$9)</f>
        <v>6.5785999999999998</v>
      </c>
      <c r="H113" s="14">
        <f>CHOOSE(CONTROL!$C$42, 6.8044, 6.8044) * CHOOSE(CONTROL!$C$21, $C$9, 100%, $E$9)</f>
        <v>6.8044000000000002</v>
      </c>
      <c r="I113" s="14">
        <f>CHOOSE(CONTROL!$C$42, 6.5905, 6.5905)* CHOOSE(CONTROL!$C$21, $C$9, 100%, $E$9)</f>
        <v>6.5904999999999996</v>
      </c>
      <c r="J113" s="14">
        <f>CHOOSE(CONTROL!$C$42, 6.5556, 6.5556)* CHOOSE(CONTROL!$C$21, $C$9, 100%, $E$9)</f>
        <v>6.5556000000000001</v>
      </c>
      <c r="K113" s="53">
        <f>CHOOSE(CONTROL!$C$42, 6.5866, 6.5866) * CHOOSE(CONTROL!$C$21, $C$9, 100%, $E$9)</f>
        <v>6.5865999999999998</v>
      </c>
      <c r="L113" s="14">
        <f>CHOOSE(CONTROL!$C$42, 7.3914, 7.3914) * CHOOSE(CONTROL!$C$21, $C$9, 100%, $E$9)</f>
        <v>7.3914</v>
      </c>
      <c r="M113" s="14">
        <f>CHOOSE(CONTROL!$C$42, 6.5032, 6.5032) * CHOOSE(CONTROL!$C$21, $C$9, 100%, $E$9)</f>
        <v>6.5031999999999996</v>
      </c>
      <c r="N113" s="14">
        <f>CHOOSE(CONTROL!$C$42, 6.5192, 6.5192) * CHOOSE(CONTROL!$C$21, $C$9, 100%, $E$9)</f>
        <v>6.5191999999999997</v>
      </c>
      <c r="O113" s="14">
        <f>CHOOSE(CONTROL!$C$42, 6.7496, 6.7496) * CHOOSE(CONTROL!$C$21, $C$9, 100%, $E$9)</f>
        <v>6.7496</v>
      </c>
      <c r="P113" s="14">
        <f>CHOOSE(CONTROL!$C$42, 6.5379, 6.5379) * CHOOSE(CONTROL!$C$21, $C$9, 100%, $E$9)</f>
        <v>6.5378999999999996</v>
      </c>
      <c r="Q113" s="14">
        <f>CHOOSE(CONTROL!$C$42, 7.3449, 7.3449) * CHOOSE(CONTROL!$C$21, $C$9, 100%, $E$9)</f>
        <v>7.3449</v>
      </c>
      <c r="R113" s="14">
        <f>CHOOSE(CONTROL!$C$42, 7.9502, 7.9502) * CHOOSE(CONTROL!$C$21, $C$9, 100%, $E$9)</f>
        <v>7.9501999999999997</v>
      </c>
      <c r="S113" s="14">
        <f>CHOOSE(CONTROL!$C$42, 6.3848, 6.3848) * CHOOSE(CONTROL!$C$21, $C$9, 100%, $E$9)</f>
        <v>6.3848000000000003</v>
      </c>
      <c r="T11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13" s="57">
        <f>(1000*CHOOSE(CONTROL!$C$42, 695, 695)*CHOOSE(CONTROL!$C$42, 0.5599, 0.5599)*CHOOSE(CONTROL!$C$42, 31, 31))/1000000</f>
        <v>12.063045499999998</v>
      </c>
      <c r="V113" s="57">
        <f>(1000*CHOOSE(CONTROL!$C$42, 500, 500)*CHOOSE(CONTROL!$C$42, 0.275, 0.275)*CHOOSE(CONTROL!$C$42, 31, 31))/1000000</f>
        <v>4.2625000000000002</v>
      </c>
      <c r="W113" s="57">
        <f>(1000*CHOOSE(CONTROL!$C$42, 0.1146, 0.1146)*CHOOSE(CONTROL!$C$42, 121.5, 121.5)*CHOOSE(CONTROL!$C$42, 31, 31))/1000000</f>
        <v>0.43164089999999994</v>
      </c>
      <c r="X113" s="57">
        <f>(31*0.1790888*245000/1000000)+(31*0.2374*100000/1000000)</f>
        <v>2.0961194359999999</v>
      </c>
      <c r="Y113" s="57"/>
      <c r="Z113" s="14"/>
      <c r="AA113" s="56"/>
      <c r="AB113" s="50">
        <f>(B113*194.205+C113*267.466+D113*133.845+E113*53.484+F113*40+G113*185+H113*0+I113*100+J113*300)/(194.205+267.466+133.845+53.484+0+40+185+100+300)</f>
        <v>6.6070764821821042</v>
      </c>
      <c r="AC113" s="45">
        <f>(M113*'RAP TEMPLATE-GAS AVAILABILITY'!O112+N113*'RAP TEMPLATE-GAS AVAILABILITY'!P112+O113*'RAP TEMPLATE-GAS AVAILABILITY'!Q112+P113*'RAP TEMPLATE-GAS AVAILABILITY'!R112)/('RAP TEMPLATE-GAS AVAILABILITY'!O112+'RAP TEMPLATE-GAS AVAILABILITY'!P112+'RAP TEMPLATE-GAS AVAILABILITY'!Q112+'RAP TEMPLATE-GAS AVAILABILITY'!R112)</f>
        <v>6.5810100719424458</v>
      </c>
    </row>
    <row r="114" spans="1:29" ht="15.75" x14ac:dyDescent="0.25">
      <c r="A114" s="13">
        <v>44348</v>
      </c>
      <c r="B114" s="14">
        <f>CHOOSE(CONTROL!$C$42, 6.7656, 6.7656) * CHOOSE(CONTROL!$C$21, $C$9, 100%, $E$9)</f>
        <v>6.7656000000000001</v>
      </c>
      <c r="C114" s="14">
        <f>CHOOSE(CONTROL!$C$42, 6.7735, 6.7735) * CHOOSE(CONTROL!$C$21, $C$9, 100%, $E$9)</f>
        <v>6.7735000000000003</v>
      </c>
      <c r="D114" s="14">
        <f>CHOOSE(CONTROL!$C$42, 6.9711, 6.9711) * CHOOSE(CONTROL!$C$21, $C$9, 100%, $E$9)</f>
        <v>6.9710999999999999</v>
      </c>
      <c r="E114" s="14">
        <f>CHOOSE(CONTROL!$C$42, 7.0022, 7.0022) * CHOOSE(CONTROL!$C$21, $C$9, 100%, $E$9)</f>
        <v>7.0022000000000002</v>
      </c>
      <c r="F114" s="14">
        <f>CHOOSE(CONTROL!$C$42, 6.7494, 6.7494)*CHOOSE(CONTROL!$C$21, $C$9, 100%, $E$9)</f>
        <v>6.7493999999999996</v>
      </c>
      <c r="G114" s="14">
        <f>CHOOSE(CONTROL!$C$42, 6.7656, 6.7656)*CHOOSE(CONTROL!$C$21, $C$9, 100%, $E$9)</f>
        <v>6.7656000000000001</v>
      </c>
      <c r="H114" s="14">
        <f>CHOOSE(CONTROL!$C$42, 6.9909, 6.9909) * CHOOSE(CONTROL!$C$21, $C$9, 100%, $E$9)</f>
        <v>6.9908999999999999</v>
      </c>
      <c r="I114" s="14">
        <f>CHOOSE(CONTROL!$C$42, 6.777, 6.777)* CHOOSE(CONTROL!$C$21, $C$9, 100%, $E$9)</f>
        <v>6.7770000000000001</v>
      </c>
      <c r="J114" s="14">
        <f>CHOOSE(CONTROL!$C$42, 6.7424, 6.7424)* CHOOSE(CONTROL!$C$21, $C$9, 100%, $E$9)</f>
        <v>6.7423999999999999</v>
      </c>
      <c r="K114" s="53">
        <f>CHOOSE(CONTROL!$C$42, 6.7731, 6.7731) * CHOOSE(CONTROL!$C$21, $C$9, 100%, $E$9)</f>
        <v>6.7731000000000003</v>
      </c>
      <c r="L114" s="14">
        <f>CHOOSE(CONTROL!$C$42, 7.5779, 7.5779) * CHOOSE(CONTROL!$C$21, $C$9, 100%, $E$9)</f>
        <v>7.5778999999999996</v>
      </c>
      <c r="M114" s="14">
        <f>CHOOSE(CONTROL!$C$42, 6.6882, 6.6882) * CHOOSE(CONTROL!$C$21, $C$9, 100%, $E$9)</f>
        <v>6.6882000000000001</v>
      </c>
      <c r="N114" s="14">
        <f>CHOOSE(CONTROL!$C$42, 6.7043, 6.7043) * CHOOSE(CONTROL!$C$21, $C$9, 100%, $E$9)</f>
        <v>6.7042999999999999</v>
      </c>
      <c r="O114" s="14">
        <f>CHOOSE(CONTROL!$C$42, 6.9342, 6.9342) * CHOOSE(CONTROL!$C$21, $C$9, 100%, $E$9)</f>
        <v>6.9341999999999997</v>
      </c>
      <c r="P114" s="14">
        <f>CHOOSE(CONTROL!$C$42, 6.7225, 6.7225) * CHOOSE(CONTROL!$C$21, $C$9, 100%, $E$9)</f>
        <v>6.7225000000000001</v>
      </c>
      <c r="Q114" s="14">
        <f>CHOOSE(CONTROL!$C$42, 7.5295, 7.5295) * CHOOSE(CONTROL!$C$21, $C$9, 100%, $E$9)</f>
        <v>7.5294999999999996</v>
      </c>
      <c r="R114" s="14">
        <f>CHOOSE(CONTROL!$C$42, 8.1353, 8.1353) * CHOOSE(CONTROL!$C$21, $C$9, 100%, $E$9)</f>
        <v>8.1353000000000009</v>
      </c>
      <c r="S114" s="14">
        <f>CHOOSE(CONTROL!$C$42, 6.5658, 6.5658) * CHOOSE(CONTROL!$C$21, $C$9, 100%, $E$9)</f>
        <v>6.5658000000000003</v>
      </c>
      <c r="T11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14" s="57">
        <f>(1000*CHOOSE(CONTROL!$C$42, 695, 695)*CHOOSE(CONTROL!$C$42, 0.5599, 0.5599)*CHOOSE(CONTROL!$C$42, 30, 30))/1000000</f>
        <v>11.673914999999997</v>
      </c>
      <c r="V114" s="57">
        <f>(1000*CHOOSE(CONTROL!$C$42, 500, 500)*CHOOSE(CONTROL!$C$42, 0.275, 0.275)*CHOOSE(CONTROL!$C$42, 30, 30))/1000000</f>
        <v>4.125</v>
      </c>
      <c r="W114" s="57">
        <f>(1000*CHOOSE(CONTROL!$C$42, 0.1146, 0.1146)*CHOOSE(CONTROL!$C$42, 121.5, 121.5)*CHOOSE(CONTROL!$C$42, 30, 30))/1000000</f>
        <v>0.417717</v>
      </c>
      <c r="X114" s="57">
        <f>(30*0.1790888*245000/1000000)+(30*0.2374*100000/1000000)</f>
        <v>2.0285026799999999</v>
      </c>
      <c r="Y114" s="57"/>
      <c r="Z114" s="14"/>
      <c r="AA114" s="56"/>
      <c r="AB114" s="50">
        <f>(B114*194.205+C114*267.466+D114*133.845+E114*53.484+F114*40+G114*185+H114*0+I114*100+J114*300)/(194.205+267.466+133.845+53.484+0+40+185+100+300)</f>
        <v>6.7937039586342234</v>
      </c>
      <c r="AC114" s="45">
        <f>(M114*'RAP TEMPLATE-GAS AVAILABILITY'!O113+N114*'RAP TEMPLATE-GAS AVAILABILITY'!P113+O114*'RAP TEMPLATE-GAS AVAILABILITY'!Q113+P114*'RAP TEMPLATE-GAS AVAILABILITY'!R113)/('RAP TEMPLATE-GAS AVAILABILITY'!O113+'RAP TEMPLATE-GAS AVAILABILITY'!P113+'RAP TEMPLATE-GAS AVAILABILITY'!Q113+'RAP TEMPLATE-GAS AVAILABILITY'!R113)</f>
        <v>6.7658633093525173</v>
      </c>
    </row>
    <row r="115" spans="1:29" ht="15.75" x14ac:dyDescent="0.25">
      <c r="A115" s="13">
        <v>44378</v>
      </c>
      <c r="B115" s="14">
        <f>CHOOSE(CONTROL!$C$42, 6.6359, 6.6359) * CHOOSE(CONTROL!$C$21, $C$9, 100%, $E$9)</f>
        <v>6.6359000000000004</v>
      </c>
      <c r="C115" s="14">
        <f>CHOOSE(CONTROL!$C$42, 6.6438, 6.6438) * CHOOSE(CONTROL!$C$21, $C$9, 100%, $E$9)</f>
        <v>6.6437999999999997</v>
      </c>
      <c r="D115" s="14">
        <f>CHOOSE(CONTROL!$C$42, 6.8414, 6.8414) * CHOOSE(CONTROL!$C$21, $C$9, 100%, $E$9)</f>
        <v>6.8414000000000001</v>
      </c>
      <c r="E115" s="14">
        <f>CHOOSE(CONTROL!$C$42, 6.8726, 6.8726) * CHOOSE(CONTROL!$C$21, $C$9, 100%, $E$9)</f>
        <v>6.8726000000000003</v>
      </c>
      <c r="F115" s="14">
        <f>CHOOSE(CONTROL!$C$42, 6.6202, 6.6202)*CHOOSE(CONTROL!$C$21, $C$9, 100%, $E$9)</f>
        <v>6.6201999999999996</v>
      </c>
      <c r="G115" s="14">
        <f>CHOOSE(CONTROL!$C$42, 6.6365, 6.6365)*CHOOSE(CONTROL!$C$21, $C$9, 100%, $E$9)</f>
        <v>6.6364999999999998</v>
      </c>
      <c r="H115" s="14">
        <f>CHOOSE(CONTROL!$C$42, 6.8612, 6.8612) * CHOOSE(CONTROL!$C$21, $C$9, 100%, $E$9)</f>
        <v>6.8612000000000002</v>
      </c>
      <c r="I115" s="14">
        <f>CHOOSE(CONTROL!$C$42, 6.6473, 6.6473)* CHOOSE(CONTROL!$C$21, $C$9, 100%, $E$9)</f>
        <v>6.6473000000000004</v>
      </c>
      <c r="J115" s="14">
        <f>CHOOSE(CONTROL!$C$42, 6.6132, 6.6132)* CHOOSE(CONTROL!$C$21, $C$9, 100%, $E$9)</f>
        <v>6.6132</v>
      </c>
      <c r="K115" s="53">
        <f>CHOOSE(CONTROL!$C$42, 6.6434, 6.6434) * CHOOSE(CONTROL!$C$21, $C$9, 100%, $E$9)</f>
        <v>6.6433999999999997</v>
      </c>
      <c r="L115" s="14">
        <f>CHOOSE(CONTROL!$C$42, 7.4482, 7.4482) * CHOOSE(CONTROL!$C$21, $C$9, 100%, $E$9)</f>
        <v>7.4481999999999999</v>
      </c>
      <c r="M115" s="14">
        <f>CHOOSE(CONTROL!$C$42, 6.5603, 6.5603) * CHOOSE(CONTROL!$C$21, $C$9, 100%, $E$9)</f>
        <v>6.5602999999999998</v>
      </c>
      <c r="N115" s="14">
        <f>CHOOSE(CONTROL!$C$42, 6.5764, 6.5764) * CHOOSE(CONTROL!$C$21, $C$9, 100%, $E$9)</f>
        <v>6.5763999999999996</v>
      </c>
      <c r="O115" s="14">
        <f>CHOOSE(CONTROL!$C$42, 6.8058, 6.8058) * CHOOSE(CONTROL!$C$21, $C$9, 100%, $E$9)</f>
        <v>6.8057999999999996</v>
      </c>
      <c r="P115" s="14">
        <f>CHOOSE(CONTROL!$C$42, 6.5941, 6.5941) * CHOOSE(CONTROL!$C$21, $C$9, 100%, $E$9)</f>
        <v>6.5941000000000001</v>
      </c>
      <c r="Q115" s="14">
        <f>CHOOSE(CONTROL!$C$42, 7.4011, 7.4011) * CHOOSE(CONTROL!$C$21, $C$9, 100%, $E$9)</f>
        <v>7.4010999999999996</v>
      </c>
      <c r="R115" s="14">
        <f>CHOOSE(CONTROL!$C$42, 8.0066, 8.0066) * CHOOSE(CONTROL!$C$21, $C$9, 100%, $E$9)</f>
        <v>8.0066000000000006</v>
      </c>
      <c r="S115" s="14">
        <f>CHOOSE(CONTROL!$C$42, 6.4399, 6.4399) * CHOOSE(CONTROL!$C$21, $C$9, 100%, $E$9)</f>
        <v>6.4398999999999997</v>
      </c>
      <c r="T11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15" s="57">
        <f>(1000*CHOOSE(CONTROL!$C$42, 695, 695)*CHOOSE(CONTROL!$C$42, 0.5599, 0.5599)*CHOOSE(CONTROL!$C$42, 31, 31))/1000000</f>
        <v>12.063045499999998</v>
      </c>
      <c r="V115" s="57">
        <f>(1000*CHOOSE(CONTROL!$C$42, 500, 500)*CHOOSE(CONTROL!$C$42, 0.275, 0.275)*CHOOSE(CONTROL!$C$42, 31, 31))/1000000</f>
        <v>4.2625000000000002</v>
      </c>
      <c r="W115" s="57">
        <f>(1000*CHOOSE(CONTROL!$C$42, 0.1146, 0.1146)*CHOOSE(CONTROL!$C$42, 121.5, 121.5)*CHOOSE(CONTROL!$C$42, 31, 31))/1000000</f>
        <v>0.43164089999999994</v>
      </c>
      <c r="X115" s="57">
        <f>(31*0.1790888*245000/1000000)+(31*0.2374*100000/1000000)</f>
        <v>2.0961194359999999</v>
      </c>
      <c r="Y115" s="57"/>
      <c r="Z115" s="14"/>
      <c r="AA115" s="56"/>
      <c r="AB115" s="50">
        <f>(B115*194.205+C115*267.466+D115*133.845+E115*53.484+F115*40+G115*185+H115*0+I115*100+J115*300)/(194.205+267.466+133.845+53.484+0+40+185+100+300)</f>
        <v>6.6642287218995282</v>
      </c>
      <c r="AC115" s="45">
        <f>(M115*'RAP TEMPLATE-GAS AVAILABILITY'!O114+N115*'RAP TEMPLATE-GAS AVAILABILITY'!P114+O115*'RAP TEMPLATE-GAS AVAILABILITY'!Q114+P115*'RAP TEMPLATE-GAS AVAILABILITY'!R114)/('RAP TEMPLATE-GAS AVAILABILITY'!O114+'RAP TEMPLATE-GAS AVAILABILITY'!P114+'RAP TEMPLATE-GAS AVAILABILITY'!Q114+'RAP TEMPLATE-GAS AVAILABILITY'!R114)</f>
        <v>6.6377510791366907</v>
      </c>
    </row>
    <row r="116" spans="1:29" ht="15.75" x14ac:dyDescent="0.25">
      <c r="A116" s="13">
        <v>44409</v>
      </c>
      <c r="B116" s="14">
        <f>CHOOSE(CONTROL!$C$42, 6.3084, 6.3084) * CHOOSE(CONTROL!$C$21, $C$9, 100%, $E$9)</f>
        <v>6.3083999999999998</v>
      </c>
      <c r="C116" s="14">
        <f>CHOOSE(CONTROL!$C$42, 6.3163, 6.3163) * CHOOSE(CONTROL!$C$21, $C$9, 100%, $E$9)</f>
        <v>6.3163</v>
      </c>
      <c r="D116" s="14">
        <f>CHOOSE(CONTROL!$C$42, 6.5139, 6.5139) * CHOOSE(CONTROL!$C$21, $C$9, 100%, $E$9)</f>
        <v>6.5138999999999996</v>
      </c>
      <c r="E116" s="14">
        <f>CHOOSE(CONTROL!$C$42, 6.5451, 6.5451) * CHOOSE(CONTROL!$C$21, $C$9, 100%, $E$9)</f>
        <v>6.5450999999999997</v>
      </c>
      <c r="F116" s="14">
        <f>CHOOSE(CONTROL!$C$42, 6.2929, 6.2929)*CHOOSE(CONTROL!$C$21, $C$9, 100%, $E$9)</f>
        <v>6.2929000000000004</v>
      </c>
      <c r="G116" s="14">
        <f>CHOOSE(CONTROL!$C$42, 6.3092, 6.3092)*CHOOSE(CONTROL!$C$21, $C$9, 100%, $E$9)</f>
        <v>6.3091999999999997</v>
      </c>
      <c r="H116" s="14">
        <f>CHOOSE(CONTROL!$C$42, 6.5337, 6.5337) * CHOOSE(CONTROL!$C$21, $C$9, 100%, $E$9)</f>
        <v>6.5336999999999996</v>
      </c>
      <c r="I116" s="14">
        <f>CHOOSE(CONTROL!$C$42, 6.3198, 6.3198)* CHOOSE(CONTROL!$C$21, $C$9, 100%, $E$9)</f>
        <v>6.3197999999999999</v>
      </c>
      <c r="J116" s="14">
        <f>CHOOSE(CONTROL!$C$42, 6.2859, 6.2859)* CHOOSE(CONTROL!$C$21, $C$9, 100%, $E$9)</f>
        <v>6.2858999999999998</v>
      </c>
      <c r="K116" s="53">
        <f>CHOOSE(CONTROL!$C$42, 6.3159, 6.3159) * CHOOSE(CONTROL!$C$21, $C$9, 100%, $E$9)</f>
        <v>6.3159000000000001</v>
      </c>
      <c r="L116" s="14">
        <f>CHOOSE(CONTROL!$C$42, 7.1207, 7.1207) * CHOOSE(CONTROL!$C$21, $C$9, 100%, $E$9)</f>
        <v>7.1207000000000003</v>
      </c>
      <c r="M116" s="14">
        <f>CHOOSE(CONTROL!$C$42, 6.2362, 6.2362) * CHOOSE(CONTROL!$C$21, $C$9, 100%, $E$9)</f>
        <v>6.2362000000000002</v>
      </c>
      <c r="N116" s="14">
        <f>CHOOSE(CONTROL!$C$42, 6.2524, 6.2524) * CHOOSE(CONTROL!$C$21, $C$9, 100%, $E$9)</f>
        <v>6.2523999999999997</v>
      </c>
      <c r="O116" s="14">
        <f>CHOOSE(CONTROL!$C$42, 6.4816, 6.4816) * CHOOSE(CONTROL!$C$21, $C$9, 100%, $E$9)</f>
        <v>6.4816000000000003</v>
      </c>
      <c r="P116" s="14">
        <f>CHOOSE(CONTROL!$C$42, 6.2699, 6.2699) * CHOOSE(CONTROL!$C$21, $C$9, 100%, $E$9)</f>
        <v>6.2698999999999998</v>
      </c>
      <c r="Q116" s="14">
        <f>CHOOSE(CONTROL!$C$42, 7.0769, 7.0769) * CHOOSE(CONTROL!$C$21, $C$9, 100%, $E$9)</f>
        <v>7.0769000000000002</v>
      </c>
      <c r="R116" s="14">
        <f>CHOOSE(CONTROL!$C$42, 7.6816, 7.6816) * CHOOSE(CONTROL!$C$21, $C$9, 100%, $E$9)</f>
        <v>7.6816000000000004</v>
      </c>
      <c r="S116" s="14">
        <f>CHOOSE(CONTROL!$C$42, 6.1219, 6.1219) * CHOOSE(CONTROL!$C$21, $C$9, 100%, $E$9)</f>
        <v>6.1219000000000001</v>
      </c>
      <c r="T11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16" s="57">
        <f>(1000*CHOOSE(CONTROL!$C$42, 695, 695)*CHOOSE(CONTROL!$C$42, 0.5599, 0.5599)*CHOOSE(CONTROL!$C$42, 31, 31))/1000000</f>
        <v>12.063045499999998</v>
      </c>
      <c r="V116" s="57">
        <f>(1000*CHOOSE(CONTROL!$C$42, 500, 500)*CHOOSE(CONTROL!$C$42, 0.275, 0.275)*CHOOSE(CONTROL!$C$42, 31, 31))/1000000</f>
        <v>4.2625000000000002</v>
      </c>
      <c r="W116" s="57">
        <f>(1000*CHOOSE(CONTROL!$C$42, 0.1146, 0.1146)*CHOOSE(CONTROL!$C$42, 121.5, 121.5)*CHOOSE(CONTROL!$C$42, 31, 31))/1000000</f>
        <v>0.43164089999999994</v>
      </c>
      <c r="X116" s="57">
        <f>(31*0.1790888*245000/1000000)+(31*0.2374*100000/1000000)</f>
        <v>2.0961194359999999</v>
      </c>
      <c r="Y116" s="57"/>
      <c r="Z116" s="14"/>
      <c r="AA116" s="56"/>
      <c r="AB116" s="50">
        <f>(B116*194.205+C116*267.466+D116*133.845+E116*53.484+F116*40+G116*185+H116*0+I116*100+J116*300)/(194.205+267.466+133.845+53.484+0+40+185+100+300)</f>
        <v>6.3368111394819477</v>
      </c>
      <c r="AC116" s="45">
        <f>(M116*'RAP TEMPLATE-GAS AVAILABILITY'!O115+N116*'RAP TEMPLATE-GAS AVAILABILITY'!P115+O116*'RAP TEMPLATE-GAS AVAILABILITY'!Q115+P116*'RAP TEMPLATE-GAS AVAILABILITY'!R115)/('RAP TEMPLATE-GAS AVAILABILITY'!O115+'RAP TEMPLATE-GAS AVAILABILITY'!P115+'RAP TEMPLATE-GAS AVAILABILITY'!Q115+'RAP TEMPLATE-GAS AVAILABILITY'!R115)</f>
        <v>6.313631654676259</v>
      </c>
    </row>
    <row r="117" spans="1:29" ht="15.75" x14ac:dyDescent="0.25">
      <c r="A117" s="13">
        <v>44440</v>
      </c>
      <c r="B117" s="14">
        <f>CHOOSE(CONTROL!$C$42, 5.9079, 5.9079) * CHOOSE(CONTROL!$C$21, $C$9, 100%, $E$9)</f>
        <v>5.9078999999999997</v>
      </c>
      <c r="C117" s="14">
        <f>CHOOSE(CONTROL!$C$42, 5.9158, 5.9158) * CHOOSE(CONTROL!$C$21, $C$9, 100%, $E$9)</f>
        <v>5.9157999999999999</v>
      </c>
      <c r="D117" s="14">
        <f>CHOOSE(CONTROL!$C$42, 6.1134, 6.1134) * CHOOSE(CONTROL!$C$21, $C$9, 100%, $E$9)</f>
        <v>6.1134000000000004</v>
      </c>
      <c r="E117" s="14">
        <f>CHOOSE(CONTROL!$C$42, 6.1445, 6.1445) * CHOOSE(CONTROL!$C$21, $C$9, 100%, $E$9)</f>
        <v>6.1444999999999999</v>
      </c>
      <c r="F117" s="14">
        <f>CHOOSE(CONTROL!$C$42, 5.8922, 5.8922)*CHOOSE(CONTROL!$C$21, $C$9, 100%, $E$9)</f>
        <v>5.8921999999999999</v>
      </c>
      <c r="G117" s="14">
        <f>CHOOSE(CONTROL!$C$42, 5.9086, 5.9086)*CHOOSE(CONTROL!$C$21, $C$9, 100%, $E$9)</f>
        <v>5.9085999999999999</v>
      </c>
      <c r="H117" s="14">
        <f>CHOOSE(CONTROL!$C$42, 6.1331, 6.1331) * CHOOSE(CONTROL!$C$21, $C$9, 100%, $E$9)</f>
        <v>6.1330999999999998</v>
      </c>
      <c r="I117" s="14">
        <f>CHOOSE(CONTROL!$C$42, 5.9192, 5.9192)* CHOOSE(CONTROL!$C$21, $C$9, 100%, $E$9)</f>
        <v>5.9192</v>
      </c>
      <c r="J117" s="14">
        <f>CHOOSE(CONTROL!$C$42, 5.8852, 5.8852)* CHOOSE(CONTROL!$C$21, $C$9, 100%, $E$9)</f>
        <v>5.8852000000000002</v>
      </c>
      <c r="K117" s="53">
        <f>CHOOSE(CONTROL!$C$42, 5.9153, 5.9153) * CHOOSE(CONTROL!$C$21, $C$9, 100%, $E$9)</f>
        <v>5.9153000000000002</v>
      </c>
      <c r="L117" s="14">
        <f>CHOOSE(CONTROL!$C$42, 6.7201, 6.7201) * CHOOSE(CONTROL!$C$21, $C$9, 100%, $E$9)</f>
        <v>6.7201000000000004</v>
      </c>
      <c r="M117" s="14">
        <f>CHOOSE(CONTROL!$C$42, 5.8397, 5.8397) * CHOOSE(CONTROL!$C$21, $C$9, 100%, $E$9)</f>
        <v>5.8396999999999997</v>
      </c>
      <c r="N117" s="14">
        <f>CHOOSE(CONTROL!$C$42, 5.8558, 5.8558) * CHOOSE(CONTROL!$C$21, $C$9, 100%, $E$9)</f>
        <v>5.8558000000000003</v>
      </c>
      <c r="O117" s="14">
        <f>CHOOSE(CONTROL!$C$42, 6.0851, 6.0851) * CHOOSE(CONTROL!$C$21, $C$9, 100%, $E$9)</f>
        <v>6.0850999999999997</v>
      </c>
      <c r="P117" s="14">
        <f>CHOOSE(CONTROL!$C$42, 5.8734, 5.8734) * CHOOSE(CONTROL!$C$21, $C$9, 100%, $E$9)</f>
        <v>5.8734000000000002</v>
      </c>
      <c r="Q117" s="14">
        <f>CHOOSE(CONTROL!$C$42, 6.6804, 6.6804) * CHOOSE(CONTROL!$C$21, $C$9, 100%, $E$9)</f>
        <v>6.6803999999999997</v>
      </c>
      <c r="R117" s="14">
        <f>CHOOSE(CONTROL!$C$42, 7.2841, 7.2841) * CHOOSE(CONTROL!$C$21, $C$9, 100%, $E$9)</f>
        <v>7.2840999999999996</v>
      </c>
      <c r="S117" s="14">
        <f>CHOOSE(CONTROL!$C$42, 5.7329, 5.7329) * CHOOSE(CONTROL!$C$21, $C$9, 100%, $E$9)</f>
        <v>5.7328999999999999</v>
      </c>
      <c r="T11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17" s="57">
        <f>(1000*CHOOSE(CONTROL!$C$42, 695, 695)*CHOOSE(CONTROL!$C$42, 0.5599, 0.5599)*CHOOSE(CONTROL!$C$42, 30, 30))/1000000</f>
        <v>11.673914999999997</v>
      </c>
      <c r="V117" s="57">
        <f>(1000*CHOOSE(CONTROL!$C$42, 500, 500)*CHOOSE(CONTROL!$C$42, 0.275, 0.275)*CHOOSE(CONTROL!$C$42, 30, 30))/1000000</f>
        <v>4.125</v>
      </c>
      <c r="W117" s="57">
        <f>(1000*CHOOSE(CONTROL!$C$42, 0.1146, 0.1146)*CHOOSE(CONTROL!$C$42, 121.5, 121.5)*CHOOSE(CONTROL!$C$42, 30, 30))/1000000</f>
        <v>0.417717</v>
      </c>
      <c r="X117" s="57">
        <f>(30*0.1790888*245000/1000000)+(30*0.2374*100000/1000000)</f>
        <v>2.0285026799999999</v>
      </c>
      <c r="Y117" s="57"/>
      <c r="Z117" s="14"/>
      <c r="AA117" s="56"/>
      <c r="AB117" s="50">
        <f>(B117*194.205+C117*267.466+D117*133.845+E117*53.484+F117*40+G117*185+H117*0+I117*100+J117*300)/(194.205+267.466+133.845+53.484+0+40+185+100+300)</f>
        <v>5.9362311956828879</v>
      </c>
      <c r="AC117" s="45">
        <f>(M117*'RAP TEMPLATE-GAS AVAILABILITY'!O116+N117*'RAP TEMPLATE-GAS AVAILABILITY'!P116+O117*'RAP TEMPLATE-GAS AVAILABILITY'!Q116+P117*'RAP TEMPLATE-GAS AVAILABILITY'!R116)/('RAP TEMPLATE-GAS AVAILABILITY'!O116+'RAP TEMPLATE-GAS AVAILABILITY'!P116+'RAP TEMPLATE-GAS AVAILABILITY'!Q116+'RAP TEMPLATE-GAS AVAILABILITY'!R116)</f>
        <v>5.9171086330935259</v>
      </c>
    </row>
    <row r="118" spans="1:29" ht="15.75" x14ac:dyDescent="0.25">
      <c r="A118" s="13">
        <v>44470</v>
      </c>
      <c r="B118" s="14">
        <f>CHOOSE(CONTROL!$C$42, 5.7863, 5.7863) * CHOOSE(CONTROL!$C$21, $C$9, 100%, $E$9)</f>
        <v>5.7862999999999998</v>
      </c>
      <c r="C118" s="14">
        <f>CHOOSE(CONTROL!$C$42, 5.7915, 5.7915) * CHOOSE(CONTROL!$C$21, $C$9, 100%, $E$9)</f>
        <v>5.7915000000000001</v>
      </c>
      <c r="D118" s="14">
        <f>CHOOSE(CONTROL!$C$42, 5.994, 5.994) * CHOOSE(CONTROL!$C$21, $C$9, 100%, $E$9)</f>
        <v>5.9939999999999998</v>
      </c>
      <c r="E118" s="14">
        <f>CHOOSE(CONTROL!$C$42, 6.0228, 6.0228) * CHOOSE(CONTROL!$C$21, $C$9, 100%, $E$9)</f>
        <v>6.0228000000000002</v>
      </c>
      <c r="F118" s="14">
        <f>CHOOSE(CONTROL!$C$42, 5.7726, 5.7726)*CHOOSE(CONTROL!$C$21, $C$9, 100%, $E$9)</f>
        <v>5.7725999999999997</v>
      </c>
      <c r="G118" s="14">
        <f>CHOOSE(CONTROL!$C$42, 5.7886, 5.7886)*CHOOSE(CONTROL!$C$21, $C$9, 100%, $E$9)</f>
        <v>5.7885999999999997</v>
      </c>
      <c r="H118" s="14">
        <f>CHOOSE(CONTROL!$C$42, 6.0133, 6.0133) * CHOOSE(CONTROL!$C$21, $C$9, 100%, $E$9)</f>
        <v>6.0133000000000001</v>
      </c>
      <c r="I118" s="14">
        <f>CHOOSE(CONTROL!$C$42, 5.7994, 5.7994)* CHOOSE(CONTROL!$C$21, $C$9, 100%, $E$9)</f>
        <v>5.7994000000000003</v>
      </c>
      <c r="J118" s="14">
        <f>CHOOSE(CONTROL!$C$42, 5.7656, 5.7656)* CHOOSE(CONTROL!$C$21, $C$9, 100%, $E$9)</f>
        <v>5.7656000000000001</v>
      </c>
      <c r="K118" s="53">
        <f>CHOOSE(CONTROL!$C$42, 5.7955, 5.7955) * CHOOSE(CONTROL!$C$21, $C$9, 100%, $E$9)</f>
        <v>5.7954999999999997</v>
      </c>
      <c r="L118" s="14">
        <f>CHOOSE(CONTROL!$C$42, 6.6003, 6.6003) * CHOOSE(CONTROL!$C$21, $C$9, 100%, $E$9)</f>
        <v>6.6002999999999998</v>
      </c>
      <c r="M118" s="14">
        <f>CHOOSE(CONTROL!$C$42, 5.7213, 5.7213) * CHOOSE(CONTROL!$C$21, $C$9, 100%, $E$9)</f>
        <v>5.7213000000000003</v>
      </c>
      <c r="N118" s="14">
        <f>CHOOSE(CONTROL!$C$42, 5.7371, 5.7371) * CHOOSE(CONTROL!$C$21, $C$9, 100%, $E$9)</f>
        <v>5.7370999999999999</v>
      </c>
      <c r="O118" s="14">
        <f>CHOOSE(CONTROL!$C$42, 5.9664, 5.9664) * CHOOSE(CONTROL!$C$21, $C$9, 100%, $E$9)</f>
        <v>5.9664000000000001</v>
      </c>
      <c r="P118" s="14">
        <f>CHOOSE(CONTROL!$C$42, 5.7547, 5.7547) * CHOOSE(CONTROL!$C$21, $C$9, 100%, $E$9)</f>
        <v>5.7546999999999997</v>
      </c>
      <c r="Q118" s="14">
        <f>CHOOSE(CONTROL!$C$42, 6.5617, 6.5617) * CHOOSE(CONTROL!$C$21, $C$9, 100%, $E$9)</f>
        <v>6.5617000000000001</v>
      </c>
      <c r="R118" s="14">
        <f>CHOOSE(CONTROL!$C$42, 7.1651, 7.1651) * CHOOSE(CONTROL!$C$21, $C$9, 100%, $E$9)</f>
        <v>7.1650999999999998</v>
      </c>
      <c r="S118" s="14">
        <f>CHOOSE(CONTROL!$C$42, 5.6165, 5.6165) * CHOOSE(CONTROL!$C$21, $C$9, 100%, $E$9)</f>
        <v>5.6165000000000003</v>
      </c>
      <c r="T11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18" s="57">
        <f>(1000*CHOOSE(CONTROL!$C$42, 695, 695)*CHOOSE(CONTROL!$C$42, 0.5599, 0.5599)*CHOOSE(CONTROL!$C$42, 31, 31))/1000000</f>
        <v>12.063045499999998</v>
      </c>
      <c r="V118" s="57">
        <f>(1000*CHOOSE(CONTROL!$C$42, 500, 500)*CHOOSE(CONTROL!$C$42, 0.275, 0.275)*CHOOSE(CONTROL!$C$42, 31, 31))/1000000</f>
        <v>4.2625000000000002</v>
      </c>
      <c r="W118" s="57">
        <f>(1000*CHOOSE(CONTROL!$C$42, 0.1146, 0.1146)*CHOOSE(CONTROL!$C$42, 121.5, 121.5)*CHOOSE(CONTROL!$C$42, 31, 31))/1000000</f>
        <v>0.43164089999999994</v>
      </c>
      <c r="X118" s="57">
        <f>(31*0.1790888*245000/1000000)+(31*0.2374*100000/1000000)</f>
        <v>2.0961194359999999</v>
      </c>
      <c r="Y118" s="57"/>
      <c r="Z118" s="14"/>
      <c r="AA118" s="56"/>
      <c r="AB118" s="50">
        <f>(B118*131.881+C118*277.167+D118*79.08+E118*125.872+F118*40+G118*185+H118*0+I118*100+J118*300)/(131.881+277.167+79.08+125.872+0+40+185+100+300)</f>
        <v>5.8206925846650526</v>
      </c>
      <c r="AC118" s="45">
        <f>(M118*'RAP TEMPLATE-GAS AVAILABILITY'!O117+N118*'RAP TEMPLATE-GAS AVAILABILITY'!P117+O118*'RAP TEMPLATE-GAS AVAILABILITY'!Q117+P118*'RAP TEMPLATE-GAS AVAILABILITY'!R117)/('RAP TEMPLATE-GAS AVAILABILITY'!O117+'RAP TEMPLATE-GAS AVAILABILITY'!P117+'RAP TEMPLATE-GAS AVAILABILITY'!Q117+'RAP TEMPLATE-GAS AVAILABILITY'!R117)</f>
        <v>5.7985122302158274</v>
      </c>
    </row>
    <row r="119" spans="1:29" ht="15.75" x14ac:dyDescent="0.25">
      <c r="A119" s="13">
        <v>44501</v>
      </c>
      <c r="B119" s="14">
        <f>CHOOSE(CONTROL!$C$42, 5.9382, 5.9382) * CHOOSE(CONTROL!$C$21, $C$9, 100%, $E$9)</f>
        <v>5.9382000000000001</v>
      </c>
      <c r="C119" s="14">
        <f>CHOOSE(CONTROL!$C$42, 5.9431, 5.9431) * CHOOSE(CONTROL!$C$21, $C$9, 100%, $E$9)</f>
        <v>5.9431000000000003</v>
      </c>
      <c r="D119" s="14">
        <f>CHOOSE(CONTROL!$C$42, 6.0062, 6.0062) * CHOOSE(CONTROL!$C$21, $C$9, 100%, $E$9)</f>
        <v>6.0061999999999998</v>
      </c>
      <c r="E119" s="14">
        <f>CHOOSE(CONTROL!$C$42, 6.04, 6.04) * CHOOSE(CONTROL!$C$21, $C$9, 100%, $E$9)</f>
        <v>6.04</v>
      </c>
      <c r="F119" s="14">
        <f>CHOOSE(CONTROL!$C$42, 5.9389, 5.9389)*CHOOSE(CONTROL!$C$21, $C$9, 100%, $E$9)</f>
        <v>5.9389000000000003</v>
      </c>
      <c r="G119" s="14">
        <f>CHOOSE(CONTROL!$C$42, 5.9552, 5.9552)*CHOOSE(CONTROL!$C$21, $C$9, 100%, $E$9)</f>
        <v>5.9551999999999996</v>
      </c>
      <c r="H119" s="14">
        <f>CHOOSE(CONTROL!$C$42, 6.0292, 6.0292) * CHOOSE(CONTROL!$C$21, $C$9, 100%, $E$9)</f>
        <v>6.0292000000000003</v>
      </c>
      <c r="I119" s="14">
        <f>CHOOSE(CONTROL!$C$42, 5.9517, 5.9517)* CHOOSE(CONTROL!$C$21, $C$9, 100%, $E$9)</f>
        <v>5.9516999999999998</v>
      </c>
      <c r="J119" s="14">
        <f>CHOOSE(CONTROL!$C$42, 5.9319, 5.9319)* CHOOSE(CONTROL!$C$21, $C$9, 100%, $E$9)</f>
        <v>5.9318999999999997</v>
      </c>
      <c r="K119" s="53">
        <f>CHOOSE(CONTROL!$C$42, 5.9478, 5.9478) * CHOOSE(CONTROL!$C$21, $C$9, 100%, $E$9)</f>
        <v>5.9478</v>
      </c>
      <c r="L119" s="14">
        <f>CHOOSE(CONTROL!$C$42, 6.6162, 6.6162) * CHOOSE(CONTROL!$C$21, $C$9, 100%, $E$9)</f>
        <v>6.6162000000000001</v>
      </c>
      <c r="M119" s="14">
        <f>CHOOSE(CONTROL!$C$42, 5.8859, 5.8859) * CHOOSE(CONTROL!$C$21, $C$9, 100%, $E$9)</f>
        <v>5.8859000000000004</v>
      </c>
      <c r="N119" s="14">
        <f>CHOOSE(CONTROL!$C$42, 5.902, 5.902) * CHOOSE(CONTROL!$C$21, $C$9, 100%, $E$9)</f>
        <v>5.9020000000000001</v>
      </c>
      <c r="O119" s="14">
        <f>CHOOSE(CONTROL!$C$42, 5.9822, 5.9822) * CHOOSE(CONTROL!$C$21, $C$9, 100%, $E$9)</f>
        <v>5.9821999999999997</v>
      </c>
      <c r="P119" s="14">
        <f>CHOOSE(CONTROL!$C$42, 5.9055, 5.9055) * CHOOSE(CONTROL!$C$21, $C$9, 100%, $E$9)</f>
        <v>5.9055</v>
      </c>
      <c r="Q119" s="14">
        <f>CHOOSE(CONTROL!$C$42, 6.5775, 6.5775) * CHOOSE(CONTROL!$C$21, $C$9, 100%, $E$9)</f>
        <v>6.5774999999999997</v>
      </c>
      <c r="R119" s="14">
        <f>CHOOSE(CONTROL!$C$42, 7.1809, 7.1809) * CHOOSE(CONTROL!$C$21, $C$9, 100%, $E$9)</f>
        <v>7.1809000000000003</v>
      </c>
      <c r="S119" s="14">
        <f>CHOOSE(CONTROL!$C$42, 5.7644, 5.7644) * CHOOSE(CONTROL!$C$21, $C$9, 100%, $E$9)</f>
        <v>5.7644000000000002</v>
      </c>
      <c r="T11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19" s="57">
        <f>(1000*CHOOSE(CONTROL!$C$42, 695, 695)*CHOOSE(CONTROL!$C$42, 0.5599, 0.5599)*CHOOSE(CONTROL!$C$42, 30, 30))/1000000</f>
        <v>11.673914999999997</v>
      </c>
      <c r="V119" s="57">
        <f>(1000*CHOOSE(CONTROL!$C$42, 500, 500)*CHOOSE(CONTROL!$C$42, 0.275, 0.275)*CHOOSE(CONTROL!$C$42, 30, 30))/1000000</f>
        <v>4.125</v>
      </c>
      <c r="W119" s="57">
        <f>(1000*CHOOSE(CONTROL!$C$42, 0.1146, 0.1146)*CHOOSE(CONTROL!$C$42, 121.5, 121.5)*CHOOSE(CONTROL!$C$42, 30, 30))/1000000</f>
        <v>0.417717</v>
      </c>
      <c r="X119" s="57">
        <f>(30*0.1790888*100000/1000000)+(30*0.2374*100000/1000000)</f>
        <v>1.2494664</v>
      </c>
      <c r="Y119" s="57"/>
      <c r="Z119" s="14"/>
      <c r="AA119" s="56"/>
      <c r="AB119" s="50">
        <f>(B119*122.58+C119*297.941+D119*89.177+E119*40.302+F119*40+G119*160+H119*0+I119*100+J119*300)/(122.58+297.941+89.177+40.302+0+40+160+100+300)</f>
        <v>5.9502301656521732</v>
      </c>
      <c r="AC119" s="45">
        <f>(M119*'RAP TEMPLATE-GAS AVAILABILITY'!O118+N119*'RAP TEMPLATE-GAS AVAILABILITY'!P118+O119*'RAP TEMPLATE-GAS AVAILABILITY'!Q118+P119*'RAP TEMPLATE-GAS AVAILABILITY'!R118)/('RAP TEMPLATE-GAS AVAILABILITY'!O118+'RAP TEMPLATE-GAS AVAILABILITY'!P118+'RAP TEMPLATE-GAS AVAILABILITY'!Q118+'RAP TEMPLATE-GAS AVAILABILITY'!R118)</f>
        <v>5.933293525179856</v>
      </c>
    </row>
    <row r="120" spans="1:29" ht="15.75" x14ac:dyDescent="0.25">
      <c r="A120" s="13">
        <v>44531</v>
      </c>
      <c r="B120" s="14">
        <f>CHOOSE(CONTROL!$C$42, 6.3428, 6.3428) * CHOOSE(CONTROL!$C$21, $C$9, 100%, $E$9)</f>
        <v>6.3428000000000004</v>
      </c>
      <c r="C120" s="14">
        <f>CHOOSE(CONTROL!$C$42, 6.3478, 6.3478) * CHOOSE(CONTROL!$C$21, $C$9, 100%, $E$9)</f>
        <v>6.3478000000000003</v>
      </c>
      <c r="D120" s="14">
        <f>CHOOSE(CONTROL!$C$42, 6.4109, 6.4109) * CHOOSE(CONTROL!$C$21, $C$9, 100%, $E$9)</f>
        <v>6.4108999999999998</v>
      </c>
      <c r="E120" s="14">
        <f>CHOOSE(CONTROL!$C$42, 6.4447, 6.4447) * CHOOSE(CONTROL!$C$21, $C$9, 100%, $E$9)</f>
        <v>6.4447000000000001</v>
      </c>
      <c r="F120" s="14">
        <f>CHOOSE(CONTROL!$C$42, 6.3456, 6.3456)*CHOOSE(CONTROL!$C$21, $C$9, 100%, $E$9)</f>
        <v>6.3456000000000001</v>
      </c>
      <c r="G120" s="14">
        <f>CHOOSE(CONTROL!$C$42, 6.3624, 6.3624)*CHOOSE(CONTROL!$C$21, $C$9, 100%, $E$9)</f>
        <v>6.3624000000000001</v>
      </c>
      <c r="H120" s="14">
        <f>CHOOSE(CONTROL!$C$42, 6.4339, 6.4339) * CHOOSE(CONTROL!$C$21, $C$9, 100%, $E$9)</f>
        <v>6.4339000000000004</v>
      </c>
      <c r="I120" s="14">
        <f>CHOOSE(CONTROL!$C$42, 6.3564, 6.3564)* CHOOSE(CONTROL!$C$21, $C$9, 100%, $E$9)</f>
        <v>6.3563999999999998</v>
      </c>
      <c r="J120" s="14">
        <f>CHOOSE(CONTROL!$C$42, 6.3386, 6.3386)* CHOOSE(CONTROL!$C$21, $C$9, 100%, $E$9)</f>
        <v>6.3385999999999996</v>
      </c>
      <c r="K120" s="53">
        <f>CHOOSE(CONTROL!$C$42, 6.3525, 6.3525) * CHOOSE(CONTROL!$C$21, $C$9, 100%, $E$9)</f>
        <v>6.3525</v>
      </c>
      <c r="L120" s="14">
        <f>CHOOSE(CONTROL!$C$42, 7.0209, 7.0209) * CHOOSE(CONTROL!$C$21, $C$9, 100%, $E$9)</f>
        <v>7.0209000000000001</v>
      </c>
      <c r="M120" s="14">
        <f>CHOOSE(CONTROL!$C$42, 6.2884, 6.2884) * CHOOSE(CONTROL!$C$21, $C$9, 100%, $E$9)</f>
        <v>6.2884000000000002</v>
      </c>
      <c r="N120" s="14">
        <f>CHOOSE(CONTROL!$C$42, 6.3051, 6.3051) * CHOOSE(CONTROL!$C$21, $C$9, 100%, $E$9)</f>
        <v>6.3051000000000004</v>
      </c>
      <c r="O120" s="14">
        <f>CHOOSE(CONTROL!$C$42, 6.3828, 6.3828) * CHOOSE(CONTROL!$C$21, $C$9, 100%, $E$9)</f>
        <v>6.3827999999999996</v>
      </c>
      <c r="P120" s="14">
        <f>CHOOSE(CONTROL!$C$42, 6.3061, 6.3061) * CHOOSE(CONTROL!$C$21, $C$9, 100%, $E$9)</f>
        <v>6.3060999999999998</v>
      </c>
      <c r="Q120" s="14">
        <f>CHOOSE(CONTROL!$C$42, 6.9781, 6.9781) * CHOOSE(CONTROL!$C$21, $C$9, 100%, $E$9)</f>
        <v>6.9781000000000004</v>
      </c>
      <c r="R120" s="14">
        <f>CHOOSE(CONTROL!$C$42, 7.5825, 7.5825) * CHOOSE(CONTROL!$C$21, $C$9, 100%, $E$9)</f>
        <v>7.5824999999999996</v>
      </c>
      <c r="S120" s="14">
        <f>CHOOSE(CONTROL!$C$42, 6.1574, 6.1574) * CHOOSE(CONTROL!$C$21, $C$9, 100%, $E$9)</f>
        <v>6.1574</v>
      </c>
      <c r="T12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20" s="57">
        <f>(1000*CHOOSE(CONTROL!$C$42, 695, 695)*CHOOSE(CONTROL!$C$42, 0.5599, 0.5599)*CHOOSE(CONTROL!$C$42, 31, 31))/1000000</f>
        <v>12.063045499999998</v>
      </c>
      <c r="V120" s="57">
        <f>(1000*CHOOSE(CONTROL!$C$42, 500, 500)*CHOOSE(CONTROL!$C$42, 0.275, 0.275)*CHOOSE(CONTROL!$C$42, 31, 31))/1000000</f>
        <v>4.2625000000000002</v>
      </c>
      <c r="W120" s="57">
        <f>(1000*CHOOSE(CONTROL!$C$42, 0.1146, 0.1146)*CHOOSE(CONTROL!$C$42, 121.5, 121.5)*CHOOSE(CONTROL!$C$42, 31, 31))/1000000</f>
        <v>0.43164089999999994</v>
      </c>
      <c r="X120" s="57">
        <f>(31*0.1790888*100000/1000000)+(31*0.2374*100000/1000000)</f>
        <v>1.2911152800000001</v>
      </c>
      <c r="Y120" s="57"/>
      <c r="Z120" s="14"/>
      <c r="AA120" s="56"/>
      <c r="AB120" s="50">
        <f>(B120*122.58+C120*297.941+D120*89.177+E120*40.302+F120*40+G120*160+H120*0+I120*100+J120*300)/(122.58+297.941+89.177+40.302+0+40+160+100+300)</f>
        <v>6.3558586369565218</v>
      </c>
      <c r="AC120" s="45">
        <f>(M120*'RAP TEMPLATE-GAS AVAILABILITY'!O119+N120*'RAP TEMPLATE-GAS AVAILABILITY'!P119+O120*'RAP TEMPLATE-GAS AVAILABILITY'!Q119+P120*'RAP TEMPLATE-GAS AVAILABILITY'!R119)/('RAP TEMPLATE-GAS AVAILABILITY'!O119+'RAP TEMPLATE-GAS AVAILABILITY'!P119+'RAP TEMPLATE-GAS AVAILABILITY'!Q119+'RAP TEMPLATE-GAS AVAILABILITY'!R119)</f>
        <v>6.3346935251798566</v>
      </c>
    </row>
    <row r="121" spans="1:29" ht="15.75" x14ac:dyDescent="0.25">
      <c r="A121" s="13">
        <v>44562</v>
      </c>
      <c r="B121" s="14">
        <f>CHOOSE(CONTROL!$C$42, 6.8251, 6.8251) * CHOOSE(CONTROL!$C$21, $C$9, 100%, $E$9)</f>
        <v>6.8250999999999999</v>
      </c>
      <c r="C121" s="14">
        <f>CHOOSE(CONTROL!$C$42, 6.8301, 6.8301) * CHOOSE(CONTROL!$C$21, $C$9, 100%, $E$9)</f>
        <v>6.8300999999999998</v>
      </c>
      <c r="D121" s="14">
        <f>CHOOSE(CONTROL!$C$42, 6.8944, 6.8944) * CHOOSE(CONTROL!$C$21, $C$9, 100%, $E$9)</f>
        <v>6.8944000000000001</v>
      </c>
      <c r="E121" s="14">
        <f>CHOOSE(CONTROL!$C$42, 6.9282, 6.9282) * CHOOSE(CONTROL!$C$21, $C$9, 100%, $E$9)</f>
        <v>6.9282000000000004</v>
      </c>
      <c r="F121" s="14">
        <f>CHOOSE(CONTROL!$C$42, 6.8267, 6.8267)*CHOOSE(CONTROL!$C$21, $C$9, 100%, $E$9)</f>
        <v>6.8266999999999998</v>
      </c>
      <c r="G121" s="14">
        <f>CHOOSE(CONTROL!$C$42, 6.8426, 6.8426)*CHOOSE(CONTROL!$C$21, $C$9, 100%, $E$9)</f>
        <v>6.8426</v>
      </c>
      <c r="H121" s="14">
        <f>CHOOSE(CONTROL!$C$42, 6.9174, 6.9174) * CHOOSE(CONTROL!$C$21, $C$9, 100%, $E$9)</f>
        <v>6.9173999999999998</v>
      </c>
      <c r="I121" s="14">
        <f>CHOOSE(CONTROL!$C$42, 6.8451, 6.8451)* CHOOSE(CONTROL!$C$21, $C$9, 100%, $E$9)</f>
        <v>6.8451000000000004</v>
      </c>
      <c r="J121" s="14">
        <f>CHOOSE(CONTROL!$C$42, 6.8197, 6.8197)* CHOOSE(CONTROL!$C$21, $C$9, 100%, $E$9)</f>
        <v>6.8197000000000001</v>
      </c>
      <c r="K121" s="53">
        <f>CHOOSE(CONTROL!$C$42, 6.8412, 6.8412) * CHOOSE(CONTROL!$C$21, $C$9, 100%, $E$9)</f>
        <v>6.8411999999999997</v>
      </c>
      <c r="L121" s="14">
        <f>CHOOSE(CONTROL!$C$42, 7.5044, 7.5044) * CHOOSE(CONTROL!$C$21, $C$9, 100%, $E$9)</f>
        <v>7.5044000000000004</v>
      </c>
      <c r="M121" s="14">
        <f>CHOOSE(CONTROL!$C$42, 6.7647, 6.7647) * CHOOSE(CONTROL!$C$21, $C$9, 100%, $E$9)</f>
        <v>6.7647000000000004</v>
      </c>
      <c r="N121" s="14">
        <f>CHOOSE(CONTROL!$C$42, 6.7804, 6.7804) * CHOOSE(CONTROL!$C$21, $C$9, 100%, $E$9)</f>
        <v>6.7804000000000002</v>
      </c>
      <c r="O121" s="14">
        <f>CHOOSE(CONTROL!$C$42, 6.8614, 6.8614) * CHOOSE(CONTROL!$C$21, $C$9, 100%, $E$9)</f>
        <v>6.8613999999999997</v>
      </c>
      <c r="P121" s="14">
        <f>CHOOSE(CONTROL!$C$42, 6.7899, 6.7899) * CHOOSE(CONTROL!$C$21, $C$9, 100%, $E$9)</f>
        <v>6.7899000000000003</v>
      </c>
      <c r="Q121" s="14">
        <f>CHOOSE(CONTROL!$C$42, 7.4567, 7.4567) * CHOOSE(CONTROL!$C$21, $C$9, 100%, $E$9)</f>
        <v>7.4566999999999997</v>
      </c>
      <c r="R121" s="14">
        <f>CHOOSE(CONTROL!$C$42, 8.0623, 8.0623) * CHOOSE(CONTROL!$C$21, $C$9, 100%, $E$9)</f>
        <v>8.0623000000000005</v>
      </c>
      <c r="S121" s="14">
        <f>CHOOSE(CONTROL!$C$42, 6.6258, 6.6258) * CHOOSE(CONTROL!$C$21, $C$9, 100%, $E$9)</f>
        <v>6.6257999999999999</v>
      </c>
      <c r="T12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21" s="57">
        <f>(1000*CHOOSE(CONTROL!$C$42, 695, 695)*CHOOSE(CONTROL!$C$42, 0.5599, 0.5599)*CHOOSE(CONTROL!$C$42, 31, 31))/1000000</f>
        <v>12.063045499999998</v>
      </c>
      <c r="V121" s="57">
        <f>(1000*CHOOSE(CONTROL!$C$42, 500, 500)*CHOOSE(CONTROL!$C$42, 0.275, 0.275)*CHOOSE(CONTROL!$C$42, 31, 31))/1000000</f>
        <v>4.2625000000000002</v>
      </c>
      <c r="W121" s="57">
        <f>(1000*CHOOSE(CONTROL!$C$42, 0.1146, 0.1146)*CHOOSE(CONTROL!$C$42, 121.5, 121.5)*CHOOSE(CONTROL!$C$42, 31, 31))/1000000</f>
        <v>0.43164089999999994</v>
      </c>
      <c r="X121" s="57">
        <f>(31*0.1790888*100000/1000000)+(31*0.2374*100000/1000000)</f>
        <v>1.2911152800000001</v>
      </c>
      <c r="Y121" s="57"/>
      <c r="Z121" s="14"/>
      <c r="AA121" s="56"/>
      <c r="AB121" s="50">
        <f>(B121*122.58+C121*297.941+D121*89.177+E121*40.302+F121*40+G121*160+H121*0+I121*100+J121*300)/(122.58+297.941+89.177+40.302+0+40+160+100+300)</f>
        <v>6.8382033106956523</v>
      </c>
      <c r="AC121" s="45">
        <f>(M121*'RAP TEMPLATE-GAS AVAILABILITY'!O120+N121*'RAP TEMPLATE-GAS AVAILABILITY'!P120+O121*'RAP TEMPLATE-GAS AVAILABILITY'!Q120+P121*'RAP TEMPLATE-GAS AVAILABILITY'!R120)/('RAP TEMPLATE-GAS AVAILABILITY'!O120+'RAP TEMPLATE-GAS AVAILABILITY'!P120+'RAP TEMPLATE-GAS AVAILABILITY'!Q120+'RAP TEMPLATE-GAS AVAILABILITY'!R120)</f>
        <v>6.8130575539568339</v>
      </c>
    </row>
    <row r="122" spans="1:29" ht="15.75" x14ac:dyDescent="0.25">
      <c r="A122" s="13">
        <v>44593</v>
      </c>
      <c r="B122" s="14">
        <f>CHOOSE(CONTROL!$C$42, 6.9466, 6.9466) * CHOOSE(CONTROL!$C$21, $C$9, 100%, $E$9)</f>
        <v>6.9466000000000001</v>
      </c>
      <c r="C122" s="14">
        <f>CHOOSE(CONTROL!$C$42, 6.9515, 6.9515) * CHOOSE(CONTROL!$C$21, $C$9, 100%, $E$9)</f>
        <v>6.9515000000000002</v>
      </c>
      <c r="D122" s="14">
        <f>CHOOSE(CONTROL!$C$42, 7.0158, 7.0158) * CHOOSE(CONTROL!$C$21, $C$9, 100%, $E$9)</f>
        <v>7.0157999999999996</v>
      </c>
      <c r="E122" s="14">
        <f>CHOOSE(CONTROL!$C$42, 7.0496, 7.0496) * CHOOSE(CONTROL!$C$21, $C$9, 100%, $E$9)</f>
        <v>7.0495999999999999</v>
      </c>
      <c r="F122" s="14">
        <f>CHOOSE(CONTROL!$C$42, 6.9482, 6.9482)*CHOOSE(CONTROL!$C$21, $C$9, 100%, $E$9)</f>
        <v>6.9481999999999999</v>
      </c>
      <c r="G122" s="14">
        <f>CHOOSE(CONTROL!$C$42, 6.9641, 6.9641)*CHOOSE(CONTROL!$C$21, $C$9, 100%, $E$9)</f>
        <v>6.9641000000000002</v>
      </c>
      <c r="H122" s="14">
        <f>CHOOSE(CONTROL!$C$42, 7.0388, 7.0388) * CHOOSE(CONTROL!$C$21, $C$9, 100%, $E$9)</f>
        <v>7.0388000000000002</v>
      </c>
      <c r="I122" s="14">
        <f>CHOOSE(CONTROL!$C$42, 6.9666, 6.9666)* CHOOSE(CONTROL!$C$21, $C$9, 100%, $E$9)</f>
        <v>6.9665999999999997</v>
      </c>
      <c r="J122" s="14">
        <f>CHOOSE(CONTROL!$C$42, 6.9412, 6.9412)* CHOOSE(CONTROL!$C$21, $C$9, 100%, $E$9)</f>
        <v>6.9412000000000003</v>
      </c>
      <c r="K122" s="53">
        <f>CHOOSE(CONTROL!$C$42, 6.9627, 6.9627) * CHOOSE(CONTROL!$C$21, $C$9, 100%, $E$9)</f>
        <v>6.9626999999999999</v>
      </c>
      <c r="L122" s="14">
        <f>CHOOSE(CONTROL!$C$42, 7.6258, 7.6258) * CHOOSE(CONTROL!$C$21, $C$9, 100%, $E$9)</f>
        <v>7.6257999999999999</v>
      </c>
      <c r="M122" s="14">
        <f>CHOOSE(CONTROL!$C$42, 6.8849, 6.8849) * CHOOSE(CONTROL!$C$21, $C$9, 100%, $E$9)</f>
        <v>6.8849</v>
      </c>
      <c r="N122" s="14">
        <f>CHOOSE(CONTROL!$C$42, 6.9007, 6.9007) * CHOOSE(CONTROL!$C$21, $C$9, 100%, $E$9)</f>
        <v>6.9006999999999996</v>
      </c>
      <c r="O122" s="14">
        <f>CHOOSE(CONTROL!$C$42, 6.9816, 6.9816) * CHOOSE(CONTROL!$C$21, $C$9, 100%, $E$9)</f>
        <v>6.9816000000000003</v>
      </c>
      <c r="P122" s="14">
        <f>CHOOSE(CONTROL!$C$42, 6.9101, 6.9101) * CHOOSE(CONTROL!$C$21, $C$9, 100%, $E$9)</f>
        <v>6.9100999999999999</v>
      </c>
      <c r="Q122" s="14">
        <f>CHOOSE(CONTROL!$C$42, 7.5769, 7.5769) * CHOOSE(CONTROL!$C$21, $C$9, 100%, $E$9)</f>
        <v>7.5769000000000002</v>
      </c>
      <c r="R122" s="14">
        <f>CHOOSE(CONTROL!$C$42, 8.1828, 8.1828) * CHOOSE(CONTROL!$C$21, $C$9, 100%, $E$9)</f>
        <v>8.1828000000000003</v>
      </c>
      <c r="S122" s="14">
        <f>CHOOSE(CONTROL!$C$42, 6.7437, 6.7437) * CHOOSE(CONTROL!$C$21, $C$9, 100%, $E$9)</f>
        <v>6.7436999999999996</v>
      </c>
      <c r="T12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22" s="57">
        <f>(1000*CHOOSE(CONTROL!$C$42, 695, 695)*CHOOSE(CONTROL!$C$42, 0.5599, 0.5599)*CHOOSE(CONTROL!$C$42, 28, 28))/1000000</f>
        <v>10.895653999999999</v>
      </c>
      <c r="V122" s="57">
        <f>(1000*CHOOSE(CONTROL!$C$42, 500, 500)*CHOOSE(CONTROL!$C$42, 0.275, 0.275)*CHOOSE(CONTROL!$C$42, 28, 28))/1000000</f>
        <v>3.85</v>
      </c>
      <c r="W122" s="57">
        <f>(1000*CHOOSE(CONTROL!$C$42, 0.1146, 0.1146)*CHOOSE(CONTROL!$C$42, 121.5, 121.5)*CHOOSE(CONTROL!$C$42, 28, 28))/1000000</f>
        <v>0.38986920000000003</v>
      </c>
      <c r="X122" s="57">
        <f>(28*0.1790888*100000/1000000)+(28*0.2374*100000/1000000)</f>
        <v>1.16616864</v>
      </c>
      <c r="Y122" s="57"/>
      <c r="Z122" s="14"/>
      <c r="AA122" s="56"/>
      <c r="AB122" s="50">
        <f>(B122*122.58+C122*297.941+D122*89.177+E122*40.302+F122*40+G122*160+H122*0+I122*100+J122*300)/(122.58+297.941+89.177+40.302+0+40+160+100+300)</f>
        <v>6.9596661437391312</v>
      </c>
      <c r="AC122" s="45">
        <f>(M122*'RAP TEMPLATE-GAS AVAILABILITY'!O121+N122*'RAP TEMPLATE-GAS AVAILABILITY'!P121+O122*'RAP TEMPLATE-GAS AVAILABILITY'!Q121+P122*'RAP TEMPLATE-GAS AVAILABILITY'!R121)/('RAP TEMPLATE-GAS AVAILABILITY'!O121+'RAP TEMPLATE-GAS AVAILABILITY'!P121+'RAP TEMPLATE-GAS AVAILABILITY'!Q121+'RAP TEMPLATE-GAS AVAILABILITY'!R121)</f>
        <v>6.9332633093525189</v>
      </c>
    </row>
    <row r="123" spans="1:29" ht="15.75" x14ac:dyDescent="0.25">
      <c r="A123" s="13">
        <v>44621</v>
      </c>
      <c r="B123" s="14">
        <f>CHOOSE(CONTROL!$C$42, 6.7495, 6.7495) * CHOOSE(CONTROL!$C$21, $C$9, 100%, $E$9)</f>
        <v>6.7495000000000003</v>
      </c>
      <c r="C123" s="14">
        <f>CHOOSE(CONTROL!$C$42, 6.7544, 6.7544) * CHOOSE(CONTROL!$C$21, $C$9, 100%, $E$9)</f>
        <v>6.7544000000000004</v>
      </c>
      <c r="D123" s="14">
        <f>CHOOSE(CONTROL!$C$42, 6.8187, 6.8187) * CHOOSE(CONTROL!$C$21, $C$9, 100%, $E$9)</f>
        <v>6.8186999999999998</v>
      </c>
      <c r="E123" s="14">
        <f>CHOOSE(CONTROL!$C$42, 6.8525, 6.8525) * CHOOSE(CONTROL!$C$21, $C$9, 100%, $E$9)</f>
        <v>6.8525</v>
      </c>
      <c r="F123" s="14">
        <f>CHOOSE(CONTROL!$C$42, 6.7507, 6.7507)*CHOOSE(CONTROL!$C$21, $C$9, 100%, $E$9)</f>
        <v>6.7507000000000001</v>
      </c>
      <c r="G123" s="14">
        <f>CHOOSE(CONTROL!$C$42, 6.7666, 6.7666)*CHOOSE(CONTROL!$C$21, $C$9, 100%, $E$9)</f>
        <v>6.7666000000000004</v>
      </c>
      <c r="H123" s="14">
        <f>CHOOSE(CONTROL!$C$42, 6.8417, 6.8417) * CHOOSE(CONTROL!$C$21, $C$9, 100%, $E$9)</f>
        <v>6.8417000000000003</v>
      </c>
      <c r="I123" s="14">
        <f>CHOOSE(CONTROL!$C$42, 6.7694, 6.7694)* CHOOSE(CONTROL!$C$21, $C$9, 100%, $E$9)</f>
        <v>6.7694000000000001</v>
      </c>
      <c r="J123" s="14">
        <f>CHOOSE(CONTROL!$C$42, 6.7437, 6.7437)* CHOOSE(CONTROL!$C$21, $C$9, 100%, $E$9)</f>
        <v>6.7436999999999996</v>
      </c>
      <c r="K123" s="53">
        <f>CHOOSE(CONTROL!$C$42, 6.7655, 6.7655) * CHOOSE(CONTROL!$C$21, $C$9, 100%, $E$9)</f>
        <v>6.7655000000000003</v>
      </c>
      <c r="L123" s="14">
        <f>CHOOSE(CONTROL!$C$42, 7.4287, 7.4287) * CHOOSE(CONTROL!$C$21, $C$9, 100%, $E$9)</f>
        <v>7.4287000000000001</v>
      </c>
      <c r="M123" s="14">
        <f>CHOOSE(CONTROL!$C$42, 6.6895, 6.6895) * CHOOSE(CONTROL!$C$21, $C$9, 100%, $E$9)</f>
        <v>6.6894999999999998</v>
      </c>
      <c r="N123" s="14">
        <f>CHOOSE(CONTROL!$C$42, 6.7052, 6.7052) * CHOOSE(CONTROL!$C$21, $C$9, 100%, $E$9)</f>
        <v>6.7051999999999996</v>
      </c>
      <c r="O123" s="14">
        <f>CHOOSE(CONTROL!$C$42, 6.7864, 6.7864) * CHOOSE(CONTROL!$C$21, $C$9, 100%, $E$9)</f>
        <v>6.7864000000000004</v>
      </c>
      <c r="P123" s="14">
        <f>CHOOSE(CONTROL!$C$42, 6.715, 6.715) * CHOOSE(CONTROL!$C$21, $C$9, 100%, $E$9)</f>
        <v>6.7149999999999999</v>
      </c>
      <c r="Q123" s="14">
        <f>CHOOSE(CONTROL!$C$42, 7.3817, 7.3817) * CHOOSE(CONTROL!$C$21, $C$9, 100%, $E$9)</f>
        <v>7.3817000000000004</v>
      </c>
      <c r="R123" s="14">
        <f>CHOOSE(CONTROL!$C$42, 7.9872, 7.9872) * CHOOSE(CONTROL!$C$21, $C$9, 100%, $E$9)</f>
        <v>7.9871999999999996</v>
      </c>
      <c r="S123" s="14">
        <f>CHOOSE(CONTROL!$C$42, 6.5523, 6.5523) * CHOOSE(CONTROL!$C$21, $C$9, 100%, $E$9)</f>
        <v>6.5522999999999998</v>
      </c>
      <c r="T12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23" s="57">
        <f>(1000*CHOOSE(CONTROL!$C$42, 695, 695)*CHOOSE(CONTROL!$C$42, 0.5599, 0.5599)*CHOOSE(CONTROL!$C$42, 31, 31))/1000000</f>
        <v>12.063045499999998</v>
      </c>
      <c r="V123" s="57">
        <f>(1000*CHOOSE(CONTROL!$C$42, 500, 500)*CHOOSE(CONTROL!$C$42, 0.275, 0.275)*CHOOSE(CONTROL!$C$42, 31, 31))/1000000</f>
        <v>4.2625000000000002</v>
      </c>
      <c r="W123" s="57">
        <f>(1000*CHOOSE(CONTROL!$C$42, 0.1146, 0.1146)*CHOOSE(CONTROL!$C$42, 121.5, 121.5)*CHOOSE(CONTROL!$C$42, 31, 31))/1000000</f>
        <v>0.43164089999999994</v>
      </c>
      <c r="X123" s="57">
        <f>(31*0.1790888*100000/1000000)+(31*0.2374*100000/1000000)</f>
        <v>1.2911152800000001</v>
      </c>
      <c r="Y123" s="57"/>
      <c r="Z123" s="14"/>
      <c r="AA123" s="56"/>
      <c r="AB123" s="50">
        <f>(B123*122.58+C123*297.941+D123*89.177+E123*40.302+F123*40+G123*160+H123*0+I123*100+J123*300)/(122.58+297.941+89.177+40.302+0+40+160+100+300)</f>
        <v>6.7623835350434778</v>
      </c>
      <c r="AC123" s="45">
        <f>(M123*'RAP TEMPLATE-GAS AVAILABILITY'!O122+N123*'RAP TEMPLATE-GAS AVAILABILITY'!P122+O123*'RAP TEMPLATE-GAS AVAILABILITY'!Q122+P123*'RAP TEMPLATE-GAS AVAILABILITY'!R122)/('RAP TEMPLATE-GAS AVAILABILITY'!O122+'RAP TEMPLATE-GAS AVAILABILITY'!P122+'RAP TEMPLATE-GAS AVAILABILITY'!Q122+'RAP TEMPLATE-GAS AVAILABILITY'!R122)</f>
        <v>6.737991366906475</v>
      </c>
    </row>
    <row r="124" spans="1:29" ht="15.75" x14ac:dyDescent="0.25">
      <c r="A124" s="13">
        <v>44652</v>
      </c>
      <c r="B124" s="14">
        <f>CHOOSE(CONTROL!$C$42, 6.7304, 6.7304) * CHOOSE(CONTROL!$C$21, $C$9, 100%, $E$9)</f>
        <v>6.7304000000000004</v>
      </c>
      <c r="C124" s="14">
        <f>CHOOSE(CONTROL!$C$42, 6.7348, 6.7348) * CHOOSE(CONTROL!$C$21, $C$9, 100%, $E$9)</f>
        <v>6.7347999999999999</v>
      </c>
      <c r="D124" s="14">
        <f>CHOOSE(CONTROL!$C$42, 6.9355, 6.9355) * CHOOSE(CONTROL!$C$21, $C$9, 100%, $E$9)</f>
        <v>6.9355000000000002</v>
      </c>
      <c r="E124" s="14">
        <f>CHOOSE(CONTROL!$C$42, 6.9673, 6.9673) * CHOOSE(CONTROL!$C$21, $C$9, 100%, $E$9)</f>
        <v>6.9672999999999998</v>
      </c>
      <c r="F124" s="14">
        <f>CHOOSE(CONTROL!$C$42, 6.715, 6.715)*CHOOSE(CONTROL!$C$21, $C$9, 100%, $E$9)</f>
        <v>6.7149999999999999</v>
      </c>
      <c r="G124" s="14">
        <f>CHOOSE(CONTROL!$C$42, 6.7306, 6.7306)*CHOOSE(CONTROL!$C$21, $C$9, 100%, $E$9)</f>
        <v>6.7305999999999999</v>
      </c>
      <c r="H124" s="14">
        <f>CHOOSE(CONTROL!$C$42, 6.9571, 6.9571) * CHOOSE(CONTROL!$C$21, $C$9, 100%, $E$9)</f>
        <v>6.9570999999999996</v>
      </c>
      <c r="I124" s="14">
        <f>CHOOSE(CONTROL!$C$42, 6.7432, 6.7432)* CHOOSE(CONTROL!$C$21, $C$9, 100%, $E$9)</f>
        <v>6.7431999999999999</v>
      </c>
      <c r="J124" s="14">
        <f>CHOOSE(CONTROL!$C$42, 6.708, 6.708)* CHOOSE(CONTROL!$C$21, $C$9, 100%, $E$9)</f>
        <v>6.7080000000000002</v>
      </c>
      <c r="K124" s="53">
        <f>CHOOSE(CONTROL!$C$42, 6.7393, 6.7393) * CHOOSE(CONTROL!$C$21, $C$9, 100%, $E$9)</f>
        <v>6.7393000000000001</v>
      </c>
      <c r="L124" s="14">
        <f>CHOOSE(CONTROL!$C$42, 7.5441, 7.5441) * CHOOSE(CONTROL!$C$21, $C$9, 100%, $E$9)</f>
        <v>7.5441000000000003</v>
      </c>
      <c r="M124" s="14">
        <f>CHOOSE(CONTROL!$C$42, 6.6541, 6.6541) * CHOOSE(CONTROL!$C$21, $C$9, 100%, $E$9)</f>
        <v>6.6540999999999997</v>
      </c>
      <c r="N124" s="14">
        <f>CHOOSE(CONTROL!$C$42, 6.6696, 6.6696) * CHOOSE(CONTROL!$C$21, $C$9, 100%, $E$9)</f>
        <v>6.6696</v>
      </c>
      <c r="O124" s="14">
        <f>CHOOSE(CONTROL!$C$42, 6.9007, 6.9007) * CHOOSE(CONTROL!$C$21, $C$9, 100%, $E$9)</f>
        <v>6.9006999999999996</v>
      </c>
      <c r="P124" s="14">
        <f>CHOOSE(CONTROL!$C$42, 6.689, 6.689) * CHOOSE(CONTROL!$C$21, $C$9, 100%, $E$9)</f>
        <v>6.6890000000000001</v>
      </c>
      <c r="Q124" s="14">
        <f>CHOOSE(CONTROL!$C$42, 7.496, 7.496) * CHOOSE(CONTROL!$C$21, $C$9, 100%, $E$9)</f>
        <v>7.4960000000000004</v>
      </c>
      <c r="R124" s="14">
        <f>CHOOSE(CONTROL!$C$42, 8.1018, 8.1018) * CHOOSE(CONTROL!$C$21, $C$9, 100%, $E$9)</f>
        <v>8.1018000000000008</v>
      </c>
      <c r="S124" s="14">
        <f>CHOOSE(CONTROL!$C$42, 6.533, 6.533) * CHOOSE(CONTROL!$C$21, $C$9, 100%, $E$9)</f>
        <v>6.5330000000000004</v>
      </c>
      <c r="T12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24" s="57">
        <f>(1000*CHOOSE(CONTROL!$C$42, 695, 695)*CHOOSE(CONTROL!$C$42, 0.5599, 0.5599)*CHOOSE(CONTROL!$C$42, 30, 30))/1000000</f>
        <v>11.673914999999997</v>
      </c>
      <c r="V124" s="57">
        <f>(1000*CHOOSE(CONTROL!$C$42, 500, 500)*CHOOSE(CONTROL!$C$42, 0.275, 0.275)*CHOOSE(CONTROL!$C$42, 30, 30))/1000000</f>
        <v>4.125</v>
      </c>
      <c r="W124" s="57">
        <f>(1000*CHOOSE(CONTROL!$C$42, 0.1146, 0.1146)*CHOOSE(CONTROL!$C$42, 121.5, 121.5)*CHOOSE(CONTROL!$C$42, 30, 30))/1000000</f>
        <v>0.417717</v>
      </c>
      <c r="X124" s="57">
        <f>(30*0.1790888*245000/1000000)+(30*0.2374*100000/1000000)</f>
        <v>2.0285026799999999</v>
      </c>
      <c r="Y124" s="57"/>
      <c r="Z124" s="14"/>
      <c r="AA124" s="56"/>
      <c r="AB124" s="50">
        <f>(B124*141.293+C124*267.993+D124*115.016+E124*89.698+F124*40+G124*185+H124*0+I124*100+J124*300)/(141.293+267.993+115.016+89.698+0+40+185+100+300)</f>
        <v>6.762683621468927</v>
      </c>
      <c r="AC124" s="45">
        <f>(M124*'RAP TEMPLATE-GAS AVAILABILITY'!O123+N124*'RAP TEMPLATE-GAS AVAILABILITY'!P123+O124*'RAP TEMPLATE-GAS AVAILABILITY'!Q123+P124*'RAP TEMPLATE-GAS AVAILABILITY'!R123)/('RAP TEMPLATE-GAS AVAILABILITY'!O123+'RAP TEMPLATE-GAS AVAILABILITY'!P123+'RAP TEMPLATE-GAS AVAILABILITY'!Q123+'RAP TEMPLATE-GAS AVAILABILITY'!R123)</f>
        <v>6.731879856115107</v>
      </c>
    </row>
    <row r="125" spans="1:29" ht="15.75" x14ac:dyDescent="0.25">
      <c r="A125" s="13">
        <v>44682</v>
      </c>
      <c r="B125" s="14">
        <f>CHOOSE(CONTROL!$C$42, 6.7912, 6.7912) * CHOOSE(CONTROL!$C$21, $C$9, 100%, $E$9)</f>
        <v>6.7911999999999999</v>
      </c>
      <c r="C125" s="14">
        <f>CHOOSE(CONTROL!$C$42, 6.7991, 6.7991) * CHOOSE(CONTROL!$C$21, $C$9, 100%, $E$9)</f>
        <v>6.7991000000000001</v>
      </c>
      <c r="D125" s="14">
        <f>CHOOSE(CONTROL!$C$42, 6.9967, 6.9967) * CHOOSE(CONTROL!$C$21, $C$9, 100%, $E$9)</f>
        <v>6.9966999999999997</v>
      </c>
      <c r="E125" s="14">
        <f>CHOOSE(CONTROL!$C$42, 7.0278, 7.0278) * CHOOSE(CONTROL!$C$21, $C$9, 100%, $E$9)</f>
        <v>7.0278</v>
      </c>
      <c r="F125" s="14">
        <f>CHOOSE(CONTROL!$C$42, 6.7746, 6.7746)*CHOOSE(CONTROL!$C$21, $C$9, 100%, $E$9)</f>
        <v>6.7746000000000004</v>
      </c>
      <c r="G125" s="14">
        <f>CHOOSE(CONTROL!$C$42, 6.7907, 6.7907)*CHOOSE(CONTROL!$C$21, $C$9, 100%, $E$9)</f>
        <v>6.7907000000000002</v>
      </c>
      <c r="H125" s="14">
        <f>CHOOSE(CONTROL!$C$42, 7.0165, 7.0165) * CHOOSE(CONTROL!$C$21, $C$9, 100%, $E$9)</f>
        <v>7.0164999999999997</v>
      </c>
      <c r="I125" s="14">
        <f>CHOOSE(CONTROL!$C$42, 6.8026, 6.8026)* CHOOSE(CONTROL!$C$21, $C$9, 100%, $E$9)</f>
        <v>6.8026</v>
      </c>
      <c r="J125" s="14">
        <f>CHOOSE(CONTROL!$C$42, 6.7676, 6.7676)* CHOOSE(CONTROL!$C$21, $C$9, 100%, $E$9)</f>
        <v>6.7675999999999998</v>
      </c>
      <c r="K125" s="53">
        <f>CHOOSE(CONTROL!$C$42, 6.7987, 6.7987) * CHOOSE(CONTROL!$C$21, $C$9, 100%, $E$9)</f>
        <v>6.7987000000000002</v>
      </c>
      <c r="L125" s="14">
        <f>CHOOSE(CONTROL!$C$42, 7.6035, 7.6035) * CHOOSE(CONTROL!$C$21, $C$9, 100%, $E$9)</f>
        <v>7.6035000000000004</v>
      </c>
      <c r="M125" s="14">
        <f>CHOOSE(CONTROL!$C$42, 6.7131, 6.7131) * CHOOSE(CONTROL!$C$21, $C$9, 100%, $E$9)</f>
        <v>6.7130999999999998</v>
      </c>
      <c r="N125" s="14">
        <f>CHOOSE(CONTROL!$C$42, 6.7291, 6.7291) * CHOOSE(CONTROL!$C$21, $C$9, 100%, $E$9)</f>
        <v>6.7290999999999999</v>
      </c>
      <c r="O125" s="14">
        <f>CHOOSE(CONTROL!$C$42, 6.9595, 6.9595) * CHOOSE(CONTROL!$C$21, $C$9, 100%, $E$9)</f>
        <v>6.9595000000000002</v>
      </c>
      <c r="P125" s="14">
        <f>CHOOSE(CONTROL!$C$42, 6.7478, 6.7478) * CHOOSE(CONTROL!$C$21, $C$9, 100%, $E$9)</f>
        <v>6.7477999999999998</v>
      </c>
      <c r="Q125" s="14">
        <f>CHOOSE(CONTROL!$C$42, 7.5548, 7.5548) * CHOOSE(CONTROL!$C$21, $C$9, 100%, $E$9)</f>
        <v>7.5548000000000002</v>
      </c>
      <c r="R125" s="14">
        <f>CHOOSE(CONTROL!$C$42, 8.1607, 8.1607) * CHOOSE(CONTROL!$C$21, $C$9, 100%, $E$9)</f>
        <v>8.1607000000000003</v>
      </c>
      <c r="S125" s="14">
        <f>CHOOSE(CONTROL!$C$42, 6.5907, 6.5907) * CHOOSE(CONTROL!$C$21, $C$9, 100%, $E$9)</f>
        <v>6.5907</v>
      </c>
      <c r="T12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25" s="57">
        <f>(1000*CHOOSE(CONTROL!$C$42, 695, 695)*CHOOSE(CONTROL!$C$42, 0.5599, 0.5599)*CHOOSE(CONTROL!$C$42, 31, 31))/1000000</f>
        <v>12.063045499999998</v>
      </c>
      <c r="V125" s="57">
        <f>(1000*CHOOSE(CONTROL!$C$42, 500, 500)*CHOOSE(CONTROL!$C$42, 0.275, 0.275)*CHOOSE(CONTROL!$C$42, 31, 31))/1000000</f>
        <v>4.2625000000000002</v>
      </c>
      <c r="W125" s="57">
        <f>(1000*CHOOSE(CONTROL!$C$42, 0.1146, 0.1146)*CHOOSE(CONTROL!$C$42, 121.5, 121.5)*CHOOSE(CONTROL!$C$42, 31, 31))/1000000</f>
        <v>0.43164089999999994</v>
      </c>
      <c r="X125" s="57">
        <f>(31*0.1790888*245000/1000000)+(31*0.2374*100000/1000000)</f>
        <v>2.0961194359999999</v>
      </c>
      <c r="Y125" s="57"/>
      <c r="Z125" s="14"/>
      <c r="AA125" s="56"/>
      <c r="AB125" s="50">
        <f>(B125*194.205+C125*267.466+D125*133.845+E125*53.484+F125*40+G125*185+H125*0+I125*100+J125*300)/(194.205+267.466+133.845+53.484+0+40+185+100+300)</f>
        <v>6.8191246022762959</v>
      </c>
      <c r="AC125" s="45">
        <f>(M125*'RAP TEMPLATE-GAS AVAILABILITY'!O124+N125*'RAP TEMPLATE-GAS AVAILABILITY'!P124+O125*'RAP TEMPLATE-GAS AVAILABILITY'!Q124+P125*'RAP TEMPLATE-GAS AVAILABILITY'!R124)/('RAP TEMPLATE-GAS AVAILABILITY'!O124+'RAP TEMPLATE-GAS AVAILABILITY'!P124+'RAP TEMPLATE-GAS AVAILABILITY'!Q124+'RAP TEMPLATE-GAS AVAILABILITY'!R124)</f>
        <v>6.790910071942446</v>
      </c>
    </row>
    <row r="126" spans="1:29" ht="15.75" x14ac:dyDescent="0.25">
      <c r="A126" s="13">
        <v>44713</v>
      </c>
      <c r="B126" s="14">
        <f>CHOOSE(CONTROL!$C$42, 6.9837, 6.9837) * CHOOSE(CONTROL!$C$21, $C$9, 100%, $E$9)</f>
        <v>6.9836999999999998</v>
      </c>
      <c r="C126" s="14">
        <f>CHOOSE(CONTROL!$C$42, 6.9916, 6.9916) * CHOOSE(CONTROL!$C$21, $C$9, 100%, $E$9)</f>
        <v>6.9916</v>
      </c>
      <c r="D126" s="14">
        <f>CHOOSE(CONTROL!$C$42, 7.1892, 7.1892) * CHOOSE(CONTROL!$C$21, $C$9, 100%, $E$9)</f>
        <v>7.1891999999999996</v>
      </c>
      <c r="E126" s="14">
        <f>CHOOSE(CONTROL!$C$42, 7.2203, 7.2203) * CHOOSE(CONTROL!$C$21, $C$9, 100%, $E$9)</f>
        <v>7.2202999999999999</v>
      </c>
      <c r="F126" s="14">
        <f>CHOOSE(CONTROL!$C$42, 6.9675, 6.9675)*CHOOSE(CONTROL!$C$21, $C$9, 100%, $E$9)</f>
        <v>6.9675000000000002</v>
      </c>
      <c r="G126" s="14">
        <f>CHOOSE(CONTROL!$C$42, 6.9837, 6.9837)*CHOOSE(CONTROL!$C$21, $C$9, 100%, $E$9)</f>
        <v>6.9836999999999998</v>
      </c>
      <c r="H126" s="14">
        <f>CHOOSE(CONTROL!$C$42, 7.2089, 7.2089) * CHOOSE(CONTROL!$C$21, $C$9, 100%, $E$9)</f>
        <v>7.2088999999999999</v>
      </c>
      <c r="I126" s="14">
        <f>CHOOSE(CONTROL!$C$42, 6.995, 6.995)* CHOOSE(CONTROL!$C$21, $C$9, 100%, $E$9)</f>
        <v>6.9950000000000001</v>
      </c>
      <c r="J126" s="14">
        <f>CHOOSE(CONTROL!$C$42, 6.9605, 6.9605)* CHOOSE(CONTROL!$C$21, $C$9, 100%, $E$9)</f>
        <v>6.9604999999999997</v>
      </c>
      <c r="K126" s="53">
        <f>CHOOSE(CONTROL!$C$42, 6.9912, 6.9912) * CHOOSE(CONTROL!$C$21, $C$9, 100%, $E$9)</f>
        <v>6.9912000000000001</v>
      </c>
      <c r="L126" s="14">
        <f>CHOOSE(CONTROL!$C$42, 7.7959, 7.7959) * CHOOSE(CONTROL!$C$21, $C$9, 100%, $E$9)</f>
        <v>7.7958999999999996</v>
      </c>
      <c r="M126" s="14">
        <f>CHOOSE(CONTROL!$C$42, 6.9041, 6.9041) * CHOOSE(CONTROL!$C$21, $C$9, 100%, $E$9)</f>
        <v>6.9040999999999997</v>
      </c>
      <c r="N126" s="14">
        <f>CHOOSE(CONTROL!$C$42, 6.9201, 6.9201) * CHOOSE(CONTROL!$C$21, $C$9, 100%, $E$9)</f>
        <v>6.9200999999999997</v>
      </c>
      <c r="O126" s="14">
        <f>CHOOSE(CONTROL!$C$42, 7.15, 7.15) * CHOOSE(CONTROL!$C$21, $C$9, 100%, $E$9)</f>
        <v>7.15</v>
      </c>
      <c r="P126" s="14">
        <f>CHOOSE(CONTROL!$C$42, 6.9383, 6.9383) * CHOOSE(CONTROL!$C$21, $C$9, 100%, $E$9)</f>
        <v>6.9382999999999999</v>
      </c>
      <c r="Q126" s="14">
        <f>CHOOSE(CONTROL!$C$42, 7.7453, 7.7453) * CHOOSE(CONTROL!$C$21, $C$9, 100%, $E$9)</f>
        <v>7.7453000000000003</v>
      </c>
      <c r="R126" s="14">
        <f>CHOOSE(CONTROL!$C$42, 8.3517, 8.3517) * CHOOSE(CONTROL!$C$21, $C$9, 100%, $E$9)</f>
        <v>8.3516999999999992</v>
      </c>
      <c r="S126" s="14">
        <f>CHOOSE(CONTROL!$C$42, 6.7776, 6.7776) * CHOOSE(CONTROL!$C$21, $C$9, 100%, $E$9)</f>
        <v>6.7775999999999996</v>
      </c>
      <c r="T12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26" s="57">
        <f>(1000*CHOOSE(CONTROL!$C$42, 695, 695)*CHOOSE(CONTROL!$C$42, 0.5599, 0.5599)*CHOOSE(CONTROL!$C$42, 30, 30))/1000000</f>
        <v>11.673914999999997</v>
      </c>
      <c r="V126" s="57">
        <f>(1000*CHOOSE(CONTROL!$C$42, 500, 500)*CHOOSE(CONTROL!$C$42, 0.275, 0.275)*CHOOSE(CONTROL!$C$42, 30, 30))/1000000</f>
        <v>4.125</v>
      </c>
      <c r="W126" s="57">
        <f>(1000*CHOOSE(CONTROL!$C$42, 0.1146, 0.1146)*CHOOSE(CONTROL!$C$42, 121.5, 121.5)*CHOOSE(CONTROL!$C$42, 30, 30))/1000000</f>
        <v>0.417717</v>
      </c>
      <c r="X126" s="57">
        <f>(30*0.1790888*245000/1000000)+(30*0.2374*100000/1000000)</f>
        <v>2.0285026799999999</v>
      </c>
      <c r="Y126" s="57"/>
      <c r="Z126" s="14"/>
      <c r="AA126" s="56"/>
      <c r="AB126" s="50">
        <f>(B126*194.205+C126*267.466+D126*133.845+E126*53.484+F126*40+G126*185+H126*0+I126*100+J126*300)/(194.205+267.466+133.845+53.484+0+40+185+100+300)</f>
        <v>7.0117961093406587</v>
      </c>
      <c r="AC126" s="45">
        <f>(M126*'RAP TEMPLATE-GAS AVAILABILITY'!O125+N126*'RAP TEMPLATE-GAS AVAILABILITY'!P125+O126*'RAP TEMPLATE-GAS AVAILABILITY'!Q125+P126*'RAP TEMPLATE-GAS AVAILABILITY'!R125)/('RAP TEMPLATE-GAS AVAILABILITY'!O125+'RAP TEMPLATE-GAS AVAILABILITY'!P125+'RAP TEMPLATE-GAS AVAILABILITY'!Q125+'RAP TEMPLATE-GAS AVAILABILITY'!R125)</f>
        <v>6.9816978417266187</v>
      </c>
    </row>
    <row r="127" spans="1:29" ht="15.75" x14ac:dyDescent="0.25">
      <c r="A127" s="13">
        <v>44743</v>
      </c>
      <c r="B127" s="14">
        <f>CHOOSE(CONTROL!$C$42, 6.8498, 6.8498) * CHOOSE(CONTROL!$C$21, $C$9, 100%, $E$9)</f>
        <v>6.8498000000000001</v>
      </c>
      <c r="C127" s="14">
        <f>CHOOSE(CONTROL!$C$42, 6.8577, 6.8577) * CHOOSE(CONTROL!$C$21, $C$9, 100%, $E$9)</f>
        <v>6.8577000000000004</v>
      </c>
      <c r="D127" s="14">
        <f>CHOOSE(CONTROL!$C$42, 7.0553, 7.0553) * CHOOSE(CONTROL!$C$21, $C$9, 100%, $E$9)</f>
        <v>7.0552999999999999</v>
      </c>
      <c r="E127" s="14">
        <f>CHOOSE(CONTROL!$C$42, 7.0864, 7.0864) * CHOOSE(CONTROL!$C$21, $C$9, 100%, $E$9)</f>
        <v>7.0864000000000003</v>
      </c>
      <c r="F127" s="14">
        <f>CHOOSE(CONTROL!$C$42, 6.8341, 6.8341)*CHOOSE(CONTROL!$C$21, $C$9, 100%, $E$9)</f>
        <v>6.8341000000000003</v>
      </c>
      <c r="G127" s="14">
        <f>CHOOSE(CONTROL!$C$42, 6.8504, 6.8504)*CHOOSE(CONTROL!$C$21, $C$9, 100%, $E$9)</f>
        <v>6.8503999999999996</v>
      </c>
      <c r="H127" s="14">
        <f>CHOOSE(CONTROL!$C$42, 7.0751, 7.0751) * CHOOSE(CONTROL!$C$21, $C$9, 100%, $E$9)</f>
        <v>7.0750999999999999</v>
      </c>
      <c r="I127" s="14">
        <f>CHOOSE(CONTROL!$C$42, 6.8612, 6.8612)* CHOOSE(CONTROL!$C$21, $C$9, 100%, $E$9)</f>
        <v>6.8612000000000002</v>
      </c>
      <c r="J127" s="14">
        <f>CHOOSE(CONTROL!$C$42, 6.8271, 6.8271)* CHOOSE(CONTROL!$C$21, $C$9, 100%, $E$9)</f>
        <v>6.8270999999999997</v>
      </c>
      <c r="K127" s="53">
        <f>CHOOSE(CONTROL!$C$42, 6.8573, 6.8573) * CHOOSE(CONTROL!$C$21, $C$9, 100%, $E$9)</f>
        <v>6.8573000000000004</v>
      </c>
      <c r="L127" s="14">
        <f>CHOOSE(CONTROL!$C$42, 7.6621, 7.6621) * CHOOSE(CONTROL!$C$21, $C$9, 100%, $E$9)</f>
        <v>7.6620999999999997</v>
      </c>
      <c r="M127" s="14">
        <f>CHOOSE(CONTROL!$C$42, 6.772, 6.772) * CHOOSE(CONTROL!$C$21, $C$9, 100%, $E$9)</f>
        <v>6.7720000000000002</v>
      </c>
      <c r="N127" s="14">
        <f>CHOOSE(CONTROL!$C$42, 6.7881, 6.7881) * CHOOSE(CONTROL!$C$21, $C$9, 100%, $E$9)</f>
        <v>6.7881</v>
      </c>
      <c r="O127" s="14">
        <f>CHOOSE(CONTROL!$C$42, 7.0175, 7.0175) * CHOOSE(CONTROL!$C$21, $C$9, 100%, $E$9)</f>
        <v>7.0175000000000001</v>
      </c>
      <c r="P127" s="14">
        <f>CHOOSE(CONTROL!$C$42, 6.8058, 6.8058) * CHOOSE(CONTROL!$C$21, $C$9, 100%, $E$9)</f>
        <v>6.8057999999999996</v>
      </c>
      <c r="Q127" s="14">
        <f>CHOOSE(CONTROL!$C$42, 7.6128, 7.6128) * CHOOSE(CONTROL!$C$21, $C$9, 100%, $E$9)</f>
        <v>7.6128</v>
      </c>
      <c r="R127" s="14">
        <f>CHOOSE(CONTROL!$C$42, 8.2188, 8.2188) * CHOOSE(CONTROL!$C$21, $C$9, 100%, $E$9)</f>
        <v>8.2187999999999999</v>
      </c>
      <c r="S127" s="14">
        <f>CHOOSE(CONTROL!$C$42, 6.6476, 6.6476) * CHOOSE(CONTROL!$C$21, $C$9, 100%, $E$9)</f>
        <v>6.6475999999999997</v>
      </c>
      <c r="T12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27" s="57">
        <f>(1000*CHOOSE(CONTROL!$C$42, 695, 695)*CHOOSE(CONTROL!$C$42, 0.5599, 0.5599)*CHOOSE(CONTROL!$C$42, 31, 31))/1000000</f>
        <v>12.063045499999998</v>
      </c>
      <c r="V127" s="57">
        <f>(1000*CHOOSE(CONTROL!$C$42, 500, 500)*CHOOSE(CONTROL!$C$42, 0.275, 0.275)*CHOOSE(CONTROL!$C$42, 31, 31))/1000000</f>
        <v>4.2625000000000002</v>
      </c>
      <c r="W127" s="57">
        <f>(1000*CHOOSE(CONTROL!$C$42, 0.1146, 0.1146)*CHOOSE(CONTROL!$C$42, 121.5, 121.5)*CHOOSE(CONTROL!$C$42, 31, 31))/1000000</f>
        <v>0.43164089999999994</v>
      </c>
      <c r="X127" s="57">
        <f>(31*0.1790888*245000/1000000)+(31*0.2374*100000/1000000)</f>
        <v>2.0961194359999999</v>
      </c>
      <c r="Y127" s="57"/>
      <c r="Z127" s="14"/>
      <c r="AA127" s="56"/>
      <c r="AB127" s="50">
        <f>(B127*194.205+C127*267.466+D127*133.845+E127*53.484+F127*40+G127*185+H127*0+I127*100+J127*300)/(194.205+267.466+133.845+53.484+0+40+185+100+300)</f>
        <v>6.8781245237833604</v>
      </c>
      <c r="AC127" s="45">
        <f>(M127*'RAP TEMPLATE-GAS AVAILABILITY'!O126+N127*'RAP TEMPLATE-GAS AVAILABILITY'!P126+O127*'RAP TEMPLATE-GAS AVAILABILITY'!Q126+P127*'RAP TEMPLATE-GAS AVAILABILITY'!R126)/('RAP TEMPLATE-GAS AVAILABILITY'!O126+'RAP TEMPLATE-GAS AVAILABILITY'!P126+'RAP TEMPLATE-GAS AVAILABILITY'!Q126+'RAP TEMPLATE-GAS AVAILABILITY'!R126)</f>
        <v>6.8494510791366912</v>
      </c>
    </row>
    <row r="128" spans="1:29" ht="15.75" x14ac:dyDescent="0.25">
      <c r="A128" s="13">
        <v>44774</v>
      </c>
      <c r="B128" s="14">
        <f>CHOOSE(CONTROL!$C$42, 6.5117, 6.5117) * CHOOSE(CONTROL!$C$21, $C$9, 100%, $E$9)</f>
        <v>6.5117000000000003</v>
      </c>
      <c r="C128" s="14">
        <f>CHOOSE(CONTROL!$C$42, 6.5196, 6.5196) * CHOOSE(CONTROL!$C$21, $C$9, 100%, $E$9)</f>
        <v>6.5195999999999996</v>
      </c>
      <c r="D128" s="14">
        <f>CHOOSE(CONTROL!$C$42, 6.7172, 6.7172) * CHOOSE(CONTROL!$C$21, $C$9, 100%, $E$9)</f>
        <v>6.7172000000000001</v>
      </c>
      <c r="E128" s="14">
        <f>CHOOSE(CONTROL!$C$42, 6.7484, 6.7484) * CHOOSE(CONTROL!$C$21, $C$9, 100%, $E$9)</f>
        <v>6.7484000000000002</v>
      </c>
      <c r="F128" s="14">
        <f>CHOOSE(CONTROL!$C$42, 6.4962, 6.4962)*CHOOSE(CONTROL!$C$21, $C$9, 100%, $E$9)</f>
        <v>6.4962</v>
      </c>
      <c r="G128" s="14">
        <f>CHOOSE(CONTROL!$C$42, 6.5125, 6.5125)*CHOOSE(CONTROL!$C$21, $C$9, 100%, $E$9)</f>
        <v>6.5125000000000002</v>
      </c>
      <c r="H128" s="14">
        <f>CHOOSE(CONTROL!$C$42, 6.737, 6.737) * CHOOSE(CONTROL!$C$21, $C$9, 100%, $E$9)</f>
        <v>6.7370000000000001</v>
      </c>
      <c r="I128" s="14">
        <f>CHOOSE(CONTROL!$C$42, 6.5231, 6.5231)* CHOOSE(CONTROL!$C$21, $C$9, 100%, $E$9)</f>
        <v>6.5231000000000003</v>
      </c>
      <c r="J128" s="14">
        <f>CHOOSE(CONTROL!$C$42, 6.4892, 6.4892)* CHOOSE(CONTROL!$C$21, $C$9, 100%, $E$9)</f>
        <v>6.4892000000000003</v>
      </c>
      <c r="K128" s="53">
        <f>CHOOSE(CONTROL!$C$42, 6.5192, 6.5192) * CHOOSE(CONTROL!$C$21, $C$9, 100%, $E$9)</f>
        <v>6.5191999999999997</v>
      </c>
      <c r="L128" s="14">
        <f>CHOOSE(CONTROL!$C$42, 7.324, 7.324) * CHOOSE(CONTROL!$C$21, $C$9, 100%, $E$9)</f>
        <v>7.3239999999999998</v>
      </c>
      <c r="M128" s="14">
        <f>CHOOSE(CONTROL!$C$42, 6.4375, 6.4375) * CHOOSE(CONTROL!$C$21, $C$9, 100%, $E$9)</f>
        <v>6.4375</v>
      </c>
      <c r="N128" s="14">
        <f>CHOOSE(CONTROL!$C$42, 6.4537, 6.4537) * CHOOSE(CONTROL!$C$21, $C$9, 100%, $E$9)</f>
        <v>6.4537000000000004</v>
      </c>
      <c r="O128" s="14">
        <f>CHOOSE(CONTROL!$C$42, 6.6828, 6.6828) * CHOOSE(CONTROL!$C$21, $C$9, 100%, $E$9)</f>
        <v>6.6828000000000003</v>
      </c>
      <c r="P128" s="14">
        <f>CHOOSE(CONTROL!$C$42, 6.4711, 6.4711) * CHOOSE(CONTROL!$C$21, $C$9, 100%, $E$9)</f>
        <v>6.4710999999999999</v>
      </c>
      <c r="Q128" s="14">
        <f>CHOOSE(CONTROL!$C$42, 7.2781, 7.2781) * CHOOSE(CONTROL!$C$21, $C$9, 100%, $E$9)</f>
        <v>7.2781000000000002</v>
      </c>
      <c r="R128" s="14">
        <f>CHOOSE(CONTROL!$C$42, 7.8833, 7.8833) * CHOOSE(CONTROL!$C$21, $C$9, 100%, $E$9)</f>
        <v>7.8833000000000002</v>
      </c>
      <c r="S128" s="14">
        <f>CHOOSE(CONTROL!$C$42, 6.3193, 6.3193) * CHOOSE(CONTROL!$C$21, $C$9, 100%, $E$9)</f>
        <v>6.3193000000000001</v>
      </c>
      <c r="T12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28" s="57">
        <f>(1000*CHOOSE(CONTROL!$C$42, 695, 695)*CHOOSE(CONTROL!$C$42, 0.5599, 0.5599)*CHOOSE(CONTROL!$C$42, 31, 31))/1000000</f>
        <v>12.063045499999998</v>
      </c>
      <c r="V128" s="57">
        <f>(1000*CHOOSE(CONTROL!$C$42, 500, 500)*CHOOSE(CONTROL!$C$42, 0.275, 0.275)*CHOOSE(CONTROL!$C$42, 31, 31))/1000000</f>
        <v>4.2625000000000002</v>
      </c>
      <c r="W128" s="57">
        <f>(1000*CHOOSE(CONTROL!$C$42, 0.1146, 0.1146)*CHOOSE(CONTROL!$C$42, 121.5, 121.5)*CHOOSE(CONTROL!$C$42, 31, 31))/1000000</f>
        <v>0.43164089999999994</v>
      </c>
      <c r="X128" s="57">
        <f>(31*0.1790888*245000/1000000)+(31*0.2374*100000/1000000)</f>
        <v>2.0961194359999999</v>
      </c>
      <c r="Y128" s="57"/>
      <c r="Z128" s="14"/>
      <c r="AA128" s="56"/>
      <c r="AB128" s="50">
        <f>(B128*194.205+C128*267.466+D128*133.845+E128*53.484+F128*40+G128*185+H128*0+I128*100+J128*300)/(194.205+267.466+133.845+53.484+0+40+185+100+300)</f>
        <v>6.5401111394819473</v>
      </c>
      <c r="AC128" s="45">
        <f>(M128*'RAP TEMPLATE-GAS AVAILABILITY'!O127+N128*'RAP TEMPLATE-GAS AVAILABILITY'!P127+O128*'RAP TEMPLATE-GAS AVAILABILITY'!Q127+P128*'RAP TEMPLATE-GAS AVAILABILITY'!R127)/('RAP TEMPLATE-GAS AVAILABILITY'!O127+'RAP TEMPLATE-GAS AVAILABILITY'!P127+'RAP TEMPLATE-GAS AVAILABILITY'!Q127+'RAP TEMPLATE-GAS AVAILABILITY'!R127)</f>
        <v>6.5148892086330932</v>
      </c>
    </row>
    <row r="129" spans="1:29" ht="15.75" x14ac:dyDescent="0.25">
      <c r="A129" s="13">
        <v>44805</v>
      </c>
      <c r="B129" s="14">
        <f>CHOOSE(CONTROL!$C$42, 6.0983, 6.0983) * CHOOSE(CONTROL!$C$21, $C$9, 100%, $E$9)</f>
        <v>6.0983000000000001</v>
      </c>
      <c r="C129" s="14">
        <f>CHOOSE(CONTROL!$C$42, 6.1062, 6.1062) * CHOOSE(CONTROL!$C$21, $C$9, 100%, $E$9)</f>
        <v>6.1062000000000003</v>
      </c>
      <c r="D129" s="14">
        <f>CHOOSE(CONTROL!$C$42, 6.3038, 6.3038) * CHOOSE(CONTROL!$C$21, $C$9, 100%, $E$9)</f>
        <v>6.3037999999999998</v>
      </c>
      <c r="E129" s="14">
        <f>CHOOSE(CONTROL!$C$42, 6.3349, 6.3349) * CHOOSE(CONTROL!$C$21, $C$9, 100%, $E$9)</f>
        <v>6.3349000000000002</v>
      </c>
      <c r="F129" s="14">
        <f>CHOOSE(CONTROL!$C$42, 6.0827, 6.0827)*CHOOSE(CONTROL!$C$21, $C$9, 100%, $E$9)</f>
        <v>6.0827</v>
      </c>
      <c r="G129" s="14">
        <f>CHOOSE(CONTROL!$C$42, 6.099, 6.099)*CHOOSE(CONTROL!$C$21, $C$9, 100%, $E$9)</f>
        <v>6.0990000000000002</v>
      </c>
      <c r="H129" s="14">
        <f>CHOOSE(CONTROL!$C$42, 6.3235, 6.3235) * CHOOSE(CONTROL!$C$21, $C$9, 100%, $E$9)</f>
        <v>6.3235000000000001</v>
      </c>
      <c r="I129" s="14">
        <f>CHOOSE(CONTROL!$C$42, 6.1096, 6.1096)* CHOOSE(CONTROL!$C$21, $C$9, 100%, $E$9)</f>
        <v>6.1096000000000004</v>
      </c>
      <c r="J129" s="14">
        <f>CHOOSE(CONTROL!$C$42, 6.0757, 6.0757)* CHOOSE(CONTROL!$C$21, $C$9, 100%, $E$9)</f>
        <v>6.0757000000000003</v>
      </c>
      <c r="K129" s="53">
        <f>CHOOSE(CONTROL!$C$42, 6.1058, 6.1058) * CHOOSE(CONTROL!$C$21, $C$9, 100%, $E$9)</f>
        <v>6.1058000000000003</v>
      </c>
      <c r="L129" s="14">
        <f>CHOOSE(CONTROL!$C$42, 6.9105, 6.9105) * CHOOSE(CONTROL!$C$21, $C$9, 100%, $E$9)</f>
        <v>6.9104999999999999</v>
      </c>
      <c r="M129" s="14">
        <f>CHOOSE(CONTROL!$C$42, 6.0282, 6.0282) * CHOOSE(CONTROL!$C$21, $C$9, 100%, $E$9)</f>
        <v>6.0282</v>
      </c>
      <c r="N129" s="14">
        <f>CHOOSE(CONTROL!$C$42, 6.0443, 6.0443) * CHOOSE(CONTROL!$C$21, $C$9, 100%, $E$9)</f>
        <v>6.0442999999999998</v>
      </c>
      <c r="O129" s="14">
        <f>CHOOSE(CONTROL!$C$42, 6.2736, 6.2736) * CHOOSE(CONTROL!$C$21, $C$9, 100%, $E$9)</f>
        <v>6.2736000000000001</v>
      </c>
      <c r="P129" s="14">
        <f>CHOOSE(CONTROL!$C$42, 6.0619, 6.0619) * CHOOSE(CONTROL!$C$21, $C$9, 100%, $E$9)</f>
        <v>6.0618999999999996</v>
      </c>
      <c r="Q129" s="14">
        <f>CHOOSE(CONTROL!$C$42, 6.8689, 6.8689) * CHOOSE(CONTROL!$C$21, $C$9, 100%, $E$9)</f>
        <v>6.8689</v>
      </c>
      <c r="R129" s="14">
        <f>CHOOSE(CONTROL!$C$42, 7.473, 7.473) * CHOOSE(CONTROL!$C$21, $C$9, 100%, $E$9)</f>
        <v>7.4729999999999999</v>
      </c>
      <c r="S129" s="14">
        <f>CHOOSE(CONTROL!$C$42, 5.9178, 5.9178) * CHOOSE(CONTROL!$C$21, $C$9, 100%, $E$9)</f>
        <v>5.9177999999999997</v>
      </c>
      <c r="T12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29" s="57">
        <f>(1000*CHOOSE(CONTROL!$C$42, 695, 695)*CHOOSE(CONTROL!$C$42, 0.5599, 0.5599)*CHOOSE(CONTROL!$C$42, 30, 30))/1000000</f>
        <v>11.673914999999997</v>
      </c>
      <c r="V129" s="57">
        <f>(1000*CHOOSE(CONTROL!$C$42, 500, 500)*CHOOSE(CONTROL!$C$42, 0.275, 0.275)*CHOOSE(CONTROL!$C$42, 30, 30))/1000000</f>
        <v>4.125</v>
      </c>
      <c r="W129" s="57">
        <f>(1000*CHOOSE(CONTROL!$C$42, 0.1146, 0.1146)*CHOOSE(CONTROL!$C$42, 121.5, 121.5)*CHOOSE(CONTROL!$C$42, 30, 30))/1000000</f>
        <v>0.417717</v>
      </c>
      <c r="X129" s="57">
        <f>(30*0.1790888*245000/1000000)+(30*0.2374*100000/1000000)</f>
        <v>2.0285026799999999</v>
      </c>
      <c r="Y129" s="57"/>
      <c r="Z129" s="14"/>
      <c r="AA129" s="56"/>
      <c r="AB129" s="50">
        <f>(B129*194.205+C129*267.466+D129*133.845+E129*53.484+F129*40+G129*185+H129*0+I129*100+J129*300)/(194.205+267.466+133.845+53.484+0+40+185+100+300)</f>
        <v>6.1266578832810055</v>
      </c>
      <c r="AC129" s="45">
        <f>(M129*'RAP TEMPLATE-GAS AVAILABILITY'!O128+N129*'RAP TEMPLATE-GAS AVAILABILITY'!P128+O129*'RAP TEMPLATE-GAS AVAILABILITY'!Q128+P129*'RAP TEMPLATE-GAS AVAILABILITY'!R128)/('RAP TEMPLATE-GAS AVAILABILITY'!O128+'RAP TEMPLATE-GAS AVAILABILITY'!P128+'RAP TEMPLATE-GAS AVAILABILITY'!Q128+'RAP TEMPLATE-GAS AVAILABILITY'!R128)</f>
        <v>6.1056086330935244</v>
      </c>
    </row>
    <row r="130" spans="1:29" ht="15.75" x14ac:dyDescent="0.25">
      <c r="A130" s="13">
        <v>44835</v>
      </c>
      <c r="B130" s="14">
        <f>CHOOSE(CONTROL!$C$42, 5.9728, 5.9728) * CHOOSE(CONTROL!$C$21, $C$9, 100%, $E$9)</f>
        <v>5.9728000000000003</v>
      </c>
      <c r="C130" s="14">
        <f>CHOOSE(CONTROL!$C$42, 5.978, 5.978) * CHOOSE(CONTROL!$C$21, $C$9, 100%, $E$9)</f>
        <v>5.9779999999999998</v>
      </c>
      <c r="D130" s="14">
        <f>CHOOSE(CONTROL!$C$42, 6.1806, 6.1806) * CHOOSE(CONTROL!$C$21, $C$9, 100%, $E$9)</f>
        <v>6.1806000000000001</v>
      </c>
      <c r="E130" s="14">
        <f>CHOOSE(CONTROL!$C$42, 6.2094, 6.2094) * CHOOSE(CONTROL!$C$21, $C$9, 100%, $E$9)</f>
        <v>6.2093999999999996</v>
      </c>
      <c r="F130" s="14">
        <f>CHOOSE(CONTROL!$C$42, 5.9592, 5.9592)*CHOOSE(CONTROL!$C$21, $C$9, 100%, $E$9)</f>
        <v>5.9592000000000001</v>
      </c>
      <c r="G130" s="14">
        <f>CHOOSE(CONTROL!$C$42, 5.9752, 5.9752)*CHOOSE(CONTROL!$C$21, $C$9, 100%, $E$9)</f>
        <v>5.9752000000000001</v>
      </c>
      <c r="H130" s="14">
        <f>CHOOSE(CONTROL!$C$42, 6.1998, 6.1998) * CHOOSE(CONTROL!$C$21, $C$9, 100%, $E$9)</f>
        <v>6.1997999999999998</v>
      </c>
      <c r="I130" s="14">
        <f>CHOOSE(CONTROL!$C$42, 5.9859, 5.9859)* CHOOSE(CONTROL!$C$21, $C$9, 100%, $E$9)</f>
        <v>5.9859</v>
      </c>
      <c r="J130" s="14">
        <f>CHOOSE(CONTROL!$C$42, 5.9522, 5.9522)* CHOOSE(CONTROL!$C$21, $C$9, 100%, $E$9)</f>
        <v>5.9522000000000004</v>
      </c>
      <c r="K130" s="53">
        <f>CHOOSE(CONTROL!$C$42, 5.982, 5.982) * CHOOSE(CONTROL!$C$21, $C$9, 100%, $E$9)</f>
        <v>5.9820000000000002</v>
      </c>
      <c r="L130" s="14">
        <f>CHOOSE(CONTROL!$C$42, 6.7868, 6.7868) * CHOOSE(CONTROL!$C$21, $C$9, 100%, $E$9)</f>
        <v>6.7868000000000004</v>
      </c>
      <c r="M130" s="14">
        <f>CHOOSE(CONTROL!$C$42, 5.9059, 5.9059) * CHOOSE(CONTROL!$C$21, $C$9, 100%, $E$9)</f>
        <v>5.9058999999999999</v>
      </c>
      <c r="N130" s="14">
        <f>CHOOSE(CONTROL!$C$42, 5.9218, 5.9218) * CHOOSE(CONTROL!$C$21, $C$9, 100%, $E$9)</f>
        <v>5.9218000000000002</v>
      </c>
      <c r="O130" s="14">
        <f>CHOOSE(CONTROL!$C$42, 6.1511, 6.1511) * CHOOSE(CONTROL!$C$21, $C$9, 100%, $E$9)</f>
        <v>6.1510999999999996</v>
      </c>
      <c r="P130" s="14">
        <f>CHOOSE(CONTROL!$C$42, 5.9394, 5.9394) * CHOOSE(CONTROL!$C$21, $C$9, 100%, $E$9)</f>
        <v>5.9394</v>
      </c>
      <c r="Q130" s="14">
        <f>CHOOSE(CONTROL!$C$42, 6.7464, 6.7464) * CHOOSE(CONTROL!$C$21, $C$9, 100%, $E$9)</f>
        <v>6.7464000000000004</v>
      </c>
      <c r="R130" s="14">
        <f>CHOOSE(CONTROL!$C$42, 7.3503, 7.3503) * CHOOSE(CONTROL!$C$21, $C$9, 100%, $E$9)</f>
        <v>7.3502999999999998</v>
      </c>
      <c r="S130" s="14">
        <f>CHOOSE(CONTROL!$C$42, 5.7976, 5.7976) * CHOOSE(CONTROL!$C$21, $C$9, 100%, $E$9)</f>
        <v>5.7976000000000001</v>
      </c>
      <c r="T13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30" s="57">
        <f>(1000*CHOOSE(CONTROL!$C$42, 695, 695)*CHOOSE(CONTROL!$C$42, 0.5599, 0.5599)*CHOOSE(CONTROL!$C$42, 31, 31))/1000000</f>
        <v>12.063045499999998</v>
      </c>
      <c r="V130" s="57">
        <f>(1000*CHOOSE(CONTROL!$C$42, 500, 500)*CHOOSE(CONTROL!$C$42, 0.275, 0.275)*CHOOSE(CONTROL!$C$42, 31, 31))/1000000</f>
        <v>4.2625000000000002</v>
      </c>
      <c r="W130" s="57">
        <f>(1000*CHOOSE(CONTROL!$C$42, 0.1146, 0.1146)*CHOOSE(CONTROL!$C$42, 121.5, 121.5)*CHOOSE(CONTROL!$C$42, 31, 31))/1000000</f>
        <v>0.43164089999999994</v>
      </c>
      <c r="X130" s="57">
        <f>(31*0.1790888*245000/1000000)+(31*0.2374*100000/1000000)</f>
        <v>2.0961194359999999</v>
      </c>
      <c r="Y130" s="57"/>
      <c r="Z130" s="14"/>
      <c r="AA130" s="56"/>
      <c r="AB130" s="50">
        <f>(B130*131.881+C130*277.167+D130*79.08+E130*125.872+F130*40+G130*185+H130*0+I130*100+J130*300)/(131.881+277.167+79.08+125.872+0+40+185+100+300)</f>
        <v>6.0072514992736084</v>
      </c>
      <c r="AC130" s="45">
        <f>(M130*'RAP TEMPLATE-GAS AVAILABILITY'!O129+N130*'RAP TEMPLATE-GAS AVAILABILITY'!P129+O130*'RAP TEMPLATE-GAS AVAILABILITY'!Q129+P130*'RAP TEMPLATE-GAS AVAILABILITY'!R129)/('RAP TEMPLATE-GAS AVAILABILITY'!O129+'RAP TEMPLATE-GAS AVAILABILITY'!P129+'RAP TEMPLATE-GAS AVAILABILITY'!Q129+'RAP TEMPLATE-GAS AVAILABILITY'!R129)</f>
        <v>5.9831776978417253</v>
      </c>
    </row>
    <row r="131" spans="1:29" ht="15.75" x14ac:dyDescent="0.25">
      <c r="A131" s="13">
        <v>44866</v>
      </c>
      <c r="B131" s="14">
        <f>CHOOSE(CONTROL!$C$42, 6.1296, 6.1296) * CHOOSE(CONTROL!$C$21, $C$9, 100%, $E$9)</f>
        <v>6.1295999999999999</v>
      </c>
      <c r="C131" s="14">
        <f>CHOOSE(CONTROL!$C$42, 6.1346, 6.1346) * CHOOSE(CONTROL!$C$21, $C$9, 100%, $E$9)</f>
        <v>6.1345999999999998</v>
      </c>
      <c r="D131" s="14">
        <f>CHOOSE(CONTROL!$C$42, 6.1977, 6.1977) * CHOOSE(CONTROL!$C$21, $C$9, 100%, $E$9)</f>
        <v>6.1977000000000002</v>
      </c>
      <c r="E131" s="14">
        <f>CHOOSE(CONTROL!$C$42, 6.2315, 6.2315) * CHOOSE(CONTROL!$C$21, $C$9, 100%, $E$9)</f>
        <v>6.2314999999999996</v>
      </c>
      <c r="F131" s="14">
        <f>CHOOSE(CONTROL!$C$42, 6.1303, 6.1303)*CHOOSE(CONTROL!$C$21, $C$9, 100%, $E$9)</f>
        <v>6.1303000000000001</v>
      </c>
      <c r="G131" s="14">
        <f>CHOOSE(CONTROL!$C$42, 6.1466, 6.1466)*CHOOSE(CONTROL!$C$21, $C$9, 100%, $E$9)</f>
        <v>6.1466000000000003</v>
      </c>
      <c r="H131" s="14">
        <f>CHOOSE(CONTROL!$C$42, 6.2207, 6.2207) * CHOOSE(CONTROL!$C$21, $C$9, 100%, $E$9)</f>
        <v>6.2206999999999999</v>
      </c>
      <c r="I131" s="14">
        <f>CHOOSE(CONTROL!$C$42, 6.1432, 6.1432)* CHOOSE(CONTROL!$C$21, $C$9, 100%, $E$9)</f>
        <v>6.1432000000000002</v>
      </c>
      <c r="J131" s="14">
        <f>CHOOSE(CONTROL!$C$42, 6.1233, 6.1233)* CHOOSE(CONTROL!$C$21, $C$9, 100%, $E$9)</f>
        <v>6.1233000000000004</v>
      </c>
      <c r="K131" s="53">
        <f>CHOOSE(CONTROL!$C$42, 6.1393, 6.1393) * CHOOSE(CONTROL!$C$21, $C$9, 100%, $E$9)</f>
        <v>6.1393000000000004</v>
      </c>
      <c r="L131" s="14">
        <f>CHOOSE(CONTROL!$C$42, 6.8077, 6.8077) * CHOOSE(CONTROL!$C$21, $C$9, 100%, $E$9)</f>
        <v>6.8076999999999996</v>
      </c>
      <c r="M131" s="14">
        <f>CHOOSE(CONTROL!$C$42, 6.0754, 6.0754) * CHOOSE(CONTROL!$C$21, $C$9, 100%, $E$9)</f>
        <v>6.0754000000000001</v>
      </c>
      <c r="N131" s="14">
        <f>CHOOSE(CONTROL!$C$42, 6.0915, 6.0915) * CHOOSE(CONTROL!$C$21, $C$9, 100%, $E$9)</f>
        <v>6.0914999999999999</v>
      </c>
      <c r="O131" s="14">
        <f>CHOOSE(CONTROL!$C$42, 6.1717, 6.1717) * CHOOSE(CONTROL!$C$21, $C$9, 100%, $E$9)</f>
        <v>6.1717000000000004</v>
      </c>
      <c r="P131" s="14">
        <f>CHOOSE(CONTROL!$C$42, 6.0951, 6.0951) * CHOOSE(CONTROL!$C$21, $C$9, 100%, $E$9)</f>
        <v>6.0951000000000004</v>
      </c>
      <c r="Q131" s="14">
        <f>CHOOSE(CONTROL!$C$42, 6.767, 6.767) * CHOOSE(CONTROL!$C$21, $C$9, 100%, $E$9)</f>
        <v>6.7670000000000003</v>
      </c>
      <c r="R131" s="14">
        <f>CHOOSE(CONTROL!$C$42, 7.3709, 7.3709) * CHOOSE(CONTROL!$C$21, $C$9, 100%, $E$9)</f>
        <v>7.3708999999999998</v>
      </c>
      <c r="S131" s="14">
        <f>CHOOSE(CONTROL!$C$42, 5.9504, 5.9504) * CHOOSE(CONTROL!$C$21, $C$9, 100%, $E$9)</f>
        <v>5.9504000000000001</v>
      </c>
      <c r="T13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31" s="57">
        <f>(1000*CHOOSE(CONTROL!$C$42, 695, 695)*CHOOSE(CONTROL!$C$42, 0.5599, 0.5599)*CHOOSE(CONTROL!$C$42, 30, 30))/1000000</f>
        <v>11.673914999999997</v>
      </c>
      <c r="V131" s="57">
        <f>(1000*CHOOSE(CONTROL!$C$42, 500, 500)*CHOOSE(CONTROL!$C$42, 0.275, 0.275)*CHOOSE(CONTROL!$C$42, 30, 30))/1000000</f>
        <v>4.125</v>
      </c>
      <c r="W131" s="57">
        <f>(1000*CHOOSE(CONTROL!$C$42, 0.1146, 0.1146)*CHOOSE(CONTROL!$C$42, 121.5, 121.5)*CHOOSE(CONTROL!$C$42, 30, 30))/1000000</f>
        <v>0.417717</v>
      </c>
      <c r="X131" s="57">
        <f>(30*0.1790888*100000/1000000)+(30*0.2374*100000/1000000)</f>
        <v>1.2494664</v>
      </c>
      <c r="Y131" s="57"/>
      <c r="Z131" s="14"/>
      <c r="AA131" s="56"/>
      <c r="AB131" s="50">
        <f>(B131*122.58+C131*297.941+D131*89.177+E131*40.302+F131*40+G131*160+H131*0+I131*100+J131*300)/(122.58+297.941+89.177+40.302+0+40+160+100+300)</f>
        <v>6.1416760282608704</v>
      </c>
      <c r="AC131" s="45">
        <f>(M131*'RAP TEMPLATE-GAS AVAILABILITY'!O130+N131*'RAP TEMPLATE-GAS AVAILABILITY'!P130+O131*'RAP TEMPLATE-GAS AVAILABILITY'!Q130+P131*'RAP TEMPLATE-GAS AVAILABILITY'!R130)/('RAP TEMPLATE-GAS AVAILABILITY'!O130+'RAP TEMPLATE-GAS AVAILABILITY'!P130+'RAP TEMPLATE-GAS AVAILABILITY'!Q130+'RAP TEMPLATE-GAS AVAILABILITY'!R130)</f>
        <v>6.1228079136690656</v>
      </c>
    </row>
    <row r="132" spans="1:29" ht="15.75" x14ac:dyDescent="0.25">
      <c r="A132" s="13">
        <v>44896</v>
      </c>
      <c r="B132" s="14">
        <f>CHOOSE(CONTROL!$C$42, 6.5474, 6.5474) * CHOOSE(CONTROL!$C$21, $C$9, 100%, $E$9)</f>
        <v>6.5473999999999997</v>
      </c>
      <c r="C132" s="14">
        <f>CHOOSE(CONTROL!$C$42, 6.5523, 6.5523) * CHOOSE(CONTROL!$C$21, $C$9, 100%, $E$9)</f>
        <v>6.5522999999999998</v>
      </c>
      <c r="D132" s="14">
        <f>CHOOSE(CONTROL!$C$42, 6.6154, 6.6154) * CHOOSE(CONTROL!$C$21, $C$9, 100%, $E$9)</f>
        <v>6.6154000000000002</v>
      </c>
      <c r="E132" s="14">
        <f>CHOOSE(CONTROL!$C$42, 6.6492, 6.6492) * CHOOSE(CONTROL!$C$21, $C$9, 100%, $E$9)</f>
        <v>6.6492000000000004</v>
      </c>
      <c r="F132" s="14">
        <f>CHOOSE(CONTROL!$C$42, 6.5501, 6.5501)*CHOOSE(CONTROL!$C$21, $C$9, 100%, $E$9)</f>
        <v>6.5500999999999996</v>
      </c>
      <c r="G132" s="14">
        <f>CHOOSE(CONTROL!$C$42, 6.5669, 6.5669)*CHOOSE(CONTROL!$C$21, $C$9, 100%, $E$9)</f>
        <v>6.5669000000000004</v>
      </c>
      <c r="H132" s="14">
        <f>CHOOSE(CONTROL!$C$42, 6.6384, 6.6384) * CHOOSE(CONTROL!$C$21, $C$9, 100%, $E$9)</f>
        <v>6.6383999999999999</v>
      </c>
      <c r="I132" s="14">
        <f>CHOOSE(CONTROL!$C$42, 6.5609, 6.5609)* CHOOSE(CONTROL!$C$21, $C$9, 100%, $E$9)</f>
        <v>6.5609000000000002</v>
      </c>
      <c r="J132" s="14">
        <f>CHOOSE(CONTROL!$C$42, 6.5431, 6.5431)* CHOOSE(CONTROL!$C$21, $C$9, 100%, $E$9)</f>
        <v>6.5430999999999999</v>
      </c>
      <c r="K132" s="53">
        <f>CHOOSE(CONTROL!$C$42, 6.557, 6.557) * CHOOSE(CONTROL!$C$21, $C$9, 100%, $E$9)</f>
        <v>6.5570000000000004</v>
      </c>
      <c r="L132" s="14">
        <f>CHOOSE(CONTROL!$C$42, 7.2254, 7.2254) * CHOOSE(CONTROL!$C$21, $C$9, 100%, $E$9)</f>
        <v>7.2253999999999996</v>
      </c>
      <c r="M132" s="14">
        <f>CHOOSE(CONTROL!$C$42, 6.4909, 6.4909) * CHOOSE(CONTROL!$C$21, $C$9, 100%, $E$9)</f>
        <v>6.4908999999999999</v>
      </c>
      <c r="N132" s="14">
        <f>CHOOSE(CONTROL!$C$42, 6.5075, 6.5075) * CHOOSE(CONTROL!$C$21, $C$9, 100%, $E$9)</f>
        <v>6.5075000000000003</v>
      </c>
      <c r="O132" s="14">
        <f>CHOOSE(CONTROL!$C$42, 6.5852, 6.5852) * CHOOSE(CONTROL!$C$21, $C$9, 100%, $E$9)</f>
        <v>6.5852000000000004</v>
      </c>
      <c r="P132" s="14">
        <f>CHOOSE(CONTROL!$C$42, 6.5086, 6.5086) * CHOOSE(CONTROL!$C$21, $C$9, 100%, $E$9)</f>
        <v>6.5086000000000004</v>
      </c>
      <c r="Q132" s="14">
        <f>CHOOSE(CONTROL!$C$42, 7.1805, 7.1805) * CHOOSE(CONTROL!$C$21, $C$9, 100%, $E$9)</f>
        <v>7.1805000000000003</v>
      </c>
      <c r="R132" s="14">
        <f>CHOOSE(CONTROL!$C$42, 7.7854, 7.7854) * CHOOSE(CONTROL!$C$21, $C$9, 100%, $E$9)</f>
        <v>7.7854000000000001</v>
      </c>
      <c r="S132" s="14">
        <f>CHOOSE(CONTROL!$C$42, 6.356, 6.356) * CHOOSE(CONTROL!$C$21, $C$9, 100%, $E$9)</f>
        <v>6.3559999999999999</v>
      </c>
      <c r="T13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32" s="57">
        <f>(1000*CHOOSE(CONTROL!$C$42, 695, 695)*CHOOSE(CONTROL!$C$42, 0.5599, 0.5599)*CHOOSE(CONTROL!$C$42, 31, 31))/1000000</f>
        <v>12.063045499999998</v>
      </c>
      <c r="V132" s="57">
        <f>(1000*CHOOSE(CONTROL!$C$42, 500, 500)*CHOOSE(CONTROL!$C$42, 0.275, 0.275)*CHOOSE(CONTROL!$C$42, 31, 31))/1000000</f>
        <v>4.2625000000000002</v>
      </c>
      <c r="W132" s="57">
        <f>(1000*CHOOSE(CONTROL!$C$42, 0.1146, 0.1146)*CHOOSE(CONTROL!$C$42, 121.5, 121.5)*CHOOSE(CONTROL!$C$42, 31, 31))/1000000</f>
        <v>0.43164089999999994</v>
      </c>
      <c r="X132" s="57">
        <f>(31*0.1790888*100000/1000000)+(31*0.2374*100000/1000000)</f>
        <v>1.2911152800000001</v>
      </c>
      <c r="Y132" s="57"/>
      <c r="Z132" s="14"/>
      <c r="AA132" s="56"/>
      <c r="AB132" s="50">
        <f>(B132*122.58+C132*297.941+D132*89.177+E132*40.302+F132*40+G132*160+H132*0+I132*100+J132*300)/(122.58+297.941+89.177+40.302+0+40+160+100+300)</f>
        <v>6.5603692960869564</v>
      </c>
      <c r="AC132" s="45">
        <f>(M132*'RAP TEMPLATE-GAS AVAILABILITY'!O131+N132*'RAP TEMPLATE-GAS AVAILABILITY'!P131+O132*'RAP TEMPLATE-GAS AVAILABILITY'!Q131+P132*'RAP TEMPLATE-GAS AVAILABILITY'!R131)/('RAP TEMPLATE-GAS AVAILABILITY'!O131+'RAP TEMPLATE-GAS AVAILABILITY'!P131+'RAP TEMPLATE-GAS AVAILABILITY'!Q131+'RAP TEMPLATE-GAS AVAILABILITY'!R131)</f>
        <v>6.5371424460431662</v>
      </c>
    </row>
    <row r="133" spans="1:29" ht="15.75" x14ac:dyDescent="0.25">
      <c r="A133" s="13">
        <v>44927</v>
      </c>
      <c r="B133" s="14">
        <f>CHOOSE(CONTROL!$C$42, 7.1449, 7.1449) * CHOOSE(CONTROL!$C$21, $C$9, 100%, $E$9)</f>
        <v>7.1448999999999998</v>
      </c>
      <c r="C133" s="14">
        <f>CHOOSE(CONTROL!$C$42, 7.1499, 7.1499) * CHOOSE(CONTROL!$C$21, $C$9, 100%, $E$9)</f>
        <v>7.1498999999999997</v>
      </c>
      <c r="D133" s="14">
        <f>CHOOSE(CONTROL!$C$42, 7.2142, 7.2142) * CHOOSE(CONTROL!$C$21, $C$9, 100%, $E$9)</f>
        <v>7.2141999999999999</v>
      </c>
      <c r="E133" s="14">
        <f>CHOOSE(CONTROL!$C$42, 7.2479, 7.2479) * CHOOSE(CONTROL!$C$21, $C$9, 100%, $E$9)</f>
        <v>7.2478999999999996</v>
      </c>
      <c r="F133" s="14">
        <f>CHOOSE(CONTROL!$C$42, 7.1464, 7.1464)*CHOOSE(CONTROL!$C$21, $C$9, 100%, $E$9)</f>
        <v>7.1463999999999999</v>
      </c>
      <c r="G133" s="14">
        <f>CHOOSE(CONTROL!$C$42, 7.1624, 7.1624)*CHOOSE(CONTROL!$C$21, $C$9, 100%, $E$9)</f>
        <v>7.1623999999999999</v>
      </c>
      <c r="H133" s="14">
        <f>CHOOSE(CONTROL!$C$42, 7.2371, 7.2371) * CHOOSE(CONTROL!$C$21, $C$9, 100%, $E$9)</f>
        <v>7.2370999999999999</v>
      </c>
      <c r="I133" s="14">
        <f>CHOOSE(CONTROL!$C$42, 7.1649, 7.1649)* CHOOSE(CONTROL!$C$21, $C$9, 100%, $E$9)</f>
        <v>7.1649000000000003</v>
      </c>
      <c r="J133" s="14">
        <f>CHOOSE(CONTROL!$C$42, 7.1394, 7.1394)* CHOOSE(CONTROL!$C$21, $C$9, 100%, $E$9)</f>
        <v>7.1394000000000002</v>
      </c>
      <c r="K133" s="53">
        <f>CHOOSE(CONTROL!$C$42, 7.161, 7.161) * CHOOSE(CONTROL!$C$21, $C$9, 100%, $E$9)</f>
        <v>7.1609999999999996</v>
      </c>
      <c r="L133" s="14">
        <f>CHOOSE(CONTROL!$C$42, 7.8241, 7.8241) * CHOOSE(CONTROL!$C$21, $C$9, 100%, $E$9)</f>
        <v>7.8240999999999996</v>
      </c>
      <c r="M133" s="14">
        <f>CHOOSE(CONTROL!$C$42, 7.0812, 7.0812) * CHOOSE(CONTROL!$C$21, $C$9, 100%, $E$9)</f>
        <v>7.0811999999999999</v>
      </c>
      <c r="N133" s="14">
        <f>CHOOSE(CONTROL!$C$42, 7.097, 7.097) * CHOOSE(CONTROL!$C$21, $C$9, 100%, $E$9)</f>
        <v>7.0970000000000004</v>
      </c>
      <c r="O133" s="14">
        <f>CHOOSE(CONTROL!$C$42, 7.1779, 7.1779) * CHOOSE(CONTROL!$C$21, $C$9, 100%, $E$9)</f>
        <v>7.1779000000000002</v>
      </c>
      <c r="P133" s="14">
        <f>CHOOSE(CONTROL!$C$42, 7.1065, 7.1065) * CHOOSE(CONTROL!$C$21, $C$9, 100%, $E$9)</f>
        <v>7.1064999999999996</v>
      </c>
      <c r="Q133" s="14">
        <f>CHOOSE(CONTROL!$C$42, 7.7732, 7.7732) * CHOOSE(CONTROL!$C$21, $C$9, 100%, $E$9)</f>
        <v>7.7732000000000001</v>
      </c>
      <c r="R133" s="14">
        <f>CHOOSE(CONTROL!$C$42, 8.3797, 8.3797) * CHOOSE(CONTROL!$C$21, $C$9, 100%, $E$9)</f>
        <v>8.3796999999999997</v>
      </c>
      <c r="S133" s="14">
        <f>CHOOSE(CONTROL!$C$42, 6.9363, 6.9363) * CHOOSE(CONTROL!$C$21, $C$9, 100%, $E$9)</f>
        <v>6.9363000000000001</v>
      </c>
      <c r="T13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33" s="57">
        <f>(1000*CHOOSE(CONTROL!$C$42, 695, 695)*CHOOSE(CONTROL!$C$42, 0.5599, 0.5599)*CHOOSE(CONTROL!$C$42, 31, 31))/1000000</f>
        <v>12.063045499999998</v>
      </c>
      <c r="V133" s="57">
        <f>(1000*CHOOSE(CONTROL!$C$42, 500, 500)*CHOOSE(CONTROL!$C$42, 0.275, 0.275)*CHOOSE(CONTROL!$C$42, 31, 31))/1000000</f>
        <v>4.2625000000000002</v>
      </c>
      <c r="W133" s="57">
        <f>(1000*CHOOSE(CONTROL!$C$42, 0.1146, 0.1146)*CHOOSE(CONTROL!$C$42, 121.5, 121.5)*CHOOSE(CONTROL!$C$42, 31, 31))/1000000</f>
        <v>0.43164089999999994</v>
      </c>
      <c r="X133" s="57">
        <f>(31*0.1790888*100000/1000000)+(31*0.2374*100000/1000000)</f>
        <v>1.2911152800000001</v>
      </c>
      <c r="Y133" s="57"/>
      <c r="Z133" s="14"/>
      <c r="AA133" s="56"/>
      <c r="AB133" s="50">
        <f>(B133*122.58+C133*297.941+D133*89.177+E133*40.302+F133*40+G133*160+H133*0+I133*100+J133*300)/(122.58+297.941+89.177+40.302+0+40+160+100+300)</f>
        <v>7.1579702409565211</v>
      </c>
      <c r="AC133" s="45">
        <f>(M133*'RAP TEMPLATE-GAS AVAILABILITY'!O132+N133*'RAP TEMPLATE-GAS AVAILABILITY'!P132+O133*'RAP TEMPLATE-GAS AVAILABILITY'!Q132+P133*'RAP TEMPLATE-GAS AVAILABILITY'!R132)/('RAP TEMPLATE-GAS AVAILABILITY'!O132+'RAP TEMPLATE-GAS AVAILABILITY'!P132+'RAP TEMPLATE-GAS AVAILABILITY'!Q132+'RAP TEMPLATE-GAS AVAILABILITY'!R132)</f>
        <v>7.129577697841726</v>
      </c>
    </row>
    <row r="134" spans="1:29" ht="15.75" x14ac:dyDescent="0.25">
      <c r="A134" s="13">
        <v>44958</v>
      </c>
      <c r="B134" s="14">
        <f>CHOOSE(CONTROL!$C$42, 7.2721, 7.2721) * CHOOSE(CONTROL!$C$21, $C$9, 100%, $E$9)</f>
        <v>7.2721</v>
      </c>
      <c r="C134" s="14">
        <f>CHOOSE(CONTROL!$C$42, 7.277, 7.277) * CHOOSE(CONTROL!$C$21, $C$9, 100%, $E$9)</f>
        <v>7.2770000000000001</v>
      </c>
      <c r="D134" s="14">
        <f>CHOOSE(CONTROL!$C$42, 7.3413, 7.3413) * CHOOSE(CONTROL!$C$21, $C$9, 100%, $E$9)</f>
        <v>7.3413000000000004</v>
      </c>
      <c r="E134" s="14">
        <f>CHOOSE(CONTROL!$C$42, 7.3751, 7.3751) * CHOOSE(CONTROL!$C$21, $C$9, 100%, $E$9)</f>
        <v>7.3750999999999998</v>
      </c>
      <c r="F134" s="14">
        <f>CHOOSE(CONTROL!$C$42, 7.2736, 7.2736)*CHOOSE(CONTROL!$C$21, $C$9, 100%, $E$9)</f>
        <v>7.2736000000000001</v>
      </c>
      <c r="G134" s="14">
        <f>CHOOSE(CONTROL!$C$42, 7.2896, 7.2896)*CHOOSE(CONTROL!$C$21, $C$9, 100%, $E$9)</f>
        <v>7.2896000000000001</v>
      </c>
      <c r="H134" s="14">
        <f>CHOOSE(CONTROL!$C$42, 7.3643, 7.3643) * CHOOSE(CONTROL!$C$21, $C$9, 100%, $E$9)</f>
        <v>7.3643000000000001</v>
      </c>
      <c r="I134" s="14">
        <f>CHOOSE(CONTROL!$C$42, 7.292, 7.292)* CHOOSE(CONTROL!$C$21, $C$9, 100%, $E$9)</f>
        <v>7.2919999999999998</v>
      </c>
      <c r="J134" s="14">
        <f>CHOOSE(CONTROL!$C$42, 7.2666, 7.2666)* CHOOSE(CONTROL!$C$21, $C$9, 100%, $E$9)</f>
        <v>7.2666000000000004</v>
      </c>
      <c r="K134" s="53">
        <f>CHOOSE(CONTROL!$C$42, 7.2882, 7.2882) * CHOOSE(CONTROL!$C$21, $C$9, 100%, $E$9)</f>
        <v>7.2881999999999998</v>
      </c>
      <c r="L134" s="14">
        <f>CHOOSE(CONTROL!$C$42, 7.9513, 7.9513) * CHOOSE(CONTROL!$C$21, $C$9, 100%, $E$9)</f>
        <v>7.9512999999999998</v>
      </c>
      <c r="M134" s="14">
        <f>CHOOSE(CONTROL!$C$42, 7.2071, 7.2071) * CHOOSE(CONTROL!$C$21, $C$9, 100%, $E$9)</f>
        <v>7.2070999999999996</v>
      </c>
      <c r="N134" s="14">
        <f>CHOOSE(CONTROL!$C$42, 7.2229, 7.2229) * CHOOSE(CONTROL!$C$21, $C$9, 100%, $E$9)</f>
        <v>7.2229000000000001</v>
      </c>
      <c r="O134" s="14">
        <f>CHOOSE(CONTROL!$C$42, 7.3038, 7.3038) * CHOOSE(CONTROL!$C$21, $C$9, 100%, $E$9)</f>
        <v>7.3037999999999998</v>
      </c>
      <c r="P134" s="14">
        <f>CHOOSE(CONTROL!$C$42, 7.2323, 7.2323) * CHOOSE(CONTROL!$C$21, $C$9, 100%, $E$9)</f>
        <v>7.2323000000000004</v>
      </c>
      <c r="Q134" s="14">
        <f>CHOOSE(CONTROL!$C$42, 7.8991, 7.8991) * CHOOSE(CONTROL!$C$21, $C$9, 100%, $E$9)</f>
        <v>7.8990999999999998</v>
      </c>
      <c r="R134" s="14">
        <f>CHOOSE(CONTROL!$C$42, 8.5058, 8.5058) * CHOOSE(CONTROL!$C$21, $C$9, 100%, $E$9)</f>
        <v>8.5058000000000007</v>
      </c>
      <c r="S134" s="14">
        <f>CHOOSE(CONTROL!$C$42, 7.0598, 7.0598) * CHOOSE(CONTROL!$C$21, $C$9, 100%, $E$9)</f>
        <v>7.0598000000000001</v>
      </c>
      <c r="T13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34" s="57">
        <f>(1000*CHOOSE(CONTROL!$C$42, 695, 695)*CHOOSE(CONTROL!$C$42, 0.5599, 0.5599)*CHOOSE(CONTROL!$C$42, 28, 28))/1000000</f>
        <v>10.895653999999999</v>
      </c>
      <c r="V134" s="57">
        <f>(1000*CHOOSE(CONTROL!$C$42, 500, 500)*CHOOSE(CONTROL!$C$42, 0.275, 0.275)*CHOOSE(CONTROL!$C$42, 28, 28))/1000000</f>
        <v>3.85</v>
      </c>
      <c r="W134" s="57">
        <f>(1000*CHOOSE(CONTROL!$C$42, 0.1146, 0.1146)*CHOOSE(CONTROL!$C$42, 121.5, 121.5)*CHOOSE(CONTROL!$C$42, 28, 28))/1000000</f>
        <v>0.38986920000000003</v>
      </c>
      <c r="X134" s="57">
        <f>(28*0.1790888*100000/1000000)+(28*0.2374*100000/1000000)</f>
        <v>1.16616864</v>
      </c>
      <c r="Y134" s="57"/>
      <c r="Z134" s="14"/>
      <c r="AA134" s="56"/>
      <c r="AB134" s="50">
        <f>(B134*122.58+C134*297.941+D134*89.177+E134*40.302+F134*40+G134*160+H134*0+I134*100+J134*300)/(122.58+297.941+89.177+40.302+0+40+160+100+300)</f>
        <v>7.2851278828695651</v>
      </c>
      <c r="AC134" s="45">
        <f>(M134*'RAP TEMPLATE-GAS AVAILABILITY'!O133+N134*'RAP TEMPLATE-GAS AVAILABILITY'!P133+O134*'RAP TEMPLATE-GAS AVAILABILITY'!Q133+P134*'RAP TEMPLATE-GAS AVAILABILITY'!R133)/('RAP TEMPLATE-GAS AVAILABILITY'!O133+'RAP TEMPLATE-GAS AVAILABILITY'!P133+'RAP TEMPLATE-GAS AVAILABILITY'!Q133+'RAP TEMPLATE-GAS AVAILABILITY'!R133)</f>
        <v>7.2554633093525185</v>
      </c>
    </row>
    <row r="135" spans="1:29" ht="15.75" x14ac:dyDescent="0.25">
      <c r="A135" s="13">
        <v>44986</v>
      </c>
      <c r="B135" s="14">
        <f>CHOOSE(CONTROL!$C$42, 7.0657, 7.0657) * CHOOSE(CONTROL!$C$21, $C$9, 100%, $E$9)</f>
        <v>7.0656999999999996</v>
      </c>
      <c r="C135" s="14">
        <f>CHOOSE(CONTROL!$C$42, 7.0707, 7.0707) * CHOOSE(CONTROL!$C$21, $C$9, 100%, $E$9)</f>
        <v>7.0707000000000004</v>
      </c>
      <c r="D135" s="14">
        <f>CHOOSE(CONTROL!$C$42, 7.1349, 7.1349) * CHOOSE(CONTROL!$C$21, $C$9, 100%, $E$9)</f>
        <v>7.1349</v>
      </c>
      <c r="E135" s="14">
        <f>CHOOSE(CONTROL!$C$42, 7.1687, 7.1687) * CHOOSE(CONTROL!$C$21, $C$9, 100%, $E$9)</f>
        <v>7.1687000000000003</v>
      </c>
      <c r="F135" s="14">
        <f>CHOOSE(CONTROL!$C$42, 7.0669, 7.0669)*CHOOSE(CONTROL!$C$21, $C$9, 100%, $E$9)</f>
        <v>7.0669000000000004</v>
      </c>
      <c r="G135" s="14">
        <f>CHOOSE(CONTROL!$C$42, 7.0828, 7.0828)*CHOOSE(CONTROL!$C$21, $C$9, 100%, $E$9)</f>
        <v>7.0827999999999998</v>
      </c>
      <c r="H135" s="14">
        <f>CHOOSE(CONTROL!$C$42, 7.1579, 7.1579) * CHOOSE(CONTROL!$C$21, $C$9, 100%, $E$9)</f>
        <v>7.1578999999999997</v>
      </c>
      <c r="I135" s="14">
        <f>CHOOSE(CONTROL!$C$42, 7.0857, 7.0857)* CHOOSE(CONTROL!$C$21, $C$9, 100%, $E$9)</f>
        <v>7.0857000000000001</v>
      </c>
      <c r="J135" s="14">
        <f>CHOOSE(CONTROL!$C$42, 7.0599, 7.0599)* CHOOSE(CONTROL!$C$21, $C$9, 100%, $E$9)</f>
        <v>7.0598999999999998</v>
      </c>
      <c r="K135" s="53">
        <f>CHOOSE(CONTROL!$C$42, 7.0818, 7.0818) * CHOOSE(CONTROL!$C$21, $C$9, 100%, $E$9)</f>
        <v>7.0818000000000003</v>
      </c>
      <c r="L135" s="14">
        <f>CHOOSE(CONTROL!$C$42, 7.7449, 7.7449) * CHOOSE(CONTROL!$C$21, $C$9, 100%, $E$9)</f>
        <v>7.7449000000000003</v>
      </c>
      <c r="M135" s="14">
        <f>CHOOSE(CONTROL!$C$42, 7.0025, 7.0025) * CHOOSE(CONTROL!$C$21, $C$9, 100%, $E$9)</f>
        <v>7.0025000000000004</v>
      </c>
      <c r="N135" s="14">
        <f>CHOOSE(CONTROL!$C$42, 7.0182, 7.0182) * CHOOSE(CONTROL!$C$21, $C$9, 100%, $E$9)</f>
        <v>7.0182000000000002</v>
      </c>
      <c r="O135" s="14">
        <f>CHOOSE(CONTROL!$C$42, 7.0995, 7.0995) * CHOOSE(CONTROL!$C$21, $C$9, 100%, $E$9)</f>
        <v>7.0994999999999999</v>
      </c>
      <c r="P135" s="14">
        <f>CHOOSE(CONTROL!$C$42, 7.028, 7.028) * CHOOSE(CONTROL!$C$21, $C$9, 100%, $E$9)</f>
        <v>7.0279999999999996</v>
      </c>
      <c r="Q135" s="14">
        <f>CHOOSE(CONTROL!$C$42, 7.6948, 7.6948) * CHOOSE(CONTROL!$C$21, $C$9, 100%, $E$9)</f>
        <v>7.6947999999999999</v>
      </c>
      <c r="R135" s="14">
        <f>CHOOSE(CONTROL!$C$42, 8.301, 8.301) * CHOOSE(CONTROL!$C$21, $C$9, 100%, $E$9)</f>
        <v>8.3010000000000002</v>
      </c>
      <c r="S135" s="14">
        <f>CHOOSE(CONTROL!$C$42, 6.8594, 6.8594) * CHOOSE(CONTROL!$C$21, $C$9, 100%, $E$9)</f>
        <v>6.8593999999999999</v>
      </c>
      <c r="T13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35" s="57">
        <f>(1000*CHOOSE(CONTROL!$C$42, 695, 695)*CHOOSE(CONTROL!$C$42, 0.5599, 0.5599)*CHOOSE(CONTROL!$C$42, 31, 31))/1000000</f>
        <v>12.063045499999998</v>
      </c>
      <c r="V135" s="57">
        <f>(1000*CHOOSE(CONTROL!$C$42, 500, 500)*CHOOSE(CONTROL!$C$42, 0.275, 0.275)*CHOOSE(CONTROL!$C$42, 31, 31))/1000000</f>
        <v>4.2625000000000002</v>
      </c>
      <c r="W135" s="57">
        <f>(1000*CHOOSE(CONTROL!$C$42, 0.1146, 0.1146)*CHOOSE(CONTROL!$C$42, 121.5, 121.5)*CHOOSE(CONTROL!$C$42, 31, 31))/1000000</f>
        <v>0.43164089999999994</v>
      </c>
      <c r="X135" s="57">
        <f>(31*0.1790888*100000/1000000)+(31*0.2374*100000/1000000)</f>
        <v>1.2911152800000001</v>
      </c>
      <c r="Y135" s="57"/>
      <c r="Z135" s="14"/>
      <c r="AA135" s="56"/>
      <c r="AB135" s="50">
        <f>(B135*122.58+C135*297.941+D135*89.177+E135*40.302+F135*40+G135*160+H135*0+I135*100+J135*300)/(122.58+297.941+89.177+40.302+0+40+160+100+300)</f>
        <v>7.0786181386086948</v>
      </c>
      <c r="AC135" s="45">
        <f>(M135*'RAP TEMPLATE-GAS AVAILABILITY'!O134+N135*'RAP TEMPLATE-GAS AVAILABILITY'!P134+O135*'RAP TEMPLATE-GAS AVAILABILITY'!Q134+P135*'RAP TEMPLATE-GAS AVAILABILITY'!R134)/('RAP TEMPLATE-GAS AVAILABILITY'!O134+'RAP TEMPLATE-GAS AVAILABILITY'!P134+'RAP TEMPLATE-GAS AVAILABILITY'!Q134+'RAP TEMPLATE-GAS AVAILABILITY'!R134)</f>
        <v>7.0510366906474822</v>
      </c>
    </row>
    <row r="136" spans="1:29" ht="15.75" x14ac:dyDescent="0.25">
      <c r="A136" s="13">
        <v>45017</v>
      </c>
      <c r="B136" s="14">
        <f>CHOOSE(CONTROL!$C$42, 7.0457, 7.0457) * CHOOSE(CONTROL!$C$21, $C$9, 100%, $E$9)</f>
        <v>7.0457000000000001</v>
      </c>
      <c r="C136" s="14">
        <f>CHOOSE(CONTROL!$C$42, 7.0501, 7.0501) * CHOOSE(CONTROL!$C$21, $C$9, 100%, $E$9)</f>
        <v>7.0500999999999996</v>
      </c>
      <c r="D136" s="14">
        <f>CHOOSE(CONTROL!$C$42, 7.2508, 7.2508) * CHOOSE(CONTROL!$C$21, $C$9, 100%, $E$9)</f>
        <v>7.2507999999999999</v>
      </c>
      <c r="E136" s="14">
        <f>CHOOSE(CONTROL!$C$42, 7.2826, 7.2826) * CHOOSE(CONTROL!$C$21, $C$9, 100%, $E$9)</f>
        <v>7.2826000000000004</v>
      </c>
      <c r="F136" s="14">
        <f>CHOOSE(CONTROL!$C$42, 7.0303, 7.0303)*CHOOSE(CONTROL!$C$21, $C$9, 100%, $E$9)</f>
        <v>7.0303000000000004</v>
      </c>
      <c r="G136" s="14">
        <f>CHOOSE(CONTROL!$C$42, 7.0459, 7.0459)*CHOOSE(CONTROL!$C$21, $C$9, 100%, $E$9)</f>
        <v>7.0458999999999996</v>
      </c>
      <c r="H136" s="14">
        <f>CHOOSE(CONTROL!$C$42, 7.2724, 7.2724) * CHOOSE(CONTROL!$C$21, $C$9, 100%, $E$9)</f>
        <v>7.2724000000000002</v>
      </c>
      <c r="I136" s="14">
        <f>CHOOSE(CONTROL!$C$42, 7.0585, 7.0585)* CHOOSE(CONTROL!$C$21, $C$9, 100%, $E$9)</f>
        <v>7.0585000000000004</v>
      </c>
      <c r="J136" s="14">
        <f>CHOOSE(CONTROL!$C$42, 7.0233, 7.0233)* CHOOSE(CONTROL!$C$21, $C$9, 100%, $E$9)</f>
        <v>7.0232999999999999</v>
      </c>
      <c r="K136" s="53">
        <f>CHOOSE(CONTROL!$C$42, 7.0546, 7.0546) * CHOOSE(CONTROL!$C$21, $C$9, 100%, $E$9)</f>
        <v>7.0545999999999998</v>
      </c>
      <c r="L136" s="14">
        <f>CHOOSE(CONTROL!$C$42, 7.8594, 7.8594) * CHOOSE(CONTROL!$C$21, $C$9, 100%, $E$9)</f>
        <v>7.8593999999999999</v>
      </c>
      <c r="M136" s="14">
        <f>CHOOSE(CONTROL!$C$42, 6.9663, 6.9663) * CHOOSE(CONTROL!$C$21, $C$9, 100%, $E$9)</f>
        <v>6.9663000000000004</v>
      </c>
      <c r="N136" s="14">
        <f>CHOOSE(CONTROL!$C$42, 6.9817, 6.9817) * CHOOSE(CONTROL!$C$21, $C$9, 100%, $E$9)</f>
        <v>6.9817</v>
      </c>
      <c r="O136" s="14">
        <f>CHOOSE(CONTROL!$C$42, 7.2128, 7.2128) * CHOOSE(CONTROL!$C$21, $C$9, 100%, $E$9)</f>
        <v>7.2127999999999997</v>
      </c>
      <c r="P136" s="14">
        <f>CHOOSE(CONTROL!$C$42, 7.0011, 7.0011) * CHOOSE(CONTROL!$C$21, $C$9, 100%, $E$9)</f>
        <v>7.0011000000000001</v>
      </c>
      <c r="Q136" s="14">
        <f>CHOOSE(CONTROL!$C$42, 7.8081, 7.8081) * CHOOSE(CONTROL!$C$21, $C$9, 100%, $E$9)</f>
        <v>7.8080999999999996</v>
      </c>
      <c r="R136" s="14">
        <f>CHOOSE(CONTROL!$C$42, 8.4146, 8.4146) * CHOOSE(CONTROL!$C$21, $C$9, 100%, $E$9)</f>
        <v>8.4146000000000001</v>
      </c>
      <c r="S136" s="14">
        <f>CHOOSE(CONTROL!$C$42, 6.8392, 6.8392) * CHOOSE(CONTROL!$C$21, $C$9, 100%, $E$9)</f>
        <v>6.8391999999999999</v>
      </c>
      <c r="T13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36" s="57">
        <f>(1000*CHOOSE(CONTROL!$C$42, 695, 695)*CHOOSE(CONTROL!$C$42, 0.5599, 0.5599)*CHOOSE(CONTROL!$C$42, 30, 30))/1000000</f>
        <v>11.673914999999997</v>
      </c>
      <c r="V136" s="57">
        <f>(1000*CHOOSE(CONTROL!$C$42, 500, 500)*CHOOSE(CONTROL!$C$42, 0.275, 0.275)*CHOOSE(CONTROL!$C$42, 30, 30))/1000000</f>
        <v>4.125</v>
      </c>
      <c r="W136" s="57">
        <f>(1000*CHOOSE(CONTROL!$C$42, 0.1146, 0.1146)*CHOOSE(CONTROL!$C$42, 121.5, 121.5)*CHOOSE(CONTROL!$C$42, 30, 30))/1000000</f>
        <v>0.417717</v>
      </c>
      <c r="X136" s="57">
        <f>(30*0.1790888*245000/1000000)+(30*0.2374*100000/1000000)</f>
        <v>2.0285026799999999</v>
      </c>
      <c r="Y136" s="57"/>
      <c r="Z136" s="14"/>
      <c r="AA136" s="56"/>
      <c r="AB136" s="50">
        <f>(B136*141.293+C136*267.993+D136*115.016+E136*89.698+F136*40+G136*185+H136*0+I136*100+J136*300)/(141.293+267.993+115.016+89.698+0+40+185+100+300)</f>
        <v>7.0779836214689267</v>
      </c>
      <c r="AC136" s="45">
        <f>(M136*'RAP TEMPLATE-GAS AVAILABILITY'!O135+N136*'RAP TEMPLATE-GAS AVAILABILITY'!P135+O136*'RAP TEMPLATE-GAS AVAILABILITY'!Q135+P136*'RAP TEMPLATE-GAS AVAILABILITY'!R135)/('RAP TEMPLATE-GAS AVAILABILITY'!O135+'RAP TEMPLATE-GAS AVAILABILITY'!P135+'RAP TEMPLATE-GAS AVAILABILITY'!Q135+'RAP TEMPLATE-GAS AVAILABILITY'!R135)</f>
        <v>7.0440143884892086</v>
      </c>
    </row>
    <row r="137" spans="1:29" ht="15.75" x14ac:dyDescent="0.25">
      <c r="A137" s="13">
        <v>45047</v>
      </c>
      <c r="B137" s="14">
        <f>CHOOSE(CONTROL!$C$42, 7.1093, 7.1093) * CHOOSE(CONTROL!$C$21, $C$9, 100%, $E$9)</f>
        <v>7.1093000000000002</v>
      </c>
      <c r="C137" s="14">
        <f>CHOOSE(CONTROL!$C$42, 7.1172, 7.1172) * CHOOSE(CONTROL!$C$21, $C$9, 100%, $E$9)</f>
        <v>7.1172000000000004</v>
      </c>
      <c r="D137" s="14">
        <f>CHOOSE(CONTROL!$C$42, 7.3148, 7.3148) * CHOOSE(CONTROL!$C$21, $C$9, 100%, $E$9)</f>
        <v>7.3148</v>
      </c>
      <c r="E137" s="14">
        <f>CHOOSE(CONTROL!$C$42, 7.3459, 7.3459) * CHOOSE(CONTROL!$C$21, $C$9, 100%, $E$9)</f>
        <v>7.3459000000000003</v>
      </c>
      <c r="F137" s="14">
        <f>CHOOSE(CONTROL!$C$42, 7.0927, 7.0927)*CHOOSE(CONTROL!$C$21, $C$9, 100%, $E$9)</f>
        <v>7.0926999999999998</v>
      </c>
      <c r="G137" s="14">
        <f>CHOOSE(CONTROL!$C$42, 7.1088, 7.1088)*CHOOSE(CONTROL!$C$21, $C$9, 100%, $E$9)</f>
        <v>7.1087999999999996</v>
      </c>
      <c r="H137" s="14">
        <f>CHOOSE(CONTROL!$C$42, 7.3345, 7.3345) * CHOOSE(CONTROL!$C$21, $C$9, 100%, $E$9)</f>
        <v>7.3345000000000002</v>
      </c>
      <c r="I137" s="14">
        <f>CHOOSE(CONTROL!$C$42, 7.1206, 7.1206)* CHOOSE(CONTROL!$C$21, $C$9, 100%, $E$9)</f>
        <v>7.1205999999999996</v>
      </c>
      <c r="J137" s="14">
        <f>CHOOSE(CONTROL!$C$42, 7.0857, 7.0857)* CHOOSE(CONTROL!$C$21, $C$9, 100%, $E$9)</f>
        <v>7.0857000000000001</v>
      </c>
      <c r="K137" s="53">
        <f>CHOOSE(CONTROL!$C$42, 7.1167, 7.1167) * CHOOSE(CONTROL!$C$21, $C$9, 100%, $E$9)</f>
        <v>7.1166999999999998</v>
      </c>
      <c r="L137" s="14">
        <f>CHOOSE(CONTROL!$C$42, 7.9215, 7.9215) * CHOOSE(CONTROL!$C$21, $C$9, 100%, $E$9)</f>
        <v>7.9215</v>
      </c>
      <c r="M137" s="14">
        <f>CHOOSE(CONTROL!$C$42, 7.028, 7.028) * CHOOSE(CONTROL!$C$21, $C$9, 100%, $E$9)</f>
        <v>7.0279999999999996</v>
      </c>
      <c r="N137" s="14">
        <f>CHOOSE(CONTROL!$C$42, 7.0439, 7.0439) * CHOOSE(CONTROL!$C$21, $C$9, 100%, $E$9)</f>
        <v>7.0438999999999998</v>
      </c>
      <c r="O137" s="14">
        <f>CHOOSE(CONTROL!$C$42, 7.2743, 7.2743) * CHOOSE(CONTROL!$C$21, $C$9, 100%, $E$9)</f>
        <v>7.2743000000000002</v>
      </c>
      <c r="P137" s="14">
        <f>CHOOSE(CONTROL!$C$42, 7.0626, 7.0626) * CHOOSE(CONTROL!$C$21, $C$9, 100%, $E$9)</f>
        <v>7.0625999999999998</v>
      </c>
      <c r="Q137" s="14">
        <f>CHOOSE(CONTROL!$C$42, 7.8696, 7.8696) * CHOOSE(CONTROL!$C$21, $C$9, 100%, $E$9)</f>
        <v>7.8696000000000002</v>
      </c>
      <c r="R137" s="14">
        <f>CHOOSE(CONTROL!$C$42, 8.4763, 8.4763) * CHOOSE(CONTROL!$C$21, $C$9, 100%, $E$9)</f>
        <v>8.4763000000000002</v>
      </c>
      <c r="S137" s="14">
        <f>CHOOSE(CONTROL!$C$42, 6.8996, 6.8996) * CHOOSE(CONTROL!$C$21, $C$9, 100%, $E$9)</f>
        <v>6.8996000000000004</v>
      </c>
      <c r="T13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37" s="57">
        <f>(1000*CHOOSE(CONTROL!$C$42, 695, 695)*CHOOSE(CONTROL!$C$42, 0.5599, 0.5599)*CHOOSE(CONTROL!$C$42, 31, 31))/1000000</f>
        <v>12.063045499999998</v>
      </c>
      <c r="V137" s="57">
        <f>(1000*CHOOSE(CONTROL!$C$42, 500, 500)*CHOOSE(CONTROL!$C$42, 0.275, 0.275)*CHOOSE(CONTROL!$C$42, 31, 31))/1000000</f>
        <v>4.2625000000000002</v>
      </c>
      <c r="W137" s="57">
        <f>(1000*CHOOSE(CONTROL!$C$42, 0.1146, 0.1146)*CHOOSE(CONTROL!$C$42, 121.5, 121.5)*CHOOSE(CONTROL!$C$42, 31, 31))/1000000</f>
        <v>0.43164089999999994</v>
      </c>
      <c r="X137" s="57">
        <f>(31*0.1790888*245000/1000000)+(31*0.2374*100000/1000000)</f>
        <v>2.0961194359999999</v>
      </c>
      <c r="Y137" s="57"/>
      <c r="Z137" s="14"/>
      <c r="AA137" s="56"/>
      <c r="AB137" s="50">
        <f>(B137*194.205+C137*267.466+D137*133.845+E137*53.484+F137*40+G137*185+H137*0+I137*100+J137*300)/(194.205+267.466+133.845+53.484+0+40+185+100+300)</f>
        <v>7.13721675298273</v>
      </c>
      <c r="AC137" s="45">
        <f>(M137*'RAP TEMPLATE-GAS AVAILABILITY'!O136+N137*'RAP TEMPLATE-GAS AVAILABILITY'!P136+O137*'RAP TEMPLATE-GAS AVAILABILITY'!Q136+P137*'RAP TEMPLATE-GAS AVAILABILITY'!R136)/('RAP TEMPLATE-GAS AVAILABILITY'!O136+'RAP TEMPLATE-GAS AVAILABILITY'!P136+'RAP TEMPLATE-GAS AVAILABILITY'!Q136+'RAP TEMPLATE-GAS AVAILABILITY'!R136)</f>
        <v>7.1057446043165475</v>
      </c>
    </row>
    <row r="138" spans="1:29" ht="15.75" x14ac:dyDescent="0.25">
      <c r="A138" s="13">
        <v>45078</v>
      </c>
      <c r="B138" s="14">
        <f>CHOOSE(CONTROL!$C$42, 7.3108, 7.3108) * CHOOSE(CONTROL!$C$21, $C$9, 100%, $E$9)</f>
        <v>7.3108000000000004</v>
      </c>
      <c r="C138" s="14">
        <f>CHOOSE(CONTROL!$C$42, 7.3187, 7.3187) * CHOOSE(CONTROL!$C$21, $C$9, 100%, $E$9)</f>
        <v>7.3186999999999998</v>
      </c>
      <c r="D138" s="14">
        <f>CHOOSE(CONTROL!$C$42, 7.5163, 7.5163) * CHOOSE(CONTROL!$C$21, $C$9, 100%, $E$9)</f>
        <v>7.5163000000000002</v>
      </c>
      <c r="E138" s="14">
        <f>CHOOSE(CONTROL!$C$42, 7.5474, 7.5474) * CHOOSE(CONTROL!$C$21, $C$9, 100%, $E$9)</f>
        <v>7.5473999999999997</v>
      </c>
      <c r="F138" s="14">
        <f>CHOOSE(CONTROL!$C$42, 7.2946, 7.2946)*CHOOSE(CONTROL!$C$21, $C$9, 100%, $E$9)</f>
        <v>7.2946</v>
      </c>
      <c r="G138" s="14">
        <f>CHOOSE(CONTROL!$C$42, 7.3108, 7.3108)*CHOOSE(CONTROL!$C$21, $C$9, 100%, $E$9)</f>
        <v>7.3108000000000004</v>
      </c>
      <c r="H138" s="14">
        <f>CHOOSE(CONTROL!$C$42, 7.536, 7.536) * CHOOSE(CONTROL!$C$21, $C$9, 100%, $E$9)</f>
        <v>7.5359999999999996</v>
      </c>
      <c r="I138" s="14">
        <f>CHOOSE(CONTROL!$C$42, 7.3221, 7.3221)* CHOOSE(CONTROL!$C$21, $C$9, 100%, $E$9)</f>
        <v>7.3220999999999998</v>
      </c>
      <c r="J138" s="14">
        <f>CHOOSE(CONTROL!$C$42, 7.2876, 7.2876)* CHOOSE(CONTROL!$C$21, $C$9, 100%, $E$9)</f>
        <v>7.2876000000000003</v>
      </c>
      <c r="K138" s="53">
        <f>CHOOSE(CONTROL!$C$42, 7.3183, 7.3183) * CHOOSE(CONTROL!$C$21, $C$9, 100%, $E$9)</f>
        <v>7.3182999999999998</v>
      </c>
      <c r="L138" s="14">
        <f>CHOOSE(CONTROL!$C$42, 8.123, 8.123) * CHOOSE(CONTROL!$C$21, $C$9, 100%, $E$9)</f>
        <v>8.1229999999999993</v>
      </c>
      <c r="M138" s="14">
        <f>CHOOSE(CONTROL!$C$42, 7.2279, 7.2279) * CHOOSE(CONTROL!$C$21, $C$9, 100%, $E$9)</f>
        <v>7.2279</v>
      </c>
      <c r="N138" s="14">
        <f>CHOOSE(CONTROL!$C$42, 7.2439, 7.2439) * CHOOSE(CONTROL!$C$21, $C$9, 100%, $E$9)</f>
        <v>7.2439</v>
      </c>
      <c r="O138" s="14">
        <f>CHOOSE(CONTROL!$C$42, 7.4738, 7.4738) * CHOOSE(CONTROL!$C$21, $C$9, 100%, $E$9)</f>
        <v>7.4737999999999998</v>
      </c>
      <c r="P138" s="14">
        <f>CHOOSE(CONTROL!$C$42, 7.2621, 7.2621) * CHOOSE(CONTROL!$C$21, $C$9, 100%, $E$9)</f>
        <v>7.2621000000000002</v>
      </c>
      <c r="Q138" s="14">
        <f>CHOOSE(CONTROL!$C$42, 8.0691, 8.0691) * CHOOSE(CONTROL!$C$21, $C$9, 100%, $E$9)</f>
        <v>8.0691000000000006</v>
      </c>
      <c r="R138" s="14">
        <f>CHOOSE(CONTROL!$C$42, 8.6763, 8.6763) * CHOOSE(CONTROL!$C$21, $C$9, 100%, $E$9)</f>
        <v>8.6762999999999995</v>
      </c>
      <c r="S138" s="14">
        <f>CHOOSE(CONTROL!$C$42, 7.0952, 7.0952) * CHOOSE(CONTROL!$C$21, $C$9, 100%, $E$9)</f>
        <v>7.0952000000000002</v>
      </c>
      <c r="T13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38" s="57">
        <f>(1000*CHOOSE(CONTROL!$C$42, 695, 695)*CHOOSE(CONTROL!$C$42, 0.5599, 0.5599)*CHOOSE(CONTROL!$C$42, 30, 30))/1000000</f>
        <v>11.673914999999997</v>
      </c>
      <c r="V138" s="57">
        <f>(1000*CHOOSE(CONTROL!$C$42, 500, 500)*CHOOSE(CONTROL!$C$42, 0.275, 0.275)*CHOOSE(CONTROL!$C$42, 30, 30))/1000000</f>
        <v>4.125</v>
      </c>
      <c r="W138" s="57">
        <f>(1000*CHOOSE(CONTROL!$C$42, 0.1146, 0.1146)*CHOOSE(CONTROL!$C$42, 121.5, 121.5)*CHOOSE(CONTROL!$C$42, 30, 30))/1000000</f>
        <v>0.417717</v>
      </c>
      <c r="X138" s="57">
        <f>(30*0.1790888*245000/1000000)+(30*0.2374*100000/1000000)</f>
        <v>2.0285026799999999</v>
      </c>
      <c r="Y138" s="57"/>
      <c r="Z138" s="14"/>
      <c r="AA138" s="56"/>
      <c r="AB138" s="50">
        <f>(B138*194.205+C138*267.466+D138*133.845+E138*53.484+F138*40+G138*185+H138*0+I138*100+J138*300)/(194.205+267.466+133.845+53.484+0+40+185+100+300)</f>
        <v>7.3388961093406584</v>
      </c>
      <c r="AC138" s="45">
        <f>(M138*'RAP TEMPLATE-GAS AVAILABILITY'!O137+N138*'RAP TEMPLATE-GAS AVAILABILITY'!P137+O138*'RAP TEMPLATE-GAS AVAILABILITY'!Q137+P138*'RAP TEMPLATE-GAS AVAILABILITY'!R137)/('RAP TEMPLATE-GAS AVAILABILITY'!O137+'RAP TEMPLATE-GAS AVAILABILITY'!P137+'RAP TEMPLATE-GAS AVAILABILITY'!Q137+'RAP TEMPLATE-GAS AVAILABILITY'!R137)</f>
        <v>7.305497841726619</v>
      </c>
    </row>
    <row r="139" spans="1:29" ht="15.75" x14ac:dyDescent="0.25">
      <c r="A139" s="13">
        <v>45108</v>
      </c>
      <c r="B139" s="14">
        <f>CHOOSE(CONTROL!$C$42, 7.1706, 7.1706) * CHOOSE(CONTROL!$C$21, $C$9, 100%, $E$9)</f>
        <v>7.1706000000000003</v>
      </c>
      <c r="C139" s="14">
        <f>CHOOSE(CONTROL!$C$42, 7.1785, 7.1785) * CHOOSE(CONTROL!$C$21, $C$9, 100%, $E$9)</f>
        <v>7.1784999999999997</v>
      </c>
      <c r="D139" s="14">
        <f>CHOOSE(CONTROL!$C$42, 7.3761, 7.3761) * CHOOSE(CONTROL!$C$21, $C$9, 100%, $E$9)</f>
        <v>7.3761000000000001</v>
      </c>
      <c r="E139" s="14">
        <f>CHOOSE(CONTROL!$C$42, 7.4073, 7.4073) * CHOOSE(CONTROL!$C$21, $C$9, 100%, $E$9)</f>
        <v>7.4073000000000002</v>
      </c>
      <c r="F139" s="14">
        <f>CHOOSE(CONTROL!$C$42, 7.1549, 7.1549)*CHOOSE(CONTROL!$C$21, $C$9, 100%, $E$9)</f>
        <v>7.1548999999999996</v>
      </c>
      <c r="G139" s="14">
        <f>CHOOSE(CONTROL!$C$42, 7.1712, 7.1712)*CHOOSE(CONTROL!$C$21, $C$9, 100%, $E$9)</f>
        <v>7.1711999999999998</v>
      </c>
      <c r="H139" s="14">
        <f>CHOOSE(CONTROL!$C$42, 7.3959, 7.3959) * CHOOSE(CONTROL!$C$21, $C$9, 100%, $E$9)</f>
        <v>7.3959000000000001</v>
      </c>
      <c r="I139" s="14">
        <f>CHOOSE(CONTROL!$C$42, 7.182, 7.182)* CHOOSE(CONTROL!$C$21, $C$9, 100%, $E$9)</f>
        <v>7.1820000000000004</v>
      </c>
      <c r="J139" s="14">
        <f>CHOOSE(CONTROL!$C$42, 7.1479, 7.1479)* CHOOSE(CONTROL!$C$21, $C$9, 100%, $E$9)</f>
        <v>7.1478999999999999</v>
      </c>
      <c r="K139" s="53">
        <f>CHOOSE(CONTROL!$C$42, 7.1781, 7.1781) * CHOOSE(CONTROL!$C$21, $C$9, 100%, $E$9)</f>
        <v>7.1780999999999997</v>
      </c>
      <c r="L139" s="14">
        <f>CHOOSE(CONTROL!$C$42, 7.9829, 7.9829) * CHOOSE(CONTROL!$C$21, $C$9, 100%, $E$9)</f>
        <v>7.9828999999999999</v>
      </c>
      <c r="M139" s="14">
        <f>CHOOSE(CONTROL!$C$42, 7.0896, 7.0896) * CHOOSE(CONTROL!$C$21, $C$9, 100%, $E$9)</f>
        <v>7.0895999999999999</v>
      </c>
      <c r="N139" s="14">
        <f>CHOOSE(CONTROL!$C$42, 7.1057, 7.1057) * CHOOSE(CONTROL!$C$21, $C$9, 100%, $E$9)</f>
        <v>7.1056999999999997</v>
      </c>
      <c r="O139" s="14">
        <f>CHOOSE(CONTROL!$C$42, 7.3351, 7.3351) * CHOOSE(CONTROL!$C$21, $C$9, 100%, $E$9)</f>
        <v>7.3350999999999997</v>
      </c>
      <c r="P139" s="14">
        <f>CHOOSE(CONTROL!$C$42, 7.1234, 7.1234) * CHOOSE(CONTROL!$C$21, $C$9, 100%, $E$9)</f>
        <v>7.1234000000000002</v>
      </c>
      <c r="Q139" s="14">
        <f>CHOOSE(CONTROL!$C$42, 7.9304, 7.9304) * CHOOSE(CONTROL!$C$21, $C$9, 100%, $E$9)</f>
        <v>7.9303999999999997</v>
      </c>
      <c r="R139" s="14">
        <f>CHOOSE(CONTROL!$C$42, 8.5372, 8.5372) * CHOOSE(CONTROL!$C$21, $C$9, 100%, $E$9)</f>
        <v>8.5372000000000003</v>
      </c>
      <c r="S139" s="14">
        <f>CHOOSE(CONTROL!$C$42, 6.9591, 6.9591) * CHOOSE(CONTROL!$C$21, $C$9, 100%, $E$9)</f>
        <v>6.9591000000000003</v>
      </c>
      <c r="T13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39" s="57">
        <f>(1000*CHOOSE(CONTROL!$C$42, 695, 695)*CHOOSE(CONTROL!$C$42, 0.5599, 0.5599)*CHOOSE(CONTROL!$C$42, 31, 31))/1000000</f>
        <v>12.063045499999998</v>
      </c>
      <c r="V139" s="57">
        <f>(1000*CHOOSE(CONTROL!$C$42, 500, 500)*CHOOSE(CONTROL!$C$42, 0.275, 0.275)*CHOOSE(CONTROL!$C$42, 31, 31))/1000000</f>
        <v>4.2625000000000002</v>
      </c>
      <c r="W139" s="57">
        <f>(1000*CHOOSE(CONTROL!$C$42, 0.1146, 0.1146)*CHOOSE(CONTROL!$C$42, 121.5, 121.5)*CHOOSE(CONTROL!$C$42, 31, 31))/1000000</f>
        <v>0.43164089999999994</v>
      </c>
      <c r="X139" s="57">
        <f>(31*0.1790888*245000/1000000)+(31*0.2374*100000/1000000)</f>
        <v>2.0961194359999999</v>
      </c>
      <c r="Y139" s="57"/>
      <c r="Z139" s="14"/>
      <c r="AA139" s="56"/>
      <c r="AB139" s="50">
        <f>(B139*194.205+C139*267.466+D139*133.845+E139*53.484+F139*40+G139*185+H139*0+I139*100+J139*300)/(194.205+267.466+133.845+53.484+0+40+185+100+300)</f>
        <v>7.198928721899529</v>
      </c>
      <c r="AC139" s="45">
        <f>(M139*'RAP TEMPLATE-GAS AVAILABILITY'!O138+N139*'RAP TEMPLATE-GAS AVAILABILITY'!P138+O139*'RAP TEMPLATE-GAS AVAILABILITY'!Q138+P139*'RAP TEMPLATE-GAS AVAILABILITY'!R138)/('RAP TEMPLATE-GAS AVAILABILITY'!O138+'RAP TEMPLATE-GAS AVAILABILITY'!P138+'RAP TEMPLATE-GAS AVAILABILITY'!Q138+'RAP TEMPLATE-GAS AVAILABILITY'!R138)</f>
        <v>7.1670510791366917</v>
      </c>
    </row>
    <row r="140" spans="1:29" ht="15.75" x14ac:dyDescent="0.25">
      <c r="A140" s="13">
        <v>45139</v>
      </c>
      <c r="B140" s="14">
        <f>CHOOSE(CONTROL!$C$42, 6.8167, 6.8167) * CHOOSE(CONTROL!$C$21, $C$9, 100%, $E$9)</f>
        <v>6.8167</v>
      </c>
      <c r="C140" s="14">
        <f>CHOOSE(CONTROL!$C$42, 6.8246, 6.8246) * CHOOSE(CONTROL!$C$21, $C$9, 100%, $E$9)</f>
        <v>6.8246000000000002</v>
      </c>
      <c r="D140" s="14">
        <f>CHOOSE(CONTROL!$C$42, 7.0222, 7.0222) * CHOOSE(CONTROL!$C$21, $C$9, 100%, $E$9)</f>
        <v>7.0221999999999998</v>
      </c>
      <c r="E140" s="14">
        <f>CHOOSE(CONTROL!$C$42, 7.0533, 7.0533) * CHOOSE(CONTROL!$C$21, $C$9, 100%, $E$9)</f>
        <v>7.0533000000000001</v>
      </c>
      <c r="F140" s="14">
        <f>CHOOSE(CONTROL!$C$42, 6.8011, 6.8011)*CHOOSE(CONTROL!$C$21, $C$9, 100%, $E$9)</f>
        <v>6.8010999999999999</v>
      </c>
      <c r="G140" s="14">
        <f>CHOOSE(CONTROL!$C$42, 6.8175, 6.8175)*CHOOSE(CONTROL!$C$21, $C$9, 100%, $E$9)</f>
        <v>6.8174999999999999</v>
      </c>
      <c r="H140" s="14">
        <f>CHOOSE(CONTROL!$C$42, 7.042, 7.042) * CHOOSE(CONTROL!$C$21, $C$9, 100%, $E$9)</f>
        <v>7.0419999999999998</v>
      </c>
      <c r="I140" s="14">
        <f>CHOOSE(CONTROL!$C$42, 6.8281, 6.8281)* CHOOSE(CONTROL!$C$21, $C$9, 100%, $E$9)</f>
        <v>6.8281000000000001</v>
      </c>
      <c r="J140" s="14">
        <f>CHOOSE(CONTROL!$C$42, 6.7941, 6.7941)* CHOOSE(CONTROL!$C$21, $C$9, 100%, $E$9)</f>
        <v>6.7941000000000003</v>
      </c>
      <c r="K140" s="53">
        <f>CHOOSE(CONTROL!$C$42, 6.8242, 6.8242) * CHOOSE(CONTROL!$C$21, $C$9, 100%, $E$9)</f>
        <v>6.8242000000000003</v>
      </c>
      <c r="L140" s="14">
        <f>CHOOSE(CONTROL!$C$42, 7.629, 7.629) * CHOOSE(CONTROL!$C$21, $C$9, 100%, $E$9)</f>
        <v>7.6289999999999996</v>
      </c>
      <c r="M140" s="14">
        <f>CHOOSE(CONTROL!$C$42, 6.7394, 6.7394) * CHOOSE(CONTROL!$C$21, $C$9, 100%, $E$9)</f>
        <v>6.7393999999999998</v>
      </c>
      <c r="N140" s="14">
        <f>CHOOSE(CONTROL!$C$42, 6.7556, 6.7556) * CHOOSE(CONTROL!$C$21, $C$9, 100%, $E$9)</f>
        <v>6.7556000000000003</v>
      </c>
      <c r="O140" s="14">
        <f>CHOOSE(CONTROL!$C$42, 6.9847, 6.9847) * CHOOSE(CONTROL!$C$21, $C$9, 100%, $E$9)</f>
        <v>6.9847000000000001</v>
      </c>
      <c r="P140" s="14">
        <f>CHOOSE(CONTROL!$C$42, 6.773, 6.773) * CHOOSE(CONTROL!$C$21, $C$9, 100%, $E$9)</f>
        <v>6.7729999999999997</v>
      </c>
      <c r="Q140" s="14">
        <f>CHOOSE(CONTROL!$C$42, 7.58, 7.58) * CHOOSE(CONTROL!$C$21, $C$9, 100%, $E$9)</f>
        <v>7.58</v>
      </c>
      <c r="R140" s="14">
        <f>CHOOSE(CONTROL!$C$42, 8.186, 8.186) * CHOOSE(CONTROL!$C$21, $C$9, 100%, $E$9)</f>
        <v>8.1859999999999999</v>
      </c>
      <c r="S140" s="14">
        <f>CHOOSE(CONTROL!$C$42, 6.6155, 6.6155) * CHOOSE(CONTROL!$C$21, $C$9, 100%, $E$9)</f>
        <v>6.6154999999999999</v>
      </c>
      <c r="T14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40" s="57">
        <f>(1000*CHOOSE(CONTROL!$C$42, 695, 695)*CHOOSE(CONTROL!$C$42, 0.5599, 0.5599)*CHOOSE(CONTROL!$C$42, 31, 31))/1000000</f>
        <v>12.063045499999998</v>
      </c>
      <c r="V140" s="57">
        <f>(1000*CHOOSE(CONTROL!$C$42, 500, 500)*CHOOSE(CONTROL!$C$42, 0.275, 0.275)*CHOOSE(CONTROL!$C$42, 31, 31))/1000000</f>
        <v>4.2625000000000002</v>
      </c>
      <c r="W140" s="57">
        <f>(1000*CHOOSE(CONTROL!$C$42, 0.1146, 0.1146)*CHOOSE(CONTROL!$C$42, 121.5, 121.5)*CHOOSE(CONTROL!$C$42, 31, 31))/1000000</f>
        <v>0.43164089999999994</v>
      </c>
      <c r="X140" s="57">
        <f>(31*0.1790888*245000/1000000)+(31*0.2374*100000/1000000)</f>
        <v>2.0961194359999999</v>
      </c>
      <c r="Y140" s="57"/>
      <c r="Z140" s="14"/>
      <c r="AA140" s="56"/>
      <c r="AB140" s="50">
        <f>(B140*194.205+C140*267.466+D140*133.845+E140*53.484+F140*40+G140*185+H140*0+I140*100+J140*300)/(194.205+267.466+133.845+53.484+0+40+185+100+300)</f>
        <v>6.8450802537676614</v>
      </c>
      <c r="AC140" s="45">
        <f>(M140*'RAP TEMPLATE-GAS AVAILABILITY'!O139+N140*'RAP TEMPLATE-GAS AVAILABILITY'!P139+O140*'RAP TEMPLATE-GAS AVAILABILITY'!Q139+P140*'RAP TEMPLATE-GAS AVAILABILITY'!R139)/('RAP TEMPLATE-GAS AVAILABILITY'!O139+'RAP TEMPLATE-GAS AVAILABILITY'!P139+'RAP TEMPLATE-GAS AVAILABILITY'!Q139+'RAP TEMPLATE-GAS AVAILABILITY'!R139)</f>
        <v>6.816789208633093</v>
      </c>
    </row>
    <row r="141" spans="1:29" ht="15.75" x14ac:dyDescent="0.25">
      <c r="A141" s="13">
        <v>45170</v>
      </c>
      <c r="B141" s="14">
        <f>CHOOSE(CONTROL!$C$42, 6.3839, 6.3839) * CHOOSE(CONTROL!$C$21, $C$9, 100%, $E$9)</f>
        <v>6.3838999999999997</v>
      </c>
      <c r="C141" s="14">
        <f>CHOOSE(CONTROL!$C$42, 6.3918, 6.3918) * CHOOSE(CONTROL!$C$21, $C$9, 100%, $E$9)</f>
        <v>6.3917999999999999</v>
      </c>
      <c r="D141" s="14">
        <f>CHOOSE(CONTROL!$C$42, 6.5894, 6.5894) * CHOOSE(CONTROL!$C$21, $C$9, 100%, $E$9)</f>
        <v>6.5894000000000004</v>
      </c>
      <c r="E141" s="14">
        <f>CHOOSE(CONTROL!$C$42, 6.6205, 6.6205) * CHOOSE(CONTROL!$C$21, $C$9, 100%, $E$9)</f>
        <v>6.6204999999999998</v>
      </c>
      <c r="F141" s="14">
        <f>CHOOSE(CONTROL!$C$42, 6.3683, 6.3683)*CHOOSE(CONTROL!$C$21, $C$9, 100%, $E$9)</f>
        <v>6.3682999999999996</v>
      </c>
      <c r="G141" s="14">
        <f>CHOOSE(CONTROL!$C$42, 6.3846, 6.3846)*CHOOSE(CONTROL!$C$21, $C$9, 100%, $E$9)</f>
        <v>6.3845999999999998</v>
      </c>
      <c r="H141" s="14">
        <f>CHOOSE(CONTROL!$C$42, 6.6092, 6.6092) * CHOOSE(CONTROL!$C$21, $C$9, 100%, $E$9)</f>
        <v>6.6092000000000004</v>
      </c>
      <c r="I141" s="14">
        <f>CHOOSE(CONTROL!$C$42, 6.3953, 6.3953)* CHOOSE(CONTROL!$C$21, $C$9, 100%, $E$9)</f>
        <v>6.3952999999999998</v>
      </c>
      <c r="J141" s="14">
        <f>CHOOSE(CONTROL!$C$42, 6.3613, 6.3613)* CHOOSE(CONTROL!$C$21, $C$9, 100%, $E$9)</f>
        <v>6.3613</v>
      </c>
      <c r="K141" s="53">
        <f>CHOOSE(CONTROL!$C$42, 6.3914, 6.3914) * CHOOSE(CONTROL!$C$21, $C$9, 100%, $E$9)</f>
        <v>6.3914</v>
      </c>
      <c r="L141" s="14">
        <f>CHOOSE(CONTROL!$C$42, 7.1962, 7.1962) * CHOOSE(CONTROL!$C$21, $C$9, 100%, $E$9)</f>
        <v>7.1962000000000002</v>
      </c>
      <c r="M141" s="14">
        <f>CHOOSE(CONTROL!$C$42, 6.3109, 6.3109) * CHOOSE(CONTROL!$C$21, $C$9, 100%, $E$9)</f>
        <v>6.3109000000000002</v>
      </c>
      <c r="N141" s="14">
        <f>CHOOSE(CONTROL!$C$42, 6.3271, 6.3271) * CHOOSE(CONTROL!$C$21, $C$9, 100%, $E$9)</f>
        <v>6.3270999999999997</v>
      </c>
      <c r="O141" s="14">
        <f>CHOOSE(CONTROL!$C$42, 6.5563, 6.5563) * CHOOSE(CONTROL!$C$21, $C$9, 100%, $E$9)</f>
        <v>6.5563000000000002</v>
      </c>
      <c r="P141" s="14">
        <f>CHOOSE(CONTROL!$C$42, 6.3446, 6.3446) * CHOOSE(CONTROL!$C$21, $C$9, 100%, $E$9)</f>
        <v>6.3445999999999998</v>
      </c>
      <c r="Q141" s="14">
        <f>CHOOSE(CONTROL!$C$42, 7.1516, 7.1516) * CHOOSE(CONTROL!$C$21, $C$9, 100%, $E$9)</f>
        <v>7.1516000000000002</v>
      </c>
      <c r="R141" s="14">
        <f>CHOOSE(CONTROL!$C$42, 7.7565, 7.7565) * CHOOSE(CONTROL!$C$21, $C$9, 100%, $E$9)</f>
        <v>7.7565</v>
      </c>
      <c r="S141" s="14">
        <f>CHOOSE(CONTROL!$C$42, 6.1951, 6.1951) * CHOOSE(CONTROL!$C$21, $C$9, 100%, $E$9)</f>
        <v>6.1951000000000001</v>
      </c>
      <c r="T14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41" s="57">
        <f>(1000*CHOOSE(CONTROL!$C$42, 695, 695)*CHOOSE(CONTROL!$C$42, 0.5599, 0.5599)*CHOOSE(CONTROL!$C$42, 30, 30))/1000000</f>
        <v>11.673914999999997</v>
      </c>
      <c r="V141" s="57">
        <f>(1000*CHOOSE(CONTROL!$C$42, 500, 500)*CHOOSE(CONTROL!$C$42, 0.275, 0.275)*CHOOSE(CONTROL!$C$42, 30, 30))/1000000</f>
        <v>4.125</v>
      </c>
      <c r="W141" s="57">
        <f>(1000*CHOOSE(CONTROL!$C$42, 0.1146, 0.1146)*CHOOSE(CONTROL!$C$42, 121.5, 121.5)*CHOOSE(CONTROL!$C$42, 30, 30))/1000000</f>
        <v>0.417717</v>
      </c>
      <c r="X141" s="57">
        <f>(30*0.1790888*245000/1000000)+(30*0.2374*100000/1000000)</f>
        <v>2.0285026799999999</v>
      </c>
      <c r="Y141" s="57"/>
      <c r="Z141" s="14"/>
      <c r="AA141" s="56"/>
      <c r="AB141" s="50">
        <f>(B141*194.205+C141*267.466+D141*133.845+E141*53.484+F141*40+G141*185+H141*0+I141*100+J141*300)/(194.205+267.466+133.845+53.484+0+40+185+100+300)</f>
        <v>6.4122657325745678</v>
      </c>
      <c r="AC141" s="45">
        <f>(M141*'RAP TEMPLATE-GAS AVAILABILITY'!O140+N141*'RAP TEMPLATE-GAS AVAILABILITY'!P140+O141*'RAP TEMPLATE-GAS AVAILABILITY'!Q140+P141*'RAP TEMPLATE-GAS AVAILABILITY'!R140)/('RAP TEMPLATE-GAS AVAILABILITY'!O140+'RAP TEMPLATE-GAS AVAILABILITY'!P140+'RAP TEMPLATE-GAS AVAILABILITY'!Q140+'RAP TEMPLATE-GAS AVAILABILITY'!R140)</f>
        <v>6.3883316546762599</v>
      </c>
    </row>
    <row r="142" spans="1:29" ht="15.75" x14ac:dyDescent="0.25">
      <c r="A142" s="13">
        <v>45200</v>
      </c>
      <c r="B142" s="14">
        <f>CHOOSE(CONTROL!$C$42, 6.2526, 6.2526) * CHOOSE(CONTROL!$C$21, $C$9, 100%, $E$9)</f>
        <v>6.2526000000000002</v>
      </c>
      <c r="C142" s="14">
        <f>CHOOSE(CONTROL!$C$42, 6.2578, 6.2578) * CHOOSE(CONTROL!$C$21, $C$9, 100%, $E$9)</f>
        <v>6.2577999999999996</v>
      </c>
      <c r="D142" s="14">
        <f>CHOOSE(CONTROL!$C$42, 6.4604, 6.4604) * CHOOSE(CONTROL!$C$21, $C$9, 100%, $E$9)</f>
        <v>6.4603999999999999</v>
      </c>
      <c r="E142" s="14">
        <f>CHOOSE(CONTROL!$C$42, 6.4892, 6.4892) * CHOOSE(CONTROL!$C$21, $C$9, 100%, $E$9)</f>
        <v>6.4892000000000003</v>
      </c>
      <c r="F142" s="14">
        <f>CHOOSE(CONTROL!$C$42, 6.239, 6.239)*CHOOSE(CONTROL!$C$21, $C$9, 100%, $E$9)</f>
        <v>6.2389999999999999</v>
      </c>
      <c r="G142" s="14">
        <f>CHOOSE(CONTROL!$C$42, 6.255, 6.255)*CHOOSE(CONTROL!$C$21, $C$9, 100%, $E$9)</f>
        <v>6.2549999999999999</v>
      </c>
      <c r="H142" s="14">
        <f>CHOOSE(CONTROL!$C$42, 6.4796, 6.4796) * CHOOSE(CONTROL!$C$21, $C$9, 100%, $E$9)</f>
        <v>6.4795999999999996</v>
      </c>
      <c r="I142" s="14">
        <f>CHOOSE(CONTROL!$C$42, 6.2657, 6.2657)* CHOOSE(CONTROL!$C$21, $C$9, 100%, $E$9)</f>
        <v>6.2656999999999998</v>
      </c>
      <c r="J142" s="14">
        <f>CHOOSE(CONTROL!$C$42, 6.232, 6.232)* CHOOSE(CONTROL!$C$21, $C$9, 100%, $E$9)</f>
        <v>6.2320000000000002</v>
      </c>
      <c r="K142" s="53">
        <f>CHOOSE(CONTROL!$C$42, 6.2619, 6.2619) * CHOOSE(CONTROL!$C$21, $C$9, 100%, $E$9)</f>
        <v>6.2618999999999998</v>
      </c>
      <c r="L142" s="14">
        <f>CHOOSE(CONTROL!$C$42, 7.0666, 7.0666) * CHOOSE(CONTROL!$C$21, $C$9, 100%, $E$9)</f>
        <v>7.0666000000000002</v>
      </c>
      <c r="M142" s="14">
        <f>CHOOSE(CONTROL!$C$42, 6.1829, 6.1829) * CHOOSE(CONTROL!$C$21, $C$9, 100%, $E$9)</f>
        <v>6.1829000000000001</v>
      </c>
      <c r="N142" s="14">
        <f>CHOOSE(CONTROL!$C$42, 6.1988, 6.1988) * CHOOSE(CONTROL!$C$21, $C$9, 100%, $E$9)</f>
        <v>6.1988000000000003</v>
      </c>
      <c r="O142" s="14">
        <f>CHOOSE(CONTROL!$C$42, 6.4281, 6.4281) * CHOOSE(CONTROL!$C$21, $C$9, 100%, $E$9)</f>
        <v>6.4280999999999997</v>
      </c>
      <c r="P142" s="14">
        <f>CHOOSE(CONTROL!$C$42, 6.2164, 6.2164) * CHOOSE(CONTROL!$C$21, $C$9, 100%, $E$9)</f>
        <v>6.2164000000000001</v>
      </c>
      <c r="Q142" s="14">
        <f>CHOOSE(CONTROL!$C$42, 7.0234, 7.0234) * CHOOSE(CONTROL!$C$21, $C$9, 100%, $E$9)</f>
        <v>7.0233999999999996</v>
      </c>
      <c r="R142" s="14">
        <f>CHOOSE(CONTROL!$C$42, 7.6279, 7.6279) * CHOOSE(CONTROL!$C$21, $C$9, 100%, $E$9)</f>
        <v>7.6279000000000003</v>
      </c>
      <c r="S142" s="14">
        <f>CHOOSE(CONTROL!$C$42, 6.0694, 6.0694) * CHOOSE(CONTROL!$C$21, $C$9, 100%, $E$9)</f>
        <v>6.0693999999999999</v>
      </c>
      <c r="T14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42" s="57">
        <f>(1000*CHOOSE(CONTROL!$C$42, 695, 695)*CHOOSE(CONTROL!$C$42, 0.5599, 0.5599)*CHOOSE(CONTROL!$C$42, 31, 31))/1000000</f>
        <v>12.063045499999998</v>
      </c>
      <c r="V142" s="57">
        <f>(1000*CHOOSE(CONTROL!$C$42, 500, 500)*CHOOSE(CONTROL!$C$42, 0.275, 0.275)*CHOOSE(CONTROL!$C$42, 31, 31))/1000000</f>
        <v>4.2625000000000002</v>
      </c>
      <c r="W142" s="57">
        <f>(1000*CHOOSE(CONTROL!$C$42, 0.1146, 0.1146)*CHOOSE(CONTROL!$C$42, 121.5, 121.5)*CHOOSE(CONTROL!$C$42, 31, 31))/1000000</f>
        <v>0.43164089999999994</v>
      </c>
      <c r="X142" s="57">
        <f>(31*0.1790888*245000/1000000)+(31*0.2374*100000/1000000)</f>
        <v>2.0961194359999999</v>
      </c>
      <c r="Y142" s="57"/>
      <c r="Z142" s="14"/>
      <c r="AA142" s="56"/>
      <c r="AB142" s="50">
        <f>(B142*131.881+C142*277.167+D142*79.08+E142*125.872+F142*40+G142*185+H142*0+I142*100+J142*300)/(131.881+277.167+79.08+125.872+0+40+185+100+300)</f>
        <v>6.2870514992736082</v>
      </c>
      <c r="AC142" s="45">
        <f>(M142*'RAP TEMPLATE-GAS AVAILABILITY'!O141+N142*'RAP TEMPLATE-GAS AVAILABILITY'!P141+O142*'RAP TEMPLATE-GAS AVAILABILITY'!Q141+P142*'RAP TEMPLATE-GAS AVAILABILITY'!R141)/('RAP TEMPLATE-GAS AVAILABILITY'!O141+'RAP TEMPLATE-GAS AVAILABILITY'!P141+'RAP TEMPLATE-GAS AVAILABILITY'!Q141+'RAP TEMPLATE-GAS AVAILABILITY'!R141)</f>
        <v>6.2601776978417263</v>
      </c>
    </row>
    <row r="143" spans="1:29" ht="15.75" x14ac:dyDescent="0.25">
      <c r="A143" s="13">
        <v>45231</v>
      </c>
      <c r="B143" s="14">
        <f>CHOOSE(CONTROL!$C$42, 6.4168, 6.4168) * CHOOSE(CONTROL!$C$21, $C$9, 100%, $E$9)</f>
        <v>6.4168000000000003</v>
      </c>
      <c r="C143" s="14">
        <f>CHOOSE(CONTROL!$C$42, 6.4218, 6.4218) * CHOOSE(CONTROL!$C$21, $C$9, 100%, $E$9)</f>
        <v>6.4218000000000002</v>
      </c>
      <c r="D143" s="14">
        <f>CHOOSE(CONTROL!$C$42, 6.4849, 6.4849) * CHOOSE(CONTROL!$C$21, $C$9, 100%, $E$9)</f>
        <v>6.4848999999999997</v>
      </c>
      <c r="E143" s="14">
        <f>CHOOSE(CONTROL!$C$42, 6.5186, 6.5186) * CHOOSE(CONTROL!$C$21, $C$9, 100%, $E$9)</f>
        <v>6.5186000000000002</v>
      </c>
      <c r="F143" s="14">
        <f>CHOOSE(CONTROL!$C$42, 6.4175, 6.4175)*CHOOSE(CONTROL!$C$21, $C$9, 100%, $E$9)</f>
        <v>6.4175000000000004</v>
      </c>
      <c r="G143" s="14">
        <f>CHOOSE(CONTROL!$C$42, 6.4338, 6.4338)*CHOOSE(CONTROL!$C$21, $C$9, 100%, $E$9)</f>
        <v>6.4337999999999997</v>
      </c>
      <c r="H143" s="14">
        <f>CHOOSE(CONTROL!$C$42, 6.5078, 6.5078) * CHOOSE(CONTROL!$C$21, $C$9, 100%, $E$9)</f>
        <v>6.5077999999999996</v>
      </c>
      <c r="I143" s="14">
        <f>CHOOSE(CONTROL!$C$42, 6.4304, 6.4304)* CHOOSE(CONTROL!$C$21, $C$9, 100%, $E$9)</f>
        <v>6.4303999999999997</v>
      </c>
      <c r="J143" s="14">
        <f>CHOOSE(CONTROL!$C$42, 6.4105, 6.4105)* CHOOSE(CONTROL!$C$21, $C$9, 100%, $E$9)</f>
        <v>6.4104999999999999</v>
      </c>
      <c r="K143" s="53">
        <f>CHOOSE(CONTROL!$C$42, 6.4265, 6.4265) * CHOOSE(CONTROL!$C$21, $C$9, 100%, $E$9)</f>
        <v>6.4264999999999999</v>
      </c>
      <c r="L143" s="14">
        <f>CHOOSE(CONTROL!$C$42, 7.0948, 7.0948) * CHOOSE(CONTROL!$C$21, $C$9, 100%, $E$9)</f>
        <v>7.0948000000000002</v>
      </c>
      <c r="M143" s="14">
        <f>CHOOSE(CONTROL!$C$42, 6.3597, 6.3597) * CHOOSE(CONTROL!$C$21, $C$9, 100%, $E$9)</f>
        <v>6.3597000000000001</v>
      </c>
      <c r="N143" s="14">
        <f>CHOOSE(CONTROL!$C$42, 6.3758, 6.3758) * CHOOSE(CONTROL!$C$21, $C$9, 100%, $E$9)</f>
        <v>6.3757999999999999</v>
      </c>
      <c r="O143" s="14">
        <f>CHOOSE(CONTROL!$C$42, 6.456, 6.456) * CHOOSE(CONTROL!$C$21, $C$9, 100%, $E$9)</f>
        <v>6.4560000000000004</v>
      </c>
      <c r="P143" s="14">
        <f>CHOOSE(CONTROL!$C$42, 6.3793, 6.3793) * CHOOSE(CONTROL!$C$21, $C$9, 100%, $E$9)</f>
        <v>6.3792999999999997</v>
      </c>
      <c r="Q143" s="14">
        <f>CHOOSE(CONTROL!$C$42, 7.0513, 7.0513) * CHOOSE(CONTROL!$C$21, $C$9, 100%, $E$9)</f>
        <v>7.0513000000000003</v>
      </c>
      <c r="R143" s="14">
        <f>CHOOSE(CONTROL!$C$42, 7.6559, 7.6559) * CHOOSE(CONTROL!$C$21, $C$9, 100%, $E$9)</f>
        <v>7.6558999999999999</v>
      </c>
      <c r="S143" s="14">
        <f>CHOOSE(CONTROL!$C$42, 6.2293, 6.2293) * CHOOSE(CONTROL!$C$21, $C$9, 100%, $E$9)</f>
        <v>6.2293000000000003</v>
      </c>
      <c r="T14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43" s="57">
        <f>(1000*CHOOSE(CONTROL!$C$42, 695, 695)*CHOOSE(CONTROL!$C$42, 0.5599, 0.5599)*CHOOSE(CONTROL!$C$42, 30, 30))/1000000</f>
        <v>11.673914999999997</v>
      </c>
      <c r="V143" s="57">
        <f>(1000*CHOOSE(CONTROL!$C$42, 500, 500)*CHOOSE(CONTROL!$C$42, 0.275, 0.275)*CHOOSE(CONTROL!$C$42, 30, 30))/1000000</f>
        <v>4.125</v>
      </c>
      <c r="W143" s="57">
        <f>(1000*CHOOSE(CONTROL!$C$42, 0.1146, 0.1146)*CHOOSE(CONTROL!$C$42, 121.5, 121.5)*CHOOSE(CONTROL!$C$42, 30, 30))/1000000</f>
        <v>0.417717</v>
      </c>
      <c r="X143" s="57">
        <f>(30*0.1790888*100000/1000000)+(30*0.2374*100000/1000000)</f>
        <v>1.2494664</v>
      </c>
      <c r="Y143" s="57"/>
      <c r="Z143" s="14"/>
      <c r="AA143" s="56"/>
      <c r="AB143" s="50">
        <f>(B143*122.58+C143*297.941+D143*89.177+E143*40.302+F143*40+G143*160+H143*0+I143*100+J143*300)/(122.58+297.941+89.177+40.302+0+40+160+100+300)</f>
        <v>6.4288725237391295</v>
      </c>
      <c r="AC143" s="45">
        <f>(M143*'RAP TEMPLATE-GAS AVAILABILITY'!O142+N143*'RAP TEMPLATE-GAS AVAILABILITY'!P142+O143*'RAP TEMPLATE-GAS AVAILABILITY'!Q142+P143*'RAP TEMPLATE-GAS AVAILABILITY'!R142)/('RAP TEMPLATE-GAS AVAILABILITY'!O142+'RAP TEMPLATE-GAS AVAILABILITY'!P142+'RAP TEMPLATE-GAS AVAILABILITY'!Q142+'RAP TEMPLATE-GAS AVAILABILITY'!R142)</f>
        <v>6.4070935251798566</v>
      </c>
    </row>
    <row r="144" spans="1:29" ht="15.75" x14ac:dyDescent="0.25">
      <c r="A144" s="13">
        <v>45261</v>
      </c>
      <c r="B144" s="14">
        <f>CHOOSE(CONTROL!$C$42, 6.8541, 6.8541) * CHOOSE(CONTROL!$C$21, $C$9, 100%, $E$9)</f>
        <v>6.8540999999999999</v>
      </c>
      <c r="C144" s="14">
        <f>CHOOSE(CONTROL!$C$42, 6.8591, 6.8591) * CHOOSE(CONTROL!$C$21, $C$9, 100%, $E$9)</f>
        <v>6.8590999999999998</v>
      </c>
      <c r="D144" s="14">
        <f>CHOOSE(CONTROL!$C$42, 6.9222, 6.9222) * CHOOSE(CONTROL!$C$21, $C$9, 100%, $E$9)</f>
        <v>6.9222000000000001</v>
      </c>
      <c r="E144" s="14">
        <f>CHOOSE(CONTROL!$C$42, 6.9559, 6.9559) * CHOOSE(CONTROL!$C$21, $C$9, 100%, $E$9)</f>
        <v>6.9558999999999997</v>
      </c>
      <c r="F144" s="14">
        <f>CHOOSE(CONTROL!$C$42, 6.8569, 6.8569)*CHOOSE(CONTROL!$C$21, $C$9, 100%, $E$9)</f>
        <v>6.8569000000000004</v>
      </c>
      <c r="G144" s="14">
        <f>CHOOSE(CONTROL!$C$42, 6.8737, 6.8737)*CHOOSE(CONTROL!$C$21, $C$9, 100%, $E$9)</f>
        <v>6.8737000000000004</v>
      </c>
      <c r="H144" s="14">
        <f>CHOOSE(CONTROL!$C$42, 6.9451, 6.9451) * CHOOSE(CONTROL!$C$21, $C$9, 100%, $E$9)</f>
        <v>6.9451000000000001</v>
      </c>
      <c r="I144" s="14">
        <f>CHOOSE(CONTROL!$C$42, 6.8677, 6.8677)* CHOOSE(CONTROL!$C$21, $C$9, 100%, $E$9)</f>
        <v>6.8677000000000001</v>
      </c>
      <c r="J144" s="14">
        <f>CHOOSE(CONTROL!$C$42, 6.8499, 6.8499)* CHOOSE(CONTROL!$C$21, $C$9, 100%, $E$9)</f>
        <v>6.8498999999999999</v>
      </c>
      <c r="K144" s="53">
        <f>CHOOSE(CONTROL!$C$42, 6.8638, 6.8638) * CHOOSE(CONTROL!$C$21, $C$9, 100%, $E$9)</f>
        <v>6.8638000000000003</v>
      </c>
      <c r="L144" s="14">
        <f>CHOOSE(CONTROL!$C$42, 7.5321, 7.5321) * CHOOSE(CONTROL!$C$21, $C$9, 100%, $E$9)</f>
        <v>7.5320999999999998</v>
      </c>
      <c r="M144" s="14">
        <f>CHOOSE(CONTROL!$C$42, 6.7946, 6.7946) * CHOOSE(CONTROL!$C$21, $C$9, 100%, $E$9)</f>
        <v>6.7946</v>
      </c>
      <c r="N144" s="14">
        <f>CHOOSE(CONTROL!$C$42, 6.8112, 6.8112) * CHOOSE(CONTROL!$C$21, $C$9, 100%, $E$9)</f>
        <v>6.8112000000000004</v>
      </c>
      <c r="O144" s="14">
        <f>CHOOSE(CONTROL!$C$42, 6.8889, 6.8889) * CHOOSE(CONTROL!$C$21, $C$9, 100%, $E$9)</f>
        <v>6.8888999999999996</v>
      </c>
      <c r="P144" s="14">
        <f>CHOOSE(CONTROL!$C$42, 6.8122, 6.8122) * CHOOSE(CONTROL!$C$21, $C$9, 100%, $E$9)</f>
        <v>6.8121999999999998</v>
      </c>
      <c r="Q144" s="14">
        <f>CHOOSE(CONTROL!$C$42, 7.4842, 7.4842) * CHOOSE(CONTROL!$C$21, $C$9, 100%, $E$9)</f>
        <v>7.4842000000000004</v>
      </c>
      <c r="R144" s="14">
        <f>CHOOSE(CONTROL!$C$42, 8.0899, 8.0899) * CHOOSE(CONTROL!$C$21, $C$9, 100%, $E$9)</f>
        <v>8.0899000000000001</v>
      </c>
      <c r="S144" s="14">
        <f>CHOOSE(CONTROL!$C$42, 6.6539, 6.6539) * CHOOSE(CONTROL!$C$21, $C$9, 100%, $E$9)</f>
        <v>6.6539000000000001</v>
      </c>
      <c r="T14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44" s="57">
        <f>(1000*CHOOSE(CONTROL!$C$42, 695, 695)*CHOOSE(CONTROL!$C$42, 0.5599, 0.5599)*CHOOSE(CONTROL!$C$42, 31, 31))/1000000</f>
        <v>12.063045499999998</v>
      </c>
      <c r="V144" s="57">
        <f>(1000*CHOOSE(CONTROL!$C$42, 500, 500)*CHOOSE(CONTROL!$C$42, 0.275, 0.275)*CHOOSE(CONTROL!$C$42, 31, 31))/1000000</f>
        <v>4.2625000000000002</v>
      </c>
      <c r="W144" s="57">
        <f>(1000*CHOOSE(CONTROL!$C$42, 0.1146, 0.1146)*CHOOSE(CONTROL!$C$42, 121.5, 121.5)*CHOOSE(CONTROL!$C$42, 31, 31))/1000000</f>
        <v>0.43164089999999994</v>
      </c>
      <c r="X144" s="57">
        <f>(31*0.1790888*100000/1000000)+(31*0.2374*100000/1000000)</f>
        <v>1.2911152800000001</v>
      </c>
      <c r="Y144" s="57"/>
      <c r="Z144" s="14"/>
      <c r="AA144" s="56"/>
      <c r="AB144" s="50">
        <f>(B144*122.58+C144*297.941+D144*89.177+E144*40.302+F144*40+G144*160+H144*0+I144*100+J144*300)/(122.58+297.941+89.177+40.302+0+40+160+100+300)</f>
        <v>6.8671551324347817</v>
      </c>
      <c r="AC144" s="45">
        <f>(M144*'RAP TEMPLATE-GAS AVAILABILITY'!O143+N144*'RAP TEMPLATE-GAS AVAILABILITY'!P143+O144*'RAP TEMPLATE-GAS AVAILABILITY'!Q143+P144*'RAP TEMPLATE-GAS AVAILABILITY'!R143)/('RAP TEMPLATE-GAS AVAILABILITY'!O143+'RAP TEMPLATE-GAS AVAILABILITY'!P143+'RAP TEMPLATE-GAS AVAILABILITY'!Q143+'RAP TEMPLATE-GAS AVAILABILITY'!R143)</f>
        <v>6.8408280575539573</v>
      </c>
    </row>
    <row r="145" spans="1:29" ht="15.75" x14ac:dyDescent="0.25">
      <c r="A145" s="13">
        <v>45292</v>
      </c>
      <c r="B145" s="14">
        <f>CHOOSE(CONTROL!$C$42, 7.5713, 7.5713) * CHOOSE(CONTROL!$C$21, $C$9, 100%, $E$9)</f>
        <v>7.5712999999999999</v>
      </c>
      <c r="C145" s="14">
        <f>CHOOSE(CONTROL!$C$42, 7.5763, 7.5763) * CHOOSE(CONTROL!$C$21, $C$9, 100%, $E$9)</f>
        <v>7.5762999999999998</v>
      </c>
      <c r="D145" s="14">
        <f>CHOOSE(CONTROL!$C$42, 7.6405, 7.6405) * CHOOSE(CONTROL!$C$21, $C$9, 100%, $E$9)</f>
        <v>7.6405000000000003</v>
      </c>
      <c r="E145" s="14">
        <f>CHOOSE(CONTROL!$C$42, 7.6743, 7.6743) * CHOOSE(CONTROL!$C$21, $C$9, 100%, $E$9)</f>
        <v>7.6742999999999997</v>
      </c>
      <c r="F145" s="14">
        <f>CHOOSE(CONTROL!$C$42, 7.5728, 7.5728)*CHOOSE(CONTROL!$C$21, $C$9, 100%, $E$9)</f>
        <v>7.5728</v>
      </c>
      <c r="G145" s="14">
        <f>CHOOSE(CONTROL!$C$42, 7.5888, 7.5888)*CHOOSE(CONTROL!$C$21, $C$9, 100%, $E$9)</f>
        <v>7.5888</v>
      </c>
      <c r="H145" s="14">
        <f>CHOOSE(CONTROL!$C$42, 7.6635, 7.6635) * CHOOSE(CONTROL!$C$21, $C$9, 100%, $E$9)</f>
        <v>7.6635</v>
      </c>
      <c r="I145" s="14">
        <f>CHOOSE(CONTROL!$C$42, 7.5913, 7.5913)* CHOOSE(CONTROL!$C$21, $C$9, 100%, $E$9)</f>
        <v>7.5913000000000004</v>
      </c>
      <c r="J145" s="14">
        <f>CHOOSE(CONTROL!$C$42, 7.5658, 7.5658)* CHOOSE(CONTROL!$C$21, $C$9, 100%, $E$9)</f>
        <v>7.5658000000000003</v>
      </c>
      <c r="K145" s="53">
        <f>CHOOSE(CONTROL!$C$42, 7.5874, 7.5874) * CHOOSE(CONTROL!$C$21, $C$9, 100%, $E$9)</f>
        <v>7.5873999999999997</v>
      </c>
      <c r="L145" s="14">
        <f>CHOOSE(CONTROL!$C$42, 8.2505, 8.2505) * CHOOSE(CONTROL!$C$21, $C$9, 100%, $E$9)</f>
        <v>8.2505000000000006</v>
      </c>
      <c r="M145" s="14">
        <f>CHOOSE(CONTROL!$C$42, 7.5033, 7.5033) * CHOOSE(CONTROL!$C$21, $C$9, 100%, $E$9)</f>
        <v>7.5033000000000003</v>
      </c>
      <c r="N145" s="14">
        <f>CHOOSE(CONTROL!$C$42, 7.5191, 7.5191) * CHOOSE(CONTROL!$C$21, $C$9, 100%, $E$9)</f>
        <v>7.5190999999999999</v>
      </c>
      <c r="O145" s="14">
        <f>CHOOSE(CONTROL!$C$42, 7.6, 7.6) * CHOOSE(CONTROL!$C$21, $C$9, 100%, $E$9)</f>
        <v>7.6</v>
      </c>
      <c r="P145" s="14">
        <f>CHOOSE(CONTROL!$C$42, 7.5286, 7.5286) * CHOOSE(CONTROL!$C$21, $C$9, 100%, $E$9)</f>
        <v>7.5286</v>
      </c>
      <c r="Q145" s="14">
        <f>CHOOSE(CONTROL!$C$42, 8.1953, 8.1953) * CHOOSE(CONTROL!$C$21, $C$9, 100%, $E$9)</f>
        <v>8.1952999999999996</v>
      </c>
      <c r="R145" s="14">
        <f>CHOOSE(CONTROL!$C$42, 8.8028, 8.8028) * CHOOSE(CONTROL!$C$21, $C$9, 100%, $E$9)</f>
        <v>8.8027999999999995</v>
      </c>
      <c r="S145" s="14">
        <f>CHOOSE(CONTROL!$C$42, 7.3504, 7.3504) * CHOOSE(CONTROL!$C$21, $C$9, 100%, $E$9)</f>
        <v>7.3503999999999996</v>
      </c>
      <c r="T14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45" s="57">
        <f>(1000*CHOOSE(CONTROL!$C$42, 695, 695)*CHOOSE(CONTROL!$C$42, 0.5599, 0.5599)*CHOOSE(CONTROL!$C$42, 31, 31))/1000000</f>
        <v>12.063045499999998</v>
      </c>
      <c r="V145" s="57">
        <f>(1000*CHOOSE(CONTROL!$C$42, 500, 500)*CHOOSE(CONTROL!$C$42, 0.275, 0.275)*CHOOSE(CONTROL!$C$42, 31, 31))/1000000</f>
        <v>4.2625000000000002</v>
      </c>
      <c r="W145" s="57">
        <f>(1000*CHOOSE(CONTROL!$C$42, 0.1146, 0.1146)*CHOOSE(CONTROL!$C$42, 121.5, 121.5)*CHOOSE(CONTROL!$C$42, 31, 31))/1000000</f>
        <v>0.43164089999999994</v>
      </c>
      <c r="X145" s="57">
        <f>(31*0.1790888*100000/1000000)+(31*0.2374*100000/1000000)</f>
        <v>1.2911152800000001</v>
      </c>
      <c r="Y145" s="57"/>
      <c r="Z145" s="14"/>
      <c r="AA145" s="56"/>
      <c r="AB145" s="50">
        <f>(B145*122.58+C145*297.941+D145*89.177+E145*40.302+F145*40+G145*160+H145*0+I145*100+J145*300)/(122.58+297.941+89.177+40.302+0+40+160+100+300)</f>
        <v>7.5843624864347827</v>
      </c>
      <c r="AC145" s="45">
        <f>(M145*'RAP TEMPLATE-GAS AVAILABILITY'!O144+N145*'RAP TEMPLATE-GAS AVAILABILITY'!P144+O145*'RAP TEMPLATE-GAS AVAILABILITY'!Q144+P145*'RAP TEMPLATE-GAS AVAILABILITY'!R144)/('RAP TEMPLATE-GAS AVAILABILITY'!O144+'RAP TEMPLATE-GAS AVAILABILITY'!P144+'RAP TEMPLATE-GAS AVAILABILITY'!Q144+'RAP TEMPLATE-GAS AVAILABILITY'!R144)</f>
        <v>7.5516776978417273</v>
      </c>
    </row>
    <row r="146" spans="1:29" ht="15.75" x14ac:dyDescent="0.25">
      <c r="A146" s="13">
        <v>45323</v>
      </c>
      <c r="B146" s="14">
        <f>CHOOSE(CONTROL!$C$42, 7.706, 7.706) * CHOOSE(CONTROL!$C$21, $C$9, 100%, $E$9)</f>
        <v>7.7060000000000004</v>
      </c>
      <c r="C146" s="14">
        <f>CHOOSE(CONTROL!$C$42, 7.711, 7.711) * CHOOSE(CONTROL!$C$21, $C$9, 100%, $E$9)</f>
        <v>7.7110000000000003</v>
      </c>
      <c r="D146" s="14">
        <f>CHOOSE(CONTROL!$C$42, 7.7753, 7.7753) * CHOOSE(CONTROL!$C$21, $C$9, 100%, $E$9)</f>
        <v>7.7752999999999997</v>
      </c>
      <c r="E146" s="14">
        <f>CHOOSE(CONTROL!$C$42, 7.8091, 7.8091) * CHOOSE(CONTROL!$C$21, $C$9, 100%, $E$9)</f>
        <v>7.8090999999999999</v>
      </c>
      <c r="F146" s="14">
        <f>CHOOSE(CONTROL!$C$42, 7.7076, 7.7076)*CHOOSE(CONTROL!$C$21, $C$9, 100%, $E$9)</f>
        <v>7.7076000000000002</v>
      </c>
      <c r="G146" s="14">
        <f>CHOOSE(CONTROL!$C$42, 7.7235, 7.7235)*CHOOSE(CONTROL!$C$21, $C$9, 100%, $E$9)</f>
        <v>7.7234999999999996</v>
      </c>
      <c r="H146" s="14">
        <f>CHOOSE(CONTROL!$C$42, 7.7982, 7.7982) * CHOOSE(CONTROL!$C$21, $C$9, 100%, $E$9)</f>
        <v>7.7981999999999996</v>
      </c>
      <c r="I146" s="14">
        <f>CHOOSE(CONTROL!$C$42, 7.726, 7.726)* CHOOSE(CONTROL!$C$21, $C$9, 100%, $E$9)</f>
        <v>7.726</v>
      </c>
      <c r="J146" s="14">
        <f>CHOOSE(CONTROL!$C$42, 7.7006, 7.7006)* CHOOSE(CONTROL!$C$21, $C$9, 100%, $E$9)</f>
        <v>7.7005999999999997</v>
      </c>
      <c r="K146" s="53">
        <f>CHOOSE(CONTROL!$C$42, 7.7221, 7.7221) * CHOOSE(CONTROL!$C$21, $C$9, 100%, $E$9)</f>
        <v>7.7221000000000002</v>
      </c>
      <c r="L146" s="14">
        <f>CHOOSE(CONTROL!$C$42, 8.3852, 8.3852) * CHOOSE(CONTROL!$C$21, $C$9, 100%, $E$9)</f>
        <v>8.3851999999999993</v>
      </c>
      <c r="M146" s="14">
        <f>CHOOSE(CONTROL!$C$42, 7.6367, 7.6367) * CHOOSE(CONTROL!$C$21, $C$9, 100%, $E$9)</f>
        <v>7.6367000000000003</v>
      </c>
      <c r="N146" s="14">
        <f>CHOOSE(CONTROL!$C$42, 7.6525, 7.6525) * CHOOSE(CONTROL!$C$21, $C$9, 100%, $E$9)</f>
        <v>7.6524999999999999</v>
      </c>
      <c r="O146" s="14">
        <f>CHOOSE(CONTROL!$C$42, 7.7334, 7.7334) * CHOOSE(CONTROL!$C$21, $C$9, 100%, $E$9)</f>
        <v>7.7333999999999996</v>
      </c>
      <c r="P146" s="14">
        <f>CHOOSE(CONTROL!$C$42, 7.6619, 7.6619) * CHOOSE(CONTROL!$C$21, $C$9, 100%, $E$9)</f>
        <v>7.6619000000000002</v>
      </c>
      <c r="Q146" s="14">
        <f>CHOOSE(CONTROL!$C$42, 8.3287, 8.3287) * CHOOSE(CONTROL!$C$21, $C$9, 100%, $E$9)</f>
        <v>8.3286999999999995</v>
      </c>
      <c r="R146" s="14">
        <f>CHOOSE(CONTROL!$C$42, 8.9365, 8.9365) * CHOOSE(CONTROL!$C$21, $C$9, 100%, $E$9)</f>
        <v>8.9365000000000006</v>
      </c>
      <c r="S146" s="14">
        <f>CHOOSE(CONTROL!$C$42, 7.4812, 7.4812) * CHOOSE(CONTROL!$C$21, $C$9, 100%, $E$9)</f>
        <v>7.4812000000000003</v>
      </c>
      <c r="T146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46" s="57">
        <f>(1000*CHOOSE(CONTROL!$C$42, 695, 695)*CHOOSE(CONTROL!$C$42, 0.5599, 0.5599)*CHOOSE(CONTROL!$C$42, 29, 29))/1000000</f>
        <v>11.284784499999999</v>
      </c>
      <c r="V146" s="57">
        <f>(1000*CHOOSE(CONTROL!$C$42, 500, 500)*CHOOSE(CONTROL!$C$42, 0.275, 0.275)*CHOOSE(CONTROL!$C$42, 29, 29))/1000000</f>
        <v>3.9874999999999998</v>
      </c>
      <c r="W146" s="57">
        <f>(1000*CHOOSE(CONTROL!$C$42, 0.1146, 0.1146)*CHOOSE(CONTROL!$C$42, 121.5, 121.5)*CHOOSE(CONTROL!$C$42, 29, 29))/1000000</f>
        <v>0.40379309999999996</v>
      </c>
      <c r="X146" s="57">
        <f>(29*0.1790888*100000/1000000)+(29*0.2374*100000/1000000)</f>
        <v>1.2078175199999999</v>
      </c>
      <c r="Y146" s="57"/>
      <c r="Z146" s="14"/>
      <c r="AA146" s="56"/>
      <c r="AB146" s="50">
        <f>(B146*122.58+C146*297.941+D146*89.177+E146*40.302+F146*40+G146*160+H146*0+I146*100+J146*300)/(122.58+297.941+89.177+40.302+0+40+160+100+300)</f>
        <v>7.7191033106956537</v>
      </c>
      <c r="AC146" s="45">
        <f>(M146*'RAP TEMPLATE-GAS AVAILABILITY'!O145+N146*'RAP TEMPLATE-GAS AVAILABILITY'!P145+O146*'RAP TEMPLATE-GAS AVAILABILITY'!Q145+P146*'RAP TEMPLATE-GAS AVAILABILITY'!R145)/('RAP TEMPLATE-GAS AVAILABILITY'!O145+'RAP TEMPLATE-GAS AVAILABILITY'!P145+'RAP TEMPLATE-GAS AVAILABILITY'!Q145+'RAP TEMPLATE-GAS AVAILABILITY'!R145)</f>
        <v>7.6850633093525191</v>
      </c>
    </row>
    <row r="147" spans="1:29" ht="15.75" x14ac:dyDescent="0.25">
      <c r="A147" s="13">
        <v>45352</v>
      </c>
      <c r="B147" s="14">
        <f>CHOOSE(CONTROL!$C$42, 7.4874, 7.4874) * CHOOSE(CONTROL!$C$21, $C$9, 100%, $E$9)</f>
        <v>7.4874000000000001</v>
      </c>
      <c r="C147" s="14">
        <f>CHOOSE(CONTROL!$C$42, 7.4923, 7.4923) * CHOOSE(CONTROL!$C$21, $C$9, 100%, $E$9)</f>
        <v>7.4923000000000002</v>
      </c>
      <c r="D147" s="14">
        <f>CHOOSE(CONTROL!$C$42, 7.5566, 7.5566) * CHOOSE(CONTROL!$C$21, $C$9, 100%, $E$9)</f>
        <v>7.5566000000000004</v>
      </c>
      <c r="E147" s="14">
        <f>CHOOSE(CONTROL!$C$42, 7.5904, 7.5904) * CHOOSE(CONTROL!$C$21, $C$9, 100%, $E$9)</f>
        <v>7.5903999999999998</v>
      </c>
      <c r="F147" s="14">
        <f>CHOOSE(CONTROL!$C$42, 7.4886, 7.4886)*CHOOSE(CONTROL!$C$21, $C$9, 100%, $E$9)</f>
        <v>7.4885999999999999</v>
      </c>
      <c r="G147" s="14">
        <f>CHOOSE(CONTROL!$C$42, 7.5044, 7.5044)*CHOOSE(CONTROL!$C$21, $C$9, 100%, $E$9)</f>
        <v>7.5044000000000004</v>
      </c>
      <c r="H147" s="14">
        <f>CHOOSE(CONTROL!$C$42, 7.5796, 7.5796) * CHOOSE(CONTROL!$C$21, $C$9, 100%, $E$9)</f>
        <v>7.5796000000000001</v>
      </c>
      <c r="I147" s="14">
        <f>CHOOSE(CONTROL!$C$42, 7.5073, 7.5073)* CHOOSE(CONTROL!$C$21, $C$9, 100%, $E$9)</f>
        <v>7.5072999999999999</v>
      </c>
      <c r="J147" s="14">
        <f>CHOOSE(CONTROL!$C$42, 7.4816, 7.4816)* CHOOSE(CONTROL!$C$21, $C$9, 100%, $E$9)</f>
        <v>7.4816000000000003</v>
      </c>
      <c r="K147" s="53">
        <f>CHOOSE(CONTROL!$C$42, 7.5034, 7.5034) * CHOOSE(CONTROL!$C$21, $C$9, 100%, $E$9)</f>
        <v>7.5034000000000001</v>
      </c>
      <c r="L147" s="14">
        <f>CHOOSE(CONTROL!$C$42, 8.1666, 8.1666) * CHOOSE(CONTROL!$C$21, $C$9, 100%, $E$9)</f>
        <v>8.1666000000000007</v>
      </c>
      <c r="M147" s="14">
        <f>CHOOSE(CONTROL!$C$42, 7.4199, 7.4199) * CHOOSE(CONTROL!$C$21, $C$9, 100%, $E$9)</f>
        <v>7.4199000000000002</v>
      </c>
      <c r="N147" s="14">
        <f>CHOOSE(CONTROL!$C$42, 7.4356, 7.4356) * CHOOSE(CONTROL!$C$21, $C$9, 100%, $E$9)</f>
        <v>7.4356</v>
      </c>
      <c r="O147" s="14">
        <f>CHOOSE(CONTROL!$C$42, 7.5169, 7.5169) * CHOOSE(CONTROL!$C$21, $C$9, 100%, $E$9)</f>
        <v>7.5168999999999997</v>
      </c>
      <c r="P147" s="14">
        <f>CHOOSE(CONTROL!$C$42, 7.4454, 7.4454) * CHOOSE(CONTROL!$C$21, $C$9, 100%, $E$9)</f>
        <v>7.4454000000000002</v>
      </c>
      <c r="Q147" s="14">
        <f>CHOOSE(CONTROL!$C$42, 8.1122, 8.1122) * CHOOSE(CONTROL!$C$21, $C$9, 100%, $E$9)</f>
        <v>8.1121999999999996</v>
      </c>
      <c r="R147" s="14">
        <f>CHOOSE(CONTROL!$C$42, 8.7195, 8.7195) * CHOOSE(CONTROL!$C$21, $C$9, 100%, $E$9)</f>
        <v>8.7195</v>
      </c>
      <c r="S147" s="14">
        <f>CHOOSE(CONTROL!$C$42, 7.2688, 7.2688) * CHOOSE(CONTROL!$C$21, $C$9, 100%, $E$9)</f>
        <v>7.2687999999999997</v>
      </c>
      <c r="T14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47" s="57">
        <f>(1000*CHOOSE(CONTROL!$C$42, 695, 695)*CHOOSE(CONTROL!$C$42, 0.5599, 0.5599)*CHOOSE(CONTROL!$C$42, 31, 31))/1000000</f>
        <v>12.063045499999998</v>
      </c>
      <c r="V147" s="57">
        <f>(1000*CHOOSE(CONTROL!$C$42, 500, 500)*CHOOSE(CONTROL!$C$42, 0.275, 0.275)*CHOOSE(CONTROL!$C$42, 31, 31))/1000000</f>
        <v>4.2625000000000002</v>
      </c>
      <c r="W147" s="57">
        <f>(1000*CHOOSE(CONTROL!$C$42, 0.1146, 0.1146)*CHOOSE(CONTROL!$C$42, 121.5, 121.5)*CHOOSE(CONTROL!$C$42, 31, 31))/1000000</f>
        <v>0.43164089999999994</v>
      </c>
      <c r="X147" s="57">
        <f>(31*0.1790888*100000/1000000)+(31*0.2374*100000/1000000)</f>
        <v>1.2911152800000001</v>
      </c>
      <c r="Y147" s="57"/>
      <c r="Z147" s="14"/>
      <c r="AA147" s="56"/>
      <c r="AB147" s="50">
        <f>(B147*122.58+C147*297.941+D147*89.177+E147*40.302+F147*40+G147*160+H147*0+I147*100+J147*300)/(122.58+297.941+89.177+40.302+0+40+160+100+300)</f>
        <v>7.5002696219999985</v>
      </c>
      <c r="AC147" s="45">
        <f>(M147*'RAP TEMPLATE-GAS AVAILABILITY'!O146+N147*'RAP TEMPLATE-GAS AVAILABILITY'!P146+O147*'RAP TEMPLATE-GAS AVAILABILITY'!Q146+P147*'RAP TEMPLATE-GAS AVAILABILITY'!R146)/('RAP TEMPLATE-GAS AVAILABILITY'!O146+'RAP TEMPLATE-GAS AVAILABILITY'!P146+'RAP TEMPLATE-GAS AVAILABILITY'!Q146+'RAP TEMPLATE-GAS AVAILABILITY'!R146)</f>
        <v>7.4684366906474811</v>
      </c>
    </row>
    <row r="148" spans="1:29" ht="15.75" x14ac:dyDescent="0.25">
      <c r="A148" s="13">
        <v>45383</v>
      </c>
      <c r="B148" s="14">
        <f>CHOOSE(CONTROL!$C$42, 7.4661, 7.4661) * CHOOSE(CONTROL!$C$21, $C$9, 100%, $E$9)</f>
        <v>7.4661</v>
      </c>
      <c r="C148" s="14">
        <f>CHOOSE(CONTROL!$C$42, 7.4705, 7.4705) * CHOOSE(CONTROL!$C$21, $C$9, 100%, $E$9)</f>
        <v>7.4705000000000004</v>
      </c>
      <c r="D148" s="14">
        <f>CHOOSE(CONTROL!$C$42, 7.6712, 7.6712) * CHOOSE(CONTROL!$C$21, $C$9, 100%, $E$9)</f>
        <v>7.6711999999999998</v>
      </c>
      <c r="E148" s="14">
        <f>CHOOSE(CONTROL!$C$42, 7.703, 7.703) * CHOOSE(CONTROL!$C$21, $C$9, 100%, $E$9)</f>
        <v>7.7030000000000003</v>
      </c>
      <c r="F148" s="14">
        <f>CHOOSE(CONTROL!$C$42, 7.4507, 7.4507)*CHOOSE(CONTROL!$C$21, $C$9, 100%, $E$9)</f>
        <v>7.4507000000000003</v>
      </c>
      <c r="G148" s="14">
        <f>CHOOSE(CONTROL!$C$42, 7.4663, 7.4663)*CHOOSE(CONTROL!$C$21, $C$9, 100%, $E$9)</f>
        <v>7.4663000000000004</v>
      </c>
      <c r="H148" s="14">
        <f>CHOOSE(CONTROL!$C$42, 7.6928, 7.6928) * CHOOSE(CONTROL!$C$21, $C$9, 100%, $E$9)</f>
        <v>7.6928000000000001</v>
      </c>
      <c r="I148" s="14">
        <f>CHOOSE(CONTROL!$C$42, 7.4789, 7.4789)* CHOOSE(CONTROL!$C$21, $C$9, 100%, $E$9)</f>
        <v>7.4789000000000003</v>
      </c>
      <c r="J148" s="14">
        <f>CHOOSE(CONTROL!$C$42, 7.4437, 7.4437)* CHOOSE(CONTROL!$C$21, $C$9, 100%, $E$9)</f>
        <v>7.4436999999999998</v>
      </c>
      <c r="K148" s="53">
        <f>CHOOSE(CONTROL!$C$42, 7.475, 7.475) * CHOOSE(CONTROL!$C$21, $C$9, 100%, $E$9)</f>
        <v>7.4749999999999996</v>
      </c>
      <c r="L148" s="14">
        <f>CHOOSE(CONTROL!$C$42, 8.2798, 8.2798) * CHOOSE(CONTROL!$C$21, $C$9, 100%, $E$9)</f>
        <v>8.2797999999999998</v>
      </c>
      <c r="M148" s="14">
        <f>CHOOSE(CONTROL!$C$42, 7.3824, 7.3824) * CHOOSE(CONTROL!$C$21, $C$9, 100%, $E$9)</f>
        <v>7.3823999999999996</v>
      </c>
      <c r="N148" s="14">
        <f>CHOOSE(CONTROL!$C$42, 7.3979, 7.3979) * CHOOSE(CONTROL!$C$21, $C$9, 100%, $E$9)</f>
        <v>7.3978999999999999</v>
      </c>
      <c r="O148" s="14">
        <f>CHOOSE(CONTROL!$C$42, 7.629, 7.629) * CHOOSE(CONTROL!$C$21, $C$9, 100%, $E$9)</f>
        <v>7.6289999999999996</v>
      </c>
      <c r="P148" s="14">
        <f>CHOOSE(CONTROL!$C$42, 7.4173, 7.4173) * CHOOSE(CONTROL!$C$21, $C$9, 100%, $E$9)</f>
        <v>7.4173</v>
      </c>
      <c r="Q148" s="14">
        <f>CHOOSE(CONTROL!$C$42, 8.2243, 8.2243) * CHOOSE(CONTROL!$C$21, $C$9, 100%, $E$9)</f>
        <v>8.2242999999999995</v>
      </c>
      <c r="R148" s="14">
        <f>CHOOSE(CONTROL!$C$42, 8.8318, 8.8318) * CHOOSE(CONTROL!$C$21, $C$9, 100%, $E$9)</f>
        <v>8.8317999999999994</v>
      </c>
      <c r="S148" s="14">
        <f>CHOOSE(CONTROL!$C$42, 7.2474, 7.2474) * CHOOSE(CONTROL!$C$21, $C$9, 100%, $E$9)</f>
        <v>7.2473999999999998</v>
      </c>
      <c r="T14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48" s="57">
        <f>(1000*CHOOSE(CONTROL!$C$42, 695, 695)*CHOOSE(CONTROL!$C$42, 0.5599, 0.5599)*CHOOSE(CONTROL!$C$42, 30, 30))/1000000</f>
        <v>11.673914999999997</v>
      </c>
      <c r="V148" s="57">
        <f>(1000*CHOOSE(CONTROL!$C$42, 500, 500)*CHOOSE(CONTROL!$C$42, 0.275, 0.275)*CHOOSE(CONTROL!$C$42, 30, 30))/1000000</f>
        <v>4.125</v>
      </c>
      <c r="W148" s="57">
        <f>(1000*CHOOSE(CONTROL!$C$42, 0.1146, 0.1146)*CHOOSE(CONTROL!$C$42, 121.5, 121.5)*CHOOSE(CONTROL!$C$42, 30, 30))/1000000</f>
        <v>0.417717</v>
      </c>
      <c r="X148" s="57">
        <f>(30*0.1790888*245000/1000000)+(30*0.2374*100000/1000000)</f>
        <v>2.0285026799999999</v>
      </c>
      <c r="Y148" s="57"/>
      <c r="Z148" s="14"/>
      <c r="AA148" s="56"/>
      <c r="AB148" s="50">
        <f>(B148*141.293+C148*267.993+D148*115.016+E148*89.698+F148*40+G148*185+H148*0+I148*100+J148*300)/(141.293+267.993+115.016+89.698+0+40+185+100+300)</f>
        <v>7.4983836214689266</v>
      </c>
      <c r="AC148" s="45">
        <f>(M148*'RAP TEMPLATE-GAS AVAILABILITY'!O147+N148*'RAP TEMPLATE-GAS AVAILABILITY'!P147+O148*'RAP TEMPLATE-GAS AVAILABILITY'!Q147+P148*'RAP TEMPLATE-GAS AVAILABILITY'!R147)/('RAP TEMPLATE-GAS AVAILABILITY'!O147+'RAP TEMPLATE-GAS AVAILABILITY'!P147+'RAP TEMPLATE-GAS AVAILABILITY'!Q147+'RAP TEMPLATE-GAS AVAILABILITY'!R147)</f>
        <v>7.460179856115106</v>
      </c>
    </row>
    <row r="149" spans="1:29" ht="15.75" x14ac:dyDescent="0.25">
      <c r="A149" s="13">
        <v>45413</v>
      </c>
      <c r="B149" s="14">
        <f>CHOOSE(CONTROL!$C$42, 7.5334, 7.5334) * CHOOSE(CONTROL!$C$21, $C$9, 100%, $E$9)</f>
        <v>7.5334000000000003</v>
      </c>
      <c r="C149" s="14">
        <f>CHOOSE(CONTROL!$C$42, 7.5413, 7.5413) * CHOOSE(CONTROL!$C$21, $C$9, 100%, $E$9)</f>
        <v>7.5412999999999997</v>
      </c>
      <c r="D149" s="14">
        <f>CHOOSE(CONTROL!$C$42, 7.7389, 7.7389) * CHOOSE(CONTROL!$C$21, $C$9, 100%, $E$9)</f>
        <v>7.7389000000000001</v>
      </c>
      <c r="E149" s="14">
        <f>CHOOSE(CONTROL!$C$42, 7.77, 7.77) * CHOOSE(CONTROL!$C$21, $C$9, 100%, $E$9)</f>
        <v>7.77</v>
      </c>
      <c r="F149" s="14">
        <f>CHOOSE(CONTROL!$C$42, 7.5168, 7.5168)*CHOOSE(CONTROL!$C$21, $C$9, 100%, $E$9)</f>
        <v>7.5167999999999999</v>
      </c>
      <c r="G149" s="14">
        <f>CHOOSE(CONTROL!$C$42, 7.5329, 7.5329)*CHOOSE(CONTROL!$C$21, $C$9, 100%, $E$9)</f>
        <v>7.5328999999999997</v>
      </c>
      <c r="H149" s="14">
        <f>CHOOSE(CONTROL!$C$42, 7.7586, 7.7586) * CHOOSE(CONTROL!$C$21, $C$9, 100%, $E$9)</f>
        <v>7.7586000000000004</v>
      </c>
      <c r="I149" s="14">
        <f>CHOOSE(CONTROL!$C$42, 7.5447, 7.5447)* CHOOSE(CONTROL!$C$21, $C$9, 100%, $E$9)</f>
        <v>7.5446999999999997</v>
      </c>
      <c r="J149" s="14">
        <f>CHOOSE(CONTROL!$C$42, 7.5098, 7.5098)* CHOOSE(CONTROL!$C$21, $C$9, 100%, $E$9)</f>
        <v>7.5098000000000003</v>
      </c>
      <c r="K149" s="53">
        <f>CHOOSE(CONTROL!$C$42, 7.5408, 7.5408) * CHOOSE(CONTROL!$C$21, $C$9, 100%, $E$9)</f>
        <v>7.5407999999999999</v>
      </c>
      <c r="L149" s="14">
        <f>CHOOSE(CONTROL!$C$42, 8.3456, 8.3456) * CHOOSE(CONTROL!$C$21, $C$9, 100%, $E$9)</f>
        <v>8.3455999999999992</v>
      </c>
      <c r="M149" s="14">
        <f>CHOOSE(CONTROL!$C$42, 7.4478, 7.4478) * CHOOSE(CONTROL!$C$21, $C$9, 100%, $E$9)</f>
        <v>7.4478</v>
      </c>
      <c r="N149" s="14">
        <f>CHOOSE(CONTROL!$C$42, 7.4638, 7.4638) * CHOOSE(CONTROL!$C$21, $C$9, 100%, $E$9)</f>
        <v>7.4638</v>
      </c>
      <c r="O149" s="14">
        <f>CHOOSE(CONTROL!$C$42, 7.6942, 7.6942) * CHOOSE(CONTROL!$C$21, $C$9, 100%, $E$9)</f>
        <v>7.6942000000000004</v>
      </c>
      <c r="P149" s="14">
        <f>CHOOSE(CONTROL!$C$42, 7.4825, 7.4825) * CHOOSE(CONTROL!$C$21, $C$9, 100%, $E$9)</f>
        <v>7.4824999999999999</v>
      </c>
      <c r="Q149" s="14">
        <f>CHOOSE(CONTROL!$C$42, 8.2895, 8.2895) * CHOOSE(CONTROL!$C$21, $C$9, 100%, $E$9)</f>
        <v>8.2895000000000003</v>
      </c>
      <c r="R149" s="14">
        <f>CHOOSE(CONTROL!$C$42, 8.8972, 8.8972) * CHOOSE(CONTROL!$C$21, $C$9, 100%, $E$9)</f>
        <v>8.8971999999999998</v>
      </c>
      <c r="S149" s="14">
        <f>CHOOSE(CONTROL!$C$42, 7.3114, 7.3114) * CHOOSE(CONTROL!$C$21, $C$9, 100%, $E$9)</f>
        <v>7.3113999999999999</v>
      </c>
      <c r="T14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49" s="57">
        <f>(1000*CHOOSE(CONTROL!$C$42, 695, 695)*CHOOSE(CONTROL!$C$42, 0.5599, 0.5599)*CHOOSE(CONTROL!$C$42, 31, 31))/1000000</f>
        <v>12.063045499999998</v>
      </c>
      <c r="V149" s="57">
        <f>(1000*CHOOSE(CONTROL!$C$42, 500, 500)*CHOOSE(CONTROL!$C$42, 0.275, 0.275)*CHOOSE(CONTROL!$C$42, 31, 31))/1000000</f>
        <v>4.2625000000000002</v>
      </c>
      <c r="W149" s="57">
        <f>(1000*CHOOSE(CONTROL!$C$42, 0.1146, 0.1146)*CHOOSE(CONTROL!$C$42, 121.5, 121.5)*CHOOSE(CONTROL!$C$42, 31, 31))/1000000</f>
        <v>0.43164089999999994</v>
      </c>
      <c r="X149" s="57">
        <f>(31*0.1790888*245000/1000000)+(31*0.2374*100000/1000000)</f>
        <v>2.0961194359999999</v>
      </c>
      <c r="Y149" s="57"/>
      <c r="Z149" s="14"/>
      <c r="AA149" s="56"/>
      <c r="AB149" s="50">
        <f>(B149*194.205+C149*267.466+D149*133.845+E149*53.484+F149*40+G149*185+H149*0+I149*100+J149*300)/(194.205+267.466+133.845+53.484+0+40+185+100+300)</f>
        <v>7.561316752982731</v>
      </c>
      <c r="AC149" s="45">
        <f>(M149*'RAP TEMPLATE-GAS AVAILABILITY'!O148+N149*'RAP TEMPLATE-GAS AVAILABILITY'!P148+O149*'RAP TEMPLATE-GAS AVAILABILITY'!Q148+P149*'RAP TEMPLATE-GAS AVAILABILITY'!R148)/('RAP TEMPLATE-GAS AVAILABILITY'!O148+'RAP TEMPLATE-GAS AVAILABILITY'!P148+'RAP TEMPLATE-GAS AVAILABILITY'!Q148+'RAP TEMPLATE-GAS AVAILABILITY'!R148)</f>
        <v>7.525610071942447</v>
      </c>
    </row>
    <row r="150" spans="1:29" ht="15.75" x14ac:dyDescent="0.25">
      <c r="A150" s="13">
        <v>45444</v>
      </c>
      <c r="B150" s="14">
        <f>CHOOSE(CONTROL!$C$42, 7.7469, 7.7469) * CHOOSE(CONTROL!$C$21, $C$9, 100%, $E$9)</f>
        <v>7.7469000000000001</v>
      </c>
      <c r="C150" s="14">
        <f>CHOOSE(CONTROL!$C$42, 7.7548, 7.7548) * CHOOSE(CONTROL!$C$21, $C$9, 100%, $E$9)</f>
        <v>7.7548000000000004</v>
      </c>
      <c r="D150" s="14">
        <f>CHOOSE(CONTROL!$C$42, 7.9524, 7.9524) * CHOOSE(CONTROL!$C$21, $C$9, 100%, $E$9)</f>
        <v>7.9523999999999999</v>
      </c>
      <c r="E150" s="14">
        <f>CHOOSE(CONTROL!$C$42, 7.9835, 7.9835) * CHOOSE(CONTROL!$C$21, $C$9, 100%, $E$9)</f>
        <v>7.9835000000000003</v>
      </c>
      <c r="F150" s="14">
        <f>CHOOSE(CONTROL!$C$42, 7.7307, 7.7307)*CHOOSE(CONTROL!$C$21, $C$9, 100%, $E$9)</f>
        <v>7.7306999999999997</v>
      </c>
      <c r="G150" s="14">
        <f>CHOOSE(CONTROL!$C$42, 7.7469, 7.7469)*CHOOSE(CONTROL!$C$21, $C$9, 100%, $E$9)</f>
        <v>7.7469000000000001</v>
      </c>
      <c r="H150" s="14">
        <f>CHOOSE(CONTROL!$C$42, 7.9722, 7.9722) * CHOOSE(CONTROL!$C$21, $C$9, 100%, $E$9)</f>
        <v>7.9722</v>
      </c>
      <c r="I150" s="14">
        <f>CHOOSE(CONTROL!$C$42, 7.7583, 7.7583)* CHOOSE(CONTROL!$C$21, $C$9, 100%, $E$9)</f>
        <v>7.7583000000000002</v>
      </c>
      <c r="J150" s="14">
        <f>CHOOSE(CONTROL!$C$42, 7.7237, 7.7237)* CHOOSE(CONTROL!$C$21, $C$9, 100%, $E$9)</f>
        <v>7.7237</v>
      </c>
      <c r="K150" s="53">
        <f>CHOOSE(CONTROL!$C$42, 7.7544, 7.7544) * CHOOSE(CONTROL!$C$21, $C$9, 100%, $E$9)</f>
        <v>7.7544000000000004</v>
      </c>
      <c r="L150" s="14">
        <f>CHOOSE(CONTROL!$C$42, 8.5592, 8.5592) * CHOOSE(CONTROL!$C$21, $C$9, 100%, $E$9)</f>
        <v>8.5592000000000006</v>
      </c>
      <c r="M150" s="14">
        <f>CHOOSE(CONTROL!$C$42, 7.6596, 7.6596) * CHOOSE(CONTROL!$C$21, $C$9, 100%, $E$9)</f>
        <v>7.6596000000000002</v>
      </c>
      <c r="N150" s="14">
        <f>CHOOSE(CONTROL!$C$42, 7.6756, 7.6756) * CHOOSE(CONTROL!$C$21, $C$9, 100%, $E$9)</f>
        <v>7.6756000000000002</v>
      </c>
      <c r="O150" s="14">
        <f>CHOOSE(CONTROL!$C$42, 7.9055, 7.9055) * CHOOSE(CONTROL!$C$21, $C$9, 100%, $E$9)</f>
        <v>7.9055</v>
      </c>
      <c r="P150" s="14">
        <f>CHOOSE(CONTROL!$C$42, 7.6938, 7.6938) * CHOOSE(CONTROL!$C$21, $C$9, 100%, $E$9)</f>
        <v>7.6938000000000004</v>
      </c>
      <c r="Q150" s="14">
        <f>CHOOSE(CONTROL!$C$42, 8.5008, 8.5008) * CHOOSE(CONTROL!$C$21, $C$9, 100%, $E$9)</f>
        <v>8.5007999999999999</v>
      </c>
      <c r="R150" s="14">
        <f>CHOOSE(CONTROL!$C$42, 9.1091, 9.1091) * CHOOSE(CONTROL!$C$21, $C$9, 100%, $E$9)</f>
        <v>9.1090999999999998</v>
      </c>
      <c r="S150" s="14">
        <f>CHOOSE(CONTROL!$C$42, 7.5188, 7.5188) * CHOOSE(CONTROL!$C$21, $C$9, 100%, $E$9)</f>
        <v>7.5187999999999997</v>
      </c>
      <c r="T15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50" s="57">
        <f>(1000*CHOOSE(CONTROL!$C$42, 695, 695)*CHOOSE(CONTROL!$C$42, 0.5599, 0.5599)*CHOOSE(CONTROL!$C$42, 30, 30))/1000000</f>
        <v>11.673914999999997</v>
      </c>
      <c r="V150" s="57">
        <f>(1000*CHOOSE(CONTROL!$C$42, 500, 500)*CHOOSE(CONTROL!$C$42, 0.275, 0.275)*CHOOSE(CONTROL!$C$42, 30, 30))/1000000</f>
        <v>4.125</v>
      </c>
      <c r="W150" s="57">
        <f>(1000*CHOOSE(CONTROL!$C$42, 0.1146, 0.1146)*CHOOSE(CONTROL!$C$42, 121.5, 121.5)*CHOOSE(CONTROL!$C$42, 30, 30))/1000000</f>
        <v>0.417717</v>
      </c>
      <c r="X150" s="57">
        <f>(30*0.1790888*245000/1000000)+(30*0.2374*100000/1000000)</f>
        <v>2.0285026799999999</v>
      </c>
      <c r="Y150" s="57"/>
      <c r="Z150" s="14"/>
      <c r="AA150" s="56"/>
      <c r="AB150" s="50">
        <f>(B150*194.205+C150*267.466+D150*133.845+E150*53.484+F150*40+G150*185+H150*0+I150*100+J150*300)/(194.205+267.466+133.845+53.484+0+40+185+100+300)</f>
        <v>7.7750039586342226</v>
      </c>
      <c r="AC150" s="45">
        <f>(M150*'RAP TEMPLATE-GAS AVAILABILITY'!O149+N150*'RAP TEMPLATE-GAS AVAILABILITY'!P149+O150*'RAP TEMPLATE-GAS AVAILABILITY'!Q149+P150*'RAP TEMPLATE-GAS AVAILABILITY'!R149)/('RAP TEMPLATE-GAS AVAILABILITY'!O149+'RAP TEMPLATE-GAS AVAILABILITY'!P149+'RAP TEMPLATE-GAS AVAILABILITY'!Q149+'RAP TEMPLATE-GAS AVAILABILITY'!R149)</f>
        <v>7.7371978417266183</v>
      </c>
    </row>
    <row r="151" spans="1:29" ht="15.75" x14ac:dyDescent="0.25">
      <c r="A151" s="13">
        <v>45474</v>
      </c>
      <c r="B151" s="14">
        <f>CHOOSE(CONTROL!$C$42, 7.5984, 7.5984) * CHOOSE(CONTROL!$C$21, $C$9, 100%, $E$9)</f>
        <v>7.5983999999999998</v>
      </c>
      <c r="C151" s="14">
        <f>CHOOSE(CONTROL!$C$42, 7.6063, 7.6063) * CHOOSE(CONTROL!$C$21, $C$9, 100%, $E$9)</f>
        <v>7.6063000000000001</v>
      </c>
      <c r="D151" s="14">
        <f>CHOOSE(CONTROL!$C$42, 7.8039, 7.8039) * CHOOSE(CONTROL!$C$21, $C$9, 100%, $E$9)</f>
        <v>7.8038999999999996</v>
      </c>
      <c r="E151" s="14">
        <f>CHOOSE(CONTROL!$C$42, 7.835, 7.835) * CHOOSE(CONTROL!$C$21, $C$9, 100%, $E$9)</f>
        <v>7.835</v>
      </c>
      <c r="F151" s="14">
        <f>CHOOSE(CONTROL!$C$42, 7.5826, 7.5826)*CHOOSE(CONTROL!$C$21, $C$9, 100%, $E$9)</f>
        <v>7.5826000000000002</v>
      </c>
      <c r="G151" s="14">
        <f>CHOOSE(CONTROL!$C$42, 7.599, 7.599)*CHOOSE(CONTROL!$C$21, $C$9, 100%, $E$9)</f>
        <v>7.5990000000000002</v>
      </c>
      <c r="H151" s="14">
        <f>CHOOSE(CONTROL!$C$42, 7.8237, 7.8237) * CHOOSE(CONTROL!$C$21, $C$9, 100%, $E$9)</f>
        <v>7.8236999999999997</v>
      </c>
      <c r="I151" s="14">
        <f>CHOOSE(CONTROL!$C$42, 7.6098, 7.6098)* CHOOSE(CONTROL!$C$21, $C$9, 100%, $E$9)</f>
        <v>7.6097999999999999</v>
      </c>
      <c r="J151" s="14">
        <f>CHOOSE(CONTROL!$C$42, 7.5756, 7.5756)* CHOOSE(CONTROL!$C$21, $C$9, 100%, $E$9)</f>
        <v>7.5755999999999997</v>
      </c>
      <c r="K151" s="53">
        <f>CHOOSE(CONTROL!$C$42, 7.6059, 7.6059) * CHOOSE(CONTROL!$C$21, $C$9, 100%, $E$9)</f>
        <v>7.6059000000000001</v>
      </c>
      <c r="L151" s="14">
        <f>CHOOSE(CONTROL!$C$42, 8.4107, 8.4107) * CHOOSE(CONTROL!$C$21, $C$9, 100%, $E$9)</f>
        <v>8.4107000000000003</v>
      </c>
      <c r="M151" s="14">
        <f>CHOOSE(CONTROL!$C$42, 7.513, 7.513) * CHOOSE(CONTROL!$C$21, $C$9, 100%, $E$9)</f>
        <v>7.5129999999999999</v>
      </c>
      <c r="N151" s="14">
        <f>CHOOSE(CONTROL!$C$42, 7.5292, 7.5292) * CHOOSE(CONTROL!$C$21, $C$9, 100%, $E$9)</f>
        <v>7.5292000000000003</v>
      </c>
      <c r="O151" s="14">
        <f>CHOOSE(CONTROL!$C$42, 7.7585, 7.7585) * CHOOSE(CONTROL!$C$21, $C$9, 100%, $E$9)</f>
        <v>7.7584999999999997</v>
      </c>
      <c r="P151" s="14">
        <f>CHOOSE(CONTROL!$C$42, 7.5468, 7.5468) * CHOOSE(CONTROL!$C$21, $C$9, 100%, $E$9)</f>
        <v>7.5468000000000002</v>
      </c>
      <c r="Q151" s="14">
        <f>CHOOSE(CONTROL!$C$42, 8.3538, 8.3538) * CHOOSE(CONTROL!$C$21, $C$9, 100%, $E$9)</f>
        <v>8.3537999999999997</v>
      </c>
      <c r="R151" s="14">
        <f>CHOOSE(CONTROL!$C$42, 8.9617, 8.9617) * CHOOSE(CONTROL!$C$21, $C$9, 100%, $E$9)</f>
        <v>8.9617000000000004</v>
      </c>
      <c r="S151" s="14">
        <f>CHOOSE(CONTROL!$C$42, 7.3745, 7.3745) * CHOOSE(CONTROL!$C$21, $C$9, 100%, $E$9)</f>
        <v>7.3745000000000003</v>
      </c>
      <c r="T15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51" s="57">
        <f>(1000*CHOOSE(CONTROL!$C$42, 695, 695)*CHOOSE(CONTROL!$C$42, 0.5599, 0.5599)*CHOOSE(CONTROL!$C$42, 31, 31))/1000000</f>
        <v>12.063045499999998</v>
      </c>
      <c r="V151" s="57">
        <f>(1000*CHOOSE(CONTROL!$C$42, 500, 500)*CHOOSE(CONTROL!$C$42, 0.275, 0.275)*CHOOSE(CONTROL!$C$42, 31, 31))/1000000</f>
        <v>4.2625000000000002</v>
      </c>
      <c r="W151" s="57">
        <f>(1000*CHOOSE(CONTROL!$C$42, 0.1146, 0.1146)*CHOOSE(CONTROL!$C$42, 121.5, 121.5)*CHOOSE(CONTROL!$C$42, 31, 31))/1000000</f>
        <v>0.43164089999999994</v>
      </c>
      <c r="X151" s="57">
        <f>(31*0.1790888*245000/1000000)+(31*0.2374*100000/1000000)</f>
        <v>2.0961194359999999</v>
      </c>
      <c r="Y151" s="57"/>
      <c r="Z151" s="14"/>
      <c r="AA151" s="56"/>
      <c r="AB151" s="50">
        <f>(B151*194.205+C151*267.466+D151*133.845+E151*53.484+F151*40+G151*185+H151*0+I151*100+J151*300)/(194.205+267.466+133.845+53.484+0+40+185+100+300)</f>
        <v>7.6266978361852429</v>
      </c>
      <c r="AC151" s="45">
        <f>(M151*'RAP TEMPLATE-GAS AVAILABILITY'!O150+N151*'RAP TEMPLATE-GAS AVAILABILITY'!P150+O151*'RAP TEMPLATE-GAS AVAILABILITY'!Q150+P151*'RAP TEMPLATE-GAS AVAILABILITY'!R150)/('RAP TEMPLATE-GAS AVAILABILITY'!O150+'RAP TEMPLATE-GAS AVAILABILITY'!P150+'RAP TEMPLATE-GAS AVAILABILITY'!Q150+'RAP TEMPLATE-GAS AVAILABILITY'!R150)</f>
        <v>7.5904741007194243</v>
      </c>
    </row>
    <row r="152" spans="1:29" ht="15.75" x14ac:dyDescent="0.25">
      <c r="A152" s="13">
        <v>45505</v>
      </c>
      <c r="B152" s="14">
        <f>CHOOSE(CONTROL!$C$42, 7.2233, 7.2233) * CHOOSE(CONTROL!$C$21, $C$9, 100%, $E$9)</f>
        <v>7.2233000000000001</v>
      </c>
      <c r="C152" s="14">
        <f>CHOOSE(CONTROL!$C$42, 7.2313, 7.2313) * CHOOSE(CONTROL!$C$21, $C$9, 100%, $E$9)</f>
        <v>7.2313000000000001</v>
      </c>
      <c r="D152" s="14">
        <f>CHOOSE(CONTROL!$C$42, 7.4288, 7.4288) * CHOOSE(CONTROL!$C$21, $C$9, 100%, $E$9)</f>
        <v>7.4287999999999998</v>
      </c>
      <c r="E152" s="14">
        <f>CHOOSE(CONTROL!$C$42, 7.46, 7.46) * CHOOSE(CONTROL!$C$21, $C$9, 100%, $E$9)</f>
        <v>7.46</v>
      </c>
      <c r="F152" s="14">
        <f>CHOOSE(CONTROL!$C$42, 7.2078, 7.2078)*CHOOSE(CONTROL!$C$21, $C$9, 100%, $E$9)</f>
        <v>7.2077999999999998</v>
      </c>
      <c r="G152" s="14">
        <f>CHOOSE(CONTROL!$C$42, 7.2241, 7.2241)*CHOOSE(CONTROL!$C$21, $C$9, 100%, $E$9)</f>
        <v>7.2241</v>
      </c>
      <c r="H152" s="14">
        <f>CHOOSE(CONTROL!$C$42, 7.4486, 7.4486) * CHOOSE(CONTROL!$C$21, $C$9, 100%, $E$9)</f>
        <v>7.4485999999999999</v>
      </c>
      <c r="I152" s="14">
        <f>CHOOSE(CONTROL!$C$42, 7.2347, 7.2347)* CHOOSE(CONTROL!$C$21, $C$9, 100%, $E$9)</f>
        <v>7.2347000000000001</v>
      </c>
      <c r="J152" s="14">
        <f>CHOOSE(CONTROL!$C$42, 7.2008, 7.2008)* CHOOSE(CONTROL!$C$21, $C$9, 100%, $E$9)</f>
        <v>7.2008000000000001</v>
      </c>
      <c r="K152" s="53">
        <f>CHOOSE(CONTROL!$C$42, 7.2308, 7.2308) * CHOOSE(CONTROL!$C$21, $C$9, 100%, $E$9)</f>
        <v>7.2308000000000003</v>
      </c>
      <c r="L152" s="14">
        <f>CHOOSE(CONTROL!$C$42, 8.0356, 8.0356) * CHOOSE(CONTROL!$C$21, $C$9, 100%, $E$9)</f>
        <v>8.0356000000000005</v>
      </c>
      <c r="M152" s="14">
        <f>CHOOSE(CONTROL!$C$42, 7.1419, 7.1419) * CHOOSE(CONTROL!$C$21, $C$9, 100%, $E$9)</f>
        <v>7.1418999999999997</v>
      </c>
      <c r="N152" s="14">
        <f>CHOOSE(CONTROL!$C$42, 7.1581, 7.1581) * CHOOSE(CONTROL!$C$21, $C$9, 100%, $E$9)</f>
        <v>7.1581000000000001</v>
      </c>
      <c r="O152" s="14">
        <f>CHOOSE(CONTROL!$C$42, 7.3873, 7.3873) * CHOOSE(CONTROL!$C$21, $C$9, 100%, $E$9)</f>
        <v>7.3872999999999998</v>
      </c>
      <c r="P152" s="14">
        <f>CHOOSE(CONTROL!$C$42, 7.1756, 7.1756) * CHOOSE(CONTROL!$C$21, $C$9, 100%, $E$9)</f>
        <v>7.1756000000000002</v>
      </c>
      <c r="Q152" s="14">
        <f>CHOOSE(CONTROL!$C$42, 7.9826, 7.9826) * CHOOSE(CONTROL!$C$21, $C$9, 100%, $E$9)</f>
        <v>7.9825999999999997</v>
      </c>
      <c r="R152" s="14">
        <f>CHOOSE(CONTROL!$C$42, 8.5895, 8.5895) * CHOOSE(CONTROL!$C$21, $C$9, 100%, $E$9)</f>
        <v>8.5894999999999992</v>
      </c>
      <c r="S152" s="14">
        <f>CHOOSE(CONTROL!$C$42, 7.0103, 7.0103) * CHOOSE(CONTROL!$C$21, $C$9, 100%, $E$9)</f>
        <v>7.0103</v>
      </c>
      <c r="T15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52" s="57">
        <f>(1000*CHOOSE(CONTROL!$C$42, 695, 695)*CHOOSE(CONTROL!$C$42, 0.5599, 0.5599)*CHOOSE(CONTROL!$C$42, 31, 31))/1000000</f>
        <v>12.063045499999998</v>
      </c>
      <c r="V152" s="57">
        <f>(1000*CHOOSE(CONTROL!$C$42, 500, 500)*CHOOSE(CONTROL!$C$42, 0.275, 0.275)*CHOOSE(CONTROL!$C$42, 31, 31))/1000000</f>
        <v>4.2625000000000002</v>
      </c>
      <c r="W152" s="57">
        <f>(1000*CHOOSE(CONTROL!$C$42, 0.1146, 0.1146)*CHOOSE(CONTROL!$C$42, 121.5, 121.5)*CHOOSE(CONTROL!$C$42, 31, 31))/1000000</f>
        <v>0.43164089999999994</v>
      </c>
      <c r="X152" s="57">
        <f>(31*0.1790888*245000/1000000)+(31*0.2374*100000/1000000)</f>
        <v>2.0961194359999999</v>
      </c>
      <c r="Y152" s="57"/>
      <c r="Z152" s="14"/>
      <c r="AA152" s="56"/>
      <c r="AB152" s="50">
        <f>(B152*194.205+C152*267.466+D152*133.845+E152*53.484+F152*40+G152*185+H152*0+I152*100+J152*300)/(194.205+267.466+133.845+53.484+0+40+185+100+300)</f>
        <v>7.2517321336734692</v>
      </c>
      <c r="AC152" s="45">
        <f>(M152*'RAP TEMPLATE-GAS AVAILABILITY'!O151+N152*'RAP TEMPLATE-GAS AVAILABILITY'!P151+O152*'RAP TEMPLATE-GAS AVAILABILITY'!Q151+P152*'RAP TEMPLATE-GAS AVAILABILITY'!R151)/('RAP TEMPLATE-GAS AVAILABILITY'!O151+'RAP TEMPLATE-GAS AVAILABILITY'!P151+'RAP TEMPLATE-GAS AVAILABILITY'!Q151+'RAP TEMPLATE-GAS AVAILABILITY'!R151)</f>
        <v>7.2193316546762594</v>
      </c>
    </row>
    <row r="153" spans="1:29" ht="15.75" x14ac:dyDescent="0.25">
      <c r="A153" s="13">
        <v>45536</v>
      </c>
      <c r="B153" s="14">
        <f>CHOOSE(CONTROL!$C$42, 6.7647, 6.7647) * CHOOSE(CONTROL!$C$21, $C$9, 100%, $E$9)</f>
        <v>6.7647000000000004</v>
      </c>
      <c r="C153" s="14">
        <f>CHOOSE(CONTROL!$C$42, 6.7726, 6.7726) * CHOOSE(CONTROL!$C$21, $C$9, 100%, $E$9)</f>
        <v>6.7725999999999997</v>
      </c>
      <c r="D153" s="14">
        <f>CHOOSE(CONTROL!$C$42, 6.9702, 6.9702) * CHOOSE(CONTROL!$C$21, $C$9, 100%, $E$9)</f>
        <v>6.9702000000000002</v>
      </c>
      <c r="E153" s="14">
        <f>CHOOSE(CONTROL!$C$42, 7.0013, 7.0013) * CHOOSE(CONTROL!$C$21, $C$9, 100%, $E$9)</f>
        <v>7.0012999999999996</v>
      </c>
      <c r="F153" s="14">
        <f>CHOOSE(CONTROL!$C$42, 6.7491, 6.7491)*CHOOSE(CONTROL!$C$21, $C$9, 100%, $E$9)</f>
        <v>6.7491000000000003</v>
      </c>
      <c r="G153" s="14">
        <f>CHOOSE(CONTROL!$C$42, 6.7654, 6.7654)*CHOOSE(CONTROL!$C$21, $C$9, 100%, $E$9)</f>
        <v>6.7653999999999996</v>
      </c>
      <c r="H153" s="14">
        <f>CHOOSE(CONTROL!$C$42, 6.99, 6.99) * CHOOSE(CONTROL!$C$21, $C$9, 100%, $E$9)</f>
        <v>6.99</v>
      </c>
      <c r="I153" s="14">
        <f>CHOOSE(CONTROL!$C$42, 6.7761, 6.7761)* CHOOSE(CONTROL!$C$21, $C$9, 100%, $E$9)</f>
        <v>6.7760999999999996</v>
      </c>
      <c r="J153" s="14">
        <f>CHOOSE(CONTROL!$C$42, 6.7421, 6.7421)* CHOOSE(CONTROL!$C$21, $C$9, 100%, $E$9)</f>
        <v>6.7420999999999998</v>
      </c>
      <c r="K153" s="53">
        <f>CHOOSE(CONTROL!$C$42, 6.7722, 6.7722) * CHOOSE(CONTROL!$C$21, $C$9, 100%, $E$9)</f>
        <v>6.7721999999999998</v>
      </c>
      <c r="L153" s="14">
        <f>CHOOSE(CONTROL!$C$42, 7.577, 7.577) * CHOOSE(CONTROL!$C$21, $C$9, 100%, $E$9)</f>
        <v>7.577</v>
      </c>
      <c r="M153" s="14">
        <f>CHOOSE(CONTROL!$C$42, 6.6879, 6.6879) * CHOOSE(CONTROL!$C$21, $C$9, 100%, $E$9)</f>
        <v>6.6879</v>
      </c>
      <c r="N153" s="14">
        <f>CHOOSE(CONTROL!$C$42, 6.704, 6.704) * CHOOSE(CONTROL!$C$21, $C$9, 100%, $E$9)</f>
        <v>6.7039999999999997</v>
      </c>
      <c r="O153" s="14">
        <f>CHOOSE(CONTROL!$C$42, 6.9333, 6.9333) * CHOOSE(CONTROL!$C$21, $C$9, 100%, $E$9)</f>
        <v>6.9333</v>
      </c>
      <c r="P153" s="14">
        <f>CHOOSE(CONTROL!$C$42, 6.7216, 6.7216) * CHOOSE(CONTROL!$C$21, $C$9, 100%, $E$9)</f>
        <v>6.7215999999999996</v>
      </c>
      <c r="Q153" s="14">
        <f>CHOOSE(CONTROL!$C$42, 7.5286, 7.5286) * CHOOSE(CONTROL!$C$21, $C$9, 100%, $E$9)</f>
        <v>7.5286</v>
      </c>
      <c r="R153" s="14">
        <f>CHOOSE(CONTROL!$C$42, 8.1344, 8.1344) * CHOOSE(CONTROL!$C$21, $C$9, 100%, $E$9)</f>
        <v>8.1343999999999994</v>
      </c>
      <c r="S153" s="14">
        <f>CHOOSE(CONTROL!$C$42, 6.565, 6.565) * CHOOSE(CONTROL!$C$21, $C$9, 100%, $E$9)</f>
        <v>6.5650000000000004</v>
      </c>
      <c r="T15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53" s="57">
        <f>(1000*CHOOSE(CONTROL!$C$42, 695, 695)*CHOOSE(CONTROL!$C$42, 0.5599, 0.5599)*CHOOSE(CONTROL!$C$42, 30, 30))/1000000</f>
        <v>11.673914999999997</v>
      </c>
      <c r="V153" s="57">
        <f>(1000*CHOOSE(CONTROL!$C$42, 500, 500)*CHOOSE(CONTROL!$C$42, 0.275, 0.275)*CHOOSE(CONTROL!$C$42, 30, 30))/1000000</f>
        <v>4.125</v>
      </c>
      <c r="W153" s="57">
        <f>(1000*CHOOSE(CONTROL!$C$42, 0.1146, 0.1146)*CHOOSE(CONTROL!$C$42, 121.5, 121.5)*CHOOSE(CONTROL!$C$42, 30, 30))/1000000</f>
        <v>0.417717</v>
      </c>
      <c r="X153" s="57">
        <f>(30*0.1790888*245000/1000000)+(30*0.2374*100000/1000000)</f>
        <v>2.0285026799999999</v>
      </c>
      <c r="Y153" s="57"/>
      <c r="Z153" s="14"/>
      <c r="AA153" s="56"/>
      <c r="AB153" s="50">
        <f>(B153*194.205+C153*267.466+D153*133.845+E153*53.484+F153*40+G153*185+H153*0+I153*100+J153*300)/(194.205+267.466+133.845+53.484+0+40+185+100+300)</f>
        <v>6.7930657325745676</v>
      </c>
      <c r="AC153" s="45">
        <f>(M153*'RAP TEMPLATE-GAS AVAILABILITY'!O152+N153*'RAP TEMPLATE-GAS AVAILABILITY'!P152+O153*'RAP TEMPLATE-GAS AVAILABILITY'!Q152+P153*'RAP TEMPLATE-GAS AVAILABILITY'!R152)/('RAP TEMPLATE-GAS AVAILABILITY'!O152+'RAP TEMPLATE-GAS AVAILABILITY'!P152+'RAP TEMPLATE-GAS AVAILABILITY'!Q152+'RAP TEMPLATE-GAS AVAILABILITY'!R152)</f>
        <v>6.7653086330935253</v>
      </c>
    </row>
    <row r="154" spans="1:29" ht="15.75" x14ac:dyDescent="0.25">
      <c r="A154" s="13">
        <v>45566</v>
      </c>
      <c r="B154" s="14">
        <f>CHOOSE(CONTROL!$C$42, 6.6257, 6.6257) * CHOOSE(CONTROL!$C$21, $C$9, 100%, $E$9)</f>
        <v>6.6257000000000001</v>
      </c>
      <c r="C154" s="14">
        <f>CHOOSE(CONTROL!$C$42, 6.6309, 6.6309) * CHOOSE(CONTROL!$C$21, $C$9, 100%, $E$9)</f>
        <v>6.6308999999999996</v>
      </c>
      <c r="D154" s="14">
        <f>CHOOSE(CONTROL!$C$42, 6.8335, 6.8335) * CHOOSE(CONTROL!$C$21, $C$9, 100%, $E$9)</f>
        <v>6.8334999999999999</v>
      </c>
      <c r="E154" s="14">
        <f>CHOOSE(CONTROL!$C$42, 6.8623, 6.8623) * CHOOSE(CONTROL!$C$21, $C$9, 100%, $E$9)</f>
        <v>6.8623000000000003</v>
      </c>
      <c r="F154" s="14">
        <f>CHOOSE(CONTROL!$C$42, 6.6121, 6.6121)*CHOOSE(CONTROL!$C$21, $C$9, 100%, $E$9)</f>
        <v>6.6120999999999999</v>
      </c>
      <c r="G154" s="14">
        <f>CHOOSE(CONTROL!$C$42, 6.6281, 6.6281)*CHOOSE(CONTROL!$C$21, $C$9, 100%, $E$9)</f>
        <v>6.6280999999999999</v>
      </c>
      <c r="H154" s="14">
        <f>CHOOSE(CONTROL!$C$42, 6.8527, 6.8527) * CHOOSE(CONTROL!$C$21, $C$9, 100%, $E$9)</f>
        <v>6.8526999999999996</v>
      </c>
      <c r="I154" s="14">
        <f>CHOOSE(CONTROL!$C$42, 6.6388, 6.6388)* CHOOSE(CONTROL!$C$21, $C$9, 100%, $E$9)</f>
        <v>6.6387999999999998</v>
      </c>
      <c r="J154" s="14">
        <f>CHOOSE(CONTROL!$C$42, 6.6051, 6.6051)* CHOOSE(CONTROL!$C$21, $C$9, 100%, $E$9)</f>
        <v>6.6051000000000002</v>
      </c>
      <c r="K154" s="53">
        <f>CHOOSE(CONTROL!$C$42, 6.6349, 6.6349) * CHOOSE(CONTROL!$C$21, $C$9, 100%, $E$9)</f>
        <v>6.6349</v>
      </c>
      <c r="L154" s="14">
        <f>CHOOSE(CONTROL!$C$42, 7.4397, 7.4397) * CHOOSE(CONTROL!$C$21, $C$9, 100%, $E$9)</f>
        <v>7.4397000000000002</v>
      </c>
      <c r="M154" s="14">
        <f>CHOOSE(CONTROL!$C$42, 6.5522, 6.5522) * CHOOSE(CONTROL!$C$21, $C$9, 100%, $E$9)</f>
        <v>6.5522</v>
      </c>
      <c r="N154" s="14">
        <f>CHOOSE(CONTROL!$C$42, 6.5681, 6.5681) * CHOOSE(CONTROL!$C$21, $C$9, 100%, $E$9)</f>
        <v>6.5681000000000003</v>
      </c>
      <c r="O154" s="14">
        <f>CHOOSE(CONTROL!$C$42, 6.7974, 6.7974) * CHOOSE(CONTROL!$C$21, $C$9, 100%, $E$9)</f>
        <v>6.7973999999999997</v>
      </c>
      <c r="P154" s="14">
        <f>CHOOSE(CONTROL!$C$42, 6.5857, 6.5857) * CHOOSE(CONTROL!$C$21, $C$9, 100%, $E$9)</f>
        <v>6.5857000000000001</v>
      </c>
      <c r="Q154" s="14">
        <f>CHOOSE(CONTROL!$C$42, 7.3927, 7.3927) * CHOOSE(CONTROL!$C$21, $C$9, 100%, $E$9)</f>
        <v>7.3926999999999996</v>
      </c>
      <c r="R154" s="14">
        <f>CHOOSE(CONTROL!$C$42, 7.9982, 7.9982) * CHOOSE(CONTROL!$C$21, $C$9, 100%, $E$9)</f>
        <v>7.9981999999999998</v>
      </c>
      <c r="S154" s="14">
        <f>CHOOSE(CONTROL!$C$42, 6.4317, 6.4317) * CHOOSE(CONTROL!$C$21, $C$9, 100%, $E$9)</f>
        <v>6.4317000000000002</v>
      </c>
      <c r="T15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54" s="57">
        <f>(1000*CHOOSE(CONTROL!$C$42, 695, 695)*CHOOSE(CONTROL!$C$42, 0.5599, 0.5599)*CHOOSE(CONTROL!$C$42, 31, 31))/1000000</f>
        <v>12.063045499999998</v>
      </c>
      <c r="V154" s="57">
        <f>(1000*CHOOSE(CONTROL!$C$42, 500, 500)*CHOOSE(CONTROL!$C$42, 0.275, 0.275)*CHOOSE(CONTROL!$C$42, 31, 31))/1000000</f>
        <v>4.2625000000000002</v>
      </c>
      <c r="W154" s="57">
        <f>(1000*CHOOSE(CONTROL!$C$42, 0.1146, 0.1146)*CHOOSE(CONTROL!$C$42, 121.5, 121.5)*CHOOSE(CONTROL!$C$42, 31, 31))/1000000</f>
        <v>0.43164089999999994</v>
      </c>
      <c r="X154" s="57">
        <f>(31*0.1790888*245000/1000000)+(31*0.2374*100000/1000000)</f>
        <v>2.0961194359999999</v>
      </c>
      <c r="Y154" s="57"/>
      <c r="Z154" s="14"/>
      <c r="AA154" s="56"/>
      <c r="AB154" s="50">
        <f>(B154*131.881+C154*277.167+D154*79.08+E154*125.872+F154*40+G154*185+H154*0+I154*100+J154*300)/(131.881+277.167+79.08+125.872+0+40+185+100+300)</f>
        <v>6.6601514992736073</v>
      </c>
      <c r="AC154" s="45">
        <f>(M154*'RAP TEMPLATE-GAS AVAILABILITY'!O153+N154*'RAP TEMPLATE-GAS AVAILABILITY'!P153+O154*'RAP TEMPLATE-GAS AVAILABILITY'!Q153+P154*'RAP TEMPLATE-GAS AVAILABILITY'!R153)/('RAP TEMPLATE-GAS AVAILABILITY'!O153+'RAP TEMPLATE-GAS AVAILABILITY'!P153+'RAP TEMPLATE-GAS AVAILABILITY'!Q153+'RAP TEMPLATE-GAS AVAILABILITY'!R153)</f>
        <v>6.6294776978417271</v>
      </c>
    </row>
    <row r="155" spans="1:29" ht="15.75" x14ac:dyDescent="0.25">
      <c r="A155" s="13">
        <v>45597</v>
      </c>
      <c r="B155" s="14">
        <f>CHOOSE(CONTROL!$C$42, 6.7997, 6.7997) * CHOOSE(CONTROL!$C$21, $C$9, 100%, $E$9)</f>
        <v>6.7996999999999996</v>
      </c>
      <c r="C155" s="14">
        <f>CHOOSE(CONTROL!$C$42, 6.8047, 6.8047) * CHOOSE(CONTROL!$C$21, $C$9, 100%, $E$9)</f>
        <v>6.8047000000000004</v>
      </c>
      <c r="D155" s="14">
        <f>CHOOSE(CONTROL!$C$42, 6.8678, 6.8678) * CHOOSE(CONTROL!$C$21, $C$9, 100%, $E$9)</f>
        <v>6.8677999999999999</v>
      </c>
      <c r="E155" s="14">
        <f>CHOOSE(CONTROL!$C$42, 6.9016, 6.9016) * CHOOSE(CONTROL!$C$21, $C$9, 100%, $E$9)</f>
        <v>6.9016000000000002</v>
      </c>
      <c r="F155" s="14">
        <f>CHOOSE(CONTROL!$C$42, 6.8004, 6.8004)*CHOOSE(CONTROL!$C$21, $C$9, 100%, $E$9)</f>
        <v>6.8003999999999998</v>
      </c>
      <c r="G155" s="14">
        <f>CHOOSE(CONTROL!$C$42, 6.8167, 6.8167)*CHOOSE(CONTROL!$C$21, $C$9, 100%, $E$9)</f>
        <v>6.8167</v>
      </c>
      <c r="H155" s="14">
        <f>CHOOSE(CONTROL!$C$42, 6.8908, 6.8908) * CHOOSE(CONTROL!$C$21, $C$9, 100%, $E$9)</f>
        <v>6.8907999999999996</v>
      </c>
      <c r="I155" s="14">
        <f>CHOOSE(CONTROL!$C$42, 6.8133, 6.8133)* CHOOSE(CONTROL!$C$21, $C$9, 100%, $E$9)</f>
        <v>6.8132999999999999</v>
      </c>
      <c r="J155" s="14">
        <f>CHOOSE(CONTROL!$C$42, 6.7934, 6.7934)* CHOOSE(CONTROL!$C$21, $C$9, 100%, $E$9)</f>
        <v>6.7934000000000001</v>
      </c>
      <c r="K155" s="53">
        <f>CHOOSE(CONTROL!$C$42, 6.8094, 6.8094) * CHOOSE(CONTROL!$C$21, $C$9, 100%, $E$9)</f>
        <v>6.8094000000000001</v>
      </c>
      <c r="L155" s="14">
        <f>CHOOSE(CONTROL!$C$42, 7.4778, 7.4778) * CHOOSE(CONTROL!$C$21, $C$9, 100%, $E$9)</f>
        <v>7.4778000000000002</v>
      </c>
      <c r="M155" s="14">
        <f>CHOOSE(CONTROL!$C$42, 6.7387, 6.7387) * CHOOSE(CONTROL!$C$21, $C$9, 100%, $E$9)</f>
        <v>6.7386999999999997</v>
      </c>
      <c r="N155" s="14">
        <f>CHOOSE(CONTROL!$C$42, 6.7548, 6.7548) * CHOOSE(CONTROL!$C$21, $C$9, 100%, $E$9)</f>
        <v>6.7548000000000004</v>
      </c>
      <c r="O155" s="14">
        <f>CHOOSE(CONTROL!$C$42, 6.835, 6.835) * CHOOSE(CONTROL!$C$21, $C$9, 100%, $E$9)</f>
        <v>6.835</v>
      </c>
      <c r="P155" s="14">
        <f>CHOOSE(CONTROL!$C$42, 6.7584, 6.7584) * CHOOSE(CONTROL!$C$21, $C$9, 100%, $E$9)</f>
        <v>6.7584</v>
      </c>
      <c r="Q155" s="14">
        <f>CHOOSE(CONTROL!$C$42, 7.4303, 7.4303) * CHOOSE(CONTROL!$C$21, $C$9, 100%, $E$9)</f>
        <v>7.4302999999999999</v>
      </c>
      <c r="R155" s="14">
        <f>CHOOSE(CONTROL!$C$42, 8.0359, 8.0359) * CHOOSE(CONTROL!$C$21, $C$9, 100%, $E$9)</f>
        <v>8.0358999999999998</v>
      </c>
      <c r="S155" s="14">
        <f>CHOOSE(CONTROL!$C$42, 6.6011, 6.6011) * CHOOSE(CONTROL!$C$21, $C$9, 100%, $E$9)</f>
        <v>6.6010999999999997</v>
      </c>
      <c r="T15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55" s="57">
        <f>(1000*CHOOSE(CONTROL!$C$42, 695, 695)*CHOOSE(CONTROL!$C$42, 0.5599, 0.5599)*CHOOSE(CONTROL!$C$42, 30, 30))/1000000</f>
        <v>11.673914999999997</v>
      </c>
      <c r="V155" s="57">
        <f>(1000*CHOOSE(CONTROL!$C$42, 500, 500)*CHOOSE(CONTROL!$C$42, 0.275, 0.275)*CHOOSE(CONTROL!$C$42, 30, 30))/1000000</f>
        <v>4.125</v>
      </c>
      <c r="W155" s="57">
        <f>(1000*CHOOSE(CONTROL!$C$42, 0.1146, 0.1146)*CHOOSE(CONTROL!$C$42, 121.5, 121.5)*CHOOSE(CONTROL!$C$42, 30, 30))/1000000</f>
        <v>0.417717</v>
      </c>
      <c r="X155" s="57">
        <f>(30*0.1790888*100000/1000000)+(30*0.2374*100000/1000000)</f>
        <v>1.2494664</v>
      </c>
      <c r="Y155" s="57"/>
      <c r="Z155" s="14"/>
      <c r="AA155" s="56"/>
      <c r="AB155" s="50">
        <f>(B155*122.58+C155*297.941+D155*89.177+E155*40.302+F155*40+G155*160+H155*0+I155*100+J155*300)/(122.58+297.941+89.177+40.302+0+40+160+100+300)</f>
        <v>6.8117760282608701</v>
      </c>
      <c r="AC155" s="45">
        <f>(M155*'RAP TEMPLATE-GAS AVAILABILITY'!O154+N155*'RAP TEMPLATE-GAS AVAILABILITY'!P154+O155*'RAP TEMPLATE-GAS AVAILABILITY'!Q154+P155*'RAP TEMPLATE-GAS AVAILABILITY'!R154)/('RAP TEMPLATE-GAS AVAILABILITY'!O154+'RAP TEMPLATE-GAS AVAILABILITY'!P154+'RAP TEMPLATE-GAS AVAILABILITY'!Q154+'RAP TEMPLATE-GAS AVAILABILITY'!R154)</f>
        <v>6.7861079136690652</v>
      </c>
    </row>
    <row r="156" spans="1:29" ht="15.75" x14ac:dyDescent="0.25">
      <c r="A156" s="13">
        <v>45627</v>
      </c>
      <c r="B156" s="14">
        <f>CHOOSE(CONTROL!$C$42, 7.2631, 7.2631) * CHOOSE(CONTROL!$C$21, $C$9, 100%, $E$9)</f>
        <v>7.2630999999999997</v>
      </c>
      <c r="C156" s="14">
        <f>CHOOSE(CONTROL!$C$42, 7.2681, 7.2681) * CHOOSE(CONTROL!$C$21, $C$9, 100%, $E$9)</f>
        <v>7.2680999999999996</v>
      </c>
      <c r="D156" s="14">
        <f>CHOOSE(CONTROL!$C$42, 7.3312, 7.3312) * CHOOSE(CONTROL!$C$21, $C$9, 100%, $E$9)</f>
        <v>7.3311999999999999</v>
      </c>
      <c r="E156" s="14">
        <f>CHOOSE(CONTROL!$C$42, 7.365, 7.365) * CHOOSE(CONTROL!$C$21, $C$9, 100%, $E$9)</f>
        <v>7.3650000000000002</v>
      </c>
      <c r="F156" s="14">
        <f>CHOOSE(CONTROL!$C$42, 7.2659, 7.2659)*CHOOSE(CONTROL!$C$21, $C$9, 100%, $E$9)</f>
        <v>7.2659000000000002</v>
      </c>
      <c r="G156" s="14">
        <f>CHOOSE(CONTROL!$C$42, 7.2827, 7.2827)*CHOOSE(CONTROL!$C$21, $C$9, 100%, $E$9)</f>
        <v>7.2827000000000002</v>
      </c>
      <c r="H156" s="14">
        <f>CHOOSE(CONTROL!$C$42, 7.3541, 7.3541) * CHOOSE(CONTROL!$C$21, $C$9, 100%, $E$9)</f>
        <v>7.3540999999999999</v>
      </c>
      <c r="I156" s="14">
        <f>CHOOSE(CONTROL!$C$42, 7.2767, 7.2767)* CHOOSE(CONTROL!$C$21, $C$9, 100%, $E$9)</f>
        <v>7.2766999999999999</v>
      </c>
      <c r="J156" s="14">
        <f>CHOOSE(CONTROL!$C$42, 7.2589, 7.2589)* CHOOSE(CONTROL!$C$21, $C$9, 100%, $E$9)</f>
        <v>7.2588999999999997</v>
      </c>
      <c r="K156" s="53">
        <f>CHOOSE(CONTROL!$C$42, 7.2728, 7.2728) * CHOOSE(CONTROL!$C$21, $C$9, 100%, $E$9)</f>
        <v>7.2728000000000002</v>
      </c>
      <c r="L156" s="14">
        <f>CHOOSE(CONTROL!$C$42, 7.9411, 7.9411) * CHOOSE(CONTROL!$C$21, $C$9, 100%, $E$9)</f>
        <v>7.9410999999999996</v>
      </c>
      <c r="M156" s="14">
        <f>CHOOSE(CONTROL!$C$42, 7.1995, 7.1995) * CHOOSE(CONTROL!$C$21, $C$9, 100%, $E$9)</f>
        <v>7.1994999999999996</v>
      </c>
      <c r="N156" s="14">
        <f>CHOOSE(CONTROL!$C$42, 7.2161, 7.2161) * CHOOSE(CONTROL!$C$21, $C$9, 100%, $E$9)</f>
        <v>7.2161</v>
      </c>
      <c r="O156" s="14">
        <f>CHOOSE(CONTROL!$C$42, 7.2938, 7.2938) * CHOOSE(CONTROL!$C$21, $C$9, 100%, $E$9)</f>
        <v>7.2938000000000001</v>
      </c>
      <c r="P156" s="14">
        <f>CHOOSE(CONTROL!$C$42, 7.2171, 7.2171) * CHOOSE(CONTROL!$C$21, $C$9, 100%, $E$9)</f>
        <v>7.2171000000000003</v>
      </c>
      <c r="Q156" s="14">
        <f>CHOOSE(CONTROL!$C$42, 7.8891, 7.8891) * CHOOSE(CONTROL!$C$21, $C$9, 100%, $E$9)</f>
        <v>7.8891</v>
      </c>
      <c r="R156" s="14">
        <f>CHOOSE(CONTROL!$C$42, 8.4958, 8.4958) * CHOOSE(CONTROL!$C$21, $C$9, 100%, $E$9)</f>
        <v>8.4957999999999991</v>
      </c>
      <c r="S156" s="14">
        <f>CHOOSE(CONTROL!$C$42, 7.0511, 7.0511) * CHOOSE(CONTROL!$C$21, $C$9, 100%, $E$9)</f>
        <v>7.0510999999999999</v>
      </c>
      <c r="T15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56" s="57">
        <f>(1000*CHOOSE(CONTROL!$C$42, 695, 695)*CHOOSE(CONTROL!$C$42, 0.5599, 0.5599)*CHOOSE(CONTROL!$C$42, 31, 31))/1000000</f>
        <v>12.063045499999998</v>
      </c>
      <c r="V156" s="57">
        <f>(1000*CHOOSE(CONTROL!$C$42, 500, 500)*CHOOSE(CONTROL!$C$42, 0.275, 0.275)*CHOOSE(CONTROL!$C$42, 31, 31))/1000000</f>
        <v>4.2625000000000002</v>
      </c>
      <c r="W156" s="57">
        <f>(1000*CHOOSE(CONTROL!$C$42, 0.1146, 0.1146)*CHOOSE(CONTROL!$C$42, 121.5, 121.5)*CHOOSE(CONTROL!$C$42, 31, 31))/1000000</f>
        <v>0.43164089999999994</v>
      </c>
      <c r="X156" s="57">
        <f>(31*0.1790888*100000/1000000)+(31*0.2374*100000/1000000)</f>
        <v>1.2911152800000001</v>
      </c>
      <c r="Y156" s="57"/>
      <c r="Z156" s="14"/>
      <c r="AA156" s="56"/>
      <c r="AB156" s="50">
        <f>(B156*122.58+C156*297.941+D156*89.177+E156*40.302+F156*40+G156*160+H156*0+I156*100+J156*300)/(122.58+297.941+89.177+40.302+0+40+160+100+300)</f>
        <v>7.276158636956521</v>
      </c>
      <c r="AC156" s="45">
        <f>(M156*'RAP TEMPLATE-GAS AVAILABILITY'!O155+N156*'RAP TEMPLATE-GAS AVAILABILITY'!P155+O156*'RAP TEMPLATE-GAS AVAILABILITY'!Q155+P156*'RAP TEMPLATE-GAS AVAILABILITY'!R155)/('RAP TEMPLATE-GAS AVAILABILITY'!O155+'RAP TEMPLATE-GAS AVAILABILITY'!P155+'RAP TEMPLATE-GAS AVAILABILITY'!Q155+'RAP TEMPLATE-GAS AVAILABILITY'!R155)</f>
        <v>7.2457280575539569</v>
      </c>
    </row>
    <row r="157" spans="1:29" ht="15.75" x14ac:dyDescent="0.25">
      <c r="A157" s="13">
        <v>45658</v>
      </c>
      <c r="B157" s="14">
        <f>CHOOSE(CONTROL!$C$42, 7.8911, 7.8911) * CHOOSE(CONTROL!$C$21, $C$9, 100%, $E$9)</f>
        <v>7.8910999999999998</v>
      </c>
      <c r="C157" s="14">
        <f>CHOOSE(CONTROL!$C$42, 7.8961, 7.8961) * CHOOSE(CONTROL!$C$21, $C$9, 100%, $E$9)</f>
        <v>7.8960999999999997</v>
      </c>
      <c r="D157" s="14">
        <f>CHOOSE(CONTROL!$C$42, 7.9603, 7.9603) * CHOOSE(CONTROL!$C$21, $C$9, 100%, $E$9)</f>
        <v>7.9603000000000002</v>
      </c>
      <c r="E157" s="14">
        <f>CHOOSE(CONTROL!$C$42, 7.9941, 7.9941) * CHOOSE(CONTROL!$C$21, $C$9, 100%, $E$9)</f>
        <v>7.9941000000000004</v>
      </c>
      <c r="F157" s="14">
        <f>CHOOSE(CONTROL!$C$42, 7.8926, 7.8926)*CHOOSE(CONTROL!$C$21, $C$9, 100%, $E$9)</f>
        <v>7.8925999999999998</v>
      </c>
      <c r="G157" s="14">
        <f>CHOOSE(CONTROL!$C$42, 7.9085, 7.9085)*CHOOSE(CONTROL!$C$21, $C$9, 100%, $E$9)</f>
        <v>7.9085000000000001</v>
      </c>
      <c r="H157" s="14">
        <f>CHOOSE(CONTROL!$C$42, 7.9833, 7.9833) * CHOOSE(CONTROL!$C$21, $C$9, 100%, $E$9)</f>
        <v>7.9832999999999998</v>
      </c>
      <c r="I157" s="14">
        <f>CHOOSE(CONTROL!$C$42, 7.9111, 7.9111)* CHOOSE(CONTROL!$C$21, $C$9, 100%, $E$9)</f>
        <v>7.9111000000000002</v>
      </c>
      <c r="J157" s="14">
        <f>CHOOSE(CONTROL!$C$42, 7.8856, 7.8856)* CHOOSE(CONTROL!$C$21, $C$9, 100%, $E$9)</f>
        <v>7.8856000000000002</v>
      </c>
      <c r="K157" s="53">
        <f>CHOOSE(CONTROL!$C$42, 7.9072, 7.9072) * CHOOSE(CONTROL!$C$21, $C$9, 100%, $E$9)</f>
        <v>7.9071999999999996</v>
      </c>
      <c r="L157" s="14">
        <f>CHOOSE(CONTROL!$C$42, 8.5703, 8.5703) * CHOOSE(CONTROL!$C$21, $C$9, 100%, $E$9)</f>
        <v>8.5702999999999996</v>
      </c>
      <c r="M157" s="14">
        <f>CHOOSE(CONTROL!$C$42, 7.8199, 7.8199) * CHOOSE(CONTROL!$C$21, $C$9, 100%, $E$9)</f>
        <v>7.8198999999999996</v>
      </c>
      <c r="N157" s="14">
        <f>CHOOSE(CONTROL!$C$42, 7.8356, 7.8356) * CHOOSE(CONTROL!$C$21, $C$9, 100%, $E$9)</f>
        <v>7.8356000000000003</v>
      </c>
      <c r="O157" s="14">
        <f>CHOOSE(CONTROL!$C$42, 7.9166, 7.9166) * CHOOSE(CONTROL!$C$21, $C$9, 100%, $E$9)</f>
        <v>7.9165999999999999</v>
      </c>
      <c r="P157" s="14">
        <f>CHOOSE(CONTROL!$C$42, 7.8451, 7.8451) * CHOOSE(CONTROL!$C$21, $C$9, 100%, $E$9)</f>
        <v>7.8451000000000004</v>
      </c>
      <c r="Q157" s="14">
        <f>CHOOSE(CONTROL!$C$42, 8.5119, 8.5119) * CHOOSE(CONTROL!$C$21, $C$9, 100%, $E$9)</f>
        <v>8.5119000000000007</v>
      </c>
      <c r="R157" s="14">
        <f>CHOOSE(CONTROL!$C$42, 9.1202, 9.1202) * CHOOSE(CONTROL!$C$21, $C$9, 100%, $E$9)</f>
        <v>9.1202000000000005</v>
      </c>
      <c r="S157" s="14">
        <f>CHOOSE(CONTROL!$C$42, 7.6609, 7.6609) * CHOOSE(CONTROL!$C$21, $C$9, 100%, $E$9)</f>
        <v>7.6608999999999998</v>
      </c>
      <c r="T15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57" s="57">
        <f>(1000*CHOOSE(CONTROL!$C$42, 695, 695)*CHOOSE(CONTROL!$C$42, 0.5599, 0.5599)*CHOOSE(CONTROL!$C$42, 31, 31))/1000000</f>
        <v>12.063045499999998</v>
      </c>
      <c r="V157" s="57">
        <f>(1000*CHOOSE(CONTROL!$C$42, 500, 500)*CHOOSE(CONTROL!$C$42, 0.275, 0.275)*CHOOSE(CONTROL!$C$42, 31, 31))/1000000</f>
        <v>4.2625000000000002</v>
      </c>
      <c r="W157" s="57">
        <f>(1000*CHOOSE(CONTROL!$C$42, 0.1146, 0.1146)*CHOOSE(CONTROL!$C$42, 121.5, 121.5)*CHOOSE(CONTROL!$C$42, 31, 31))/1000000</f>
        <v>0.43164089999999994</v>
      </c>
      <c r="X157" s="57">
        <f>(31*0.1790888*100000/1000000)+(31*0.2374*100000/1000000)</f>
        <v>1.2911152800000001</v>
      </c>
      <c r="Y157" s="57"/>
      <c r="Z157" s="14"/>
      <c r="AA157" s="56"/>
      <c r="AB157" s="50">
        <f>(B157*122.58+C157*297.941+D157*89.177+E157*40.302+F157*40+G157*160+H157*0+I157*100+J157*300)/(122.58+297.941+89.177+40.302+0+40+160+100+300)</f>
        <v>7.9041485733913026</v>
      </c>
      <c r="AC157" s="45">
        <f>(M157*'RAP TEMPLATE-GAS AVAILABILITY'!O156+N157*'RAP TEMPLATE-GAS AVAILABILITY'!P156+O157*'RAP TEMPLATE-GAS AVAILABILITY'!Q156+P157*'RAP TEMPLATE-GAS AVAILABILITY'!R156)/('RAP TEMPLATE-GAS AVAILABILITY'!O156+'RAP TEMPLATE-GAS AVAILABILITY'!P156+'RAP TEMPLATE-GAS AVAILABILITY'!Q156+'RAP TEMPLATE-GAS AVAILABILITY'!R156)</f>
        <v>7.8682575539568349</v>
      </c>
    </row>
    <row r="158" spans="1:29" ht="15.75" x14ac:dyDescent="0.25">
      <c r="A158" s="13">
        <v>45689</v>
      </c>
      <c r="B158" s="14">
        <f>CHOOSE(CONTROL!$C$42, 8.0315, 8.0315) * CHOOSE(CONTROL!$C$21, $C$9, 100%, $E$9)</f>
        <v>8.0314999999999994</v>
      </c>
      <c r="C158" s="14">
        <f>CHOOSE(CONTROL!$C$42, 8.0365, 8.0365) * CHOOSE(CONTROL!$C$21, $C$9, 100%, $E$9)</f>
        <v>8.0365000000000002</v>
      </c>
      <c r="D158" s="14">
        <f>CHOOSE(CONTROL!$C$42, 8.1008, 8.1008) * CHOOSE(CONTROL!$C$21, $C$9, 100%, $E$9)</f>
        <v>8.1007999999999996</v>
      </c>
      <c r="E158" s="14">
        <f>CHOOSE(CONTROL!$C$42, 8.1345, 8.1345) * CHOOSE(CONTROL!$C$21, $C$9, 100%, $E$9)</f>
        <v>8.1344999999999992</v>
      </c>
      <c r="F158" s="14">
        <f>CHOOSE(CONTROL!$C$42, 8.0331, 8.0331)*CHOOSE(CONTROL!$C$21, $C$9, 100%, $E$9)</f>
        <v>8.0330999999999992</v>
      </c>
      <c r="G158" s="14">
        <f>CHOOSE(CONTROL!$C$42, 8.049, 8.049)*CHOOSE(CONTROL!$C$21, $C$9, 100%, $E$9)</f>
        <v>8.0489999999999995</v>
      </c>
      <c r="H158" s="14">
        <f>CHOOSE(CONTROL!$C$42, 8.1237, 8.1237) * CHOOSE(CONTROL!$C$21, $C$9, 100%, $E$9)</f>
        <v>8.1236999999999995</v>
      </c>
      <c r="I158" s="14">
        <f>CHOOSE(CONTROL!$C$42, 8.0515, 8.0515)* CHOOSE(CONTROL!$C$21, $C$9, 100%, $E$9)</f>
        <v>8.0515000000000008</v>
      </c>
      <c r="J158" s="14">
        <f>CHOOSE(CONTROL!$C$42, 8.0261, 8.0261)* CHOOSE(CONTROL!$C$21, $C$9, 100%, $E$9)</f>
        <v>8.0260999999999996</v>
      </c>
      <c r="K158" s="53">
        <f>CHOOSE(CONTROL!$C$42, 8.0476, 8.0476) * CHOOSE(CONTROL!$C$21, $C$9, 100%, $E$9)</f>
        <v>8.0475999999999992</v>
      </c>
      <c r="L158" s="14">
        <f>CHOOSE(CONTROL!$C$42, 8.7107, 8.7107) * CHOOSE(CONTROL!$C$21, $C$9, 100%, $E$9)</f>
        <v>8.7106999999999992</v>
      </c>
      <c r="M158" s="14">
        <f>CHOOSE(CONTROL!$C$42, 7.9589, 7.9589) * CHOOSE(CONTROL!$C$21, $C$9, 100%, $E$9)</f>
        <v>7.9588999999999999</v>
      </c>
      <c r="N158" s="14">
        <f>CHOOSE(CONTROL!$C$42, 7.9747, 7.9747) * CHOOSE(CONTROL!$C$21, $C$9, 100%, $E$9)</f>
        <v>7.9747000000000003</v>
      </c>
      <c r="O158" s="14">
        <f>CHOOSE(CONTROL!$C$42, 8.0556, 8.0556) * CHOOSE(CONTROL!$C$21, $C$9, 100%, $E$9)</f>
        <v>8.0556000000000001</v>
      </c>
      <c r="P158" s="14">
        <f>CHOOSE(CONTROL!$C$42, 7.9841, 7.9841) * CHOOSE(CONTROL!$C$21, $C$9, 100%, $E$9)</f>
        <v>7.9840999999999998</v>
      </c>
      <c r="Q158" s="14">
        <f>CHOOSE(CONTROL!$C$42, 8.6509, 8.6509) * CHOOSE(CONTROL!$C$21, $C$9, 100%, $E$9)</f>
        <v>8.6509</v>
      </c>
      <c r="R158" s="14">
        <f>CHOOSE(CONTROL!$C$42, 9.2595, 9.2595) * CHOOSE(CONTROL!$C$21, $C$9, 100%, $E$9)</f>
        <v>9.2594999999999992</v>
      </c>
      <c r="S158" s="14">
        <f>CHOOSE(CONTROL!$C$42, 7.7973, 7.7973) * CHOOSE(CONTROL!$C$21, $C$9, 100%, $E$9)</f>
        <v>7.7972999999999999</v>
      </c>
      <c r="T15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58" s="57">
        <f>(1000*CHOOSE(CONTROL!$C$42, 695, 695)*CHOOSE(CONTROL!$C$42, 0.5599, 0.5599)*CHOOSE(CONTROL!$C$42, 28, 28))/1000000</f>
        <v>10.895653999999999</v>
      </c>
      <c r="V158" s="57">
        <f>(1000*CHOOSE(CONTROL!$C$42, 500, 500)*CHOOSE(CONTROL!$C$42, 0.275, 0.275)*CHOOSE(CONTROL!$C$42, 28, 28))/1000000</f>
        <v>3.85</v>
      </c>
      <c r="W158" s="57">
        <f>(1000*CHOOSE(CONTROL!$C$42, 0.1146, 0.1146)*CHOOSE(CONTROL!$C$42, 121.5, 121.5)*CHOOSE(CONTROL!$C$42, 28, 28))/1000000</f>
        <v>0.38986920000000003</v>
      </c>
      <c r="X158" s="57">
        <f>(28*0.1790888*100000/1000000)+(28*0.2374*100000/1000000)</f>
        <v>1.16616864</v>
      </c>
      <c r="Y158" s="57"/>
      <c r="Z158" s="14"/>
      <c r="AA158" s="56"/>
      <c r="AB158" s="50">
        <f>(B158*122.58+C158*297.941+D158*89.177+E158*40.302+F158*40+G158*160+H158*0+I158*100+J158*300)/(122.58+297.941+89.177+40.302+0+40+160+100+300)</f>
        <v>8.0445998061739115</v>
      </c>
      <c r="AC158" s="45">
        <f>(M158*'RAP TEMPLATE-GAS AVAILABILITY'!O157+N158*'RAP TEMPLATE-GAS AVAILABILITY'!P157+O158*'RAP TEMPLATE-GAS AVAILABILITY'!Q157+P158*'RAP TEMPLATE-GAS AVAILABILITY'!R157)/('RAP TEMPLATE-GAS AVAILABILITY'!O157+'RAP TEMPLATE-GAS AVAILABILITY'!P157+'RAP TEMPLATE-GAS AVAILABILITY'!Q157+'RAP TEMPLATE-GAS AVAILABILITY'!R157)</f>
        <v>8.007263309352517</v>
      </c>
    </row>
    <row r="159" spans="1:29" ht="15.75" x14ac:dyDescent="0.25">
      <c r="A159" s="13">
        <v>45717</v>
      </c>
      <c r="B159" s="14">
        <f>CHOOSE(CONTROL!$C$42, 7.8036, 7.8036) * CHOOSE(CONTROL!$C$21, $C$9, 100%, $E$9)</f>
        <v>7.8036000000000003</v>
      </c>
      <c r="C159" s="14">
        <f>CHOOSE(CONTROL!$C$42, 7.8085, 7.8085) * CHOOSE(CONTROL!$C$21, $C$9, 100%, $E$9)</f>
        <v>7.8085000000000004</v>
      </c>
      <c r="D159" s="14">
        <f>CHOOSE(CONTROL!$C$42, 7.8728, 7.8728) * CHOOSE(CONTROL!$C$21, $C$9, 100%, $E$9)</f>
        <v>7.8727999999999998</v>
      </c>
      <c r="E159" s="14">
        <f>CHOOSE(CONTROL!$C$42, 7.9066, 7.9066) * CHOOSE(CONTROL!$C$21, $C$9, 100%, $E$9)</f>
        <v>7.9066000000000001</v>
      </c>
      <c r="F159" s="14">
        <f>CHOOSE(CONTROL!$C$42, 7.8048, 7.8048)*CHOOSE(CONTROL!$C$21, $C$9, 100%, $E$9)</f>
        <v>7.8048000000000002</v>
      </c>
      <c r="G159" s="14">
        <f>CHOOSE(CONTROL!$C$42, 7.8207, 7.8207)*CHOOSE(CONTROL!$C$21, $C$9, 100%, $E$9)</f>
        <v>7.8207000000000004</v>
      </c>
      <c r="H159" s="14">
        <f>CHOOSE(CONTROL!$C$42, 7.8958, 7.8958) * CHOOSE(CONTROL!$C$21, $C$9, 100%, $E$9)</f>
        <v>7.8958000000000004</v>
      </c>
      <c r="I159" s="14">
        <f>CHOOSE(CONTROL!$C$42, 7.8236, 7.8236)* CHOOSE(CONTROL!$C$21, $C$9, 100%, $E$9)</f>
        <v>7.8235999999999999</v>
      </c>
      <c r="J159" s="14">
        <f>CHOOSE(CONTROL!$C$42, 7.7978, 7.7978)* CHOOSE(CONTROL!$C$21, $C$9, 100%, $E$9)</f>
        <v>7.7977999999999996</v>
      </c>
      <c r="K159" s="53">
        <f>CHOOSE(CONTROL!$C$42, 7.8197, 7.8197) * CHOOSE(CONTROL!$C$21, $C$9, 100%, $E$9)</f>
        <v>7.8197000000000001</v>
      </c>
      <c r="L159" s="14">
        <f>CHOOSE(CONTROL!$C$42, 8.4828, 8.4828) * CHOOSE(CONTROL!$C$21, $C$9, 100%, $E$9)</f>
        <v>8.4827999999999992</v>
      </c>
      <c r="M159" s="14">
        <f>CHOOSE(CONTROL!$C$42, 7.733, 7.733) * CHOOSE(CONTROL!$C$21, $C$9, 100%, $E$9)</f>
        <v>7.7329999999999997</v>
      </c>
      <c r="N159" s="14">
        <f>CHOOSE(CONTROL!$C$42, 7.7487, 7.7487) * CHOOSE(CONTROL!$C$21, $C$9, 100%, $E$9)</f>
        <v>7.7487000000000004</v>
      </c>
      <c r="O159" s="14">
        <f>CHOOSE(CONTROL!$C$42, 7.8299, 7.8299) * CHOOSE(CONTROL!$C$21, $C$9, 100%, $E$9)</f>
        <v>7.8299000000000003</v>
      </c>
      <c r="P159" s="14">
        <f>CHOOSE(CONTROL!$C$42, 7.7585, 7.7585) * CHOOSE(CONTROL!$C$21, $C$9, 100%, $E$9)</f>
        <v>7.7584999999999997</v>
      </c>
      <c r="Q159" s="14">
        <f>CHOOSE(CONTROL!$C$42, 8.4252, 8.4252) * CHOOSE(CONTROL!$C$21, $C$9, 100%, $E$9)</f>
        <v>8.4252000000000002</v>
      </c>
      <c r="R159" s="14">
        <f>CHOOSE(CONTROL!$C$42, 9.0333, 9.0333) * CHOOSE(CONTROL!$C$21, $C$9, 100%, $E$9)</f>
        <v>9.0333000000000006</v>
      </c>
      <c r="S159" s="14">
        <f>CHOOSE(CONTROL!$C$42, 7.5759, 7.5759) * CHOOSE(CONTROL!$C$21, $C$9, 100%, $E$9)</f>
        <v>7.5758999999999999</v>
      </c>
      <c r="T15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59" s="57">
        <f>(1000*CHOOSE(CONTROL!$C$42, 695, 695)*CHOOSE(CONTROL!$C$42, 0.5599, 0.5599)*CHOOSE(CONTROL!$C$42, 31, 31))/1000000</f>
        <v>12.063045499999998</v>
      </c>
      <c r="V159" s="57">
        <f>(1000*CHOOSE(CONTROL!$C$42, 500, 500)*CHOOSE(CONTROL!$C$42, 0.275, 0.275)*CHOOSE(CONTROL!$C$42, 31, 31))/1000000</f>
        <v>4.2625000000000002</v>
      </c>
      <c r="W159" s="57">
        <f>(1000*CHOOSE(CONTROL!$C$42, 0.1146, 0.1146)*CHOOSE(CONTROL!$C$42, 121.5, 121.5)*CHOOSE(CONTROL!$C$42, 31, 31))/1000000</f>
        <v>0.43164089999999994</v>
      </c>
      <c r="X159" s="57">
        <f>(31*0.1790888*100000/1000000)+(31*0.2374*100000/1000000)</f>
        <v>1.2911152800000001</v>
      </c>
      <c r="Y159" s="57"/>
      <c r="Z159" s="14"/>
      <c r="AA159" s="56"/>
      <c r="AB159" s="50">
        <f>(B159*122.58+C159*297.941+D159*89.177+E159*40.302+F159*40+G159*160+H159*0+I159*100+J159*300)/(122.58+297.941+89.177+40.302+0+40+160+100+300)</f>
        <v>7.8164922306956512</v>
      </c>
      <c r="AC159" s="45">
        <f>(M159*'RAP TEMPLATE-GAS AVAILABILITY'!O158+N159*'RAP TEMPLATE-GAS AVAILABILITY'!P158+O159*'RAP TEMPLATE-GAS AVAILABILITY'!Q158+P159*'RAP TEMPLATE-GAS AVAILABILITY'!R158)/('RAP TEMPLATE-GAS AVAILABILITY'!O158+'RAP TEMPLATE-GAS AVAILABILITY'!P158+'RAP TEMPLATE-GAS AVAILABILITY'!Q158+'RAP TEMPLATE-GAS AVAILABILITY'!R158)</f>
        <v>7.7814913669064758</v>
      </c>
    </row>
    <row r="160" spans="1:29" ht="15.75" x14ac:dyDescent="0.25">
      <c r="A160" s="13">
        <v>45748</v>
      </c>
      <c r="B160" s="14">
        <f>CHOOSE(CONTROL!$C$42, 7.7814, 7.7814) * CHOOSE(CONTROL!$C$21, $C$9, 100%, $E$9)</f>
        <v>7.7813999999999997</v>
      </c>
      <c r="C160" s="14">
        <f>CHOOSE(CONTROL!$C$42, 7.7858, 7.7858) * CHOOSE(CONTROL!$C$21, $C$9, 100%, $E$9)</f>
        <v>7.7858000000000001</v>
      </c>
      <c r="D160" s="14">
        <f>CHOOSE(CONTROL!$C$42, 7.9865, 7.9865) * CHOOSE(CONTROL!$C$21, $C$9, 100%, $E$9)</f>
        <v>7.9865000000000004</v>
      </c>
      <c r="E160" s="14">
        <f>CHOOSE(CONTROL!$C$42, 8.0183, 8.0183) * CHOOSE(CONTROL!$C$21, $C$9, 100%, $E$9)</f>
        <v>8.0183</v>
      </c>
      <c r="F160" s="14">
        <f>CHOOSE(CONTROL!$C$42, 7.766, 7.766)*CHOOSE(CONTROL!$C$21, $C$9, 100%, $E$9)</f>
        <v>7.766</v>
      </c>
      <c r="G160" s="14">
        <f>CHOOSE(CONTROL!$C$42, 7.7816, 7.7816)*CHOOSE(CONTROL!$C$21, $C$9, 100%, $E$9)</f>
        <v>7.7816000000000001</v>
      </c>
      <c r="H160" s="14">
        <f>CHOOSE(CONTROL!$C$42, 8.0081, 8.0081) * CHOOSE(CONTROL!$C$21, $C$9, 100%, $E$9)</f>
        <v>8.0081000000000007</v>
      </c>
      <c r="I160" s="14">
        <f>CHOOSE(CONTROL!$C$42, 7.7942, 7.7942)* CHOOSE(CONTROL!$C$21, $C$9, 100%, $E$9)</f>
        <v>7.7942</v>
      </c>
      <c r="J160" s="14">
        <f>CHOOSE(CONTROL!$C$42, 7.759, 7.759)* CHOOSE(CONTROL!$C$21, $C$9, 100%, $E$9)</f>
        <v>7.7590000000000003</v>
      </c>
      <c r="K160" s="53">
        <f>CHOOSE(CONTROL!$C$42, 7.7903, 7.7903) * CHOOSE(CONTROL!$C$21, $C$9, 100%, $E$9)</f>
        <v>7.7903000000000002</v>
      </c>
      <c r="L160" s="14">
        <f>CHOOSE(CONTROL!$C$42, 8.5951, 8.5951) * CHOOSE(CONTROL!$C$21, $C$9, 100%, $E$9)</f>
        <v>8.5951000000000004</v>
      </c>
      <c r="M160" s="14">
        <f>CHOOSE(CONTROL!$C$42, 7.6945, 7.6945) * CHOOSE(CONTROL!$C$21, $C$9, 100%, $E$9)</f>
        <v>7.6944999999999997</v>
      </c>
      <c r="N160" s="14">
        <f>CHOOSE(CONTROL!$C$42, 7.71, 7.71) * CHOOSE(CONTROL!$C$21, $C$9, 100%, $E$9)</f>
        <v>7.71</v>
      </c>
      <c r="O160" s="14">
        <f>CHOOSE(CONTROL!$C$42, 7.9411, 7.9411) * CHOOSE(CONTROL!$C$21, $C$9, 100%, $E$9)</f>
        <v>7.9410999999999996</v>
      </c>
      <c r="P160" s="14">
        <f>CHOOSE(CONTROL!$C$42, 7.7294, 7.7294) * CHOOSE(CONTROL!$C$21, $C$9, 100%, $E$9)</f>
        <v>7.7294</v>
      </c>
      <c r="Q160" s="14">
        <f>CHOOSE(CONTROL!$C$42, 8.5364, 8.5364) * CHOOSE(CONTROL!$C$21, $C$9, 100%, $E$9)</f>
        <v>8.5364000000000004</v>
      </c>
      <c r="R160" s="14">
        <f>CHOOSE(CONTROL!$C$42, 9.1447, 9.1447) * CHOOSE(CONTROL!$C$21, $C$9, 100%, $E$9)</f>
        <v>9.1447000000000003</v>
      </c>
      <c r="S160" s="14">
        <f>CHOOSE(CONTROL!$C$42, 7.5536, 7.5536) * CHOOSE(CONTROL!$C$21, $C$9, 100%, $E$9)</f>
        <v>7.5536000000000003</v>
      </c>
      <c r="T16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60" s="57">
        <f>(1000*CHOOSE(CONTROL!$C$42, 695, 695)*CHOOSE(CONTROL!$C$42, 0.5599, 0.5599)*CHOOSE(CONTROL!$C$42, 30, 30))/1000000</f>
        <v>11.673914999999997</v>
      </c>
      <c r="V160" s="57">
        <f>(1000*CHOOSE(CONTROL!$C$42, 500, 500)*CHOOSE(CONTROL!$C$42, 0.275, 0.275)*CHOOSE(CONTROL!$C$42, 30, 30))/1000000</f>
        <v>4.125</v>
      </c>
      <c r="W160" s="57">
        <f>(1000*CHOOSE(CONTROL!$C$42, 0.1146, 0.1146)*CHOOSE(CONTROL!$C$42, 121.5, 121.5)*CHOOSE(CONTROL!$C$42, 30, 30))/1000000</f>
        <v>0.417717</v>
      </c>
      <c r="X160" s="57">
        <f>(30*0.1790888*245000/1000000)+(30*0.2374*100000/1000000)</f>
        <v>2.0285026799999999</v>
      </c>
      <c r="Y160" s="57"/>
      <c r="Z160" s="14"/>
      <c r="AA160" s="56"/>
      <c r="AB160" s="50">
        <f>(B160*141.293+C160*267.993+D160*115.016+E160*89.698+F160*40+G160*185+H160*0+I160*100+J160*300)/(141.293+267.993+115.016+89.698+0+40+185+100+300)</f>
        <v>7.8136836214689271</v>
      </c>
      <c r="AC160" s="45">
        <f>(M160*'RAP TEMPLATE-GAS AVAILABILITY'!O159+N160*'RAP TEMPLATE-GAS AVAILABILITY'!P159+O160*'RAP TEMPLATE-GAS AVAILABILITY'!Q159+P160*'RAP TEMPLATE-GAS AVAILABILITY'!R159)/('RAP TEMPLATE-GAS AVAILABILITY'!O159+'RAP TEMPLATE-GAS AVAILABILITY'!P159+'RAP TEMPLATE-GAS AVAILABILITY'!Q159+'RAP TEMPLATE-GAS AVAILABILITY'!R159)</f>
        <v>7.7722798561151087</v>
      </c>
    </row>
    <row r="161" spans="1:29" ht="15.75" x14ac:dyDescent="0.25">
      <c r="A161" s="13">
        <v>45778</v>
      </c>
      <c r="B161" s="14">
        <f>CHOOSE(CONTROL!$C$42, 7.8514, 7.8514) * CHOOSE(CONTROL!$C$21, $C$9, 100%, $E$9)</f>
        <v>7.8513999999999999</v>
      </c>
      <c r="C161" s="14">
        <f>CHOOSE(CONTROL!$C$42, 7.8594, 7.8594) * CHOOSE(CONTROL!$C$21, $C$9, 100%, $E$9)</f>
        <v>7.8593999999999999</v>
      </c>
      <c r="D161" s="14">
        <f>CHOOSE(CONTROL!$C$42, 8.0569, 8.0569) * CHOOSE(CONTROL!$C$21, $C$9, 100%, $E$9)</f>
        <v>8.0569000000000006</v>
      </c>
      <c r="E161" s="14">
        <f>CHOOSE(CONTROL!$C$42, 8.0881, 8.0881) * CHOOSE(CONTROL!$C$21, $C$9, 100%, $E$9)</f>
        <v>8.0881000000000007</v>
      </c>
      <c r="F161" s="14">
        <f>CHOOSE(CONTROL!$C$42, 7.8349, 7.8349)*CHOOSE(CONTROL!$C$21, $C$9, 100%, $E$9)</f>
        <v>7.8349000000000002</v>
      </c>
      <c r="G161" s="14">
        <f>CHOOSE(CONTROL!$C$42, 7.851, 7.851)*CHOOSE(CONTROL!$C$21, $C$9, 100%, $E$9)</f>
        <v>7.851</v>
      </c>
      <c r="H161" s="14">
        <f>CHOOSE(CONTROL!$C$42, 8.0767, 8.0767) * CHOOSE(CONTROL!$C$21, $C$9, 100%, $E$9)</f>
        <v>8.0767000000000007</v>
      </c>
      <c r="I161" s="14">
        <f>CHOOSE(CONTROL!$C$42, 7.8628, 7.8628)* CHOOSE(CONTROL!$C$21, $C$9, 100%, $E$9)</f>
        <v>7.8628</v>
      </c>
      <c r="J161" s="14">
        <f>CHOOSE(CONTROL!$C$42, 7.8279, 7.8279)* CHOOSE(CONTROL!$C$21, $C$9, 100%, $E$9)</f>
        <v>7.8278999999999996</v>
      </c>
      <c r="K161" s="53">
        <f>CHOOSE(CONTROL!$C$42, 7.8589, 7.8589) * CHOOSE(CONTROL!$C$21, $C$9, 100%, $E$9)</f>
        <v>7.8589000000000002</v>
      </c>
      <c r="L161" s="14">
        <f>CHOOSE(CONTROL!$C$42, 8.6637, 8.6637) * CHOOSE(CONTROL!$C$21, $C$9, 100%, $E$9)</f>
        <v>8.6637000000000004</v>
      </c>
      <c r="M161" s="14">
        <f>CHOOSE(CONTROL!$C$42, 7.7627, 7.7627) * CHOOSE(CONTROL!$C$21, $C$9, 100%, $E$9)</f>
        <v>7.7626999999999997</v>
      </c>
      <c r="N161" s="14">
        <f>CHOOSE(CONTROL!$C$42, 7.7786, 7.7786) * CHOOSE(CONTROL!$C$21, $C$9, 100%, $E$9)</f>
        <v>7.7786</v>
      </c>
      <c r="O161" s="14">
        <f>CHOOSE(CONTROL!$C$42, 8.009, 8.009) * CHOOSE(CONTROL!$C$21, $C$9, 100%, $E$9)</f>
        <v>8.0090000000000003</v>
      </c>
      <c r="P161" s="14">
        <f>CHOOSE(CONTROL!$C$42, 7.7973, 7.7973) * CHOOSE(CONTROL!$C$21, $C$9, 100%, $E$9)</f>
        <v>7.7972999999999999</v>
      </c>
      <c r="Q161" s="14">
        <f>CHOOSE(CONTROL!$C$42, 8.6043, 8.6043) * CHOOSE(CONTROL!$C$21, $C$9, 100%, $E$9)</f>
        <v>8.6043000000000003</v>
      </c>
      <c r="R161" s="14">
        <f>CHOOSE(CONTROL!$C$42, 9.2128, 9.2128) * CHOOSE(CONTROL!$C$21, $C$9, 100%, $E$9)</f>
        <v>9.2127999999999997</v>
      </c>
      <c r="S161" s="14">
        <f>CHOOSE(CONTROL!$C$42, 7.6203, 7.6203) * CHOOSE(CONTROL!$C$21, $C$9, 100%, $E$9)</f>
        <v>7.6203000000000003</v>
      </c>
      <c r="T16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61" s="57">
        <f>(1000*CHOOSE(CONTROL!$C$42, 695, 695)*CHOOSE(CONTROL!$C$42, 0.5599, 0.5599)*CHOOSE(CONTROL!$C$42, 31, 31))/1000000</f>
        <v>12.063045499999998</v>
      </c>
      <c r="V161" s="57">
        <f>(1000*CHOOSE(CONTROL!$C$42, 500, 500)*CHOOSE(CONTROL!$C$42, 0.275, 0.275)*CHOOSE(CONTROL!$C$42, 31, 31))/1000000</f>
        <v>4.2625000000000002</v>
      </c>
      <c r="W161" s="57">
        <f>(1000*CHOOSE(CONTROL!$C$42, 0.1146, 0.1146)*CHOOSE(CONTROL!$C$42, 121.5, 121.5)*CHOOSE(CONTROL!$C$42, 31, 31))/1000000</f>
        <v>0.43164089999999994</v>
      </c>
      <c r="X161" s="57">
        <f>(31*0.1790888*245000/1000000)+(31*0.2374*100000/1000000)</f>
        <v>2.0961194359999999</v>
      </c>
      <c r="Y161" s="57"/>
      <c r="Z161" s="14"/>
      <c r="AA161" s="56"/>
      <c r="AB161" s="50">
        <f>(B161*194.205+C161*267.466+D161*133.845+E161*53.484+F161*40+G161*185+H161*0+I161*100+J161*300)/(194.205+267.466+133.845+53.484+0+40+185+100+300)</f>
        <v>7.8793910033751953</v>
      </c>
      <c r="AC161" s="45">
        <f>(M161*'RAP TEMPLATE-GAS AVAILABILITY'!O160+N161*'RAP TEMPLATE-GAS AVAILABILITY'!P160+O161*'RAP TEMPLATE-GAS AVAILABILITY'!Q160+P161*'RAP TEMPLATE-GAS AVAILABILITY'!R160)/('RAP TEMPLATE-GAS AVAILABILITY'!O160+'RAP TEMPLATE-GAS AVAILABILITY'!P160+'RAP TEMPLATE-GAS AVAILABILITY'!Q160+'RAP TEMPLATE-GAS AVAILABILITY'!R160)</f>
        <v>7.8404446043165477</v>
      </c>
    </row>
    <row r="162" spans="1:29" ht="15.75" x14ac:dyDescent="0.25">
      <c r="A162" s="13">
        <v>45809</v>
      </c>
      <c r="B162" s="14">
        <f>CHOOSE(CONTROL!$C$42, 8.074, 8.074) * CHOOSE(CONTROL!$C$21, $C$9, 100%, $E$9)</f>
        <v>8.0739999999999998</v>
      </c>
      <c r="C162" s="14">
        <f>CHOOSE(CONTROL!$C$42, 8.0819, 8.0819) * CHOOSE(CONTROL!$C$21, $C$9, 100%, $E$9)</f>
        <v>8.0818999999999992</v>
      </c>
      <c r="D162" s="14">
        <f>CHOOSE(CONTROL!$C$42, 8.2795, 8.2795) * CHOOSE(CONTROL!$C$21, $C$9, 100%, $E$9)</f>
        <v>8.2795000000000005</v>
      </c>
      <c r="E162" s="14">
        <f>CHOOSE(CONTROL!$C$42, 8.3106, 8.3106) * CHOOSE(CONTROL!$C$21, $C$9, 100%, $E$9)</f>
        <v>8.3106000000000009</v>
      </c>
      <c r="F162" s="14">
        <f>CHOOSE(CONTROL!$C$42, 8.0578, 8.0578)*CHOOSE(CONTROL!$C$21, $C$9, 100%, $E$9)</f>
        <v>8.0578000000000003</v>
      </c>
      <c r="G162" s="14">
        <f>CHOOSE(CONTROL!$C$42, 8.074, 8.074)*CHOOSE(CONTROL!$C$21, $C$9, 100%, $E$9)</f>
        <v>8.0739999999999998</v>
      </c>
      <c r="H162" s="14">
        <f>CHOOSE(CONTROL!$C$42, 8.2993, 8.2993) * CHOOSE(CONTROL!$C$21, $C$9, 100%, $E$9)</f>
        <v>8.2993000000000006</v>
      </c>
      <c r="I162" s="14">
        <f>CHOOSE(CONTROL!$C$42, 8.0854, 8.0854)* CHOOSE(CONTROL!$C$21, $C$9, 100%, $E$9)</f>
        <v>8.0853999999999999</v>
      </c>
      <c r="J162" s="14">
        <f>CHOOSE(CONTROL!$C$42, 8.0508, 8.0508)* CHOOSE(CONTROL!$C$21, $C$9, 100%, $E$9)</f>
        <v>8.0508000000000006</v>
      </c>
      <c r="K162" s="53">
        <f>CHOOSE(CONTROL!$C$42, 8.0815, 8.0815) * CHOOSE(CONTROL!$C$21, $C$9, 100%, $E$9)</f>
        <v>8.0815000000000001</v>
      </c>
      <c r="L162" s="14">
        <f>CHOOSE(CONTROL!$C$42, 8.8863, 8.8863) * CHOOSE(CONTROL!$C$21, $C$9, 100%, $E$9)</f>
        <v>8.8863000000000003</v>
      </c>
      <c r="M162" s="14">
        <f>CHOOSE(CONTROL!$C$42, 7.9834, 7.9834) * CHOOSE(CONTROL!$C$21, $C$9, 100%, $E$9)</f>
        <v>7.9833999999999996</v>
      </c>
      <c r="N162" s="14">
        <f>CHOOSE(CONTROL!$C$42, 7.9994, 7.9994) * CHOOSE(CONTROL!$C$21, $C$9, 100%, $E$9)</f>
        <v>7.9993999999999996</v>
      </c>
      <c r="O162" s="14">
        <f>CHOOSE(CONTROL!$C$42, 8.2293, 8.2293) * CHOOSE(CONTROL!$C$21, $C$9, 100%, $E$9)</f>
        <v>8.2293000000000003</v>
      </c>
      <c r="P162" s="14">
        <f>CHOOSE(CONTROL!$C$42, 8.0176, 8.0176) * CHOOSE(CONTROL!$C$21, $C$9, 100%, $E$9)</f>
        <v>8.0175999999999998</v>
      </c>
      <c r="Q162" s="14">
        <f>CHOOSE(CONTROL!$C$42, 8.8246, 8.8246) * CHOOSE(CONTROL!$C$21, $C$9, 100%, $E$9)</f>
        <v>8.8246000000000002</v>
      </c>
      <c r="R162" s="14">
        <f>CHOOSE(CONTROL!$C$42, 9.4337, 9.4337) * CHOOSE(CONTROL!$C$21, $C$9, 100%, $E$9)</f>
        <v>9.4337</v>
      </c>
      <c r="S162" s="14">
        <f>CHOOSE(CONTROL!$C$42, 7.8364, 7.8364) * CHOOSE(CONTROL!$C$21, $C$9, 100%, $E$9)</f>
        <v>7.8364000000000003</v>
      </c>
      <c r="T16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62" s="57">
        <f>(1000*CHOOSE(CONTROL!$C$42, 695, 695)*CHOOSE(CONTROL!$C$42, 0.5599, 0.5599)*CHOOSE(CONTROL!$C$42, 30, 30))/1000000</f>
        <v>11.673914999999997</v>
      </c>
      <c r="V162" s="57">
        <f>(1000*CHOOSE(CONTROL!$C$42, 500, 500)*CHOOSE(CONTROL!$C$42, 0.275, 0.275)*CHOOSE(CONTROL!$C$42, 30, 30))/1000000</f>
        <v>4.125</v>
      </c>
      <c r="W162" s="57">
        <f>(1000*CHOOSE(CONTROL!$C$42, 0.1146, 0.1146)*CHOOSE(CONTROL!$C$42, 121.5, 121.5)*CHOOSE(CONTROL!$C$42, 30, 30))/1000000</f>
        <v>0.417717</v>
      </c>
      <c r="X162" s="57">
        <f>(30*0.1790888*245000/1000000)+(30*0.2374*100000/1000000)</f>
        <v>2.0285026799999999</v>
      </c>
      <c r="Y162" s="57"/>
      <c r="Z162" s="14"/>
      <c r="AA162" s="56"/>
      <c r="AB162" s="50">
        <f>(B162*194.205+C162*267.466+D162*133.845+E162*53.484+F162*40+G162*185+H162*0+I162*100+J162*300)/(194.205+267.466+133.845+53.484+0+40+185+100+300)</f>
        <v>8.1021039586342241</v>
      </c>
      <c r="AC162" s="45">
        <f>(M162*'RAP TEMPLATE-GAS AVAILABILITY'!O161+N162*'RAP TEMPLATE-GAS AVAILABILITY'!P161+O162*'RAP TEMPLATE-GAS AVAILABILITY'!Q161+P162*'RAP TEMPLATE-GAS AVAILABILITY'!R161)/('RAP TEMPLATE-GAS AVAILABILITY'!O161+'RAP TEMPLATE-GAS AVAILABILITY'!P161+'RAP TEMPLATE-GAS AVAILABILITY'!Q161+'RAP TEMPLATE-GAS AVAILABILITY'!R161)</f>
        <v>8.0609978417266195</v>
      </c>
    </row>
    <row r="163" spans="1:29" ht="15.75" x14ac:dyDescent="0.25">
      <c r="A163" s="13">
        <v>45839</v>
      </c>
      <c r="B163" s="14">
        <f>CHOOSE(CONTROL!$C$42, 7.9192, 7.9192) * CHOOSE(CONTROL!$C$21, $C$9, 100%, $E$9)</f>
        <v>7.9192</v>
      </c>
      <c r="C163" s="14">
        <f>CHOOSE(CONTROL!$C$42, 7.9271, 7.9271) * CHOOSE(CONTROL!$C$21, $C$9, 100%, $E$9)</f>
        <v>7.9271000000000003</v>
      </c>
      <c r="D163" s="14">
        <f>CHOOSE(CONTROL!$C$42, 8.1247, 8.1247) * CHOOSE(CONTROL!$C$21, $C$9, 100%, $E$9)</f>
        <v>8.1247000000000007</v>
      </c>
      <c r="E163" s="14">
        <f>CHOOSE(CONTROL!$C$42, 8.1558, 8.1558) * CHOOSE(CONTROL!$C$21, $C$9, 100%, $E$9)</f>
        <v>8.1557999999999993</v>
      </c>
      <c r="F163" s="14">
        <f>CHOOSE(CONTROL!$C$42, 7.9035, 7.9035)*CHOOSE(CONTROL!$C$21, $C$9, 100%, $E$9)</f>
        <v>7.9035000000000002</v>
      </c>
      <c r="G163" s="14">
        <f>CHOOSE(CONTROL!$C$42, 7.9198, 7.9198)*CHOOSE(CONTROL!$C$21, $C$9, 100%, $E$9)</f>
        <v>7.9198000000000004</v>
      </c>
      <c r="H163" s="14">
        <f>CHOOSE(CONTROL!$C$42, 8.1445, 8.1445) * CHOOSE(CONTROL!$C$21, $C$9, 100%, $E$9)</f>
        <v>8.1445000000000007</v>
      </c>
      <c r="I163" s="14">
        <f>CHOOSE(CONTROL!$C$42, 7.9306, 7.9306)* CHOOSE(CONTROL!$C$21, $C$9, 100%, $E$9)</f>
        <v>7.9306000000000001</v>
      </c>
      <c r="J163" s="14">
        <f>CHOOSE(CONTROL!$C$42, 7.8965, 7.8965)* CHOOSE(CONTROL!$C$21, $C$9, 100%, $E$9)</f>
        <v>7.8964999999999996</v>
      </c>
      <c r="K163" s="53">
        <f>CHOOSE(CONTROL!$C$42, 7.9267, 7.9267) * CHOOSE(CONTROL!$C$21, $C$9, 100%, $E$9)</f>
        <v>7.9267000000000003</v>
      </c>
      <c r="L163" s="14">
        <f>CHOOSE(CONTROL!$C$42, 8.7315, 8.7315) * CHOOSE(CONTROL!$C$21, $C$9, 100%, $E$9)</f>
        <v>8.7315000000000005</v>
      </c>
      <c r="M163" s="14">
        <f>CHOOSE(CONTROL!$C$42, 7.8306, 7.8306) * CHOOSE(CONTROL!$C$21, $C$9, 100%, $E$9)</f>
        <v>7.8305999999999996</v>
      </c>
      <c r="N163" s="14">
        <f>CHOOSE(CONTROL!$C$42, 7.8467, 7.8467) * CHOOSE(CONTROL!$C$21, $C$9, 100%, $E$9)</f>
        <v>7.8467000000000002</v>
      </c>
      <c r="O163" s="14">
        <f>CHOOSE(CONTROL!$C$42, 8.0761, 8.0761) * CHOOSE(CONTROL!$C$21, $C$9, 100%, $E$9)</f>
        <v>8.0761000000000003</v>
      </c>
      <c r="P163" s="14">
        <f>CHOOSE(CONTROL!$C$42, 7.8644, 7.8644) * CHOOSE(CONTROL!$C$21, $C$9, 100%, $E$9)</f>
        <v>7.8643999999999998</v>
      </c>
      <c r="Q163" s="14">
        <f>CHOOSE(CONTROL!$C$42, 8.6714, 8.6714) * CHOOSE(CONTROL!$C$21, $C$9, 100%, $E$9)</f>
        <v>8.6714000000000002</v>
      </c>
      <c r="R163" s="14">
        <f>CHOOSE(CONTROL!$C$42, 9.2801, 9.2801) * CHOOSE(CONTROL!$C$21, $C$9, 100%, $E$9)</f>
        <v>9.2800999999999991</v>
      </c>
      <c r="S163" s="14">
        <f>CHOOSE(CONTROL!$C$42, 7.6861, 7.6861) * CHOOSE(CONTROL!$C$21, $C$9, 100%, $E$9)</f>
        <v>7.6860999999999997</v>
      </c>
      <c r="T16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63" s="57">
        <f>(1000*CHOOSE(CONTROL!$C$42, 695, 695)*CHOOSE(CONTROL!$C$42, 0.5599, 0.5599)*CHOOSE(CONTROL!$C$42, 31, 31))/1000000</f>
        <v>12.063045499999998</v>
      </c>
      <c r="V163" s="57">
        <f>(1000*CHOOSE(CONTROL!$C$42, 500, 500)*CHOOSE(CONTROL!$C$42, 0.275, 0.275)*CHOOSE(CONTROL!$C$42, 31, 31))/1000000</f>
        <v>4.2625000000000002</v>
      </c>
      <c r="W163" s="57">
        <f>(1000*CHOOSE(CONTROL!$C$42, 0.1146, 0.1146)*CHOOSE(CONTROL!$C$42, 121.5, 121.5)*CHOOSE(CONTROL!$C$42, 31, 31))/1000000</f>
        <v>0.43164089999999994</v>
      </c>
      <c r="X163" s="57">
        <f>(31*0.1790888*245000/1000000)+(31*0.2374*100000/1000000)</f>
        <v>2.0961194359999999</v>
      </c>
      <c r="Y163" s="57"/>
      <c r="Z163" s="14"/>
      <c r="AA163" s="56"/>
      <c r="AB163" s="50">
        <f>(B163*194.205+C163*267.466+D163*133.845+E163*53.484+F163*40+G163*185+H163*0+I163*100+J163*300)/(194.205+267.466+133.845+53.484+0+40+185+100+300)</f>
        <v>7.9475245237833603</v>
      </c>
      <c r="AC163" s="45">
        <f>(M163*'RAP TEMPLATE-GAS AVAILABILITY'!O162+N163*'RAP TEMPLATE-GAS AVAILABILITY'!P162+O163*'RAP TEMPLATE-GAS AVAILABILITY'!Q162+P163*'RAP TEMPLATE-GAS AVAILABILITY'!R162)/('RAP TEMPLATE-GAS AVAILABILITY'!O162+'RAP TEMPLATE-GAS AVAILABILITY'!P162+'RAP TEMPLATE-GAS AVAILABILITY'!Q162+'RAP TEMPLATE-GAS AVAILABILITY'!R162)</f>
        <v>7.9080510791366896</v>
      </c>
    </row>
    <row r="164" spans="1:29" ht="15.75" x14ac:dyDescent="0.25">
      <c r="A164" s="13">
        <v>45870</v>
      </c>
      <c r="B164" s="14">
        <f>CHOOSE(CONTROL!$C$42, 7.5283, 7.5283) * CHOOSE(CONTROL!$C$21, $C$9, 100%, $E$9)</f>
        <v>7.5282999999999998</v>
      </c>
      <c r="C164" s="14">
        <f>CHOOSE(CONTROL!$C$42, 7.5362, 7.5362) * CHOOSE(CONTROL!$C$21, $C$9, 100%, $E$9)</f>
        <v>7.5362</v>
      </c>
      <c r="D164" s="14">
        <f>CHOOSE(CONTROL!$C$42, 7.7338, 7.7338) * CHOOSE(CONTROL!$C$21, $C$9, 100%, $E$9)</f>
        <v>7.7337999999999996</v>
      </c>
      <c r="E164" s="14">
        <f>CHOOSE(CONTROL!$C$42, 7.765, 7.765) * CHOOSE(CONTROL!$C$21, $C$9, 100%, $E$9)</f>
        <v>7.7649999999999997</v>
      </c>
      <c r="F164" s="14">
        <f>CHOOSE(CONTROL!$C$42, 7.5128, 7.5128)*CHOOSE(CONTROL!$C$21, $C$9, 100%, $E$9)</f>
        <v>7.5128000000000004</v>
      </c>
      <c r="G164" s="14">
        <f>CHOOSE(CONTROL!$C$42, 7.5291, 7.5291)*CHOOSE(CONTROL!$C$21, $C$9, 100%, $E$9)</f>
        <v>7.5290999999999997</v>
      </c>
      <c r="H164" s="14">
        <f>CHOOSE(CONTROL!$C$42, 7.7536, 7.7536) * CHOOSE(CONTROL!$C$21, $C$9, 100%, $E$9)</f>
        <v>7.7535999999999996</v>
      </c>
      <c r="I164" s="14">
        <f>CHOOSE(CONTROL!$C$42, 7.5397, 7.5397)* CHOOSE(CONTROL!$C$21, $C$9, 100%, $E$9)</f>
        <v>7.5396999999999998</v>
      </c>
      <c r="J164" s="14">
        <f>CHOOSE(CONTROL!$C$42, 7.5058, 7.5058)* CHOOSE(CONTROL!$C$21, $C$9, 100%, $E$9)</f>
        <v>7.5057999999999998</v>
      </c>
      <c r="K164" s="53">
        <f>CHOOSE(CONTROL!$C$42, 7.5358, 7.5358) * CHOOSE(CONTROL!$C$21, $C$9, 100%, $E$9)</f>
        <v>7.5358000000000001</v>
      </c>
      <c r="L164" s="14">
        <f>CHOOSE(CONTROL!$C$42, 8.3406, 8.3406) * CHOOSE(CONTROL!$C$21, $C$9, 100%, $E$9)</f>
        <v>8.3406000000000002</v>
      </c>
      <c r="M164" s="14">
        <f>CHOOSE(CONTROL!$C$42, 7.4438, 7.4438) * CHOOSE(CONTROL!$C$21, $C$9, 100%, $E$9)</f>
        <v>7.4438000000000004</v>
      </c>
      <c r="N164" s="14">
        <f>CHOOSE(CONTROL!$C$42, 7.46, 7.46) * CHOOSE(CONTROL!$C$21, $C$9, 100%, $E$9)</f>
        <v>7.46</v>
      </c>
      <c r="O164" s="14">
        <f>CHOOSE(CONTROL!$C$42, 7.6892, 7.6892) * CHOOSE(CONTROL!$C$21, $C$9, 100%, $E$9)</f>
        <v>7.6891999999999996</v>
      </c>
      <c r="P164" s="14">
        <f>CHOOSE(CONTROL!$C$42, 7.4775, 7.4775) * CHOOSE(CONTROL!$C$21, $C$9, 100%, $E$9)</f>
        <v>7.4775</v>
      </c>
      <c r="Q164" s="14">
        <f>CHOOSE(CONTROL!$C$42, 8.2845, 8.2845) * CHOOSE(CONTROL!$C$21, $C$9, 100%, $E$9)</f>
        <v>8.2844999999999995</v>
      </c>
      <c r="R164" s="14">
        <f>CHOOSE(CONTROL!$C$42, 8.8922, 8.8922) * CHOOSE(CONTROL!$C$21, $C$9, 100%, $E$9)</f>
        <v>8.8922000000000008</v>
      </c>
      <c r="S164" s="14">
        <f>CHOOSE(CONTROL!$C$42, 7.3065, 7.3065) * CHOOSE(CONTROL!$C$21, $C$9, 100%, $E$9)</f>
        <v>7.3064999999999998</v>
      </c>
      <c r="T16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64" s="57">
        <f>(1000*CHOOSE(CONTROL!$C$42, 695, 695)*CHOOSE(CONTROL!$C$42, 0.5599, 0.5599)*CHOOSE(CONTROL!$C$42, 31, 31))/1000000</f>
        <v>12.063045499999998</v>
      </c>
      <c r="V164" s="57">
        <f>(1000*CHOOSE(CONTROL!$C$42, 500, 500)*CHOOSE(CONTROL!$C$42, 0.275, 0.275)*CHOOSE(CONTROL!$C$42, 31, 31))/1000000</f>
        <v>4.2625000000000002</v>
      </c>
      <c r="W164" s="57">
        <f>(1000*CHOOSE(CONTROL!$C$42, 0.1146, 0.1146)*CHOOSE(CONTROL!$C$42, 121.5, 121.5)*CHOOSE(CONTROL!$C$42, 31, 31))/1000000</f>
        <v>0.43164089999999994</v>
      </c>
      <c r="X164" s="57">
        <f>(31*0.1790888*245000/1000000)+(31*0.2374*100000/1000000)</f>
        <v>2.0961194359999999</v>
      </c>
      <c r="Y164" s="57"/>
      <c r="Z164" s="14"/>
      <c r="AA164" s="56"/>
      <c r="AB164" s="50">
        <f>(B164*194.205+C164*267.466+D164*133.845+E164*53.484+F164*40+G164*185+H164*0+I164*100+J164*300)/(194.205+267.466+133.845+53.484+0+40+185+100+300)</f>
        <v>7.5567111394819459</v>
      </c>
      <c r="AC164" s="45">
        <f>(M164*'RAP TEMPLATE-GAS AVAILABILITY'!O163+N164*'RAP TEMPLATE-GAS AVAILABILITY'!P163+O164*'RAP TEMPLATE-GAS AVAILABILITY'!Q163+P164*'RAP TEMPLATE-GAS AVAILABILITY'!R163)/('RAP TEMPLATE-GAS AVAILABILITY'!O163+'RAP TEMPLATE-GAS AVAILABILITY'!P163+'RAP TEMPLATE-GAS AVAILABILITY'!Q163+'RAP TEMPLATE-GAS AVAILABILITY'!R163)</f>
        <v>7.5212316546762592</v>
      </c>
    </row>
    <row r="165" spans="1:29" ht="15.75" x14ac:dyDescent="0.25">
      <c r="A165" s="13">
        <v>45901</v>
      </c>
      <c r="B165" s="14">
        <f>CHOOSE(CONTROL!$C$42, 7.0503, 7.0503) * CHOOSE(CONTROL!$C$21, $C$9, 100%, $E$9)</f>
        <v>7.0503</v>
      </c>
      <c r="C165" s="14">
        <f>CHOOSE(CONTROL!$C$42, 7.0582, 7.0582) * CHOOSE(CONTROL!$C$21, $C$9, 100%, $E$9)</f>
        <v>7.0582000000000003</v>
      </c>
      <c r="D165" s="14">
        <f>CHOOSE(CONTROL!$C$42, 7.2558, 7.2558) * CHOOSE(CONTROL!$C$21, $C$9, 100%, $E$9)</f>
        <v>7.2557999999999998</v>
      </c>
      <c r="E165" s="14">
        <f>CHOOSE(CONTROL!$C$42, 7.287, 7.287) * CHOOSE(CONTROL!$C$21, $C$9, 100%, $E$9)</f>
        <v>7.2869999999999999</v>
      </c>
      <c r="F165" s="14">
        <f>CHOOSE(CONTROL!$C$42, 7.0347, 7.0347)*CHOOSE(CONTROL!$C$21, $C$9, 100%, $E$9)</f>
        <v>7.0347</v>
      </c>
      <c r="G165" s="14">
        <f>CHOOSE(CONTROL!$C$42, 7.051, 7.051)*CHOOSE(CONTROL!$C$21, $C$9, 100%, $E$9)</f>
        <v>7.0510000000000002</v>
      </c>
      <c r="H165" s="14">
        <f>CHOOSE(CONTROL!$C$42, 7.2756, 7.2756) * CHOOSE(CONTROL!$C$21, $C$9, 100%, $E$9)</f>
        <v>7.2755999999999998</v>
      </c>
      <c r="I165" s="14">
        <f>CHOOSE(CONTROL!$C$42, 7.0617, 7.0617)* CHOOSE(CONTROL!$C$21, $C$9, 100%, $E$9)</f>
        <v>7.0617000000000001</v>
      </c>
      <c r="J165" s="14">
        <f>CHOOSE(CONTROL!$C$42, 7.0277, 7.0277)* CHOOSE(CONTROL!$C$21, $C$9, 100%, $E$9)</f>
        <v>7.0277000000000003</v>
      </c>
      <c r="K165" s="53">
        <f>CHOOSE(CONTROL!$C$42, 7.0578, 7.0578) * CHOOSE(CONTROL!$C$21, $C$9, 100%, $E$9)</f>
        <v>7.0578000000000003</v>
      </c>
      <c r="L165" s="14">
        <f>CHOOSE(CONTROL!$C$42, 7.8626, 7.8626) * CHOOSE(CONTROL!$C$21, $C$9, 100%, $E$9)</f>
        <v>7.8625999999999996</v>
      </c>
      <c r="M165" s="14">
        <f>CHOOSE(CONTROL!$C$42, 6.9706, 6.9706) * CHOOSE(CONTROL!$C$21, $C$9, 100%, $E$9)</f>
        <v>6.9706000000000001</v>
      </c>
      <c r="N165" s="14">
        <f>CHOOSE(CONTROL!$C$42, 6.9868, 6.9868) * CHOOSE(CONTROL!$C$21, $C$9, 100%, $E$9)</f>
        <v>6.9867999999999997</v>
      </c>
      <c r="O165" s="14">
        <f>CHOOSE(CONTROL!$C$42, 7.216, 7.216) * CHOOSE(CONTROL!$C$21, $C$9, 100%, $E$9)</f>
        <v>7.2160000000000002</v>
      </c>
      <c r="P165" s="14">
        <f>CHOOSE(CONTROL!$C$42, 7.0043, 7.0043) * CHOOSE(CONTROL!$C$21, $C$9, 100%, $E$9)</f>
        <v>7.0042999999999997</v>
      </c>
      <c r="Q165" s="14">
        <f>CHOOSE(CONTROL!$C$42, 7.8113, 7.8113) * CHOOSE(CONTROL!$C$21, $C$9, 100%, $E$9)</f>
        <v>7.8113000000000001</v>
      </c>
      <c r="R165" s="14">
        <f>CHOOSE(CONTROL!$C$42, 8.4178, 8.4178) * CHOOSE(CONTROL!$C$21, $C$9, 100%, $E$9)</f>
        <v>8.4177999999999997</v>
      </c>
      <c r="S165" s="14">
        <f>CHOOSE(CONTROL!$C$42, 6.8423, 6.8423) * CHOOSE(CONTROL!$C$21, $C$9, 100%, $E$9)</f>
        <v>6.8422999999999998</v>
      </c>
      <c r="T16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65" s="57">
        <f>(1000*CHOOSE(CONTROL!$C$42, 695, 695)*CHOOSE(CONTROL!$C$42, 0.5599, 0.5599)*CHOOSE(CONTROL!$C$42, 30, 30))/1000000</f>
        <v>11.673914999999997</v>
      </c>
      <c r="V165" s="57">
        <f>(1000*CHOOSE(CONTROL!$C$42, 500, 500)*CHOOSE(CONTROL!$C$42, 0.275, 0.275)*CHOOSE(CONTROL!$C$42, 30, 30))/1000000</f>
        <v>4.125</v>
      </c>
      <c r="W165" s="57">
        <f>(1000*CHOOSE(CONTROL!$C$42, 0.1146, 0.1146)*CHOOSE(CONTROL!$C$42, 121.5, 121.5)*CHOOSE(CONTROL!$C$42, 30, 30))/1000000</f>
        <v>0.417717</v>
      </c>
      <c r="X165" s="57">
        <f>(30*0.1790888*245000/1000000)+(30*0.2374*100000/1000000)</f>
        <v>2.0285026799999999</v>
      </c>
      <c r="Y165" s="57"/>
      <c r="Z165" s="14"/>
      <c r="AA165" s="56"/>
      <c r="AB165" s="50">
        <f>(B165*194.205+C165*267.466+D165*133.845+E165*53.484+F165*40+G165*185+H165*0+I165*100+J165*300)/(194.205+267.466+133.845+53.484+0+40+185+100+300)</f>
        <v>7.0786699306907375</v>
      </c>
      <c r="AC165" s="45">
        <f>(M165*'RAP TEMPLATE-GAS AVAILABILITY'!O164+N165*'RAP TEMPLATE-GAS AVAILABILITY'!P164+O165*'RAP TEMPLATE-GAS AVAILABILITY'!Q164+P165*'RAP TEMPLATE-GAS AVAILABILITY'!R164)/('RAP TEMPLATE-GAS AVAILABILITY'!O164+'RAP TEMPLATE-GAS AVAILABILITY'!P164+'RAP TEMPLATE-GAS AVAILABILITY'!Q164+'RAP TEMPLATE-GAS AVAILABILITY'!R164)</f>
        <v>7.0480316546762598</v>
      </c>
    </row>
    <row r="166" spans="1:29" ht="15.75" x14ac:dyDescent="0.25">
      <c r="A166" s="13">
        <v>45931</v>
      </c>
      <c r="B166" s="14">
        <f>CHOOSE(CONTROL!$C$42, 6.9055, 6.9055) * CHOOSE(CONTROL!$C$21, $C$9, 100%, $E$9)</f>
        <v>6.9055</v>
      </c>
      <c r="C166" s="14">
        <f>CHOOSE(CONTROL!$C$42, 6.9107, 6.9107) * CHOOSE(CONTROL!$C$21, $C$9, 100%, $E$9)</f>
        <v>6.9107000000000003</v>
      </c>
      <c r="D166" s="14">
        <f>CHOOSE(CONTROL!$C$42, 7.1133, 7.1133) * CHOOSE(CONTROL!$C$21, $C$9, 100%, $E$9)</f>
        <v>7.1132999999999997</v>
      </c>
      <c r="E166" s="14">
        <f>CHOOSE(CONTROL!$C$42, 7.1421, 7.1421) * CHOOSE(CONTROL!$C$21, $C$9, 100%, $E$9)</f>
        <v>7.1421000000000001</v>
      </c>
      <c r="F166" s="14">
        <f>CHOOSE(CONTROL!$C$42, 6.8919, 6.8919)*CHOOSE(CONTROL!$C$21, $C$9, 100%, $E$9)</f>
        <v>6.8918999999999997</v>
      </c>
      <c r="G166" s="14">
        <f>CHOOSE(CONTROL!$C$42, 6.9079, 6.9079)*CHOOSE(CONTROL!$C$21, $C$9, 100%, $E$9)</f>
        <v>6.9078999999999997</v>
      </c>
      <c r="H166" s="14">
        <f>CHOOSE(CONTROL!$C$42, 7.1325, 7.1325) * CHOOSE(CONTROL!$C$21, $C$9, 100%, $E$9)</f>
        <v>7.1325000000000003</v>
      </c>
      <c r="I166" s="14">
        <f>CHOOSE(CONTROL!$C$42, 6.9186, 6.9186)* CHOOSE(CONTROL!$C$21, $C$9, 100%, $E$9)</f>
        <v>6.9185999999999996</v>
      </c>
      <c r="J166" s="14">
        <f>CHOOSE(CONTROL!$C$42, 6.8849, 6.8849)* CHOOSE(CONTROL!$C$21, $C$9, 100%, $E$9)</f>
        <v>6.8849</v>
      </c>
      <c r="K166" s="53">
        <f>CHOOSE(CONTROL!$C$42, 6.9148, 6.9148) * CHOOSE(CONTROL!$C$21, $C$9, 100%, $E$9)</f>
        <v>6.9147999999999996</v>
      </c>
      <c r="L166" s="14">
        <f>CHOOSE(CONTROL!$C$42, 7.7195, 7.7195) * CHOOSE(CONTROL!$C$21, $C$9, 100%, $E$9)</f>
        <v>7.7195</v>
      </c>
      <c r="M166" s="14">
        <f>CHOOSE(CONTROL!$C$42, 6.8292, 6.8292) * CHOOSE(CONTROL!$C$21, $C$9, 100%, $E$9)</f>
        <v>6.8292000000000002</v>
      </c>
      <c r="N166" s="14">
        <f>CHOOSE(CONTROL!$C$42, 6.8451, 6.8451) * CHOOSE(CONTROL!$C$21, $C$9, 100%, $E$9)</f>
        <v>6.8451000000000004</v>
      </c>
      <c r="O166" s="14">
        <f>CHOOSE(CONTROL!$C$42, 7.0744, 7.0744) * CHOOSE(CONTROL!$C$21, $C$9, 100%, $E$9)</f>
        <v>7.0743999999999998</v>
      </c>
      <c r="P166" s="14">
        <f>CHOOSE(CONTROL!$C$42, 6.8627, 6.8627) * CHOOSE(CONTROL!$C$21, $C$9, 100%, $E$9)</f>
        <v>6.8627000000000002</v>
      </c>
      <c r="Q166" s="14">
        <f>CHOOSE(CONTROL!$C$42, 7.6697, 7.6697) * CHOOSE(CONTROL!$C$21, $C$9, 100%, $E$9)</f>
        <v>7.6696999999999997</v>
      </c>
      <c r="R166" s="14">
        <f>CHOOSE(CONTROL!$C$42, 8.2759, 8.2759) * CHOOSE(CONTROL!$C$21, $C$9, 100%, $E$9)</f>
        <v>8.2759</v>
      </c>
      <c r="S166" s="14">
        <f>CHOOSE(CONTROL!$C$42, 6.7034, 6.7034) * CHOOSE(CONTROL!$C$21, $C$9, 100%, $E$9)</f>
        <v>6.7034000000000002</v>
      </c>
      <c r="T16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66" s="57">
        <f>(1000*CHOOSE(CONTROL!$C$42, 695, 695)*CHOOSE(CONTROL!$C$42, 0.5599, 0.5599)*CHOOSE(CONTROL!$C$42, 31, 31))/1000000</f>
        <v>12.063045499999998</v>
      </c>
      <c r="V166" s="57">
        <f>(1000*CHOOSE(CONTROL!$C$42, 500, 500)*CHOOSE(CONTROL!$C$42, 0.275, 0.275)*CHOOSE(CONTROL!$C$42, 31, 31))/1000000</f>
        <v>4.2625000000000002</v>
      </c>
      <c r="W166" s="57">
        <f>(1000*CHOOSE(CONTROL!$C$42, 0.1146, 0.1146)*CHOOSE(CONTROL!$C$42, 121.5, 121.5)*CHOOSE(CONTROL!$C$42, 31, 31))/1000000</f>
        <v>0.43164089999999994</v>
      </c>
      <c r="X166" s="57">
        <f>(31*0.1790888*245000/1000000)+(31*0.2374*100000/1000000)</f>
        <v>2.0961194359999999</v>
      </c>
      <c r="Y166" s="57"/>
      <c r="Z166" s="14"/>
      <c r="AA166" s="56"/>
      <c r="AB166" s="50">
        <f>(B166*131.881+C166*277.167+D166*79.08+E166*125.872+F166*40+G166*185+H166*0+I166*100+J166*300)/(131.881+277.167+79.08+125.872+0+40+185+100+300)</f>
        <v>6.939951499273608</v>
      </c>
      <c r="AC166" s="45">
        <f>(M166*'RAP TEMPLATE-GAS AVAILABILITY'!O165+N166*'RAP TEMPLATE-GAS AVAILABILITY'!P165+O166*'RAP TEMPLATE-GAS AVAILABILITY'!Q165+P166*'RAP TEMPLATE-GAS AVAILABILITY'!R165)/('RAP TEMPLATE-GAS AVAILABILITY'!O165+'RAP TEMPLATE-GAS AVAILABILITY'!P165+'RAP TEMPLATE-GAS AVAILABILITY'!Q165+'RAP TEMPLATE-GAS AVAILABILITY'!R165)</f>
        <v>6.9064776978417273</v>
      </c>
    </row>
    <row r="167" spans="1:29" ht="15.75" x14ac:dyDescent="0.25">
      <c r="A167" s="13">
        <v>45962</v>
      </c>
      <c r="B167" s="14">
        <f>CHOOSE(CONTROL!$C$42, 7.0869, 7.0869) * CHOOSE(CONTROL!$C$21, $C$9, 100%, $E$9)</f>
        <v>7.0869</v>
      </c>
      <c r="C167" s="14">
        <f>CHOOSE(CONTROL!$C$42, 7.0919, 7.0919) * CHOOSE(CONTROL!$C$21, $C$9, 100%, $E$9)</f>
        <v>7.0918999999999999</v>
      </c>
      <c r="D167" s="14">
        <f>CHOOSE(CONTROL!$C$42, 7.155, 7.155) * CHOOSE(CONTROL!$C$21, $C$9, 100%, $E$9)</f>
        <v>7.1550000000000002</v>
      </c>
      <c r="E167" s="14">
        <f>CHOOSE(CONTROL!$C$42, 7.1887, 7.1887) * CHOOSE(CONTROL!$C$21, $C$9, 100%, $E$9)</f>
        <v>7.1886999999999999</v>
      </c>
      <c r="F167" s="14">
        <f>CHOOSE(CONTROL!$C$42, 7.0876, 7.0876)*CHOOSE(CONTROL!$C$21, $C$9, 100%, $E$9)</f>
        <v>7.0876000000000001</v>
      </c>
      <c r="G167" s="14">
        <f>CHOOSE(CONTROL!$C$42, 7.1039, 7.1039)*CHOOSE(CONTROL!$C$21, $C$9, 100%, $E$9)</f>
        <v>7.1039000000000003</v>
      </c>
      <c r="H167" s="14">
        <f>CHOOSE(CONTROL!$C$42, 7.1779, 7.1779) * CHOOSE(CONTROL!$C$21, $C$9, 100%, $E$9)</f>
        <v>7.1779000000000002</v>
      </c>
      <c r="I167" s="14">
        <f>CHOOSE(CONTROL!$C$42, 7.1005, 7.1005)* CHOOSE(CONTROL!$C$21, $C$9, 100%, $E$9)</f>
        <v>7.1005000000000003</v>
      </c>
      <c r="J167" s="14">
        <f>CHOOSE(CONTROL!$C$42, 7.0806, 7.0806)* CHOOSE(CONTROL!$C$21, $C$9, 100%, $E$9)</f>
        <v>7.0805999999999996</v>
      </c>
      <c r="K167" s="53">
        <f>CHOOSE(CONTROL!$C$42, 7.0966, 7.0966) * CHOOSE(CONTROL!$C$21, $C$9, 100%, $E$9)</f>
        <v>7.0965999999999996</v>
      </c>
      <c r="L167" s="14">
        <f>CHOOSE(CONTROL!$C$42, 7.7649, 7.7649) * CHOOSE(CONTROL!$C$21, $C$9, 100%, $E$9)</f>
        <v>7.7648999999999999</v>
      </c>
      <c r="M167" s="14">
        <f>CHOOSE(CONTROL!$C$42, 7.023, 7.023) * CHOOSE(CONTROL!$C$21, $C$9, 100%, $E$9)</f>
        <v>7.0229999999999997</v>
      </c>
      <c r="N167" s="14">
        <f>CHOOSE(CONTROL!$C$42, 7.0391, 7.0391) * CHOOSE(CONTROL!$C$21, $C$9, 100%, $E$9)</f>
        <v>7.0391000000000004</v>
      </c>
      <c r="O167" s="14">
        <f>CHOOSE(CONTROL!$C$42, 7.1193, 7.1193) * CHOOSE(CONTROL!$C$21, $C$9, 100%, $E$9)</f>
        <v>7.1193</v>
      </c>
      <c r="P167" s="14">
        <f>CHOOSE(CONTROL!$C$42, 7.0427, 7.0427) * CHOOSE(CONTROL!$C$21, $C$9, 100%, $E$9)</f>
        <v>7.0427</v>
      </c>
      <c r="Q167" s="14">
        <f>CHOOSE(CONTROL!$C$42, 7.7146, 7.7146) * CHOOSE(CONTROL!$C$21, $C$9, 100%, $E$9)</f>
        <v>7.7145999999999999</v>
      </c>
      <c r="R167" s="14">
        <f>CHOOSE(CONTROL!$C$42, 8.3209, 8.3209) * CHOOSE(CONTROL!$C$21, $C$9, 100%, $E$9)</f>
        <v>8.3209</v>
      </c>
      <c r="S167" s="14">
        <f>CHOOSE(CONTROL!$C$42, 6.88, 6.88) * CHOOSE(CONTROL!$C$21, $C$9, 100%, $E$9)</f>
        <v>6.88</v>
      </c>
      <c r="T16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67" s="57">
        <f>(1000*CHOOSE(CONTROL!$C$42, 695, 695)*CHOOSE(CONTROL!$C$42, 0.5599, 0.5599)*CHOOSE(CONTROL!$C$42, 30, 30))/1000000</f>
        <v>11.673914999999997</v>
      </c>
      <c r="V167" s="57">
        <f>(1000*CHOOSE(CONTROL!$C$42, 500, 500)*CHOOSE(CONTROL!$C$42, 0.275, 0.275)*CHOOSE(CONTROL!$C$42, 30, 30))/1000000</f>
        <v>4.125</v>
      </c>
      <c r="W167" s="57">
        <f>(1000*CHOOSE(CONTROL!$C$42, 0.1146, 0.1146)*CHOOSE(CONTROL!$C$42, 121.5, 121.5)*CHOOSE(CONTROL!$C$42, 30, 30))/1000000</f>
        <v>0.417717</v>
      </c>
      <c r="X167" s="57">
        <f>(30*0.1790888*100000/1000000)+(30*0.2374*100000/1000000)</f>
        <v>1.2494664</v>
      </c>
      <c r="Y167" s="57"/>
      <c r="Z167" s="14"/>
      <c r="AA167" s="56"/>
      <c r="AB167" s="50">
        <f>(B167*122.58+C167*297.941+D167*89.177+E167*40.302+F167*40+G167*160+H167*0+I167*100+J167*300)/(122.58+297.941+89.177+40.302+0+40+160+100+300)</f>
        <v>7.0989725237391301</v>
      </c>
      <c r="AC167" s="45">
        <f>(M167*'RAP TEMPLATE-GAS AVAILABILITY'!O166+N167*'RAP TEMPLATE-GAS AVAILABILITY'!P166+O167*'RAP TEMPLATE-GAS AVAILABILITY'!Q166+P167*'RAP TEMPLATE-GAS AVAILABILITY'!R166)/('RAP TEMPLATE-GAS AVAILABILITY'!O166+'RAP TEMPLATE-GAS AVAILABILITY'!P166+'RAP TEMPLATE-GAS AVAILABILITY'!Q166+'RAP TEMPLATE-GAS AVAILABILITY'!R166)</f>
        <v>7.0704079136690634</v>
      </c>
    </row>
    <row r="168" spans="1:29" ht="15.75" x14ac:dyDescent="0.25">
      <c r="A168" s="13">
        <v>45992</v>
      </c>
      <c r="B168" s="14">
        <f>CHOOSE(CONTROL!$C$42, 7.5699, 7.5699) * CHOOSE(CONTROL!$C$21, $C$9, 100%, $E$9)</f>
        <v>7.5698999999999996</v>
      </c>
      <c r="C168" s="14">
        <f>CHOOSE(CONTROL!$C$42, 7.5749, 7.5749) * CHOOSE(CONTROL!$C$21, $C$9, 100%, $E$9)</f>
        <v>7.5749000000000004</v>
      </c>
      <c r="D168" s="14">
        <f>CHOOSE(CONTROL!$C$42, 7.6379, 7.6379) * CHOOSE(CONTROL!$C$21, $C$9, 100%, $E$9)</f>
        <v>7.6379000000000001</v>
      </c>
      <c r="E168" s="14">
        <f>CHOOSE(CONTROL!$C$42, 7.6717, 7.6717) * CHOOSE(CONTROL!$C$21, $C$9, 100%, $E$9)</f>
        <v>7.6717000000000004</v>
      </c>
      <c r="F168" s="14">
        <f>CHOOSE(CONTROL!$C$42, 7.5727, 7.5727)*CHOOSE(CONTROL!$C$21, $C$9, 100%, $E$9)</f>
        <v>7.5727000000000002</v>
      </c>
      <c r="G168" s="14">
        <f>CHOOSE(CONTROL!$C$42, 7.5895, 7.5895)*CHOOSE(CONTROL!$C$21, $C$9, 100%, $E$9)</f>
        <v>7.5895000000000001</v>
      </c>
      <c r="H168" s="14">
        <f>CHOOSE(CONTROL!$C$42, 7.6609, 7.6609) * CHOOSE(CONTROL!$C$21, $C$9, 100%, $E$9)</f>
        <v>7.6608999999999998</v>
      </c>
      <c r="I168" s="14">
        <f>CHOOSE(CONTROL!$C$42, 7.5835, 7.5835)* CHOOSE(CONTROL!$C$21, $C$9, 100%, $E$9)</f>
        <v>7.5834999999999999</v>
      </c>
      <c r="J168" s="14">
        <f>CHOOSE(CONTROL!$C$42, 7.5657, 7.5657)* CHOOSE(CONTROL!$C$21, $C$9, 100%, $E$9)</f>
        <v>7.5656999999999996</v>
      </c>
      <c r="K168" s="53">
        <f>CHOOSE(CONTROL!$C$42, 7.5796, 7.5796) * CHOOSE(CONTROL!$C$21, $C$9, 100%, $E$9)</f>
        <v>7.5796000000000001</v>
      </c>
      <c r="L168" s="14">
        <f>CHOOSE(CONTROL!$C$42, 8.2479, 8.2479) * CHOOSE(CONTROL!$C$21, $C$9, 100%, $E$9)</f>
        <v>8.2478999999999996</v>
      </c>
      <c r="M168" s="14">
        <f>CHOOSE(CONTROL!$C$42, 7.5031, 7.5031) * CHOOSE(CONTROL!$C$21, $C$9, 100%, $E$9)</f>
        <v>7.5030999999999999</v>
      </c>
      <c r="N168" s="14">
        <f>CHOOSE(CONTROL!$C$42, 7.5198, 7.5198) * CHOOSE(CONTROL!$C$21, $C$9, 100%, $E$9)</f>
        <v>7.5198</v>
      </c>
      <c r="O168" s="14">
        <f>CHOOSE(CONTROL!$C$42, 7.5974, 7.5974) * CHOOSE(CONTROL!$C$21, $C$9, 100%, $E$9)</f>
        <v>7.5974000000000004</v>
      </c>
      <c r="P168" s="14">
        <f>CHOOSE(CONTROL!$C$42, 7.5208, 7.5208) * CHOOSE(CONTROL!$C$21, $C$9, 100%, $E$9)</f>
        <v>7.5208000000000004</v>
      </c>
      <c r="Q168" s="14">
        <f>CHOOSE(CONTROL!$C$42, 8.1927, 8.1927) * CHOOSE(CONTROL!$C$21, $C$9, 100%, $E$9)</f>
        <v>8.1927000000000003</v>
      </c>
      <c r="R168" s="14">
        <f>CHOOSE(CONTROL!$C$42, 8.8002, 8.8002) * CHOOSE(CONTROL!$C$21, $C$9, 100%, $E$9)</f>
        <v>8.8002000000000002</v>
      </c>
      <c r="S168" s="14">
        <f>CHOOSE(CONTROL!$C$42, 7.349, 7.349) * CHOOSE(CONTROL!$C$21, $C$9, 100%, $E$9)</f>
        <v>7.3490000000000002</v>
      </c>
      <c r="T16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68" s="57">
        <f>(1000*CHOOSE(CONTROL!$C$42, 695, 695)*CHOOSE(CONTROL!$C$42, 0.5599, 0.5599)*CHOOSE(CONTROL!$C$42, 31, 31))/1000000</f>
        <v>12.063045499999998</v>
      </c>
      <c r="V168" s="57">
        <f>(1000*CHOOSE(CONTROL!$C$42, 500, 500)*CHOOSE(CONTROL!$C$42, 0.275, 0.275)*CHOOSE(CONTROL!$C$42, 31, 31))/1000000</f>
        <v>4.2625000000000002</v>
      </c>
      <c r="W168" s="57">
        <f>(1000*CHOOSE(CONTROL!$C$42, 0.1146, 0.1146)*CHOOSE(CONTROL!$C$42, 121.5, 121.5)*CHOOSE(CONTROL!$C$42, 31, 31))/1000000</f>
        <v>0.43164089999999994</v>
      </c>
      <c r="X168" s="57">
        <f>(31*0.1790888*100000/1000000)+(31*0.2374*100000/1000000)</f>
        <v>1.2911152800000001</v>
      </c>
      <c r="Y168" s="57"/>
      <c r="Z168" s="14"/>
      <c r="AA168" s="56"/>
      <c r="AB168" s="50">
        <f>(B168*122.58+C168*297.941+D168*89.177+E168*40.302+F168*40+G168*160+H168*0+I168*100+J168*300)/(122.58+297.941+89.177+40.302+0+40+160+100+300)</f>
        <v>7.5829473779130439</v>
      </c>
      <c r="AC168" s="45">
        <f>(M168*'RAP TEMPLATE-GAS AVAILABILITY'!O167+N168*'RAP TEMPLATE-GAS AVAILABILITY'!P167+O168*'RAP TEMPLATE-GAS AVAILABILITY'!Q167+P168*'RAP TEMPLATE-GAS AVAILABILITY'!R167)/('RAP TEMPLATE-GAS AVAILABILITY'!O167+'RAP TEMPLATE-GAS AVAILABILITY'!P167+'RAP TEMPLATE-GAS AVAILABILITY'!Q167+'RAP TEMPLATE-GAS AVAILABILITY'!R167)</f>
        <v>7.5493482014388498</v>
      </c>
    </row>
    <row r="169" spans="1:29" ht="15.75" x14ac:dyDescent="0.25">
      <c r="A169" s="13">
        <v>46023</v>
      </c>
      <c r="B169" s="14">
        <f>CHOOSE(CONTROL!$C$42, 8.2109, 8.2109) * CHOOSE(CONTROL!$C$21, $C$9, 100%, $E$9)</f>
        <v>8.2109000000000005</v>
      </c>
      <c r="C169" s="14">
        <f>CHOOSE(CONTROL!$C$42, 8.2158, 8.2158) * CHOOSE(CONTROL!$C$21, $C$9, 100%, $E$9)</f>
        <v>8.2157999999999998</v>
      </c>
      <c r="D169" s="14">
        <f>CHOOSE(CONTROL!$C$42, 8.2801, 8.2801) * CHOOSE(CONTROL!$C$21, $C$9, 100%, $E$9)</f>
        <v>8.2800999999999991</v>
      </c>
      <c r="E169" s="14">
        <f>CHOOSE(CONTROL!$C$42, 8.3139, 8.3139) * CHOOSE(CONTROL!$C$21, $C$9, 100%, $E$9)</f>
        <v>8.3139000000000003</v>
      </c>
      <c r="F169" s="14">
        <f>CHOOSE(CONTROL!$C$42, 8.2124, 8.2124)*CHOOSE(CONTROL!$C$21, $C$9, 100%, $E$9)</f>
        <v>8.2124000000000006</v>
      </c>
      <c r="G169" s="14">
        <f>CHOOSE(CONTROL!$C$42, 8.2283, 8.2283)*CHOOSE(CONTROL!$C$21, $C$9, 100%, $E$9)</f>
        <v>8.2283000000000008</v>
      </c>
      <c r="H169" s="14">
        <f>CHOOSE(CONTROL!$C$42, 8.3031, 8.3031) * CHOOSE(CONTROL!$C$21, $C$9, 100%, $E$9)</f>
        <v>8.3031000000000006</v>
      </c>
      <c r="I169" s="14">
        <f>CHOOSE(CONTROL!$C$42, 8.2309, 8.2309)* CHOOSE(CONTROL!$C$21, $C$9, 100%, $E$9)</f>
        <v>8.2309000000000001</v>
      </c>
      <c r="J169" s="14">
        <f>CHOOSE(CONTROL!$C$42, 8.2054, 8.2054)* CHOOSE(CONTROL!$C$21, $C$9, 100%, $E$9)</f>
        <v>8.2053999999999991</v>
      </c>
      <c r="K169" s="53">
        <f>CHOOSE(CONTROL!$C$42, 8.227, 8.227) * CHOOSE(CONTROL!$C$21, $C$9, 100%, $E$9)</f>
        <v>8.2270000000000003</v>
      </c>
      <c r="L169" s="14">
        <f>CHOOSE(CONTROL!$C$42, 8.8901, 8.8901) * CHOOSE(CONTROL!$C$21, $C$9, 100%, $E$9)</f>
        <v>8.8901000000000003</v>
      </c>
      <c r="M169" s="14">
        <f>CHOOSE(CONTROL!$C$42, 8.1364, 8.1364) * CHOOSE(CONTROL!$C$21, $C$9, 100%, $E$9)</f>
        <v>8.1364000000000001</v>
      </c>
      <c r="N169" s="14">
        <f>CHOOSE(CONTROL!$C$42, 8.1522, 8.1522) * CHOOSE(CONTROL!$C$21, $C$9, 100%, $E$9)</f>
        <v>8.1522000000000006</v>
      </c>
      <c r="O169" s="14">
        <f>CHOOSE(CONTROL!$C$42, 8.2331, 8.2331) * CHOOSE(CONTROL!$C$21, $C$9, 100%, $E$9)</f>
        <v>8.2331000000000003</v>
      </c>
      <c r="P169" s="14">
        <f>CHOOSE(CONTROL!$C$42, 8.1617, 8.1617) * CHOOSE(CONTROL!$C$21, $C$9, 100%, $E$9)</f>
        <v>8.1616999999999997</v>
      </c>
      <c r="Q169" s="14">
        <f>CHOOSE(CONTROL!$C$42, 8.8284, 8.8284) * CHOOSE(CONTROL!$C$21, $C$9, 100%, $E$9)</f>
        <v>8.8284000000000002</v>
      </c>
      <c r="R169" s="14">
        <f>CHOOSE(CONTROL!$C$42, 9.4375, 9.4375) * CHOOSE(CONTROL!$C$21, $C$9, 100%, $E$9)</f>
        <v>9.4375</v>
      </c>
      <c r="S169" s="14">
        <f>CHOOSE(CONTROL!$C$42, 7.9715, 7.9715) * CHOOSE(CONTROL!$C$21, $C$9, 100%, $E$9)</f>
        <v>7.9714999999999998</v>
      </c>
      <c r="T16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69" s="57">
        <f>(1000*CHOOSE(CONTROL!$C$42, 695, 695)*CHOOSE(CONTROL!$C$42, 0.5599, 0.5599)*CHOOSE(CONTROL!$C$42, 31, 31))/1000000</f>
        <v>12.063045499999998</v>
      </c>
      <c r="V169" s="57">
        <f>(1000*CHOOSE(CONTROL!$C$42, 500, 500)*CHOOSE(CONTROL!$C$42, 0.275, 0.275)*CHOOSE(CONTROL!$C$42, 31, 31))/1000000</f>
        <v>4.2625000000000002</v>
      </c>
      <c r="W169" s="57">
        <f>(1000*CHOOSE(CONTROL!$C$42, 0.1146, 0.1146)*CHOOSE(CONTROL!$C$42, 121.5, 121.5)*CHOOSE(CONTROL!$C$42, 31, 31))/1000000</f>
        <v>0.43164089999999994</v>
      </c>
      <c r="X169" s="57">
        <f>(31*0.1790888*100000/1000000)+(31*0.2374*100000/1000000)</f>
        <v>1.2911152800000001</v>
      </c>
      <c r="Y169" s="57"/>
      <c r="Z169" s="14"/>
      <c r="AA169" s="56"/>
      <c r="AB169" s="50">
        <f>(B169*122.58+C169*297.941+D169*89.177+E169*40.302+F169*40+G169*160+H169*0+I169*100+J169*300)/(122.58+297.941+89.177+40.302+0+40+160+100+300)</f>
        <v>8.2239226654782627</v>
      </c>
      <c r="AC169" s="45">
        <f>(M169*'RAP TEMPLATE-GAS AVAILABILITY'!O168+N169*'RAP TEMPLATE-GAS AVAILABILITY'!P168+O169*'RAP TEMPLATE-GAS AVAILABILITY'!Q168+P169*'RAP TEMPLATE-GAS AVAILABILITY'!R168)/('RAP TEMPLATE-GAS AVAILABILITY'!O168+'RAP TEMPLATE-GAS AVAILABILITY'!P168+'RAP TEMPLATE-GAS AVAILABILITY'!Q168+'RAP TEMPLATE-GAS AVAILABILITY'!R168)</f>
        <v>8.1847776978417262</v>
      </c>
    </row>
    <row r="170" spans="1:29" ht="15.75" x14ac:dyDescent="0.25">
      <c r="A170" s="13">
        <v>46054</v>
      </c>
      <c r="B170" s="14">
        <f>CHOOSE(CONTROL!$C$42, 8.357, 8.357) * CHOOSE(CONTROL!$C$21, $C$9, 100%, $E$9)</f>
        <v>8.3569999999999993</v>
      </c>
      <c r="C170" s="14">
        <f>CHOOSE(CONTROL!$C$42, 8.362, 8.362) * CHOOSE(CONTROL!$C$21, $C$9, 100%, $E$9)</f>
        <v>8.3620000000000001</v>
      </c>
      <c r="D170" s="14">
        <f>CHOOSE(CONTROL!$C$42, 8.4262, 8.4262) * CHOOSE(CONTROL!$C$21, $C$9, 100%, $E$9)</f>
        <v>8.4261999999999997</v>
      </c>
      <c r="E170" s="14">
        <f>CHOOSE(CONTROL!$C$42, 8.46, 8.46) * CHOOSE(CONTROL!$C$21, $C$9, 100%, $E$9)</f>
        <v>8.4600000000000009</v>
      </c>
      <c r="F170" s="14">
        <f>CHOOSE(CONTROL!$C$42, 8.3586, 8.3586)*CHOOSE(CONTROL!$C$21, $C$9, 100%, $E$9)</f>
        <v>8.3585999999999991</v>
      </c>
      <c r="G170" s="14">
        <f>CHOOSE(CONTROL!$C$42, 8.3745, 8.3745)*CHOOSE(CONTROL!$C$21, $C$9, 100%, $E$9)</f>
        <v>8.3744999999999994</v>
      </c>
      <c r="H170" s="14">
        <f>CHOOSE(CONTROL!$C$42, 8.4492, 8.4492) * CHOOSE(CONTROL!$C$21, $C$9, 100%, $E$9)</f>
        <v>8.4491999999999994</v>
      </c>
      <c r="I170" s="14">
        <f>CHOOSE(CONTROL!$C$42, 8.377, 8.377)* CHOOSE(CONTROL!$C$21, $C$9, 100%, $E$9)</f>
        <v>8.3770000000000007</v>
      </c>
      <c r="J170" s="14">
        <f>CHOOSE(CONTROL!$C$42, 8.3516, 8.3516)* CHOOSE(CONTROL!$C$21, $C$9, 100%, $E$9)</f>
        <v>8.3515999999999995</v>
      </c>
      <c r="K170" s="53">
        <f>CHOOSE(CONTROL!$C$42, 8.3731, 8.3731) * CHOOSE(CONTROL!$C$21, $C$9, 100%, $E$9)</f>
        <v>8.3731000000000009</v>
      </c>
      <c r="L170" s="14">
        <f>CHOOSE(CONTROL!$C$42, 9.0362, 9.0362) * CHOOSE(CONTROL!$C$21, $C$9, 100%, $E$9)</f>
        <v>9.0361999999999991</v>
      </c>
      <c r="M170" s="14">
        <f>CHOOSE(CONTROL!$C$42, 8.2811, 8.2811) * CHOOSE(CONTROL!$C$21, $C$9, 100%, $E$9)</f>
        <v>8.2811000000000003</v>
      </c>
      <c r="N170" s="14">
        <f>CHOOSE(CONTROL!$C$42, 8.2969, 8.2969) * CHOOSE(CONTROL!$C$21, $C$9, 100%, $E$9)</f>
        <v>8.2969000000000008</v>
      </c>
      <c r="O170" s="14">
        <f>CHOOSE(CONTROL!$C$42, 8.3778, 8.3778) * CHOOSE(CONTROL!$C$21, $C$9, 100%, $E$9)</f>
        <v>8.3778000000000006</v>
      </c>
      <c r="P170" s="14">
        <f>CHOOSE(CONTROL!$C$42, 8.3063, 8.3063) * CHOOSE(CONTROL!$C$21, $C$9, 100%, $E$9)</f>
        <v>8.3063000000000002</v>
      </c>
      <c r="Q170" s="14">
        <f>CHOOSE(CONTROL!$C$42, 8.9731, 8.9731) * CHOOSE(CONTROL!$C$21, $C$9, 100%, $E$9)</f>
        <v>8.9731000000000005</v>
      </c>
      <c r="R170" s="14">
        <f>CHOOSE(CONTROL!$C$42, 9.5825, 9.5825) * CHOOSE(CONTROL!$C$21, $C$9, 100%, $E$9)</f>
        <v>9.5824999999999996</v>
      </c>
      <c r="S170" s="14">
        <f>CHOOSE(CONTROL!$C$42, 8.1134, 8.1134) * CHOOSE(CONTROL!$C$21, $C$9, 100%, $E$9)</f>
        <v>8.1134000000000004</v>
      </c>
      <c r="T17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70" s="57">
        <f>(1000*CHOOSE(CONTROL!$C$42, 695, 695)*CHOOSE(CONTROL!$C$42, 0.5599, 0.5599)*CHOOSE(CONTROL!$C$42, 28, 28))/1000000</f>
        <v>10.895653999999999</v>
      </c>
      <c r="V170" s="57">
        <f>(1000*CHOOSE(CONTROL!$C$42, 500, 500)*CHOOSE(CONTROL!$C$42, 0.275, 0.275)*CHOOSE(CONTROL!$C$42, 28, 28))/1000000</f>
        <v>3.85</v>
      </c>
      <c r="W170" s="57">
        <f>(1000*CHOOSE(CONTROL!$C$42, 0.1146, 0.1146)*CHOOSE(CONTROL!$C$42, 121.5, 121.5)*CHOOSE(CONTROL!$C$42, 28, 28))/1000000</f>
        <v>0.38986920000000003</v>
      </c>
      <c r="X170" s="57">
        <f>(28*0.1790888*100000/1000000)+(28*0.2374*100000/1000000)</f>
        <v>1.16616864</v>
      </c>
      <c r="Y170" s="57"/>
      <c r="Z170" s="14"/>
      <c r="AA170" s="56"/>
      <c r="AB170" s="50">
        <f>(B170*122.58+C170*297.941+D170*89.177+E170*40.302+F170*40+G170*160+H170*0+I170*100+J170*300)/(122.58+297.941+89.177+40.302+0+40+160+100+300)</f>
        <v>8.3700920516521737</v>
      </c>
      <c r="AC170" s="45">
        <f>(M170*'RAP TEMPLATE-GAS AVAILABILITY'!O169+N170*'RAP TEMPLATE-GAS AVAILABILITY'!P169+O170*'RAP TEMPLATE-GAS AVAILABILITY'!Q169+P170*'RAP TEMPLATE-GAS AVAILABILITY'!R169)/('RAP TEMPLATE-GAS AVAILABILITY'!O169+'RAP TEMPLATE-GAS AVAILABILITY'!P169+'RAP TEMPLATE-GAS AVAILABILITY'!Q169+'RAP TEMPLATE-GAS AVAILABILITY'!R169)</f>
        <v>8.3294633093525174</v>
      </c>
    </row>
    <row r="171" spans="1:29" ht="15.75" x14ac:dyDescent="0.25">
      <c r="A171" s="13">
        <v>46082</v>
      </c>
      <c r="B171" s="14">
        <f>CHOOSE(CONTROL!$C$42, 8.1198, 8.1198) * CHOOSE(CONTROL!$C$21, $C$9, 100%, $E$9)</f>
        <v>8.1197999999999997</v>
      </c>
      <c r="C171" s="14">
        <f>CHOOSE(CONTROL!$C$42, 8.1248, 8.1248) * CHOOSE(CONTROL!$C$21, $C$9, 100%, $E$9)</f>
        <v>8.1248000000000005</v>
      </c>
      <c r="D171" s="14">
        <f>CHOOSE(CONTROL!$C$42, 8.1891, 8.1891) * CHOOSE(CONTROL!$C$21, $C$9, 100%, $E$9)</f>
        <v>8.1890999999999998</v>
      </c>
      <c r="E171" s="14">
        <f>CHOOSE(CONTROL!$C$42, 8.2228, 8.2228) * CHOOSE(CONTROL!$C$21, $C$9, 100%, $E$9)</f>
        <v>8.2227999999999994</v>
      </c>
      <c r="F171" s="14">
        <f>CHOOSE(CONTROL!$C$42, 8.1211, 8.1211)*CHOOSE(CONTROL!$C$21, $C$9, 100%, $E$9)</f>
        <v>8.1211000000000002</v>
      </c>
      <c r="G171" s="14">
        <f>CHOOSE(CONTROL!$C$42, 8.1369, 8.1369)*CHOOSE(CONTROL!$C$21, $C$9, 100%, $E$9)</f>
        <v>8.1369000000000007</v>
      </c>
      <c r="H171" s="14">
        <f>CHOOSE(CONTROL!$C$42, 8.212, 8.212) * CHOOSE(CONTROL!$C$21, $C$9, 100%, $E$9)</f>
        <v>8.2119999999999997</v>
      </c>
      <c r="I171" s="14">
        <f>CHOOSE(CONTROL!$C$42, 8.1398, 8.1398)* CHOOSE(CONTROL!$C$21, $C$9, 100%, $E$9)</f>
        <v>8.1397999999999993</v>
      </c>
      <c r="J171" s="14">
        <f>CHOOSE(CONTROL!$C$42, 8.1141, 8.1141)* CHOOSE(CONTROL!$C$21, $C$9, 100%, $E$9)</f>
        <v>8.1141000000000005</v>
      </c>
      <c r="K171" s="53">
        <f>CHOOSE(CONTROL!$C$42, 8.1359, 8.1359) * CHOOSE(CONTROL!$C$21, $C$9, 100%, $E$9)</f>
        <v>8.1358999999999995</v>
      </c>
      <c r="L171" s="14">
        <f>CHOOSE(CONTROL!$C$42, 8.799, 8.799) * CHOOSE(CONTROL!$C$21, $C$9, 100%, $E$9)</f>
        <v>8.7989999999999995</v>
      </c>
      <c r="M171" s="14">
        <f>CHOOSE(CONTROL!$C$42, 8.046, 8.046) * CHOOSE(CONTROL!$C$21, $C$9, 100%, $E$9)</f>
        <v>8.0459999999999994</v>
      </c>
      <c r="N171" s="14">
        <f>CHOOSE(CONTROL!$C$42, 8.0617, 8.0617) * CHOOSE(CONTROL!$C$21, $C$9, 100%, $E$9)</f>
        <v>8.0617000000000001</v>
      </c>
      <c r="O171" s="14">
        <f>CHOOSE(CONTROL!$C$42, 8.143, 8.143) * CHOOSE(CONTROL!$C$21, $C$9, 100%, $E$9)</f>
        <v>8.1430000000000007</v>
      </c>
      <c r="P171" s="14">
        <f>CHOOSE(CONTROL!$C$42, 8.0715, 8.0715) * CHOOSE(CONTROL!$C$21, $C$9, 100%, $E$9)</f>
        <v>8.0715000000000003</v>
      </c>
      <c r="Q171" s="14">
        <f>CHOOSE(CONTROL!$C$42, 8.7383, 8.7383) * CHOOSE(CONTROL!$C$21, $C$9, 100%, $E$9)</f>
        <v>8.7383000000000006</v>
      </c>
      <c r="R171" s="14">
        <f>CHOOSE(CONTROL!$C$42, 9.3471, 9.3471) * CHOOSE(CONTROL!$C$21, $C$9, 100%, $E$9)</f>
        <v>9.3470999999999993</v>
      </c>
      <c r="S171" s="14">
        <f>CHOOSE(CONTROL!$C$42, 7.883, 7.883) * CHOOSE(CONTROL!$C$21, $C$9, 100%, $E$9)</f>
        <v>7.883</v>
      </c>
      <c r="T17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71" s="57">
        <f>(1000*CHOOSE(CONTROL!$C$42, 695, 695)*CHOOSE(CONTROL!$C$42, 0.5599, 0.5599)*CHOOSE(CONTROL!$C$42, 31, 31))/1000000</f>
        <v>12.063045499999998</v>
      </c>
      <c r="V171" s="57">
        <f>(1000*CHOOSE(CONTROL!$C$42, 500, 500)*CHOOSE(CONTROL!$C$42, 0.275, 0.275)*CHOOSE(CONTROL!$C$42, 31, 31))/1000000</f>
        <v>4.2625000000000002</v>
      </c>
      <c r="W171" s="57">
        <f>(1000*CHOOSE(CONTROL!$C$42, 0.1146, 0.1146)*CHOOSE(CONTROL!$C$42, 121.5, 121.5)*CHOOSE(CONTROL!$C$42, 31, 31))/1000000</f>
        <v>0.43164089999999994</v>
      </c>
      <c r="X171" s="57">
        <f>(31*0.1790888*100000/1000000)+(31*0.2374*100000/1000000)</f>
        <v>1.2911152800000001</v>
      </c>
      <c r="Y171" s="57"/>
      <c r="Z171" s="14"/>
      <c r="AA171" s="56"/>
      <c r="AB171" s="50">
        <f>(B171*122.58+C171*297.941+D171*89.177+E171*40.302+F171*40+G171*160+H171*0+I171*100+J171*300)/(122.58+297.941+89.177+40.302+0+40+160+100+300)</f>
        <v>8.132755458347825</v>
      </c>
      <c r="AC171" s="45">
        <f>(M171*'RAP TEMPLATE-GAS AVAILABILITY'!O170+N171*'RAP TEMPLATE-GAS AVAILABILITY'!P170+O171*'RAP TEMPLATE-GAS AVAILABILITY'!Q170+P171*'RAP TEMPLATE-GAS AVAILABILITY'!R170)/('RAP TEMPLATE-GAS AVAILABILITY'!O170+'RAP TEMPLATE-GAS AVAILABILITY'!P170+'RAP TEMPLATE-GAS AVAILABILITY'!Q170+'RAP TEMPLATE-GAS AVAILABILITY'!R170)</f>
        <v>8.094536690647482</v>
      </c>
    </row>
    <row r="172" spans="1:29" ht="15.75" x14ac:dyDescent="0.25">
      <c r="A172" s="13">
        <v>46113</v>
      </c>
      <c r="B172" s="14">
        <f>CHOOSE(CONTROL!$C$42, 8.0967, 8.0967) * CHOOSE(CONTROL!$C$21, $C$9, 100%, $E$9)</f>
        <v>8.0967000000000002</v>
      </c>
      <c r="C172" s="14">
        <f>CHOOSE(CONTROL!$C$42, 8.1011, 8.1011) * CHOOSE(CONTROL!$C$21, $C$9, 100%, $E$9)</f>
        <v>8.1011000000000006</v>
      </c>
      <c r="D172" s="14">
        <f>CHOOSE(CONTROL!$C$42, 8.3018, 8.3018) * CHOOSE(CONTROL!$C$21, $C$9, 100%, $E$9)</f>
        <v>8.3018000000000001</v>
      </c>
      <c r="E172" s="14">
        <f>CHOOSE(CONTROL!$C$42, 8.3336, 8.3336) * CHOOSE(CONTROL!$C$21, $C$9, 100%, $E$9)</f>
        <v>8.3336000000000006</v>
      </c>
      <c r="F172" s="14">
        <f>CHOOSE(CONTROL!$C$42, 8.0813, 8.0813)*CHOOSE(CONTROL!$C$21, $C$9, 100%, $E$9)</f>
        <v>8.0813000000000006</v>
      </c>
      <c r="G172" s="14">
        <f>CHOOSE(CONTROL!$C$42, 8.0969, 8.0969)*CHOOSE(CONTROL!$C$21, $C$9, 100%, $E$9)</f>
        <v>8.0968999999999998</v>
      </c>
      <c r="H172" s="14">
        <f>CHOOSE(CONTROL!$C$42, 8.3234, 8.3234) * CHOOSE(CONTROL!$C$21, $C$9, 100%, $E$9)</f>
        <v>8.3233999999999995</v>
      </c>
      <c r="I172" s="14">
        <f>CHOOSE(CONTROL!$C$42, 8.1095, 8.1095)* CHOOSE(CONTROL!$C$21, $C$9, 100%, $E$9)</f>
        <v>8.1095000000000006</v>
      </c>
      <c r="J172" s="14">
        <f>CHOOSE(CONTROL!$C$42, 8.0743, 8.0743)* CHOOSE(CONTROL!$C$21, $C$9, 100%, $E$9)</f>
        <v>8.0742999999999991</v>
      </c>
      <c r="K172" s="53">
        <f>CHOOSE(CONTROL!$C$42, 8.1056, 8.1056) * CHOOSE(CONTROL!$C$21, $C$9, 100%, $E$9)</f>
        <v>8.1056000000000008</v>
      </c>
      <c r="L172" s="14">
        <f>CHOOSE(CONTROL!$C$42, 8.9104, 8.9104) * CHOOSE(CONTROL!$C$21, $C$9, 100%, $E$9)</f>
        <v>8.9103999999999992</v>
      </c>
      <c r="M172" s="14">
        <f>CHOOSE(CONTROL!$C$42, 8.0066, 8.0066) * CHOOSE(CONTROL!$C$21, $C$9, 100%, $E$9)</f>
        <v>8.0066000000000006</v>
      </c>
      <c r="N172" s="14">
        <f>CHOOSE(CONTROL!$C$42, 8.0221, 8.0221) * CHOOSE(CONTROL!$C$21, $C$9, 100%, $E$9)</f>
        <v>8.0221</v>
      </c>
      <c r="O172" s="14">
        <f>CHOOSE(CONTROL!$C$42, 8.2532, 8.2532) * CHOOSE(CONTROL!$C$21, $C$9, 100%, $E$9)</f>
        <v>8.2531999999999996</v>
      </c>
      <c r="P172" s="14">
        <f>CHOOSE(CONTROL!$C$42, 8.0415, 8.0415) * CHOOSE(CONTROL!$C$21, $C$9, 100%, $E$9)</f>
        <v>8.0414999999999992</v>
      </c>
      <c r="Q172" s="14">
        <f>CHOOSE(CONTROL!$C$42, 8.8485, 8.8485) * CHOOSE(CONTROL!$C$21, $C$9, 100%, $E$9)</f>
        <v>8.8484999999999996</v>
      </c>
      <c r="R172" s="14">
        <f>CHOOSE(CONTROL!$C$42, 9.4576, 9.4576) * CHOOSE(CONTROL!$C$21, $C$9, 100%, $E$9)</f>
        <v>9.4575999999999993</v>
      </c>
      <c r="S172" s="14">
        <f>CHOOSE(CONTROL!$C$42, 7.8598, 7.8598) * CHOOSE(CONTROL!$C$21, $C$9, 100%, $E$9)</f>
        <v>7.8597999999999999</v>
      </c>
      <c r="T17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72" s="57">
        <f>(1000*CHOOSE(CONTROL!$C$42, 695, 695)*CHOOSE(CONTROL!$C$42, 0.5599, 0.5599)*CHOOSE(CONTROL!$C$42, 30, 30))/1000000</f>
        <v>11.673914999999997</v>
      </c>
      <c r="V172" s="57">
        <f>(1000*CHOOSE(CONTROL!$C$42, 500, 500)*CHOOSE(CONTROL!$C$42, 0.275, 0.275)*CHOOSE(CONTROL!$C$42, 30, 30))/1000000</f>
        <v>4.125</v>
      </c>
      <c r="W172" s="57">
        <f>(1000*CHOOSE(CONTROL!$C$42, 0.1146, 0.1146)*CHOOSE(CONTROL!$C$42, 121.5, 121.5)*CHOOSE(CONTROL!$C$42, 30, 30))/1000000</f>
        <v>0.417717</v>
      </c>
      <c r="X172" s="57">
        <f>(30*0.1790888*245000/1000000)+(30*0.2374*100000/1000000)</f>
        <v>2.0285026799999999</v>
      </c>
      <c r="Y172" s="57"/>
      <c r="Z172" s="14"/>
      <c r="AA172" s="56"/>
      <c r="AB172" s="50">
        <f>(B172*141.293+C172*267.993+D172*115.016+E172*89.698+F172*40+G172*185+H172*0+I172*100+J172*300)/(141.293+267.993+115.016+89.698+0+40+185+100+300)</f>
        <v>8.1289836214689277</v>
      </c>
      <c r="AC172" s="45">
        <f>(M172*'RAP TEMPLATE-GAS AVAILABILITY'!O171+N172*'RAP TEMPLATE-GAS AVAILABILITY'!P171+O172*'RAP TEMPLATE-GAS AVAILABILITY'!Q171+P172*'RAP TEMPLATE-GAS AVAILABILITY'!R171)/('RAP TEMPLATE-GAS AVAILABILITY'!O171+'RAP TEMPLATE-GAS AVAILABILITY'!P171+'RAP TEMPLATE-GAS AVAILABILITY'!Q171+'RAP TEMPLATE-GAS AVAILABILITY'!R171)</f>
        <v>8.0843798561151061</v>
      </c>
    </row>
    <row r="173" spans="1:29" ht="15.75" x14ac:dyDescent="0.25">
      <c r="A173" s="13">
        <v>46143</v>
      </c>
      <c r="B173" s="14">
        <f>CHOOSE(CONTROL!$C$42, 8.1695, 8.1695) * CHOOSE(CONTROL!$C$21, $C$9, 100%, $E$9)</f>
        <v>8.1694999999999993</v>
      </c>
      <c r="C173" s="14">
        <f>CHOOSE(CONTROL!$C$42, 8.1774, 8.1774) * CHOOSE(CONTROL!$C$21, $C$9, 100%, $E$9)</f>
        <v>8.1774000000000004</v>
      </c>
      <c r="D173" s="14">
        <f>CHOOSE(CONTROL!$C$42, 8.375, 8.375) * CHOOSE(CONTROL!$C$21, $C$9, 100%, $E$9)</f>
        <v>8.375</v>
      </c>
      <c r="E173" s="14">
        <f>CHOOSE(CONTROL!$C$42, 8.4062, 8.4062) * CHOOSE(CONTROL!$C$21, $C$9, 100%, $E$9)</f>
        <v>8.4062000000000001</v>
      </c>
      <c r="F173" s="14">
        <f>CHOOSE(CONTROL!$C$42, 8.1529, 8.1529)*CHOOSE(CONTROL!$C$21, $C$9, 100%, $E$9)</f>
        <v>8.1529000000000007</v>
      </c>
      <c r="G173" s="14">
        <f>CHOOSE(CONTROL!$C$42, 8.169, 8.169)*CHOOSE(CONTROL!$C$21, $C$9, 100%, $E$9)</f>
        <v>8.1690000000000005</v>
      </c>
      <c r="H173" s="14">
        <f>CHOOSE(CONTROL!$C$42, 8.3948, 8.3948) * CHOOSE(CONTROL!$C$21, $C$9, 100%, $E$9)</f>
        <v>8.3948</v>
      </c>
      <c r="I173" s="14">
        <f>CHOOSE(CONTROL!$C$42, 8.1809, 8.1809)* CHOOSE(CONTROL!$C$21, $C$9, 100%, $E$9)</f>
        <v>8.1808999999999994</v>
      </c>
      <c r="J173" s="14">
        <f>CHOOSE(CONTROL!$C$42, 8.1459, 8.1459)* CHOOSE(CONTROL!$C$21, $C$9, 100%, $E$9)</f>
        <v>8.1458999999999993</v>
      </c>
      <c r="K173" s="53">
        <f>CHOOSE(CONTROL!$C$42, 8.177, 8.177) * CHOOSE(CONTROL!$C$21, $C$9, 100%, $E$9)</f>
        <v>8.1769999999999996</v>
      </c>
      <c r="L173" s="14">
        <f>CHOOSE(CONTROL!$C$42, 8.9818, 8.9818) * CHOOSE(CONTROL!$C$21, $C$9, 100%, $E$9)</f>
        <v>8.9817999999999998</v>
      </c>
      <c r="M173" s="14">
        <f>CHOOSE(CONTROL!$C$42, 8.0776, 8.0776) * CHOOSE(CONTROL!$C$21, $C$9, 100%, $E$9)</f>
        <v>8.0776000000000003</v>
      </c>
      <c r="N173" s="14">
        <f>CHOOSE(CONTROL!$C$42, 8.0935, 8.0935) * CHOOSE(CONTROL!$C$21, $C$9, 100%, $E$9)</f>
        <v>8.0935000000000006</v>
      </c>
      <c r="O173" s="14">
        <f>CHOOSE(CONTROL!$C$42, 8.3239, 8.3239) * CHOOSE(CONTROL!$C$21, $C$9, 100%, $E$9)</f>
        <v>8.3239000000000001</v>
      </c>
      <c r="P173" s="14">
        <f>CHOOSE(CONTROL!$C$42, 8.1122, 8.1122) * CHOOSE(CONTROL!$C$21, $C$9, 100%, $E$9)</f>
        <v>8.1121999999999996</v>
      </c>
      <c r="Q173" s="14">
        <f>CHOOSE(CONTROL!$C$42, 8.9192, 8.9192) * CHOOSE(CONTROL!$C$21, $C$9, 100%, $E$9)</f>
        <v>8.9192</v>
      </c>
      <c r="R173" s="14">
        <f>CHOOSE(CONTROL!$C$42, 9.5285, 9.5285) * CHOOSE(CONTROL!$C$21, $C$9, 100%, $E$9)</f>
        <v>9.5284999999999993</v>
      </c>
      <c r="S173" s="14">
        <f>CHOOSE(CONTROL!$C$42, 7.9292, 7.9292) * CHOOSE(CONTROL!$C$21, $C$9, 100%, $E$9)</f>
        <v>7.9291999999999998</v>
      </c>
      <c r="T17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73" s="57">
        <f>(1000*CHOOSE(CONTROL!$C$42, 695, 695)*CHOOSE(CONTROL!$C$42, 0.5599, 0.5599)*CHOOSE(CONTROL!$C$42, 31, 31))/1000000</f>
        <v>12.063045499999998</v>
      </c>
      <c r="V173" s="57">
        <f>(1000*CHOOSE(CONTROL!$C$42, 500, 500)*CHOOSE(CONTROL!$C$42, 0.275, 0.275)*CHOOSE(CONTROL!$C$42, 31, 31))/1000000</f>
        <v>4.2625000000000002</v>
      </c>
      <c r="W173" s="57">
        <f>(1000*CHOOSE(CONTROL!$C$42, 0.1146, 0.1146)*CHOOSE(CONTROL!$C$42, 121.5, 121.5)*CHOOSE(CONTROL!$C$42, 31, 31))/1000000</f>
        <v>0.43164089999999994</v>
      </c>
      <c r="X173" s="57">
        <f>(31*0.1790888*245000/1000000)+(31*0.2374*100000/1000000)</f>
        <v>2.0961194359999999</v>
      </c>
      <c r="Y173" s="57"/>
      <c r="Z173" s="14"/>
      <c r="AA173" s="56"/>
      <c r="AB173" s="50">
        <f>(B173*194.205+C173*267.466+D173*133.845+E173*53.484+F173*40+G173*185+H173*0+I173*100+J173*300)/(194.205+267.466+133.845+53.484+0+40+185+100+300)</f>
        <v>8.1974288003924638</v>
      </c>
      <c r="AC173" s="45">
        <f>(M173*'RAP TEMPLATE-GAS AVAILABILITY'!O172+N173*'RAP TEMPLATE-GAS AVAILABILITY'!P172+O173*'RAP TEMPLATE-GAS AVAILABILITY'!Q172+P173*'RAP TEMPLATE-GAS AVAILABILITY'!R172)/('RAP TEMPLATE-GAS AVAILABILITY'!O172+'RAP TEMPLATE-GAS AVAILABILITY'!P172+'RAP TEMPLATE-GAS AVAILABILITY'!Q172+'RAP TEMPLATE-GAS AVAILABILITY'!R172)</f>
        <v>8.1553446043165465</v>
      </c>
    </row>
    <row r="174" spans="1:29" ht="15.75" x14ac:dyDescent="0.25">
      <c r="A174" s="13">
        <v>46174</v>
      </c>
      <c r="B174" s="14">
        <f>CHOOSE(CONTROL!$C$42, 8.4011, 8.4011) * CHOOSE(CONTROL!$C$21, $C$9, 100%, $E$9)</f>
        <v>8.4010999999999996</v>
      </c>
      <c r="C174" s="14">
        <f>CHOOSE(CONTROL!$C$42, 8.409, 8.409) * CHOOSE(CONTROL!$C$21, $C$9, 100%, $E$9)</f>
        <v>8.4090000000000007</v>
      </c>
      <c r="D174" s="14">
        <f>CHOOSE(CONTROL!$C$42, 8.6066, 8.6066) * CHOOSE(CONTROL!$C$21, $C$9, 100%, $E$9)</f>
        <v>8.6066000000000003</v>
      </c>
      <c r="E174" s="14">
        <f>CHOOSE(CONTROL!$C$42, 8.6377, 8.6377) * CHOOSE(CONTROL!$C$21, $C$9, 100%, $E$9)</f>
        <v>8.6377000000000006</v>
      </c>
      <c r="F174" s="14">
        <f>CHOOSE(CONTROL!$C$42, 8.3849, 8.3849)*CHOOSE(CONTROL!$C$21, $C$9, 100%, $E$9)</f>
        <v>8.3849</v>
      </c>
      <c r="G174" s="14">
        <f>CHOOSE(CONTROL!$C$42, 8.4011, 8.4011)*CHOOSE(CONTROL!$C$21, $C$9, 100%, $E$9)</f>
        <v>8.4010999999999996</v>
      </c>
      <c r="H174" s="14">
        <f>CHOOSE(CONTROL!$C$42, 8.6264, 8.6264) * CHOOSE(CONTROL!$C$21, $C$9, 100%, $E$9)</f>
        <v>8.6264000000000003</v>
      </c>
      <c r="I174" s="14">
        <f>CHOOSE(CONTROL!$C$42, 8.4125, 8.4125)* CHOOSE(CONTROL!$C$21, $C$9, 100%, $E$9)</f>
        <v>8.4124999999999996</v>
      </c>
      <c r="J174" s="14">
        <f>CHOOSE(CONTROL!$C$42, 8.3779, 8.3779)* CHOOSE(CONTROL!$C$21, $C$9, 100%, $E$9)</f>
        <v>8.3779000000000003</v>
      </c>
      <c r="K174" s="53">
        <f>CHOOSE(CONTROL!$C$42, 8.4086, 8.4086) * CHOOSE(CONTROL!$C$21, $C$9, 100%, $E$9)</f>
        <v>8.4085999999999999</v>
      </c>
      <c r="L174" s="14">
        <f>CHOOSE(CONTROL!$C$42, 9.2134, 9.2134) * CHOOSE(CONTROL!$C$21, $C$9, 100%, $E$9)</f>
        <v>9.2134</v>
      </c>
      <c r="M174" s="14">
        <f>CHOOSE(CONTROL!$C$42, 8.3072, 8.3072) * CHOOSE(CONTROL!$C$21, $C$9, 100%, $E$9)</f>
        <v>8.3071999999999999</v>
      </c>
      <c r="N174" s="14">
        <f>CHOOSE(CONTROL!$C$42, 8.3232, 8.3232) * CHOOSE(CONTROL!$C$21, $C$9, 100%, $E$9)</f>
        <v>8.3231999999999999</v>
      </c>
      <c r="O174" s="14">
        <f>CHOOSE(CONTROL!$C$42, 8.5531, 8.5531) * CHOOSE(CONTROL!$C$21, $C$9, 100%, $E$9)</f>
        <v>8.5531000000000006</v>
      </c>
      <c r="P174" s="14">
        <f>CHOOSE(CONTROL!$C$42, 8.3414, 8.3414) * CHOOSE(CONTROL!$C$21, $C$9, 100%, $E$9)</f>
        <v>8.3414000000000001</v>
      </c>
      <c r="Q174" s="14">
        <f>CHOOSE(CONTROL!$C$42, 9.1484, 9.1484) * CHOOSE(CONTROL!$C$21, $C$9, 100%, $E$9)</f>
        <v>9.1484000000000005</v>
      </c>
      <c r="R174" s="14">
        <f>CHOOSE(CONTROL!$C$42, 9.7583, 9.7583) * CHOOSE(CONTROL!$C$21, $C$9, 100%, $E$9)</f>
        <v>9.7583000000000002</v>
      </c>
      <c r="S174" s="14">
        <f>CHOOSE(CONTROL!$C$42, 8.1541, 8.1541) * CHOOSE(CONTROL!$C$21, $C$9, 100%, $E$9)</f>
        <v>8.1540999999999997</v>
      </c>
      <c r="T17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74" s="57">
        <f>(1000*CHOOSE(CONTROL!$C$42, 695, 695)*CHOOSE(CONTROL!$C$42, 0.5599, 0.5599)*CHOOSE(CONTROL!$C$42, 30, 30))/1000000</f>
        <v>11.673914999999997</v>
      </c>
      <c r="V174" s="57">
        <f>(1000*CHOOSE(CONTROL!$C$42, 500, 500)*CHOOSE(CONTROL!$C$42, 0.275, 0.275)*CHOOSE(CONTROL!$C$42, 30, 30))/1000000</f>
        <v>4.125</v>
      </c>
      <c r="W174" s="57">
        <f>(1000*CHOOSE(CONTROL!$C$42, 0.1146, 0.1146)*CHOOSE(CONTROL!$C$42, 121.5, 121.5)*CHOOSE(CONTROL!$C$42, 30, 30))/1000000</f>
        <v>0.417717</v>
      </c>
      <c r="X174" s="57">
        <f>(30*0.1790888*245000/1000000)+(30*0.2374*100000/1000000)</f>
        <v>2.0285026799999999</v>
      </c>
      <c r="Y174" s="57"/>
      <c r="Z174" s="14"/>
      <c r="AA174" s="56"/>
      <c r="AB174" s="50">
        <f>(B174*194.205+C174*267.466+D174*133.845+E174*53.484+F174*40+G174*185+H174*0+I174*100+J174*300)/(194.205+267.466+133.845+53.484+0+40+185+100+300)</f>
        <v>8.4292039586342238</v>
      </c>
      <c r="AC174" s="45">
        <f>(M174*'RAP TEMPLATE-GAS AVAILABILITY'!O173+N174*'RAP TEMPLATE-GAS AVAILABILITY'!P173+O174*'RAP TEMPLATE-GAS AVAILABILITY'!Q173+P174*'RAP TEMPLATE-GAS AVAILABILITY'!R173)/('RAP TEMPLATE-GAS AVAILABILITY'!O173+'RAP TEMPLATE-GAS AVAILABILITY'!P173+'RAP TEMPLATE-GAS AVAILABILITY'!Q173+'RAP TEMPLATE-GAS AVAILABILITY'!R173)</f>
        <v>8.3847978417266198</v>
      </c>
    </row>
    <row r="175" spans="1:29" ht="15.75" x14ac:dyDescent="0.25">
      <c r="A175" s="13">
        <v>46204</v>
      </c>
      <c r="B175" s="14">
        <f>CHOOSE(CONTROL!$C$42, 8.24, 8.24) * CHOOSE(CONTROL!$C$21, $C$9, 100%, $E$9)</f>
        <v>8.24</v>
      </c>
      <c r="C175" s="14">
        <f>CHOOSE(CONTROL!$C$42, 8.248, 8.248) * CHOOSE(CONTROL!$C$21, $C$9, 100%, $E$9)</f>
        <v>8.2479999999999993</v>
      </c>
      <c r="D175" s="14">
        <f>CHOOSE(CONTROL!$C$42, 8.4455, 8.4455) * CHOOSE(CONTROL!$C$21, $C$9, 100%, $E$9)</f>
        <v>8.4454999999999991</v>
      </c>
      <c r="E175" s="14">
        <f>CHOOSE(CONTROL!$C$42, 8.4767, 8.4767) * CHOOSE(CONTROL!$C$21, $C$9, 100%, $E$9)</f>
        <v>8.4766999999999992</v>
      </c>
      <c r="F175" s="14">
        <f>CHOOSE(CONTROL!$C$42, 8.2243, 8.2243)*CHOOSE(CONTROL!$C$21, $C$9, 100%, $E$9)</f>
        <v>8.2242999999999995</v>
      </c>
      <c r="G175" s="14">
        <f>CHOOSE(CONTROL!$C$42, 8.2406, 8.2406)*CHOOSE(CONTROL!$C$21, $C$9, 100%, $E$9)</f>
        <v>8.2406000000000006</v>
      </c>
      <c r="H175" s="14">
        <f>CHOOSE(CONTROL!$C$42, 8.4653, 8.4653) * CHOOSE(CONTROL!$C$21, $C$9, 100%, $E$9)</f>
        <v>8.4652999999999992</v>
      </c>
      <c r="I175" s="14">
        <f>CHOOSE(CONTROL!$C$42, 8.2514, 8.2514)* CHOOSE(CONTROL!$C$21, $C$9, 100%, $E$9)</f>
        <v>8.2514000000000003</v>
      </c>
      <c r="J175" s="14">
        <f>CHOOSE(CONTROL!$C$42, 8.2173, 8.2173)* CHOOSE(CONTROL!$C$21, $C$9, 100%, $E$9)</f>
        <v>8.2172999999999998</v>
      </c>
      <c r="K175" s="53">
        <f>CHOOSE(CONTROL!$C$42, 8.2475, 8.2475) * CHOOSE(CONTROL!$C$21, $C$9, 100%, $E$9)</f>
        <v>8.2475000000000005</v>
      </c>
      <c r="L175" s="14">
        <f>CHOOSE(CONTROL!$C$42, 9.0523, 9.0523) * CHOOSE(CONTROL!$C$21, $C$9, 100%, $E$9)</f>
        <v>9.0523000000000007</v>
      </c>
      <c r="M175" s="14">
        <f>CHOOSE(CONTROL!$C$42, 8.1482, 8.1482) * CHOOSE(CONTROL!$C$21, $C$9, 100%, $E$9)</f>
        <v>8.1481999999999992</v>
      </c>
      <c r="N175" s="14">
        <f>CHOOSE(CONTROL!$C$42, 8.1643, 8.1643) * CHOOSE(CONTROL!$C$21, $C$9, 100%, $E$9)</f>
        <v>8.1643000000000008</v>
      </c>
      <c r="O175" s="14">
        <f>CHOOSE(CONTROL!$C$42, 8.3937, 8.3937) * CHOOSE(CONTROL!$C$21, $C$9, 100%, $E$9)</f>
        <v>8.3937000000000008</v>
      </c>
      <c r="P175" s="14">
        <f>CHOOSE(CONTROL!$C$42, 8.182, 8.182) * CHOOSE(CONTROL!$C$21, $C$9, 100%, $E$9)</f>
        <v>8.1820000000000004</v>
      </c>
      <c r="Q175" s="14">
        <f>CHOOSE(CONTROL!$C$42, 8.989, 8.989) * CHOOSE(CONTROL!$C$21, $C$9, 100%, $E$9)</f>
        <v>8.9890000000000008</v>
      </c>
      <c r="R175" s="14">
        <f>CHOOSE(CONTROL!$C$42, 9.5985, 9.5985) * CHOOSE(CONTROL!$C$21, $C$9, 100%, $E$9)</f>
        <v>9.5984999999999996</v>
      </c>
      <c r="S175" s="14">
        <f>CHOOSE(CONTROL!$C$42, 7.9976, 7.9976) * CHOOSE(CONTROL!$C$21, $C$9, 100%, $E$9)</f>
        <v>7.9976000000000003</v>
      </c>
      <c r="T17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75" s="57">
        <f>(1000*CHOOSE(CONTROL!$C$42, 695, 695)*CHOOSE(CONTROL!$C$42, 0.5599, 0.5599)*CHOOSE(CONTROL!$C$42, 31, 31))/1000000</f>
        <v>12.063045499999998</v>
      </c>
      <c r="V175" s="57">
        <f>(1000*CHOOSE(CONTROL!$C$42, 500, 500)*CHOOSE(CONTROL!$C$42, 0.275, 0.275)*CHOOSE(CONTROL!$C$42, 31, 31))/1000000</f>
        <v>4.2625000000000002</v>
      </c>
      <c r="W175" s="57">
        <f>(1000*CHOOSE(CONTROL!$C$42, 0.1146, 0.1146)*CHOOSE(CONTROL!$C$42, 121.5, 121.5)*CHOOSE(CONTROL!$C$42, 31, 31))/1000000</f>
        <v>0.43164089999999994</v>
      </c>
      <c r="X175" s="57">
        <f>(31*0.1790888*245000/1000000)+(31*0.2374*100000/1000000)</f>
        <v>2.0961194359999999</v>
      </c>
      <c r="Y175" s="57"/>
      <c r="Z175" s="14"/>
      <c r="AA175" s="56"/>
      <c r="AB175" s="50">
        <f>(B175*194.205+C175*267.466+D175*133.845+E175*53.484+F175*40+G175*185+H175*0+I175*100+J175*300)/(194.205+267.466+133.845+53.484+0+40+185+100+300)</f>
        <v>8.268349716091052</v>
      </c>
      <c r="AC175" s="45">
        <f>(M175*'RAP TEMPLATE-GAS AVAILABILITY'!O174+N175*'RAP TEMPLATE-GAS AVAILABILITY'!P174+O175*'RAP TEMPLATE-GAS AVAILABILITY'!Q174+P175*'RAP TEMPLATE-GAS AVAILABILITY'!R174)/('RAP TEMPLATE-GAS AVAILABILITY'!O174+'RAP TEMPLATE-GAS AVAILABILITY'!P174+'RAP TEMPLATE-GAS AVAILABILITY'!Q174+'RAP TEMPLATE-GAS AVAILABILITY'!R174)</f>
        <v>8.2256510791366892</v>
      </c>
    </row>
    <row r="176" spans="1:29" ht="15.75" x14ac:dyDescent="0.25">
      <c r="A176" s="13">
        <v>46235</v>
      </c>
      <c r="B176" s="14">
        <f>CHOOSE(CONTROL!$C$42, 7.8333, 7.8333) * CHOOSE(CONTROL!$C$21, $C$9, 100%, $E$9)</f>
        <v>7.8333000000000004</v>
      </c>
      <c r="C176" s="14">
        <f>CHOOSE(CONTROL!$C$42, 7.8412, 7.8412) * CHOOSE(CONTROL!$C$21, $C$9, 100%, $E$9)</f>
        <v>7.8411999999999997</v>
      </c>
      <c r="D176" s="14">
        <f>CHOOSE(CONTROL!$C$42, 8.0388, 8.0388) * CHOOSE(CONTROL!$C$21, $C$9, 100%, $E$9)</f>
        <v>8.0388000000000002</v>
      </c>
      <c r="E176" s="14">
        <f>CHOOSE(CONTROL!$C$42, 8.0699, 8.0699) * CHOOSE(CONTROL!$C$21, $C$9, 100%, $E$9)</f>
        <v>8.0699000000000005</v>
      </c>
      <c r="F176" s="14">
        <f>CHOOSE(CONTROL!$C$42, 7.8177, 7.8177)*CHOOSE(CONTROL!$C$21, $C$9, 100%, $E$9)</f>
        <v>7.8177000000000003</v>
      </c>
      <c r="G176" s="14">
        <f>CHOOSE(CONTROL!$C$42, 7.8341, 7.8341)*CHOOSE(CONTROL!$C$21, $C$9, 100%, $E$9)</f>
        <v>7.8341000000000003</v>
      </c>
      <c r="H176" s="14">
        <f>CHOOSE(CONTROL!$C$42, 8.0586, 8.0586) * CHOOSE(CONTROL!$C$21, $C$9, 100%, $E$9)</f>
        <v>8.0586000000000002</v>
      </c>
      <c r="I176" s="14">
        <f>CHOOSE(CONTROL!$C$42, 7.8447, 7.8447)* CHOOSE(CONTROL!$C$21, $C$9, 100%, $E$9)</f>
        <v>7.8446999999999996</v>
      </c>
      <c r="J176" s="14">
        <f>CHOOSE(CONTROL!$C$42, 7.8107, 7.8107)* CHOOSE(CONTROL!$C$21, $C$9, 100%, $E$9)</f>
        <v>7.8106999999999998</v>
      </c>
      <c r="K176" s="53">
        <f>CHOOSE(CONTROL!$C$42, 7.8408, 7.8408) * CHOOSE(CONTROL!$C$21, $C$9, 100%, $E$9)</f>
        <v>7.8407999999999998</v>
      </c>
      <c r="L176" s="14">
        <f>CHOOSE(CONTROL!$C$42, 8.6456, 8.6456) * CHOOSE(CONTROL!$C$21, $C$9, 100%, $E$9)</f>
        <v>8.6456</v>
      </c>
      <c r="M176" s="14">
        <f>CHOOSE(CONTROL!$C$42, 7.7457, 7.7457) * CHOOSE(CONTROL!$C$21, $C$9, 100%, $E$9)</f>
        <v>7.7457000000000003</v>
      </c>
      <c r="N176" s="14">
        <f>CHOOSE(CONTROL!$C$42, 7.7619, 7.7619) * CHOOSE(CONTROL!$C$21, $C$9, 100%, $E$9)</f>
        <v>7.7618999999999998</v>
      </c>
      <c r="O176" s="14">
        <f>CHOOSE(CONTROL!$C$42, 7.9911, 7.9911) * CHOOSE(CONTROL!$C$21, $C$9, 100%, $E$9)</f>
        <v>7.9911000000000003</v>
      </c>
      <c r="P176" s="14">
        <f>CHOOSE(CONTROL!$C$42, 7.7794, 7.7794) * CHOOSE(CONTROL!$C$21, $C$9, 100%, $E$9)</f>
        <v>7.7793999999999999</v>
      </c>
      <c r="Q176" s="14">
        <f>CHOOSE(CONTROL!$C$42, 8.5864, 8.5864) * CHOOSE(CONTROL!$C$21, $C$9, 100%, $E$9)</f>
        <v>8.5863999999999994</v>
      </c>
      <c r="R176" s="14">
        <f>CHOOSE(CONTROL!$C$42, 9.1948, 9.1948) * CHOOSE(CONTROL!$C$21, $C$9, 100%, $E$9)</f>
        <v>9.1948000000000008</v>
      </c>
      <c r="S176" s="14">
        <f>CHOOSE(CONTROL!$C$42, 7.6027, 7.6027) * CHOOSE(CONTROL!$C$21, $C$9, 100%, $E$9)</f>
        <v>7.6026999999999996</v>
      </c>
      <c r="T17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76" s="57">
        <f>(1000*CHOOSE(CONTROL!$C$42, 695, 695)*CHOOSE(CONTROL!$C$42, 0.5599, 0.5599)*CHOOSE(CONTROL!$C$42, 31, 31))/1000000</f>
        <v>12.063045499999998</v>
      </c>
      <c r="V176" s="57">
        <f>(1000*CHOOSE(CONTROL!$C$42, 500, 500)*CHOOSE(CONTROL!$C$42, 0.275, 0.275)*CHOOSE(CONTROL!$C$42, 31, 31))/1000000</f>
        <v>4.2625000000000002</v>
      </c>
      <c r="W176" s="57">
        <f>(1000*CHOOSE(CONTROL!$C$42, 0.1146, 0.1146)*CHOOSE(CONTROL!$C$42, 121.5, 121.5)*CHOOSE(CONTROL!$C$42, 31, 31))/1000000</f>
        <v>0.43164089999999994</v>
      </c>
      <c r="X176" s="57">
        <f>(31*0.1790888*245000/1000000)+(31*0.2374*100000/1000000)</f>
        <v>2.0961194359999999</v>
      </c>
      <c r="Y176" s="57"/>
      <c r="Z176" s="14"/>
      <c r="AA176" s="56"/>
      <c r="AB176" s="50">
        <f>(B176*194.205+C176*267.466+D176*133.845+E176*53.484+F176*40+G176*185+H176*0+I176*100+J176*300)/(194.205+267.466+133.845+53.484+0+40+185+100+300)</f>
        <v>7.8616802537676609</v>
      </c>
      <c r="AC176" s="45">
        <f>(M176*'RAP TEMPLATE-GAS AVAILABILITY'!O175+N176*'RAP TEMPLATE-GAS AVAILABILITY'!P175+O176*'RAP TEMPLATE-GAS AVAILABILITY'!Q175+P176*'RAP TEMPLATE-GAS AVAILABILITY'!R175)/('RAP TEMPLATE-GAS AVAILABILITY'!O175+'RAP TEMPLATE-GAS AVAILABILITY'!P175+'RAP TEMPLATE-GAS AVAILABILITY'!Q175+'RAP TEMPLATE-GAS AVAILABILITY'!R175)</f>
        <v>7.823131654676259</v>
      </c>
    </row>
    <row r="177" spans="1:29" ht="15.75" x14ac:dyDescent="0.25">
      <c r="A177" s="13">
        <v>46266</v>
      </c>
      <c r="B177" s="14">
        <f>CHOOSE(CONTROL!$C$42, 7.3359, 7.3359) * CHOOSE(CONTROL!$C$21, $C$9, 100%, $E$9)</f>
        <v>7.3358999999999996</v>
      </c>
      <c r="C177" s="14">
        <f>CHOOSE(CONTROL!$C$42, 7.3439, 7.3439) * CHOOSE(CONTROL!$C$21, $C$9, 100%, $E$9)</f>
        <v>7.3438999999999997</v>
      </c>
      <c r="D177" s="14">
        <f>CHOOSE(CONTROL!$C$42, 7.5414, 7.5414) * CHOOSE(CONTROL!$C$21, $C$9, 100%, $E$9)</f>
        <v>7.5414000000000003</v>
      </c>
      <c r="E177" s="14">
        <f>CHOOSE(CONTROL!$C$42, 7.5726, 7.5726) * CHOOSE(CONTROL!$C$21, $C$9, 100%, $E$9)</f>
        <v>7.5726000000000004</v>
      </c>
      <c r="F177" s="14">
        <f>CHOOSE(CONTROL!$C$42, 7.3203, 7.3203)*CHOOSE(CONTROL!$C$21, $C$9, 100%, $E$9)</f>
        <v>7.3202999999999996</v>
      </c>
      <c r="G177" s="14">
        <f>CHOOSE(CONTROL!$C$42, 7.3366, 7.3366)*CHOOSE(CONTROL!$C$21, $C$9, 100%, $E$9)</f>
        <v>7.3365999999999998</v>
      </c>
      <c r="H177" s="14">
        <f>CHOOSE(CONTROL!$C$42, 7.5612, 7.5612) * CHOOSE(CONTROL!$C$21, $C$9, 100%, $E$9)</f>
        <v>7.5612000000000004</v>
      </c>
      <c r="I177" s="14">
        <f>CHOOSE(CONTROL!$C$42, 7.3473, 7.3473)* CHOOSE(CONTROL!$C$21, $C$9, 100%, $E$9)</f>
        <v>7.3472999999999997</v>
      </c>
      <c r="J177" s="14">
        <f>CHOOSE(CONTROL!$C$42, 7.3133, 7.3133)* CHOOSE(CONTROL!$C$21, $C$9, 100%, $E$9)</f>
        <v>7.3132999999999999</v>
      </c>
      <c r="K177" s="53">
        <f>CHOOSE(CONTROL!$C$42, 7.3434, 7.3434) * CHOOSE(CONTROL!$C$21, $C$9, 100%, $E$9)</f>
        <v>7.3433999999999999</v>
      </c>
      <c r="L177" s="14">
        <f>CHOOSE(CONTROL!$C$42, 8.1482, 8.1482) * CHOOSE(CONTROL!$C$21, $C$9, 100%, $E$9)</f>
        <v>8.1481999999999992</v>
      </c>
      <c r="M177" s="14">
        <f>CHOOSE(CONTROL!$C$42, 7.2533, 7.2533) * CHOOSE(CONTROL!$C$21, $C$9, 100%, $E$9)</f>
        <v>7.2533000000000003</v>
      </c>
      <c r="N177" s="14">
        <f>CHOOSE(CONTROL!$C$42, 7.2695, 7.2695) * CHOOSE(CONTROL!$C$21, $C$9, 100%, $E$9)</f>
        <v>7.2694999999999999</v>
      </c>
      <c r="O177" s="14">
        <f>CHOOSE(CONTROL!$C$42, 7.4987, 7.4987) * CHOOSE(CONTROL!$C$21, $C$9, 100%, $E$9)</f>
        <v>7.4987000000000004</v>
      </c>
      <c r="P177" s="14">
        <f>CHOOSE(CONTROL!$C$42, 7.287, 7.287) * CHOOSE(CONTROL!$C$21, $C$9, 100%, $E$9)</f>
        <v>7.2869999999999999</v>
      </c>
      <c r="Q177" s="14">
        <f>CHOOSE(CONTROL!$C$42, 8.094, 8.094) * CHOOSE(CONTROL!$C$21, $C$9, 100%, $E$9)</f>
        <v>8.0939999999999994</v>
      </c>
      <c r="R177" s="14">
        <f>CHOOSE(CONTROL!$C$42, 8.7013, 8.7013) * CHOOSE(CONTROL!$C$21, $C$9, 100%, $E$9)</f>
        <v>8.7012999999999998</v>
      </c>
      <c r="S177" s="14">
        <f>CHOOSE(CONTROL!$C$42, 7.1197, 7.1197) * CHOOSE(CONTROL!$C$21, $C$9, 100%, $E$9)</f>
        <v>7.1196999999999999</v>
      </c>
      <c r="T17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77" s="57">
        <f>(1000*CHOOSE(CONTROL!$C$42, 695, 695)*CHOOSE(CONTROL!$C$42, 0.5599, 0.5599)*CHOOSE(CONTROL!$C$42, 30, 30))/1000000</f>
        <v>11.673914999999997</v>
      </c>
      <c r="V177" s="57">
        <f>(1000*CHOOSE(CONTROL!$C$42, 500, 500)*CHOOSE(CONTROL!$C$42, 0.275, 0.275)*CHOOSE(CONTROL!$C$42, 30, 30))/1000000</f>
        <v>4.125</v>
      </c>
      <c r="W177" s="57">
        <f>(1000*CHOOSE(CONTROL!$C$42, 0.1146, 0.1146)*CHOOSE(CONTROL!$C$42, 121.5, 121.5)*CHOOSE(CONTROL!$C$42, 30, 30))/1000000</f>
        <v>0.417717</v>
      </c>
      <c r="X177" s="57">
        <f>(30*0.1790888*245000/1000000)+(30*0.2374*100000/1000000)</f>
        <v>2.0285026799999999</v>
      </c>
      <c r="Y177" s="57"/>
      <c r="Z177" s="14"/>
      <c r="AA177" s="56"/>
      <c r="AB177" s="50">
        <f>(B177*194.205+C177*267.466+D177*133.845+E177*53.484+F177*40+G177*185+H177*0+I177*100+J177*300)/(194.205+267.466+133.845+53.484+0+40+185+100+300)</f>
        <v>7.3642909248822601</v>
      </c>
      <c r="AC177" s="45">
        <f>(M177*'RAP TEMPLATE-GAS AVAILABILITY'!O176+N177*'RAP TEMPLATE-GAS AVAILABILITY'!P176+O177*'RAP TEMPLATE-GAS AVAILABILITY'!Q176+P177*'RAP TEMPLATE-GAS AVAILABILITY'!R176)/('RAP TEMPLATE-GAS AVAILABILITY'!O176+'RAP TEMPLATE-GAS AVAILABILITY'!P176+'RAP TEMPLATE-GAS AVAILABILITY'!Q176+'RAP TEMPLATE-GAS AVAILABILITY'!R176)</f>
        <v>7.3307316546762591</v>
      </c>
    </row>
    <row r="178" spans="1:29" ht="15.75" x14ac:dyDescent="0.25">
      <c r="A178" s="13">
        <v>46296</v>
      </c>
      <c r="B178" s="14">
        <f>CHOOSE(CONTROL!$C$42, 7.1853, 7.1853) * CHOOSE(CONTROL!$C$21, $C$9, 100%, $E$9)</f>
        <v>7.1852999999999998</v>
      </c>
      <c r="C178" s="14">
        <f>CHOOSE(CONTROL!$C$42, 7.1905, 7.1905) * CHOOSE(CONTROL!$C$21, $C$9, 100%, $E$9)</f>
        <v>7.1905000000000001</v>
      </c>
      <c r="D178" s="14">
        <f>CHOOSE(CONTROL!$C$42, 7.3931, 7.3931) * CHOOSE(CONTROL!$C$21, $C$9, 100%, $E$9)</f>
        <v>7.3930999999999996</v>
      </c>
      <c r="E178" s="14">
        <f>CHOOSE(CONTROL!$C$42, 7.4219, 7.4219) * CHOOSE(CONTROL!$C$21, $C$9, 100%, $E$9)</f>
        <v>7.4218999999999999</v>
      </c>
      <c r="F178" s="14">
        <f>CHOOSE(CONTROL!$C$42, 7.1717, 7.1717)*CHOOSE(CONTROL!$C$21, $C$9, 100%, $E$9)</f>
        <v>7.1717000000000004</v>
      </c>
      <c r="G178" s="14">
        <f>CHOOSE(CONTROL!$C$42, 7.1877, 7.1877)*CHOOSE(CONTROL!$C$21, $C$9, 100%, $E$9)</f>
        <v>7.1877000000000004</v>
      </c>
      <c r="H178" s="14">
        <f>CHOOSE(CONTROL!$C$42, 7.4124, 7.4124) * CHOOSE(CONTROL!$C$21, $C$9, 100%, $E$9)</f>
        <v>7.4123999999999999</v>
      </c>
      <c r="I178" s="14">
        <f>CHOOSE(CONTROL!$C$42, 7.1985, 7.1985)* CHOOSE(CONTROL!$C$21, $C$9, 100%, $E$9)</f>
        <v>7.1985000000000001</v>
      </c>
      <c r="J178" s="14">
        <f>CHOOSE(CONTROL!$C$42, 7.1647, 7.1647)* CHOOSE(CONTROL!$C$21, $C$9, 100%, $E$9)</f>
        <v>7.1646999999999998</v>
      </c>
      <c r="K178" s="53">
        <f>CHOOSE(CONTROL!$C$42, 7.1946, 7.1946) * CHOOSE(CONTROL!$C$21, $C$9, 100%, $E$9)</f>
        <v>7.1946000000000003</v>
      </c>
      <c r="L178" s="14">
        <f>CHOOSE(CONTROL!$C$42, 7.9994, 7.9994) * CHOOSE(CONTROL!$C$21, $C$9, 100%, $E$9)</f>
        <v>7.9993999999999996</v>
      </c>
      <c r="M178" s="14">
        <f>CHOOSE(CONTROL!$C$42, 7.1062, 7.1062) * CHOOSE(CONTROL!$C$21, $C$9, 100%, $E$9)</f>
        <v>7.1062000000000003</v>
      </c>
      <c r="N178" s="14">
        <f>CHOOSE(CONTROL!$C$42, 7.1221, 7.1221) * CHOOSE(CONTROL!$C$21, $C$9, 100%, $E$9)</f>
        <v>7.1220999999999997</v>
      </c>
      <c r="O178" s="14">
        <f>CHOOSE(CONTROL!$C$42, 7.3514, 7.3514) * CHOOSE(CONTROL!$C$21, $C$9, 100%, $E$9)</f>
        <v>7.3513999999999999</v>
      </c>
      <c r="P178" s="14">
        <f>CHOOSE(CONTROL!$C$42, 7.1397, 7.1397) * CHOOSE(CONTROL!$C$21, $C$9, 100%, $E$9)</f>
        <v>7.1397000000000004</v>
      </c>
      <c r="Q178" s="14">
        <f>CHOOSE(CONTROL!$C$42, 7.9467, 7.9467) * CHOOSE(CONTROL!$C$21, $C$9, 100%, $E$9)</f>
        <v>7.9466999999999999</v>
      </c>
      <c r="R178" s="14">
        <f>CHOOSE(CONTROL!$C$42, 8.5536, 8.5536) * CHOOSE(CONTROL!$C$21, $C$9, 100%, $E$9)</f>
        <v>8.5535999999999994</v>
      </c>
      <c r="S178" s="14">
        <f>CHOOSE(CONTROL!$C$42, 6.9751, 6.9751) * CHOOSE(CONTROL!$C$21, $C$9, 100%, $E$9)</f>
        <v>6.9751000000000003</v>
      </c>
      <c r="T17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78" s="57">
        <f>(1000*CHOOSE(CONTROL!$C$42, 695, 695)*CHOOSE(CONTROL!$C$42, 0.5599, 0.5599)*CHOOSE(CONTROL!$C$42, 31, 31))/1000000</f>
        <v>12.063045499999998</v>
      </c>
      <c r="V178" s="57">
        <f>(1000*CHOOSE(CONTROL!$C$42, 500, 500)*CHOOSE(CONTROL!$C$42, 0.275, 0.275)*CHOOSE(CONTROL!$C$42, 31, 31))/1000000</f>
        <v>4.2625000000000002</v>
      </c>
      <c r="W178" s="57">
        <f>(1000*CHOOSE(CONTROL!$C$42, 0.1146, 0.1146)*CHOOSE(CONTROL!$C$42, 121.5, 121.5)*CHOOSE(CONTROL!$C$42, 31, 31))/1000000</f>
        <v>0.43164089999999994</v>
      </c>
      <c r="X178" s="57">
        <f>(31*0.1790888*245000/1000000)+(31*0.2374*100000/1000000)</f>
        <v>2.0961194359999999</v>
      </c>
      <c r="Y178" s="57"/>
      <c r="Z178" s="14"/>
      <c r="AA178" s="56"/>
      <c r="AB178" s="50">
        <f>(B178*131.881+C178*277.167+D178*79.08+E178*125.872+F178*40+G178*185+H178*0+I178*100+J178*300)/(131.881+277.167+79.08+125.872+0+40+185+100+300)</f>
        <v>7.2197595702986277</v>
      </c>
      <c r="AC178" s="45">
        <f>(M178*'RAP TEMPLATE-GAS AVAILABILITY'!O177+N178*'RAP TEMPLATE-GAS AVAILABILITY'!P177+O178*'RAP TEMPLATE-GAS AVAILABILITY'!Q177+P178*'RAP TEMPLATE-GAS AVAILABILITY'!R177)/('RAP TEMPLATE-GAS AVAILABILITY'!O177+'RAP TEMPLATE-GAS AVAILABILITY'!P177+'RAP TEMPLATE-GAS AVAILABILITY'!Q177+'RAP TEMPLATE-GAS AVAILABILITY'!R177)</f>
        <v>7.1834776978417274</v>
      </c>
    </row>
    <row r="179" spans="1:29" ht="15.75" x14ac:dyDescent="0.25">
      <c r="A179" s="13">
        <v>46327</v>
      </c>
      <c r="B179" s="14">
        <f>CHOOSE(CONTROL!$C$42, 7.3741, 7.3741) * CHOOSE(CONTROL!$C$21, $C$9, 100%, $E$9)</f>
        <v>7.3741000000000003</v>
      </c>
      <c r="C179" s="14">
        <f>CHOOSE(CONTROL!$C$42, 7.3791, 7.3791) * CHOOSE(CONTROL!$C$21, $C$9, 100%, $E$9)</f>
        <v>7.3791000000000002</v>
      </c>
      <c r="D179" s="14">
        <f>CHOOSE(CONTROL!$C$42, 7.4421, 7.4421) * CHOOSE(CONTROL!$C$21, $C$9, 100%, $E$9)</f>
        <v>7.4420999999999999</v>
      </c>
      <c r="E179" s="14">
        <f>CHOOSE(CONTROL!$C$42, 7.4759, 7.4759) * CHOOSE(CONTROL!$C$21, $C$9, 100%, $E$9)</f>
        <v>7.4759000000000002</v>
      </c>
      <c r="F179" s="14">
        <f>CHOOSE(CONTROL!$C$42, 7.3748, 7.3748)*CHOOSE(CONTROL!$C$21, $C$9, 100%, $E$9)</f>
        <v>7.3747999999999996</v>
      </c>
      <c r="G179" s="14">
        <f>CHOOSE(CONTROL!$C$42, 7.3911, 7.3911)*CHOOSE(CONTROL!$C$21, $C$9, 100%, $E$9)</f>
        <v>7.3910999999999998</v>
      </c>
      <c r="H179" s="14">
        <f>CHOOSE(CONTROL!$C$42, 7.4651, 7.4651) * CHOOSE(CONTROL!$C$21, $C$9, 100%, $E$9)</f>
        <v>7.4650999999999996</v>
      </c>
      <c r="I179" s="14">
        <f>CHOOSE(CONTROL!$C$42, 7.3877, 7.3877)* CHOOSE(CONTROL!$C$21, $C$9, 100%, $E$9)</f>
        <v>7.3876999999999997</v>
      </c>
      <c r="J179" s="14">
        <f>CHOOSE(CONTROL!$C$42, 7.3678, 7.3678)* CHOOSE(CONTROL!$C$21, $C$9, 100%, $E$9)</f>
        <v>7.3677999999999999</v>
      </c>
      <c r="K179" s="53">
        <f>CHOOSE(CONTROL!$C$42, 7.3838, 7.3838) * CHOOSE(CONTROL!$C$21, $C$9, 100%, $E$9)</f>
        <v>7.3837999999999999</v>
      </c>
      <c r="L179" s="14">
        <f>CHOOSE(CONTROL!$C$42, 8.0521, 8.0521) * CHOOSE(CONTROL!$C$21, $C$9, 100%, $E$9)</f>
        <v>8.0520999999999994</v>
      </c>
      <c r="M179" s="14">
        <f>CHOOSE(CONTROL!$C$42, 7.3073, 7.3073) * CHOOSE(CONTROL!$C$21, $C$9, 100%, $E$9)</f>
        <v>7.3072999999999997</v>
      </c>
      <c r="N179" s="14">
        <f>CHOOSE(CONTROL!$C$42, 7.3234, 7.3234) * CHOOSE(CONTROL!$C$21, $C$9, 100%, $E$9)</f>
        <v>7.3234000000000004</v>
      </c>
      <c r="O179" s="14">
        <f>CHOOSE(CONTROL!$C$42, 7.4036, 7.4036) * CHOOSE(CONTROL!$C$21, $C$9, 100%, $E$9)</f>
        <v>7.4036</v>
      </c>
      <c r="P179" s="14">
        <f>CHOOSE(CONTROL!$C$42, 7.327, 7.327) * CHOOSE(CONTROL!$C$21, $C$9, 100%, $E$9)</f>
        <v>7.327</v>
      </c>
      <c r="Q179" s="14">
        <f>CHOOSE(CONTROL!$C$42, 7.9989, 7.9989) * CHOOSE(CONTROL!$C$21, $C$9, 100%, $E$9)</f>
        <v>7.9988999999999999</v>
      </c>
      <c r="R179" s="14">
        <f>CHOOSE(CONTROL!$C$42, 8.6059, 8.6059) * CHOOSE(CONTROL!$C$21, $C$9, 100%, $E$9)</f>
        <v>8.6059000000000001</v>
      </c>
      <c r="S179" s="14">
        <f>CHOOSE(CONTROL!$C$42, 7.1589, 7.1589) * CHOOSE(CONTROL!$C$21, $C$9, 100%, $E$9)</f>
        <v>7.1589</v>
      </c>
      <c r="T17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79" s="57">
        <f>(1000*CHOOSE(CONTROL!$C$42, 695, 695)*CHOOSE(CONTROL!$C$42, 0.5599, 0.5599)*CHOOSE(CONTROL!$C$42, 30, 30))/1000000</f>
        <v>11.673914999999997</v>
      </c>
      <c r="V179" s="57">
        <f>(1000*CHOOSE(CONTROL!$C$42, 500, 500)*CHOOSE(CONTROL!$C$42, 0.275, 0.275)*CHOOSE(CONTROL!$C$42, 30, 30))/1000000</f>
        <v>4.125</v>
      </c>
      <c r="W179" s="57">
        <f>(1000*CHOOSE(CONTROL!$C$42, 0.1146, 0.1146)*CHOOSE(CONTROL!$C$42, 121.5, 121.5)*CHOOSE(CONTROL!$C$42, 30, 30))/1000000</f>
        <v>0.417717</v>
      </c>
      <c r="X179" s="57">
        <f>(30*0.1790888*100000/1000000)+(30*0.2374*100000/1000000)</f>
        <v>1.2494664</v>
      </c>
      <c r="Y179" s="57"/>
      <c r="Z179" s="14"/>
      <c r="AA179" s="56"/>
      <c r="AB179" s="50">
        <f>(B179*122.58+C179*297.941+D179*89.177+E179*40.302+F179*40+G179*160+H179*0+I179*100+J179*300)/(122.58+297.941+89.177+40.302+0+40+160+100+300)</f>
        <v>7.386164769217392</v>
      </c>
      <c r="AC179" s="45">
        <f>(M179*'RAP TEMPLATE-GAS AVAILABILITY'!O178+N179*'RAP TEMPLATE-GAS AVAILABILITY'!P178+O179*'RAP TEMPLATE-GAS AVAILABILITY'!Q178+P179*'RAP TEMPLATE-GAS AVAILABILITY'!R178)/('RAP TEMPLATE-GAS AVAILABILITY'!O178+'RAP TEMPLATE-GAS AVAILABILITY'!P178+'RAP TEMPLATE-GAS AVAILABILITY'!Q178+'RAP TEMPLATE-GAS AVAILABILITY'!R178)</f>
        <v>7.3547079136690643</v>
      </c>
    </row>
    <row r="180" spans="1:29" ht="15.75" x14ac:dyDescent="0.25">
      <c r="A180" s="13">
        <v>46357</v>
      </c>
      <c r="B180" s="14">
        <f>CHOOSE(CONTROL!$C$42, 7.8767, 7.8767) * CHOOSE(CONTROL!$C$21, $C$9, 100%, $E$9)</f>
        <v>7.8766999999999996</v>
      </c>
      <c r="C180" s="14">
        <f>CHOOSE(CONTROL!$C$42, 7.8816, 7.8816) * CHOOSE(CONTROL!$C$21, $C$9, 100%, $E$9)</f>
        <v>7.8815999999999997</v>
      </c>
      <c r="D180" s="14">
        <f>CHOOSE(CONTROL!$C$42, 7.9447, 7.9447) * CHOOSE(CONTROL!$C$21, $C$9, 100%, $E$9)</f>
        <v>7.9447000000000001</v>
      </c>
      <c r="E180" s="14">
        <f>CHOOSE(CONTROL!$C$42, 7.9785, 7.9785) * CHOOSE(CONTROL!$C$21, $C$9, 100%, $E$9)</f>
        <v>7.9785000000000004</v>
      </c>
      <c r="F180" s="14">
        <f>CHOOSE(CONTROL!$C$42, 7.8794, 7.8794)*CHOOSE(CONTROL!$C$21, $C$9, 100%, $E$9)</f>
        <v>7.8794000000000004</v>
      </c>
      <c r="G180" s="14">
        <f>CHOOSE(CONTROL!$C$42, 7.8962, 7.8962)*CHOOSE(CONTROL!$C$21, $C$9, 100%, $E$9)</f>
        <v>7.8962000000000003</v>
      </c>
      <c r="H180" s="14">
        <f>CHOOSE(CONTROL!$C$42, 7.9677, 7.9677) * CHOOSE(CONTROL!$C$21, $C$9, 100%, $E$9)</f>
        <v>7.9676999999999998</v>
      </c>
      <c r="I180" s="14">
        <f>CHOOSE(CONTROL!$C$42, 7.8902, 7.8902)* CHOOSE(CONTROL!$C$21, $C$9, 100%, $E$9)</f>
        <v>7.8902000000000001</v>
      </c>
      <c r="J180" s="14">
        <f>CHOOSE(CONTROL!$C$42, 7.8724, 7.8724)* CHOOSE(CONTROL!$C$21, $C$9, 100%, $E$9)</f>
        <v>7.8723999999999998</v>
      </c>
      <c r="K180" s="53">
        <f>CHOOSE(CONTROL!$C$42, 7.8863, 7.8863) * CHOOSE(CONTROL!$C$21, $C$9, 100%, $E$9)</f>
        <v>7.8863000000000003</v>
      </c>
      <c r="L180" s="14">
        <f>CHOOSE(CONTROL!$C$42, 8.5547, 8.5547) * CHOOSE(CONTROL!$C$21, $C$9, 100%, $E$9)</f>
        <v>8.5547000000000004</v>
      </c>
      <c r="M180" s="14">
        <f>CHOOSE(CONTROL!$C$42, 7.8068, 7.8068) * CHOOSE(CONTROL!$C$21, $C$9, 100%, $E$9)</f>
        <v>7.8068</v>
      </c>
      <c r="N180" s="14">
        <f>CHOOSE(CONTROL!$C$42, 7.8235, 7.8235) * CHOOSE(CONTROL!$C$21, $C$9, 100%, $E$9)</f>
        <v>7.8235000000000001</v>
      </c>
      <c r="O180" s="14">
        <f>CHOOSE(CONTROL!$C$42, 7.9011, 7.9011) * CHOOSE(CONTROL!$C$21, $C$9, 100%, $E$9)</f>
        <v>7.9010999999999996</v>
      </c>
      <c r="P180" s="14">
        <f>CHOOSE(CONTROL!$C$42, 7.8245, 7.8245) * CHOOSE(CONTROL!$C$21, $C$9, 100%, $E$9)</f>
        <v>7.8244999999999996</v>
      </c>
      <c r="Q180" s="14">
        <f>CHOOSE(CONTROL!$C$42, 8.4964, 8.4964) * CHOOSE(CONTROL!$C$21, $C$9, 100%, $E$9)</f>
        <v>8.4963999999999995</v>
      </c>
      <c r="R180" s="14">
        <f>CHOOSE(CONTROL!$C$42, 9.1046, 9.1046) * CHOOSE(CONTROL!$C$21, $C$9, 100%, $E$9)</f>
        <v>9.1045999999999996</v>
      </c>
      <c r="S180" s="14">
        <f>CHOOSE(CONTROL!$C$42, 7.6469, 7.6469) * CHOOSE(CONTROL!$C$21, $C$9, 100%, $E$9)</f>
        <v>7.6468999999999996</v>
      </c>
      <c r="T18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80" s="57">
        <f>(1000*CHOOSE(CONTROL!$C$42, 695, 695)*CHOOSE(CONTROL!$C$42, 0.5599, 0.5599)*CHOOSE(CONTROL!$C$42, 31, 31))/1000000</f>
        <v>12.063045499999998</v>
      </c>
      <c r="V180" s="57">
        <f>(1000*CHOOSE(CONTROL!$C$42, 500, 500)*CHOOSE(CONTROL!$C$42, 0.275, 0.275)*CHOOSE(CONTROL!$C$42, 31, 31))/1000000</f>
        <v>4.2625000000000002</v>
      </c>
      <c r="W180" s="57">
        <f>(1000*CHOOSE(CONTROL!$C$42, 0.1146, 0.1146)*CHOOSE(CONTROL!$C$42, 121.5, 121.5)*CHOOSE(CONTROL!$C$42, 31, 31))/1000000</f>
        <v>0.43164089999999994</v>
      </c>
      <c r="X180" s="57">
        <f>(31*0.1790888*100000/1000000)+(31*0.2374*100000/1000000)</f>
        <v>1.2911152800000001</v>
      </c>
      <c r="Y180" s="57"/>
      <c r="Z180" s="14"/>
      <c r="AA180" s="56"/>
      <c r="AB180" s="50">
        <f>(B180*122.58+C180*297.941+D180*89.177+E180*40.302+F180*40+G180*160+H180*0+I180*100+J180*300)/(122.58+297.941+89.177+40.302+0+40+160+100+300)</f>
        <v>7.8896692960869563</v>
      </c>
      <c r="AC180" s="45">
        <f>(M180*'RAP TEMPLATE-GAS AVAILABILITY'!O179+N180*'RAP TEMPLATE-GAS AVAILABILITY'!P179+O180*'RAP TEMPLATE-GAS AVAILABILITY'!Q179+P180*'RAP TEMPLATE-GAS AVAILABILITY'!R179)/('RAP TEMPLATE-GAS AVAILABILITY'!O179+'RAP TEMPLATE-GAS AVAILABILITY'!P179+'RAP TEMPLATE-GAS AVAILABILITY'!Q179+'RAP TEMPLATE-GAS AVAILABILITY'!R179)</f>
        <v>7.8530482014388481</v>
      </c>
    </row>
    <row r="181" spans="1:29" ht="15.75" x14ac:dyDescent="0.25">
      <c r="A181" s="13">
        <v>46388</v>
      </c>
      <c r="B181" s="14">
        <f>CHOOSE(CONTROL!$C$42, 8.5307, 8.5307) * CHOOSE(CONTROL!$C$21, $C$9, 100%, $E$9)</f>
        <v>8.5306999999999995</v>
      </c>
      <c r="C181" s="14">
        <f>CHOOSE(CONTROL!$C$42, 8.5356, 8.5356) * CHOOSE(CONTROL!$C$21, $C$9, 100%, $E$9)</f>
        <v>8.5356000000000005</v>
      </c>
      <c r="D181" s="14">
        <f>CHOOSE(CONTROL!$C$42, 8.5999, 8.5999) * CHOOSE(CONTROL!$C$21, $C$9, 100%, $E$9)</f>
        <v>8.5998999999999999</v>
      </c>
      <c r="E181" s="14">
        <f>CHOOSE(CONTROL!$C$42, 8.6337, 8.6337) * CHOOSE(CONTROL!$C$21, $C$9, 100%, $E$9)</f>
        <v>8.6336999999999993</v>
      </c>
      <c r="F181" s="14">
        <f>CHOOSE(CONTROL!$C$42, 8.5322, 8.5322)*CHOOSE(CONTROL!$C$21, $C$9, 100%, $E$9)</f>
        <v>8.5321999999999996</v>
      </c>
      <c r="G181" s="14">
        <f>CHOOSE(CONTROL!$C$42, 8.5481, 8.5481)*CHOOSE(CONTROL!$C$21, $C$9, 100%, $E$9)</f>
        <v>8.5480999999999998</v>
      </c>
      <c r="H181" s="14">
        <f>CHOOSE(CONTROL!$C$42, 8.6229, 8.6229) * CHOOSE(CONTROL!$C$21, $C$9, 100%, $E$9)</f>
        <v>8.6228999999999996</v>
      </c>
      <c r="I181" s="14">
        <f>CHOOSE(CONTROL!$C$42, 8.5507, 8.5507)* CHOOSE(CONTROL!$C$21, $C$9, 100%, $E$9)</f>
        <v>8.5507000000000009</v>
      </c>
      <c r="J181" s="14">
        <f>CHOOSE(CONTROL!$C$42, 8.5252, 8.5252)* CHOOSE(CONTROL!$C$21, $C$9, 100%, $E$9)</f>
        <v>8.5251999999999999</v>
      </c>
      <c r="K181" s="53">
        <f>CHOOSE(CONTROL!$C$42, 8.5468, 8.5468) * CHOOSE(CONTROL!$C$21, $C$9, 100%, $E$9)</f>
        <v>8.5467999999999993</v>
      </c>
      <c r="L181" s="14">
        <f>CHOOSE(CONTROL!$C$42, 9.2099, 9.2099) * CHOOSE(CONTROL!$C$21, $C$9, 100%, $E$9)</f>
        <v>9.2098999999999993</v>
      </c>
      <c r="M181" s="14">
        <f>CHOOSE(CONTROL!$C$42, 8.453, 8.453) * CHOOSE(CONTROL!$C$21, $C$9, 100%, $E$9)</f>
        <v>8.4529999999999994</v>
      </c>
      <c r="N181" s="14">
        <f>CHOOSE(CONTROL!$C$42, 8.4687, 8.4687) * CHOOSE(CONTROL!$C$21, $C$9, 100%, $E$9)</f>
        <v>8.4687000000000001</v>
      </c>
      <c r="O181" s="14">
        <f>CHOOSE(CONTROL!$C$42, 8.5497, 8.5497) * CHOOSE(CONTROL!$C$21, $C$9, 100%, $E$9)</f>
        <v>8.5496999999999996</v>
      </c>
      <c r="P181" s="14">
        <f>CHOOSE(CONTROL!$C$42, 8.4782, 8.4782) * CHOOSE(CONTROL!$C$21, $C$9, 100%, $E$9)</f>
        <v>8.4781999999999993</v>
      </c>
      <c r="Q181" s="14">
        <f>CHOOSE(CONTROL!$C$42, 9.145, 9.145) * CHOOSE(CONTROL!$C$21, $C$9, 100%, $E$9)</f>
        <v>9.1449999999999996</v>
      </c>
      <c r="R181" s="14">
        <f>CHOOSE(CONTROL!$C$42, 9.7549, 9.7549) * CHOOSE(CONTROL!$C$21, $C$9, 100%, $E$9)</f>
        <v>9.7548999999999992</v>
      </c>
      <c r="S181" s="14">
        <f>CHOOSE(CONTROL!$C$42, 8.282, 8.282) * CHOOSE(CONTROL!$C$21, $C$9, 100%, $E$9)</f>
        <v>8.282</v>
      </c>
      <c r="T18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81" s="57">
        <f>(1000*CHOOSE(CONTROL!$C$42, 695, 695)*CHOOSE(CONTROL!$C$42, 0.5599, 0.5599)*CHOOSE(CONTROL!$C$42, 31, 31))/1000000</f>
        <v>12.063045499999998</v>
      </c>
      <c r="V181" s="57">
        <f>(1000*CHOOSE(CONTROL!$C$42, 500, 500)*CHOOSE(CONTROL!$C$42, 0.275, 0.275)*CHOOSE(CONTROL!$C$42, 31, 31))/1000000</f>
        <v>4.2625000000000002</v>
      </c>
      <c r="W181" s="57">
        <f>(1000*CHOOSE(CONTROL!$C$42, 0.1146, 0.1146)*CHOOSE(CONTROL!$C$42, 121.5, 121.5)*CHOOSE(CONTROL!$C$42, 31, 31))/1000000</f>
        <v>0.43164089999999994</v>
      </c>
      <c r="X181" s="57">
        <f>(31*0.1790888*100000/1000000)+(31*0.2374*100000/1000000)</f>
        <v>1.2911152800000001</v>
      </c>
      <c r="Y181" s="57"/>
      <c r="Z181" s="14"/>
      <c r="AA181" s="56"/>
      <c r="AB181" s="50">
        <f>(B181*122.58+C181*297.941+D181*89.177+E181*40.302+F181*40+G181*160+H181*0+I181*100+J181*300)/(122.58+297.941+89.177+40.302+0+40+160+100+300)</f>
        <v>8.5437226654782599</v>
      </c>
      <c r="AC181" s="45">
        <f>(M181*'RAP TEMPLATE-GAS AVAILABILITY'!O180+N181*'RAP TEMPLATE-GAS AVAILABILITY'!P180+O181*'RAP TEMPLATE-GAS AVAILABILITY'!Q180+P181*'RAP TEMPLATE-GAS AVAILABILITY'!R180)/('RAP TEMPLATE-GAS AVAILABILITY'!O180+'RAP TEMPLATE-GAS AVAILABILITY'!P180+'RAP TEMPLATE-GAS AVAILABILITY'!Q180+'RAP TEMPLATE-GAS AVAILABILITY'!R180)</f>
        <v>8.5013575539568329</v>
      </c>
    </row>
    <row r="182" spans="1:29" ht="15.75" x14ac:dyDescent="0.25">
      <c r="A182" s="13">
        <v>46419</v>
      </c>
      <c r="B182" s="14">
        <f>CHOOSE(CONTROL!$C$42, 8.6825, 8.6825) * CHOOSE(CONTROL!$C$21, $C$9, 100%, $E$9)</f>
        <v>8.6824999999999992</v>
      </c>
      <c r="C182" s="14">
        <f>CHOOSE(CONTROL!$C$42, 8.6874, 8.6874) * CHOOSE(CONTROL!$C$21, $C$9, 100%, $E$9)</f>
        <v>8.6874000000000002</v>
      </c>
      <c r="D182" s="14">
        <f>CHOOSE(CONTROL!$C$42, 8.7517, 8.7517) * CHOOSE(CONTROL!$C$21, $C$9, 100%, $E$9)</f>
        <v>8.7516999999999996</v>
      </c>
      <c r="E182" s="14">
        <f>CHOOSE(CONTROL!$C$42, 8.7855, 8.7855) * CHOOSE(CONTROL!$C$21, $C$9, 100%, $E$9)</f>
        <v>8.7855000000000008</v>
      </c>
      <c r="F182" s="14">
        <f>CHOOSE(CONTROL!$C$42, 8.6841, 8.6841)*CHOOSE(CONTROL!$C$21, $C$9, 100%, $E$9)</f>
        <v>8.6841000000000008</v>
      </c>
      <c r="G182" s="14">
        <f>CHOOSE(CONTROL!$C$42, 8.7, 8.7)*CHOOSE(CONTROL!$C$21, $C$9, 100%, $E$9)</f>
        <v>8.6999999999999993</v>
      </c>
      <c r="H182" s="14">
        <f>CHOOSE(CONTROL!$C$42, 8.7747, 8.7747) * CHOOSE(CONTROL!$C$21, $C$9, 100%, $E$9)</f>
        <v>8.7746999999999993</v>
      </c>
      <c r="I182" s="14">
        <f>CHOOSE(CONTROL!$C$42, 8.7025, 8.7025)* CHOOSE(CONTROL!$C$21, $C$9, 100%, $E$9)</f>
        <v>8.7025000000000006</v>
      </c>
      <c r="J182" s="14">
        <f>CHOOSE(CONTROL!$C$42, 8.6771, 8.6771)* CHOOSE(CONTROL!$C$21, $C$9, 100%, $E$9)</f>
        <v>8.6770999999999994</v>
      </c>
      <c r="K182" s="53">
        <f>CHOOSE(CONTROL!$C$42, 8.6986, 8.6986) * CHOOSE(CONTROL!$C$21, $C$9, 100%, $E$9)</f>
        <v>8.6986000000000008</v>
      </c>
      <c r="L182" s="14">
        <f>CHOOSE(CONTROL!$C$42, 9.3617, 9.3617) * CHOOSE(CONTROL!$C$21, $C$9, 100%, $E$9)</f>
        <v>9.3617000000000008</v>
      </c>
      <c r="M182" s="14">
        <f>CHOOSE(CONTROL!$C$42, 8.6033, 8.6033) * CHOOSE(CONTROL!$C$21, $C$9, 100%, $E$9)</f>
        <v>8.6033000000000008</v>
      </c>
      <c r="N182" s="14">
        <f>CHOOSE(CONTROL!$C$42, 8.6191, 8.6191) * CHOOSE(CONTROL!$C$21, $C$9, 100%, $E$9)</f>
        <v>8.6190999999999995</v>
      </c>
      <c r="O182" s="14">
        <f>CHOOSE(CONTROL!$C$42, 8.7, 8.7) * CHOOSE(CONTROL!$C$21, $C$9, 100%, $E$9)</f>
        <v>8.6999999999999993</v>
      </c>
      <c r="P182" s="14">
        <f>CHOOSE(CONTROL!$C$42, 8.6285, 8.6285) * CHOOSE(CONTROL!$C$21, $C$9, 100%, $E$9)</f>
        <v>8.6285000000000007</v>
      </c>
      <c r="Q182" s="14">
        <f>CHOOSE(CONTROL!$C$42, 9.2953, 9.2953) * CHOOSE(CONTROL!$C$21, $C$9, 100%, $E$9)</f>
        <v>9.2952999999999992</v>
      </c>
      <c r="R182" s="14">
        <f>CHOOSE(CONTROL!$C$42, 9.9055, 9.9055) * CHOOSE(CONTROL!$C$21, $C$9, 100%, $E$9)</f>
        <v>9.9055</v>
      </c>
      <c r="S182" s="14">
        <f>CHOOSE(CONTROL!$C$42, 8.4294, 8.4294) * CHOOSE(CONTROL!$C$21, $C$9, 100%, $E$9)</f>
        <v>8.4293999999999993</v>
      </c>
      <c r="T18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82" s="57">
        <f>(1000*CHOOSE(CONTROL!$C$42, 695, 695)*CHOOSE(CONTROL!$C$42, 0.5599, 0.5599)*CHOOSE(CONTROL!$C$42, 28, 28))/1000000</f>
        <v>10.895653999999999</v>
      </c>
      <c r="V182" s="57">
        <f>(1000*CHOOSE(CONTROL!$C$42, 500, 500)*CHOOSE(CONTROL!$C$42, 0.275, 0.275)*CHOOSE(CONTROL!$C$42, 28, 28))/1000000</f>
        <v>3.85</v>
      </c>
      <c r="W182" s="57">
        <f>(1000*CHOOSE(CONTROL!$C$42, 0.1146, 0.1146)*CHOOSE(CONTROL!$C$42, 121.5, 121.5)*CHOOSE(CONTROL!$C$42, 28, 28))/1000000</f>
        <v>0.38986920000000003</v>
      </c>
      <c r="X182" s="57">
        <f>(28*0.1790888*100000/1000000)+(28*0.2374*100000/1000000)</f>
        <v>1.16616864</v>
      </c>
      <c r="Y182" s="57"/>
      <c r="Z182" s="14"/>
      <c r="AA182" s="56"/>
      <c r="AB182" s="50">
        <f>(B182*122.58+C182*297.941+D182*89.177+E182*40.302+F182*40+G182*160+H182*0+I182*100+J182*300)/(122.58+297.941+89.177+40.302+0+40+160+100+300)</f>
        <v>8.6955661437391285</v>
      </c>
      <c r="AC182" s="45">
        <f>(M182*'RAP TEMPLATE-GAS AVAILABILITY'!O181+N182*'RAP TEMPLATE-GAS AVAILABILITY'!P181+O182*'RAP TEMPLATE-GAS AVAILABILITY'!Q181+P182*'RAP TEMPLATE-GAS AVAILABILITY'!R181)/('RAP TEMPLATE-GAS AVAILABILITY'!O181+'RAP TEMPLATE-GAS AVAILABILITY'!P181+'RAP TEMPLATE-GAS AVAILABILITY'!Q181+'RAP TEMPLATE-GAS AVAILABILITY'!R181)</f>
        <v>8.6516633093525197</v>
      </c>
    </row>
    <row r="183" spans="1:29" ht="15.75" x14ac:dyDescent="0.25">
      <c r="A183" s="13">
        <v>46447</v>
      </c>
      <c r="B183" s="14">
        <f>CHOOSE(CONTROL!$C$42, 8.4361, 8.4361) * CHOOSE(CONTROL!$C$21, $C$9, 100%, $E$9)</f>
        <v>8.4360999999999997</v>
      </c>
      <c r="C183" s="14">
        <f>CHOOSE(CONTROL!$C$42, 8.441, 8.441) * CHOOSE(CONTROL!$C$21, $C$9, 100%, $E$9)</f>
        <v>8.4410000000000007</v>
      </c>
      <c r="D183" s="14">
        <f>CHOOSE(CONTROL!$C$42, 8.5053, 8.5053) * CHOOSE(CONTROL!$C$21, $C$9, 100%, $E$9)</f>
        <v>8.5053000000000001</v>
      </c>
      <c r="E183" s="14">
        <f>CHOOSE(CONTROL!$C$42, 8.5391, 8.5391) * CHOOSE(CONTROL!$C$21, $C$9, 100%, $E$9)</f>
        <v>8.5390999999999995</v>
      </c>
      <c r="F183" s="14">
        <f>CHOOSE(CONTROL!$C$42, 8.4373, 8.4373)*CHOOSE(CONTROL!$C$21, $C$9, 100%, $E$9)</f>
        <v>8.4373000000000005</v>
      </c>
      <c r="G183" s="14">
        <f>CHOOSE(CONTROL!$C$42, 8.4532, 8.4532)*CHOOSE(CONTROL!$C$21, $C$9, 100%, $E$9)</f>
        <v>8.4532000000000007</v>
      </c>
      <c r="H183" s="14">
        <f>CHOOSE(CONTROL!$C$42, 8.5283, 8.5283) * CHOOSE(CONTROL!$C$21, $C$9, 100%, $E$9)</f>
        <v>8.5282999999999998</v>
      </c>
      <c r="I183" s="14">
        <f>CHOOSE(CONTROL!$C$42, 8.456, 8.456)* CHOOSE(CONTROL!$C$21, $C$9, 100%, $E$9)</f>
        <v>8.4559999999999995</v>
      </c>
      <c r="J183" s="14">
        <f>CHOOSE(CONTROL!$C$42, 8.4303, 8.4303)* CHOOSE(CONTROL!$C$21, $C$9, 100%, $E$9)</f>
        <v>8.4303000000000008</v>
      </c>
      <c r="K183" s="53">
        <f>CHOOSE(CONTROL!$C$42, 8.4522, 8.4522) * CHOOSE(CONTROL!$C$21, $C$9, 100%, $E$9)</f>
        <v>8.4521999999999995</v>
      </c>
      <c r="L183" s="14">
        <f>CHOOSE(CONTROL!$C$42, 9.1153, 9.1153) * CHOOSE(CONTROL!$C$21, $C$9, 100%, $E$9)</f>
        <v>9.1152999999999995</v>
      </c>
      <c r="M183" s="14">
        <f>CHOOSE(CONTROL!$C$42, 8.3591, 8.3591) * CHOOSE(CONTROL!$C$21, $C$9, 100%, $E$9)</f>
        <v>8.3590999999999998</v>
      </c>
      <c r="N183" s="14">
        <f>CHOOSE(CONTROL!$C$42, 8.3748, 8.3748) * CHOOSE(CONTROL!$C$21, $C$9, 100%, $E$9)</f>
        <v>8.3748000000000005</v>
      </c>
      <c r="O183" s="14">
        <f>CHOOSE(CONTROL!$C$42, 8.456, 8.456) * CHOOSE(CONTROL!$C$21, $C$9, 100%, $E$9)</f>
        <v>8.4559999999999995</v>
      </c>
      <c r="P183" s="14">
        <f>CHOOSE(CONTROL!$C$42, 8.3846, 8.3846) * CHOOSE(CONTROL!$C$21, $C$9, 100%, $E$9)</f>
        <v>8.3846000000000007</v>
      </c>
      <c r="Q183" s="14">
        <f>CHOOSE(CONTROL!$C$42, 9.0513, 9.0513) * CHOOSE(CONTROL!$C$21, $C$9, 100%, $E$9)</f>
        <v>9.0512999999999995</v>
      </c>
      <c r="R183" s="14">
        <f>CHOOSE(CONTROL!$C$42, 9.661, 9.661) * CHOOSE(CONTROL!$C$21, $C$9, 100%, $E$9)</f>
        <v>9.6609999999999996</v>
      </c>
      <c r="S183" s="14">
        <f>CHOOSE(CONTROL!$C$42, 8.1901, 8.1901) * CHOOSE(CONTROL!$C$21, $C$9, 100%, $E$9)</f>
        <v>8.1900999999999993</v>
      </c>
      <c r="T18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83" s="57">
        <f>(1000*CHOOSE(CONTROL!$C$42, 695, 695)*CHOOSE(CONTROL!$C$42, 0.5599, 0.5599)*CHOOSE(CONTROL!$C$42, 31, 31))/1000000</f>
        <v>12.063045499999998</v>
      </c>
      <c r="V183" s="57">
        <f>(1000*CHOOSE(CONTROL!$C$42, 500, 500)*CHOOSE(CONTROL!$C$42, 0.275, 0.275)*CHOOSE(CONTROL!$C$42, 31, 31))/1000000</f>
        <v>4.2625000000000002</v>
      </c>
      <c r="W183" s="57">
        <f>(1000*CHOOSE(CONTROL!$C$42, 0.1146, 0.1146)*CHOOSE(CONTROL!$C$42, 121.5, 121.5)*CHOOSE(CONTROL!$C$42, 31, 31))/1000000</f>
        <v>0.43164089999999994</v>
      </c>
      <c r="X183" s="57">
        <f>(31*0.1790888*100000/1000000)+(31*0.2374*100000/1000000)</f>
        <v>1.2911152800000001</v>
      </c>
      <c r="Y183" s="57"/>
      <c r="Z183" s="14"/>
      <c r="AA183" s="56"/>
      <c r="AB183" s="50">
        <f>(B183*122.58+C183*297.941+D183*89.177+E183*40.302+F183*40+G183*160+H183*0+I183*100+J183*300)/(122.58+297.941+89.177+40.302+0+40+160+100+300)</f>
        <v>8.4489835350434781</v>
      </c>
      <c r="AC183" s="45">
        <f>(M183*'RAP TEMPLATE-GAS AVAILABILITY'!O182+N183*'RAP TEMPLATE-GAS AVAILABILITY'!P182+O183*'RAP TEMPLATE-GAS AVAILABILITY'!Q182+P183*'RAP TEMPLATE-GAS AVAILABILITY'!R182)/('RAP TEMPLATE-GAS AVAILABILITY'!O182+'RAP TEMPLATE-GAS AVAILABILITY'!P182+'RAP TEMPLATE-GAS AVAILABILITY'!Q182+'RAP TEMPLATE-GAS AVAILABILITY'!R182)</f>
        <v>8.407591366906475</v>
      </c>
    </row>
    <row r="184" spans="1:29" ht="15.75" x14ac:dyDescent="0.25">
      <c r="A184" s="13">
        <v>46478</v>
      </c>
      <c r="B184" s="14">
        <f>CHOOSE(CONTROL!$C$42, 8.412, 8.412) * CHOOSE(CONTROL!$C$21, $C$9, 100%, $E$9)</f>
        <v>8.4120000000000008</v>
      </c>
      <c r="C184" s="14">
        <f>CHOOSE(CONTROL!$C$42, 8.4164, 8.4164) * CHOOSE(CONTROL!$C$21, $C$9, 100%, $E$9)</f>
        <v>8.4163999999999994</v>
      </c>
      <c r="D184" s="14">
        <f>CHOOSE(CONTROL!$C$42, 8.6171, 8.6171) * CHOOSE(CONTROL!$C$21, $C$9, 100%, $E$9)</f>
        <v>8.6171000000000006</v>
      </c>
      <c r="E184" s="14">
        <f>CHOOSE(CONTROL!$C$42, 8.6489, 8.6489) * CHOOSE(CONTROL!$C$21, $C$9, 100%, $E$9)</f>
        <v>8.6488999999999994</v>
      </c>
      <c r="F184" s="14">
        <f>CHOOSE(CONTROL!$C$42, 8.3966, 8.3966)*CHOOSE(CONTROL!$C$21, $C$9, 100%, $E$9)</f>
        <v>8.3965999999999994</v>
      </c>
      <c r="G184" s="14">
        <f>CHOOSE(CONTROL!$C$42, 8.4122, 8.4122)*CHOOSE(CONTROL!$C$21, $C$9, 100%, $E$9)</f>
        <v>8.4122000000000003</v>
      </c>
      <c r="H184" s="14">
        <f>CHOOSE(CONTROL!$C$42, 8.6387, 8.6387) * CHOOSE(CONTROL!$C$21, $C$9, 100%, $E$9)</f>
        <v>8.6387</v>
      </c>
      <c r="I184" s="14">
        <f>CHOOSE(CONTROL!$C$42, 8.4248, 8.4248)* CHOOSE(CONTROL!$C$21, $C$9, 100%, $E$9)</f>
        <v>8.4247999999999994</v>
      </c>
      <c r="J184" s="14">
        <f>CHOOSE(CONTROL!$C$42, 8.3896, 8.3896)* CHOOSE(CONTROL!$C$21, $C$9, 100%, $E$9)</f>
        <v>8.3895999999999997</v>
      </c>
      <c r="K184" s="53">
        <f>CHOOSE(CONTROL!$C$42, 8.4209, 8.4209) * CHOOSE(CONTROL!$C$21, $C$9, 100%, $E$9)</f>
        <v>8.4208999999999996</v>
      </c>
      <c r="L184" s="14">
        <f>CHOOSE(CONTROL!$C$42, 9.2257, 9.2257) * CHOOSE(CONTROL!$C$21, $C$9, 100%, $E$9)</f>
        <v>9.2256999999999998</v>
      </c>
      <c r="M184" s="14">
        <f>CHOOSE(CONTROL!$C$42, 8.3187, 8.3187) * CHOOSE(CONTROL!$C$21, $C$9, 100%, $E$9)</f>
        <v>8.3186999999999998</v>
      </c>
      <c r="N184" s="14">
        <f>CHOOSE(CONTROL!$C$42, 8.3342, 8.3342) * CHOOSE(CONTROL!$C$21, $C$9, 100%, $E$9)</f>
        <v>8.3341999999999992</v>
      </c>
      <c r="O184" s="14">
        <f>CHOOSE(CONTROL!$C$42, 8.5653, 8.5653) * CHOOSE(CONTROL!$C$21, $C$9, 100%, $E$9)</f>
        <v>8.5653000000000006</v>
      </c>
      <c r="P184" s="14">
        <f>CHOOSE(CONTROL!$C$42, 8.3536, 8.3536) * CHOOSE(CONTROL!$C$21, $C$9, 100%, $E$9)</f>
        <v>8.3536000000000001</v>
      </c>
      <c r="Q184" s="14">
        <f>CHOOSE(CONTROL!$C$42, 9.1606, 9.1606) * CHOOSE(CONTROL!$C$21, $C$9, 100%, $E$9)</f>
        <v>9.1606000000000005</v>
      </c>
      <c r="R184" s="14">
        <f>CHOOSE(CONTROL!$C$42, 9.7705, 9.7705) * CHOOSE(CONTROL!$C$21, $C$9, 100%, $E$9)</f>
        <v>9.7705000000000002</v>
      </c>
      <c r="S184" s="14">
        <f>CHOOSE(CONTROL!$C$42, 8.166, 8.166) * CHOOSE(CONTROL!$C$21, $C$9, 100%, $E$9)</f>
        <v>8.1660000000000004</v>
      </c>
      <c r="T18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84" s="57">
        <f>(1000*CHOOSE(CONTROL!$C$42, 695, 695)*CHOOSE(CONTROL!$C$42, 0.5599, 0.5599)*CHOOSE(CONTROL!$C$42, 30, 30))/1000000</f>
        <v>11.673914999999997</v>
      </c>
      <c r="V184" s="57">
        <f>(1000*CHOOSE(CONTROL!$C$42, 500, 500)*CHOOSE(CONTROL!$C$42, 0.275, 0.275)*CHOOSE(CONTROL!$C$42, 30, 30))/1000000</f>
        <v>4.125</v>
      </c>
      <c r="W184" s="57">
        <f>(1000*CHOOSE(CONTROL!$C$42, 0.1146, 0.1146)*CHOOSE(CONTROL!$C$42, 121.5, 121.5)*CHOOSE(CONTROL!$C$42, 30, 30))/1000000</f>
        <v>0.417717</v>
      </c>
      <c r="X184" s="57">
        <f>(30*0.1790888*245000/1000000)+(30*0.2374*100000/1000000)</f>
        <v>2.0285026799999999</v>
      </c>
      <c r="Y184" s="57"/>
      <c r="Z184" s="14"/>
      <c r="AA184" s="56"/>
      <c r="AB184" s="50">
        <f>(B184*141.293+C184*267.993+D184*115.016+E184*89.698+F184*40+G184*185+H184*0+I184*100+J184*300)/(141.293+267.993+115.016+89.698+0+40+185+100+300)</f>
        <v>8.4442836214689265</v>
      </c>
      <c r="AC184" s="45">
        <f>(M184*'RAP TEMPLATE-GAS AVAILABILITY'!O183+N184*'RAP TEMPLATE-GAS AVAILABILITY'!P183+O184*'RAP TEMPLATE-GAS AVAILABILITY'!Q183+P184*'RAP TEMPLATE-GAS AVAILABILITY'!R183)/('RAP TEMPLATE-GAS AVAILABILITY'!O183+'RAP TEMPLATE-GAS AVAILABILITY'!P183+'RAP TEMPLATE-GAS AVAILABILITY'!Q183+'RAP TEMPLATE-GAS AVAILABILITY'!R183)</f>
        <v>8.3964798561151071</v>
      </c>
    </row>
    <row r="185" spans="1:29" ht="15.75" x14ac:dyDescent="0.25">
      <c r="A185" s="13">
        <v>46508</v>
      </c>
      <c r="B185" s="14">
        <f>CHOOSE(CONTROL!$C$42, 8.4876, 8.4876) * CHOOSE(CONTROL!$C$21, $C$9, 100%, $E$9)</f>
        <v>8.4876000000000005</v>
      </c>
      <c r="C185" s="14">
        <f>CHOOSE(CONTROL!$C$42, 8.4955, 8.4955) * CHOOSE(CONTROL!$C$21, $C$9, 100%, $E$9)</f>
        <v>8.4954999999999998</v>
      </c>
      <c r="D185" s="14">
        <f>CHOOSE(CONTROL!$C$42, 8.6931, 8.6931) * CHOOSE(CONTROL!$C$21, $C$9, 100%, $E$9)</f>
        <v>8.6930999999999994</v>
      </c>
      <c r="E185" s="14">
        <f>CHOOSE(CONTROL!$C$42, 8.7242, 8.7242) * CHOOSE(CONTROL!$C$21, $C$9, 100%, $E$9)</f>
        <v>8.7241999999999997</v>
      </c>
      <c r="F185" s="14">
        <f>CHOOSE(CONTROL!$C$42, 8.471, 8.471)*CHOOSE(CONTROL!$C$21, $C$9, 100%, $E$9)</f>
        <v>8.4710000000000001</v>
      </c>
      <c r="G185" s="14">
        <f>CHOOSE(CONTROL!$C$42, 8.4871, 8.4871)*CHOOSE(CONTROL!$C$21, $C$9, 100%, $E$9)</f>
        <v>8.4870999999999999</v>
      </c>
      <c r="H185" s="14">
        <f>CHOOSE(CONTROL!$C$42, 8.7129, 8.7129) * CHOOSE(CONTROL!$C$21, $C$9, 100%, $E$9)</f>
        <v>8.7128999999999994</v>
      </c>
      <c r="I185" s="14">
        <f>CHOOSE(CONTROL!$C$42, 8.499, 8.499)* CHOOSE(CONTROL!$C$21, $C$9, 100%, $E$9)</f>
        <v>8.4990000000000006</v>
      </c>
      <c r="J185" s="14">
        <f>CHOOSE(CONTROL!$C$42, 8.464, 8.464)* CHOOSE(CONTROL!$C$21, $C$9, 100%, $E$9)</f>
        <v>8.4640000000000004</v>
      </c>
      <c r="K185" s="53">
        <f>CHOOSE(CONTROL!$C$42, 8.4951, 8.4951) * CHOOSE(CONTROL!$C$21, $C$9, 100%, $E$9)</f>
        <v>8.4951000000000008</v>
      </c>
      <c r="L185" s="14">
        <f>CHOOSE(CONTROL!$C$42, 9.2999, 9.2999) * CHOOSE(CONTROL!$C$21, $C$9, 100%, $E$9)</f>
        <v>9.2998999999999992</v>
      </c>
      <c r="M185" s="14">
        <f>CHOOSE(CONTROL!$C$42, 8.3924, 8.3924) * CHOOSE(CONTROL!$C$21, $C$9, 100%, $E$9)</f>
        <v>8.3924000000000003</v>
      </c>
      <c r="N185" s="14">
        <f>CHOOSE(CONTROL!$C$42, 8.4083, 8.4083) * CHOOSE(CONTROL!$C$21, $C$9, 100%, $E$9)</f>
        <v>8.4083000000000006</v>
      </c>
      <c r="O185" s="14">
        <f>CHOOSE(CONTROL!$C$42, 8.6388, 8.6388) * CHOOSE(CONTROL!$C$21, $C$9, 100%, $E$9)</f>
        <v>8.6387999999999998</v>
      </c>
      <c r="P185" s="14">
        <f>CHOOSE(CONTROL!$C$42, 8.4271, 8.4271) * CHOOSE(CONTROL!$C$21, $C$9, 100%, $E$9)</f>
        <v>8.4270999999999994</v>
      </c>
      <c r="Q185" s="14">
        <f>CHOOSE(CONTROL!$C$42, 9.2341, 9.2341) * CHOOSE(CONTROL!$C$21, $C$9, 100%, $E$9)</f>
        <v>9.2340999999999998</v>
      </c>
      <c r="R185" s="14">
        <f>CHOOSE(CONTROL!$C$42, 9.8441, 9.8441) * CHOOSE(CONTROL!$C$21, $C$9, 100%, $E$9)</f>
        <v>9.8440999999999992</v>
      </c>
      <c r="S185" s="14">
        <f>CHOOSE(CONTROL!$C$42, 8.2381, 8.2381) * CHOOSE(CONTROL!$C$21, $C$9, 100%, $E$9)</f>
        <v>8.2380999999999993</v>
      </c>
      <c r="T18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85" s="57">
        <f>(1000*CHOOSE(CONTROL!$C$42, 695, 695)*CHOOSE(CONTROL!$C$42, 0.5599, 0.5599)*CHOOSE(CONTROL!$C$42, 31, 31))/1000000</f>
        <v>12.063045499999998</v>
      </c>
      <c r="V185" s="57">
        <f>(1000*CHOOSE(CONTROL!$C$42, 500, 500)*CHOOSE(CONTROL!$C$42, 0.275, 0.275)*CHOOSE(CONTROL!$C$42, 31, 31))/1000000</f>
        <v>4.2625000000000002</v>
      </c>
      <c r="W185" s="57">
        <f>(1000*CHOOSE(CONTROL!$C$42, 0.1146, 0.1146)*CHOOSE(CONTROL!$C$42, 121.5, 121.5)*CHOOSE(CONTROL!$C$42, 31, 31))/1000000</f>
        <v>0.43164089999999994</v>
      </c>
      <c r="X185" s="57">
        <f>(31*0.1790888*245000/1000000)+(31*0.2374*100000/1000000)</f>
        <v>2.0961194359999999</v>
      </c>
      <c r="Y185" s="57"/>
      <c r="Z185" s="14"/>
      <c r="AA185" s="56"/>
      <c r="AB185" s="50">
        <f>(B185*194.205+C185*267.466+D185*133.845+E185*53.484+F185*40+G185*185+H185*0+I185*100+J185*300)/(194.205+267.466+133.845+53.484+0+40+185+100+300)</f>
        <v>8.5155246022762956</v>
      </c>
      <c r="AC185" s="45">
        <f>(M185*'RAP TEMPLATE-GAS AVAILABILITY'!O184+N185*'RAP TEMPLATE-GAS AVAILABILITY'!P184+O185*'RAP TEMPLATE-GAS AVAILABILITY'!Q184+P185*'RAP TEMPLATE-GAS AVAILABILITY'!R184)/('RAP TEMPLATE-GAS AVAILABILITY'!O184+'RAP TEMPLATE-GAS AVAILABILITY'!P184+'RAP TEMPLATE-GAS AVAILABILITY'!Q184+'RAP TEMPLATE-GAS AVAILABILITY'!R184)</f>
        <v>8.4701870503597121</v>
      </c>
    </row>
    <row r="186" spans="1:29" ht="15.75" x14ac:dyDescent="0.25">
      <c r="A186" s="13">
        <v>46539</v>
      </c>
      <c r="B186" s="14">
        <f>CHOOSE(CONTROL!$C$42, 8.7282, 8.7282) * CHOOSE(CONTROL!$C$21, $C$9, 100%, $E$9)</f>
        <v>8.7281999999999993</v>
      </c>
      <c r="C186" s="14">
        <f>CHOOSE(CONTROL!$C$42, 8.7361, 8.7361) * CHOOSE(CONTROL!$C$21, $C$9, 100%, $E$9)</f>
        <v>8.7361000000000004</v>
      </c>
      <c r="D186" s="14">
        <f>CHOOSE(CONTROL!$C$42, 8.9337, 8.9337) * CHOOSE(CONTROL!$C$21, $C$9, 100%, $E$9)</f>
        <v>8.9337</v>
      </c>
      <c r="E186" s="14">
        <f>CHOOSE(CONTROL!$C$42, 8.9648, 8.9648) * CHOOSE(CONTROL!$C$21, $C$9, 100%, $E$9)</f>
        <v>8.9648000000000003</v>
      </c>
      <c r="F186" s="14">
        <f>CHOOSE(CONTROL!$C$42, 8.712, 8.712)*CHOOSE(CONTROL!$C$21, $C$9, 100%, $E$9)</f>
        <v>8.7119999999999997</v>
      </c>
      <c r="G186" s="14">
        <f>CHOOSE(CONTROL!$C$42, 8.7282, 8.7282)*CHOOSE(CONTROL!$C$21, $C$9, 100%, $E$9)</f>
        <v>8.7281999999999993</v>
      </c>
      <c r="H186" s="14">
        <f>CHOOSE(CONTROL!$C$42, 8.9535, 8.9535) * CHOOSE(CONTROL!$C$21, $C$9, 100%, $E$9)</f>
        <v>8.9535</v>
      </c>
      <c r="I186" s="14">
        <f>CHOOSE(CONTROL!$C$42, 8.7396, 8.7396)* CHOOSE(CONTROL!$C$21, $C$9, 100%, $E$9)</f>
        <v>8.7395999999999994</v>
      </c>
      <c r="J186" s="14">
        <f>CHOOSE(CONTROL!$C$42, 8.705, 8.705)* CHOOSE(CONTROL!$C$21, $C$9, 100%, $E$9)</f>
        <v>8.7050000000000001</v>
      </c>
      <c r="K186" s="53">
        <f>CHOOSE(CONTROL!$C$42, 8.7357, 8.7357) * CHOOSE(CONTROL!$C$21, $C$9, 100%, $E$9)</f>
        <v>8.7356999999999996</v>
      </c>
      <c r="L186" s="14">
        <f>CHOOSE(CONTROL!$C$42, 9.5405, 9.5405) * CHOOSE(CONTROL!$C$21, $C$9, 100%, $E$9)</f>
        <v>9.5404999999999998</v>
      </c>
      <c r="M186" s="14">
        <f>CHOOSE(CONTROL!$C$42, 8.631, 8.631) * CHOOSE(CONTROL!$C$21, $C$9, 100%, $E$9)</f>
        <v>8.6310000000000002</v>
      </c>
      <c r="N186" s="14">
        <f>CHOOSE(CONTROL!$C$42, 8.647, 8.647) * CHOOSE(CONTROL!$C$21, $C$9, 100%, $E$9)</f>
        <v>8.6470000000000002</v>
      </c>
      <c r="O186" s="14">
        <f>CHOOSE(CONTROL!$C$42, 8.8769, 8.8769) * CHOOSE(CONTROL!$C$21, $C$9, 100%, $E$9)</f>
        <v>8.8768999999999991</v>
      </c>
      <c r="P186" s="14">
        <f>CHOOSE(CONTROL!$C$42, 8.6652, 8.6652) * CHOOSE(CONTROL!$C$21, $C$9, 100%, $E$9)</f>
        <v>8.6652000000000005</v>
      </c>
      <c r="Q186" s="14">
        <f>CHOOSE(CONTROL!$C$42, 9.4722, 9.4722) * CHOOSE(CONTROL!$C$21, $C$9, 100%, $E$9)</f>
        <v>9.4722000000000008</v>
      </c>
      <c r="R186" s="14">
        <f>CHOOSE(CONTROL!$C$42, 10.0829, 10.0829) * CHOOSE(CONTROL!$C$21, $C$9, 100%, $E$9)</f>
        <v>10.0829</v>
      </c>
      <c r="S186" s="14">
        <f>CHOOSE(CONTROL!$C$42, 8.4717, 8.4717) * CHOOSE(CONTROL!$C$21, $C$9, 100%, $E$9)</f>
        <v>8.4717000000000002</v>
      </c>
      <c r="T18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86" s="57">
        <f>(1000*CHOOSE(CONTROL!$C$42, 695, 695)*CHOOSE(CONTROL!$C$42, 0.5599, 0.5599)*CHOOSE(CONTROL!$C$42, 30, 30))/1000000</f>
        <v>11.673914999999997</v>
      </c>
      <c r="V186" s="57">
        <f>(1000*CHOOSE(CONTROL!$C$42, 500, 500)*CHOOSE(CONTROL!$C$42, 0.275, 0.275)*CHOOSE(CONTROL!$C$42, 30, 30))/1000000</f>
        <v>4.125</v>
      </c>
      <c r="W186" s="57">
        <f>(1000*CHOOSE(CONTROL!$C$42, 0.1146, 0.1146)*CHOOSE(CONTROL!$C$42, 121.5, 121.5)*CHOOSE(CONTROL!$C$42, 30, 30))/1000000</f>
        <v>0.417717</v>
      </c>
      <c r="X186" s="57">
        <f>(30*0.1790888*245000/1000000)+(30*0.2374*100000/1000000)</f>
        <v>2.0285026799999999</v>
      </c>
      <c r="Y186" s="57"/>
      <c r="Z186" s="14"/>
      <c r="AA186" s="56"/>
      <c r="AB186" s="50">
        <f>(B186*194.205+C186*267.466+D186*133.845+E186*53.484+F186*40+G186*185+H186*0+I186*100+J186*300)/(194.205+267.466+133.845+53.484+0+40+185+100+300)</f>
        <v>8.7563039586342235</v>
      </c>
      <c r="AC186" s="45">
        <f>(M186*'RAP TEMPLATE-GAS AVAILABILITY'!O185+N186*'RAP TEMPLATE-GAS AVAILABILITY'!P185+O186*'RAP TEMPLATE-GAS AVAILABILITY'!Q185+P186*'RAP TEMPLATE-GAS AVAILABILITY'!R185)/('RAP TEMPLATE-GAS AVAILABILITY'!O185+'RAP TEMPLATE-GAS AVAILABILITY'!P185+'RAP TEMPLATE-GAS AVAILABILITY'!Q185+'RAP TEMPLATE-GAS AVAILABILITY'!R185)</f>
        <v>8.7085978417266201</v>
      </c>
    </row>
    <row r="187" spans="1:29" ht="15.75" x14ac:dyDescent="0.25">
      <c r="A187" s="13">
        <v>46569</v>
      </c>
      <c r="B187" s="14">
        <f>CHOOSE(CONTROL!$C$42, 8.5609, 8.5609) * CHOOSE(CONTROL!$C$21, $C$9, 100%, $E$9)</f>
        <v>8.5609000000000002</v>
      </c>
      <c r="C187" s="14">
        <f>CHOOSE(CONTROL!$C$42, 8.5688, 8.5688) * CHOOSE(CONTROL!$C$21, $C$9, 100%, $E$9)</f>
        <v>8.5687999999999995</v>
      </c>
      <c r="D187" s="14">
        <f>CHOOSE(CONTROL!$C$42, 8.7664, 8.7664) * CHOOSE(CONTROL!$C$21, $C$9, 100%, $E$9)</f>
        <v>8.7664000000000009</v>
      </c>
      <c r="E187" s="14">
        <f>CHOOSE(CONTROL!$C$42, 8.7975, 8.7975) * CHOOSE(CONTROL!$C$21, $C$9, 100%, $E$9)</f>
        <v>8.7974999999999994</v>
      </c>
      <c r="F187" s="14">
        <f>CHOOSE(CONTROL!$C$42, 8.5451, 8.5451)*CHOOSE(CONTROL!$C$21, $C$9, 100%, $E$9)</f>
        <v>8.5450999999999997</v>
      </c>
      <c r="G187" s="14">
        <f>CHOOSE(CONTROL!$C$42, 8.5614, 8.5614)*CHOOSE(CONTROL!$C$21, $C$9, 100%, $E$9)</f>
        <v>8.5614000000000008</v>
      </c>
      <c r="H187" s="14">
        <f>CHOOSE(CONTROL!$C$42, 8.7861, 8.7861) * CHOOSE(CONTROL!$C$21, $C$9, 100%, $E$9)</f>
        <v>8.7860999999999994</v>
      </c>
      <c r="I187" s="14">
        <f>CHOOSE(CONTROL!$C$42, 8.5722, 8.5722)* CHOOSE(CONTROL!$C$21, $C$9, 100%, $E$9)</f>
        <v>8.5722000000000005</v>
      </c>
      <c r="J187" s="14">
        <f>CHOOSE(CONTROL!$C$42, 8.5381, 8.5381)* CHOOSE(CONTROL!$C$21, $C$9, 100%, $E$9)</f>
        <v>8.5381</v>
      </c>
      <c r="K187" s="53">
        <f>CHOOSE(CONTROL!$C$42, 8.5683, 8.5683) * CHOOSE(CONTROL!$C$21, $C$9, 100%, $E$9)</f>
        <v>8.5683000000000007</v>
      </c>
      <c r="L187" s="14">
        <f>CHOOSE(CONTROL!$C$42, 9.3731, 9.3731) * CHOOSE(CONTROL!$C$21, $C$9, 100%, $E$9)</f>
        <v>9.3731000000000009</v>
      </c>
      <c r="M187" s="14">
        <f>CHOOSE(CONTROL!$C$42, 8.4658, 8.4658) * CHOOSE(CONTROL!$C$21, $C$9, 100%, $E$9)</f>
        <v>8.4657999999999998</v>
      </c>
      <c r="N187" s="14">
        <f>CHOOSE(CONTROL!$C$42, 8.4819, 8.4819) * CHOOSE(CONTROL!$C$21, $C$9, 100%, $E$9)</f>
        <v>8.4818999999999996</v>
      </c>
      <c r="O187" s="14">
        <f>CHOOSE(CONTROL!$C$42, 8.7113, 8.7113) * CHOOSE(CONTROL!$C$21, $C$9, 100%, $E$9)</f>
        <v>8.7112999999999996</v>
      </c>
      <c r="P187" s="14">
        <f>CHOOSE(CONTROL!$C$42, 8.4996, 8.4996) * CHOOSE(CONTROL!$C$21, $C$9, 100%, $E$9)</f>
        <v>8.4995999999999992</v>
      </c>
      <c r="Q187" s="14">
        <f>CHOOSE(CONTROL!$C$42, 9.3066, 9.3066) * CHOOSE(CONTROL!$C$21, $C$9, 100%, $E$9)</f>
        <v>9.3065999999999995</v>
      </c>
      <c r="R187" s="14">
        <f>CHOOSE(CONTROL!$C$42, 9.9169, 9.9169) * CHOOSE(CONTROL!$C$21, $C$9, 100%, $E$9)</f>
        <v>9.9169</v>
      </c>
      <c r="S187" s="14">
        <f>CHOOSE(CONTROL!$C$42, 8.3092, 8.3092) * CHOOSE(CONTROL!$C$21, $C$9, 100%, $E$9)</f>
        <v>8.3092000000000006</v>
      </c>
      <c r="T18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87" s="57">
        <f>(1000*CHOOSE(CONTROL!$C$42, 695, 695)*CHOOSE(CONTROL!$C$42, 0.5599, 0.5599)*CHOOSE(CONTROL!$C$42, 31, 31))/1000000</f>
        <v>12.063045499999998</v>
      </c>
      <c r="V187" s="57">
        <f>(1000*CHOOSE(CONTROL!$C$42, 500, 500)*CHOOSE(CONTROL!$C$42, 0.275, 0.275)*CHOOSE(CONTROL!$C$42, 31, 31))/1000000</f>
        <v>4.2625000000000002</v>
      </c>
      <c r="W187" s="57">
        <f>(1000*CHOOSE(CONTROL!$C$42, 0.1146, 0.1146)*CHOOSE(CONTROL!$C$42, 121.5, 121.5)*CHOOSE(CONTROL!$C$42, 31, 31))/1000000</f>
        <v>0.43164089999999994</v>
      </c>
      <c r="X187" s="57">
        <f>(31*0.1790888*245000/1000000)+(31*0.2374*100000/1000000)</f>
        <v>2.0961194359999999</v>
      </c>
      <c r="Y187" s="57"/>
      <c r="Z187" s="14"/>
      <c r="AA187" s="56"/>
      <c r="AB187" s="50">
        <f>(B187*194.205+C187*267.466+D187*133.845+E187*53.484+F187*40+G187*185+H187*0+I187*100+J187*300)/(194.205+267.466+133.845+53.484+0+40+185+100+300)</f>
        <v>8.5891754656985881</v>
      </c>
      <c r="AC187" s="45">
        <f>(M187*'RAP TEMPLATE-GAS AVAILABILITY'!O186+N187*'RAP TEMPLATE-GAS AVAILABILITY'!P186+O187*'RAP TEMPLATE-GAS AVAILABILITY'!Q186+P187*'RAP TEMPLATE-GAS AVAILABILITY'!R186)/('RAP TEMPLATE-GAS AVAILABILITY'!O186+'RAP TEMPLATE-GAS AVAILABILITY'!P186+'RAP TEMPLATE-GAS AVAILABILITY'!Q186+'RAP TEMPLATE-GAS AVAILABILITY'!R186)</f>
        <v>8.5432510791366898</v>
      </c>
    </row>
    <row r="188" spans="1:29" ht="15.75" x14ac:dyDescent="0.25">
      <c r="A188" s="13">
        <v>46600</v>
      </c>
      <c r="B188" s="14">
        <f>CHOOSE(CONTROL!$C$42, 8.1383, 8.1383) * CHOOSE(CONTROL!$C$21, $C$9, 100%, $E$9)</f>
        <v>8.1382999999999992</v>
      </c>
      <c r="C188" s="14">
        <f>CHOOSE(CONTROL!$C$42, 8.1462, 8.1462) * CHOOSE(CONTROL!$C$21, $C$9, 100%, $E$9)</f>
        <v>8.1462000000000003</v>
      </c>
      <c r="D188" s="14">
        <f>CHOOSE(CONTROL!$C$42, 8.3438, 8.3438) * CHOOSE(CONTROL!$C$21, $C$9, 100%, $E$9)</f>
        <v>8.3437999999999999</v>
      </c>
      <c r="E188" s="14">
        <f>CHOOSE(CONTROL!$C$42, 8.3749, 8.3749) * CHOOSE(CONTROL!$C$21, $C$9, 100%, $E$9)</f>
        <v>8.3749000000000002</v>
      </c>
      <c r="F188" s="14">
        <f>CHOOSE(CONTROL!$C$42, 8.1227, 8.1227)*CHOOSE(CONTROL!$C$21, $C$9, 100%, $E$9)</f>
        <v>8.1227</v>
      </c>
      <c r="G188" s="14">
        <f>CHOOSE(CONTROL!$C$42, 8.1391, 8.1391)*CHOOSE(CONTROL!$C$21, $C$9, 100%, $E$9)</f>
        <v>8.1390999999999991</v>
      </c>
      <c r="H188" s="14">
        <f>CHOOSE(CONTROL!$C$42, 8.3635, 8.3635) * CHOOSE(CONTROL!$C$21, $C$9, 100%, $E$9)</f>
        <v>8.3635000000000002</v>
      </c>
      <c r="I188" s="14">
        <f>CHOOSE(CONTROL!$C$42, 8.1496, 8.1496)* CHOOSE(CONTROL!$C$21, $C$9, 100%, $E$9)</f>
        <v>8.1495999999999995</v>
      </c>
      <c r="J188" s="14">
        <f>CHOOSE(CONTROL!$C$42, 8.1157, 8.1157)* CHOOSE(CONTROL!$C$21, $C$9, 100%, $E$9)</f>
        <v>8.1157000000000004</v>
      </c>
      <c r="K188" s="53">
        <f>CHOOSE(CONTROL!$C$42, 8.1457, 8.1457) * CHOOSE(CONTROL!$C$21, $C$9, 100%, $E$9)</f>
        <v>8.1456999999999997</v>
      </c>
      <c r="L188" s="14">
        <f>CHOOSE(CONTROL!$C$42, 8.9505, 8.9505) * CHOOSE(CONTROL!$C$21, $C$9, 100%, $E$9)</f>
        <v>8.9504999999999999</v>
      </c>
      <c r="M188" s="14">
        <f>CHOOSE(CONTROL!$C$42, 8.0476, 8.0476) * CHOOSE(CONTROL!$C$21, $C$9, 100%, $E$9)</f>
        <v>8.0475999999999992</v>
      </c>
      <c r="N188" s="14">
        <f>CHOOSE(CONTROL!$C$42, 8.0638, 8.0638) * CHOOSE(CONTROL!$C$21, $C$9, 100%, $E$9)</f>
        <v>8.0638000000000005</v>
      </c>
      <c r="O188" s="14">
        <f>CHOOSE(CONTROL!$C$42, 8.293, 8.293) * CHOOSE(CONTROL!$C$21, $C$9, 100%, $E$9)</f>
        <v>8.2929999999999993</v>
      </c>
      <c r="P188" s="14">
        <f>CHOOSE(CONTROL!$C$42, 8.0813, 8.0813) * CHOOSE(CONTROL!$C$21, $C$9, 100%, $E$9)</f>
        <v>8.0813000000000006</v>
      </c>
      <c r="Q188" s="14">
        <f>CHOOSE(CONTROL!$C$42, 8.8883, 8.8883) * CHOOSE(CONTROL!$C$21, $C$9, 100%, $E$9)</f>
        <v>8.8882999999999992</v>
      </c>
      <c r="R188" s="14">
        <f>CHOOSE(CONTROL!$C$42, 9.4975, 9.4975) * CHOOSE(CONTROL!$C$21, $C$9, 100%, $E$9)</f>
        <v>9.4975000000000005</v>
      </c>
      <c r="S188" s="14">
        <f>CHOOSE(CONTROL!$C$42, 7.8988, 7.8988) * CHOOSE(CONTROL!$C$21, $C$9, 100%, $E$9)</f>
        <v>7.8987999999999996</v>
      </c>
      <c r="T18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88" s="57">
        <f>(1000*CHOOSE(CONTROL!$C$42, 695, 695)*CHOOSE(CONTROL!$C$42, 0.5599, 0.5599)*CHOOSE(CONTROL!$C$42, 31, 31))/1000000</f>
        <v>12.063045499999998</v>
      </c>
      <c r="V188" s="57">
        <f>(1000*CHOOSE(CONTROL!$C$42, 500, 500)*CHOOSE(CONTROL!$C$42, 0.275, 0.275)*CHOOSE(CONTROL!$C$42, 31, 31))/1000000</f>
        <v>4.2625000000000002</v>
      </c>
      <c r="W188" s="57">
        <f>(1000*CHOOSE(CONTROL!$C$42, 0.1146, 0.1146)*CHOOSE(CONTROL!$C$42, 121.5, 121.5)*CHOOSE(CONTROL!$C$42, 31, 31))/1000000</f>
        <v>0.43164089999999994</v>
      </c>
      <c r="X188" s="57">
        <f>(31*0.1790888*245000/1000000)+(31*0.2374*100000/1000000)</f>
        <v>2.0961194359999999</v>
      </c>
      <c r="Y188" s="57"/>
      <c r="Z188" s="14"/>
      <c r="AA188" s="56"/>
      <c r="AB188" s="50">
        <f>(B188*194.205+C188*267.466+D188*133.845+E188*53.484+F188*40+G188*185+H188*0+I188*100+J188*300)/(194.205+267.466+133.845+53.484+0+40+185+100+300)</f>
        <v>8.166672404474097</v>
      </c>
      <c r="AC188" s="45">
        <f>(M188*'RAP TEMPLATE-GAS AVAILABILITY'!O187+N188*'RAP TEMPLATE-GAS AVAILABILITY'!P187+O188*'RAP TEMPLATE-GAS AVAILABILITY'!Q187+P188*'RAP TEMPLATE-GAS AVAILABILITY'!R187)/('RAP TEMPLATE-GAS AVAILABILITY'!O187+'RAP TEMPLATE-GAS AVAILABILITY'!P187+'RAP TEMPLATE-GAS AVAILABILITY'!Q187+'RAP TEMPLATE-GAS AVAILABILITY'!R187)</f>
        <v>8.1250316546762598</v>
      </c>
    </row>
    <row r="189" spans="1:29" ht="15.75" x14ac:dyDescent="0.25">
      <c r="A189" s="13">
        <v>46631</v>
      </c>
      <c r="B189" s="14">
        <f>CHOOSE(CONTROL!$C$42, 7.6215, 7.6215) * CHOOSE(CONTROL!$C$21, $C$9, 100%, $E$9)</f>
        <v>7.6215000000000002</v>
      </c>
      <c r="C189" s="14">
        <f>CHOOSE(CONTROL!$C$42, 7.6295, 7.6295) * CHOOSE(CONTROL!$C$21, $C$9, 100%, $E$9)</f>
        <v>7.6295000000000002</v>
      </c>
      <c r="D189" s="14">
        <f>CHOOSE(CONTROL!$C$42, 7.827, 7.827) * CHOOSE(CONTROL!$C$21, $C$9, 100%, $E$9)</f>
        <v>7.827</v>
      </c>
      <c r="E189" s="14">
        <f>CHOOSE(CONTROL!$C$42, 7.8582, 7.8582) * CHOOSE(CONTROL!$C$21, $C$9, 100%, $E$9)</f>
        <v>7.8582000000000001</v>
      </c>
      <c r="F189" s="14">
        <f>CHOOSE(CONTROL!$C$42, 7.6059, 7.6059)*CHOOSE(CONTROL!$C$21, $C$9, 100%, $E$9)</f>
        <v>7.6059000000000001</v>
      </c>
      <c r="G189" s="14">
        <f>CHOOSE(CONTROL!$C$42, 7.6223, 7.6223)*CHOOSE(CONTROL!$C$21, $C$9, 100%, $E$9)</f>
        <v>7.6223000000000001</v>
      </c>
      <c r="H189" s="14">
        <f>CHOOSE(CONTROL!$C$42, 7.8468, 7.8468) * CHOOSE(CONTROL!$C$21, $C$9, 100%, $E$9)</f>
        <v>7.8468</v>
      </c>
      <c r="I189" s="14">
        <f>CHOOSE(CONTROL!$C$42, 7.6329, 7.6329)* CHOOSE(CONTROL!$C$21, $C$9, 100%, $E$9)</f>
        <v>7.6329000000000002</v>
      </c>
      <c r="J189" s="14">
        <f>CHOOSE(CONTROL!$C$42, 7.5989, 7.5989)* CHOOSE(CONTROL!$C$21, $C$9, 100%, $E$9)</f>
        <v>7.5989000000000004</v>
      </c>
      <c r="K189" s="53">
        <f>CHOOSE(CONTROL!$C$42, 7.629, 7.629) * CHOOSE(CONTROL!$C$21, $C$9, 100%, $E$9)</f>
        <v>7.6289999999999996</v>
      </c>
      <c r="L189" s="14">
        <f>CHOOSE(CONTROL!$C$42, 8.4338, 8.4338) * CHOOSE(CONTROL!$C$21, $C$9, 100%, $E$9)</f>
        <v>8.4337999999999997</v>
      </c>
      <c r="M189" s="14">
        <f>CHOOSE(CONTROL!$C$42, 7.5361, 7.5361) * CHOOSE(CONTROL!$C$21, $C$9, 100%, $E$9)</f>
        <v>7.5361000000000002</v>
      </c>
      <c r="N189" s="14">
        <f>CHOOSE(CONTROL!$C$42, 7.5522, 7.5522) * CHOOSE(CONTROL!$C$21, $C$9, 100%, $E$9)</f>
        <v>7.5522</v>
      </c>
      <c r="O189" s="14">
        <f>CHOOSE(CONTROL!$C$42, 7.7815, 7.7815) * CHOOSE(CONTROL!$C$21, $C$9, 100%, $E$9)</f>
        <v>7.7815000000000003</v>
      </c>
      <c r="P189" s="14">
        <f>CHOOSE(CONTROL!$C$42, 7.5698, 7.5698) * CHOOSE(CONTROL!$C$21, $C$9, 100%, $E$9)</f>
        <v>7.5697999999999999</v>
      </c>
      <c r="Q189" s="14">
        <f>CHOOSE(CONTROL!$C$42, 8.3768, 8.3768) * CHOOSE(CONTROL!$C$21, $C$9, 100%, $E$9)</f>
        <v>8.3767999999999994</v>
      </c>
      <c r="R189" s="14">
        <f>CHOOSE(CONTROL!$C$42, 8.9847, 8.9847) * CHOOSE(CONTROL!$C$21, $C$9, 100%, $E$9)</f>
        <v>8.9847000000000001</v>
      </c>
      <c r="S189" s="14">
        <f>CHOOSE(CONTROL!$C$42, 7.397, 7.397) * CHOOSE(CONTROL!$C$21, $C$9, 100%, $E$9)</f>
        <v>7.3970000000000002</v>
      </c>
      <c r="T18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89" s="57">
        <f>(1000*CHOOSE(CONTROL!$C$42, 695, 695)*CHOOSE(CONTROL!$C$42, 0.5599, 0.5599)*CHOOSE(CONTROL!$C$42, 30, 30))/1000000</f>
        <v>11.673914999999997</v>
      </c>
      <c r="V189" s="57">
        <f>(1000*CHOOSE(CONTROL!$C$42, 500, 500)*CHOOSE(CONTROL!$C$42, 0.275, 0.275)*CHOOSE(CONTROL!$C$42, 30, 30))/1000000</f>
        <v>4.125</v>
      </c>
      <c r="W189" s="57">
        <f>(1000*CHOOSE(CONTROL!$C$42, 0.1146, 0.1146)*CHOOSE(CONTROL!$C$42, 121.5, 121.5)*CHOOSE(CONTROL!$C$42, 30, 30))/1000000</f>
        <v>0.417717</v>
      </c>
      <c r="X189" s="57">
        <f>(30*0.1790888*245000/1000000)+(30*0.2374*100000/1000000)</f>
        <v>2.0285026799999999</v>
      </c>
      <c r="Y189" s="57"/>
      <c r="Z189" s="14"/>
      <c r="AA189" s="56"/>
      <c r="AB189" s="50">
        <f>(B189*194.205+C189*267.466+D189*133.845+E189*53.484+F189*40+G189*185+H189*0+I189*100+J189*300)/(194.205+267.466+133.845+53.484+0+40+185+100+300)</f>
        <v>7.6499054460753531</v>
      </c>
      <c r="AC189" s="45">
        <f>(M189*'RAP TEMPLATE-GAS AVAILABILITY'!O188+N189*'RAP TEMPLATE-GAS AVAILABILITY'!P188+O189*'RAP TEMPLATE-GAS AVAILABILITY'!Q188+P189*'RAP TEMPLATE-GAS AVAILABILITY'!R188)/('RAP TEMPLATE-GAS AVAILABILITY'!O188+'RAP TEMPLATE-GAS AVAILABILITY'!P188+'RAP TEMPLATE-GAS AVAILABILITY'!Q188+'RAP TEMPLATE-GAS AVAILABILITY'!R188)</f>
        <v>7.6135086330935264</v>
      </c>
    </row>
    <row r="190" spans="1:29" ht="15.75" x14ac:dyDescent="0.25">
      <c r="A190" s="13">
        <v>46661</v>
      </c>
      <c r="B190" s="14">
        <f>CHOOSE(CONTROL!$C$42, 7.4651, 7.4651) * CHOOSE(CONTROL!$C$21, $C$9, 100%, $E$9)</f>
        <v>7.4650999999999996</v>
      </c>
      <c r="C190" s="14">
        <f>CHOOSE(CONTROL!$C$42, 7.4704, 7.4704) * CHOOSE(CONTROL!$C$21, $C$9, 100%, $E$9)</f>
        <v>7.4703999999999997</v>
      </c>
      <c r="D190" s="14">
        <f>CHOOSE(CONTROL!$C$42, 7.6729, 7.6729) * CHOOSE(CONTROL!$C$21, $C$9, 100%, $E$9)</f>
        <v>7.6729000000000003</v>
      </c>
      <c r="E190" s="14">
        <f>CHOOSE(CONTROL!$C$42, 7.7017, 7.7017) * CHOOSE(CONTROL!$C$21, $C$9, 100%, $E$9)</f>
        <v>7.7016999999999998</v>
      </c>
      <c r="F190" s="14">
        <f>CHOOSE(CONTROL!$C$42, 7.4515, 7.4515)*CHOOSE(CONTROL!$C$21, $C$9, 100%, $E$9)</f>
        <v>7.4515000000000002</v>
      </c>
      <c r="G190" s="14">
        <f>CHOOSE(CONTROL!$C$42, 7.4675, 7.4675)*CHOOSE(CONTROL!$C$21, $C$9, 100%, $E$9)</f>
        <v>7.4675000000000002</v>
      </c>
      <c r="H190" s="14">
        <f>CHOOSE(CONTROL!$C$42, 7.6922, 7.6922) * CHOOSE(CONTROL!$C$21, $C$9, 100%, $E$9)</f>
        <v>7.6921999999999997</v>
      </c>
      <c r="I190" s="14">
        <f>CHOOSE(CONTROL!$C$42, 7.4783, 7.4783)* CHOOSE(CONTROL!$C$21, $C$9, 100%, $E$9)</f>
        <v>7.4782999999999999</v>
      </c>
      <c r="J190" s="14">
        <f>CHOOSE(CONTROL!$C$42, 7.4445, 7.4445)* CHOOSE(CONTROL!$C$21, $C$9, 100%, $E$9)</f>
        <v>7.4444999999999997</v>
      </c>
      <c r="K190" s="53">
        <f>CHOOSE(CONTROL!$C$42, 7.4744, 7.4744) * CHOOSE(CONTROL!$C$21, $C$9, 100%, $E$9)</f>
        <v>7.4744000000000002</v>
      </c>
      <c r="L190" s="14">
        <f>CHOOSE(CONTROL!$C$42, 8.2792, 8.2792) * CHOOSE(CONTROL!$C$21, $C$9, 100%, $E$9)</f>
        <v>8.2791999999999994</v>
      </c>
      <c r="M190" s="14">
        <f>CHOOSE(CONTROL!$C$42, 7.3832, 7.3832) * CHOOSE(CONTROL!$C$21, $C$9, 100%, $E$9)</f>
        <v>7.3832000000000004</v>
      </c>
      <c r="N190" s="14">
        <f>CHOOSE(CONTROL!$C$42, 7.3991, 7.3991) * CHOOSE(CONTROL!$C$21, $C$9, 100%, $E$9)</f>
        <v>7.3990999999999998</v>
      </c>
      <c r="O190" s="14">
        <f>CHOOSE(CONTROL!$C$42, 7.6284, 7.6284) * CHOOSE(CONTROL!$C$21, $C$9, 100%, $E$9)</f>
        <v>7.6284000000000001</v>
      </c>
      <c r="P190" s="14">
        <f>CHOOSE(CONTROL!$C$42, 7.4167, 7.4167) * CHOOSE(CONTROL!$C$21, $C$9, 100%, $E$9)</f>
        <v>7.4166999999999996</v>
      </c>
      <c r="Q190" s="14">
        <f>CHOOSE(CONTROL!$C$42, 8.2237, 8.2237) * CHOOSE(CONTROL!$C$21, $C$9, 100%, $E$9)</f>
        <v>8.2236999999999991</v>
      </c>
      <c r="R190" s="14">
        <f>CHOOSE(CONTROL!$C$42, 8.8312, 8.8312) * CHOOSE(CONTROL!$C$21, $C$9, 100%, $E$9)</f>
        <v>8.8312000000000008</v>
      </c>
      <c r="S190" s="14">
        <f>CHOOSE(CONTROL!$C$42, 7.2469, 7.2469) * CHOOSE(CONTROL!$C$21, $C$9, 100%, $E$9)</f>
        <v>7.2469000000000001</v>
      </c>
      <c r="T19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90" s="57">
        <f>(1000*CHOOSE(CONTROL!$C$42, 695, 695)*CHOOSE(CONTROL!$C$42, 0.5599, 0.5599)*CHOOSE(CONTROL!$C$42, 31, 31))/1000000</f>
        <v>12.063045499999998</v>
      </c>
      <c r="V190" s="57">
        <f>(1000*CHOOSE(CONTROL!$C$42, 500, 500)*CHOOSE(CONTROL!$C$42, 0.275, 0.275)*CHOOSE(CONTROL!$C$42, 31, 31))/1000000</f>
        <v>4.2625000000000002</v>
      </c>
      <c r="W190" s="57">
        <f>(1000*CHOOSE(CONTROL!$C$42, 0.1146, 0.1146)*CHOOSE(CONTROL!$C$42, 121.5, 121.5)*CHOOSE(CONTROL!$C$42, 31, 31))/1000000</f>
        <v>0.43164089999999994</v>
      </c>
      <c r="X190" s="57">
        <f>(31*0.1790888*245000/1000000)+(31*0.2374*100000/1000000)</f>
        <v>2.0961194359999999</v>
      </c>
      <c r="Y190" s="57"/>
      <c r="Z190" s="14"/>
      <c r="AA190" s="56"/>
      <c r="AB190" s="50">
        <f>(B190*131.881+C190*277.167+D190*79.08+E190*125.872+F190*40+G190*185+H190*0+I190*100+J190*300)/(131.881+277.167+79.08+125.872+0+40+185+100+300)</f>
        <v>7.4995819405165456</v>
      </c>
      <c r="AC190" s="45">
        <f>(M190*'RAP TEMPLATE-GAS AVAILABILITY'!O189+N190*'RAP TEMPLATE-GAS AVAILABILITY'!P189+O190*'RAP TEMPLATE-GAS AVAILABILITY'!Q189+P190*'RAP TEMPLATE-GAS AVAILABILITY'!R189)/('RAP TEMPLATE-GAS AVAILABILITY'!O189+'RAP TEMPLATE-GAS AVAILABILITY'!P189+'RAP TEMPLATE-GAS AVAILABILITY'!Q189+'RAP TEMPLATE-GAS AVAILABILITY'!R189)</f>
        <v>7.4604776978417267</v>
      </c>
    </row>
    <row r="191" spans="1:29" ht="15.75" x14ac:dyDescent="0.25">
      <c r="A191" s="13">
        <v>46692</v>
      </c>
      <c r="B191" s="14">
        <f>CHOOSE(CONTROL!$C$42, 7.6613, 7.6613) * CHOOSE(CONTROL!$C$21, $C$9, 100%, $E$9)</f>
        <v>7.6612999999999998</v>
      </c>
      <c r="C191" s="14">
        <f>CHOOSE(CONTROL!$C$42, 7.6663, 7.6663) * CHOOSE(CONTROL!$C$21, $C$9, 100%, $E$9)</f>
        <v>7.6662999999999997</v>
      </c>
      <c r="D191" s="14">
        <f>CHOOSE(CONTROL!$C$42, 7.7293, 7.7293) * CHOOSE(CONTROL!$C$21, $C$9, 100%, $E$9)</f>
        <v>7.7293000000000003</v>
      </c>
      <c r="E191" s="14">
        <f>CHOOSE(CONTROL!$C$42, 7.7631, 7.7631) * CHOOSE(CONTROL!$C$21, $C$9, 100%, $E$9)</f>
        <v>7.7630999999999997</v>
      </c>
      <c r="F191" s="14">
        <f>CHOOSE(CONTROL!$C$42, 7.662, 7.662)*CHOOSE(CONTROL!$C$21, $C$9, 100%, $E$9)</f>
        <v>7.6619999999999999</v>
      </c>
      <c r="G191" s="14">
        <f>CHOOSE(CONTROL!$C$42, 7.6783, 7.6783)*CHOOSE(CONTROL!$C$21, $C$9, 100%, $E$9)</f>
        <v>7.6783000000000001</v>
      </c>
      <c r="H191" s="14">
        <f>CHOOSE(CONTROL!$C$42, 7.7523, 7.7523) * CHOOSE(CONTROL!$C$21, $C$9, 100%, $E$9)</f>
        <v>7.7523</v>
      </c>
      <c r="I191" s="14">
        <f>CHOOSE(CONTROL!$C$42, 7.6748, 7.6748)* CHOOSE(CONTROL!$C$21, $C$9, 100%, $E$9)</f>
        <v>7.6748000000000003</v>
      </c>
      <c r="J191" s="14">
        <f>CHOOSE(CONTROL!$C$42, 7.655, 7.655)* CHOOSE(CONTROL!$C$21, $C$9, 100%, $E$9)</f>
        <v>7.6550000000000002</v>
      </c>
      <c r="K191" s="53">
        <f>CHOOSE(CONTROL!$C$42, 7.671, 7.671) * CHOOSE(CONTROL!$C$21, $C$9, 100%, $E$9)</f>
        <v>7.6710000000000003</v>
      </c>
      <c r="L191" s="14">
        <f>CHOOSE(CONTROL!$C$42, 8.3393, 8.3393) * CHOOSE(CONTROL!$C$21, $C$9, 100%, $E$9)</f>
        <v>8.3392999999999997</v>
      </c>
      <c r="M191" s="14">
        <f>CHOOSE(CONTROL!$C$42, 7.5916, 7.5916) * CHOOSE(CONTROL!$C$21, $C$9, 100%, $E$9)</f>
        <v>7.5915999999999997</v>
      </c>
      <c r="N191" s="14">
        <f>CHOOSE(CONTROL!$C$42, 7.6077, 7.6077) * CHOOSE(CONTROL!$C$21, $C$9, 100%, $E$9)</f>
        <v>7.6077000000000004</v>
      </c>
      <c r="O191" s="14">
        <f>CHOOSE(CONTROL!$C$42, 7.6879, 7.6879) * CHOOSE(CONTROL!$C$21, $C$9, 100%, $E$9)</f>
        <v>7.6879</v>
      </c>
      <c r="P191" s="14">
        <f>CHOOSE(CONTROL!$C$42, 7.6113, 7.6113) * CHOOSE(CONTROL!$C$21, $C$9, 100%, $E$9)</f>
        <v>7.6113</v>
      </c>
      <c r="Q191" s="14">
        <f>CHOOSE(CONTROL!$C$42, 8.2832, 8.2832) * CHOOSE(CONTROL!$C$21, $C$9, 100%, $E$9)</f>
        <v>8.2832000000000008</v>
      </c>
      <c r="R191" s="14">
        <f>CHOOSE(CONTROL!$C$42, 8.8909, 8.8909) * CHOOSE(CONTROL!$C$21, $C$9, 100%, $E$9)</f>
        <v>8.8909000000000002</v>
      </c>
      <c r="S191" s="14">
        <f>CHOOSE(CONTROL!$C$42, 7.4378, 7.4378) * CHOOSE(CONTROL!$C$21, $C$9, 100%, $E$9)</f>
        <v>7.4378000000000002</v>
      </c>
      <c r="T19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91" s="57">
        <f>(1000*CHOOSE(CONTROL!$C$42, 695, 695)*CHOOSE(CONTROL!$C$42, 0.5599, 0.5599)*CHOOSE(CONTROL!$C$42, 30, 30))/1000000</f>
        <v>11.673914999999997</v>
      </c>
      <c r="V191" s="57">
        <f>(1000*CHOOSE(CONTROL!$C$42, 500, 500)*CHOOSE(CONTROL!$C$42, 0.275, 0.275)*CHOOSE(CONTROL!$C$42, 30, 30))/1000000</f>
        <v>4.125</v>
      </c>
      <c r="W191" s="57">
        <f>(1000*CHOOSE(CONTROL!$C$42, 0.1146, 0.1146)*CHOOSE(CONTROL!$C$42, 121.5, 121.5)*CHOOSE(CONTROL!$C$42, 30, 30))/1000000</f>
        <v>0.417717</v>
      </c>
      <c r="X191" s="57">
        <f>(30*0.1790888*100000/1000000)+(30*0.2374*100000/1000000)</f>
        <v>1.2494664</v>
      </c>
      <c r="Y191" s="57"/>
      <c r="Z191" s="14"/>
      <c r="AA191" s="56"/>
      <c r="AB191" s="50">
        <f>(B191*122.58+C191*297.941+D191*89.177+E191*40.302+F191*40+G191*160+H191*0+I191*100+J191*300)/(122.58+297.941+89.177+40.302+0+40+160+100+300)</f>
        <v>7.6733560735652171</v>
      </c>
      <c r="AC191" s="45">
        <f>(M191*'RAP TEMPLATE-GAS AVAILABILITY'!O190+N191*'RAP TEMPLATE-GAS AVAILABILITY'!P190+O191*'RAP TEMPLATE-GAS AVAILABILITY'!Q190+P191*'RAP TEMPLATE-GAS AVAILABILITY'!R190)/('RAP TEMPLATE-GAS AVAILABILITY'!O190+'RAP TEMPLATE-GAS AVAILABILITY'!P190+'RAP TEMPLATE-GAS AVAILABILITY'!Q190+'RAP TEMPLATE-GAS AVAILABILITY'!R190)</f>
        <v>7.6390079136690643</v>
      </c>
    </row>
    <row r="192" spans="1:29" ht="15.75" x14ac:dyDescent="0.25">
      <c r="A192" s="13">
        <v>46722</v>
      </c>
      <c r="B192" s="14">
        <f>CHOOSE(CONTROL!$C$42, 8.1834, 8.1834) * CHOOSE(CONTROL!$C$21, $C$9, 100%, $E$9)</f>
        <v>8.1834000000000007</v>
      </c>
      <c r="C192" s="14">
        <f>CHOOSE(CONTROL!$C$42, 8.1884, 8.1884) * CHOOSE(CONTROL!$C$21, $C$9, 100%, $E$9)</f>
        <v>8.1883999999999997</v>
      </c>
      <c r="D192" s="14">
        <f>CHOOSE(CONTROL!$C$42, 8.2515, 8.2515) * CHOOSE(CONTROL!$C$21, $C$9, 100%, $E$9)</f>
        <v>8.2515000000000001</v>
      </c>
      <c r="E192" s="14">
        <f>CHOOSE(CONTROL!$C$42, 8.2853, 8.2853) * CHOOSE(CONTROL!$C$21, $C$9, 100%, $E$9)</f>
        <v>8.2852999999999994</v>
      </c>
      <c r="F192" s="14">
        <f>CHOOSE(CONTROL!$C$42, 8.1862, 8.1862)*CHOOSE(CONTROL!$C$21, $C$9, 100%, $E$9)</f>
        <v>8.1861999999999995</v>
      </c>
      <c r="G192" s="14">
        <f>CHOOSE(CONTROL!$C$42, 8.203, 8.203)*CHOOSE(CONTROL!$C$21, $C$9, 100%, $E$9)</f>
        <v>8.2029999999999994</v>
      </c>
      <c r="H192" s="14">
        <f>CHOOSE(CONTROL!$C$42, 8.2744, 8.2744) * CHOOSE(CONTROL!$C$21, $C$9, 100%, $E$9)</f>
        <v>8.2744</v>
      </c>
      <c r="I192" s="14">
        <f>CHOOSE(CONTROL!$C$42, 8.197, 8.197)* CHOOSE(CONTROL!$C$21, $C$9, 100%, $E$9)</f>
        <v>8.1969999999999992</v>
      </c>
      <c r="J192" s="14">
        <f>CHOOSE(CONTROL!$C$42, 8.1792, 8.1792)* CHOOSE(CONTROL!$C$21, $C$9, 100%, $E$9)</f>
        <v>8.1791999999999998</v>
      </c>
      <c r="K192" s="53">
        <f>CHOOSE(CONTROL!$C$42, 8.1931, 8.1931) * CHOOSE(CONTROL!$C$21, $C$9, 100%, $E$9)</f>
        <v>8.1930999999999994</v>
      </c>
      <c r="L192" s="14">
        <f>CHOOSE(CONTROL!$C$42, 8.8614, 8.8614) * CHOOSE(CONTROL!$C$21, $C$9, 100%, $E$9)</f>
        <v>8.8613999999999997</v>
      </c>
      <c r="M192" s="14">
        <f>CHOOSE(CONTROL!$C$42, 8.1105, 8.1105) * CHOOSE(CONTROL!$C$21, $C$9, 100%, $E$9)</f>
        <v>8.1105</v>
      </c>
      <c r="N192" s="14">
        <f>CHOOSE(CONTROL!$C$42, 8.1271, 8.1271) * CHOOSE(CONTROL!$C$21, $C$9, 100%, $E$9)</f>
        <v>8.1271000000000004</v>
      </c>
      <c r="O192" s="14">
        <f>CHOOSE(CONTROL!$C$42, 8.2048, 8.2048) * CHOOSE(CONTROL!$C$21, $C$9, 100%, $E$9)</f>
        <v>8.2048000000000005</v>
      </c>
      <c r="P192" s="14">
        <f>CHOOSE(CONTROL!$C$42, 8.1281, 8.1281) * CHOOSE(CONTROL!$C$21, $C$9, 100%, $E$9)</f>
        <v>8.1280999999999999</v>
      </c>
      <c r="Q192" s="14">
        <f>CHOOSE(CONTROL!$C$42, 8.8001, 8.8001) * CHOOSE(CONTROL!$C$21, $C$9, 100%, $E$9)</f>
        <v>8.8001000000000005</v>
      </c>
      <c r="R192" s="14">
        <f>CHOOSE(CONTROL!$C$42, 9.4091, 9.4091) * CHOOSE(CONTROL!$C$21, $C$9, 100%, $E$9)</f>
        <v>9.4091000000000005</v>
      </c>
      <c r="S192" s="14">
        <f>CHOOSE(CONTROL!$C$42, 7.9448, 7.9448) * CHOOSE(CONTROL!$C$21, $C$9, 100%, $E$9)</f>
        <v>7.9447999999999999</v>
      </c>
      <c r="T19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92" s="57">
        <f>(1000*CHOOSE(CONTROL!$C$42, 695, 695)*CHOOSE(CONTROL!$C$42, 0.5599, 0.5599)*CHOOSE(CONTROL!$C$42, 31, 31))/1000000</f>
        <v>12.063045499999998</v>
      </c>
      <c r="V192" s="57">
        <f>(1000*CHOOSE(CONTROL!$C$42, 500, 500)*CHOOSE(CONTROL!$C$42, 0.275, 0.275)*CHOOSE(CONTROL!$C$42, 31, 31))/1000000</f>
        <v>4.2625000000000002</v>
      </c>
      <c r="W192" s="57">
        <f>(1000*CHOOSE(CONTROL!$C$42, 0.1146, 0.1146)*CHOOSE(CONTROL!$C$42, 121.5, 121.5)*CHOOSE(CONTROL!$C$42, 31, 31))/1000000</f>
        <v>0.43164089999999994</v>
      </c>
      <c r="X192" s="57">
        <f>(31*0.1790888*100000/1000000)+(31*0.2374*100000/1000000)</f>
        <v>1.2911152800000001</v>
      </c>
      <c r="Y192" s="57"/>
      <c r="Z192" s="14"/>
      <c r="AA192" s="56"/>
      <c r="AB192" s="50">
        <f>(B192*122.58+C192*297.941+D192*89.177+E192*40.302+F192*40+G192*160+H192*0+I192*100+J192*300)/(122.58+297.941+89.177+40.302+0+40+160+100+300)</f>
        <v>8.1964586369565211</v>
      </c>
      <c r="AC192" s="45">
        <f>(M192*'RAP TEMPLATE-GAS AVAILABILITY'!O191+N192*'RAP TEMPLATE-GAS AVAILABILITY'!P191+O192*'RAP TEMPLATE-GAS AVAILABILITY'!Q191+P192*'RAP TEMPLATE-GAS AVAILABILITY'!R191)/('RAP TEMPLATE-GAS AVAILABILITY'!O191+'RAP TEMPLATE-GAS AVAILABILITY'!P191+'RAP TEMPLATE-GAS AVAILABILITY'!Q191+'RAP TEMPLATE-GAS AVAILABILITY'!R191)</f>
        <v>8.1567280575539556</v>
      </c>
    </row>
    <row r="193" spans="1:29" ht="15.75" x14ac:dyDescent="0.25">
      <c r="A193" s="13">
        <v>46753</v>
      </c>
      <c r="B193" s="14">
        <f>CHOOSE(CONTROL!$C$42, 8.9571, 8.9571) * CHOOSE(CONTROL!$C$21, $C$9, 100%, $E$9)</f>
        <v>8.9571000000000005</v>
      </c>
      <c r="C193" s="14">
        <f>CHOOSE(CONTROL!$C$42, 8.962, 8.962) * CHOOSE(CONTROL!$C$21, $C$9, 100%, $E$9)</f>
        <v>8.9619999999999997</v>
      </c>
      <c r="D193" s="14">
        <f>CHOOSE(CONTROL!$C$42, 9.0263, 9.0263) * CHOOSE(CONTROL!$C$21, $C$9, 100%, $E$9)</f>
        <v>9.0263000000000009</v>
      </c>
      <c r="E193" s="14">
        <f>CHOOSE(CONTROL!$C$42, 9.0601, 9.0601) * CHOOSE(CONTROL!$C$21, $C$9, 100%, $E$9)</f>
        <v>9.0601000000000003</v>
      </c>
      <c r="F193" s="14">
        <f>CHOOSE(CONTROL!$C$42, 8.9586, 8.9586)*CHOOSE(CONTROL!$C$21, $C$9, 100%, $E$9)</f>
        <v>8.9586000000000006</v>
      </c>
      <c r="G193" s="14">
        <f>CHOOSE(CONTROL!$C$42, 8.9745, 8.9745)*CHOOSE(CONTROL!$C$21, $C$9, 100%, $E$9)</f>
        <v>8.9745000000000008</v>
      </c>
      <c r="H193" s="14">
        <f>CHOOSE(CONTROL!$C$42, 9.0493, 9.0493) * CHOOSE(CONTROL!$C$21, $C$9, 100%, $E$9)</f>
        <v>9.0493000000000006</v>
      </c>
      <c r="I193" s="14">
        <f>CHOOSE(CONTROL!$C$42, 8.977, 8.977)* CHOOSE(CONTROL!$C$21, $C$9, 100%, $E$9)</f>
        <v>8.9770000000000003</v>
      </c>
      <c r="J193" s="14">
        <f>CHOOSE(CONTROL!$C$42, 8.9516, 8.9516)* CHOOSE(CONTROL!$C$21, $C$9, 100%, $E$9)</f>
        <v>8.9515999999999991</v>
      </c>
      <c r="K193" s="53">
        <f>CHOOSE(CONTROL!$C$42, 8.9732, 8.9732) * CHOOSE(CONTROL!$C$21, $C$9, 100%, $E$9)</f>
        <v>8.9732000000000003</v>
      </c>
      <c r="L193" s="14">
        <f>CHOOSE(CONTROL!$C$42, 9.6363, 9.6363) * CHOOSE(CONTROL!$C$21, $C$9, 100%, $E$9)</f>
        <v>9.6363000000000003</v>
      </c>
      <c r="M193" s="14">
        <f>CHOOSE(CONTROL!$C$42, 8.8751, 8.8751) * CHOOSE(CONTROL!$C$21, $C$9, 100%, $E$9)</f>
        <v>8.8750999999999998</v>
      </c>
      <c r="N193" s="14">
        <f>CHOOSE(CONTROL!$C$42, 8.8908, 8.8908) * CHOOSE(CONTROL!$C$21, $C$9, 100%, $E$9)</f>
        <v>8.8908000000000005</v>
      </c>
      <c r="O193" s="14">
        <f>CHOOSE(CONTROL!$C$42, 8.9718, 8.9718) * CHOOSE(CONTROL!$C$21, $C$9, 100%, $E$9)</f>
        <v>8.9718</v>
      </c>
      <c r="P193" s="14">
        <f>CHOOSE(CONTROL!$C$42, 8.9003, 8.9003) * CHOOSE(CONTROL!$C$21, $C$9, 100%, $E$9)</f>
        <v>8.9002999999999997</v>
      </c>
      <c r="Q193" s="14">
        <f>CHOOSE(CONTROL!$C$42, 9.5671, 9.5671) * CHOOSE(CONTROL!$C$21, $C$9, 100%, $E$9)</f>
        <v>9.5670999999999999</v>
      </c>
      <c r="R193" s="14">
        <f>CHOOSE(CONTROL!$C$42, 10.178, 10.178) * CHOOSE(CONTROL!$C$21, $C$9, 100%, $E$9)</f>
        <v>10.178000000000001</v>
      </c>
      <c r="S193" s="14">
        <f>CHOOSE(CONTROL!$C$42, 8.6961, 8.6961) * CHOOSE(CONTROL!$C$21, $C$9, 100%, $E$9)</f>
        <v>8.6960999999999995</v>
      </c>
      <c r="T19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93" s="57">
        <f>(1000*CHOOSE(CONTROL!$C$42, 695, 695)*CHOOSE(CONTROL!$C$42, 0.5599, 0.5599)*CHOOSE(CONTROL!$C$42, 31, 31))/1000000</f>
        <v>12.063045499999998</v>
      </c>
      <c r="V193" s="57">
        <f>(1000*CHOOSE(CONTROL!$C$42, 500, 500)*CHOOSE(CONTROL!$C$42, 0.275, 0.275)*CHOOSE(CONTROL!$C$42, 31, 31))/1000000</f>
        <v>4.2625000000000002</v>
      </c>
      <c r="W193" s="57">
        <f>(1000*CHOOSE(CONTROL!$C$42, 0.1146, 0.1146)*CHOOSE(CONTROL!$C$42, 121.5, 121.5)*CHOOSE(CONTROL!$C$42, 31, 31))/1000000</f>
        <v>0.43164089999999994</v>
      </c>
      <c r="X193" s="57">
        <f>(31*0.1790888*100000/1000000)+(31*0.2374*100000/1000000)</f>
        <v>1.2911152800000001</v>
      </c>
      <c r="Y193" s="57"/>
      <c r="Z193" s="14"/>
      <c r="AA193" s="56"/>
      <c r="AB193" s="50">
        <f>(B193*122.58+C193*297.941+D193*89.177+E193*40.302+F193*40+G193*160+H193*0+I193*100+J193*300)/(122.58+297.941+89.177+40.302+0+40+160+100+300)</f>
        <v>8.9701139698260874</v>
      </c>
      <c r="AC193" s="45">
        <f>(M193*'RAP TEMPLATE-GAS AVAILABILITY'!O192+N193*'RAP TEMPLATE-GAS AVAILABILITY'!P192+O193*'RAP TEMPLATE-GAS AVAILABILITY'!Q192+P193*'RAP TEMPLATE-GAS AVAILABILITY'!R192)/('RAP TEMPLATE-GAS AVAILABILITY'!O192+'RAP TEMPLATE-GAS AVAILABILITY'!P192+'RAP TEMPLATE-GAS AVAILABILITY'!Q192+'RAP TEMPLATE-GAS AVAILABILITY'!R192)</f>
        <v>8.923457553956835</v>
      </c>
    </row>
    <row r="194" spans="1:29" ht="15.75" x14ac:dyDescent="0.25">
      <c r="A194" s="13">
        <v>46784</v>
      </c>
      <c r="B194" s="14">
        <f>CHOOSE(CONTROL!$C$42, 9.1165, 9.1165) * CHOOSE(CONTROL!$C$21, $C$9, 100%, $E$9)</f>
        <v>9.1165000000000003</v>
      </c>
      <c r="C194" s="14">
        <f>CHOOSE(CONTROL!$C$42, 9.1214, 9.1214) * CHOOSE(CONTROL!$C$21, $C$9, 100%, $E$9)</f>
        <v>9.1213999999999995</v>
      </c>
      <c r="D194" s="14">
        <f>CHOOSE(CONTROL!$C$42, 9.1857, 9.1857) * CHOOSE(CONTROL!$C$21, $C$9, 100%, $E$9)</f>
        <v>9.1857000000000006</v>
      </c>
      <c r="E194" s="14">
        <f>CHOOSE(CONTROL!$C$42, 9.2195, 9.2195) * CHOOSE(CONTROL!$C$21, $C$9, 100%, $E$9)</f>
        <v>9.2195</v>
      </c>
      <c r="F194" s="14">
        <f>CHOOSE(CONTROL!$C$42, 9.118, 9.118)*CHOOSE(CONTROL!$C$21, $C$9, 100%, $E$9)</f>
        <v>9.1180000000000003</v>
      </c>
      <c r="G194" s="14">
        <f>CHOOSE(CONTROL!$C$42, 9.134, 9.134)*CHOOSE(CONTROL!$C$21, $C$9, 100%, $E$9)</f>
        <v>9.1340000000000003</v>
      </c>
      <c r="H194" s="14">
        <f>CHOOSE(CONTROL!$C$42, 9.2087, 9.2087) * CHOOSE(CONTROL!$C$21, $C$9, 100%, $E$9)</f>
        <v>9.2087000000000003</v>
      </c>
      <c r="I194" s="14">
        <f>CHOOSE(CONTROL!$C$42, 9.1364, 9.1364)* CHOOSE(CONTROL!$C$21, $C$9, 100%, $E$9)</f>
        <v>9.1364000000000001</v>
      </c>
      <c r="J194" s="14">
        <f>CHOOSE(CONTROL!$C$42, 9.111, 9.111)* CHOOSE(CONTROL!$C$21, $C$9, 100%, $E$9)</f>
        <v>9.1110000000000007</v>
      </c>
      <c r="K194" s="53">
        <f>CHOOSE(CONTROL!$C$42, 9.1325, 9.1325) * CHOOSE(CONTROL!$C$21, $C$9, 100%, $E$9)</f>
        <v>9.1325000000000003</v>
      </c>
      <c r="L194" s="14">
        <f>CHOOSE(CONTROL!$C$42, 9.7957, 9.7957) * CHOOSE(CONTROL!$C$21, $C$9, 100%, $E$9)</f>
        <v>9.7957000000000001</v>
      </c>
      <c r="M194" s="14">
        <f>CHOOSE(CONTROL!$C$42, 9.0329, 9.0329) * CHOOSE(CONTROL!$C$21, $C$9, 100%, $E$9)</f>
        <v>9.0328999999999997</v>
      </c>
      <c r="N194" s="14">
        <f>CHOOSE(CONTROL!$C$42, 9.0487, 9.0487) * CHOOSE(CONTROL!$C$21, $C$9, 100%, $E$9)</f>
        <v>9.0487000000000002</v>
      </c>
      <c r="O194" s="14">
        <f>CHOOSE(CONTROL!$C$42, 9.1296, 9.1296) * CHOOSE(CONTROL!$C$21, $C$9, 100%, $E$9)</f>
        <v>9.1295999999999999</v>
      </c>
      <c r="P194" s="14">
        <f>CHOOSE(CONTROL!$C$42, 9.0581, 9.0581) * CHOOSE(CONTROL!$C$21, $C$9, 100%, $E$9)</f>
        <v>9.0580999999999996</v>
      </c>
      <c r="Q194" s="14">
        <f>CHOOSE(CONTROL!$C$42, 9.7249, 9.7249) * CHOOSE(CONTROL!$C$21, $C$9, 100%, $E$9)</f>
        <v>9.7248999999999999</v>
      </c>
      <c r="R194" s="14">
        <f>CHOOSE(CONTROL!$C$42, 10.3362, 10.3362) * CHOOSE(CONTROL!$C$21, $C$9, 100%, $E$9)</f>
        <v>10.3362</v>
      </c>
      <c r="S194" s="14">
        <f>CHOOSE(CONTROL!$C$42, 8.8509, 8.8509) * CHOOSE(CONTROL!$C$21, $C$9, 100%, $E$9)</f>
        <v>8.8508999999999993</v>
      </c>
      <c r="T194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94" s="57">
        <f>(1000*CHOOSE(CONTROL!$C$42, 695, 695)*CHOOSE(CONTROL!$C$42, 0.5599, 0.5599)*CHOOSE(CONTROL!$C$42, 29, 29))/1000000</f>
        <v>11.284784499999999</v>
      </c>
      <c r="V194" s="57">
        <f>(1000*CHOOSE(CONTROL!$C$42, 500, 500)*CHOOSE(CONTROL!$C$42, 0.275, 0.275)*CHOOSE(CONTROL!$C$42, 29, 29))/1000000</f>
        <v>3.9874999999999998</v>
      </c>
      <c r="W194" s="57">
        <f>(1000*CHOOSE(CONTROL!$C$42, 0.1146, 0.1146)*CHOOSE(CONTROL!$C$42, 121.5, 121.5)*CHOOSE(CONTROL!$C$42, 29, 29))/1000000</f>
        <v>0.40379309999999996</v>
      </c>
      <c r="X194" s="57">
        <f>(29*0.1790888*100000/1000000)+(29*0.2374*100000/1000000)</f>
        <v>1.2078175199999999</v>
      </c>
      <c r="Y194" s="57"/>
      <c r="Z194" s="14"/>
      <c r="AA194" s="56"/>
      <c r="AB194" s="50">
        <f>(B194*122.58+C194*297.941+D194*89.177+E194*40.302+F194*40+G194*160+H194*0+I194*100+J194*300)/(122.58+297.941+89.177+40.302+0+40+160+100+300)</f>
        <v>9.1295278828695654</v>
      </c>
      <c r="AC194" s="45">
        <f>(M194*'RAP TEMPLATE-GAS AVAILABILITY'!O193+N194*'RAP TEMPLATE-GAS AVAILABILITY'!P193+O194*'RAP TEMPLATE-GAS AVAILABILITY'!Q193+P194*'RAP TEMPLATE-GAS AVAILABILITY'!R193)/('RAP TEMPLATE-GAS AVAILABILITY'!O193+'RAP TEMPLATE-GAS AVAILABILITY'!P193+'RAP TEMPLATE-GAS AVAILABILITY'!Q193+'RAP TEMPLATE-GAS AVAILABILITY'!R193)</f>
        <v>9.0812633093525168</v>
      </c>
    </row>
    <row r="195" spans="1:29" ht="15.75" x14ac:dyDescent="0.25">
      <c r="A195" s="13">
        <v>46813</v>
      </c>
      <c r="B195" s="14">
        <f>CHOOSE(CONTROL!$C$42, 8.8577, 8.8577) * CHOOSE(CONTROL!$C$21, $C$9, 100%, $E$9)</f>
        <v>8.8576999999999995</v>
      </c>
      <c r="C195" s="14">
        <f>CHOOSE(CONTROL!$C$42, 8.8627, 8.8627) * CHOOSE(CONTROL!$C$21, $C$9, 100%, $E$9)</f>
        <v>8.8627000000000002</v>
      </c>
      <c r="D195" s="14">
        <f>CHOOSE(CONTROL!$C$42, 8.927, 8.927) * CHOOSE(CONTROL!$C$21, $C$9, 100%, $E$9)</f>
        <v>8.9269999999999996</v>
      </c>
      <c r="E195" s="14">
        <f>CHOOSE(CONTROL!$C$42, 8.9607, 8.9607) * CHOOSE(CONTROL!$C$21, $C$9, 100%, $E$9)</f>
        <v>8.9606999999999992</v>
      </c>
      <c r="F195" s="14">
        <f>CHOOSE(CONTROL!$C$42, 8.859, 8.859)*CHOOSE(CONTROL!$C$21, $C$9, 100%, $E$9)</f>
        <v>8.859</v>
      </c>
      <c r="G195" s="14">
        <f>CHOOSE(CONTROL!$C$42, 8.8748, 8.8748)*CHOOSE(CONTROL!$C$21, $C$9, 100%, $E$9)</f>
        <v>8.8748000000000005</v>
      </c>
      <c r="H195" s="14">
        <f>CHOOSE(CONTROL!$C$42, 8.9499, 8.9499) * CHOOSE(CONTROL!$C$21, $C$9, 100%, $E$9)</f>
        <v>8.9498999999999995</v>
      </c>
      <c r="I195" s="14">
        <f>CHOOSE(CONTROL!$C$42, 8.8777, 8.8777)* CHOOSE(CONTROL!$C$21, $C$9, 100%, $E$9)</f>
        <v>8.8777000000000008</v>
      </c>
      <c r="J195" s="14">
        <f>CHOOSE(CONTROL!$C$42, 8.852, 8.852)* CHOOSE(CONTROL!$C$21, $C$9, 100%, $E$9)</f>
        <v>8.8520000000000003</v>
      </c>
      <c r="K195" s="53">
        <f>CHOOSE(CONTROL!$C$42, 8.8738, 8.8738) * CHOOSE(CONTROL!$C$21, $C$9, 100%, $E$9)</f>
        <v>8.8737999999999992</v>
      </c>
      <c r="L195" s="14">
        <f>CHOOSE(CONTROL!$C$42, 9.5369, 9.5369) * CHOOSE(CONTROL!$C$21, $C$9, 100%, $E$9)</f>
        <v>9.5368999999999993</v>
      </c>
      <c r="M195" s="14">
        <f>CHOOSE(CONTROL!$C$42, 8.7765, 8.7765) * CHOOSE(CONTROL!$C$21, $C$9, 100%, $E$9)</f>
        <v>8.7765000000000004</v>
      </c>
      <c r="N195" s="14">
        <f>CHOOSE(CONTROL!$C$42, 8.7922, 8.7922) * CHOOSE(CONTROL!$C$21, $C$9, 100%, $E$9)</f>
        <v>8.7921999999999993</v>
      </c>
      <c r="O195" s="14">
        <f>CHOOSE(CONTROL!$C$42, 8.8734, 8.8734) * CHOOSE(CONTROL!$C$21, $C$9, 100%, $E$9)</f>
        <v>8.8734000000000002</v>
      </c>
      <c r="P195" s="14">
        <f>CHOOSE(CONTROL!$C$42, 8.802, 8.802) * CHOOSE(CONTROL!$C$21, $C$9, 100%, $E$9)</f>
        <v>8.8019999999999996</v>
      </c>
      <c r="Q195" s="14">
        <f>CHOOSE(CONTROL!$C$42, 9.4687, 9.4687) * CHOOSE(CONTROL!$C$21, $C$9, 100%, $E$9)</f>
        <v>9.4687000000000001</v>
      </c>
      <c r="R195" s="14">
        <f>CHOOSE(CONTROL!$C$42, 10.0794, 10.0794) * CHOOSE(CONTROL!$C$21, $C$9, 100%, $E$9)</f>
        <v>10.0794</v>
      </c>
      <c r="S195" s="14">
        <f>CHOOSE(CONTROL!$C$42, 8.5996, 8.5996) * CHOOSE(CONTROL!$C$21, $C$9, 100%, $E$9)</f>
        <v>8.5996000000000006</v>
      </c>
      <c r="T19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95" s="57">
        <f>(1000*CHOOSE(CONTROL!$C$42, 695, 695)*CHOOSE(CONTROL!$C$42, 0.5599, 0.5599)*CHOOSE(CONTROL!$C$42, 31, 31))/1000000</f>
        <v>12.063045499999998</v>
      </c>
      <c r="V195" s="57">
        <f>(1000*CHOOSE(CONTROL!$C$42, 500, 500)*CHOOSE(CONTROL!$C$42, 0.275, 0.275)*CHOOSE(CONTROL!$C$42, 31, 31))/1000000</f>
        <v>4.2625000000000002</v>
      </c>
      <c r="W195" s="57">
        <f>(1000*CHOOSE(CONTROL!$C$42, 0.1146, 0.1146)*CHOOSE(CONTROL!$C$42, 121.5, 121.5)*CHOOSE(CONTROL!$C$42, 31, 31))/1000000</f>
        <v>0.43164089999999994</v>
      </c>
      <c r="X195" s="57">
        <f>(31*0.1790888*100000/1000000)+(31*0.2374*100000/1000000)</f>
        <v>1.2911152800000001</v>
      </c>
      <c r="Y195" s="57"/>
      <c r="Z195" s="14"/>
      <c r="AA195" s="56"/>
      <c r="AB195" s="50">
        <f>(B195*122.58+C195*297.941+D195*89.177+E195*40.302+F195*40+G195*160+H195*0+I195*100+J195*300)/(122.58+297.941+89.177+40.302+0+40+160+100+300)</f>
        <v>8.8706554583478248</v>
      </c>
      <c r="AC195" s="45">
        <f>(M195*'RAP TEMPLATE-GAS AVAILABILITY'!O194+N195*'RAP TEMPLATE-GAS AVAILABILITY'!P194+O195*'RAP TEMPLATE-GAS AVAILABILITY'!Q194+P195*'RAP TEMPLATE-GAS AVAILABILITY'!R194)/('RAP TEMPLATE-GAS AVAILABILITY'!O194+'RAP TEMPLATE-GAS AVAILABILITY'!P194+'RAP TEMPLATE-GAS AVAILABILITY'!Q194+'RAP TEMPLATE-GAS AVAILABILITY'!R194)</f>
        <v>8.8249913669064739</v>
      </c>
    </row>
    <row r="196" spans="1:29" ht="15.75" x14ac:dyDescent="0.25">
      <c r="A196" s="13">
        <v>46844</v>
      </c>
      <c r="B196" s="14">
        <f>CHOOSE(CONTROL!$C$42, 8.8324, 8.8324) * CHOOSE(CONTROL!$C$21, $C$9, 100%, $E$9)</f>
        <v>8.8323999999999998</v>
      </c>
      <c r="C196" s="14">
        <f>CHOOSE(CONTROL!$C$42, 8.8368, 8.8368) * CHOOSE(CONTROL!$C$21, $C$9, 100%, $E$9)</f>
        <v>8.8368000000000002</v>
      </c>
      <c r="D196" s="14">
        <f>CHOOSE(CONTROL!$C$42, 9.0375, 9.0375) * CHOOSE(CONTROL!$C$21, $C$9, 100%, $E$9)</f>
        <v>9.0374999999999996</v>
      </c>
      <c r="E196" s="14">
        <f>CHOOSE(CONTROL!$C$42, 9.0693, 9.0693) * CHOOSE(CONTROL!$C$21, $C$9, 100%, $E$9)</f>
        <v>9.0693000000000001</v>
      </c>
      <c r="F196" s="14">
        <f>CHOOSE(CONTROL!$C$42, 8.817, 8.817)*CHOOSE(CONTROL!$C$21, $C$9, 100%, $E$9)</f>
        <v>8.8170000000000002</v>
      </c>
      <c r="G196" s="14">
        <f>CHOOSE(CONTROL!$C$42, 8.8326, 8.8326)*CHOOSE(CONTROL!$C$21, $C$9, 100%, $E$9)</f>
        <v>8.8325999999999993</v>
      </c>
      <c r="H196" s="14">
        <f>CHOOSE(CONTROL!$C$42, 9.059, 9.059) * CHOOSE(CONTROL!$C$21, $C$9, 100%, $E$9)</f>
        <v>9.0589999999999993</v>
      </c>
      <c r="I196" s="14">
        <f>CHOOSE(CONTROL!$C$42, 8.8451, 8.8451)* CHOOSE(CONTROL!$C$21, $C$9, 100%, $E$9)</f>
        <v>8.8451000000000004</v>
      </c>
      <c r="J196" s="14">
        <f>CHOOSE(CONTROL!$C$42, 8.81, 8.81)* CHOOSE(CONTROL!$C$21, $C$9, 100%, $E$9)</f>
        <v>8.81</v>
      </c>
      <c r="K196" s="53">
        <f>CHOOSE(CONTROL!$C$42, 8.8413, 8.8413) * CHOOSE(CONTROL!$C$21, $C$9, 100%, $E$9)</f>
        <v>8.8413000000000004</v>
      </c>
      <c r="L196" s="14">
        <f>CHOOSE(CONTROL!$C$42, 9.646, 9.646) * CHOOSE(CONTROL!$C$21, $C$9, 100%, $E$9)</f>
        <v>9.6460000000000008</v>
      </c>
      <c r="M196" s="14">
        <f>CHOOSE(CONTROL!$C$42, 8.7349, 8.7349) * CHOOSE(CONTROL!$C$21, $C$9, 100%, $E$9)</f>
        <v>8.7348999999999997</v>
      </c>
      <c r="N196" s="14">
        <f>CHOOSE(CONTROL!$C$42, 8.7504, 8.7504) * CHOOSE(CONTROL!$C$21, $C$9, 100%, $E$9)</f>
        <v>8.7504000000000008</v>
      </c>
      <c r="O196" s="14">
        <f>CHOOSE(CONTROL!$C$42, 8.9815, 8.9815) * CHOOSE(CONTROL!$C$21, $C$9, 100%, $E$9)</f>
        <v>8.9815000000000005</v>
      </c>
      <c r="P196" s="14">
        <f>CHOOSE(CONTROL!$C$42, 8.7697, 8.7697) * CHOOSE(CONTROL!$C$21, $C$9, 100%, $E$9)</f>
        <v>8.7697000000000003</v>
      </c>
      <c r="Q196" s="14">
        <f>CHOOSE(CONTROL!$C$42, 9.5768, 9.5768) * CHOOSE(CONTROL!$C$21, $C$9, 100%, $E$9)</f>
        <v>9.5768000000000004</v>
      </c>
      <c r="R196" s="14">
        <f>CHOOSE(CONTROL!$C$42, 10.1877, 10.1877) * CHOOSE(CONTROL!$C$21, $C$9, 100%, $E$9)</f>
        <v>10.1877</v>
      </c>
      <c r="S196" s="14">
        <f>CHOOSE(CONTROL!$C$42, 8.5742, 8.5742) * CHOOSE(CONTROL!$C$21, $C$9, 100%, $E$9)</f>
        <v>8.5741999999999994</v>
      </c>
      <c r="T19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96" s="57">
        <f>(1000*CHOOSE(CONTROL!$C$42, 695, 695)*CHOOSE(CONTROL!$C$42, 0.5599, 0.5599)*CHOOSE(CONTROL!$C$42, 30, 30))/1000000</f>
        <v>11.673914999999997</v>
      </c>
      <c r="V196" s="57">
        <f>(1000*CHOOSE(CONTROL!$C$42, 500, 500)*CHOOSE(CONTROL!$C$42, 0.275, 0.275)*CHOOSE(CONTROL!$C$42, 30, 30))/1000000</f>
        <v>4.125</v>
      </c>
      <c r="W196" s="57">
        <f>(1000*CHOOSE(CONTROL!$C$42, 0.1146, 0.1146)*CHOOSE(CONTROL!$C$42, 121.5, 121.5)*CHOOSE(CONTROL!$C$42, 30, 30))/1000000</f>
        <v>0.417717</v>
      </c>
      <c r="X196" s="57">
        <f>(30*0.1790888*245000/1000000)+(30*0.2374*100000/1000000)</f>
        <v>2.0285026799999999</v>
      </c>
      <c r="Y196" s="57"/>
      <c r="Z196" s="14"/>
      <c r="AA196" s="56"/>
      <c r="AB196" s="50">
        <f>(B196*141.293+C196*267.993+D196*115.016+E196*89.698+F196*40+G196*185+H196*0+I196*100+J196*300)/(141.293+267.993+115.016+89.698+0+40+185+100+300)</f>
        <v>8.8646755504439074</v>
      </c>
      <c r="AC196" s="45">
        <f>(M196*'RAP TEMPLATE-GAS AVAILABILITY'!O195+N196*'RAP TEMPLATE-GAS AVAILABILITY'!P195+O196*'RAP TEMPLATE-GAS AVAILABILITY'!Q195+P196*'RAP TEMPLATE-GAS AVAILABILITY'!R195)/('RAP TEMPLATE-GAS AVAILABILITY'!O195+'RAP TEMPLATE-GAS AVAILABILITY'!P195+'RAP TEMPLATE-GAS AVAILABILITY'!Q195+'RAP TEMPLATE-GAS AVAILABILITY'!R195)</f>
        <v>8.8126654676258998</v>
      </c>
    </row>
    <row r="197" spans="1:29" ht="15.75" x14ac:dyDescent="0.25">
      <c r="A197" s="13">
        <v>46874</v>
      </c>
      <c r="B197" s="14">
        <f>CHOOSE(CONTROL!$C$42, 8.9117, 8.9117) * CHOOSE(CONTROL!$C$21, $C$9, 100%, $E$9)</f>
        <v>8.9116999999999997</v>
      </c>
      <c r="C197" s="14">
        <f>CHOOSE(CONTROL!$C$42, 8.9196, 8.9196) * CHOOSE(CONTROL!$C$21, $C$9, 100%, $E$9)</f>
        <v>8.9196000000000009</v>
      </c>
      <c r="D197" s="14">
        <f>CHOOSE(CONTROL!$C$42, 9.1172, 9.1172) * CHOOSE(CONTROL!$C$21, $C$9, 100%, $E$9)</f>
        <v>9.1172000000000004</v>
      </c>
      <c r="E197" s="14">
        <f>CHOOSE(CONTROL!$C$42, 9.1483, 9.1483) * CHOOSE(CONTROL!$C$21, $C$9, 100%, $E$9)</f>
        <v>9.1483000000000008</v>
      </c>
      <c r="F197" s="14">
        <f>CHOOSE(CONTROL!$C$42, 8.8951, 8.8951)*CHOOSE(CONTROL!$C$21, $C$9, 100%, $E$9)</f>
        <v>8.8950999999999993</v>
      </c>
      <c r="G197" s="14">
        <f>CHOOSE(CONTROL!$C$42, 8.9112, 8.9112)*CHOOSE(CONTROL!$C$21, $C$9, 100%, $E$9)</f>
        <v>8.9111999999999991</v>
      </c>
      <c r="H197" s="14">
        <f>CHOOSE(CONTROL!$C$42, 9.137, 9.137) * CHOOSE(CONTROL!$C$21, $C$9, 100%, $E$9)</f>
        <v>9.1370000000000005</v>
      </c>
      <c r="I197" s="14">
        <f>CHOOSE(CONTROL!$C$42, 8.9231, 8.9231)* CHOOSE(CONTROL!$C$21, $C$9, 100%, $E$9)</f>
        <v>8.9230999999999998</v>
      </c>
      <c r="J197" s="14">
        <f>CHOOSE(CONTROL!$C$42, 8.8881, 8.8881)* CHOOSE(CONTROL!$C$21, $C$9, 100%, $E$9)</f>
        <v>8.8880999999999997</v>
      </c>
      <c r="K197" s="53">
        <f>CHOOSE(CONTROL!$C$42, 8.9192, 8.9192) * CHOOSE(CONTROL!$C$21, $C$9, 100%, $E$9)</f>
        <v>8.9192</v>
      </c>
      <c r="L197" s="14">
        <f>CHOOSE(CONTROL!$C$42, 9.724, 9.724) * CHOOSE(CONTROL!$C$21, $C$9, 100%, $E$9)</f>
        <v>9.7240000000000002</v>
      </c>
      <c r="M197" s="14">
        <f>CHOOSE(CONTROL!$C$42, 8.8122, 8.8122) * CHOOSE(CONTROL!$C$21, $C$9, 100%, $E$9)</f>
        <v>8.8122000000000007</v>
      </c>
      <c r="N197" s="14">
        <f>CHOOSE(CONTROL!$C$42, 8.8282, 8.8282) * CHOOSE(CONTROL!$C$21, $C$9, 100%, $E$9)</f>
        <v>8.8282000000000007</v>
      </c>
      <c r="O197" s="14">
        <f>CHOOSE(CONTROL!$C$42, 9.0586, 9.0586) * CHOOSE(CONTROL!$C$21, $C$9, 100%, $E$9)</f>
        <v>9.0586000000000002</v>
      </c>
      <c r="P197" s="14">
        <f>CHOOSE(CONTROL!$C$42, 8.8469, 8.8469) * CHOOSE(CONTROL!$C$21, $C$9, 100%, $E$9)</f>
        <v>8.8468999999999998</v>
      </c>
      <c r="Q197" s="14">
        <f>CHOOSE(CONTROL!$C$42, 9.6539, 9.6539) * CHOOSE(CONTROL!$C$21, $C$9, 100%, $E$9)</f>
        <v>9.6539000000000001</v>
      </c>
      <c r="R197" s="14">
        <f>CHOOSE(CONTROL!$C$42, 10.265, 10.265) * CHOOSE(CONTROL!$C$21, $C$9, 100%, $E$9)</f>
        <v>10.265000000000001</v>
      </c>
      <c r="S197" s="14">
        <f>CHOOSE(CONTROL!$C$42, 8.6499, 8.6499) * CHOOSE(CONTROL!$C$21, $C$9, 100%, $E$9)</f>
        <v>8.6499000000000006</v>
      </c>
      <c r="T19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97" s="57">
        <f>(1000*CHOOSE(CONTROL!$C$42, 695, 695)*CHOOSE(CONTROL!$C$42, 0.5599, 0.5599)*CHOOSE(CONTROL!$C$42, 31, 31))/1000000</f>
        <v>12.063045499999998</v>
      </c>
      <c r="V197" s="57">
        <f>(1000*CHOOSE(CONTROL!$C$42, 500, 500)*CHOOSE(CONTROL!$C$42, 0.275, 0.275)*CHOOSE(CONTROL!$C$42, 31, 31))/1000000</f>
        <v>4.2625000000000002</v>
      </c>
      <c r="W197" s="57">
        <f>(1000*CHOOSE(CONTROL!$C$42, 0.1146, 0.1146)*CHOOSE(CONTROL!$C$42, 121.5, 121.5)*CHOOSE(CONTROL!$C$42, 31, 31))/1000000</f>
        <v>0.43164089999999994</v>
      </c>
      <c r="X197" s="57">
        <f>(31*0.1790888*245000/1000000)+(31*0.2374*100000/1000000)</f>
        <v>2.0961194359999999</v>
      </c>
      <c r="Y197" s="57"/>
      <c r="Z197" s="14"/>
      <c r="AA197" s="56"/>
      <c r="AB197" s="50">
        <f>(B197*194.205+C197*267.466+D197*133.845+E197*53.484+F197*40+G197*185+H197*0+I197*100+J197*300)/(194.205+267.466+133.845+53.484+0+40+185+100+300)</f>
        <v>8.9396246022762966</v>
      </c>
      <c r="AC197" s="45">
        <f>(M197*'RAP TEMPLATE-GAS AVAILABILITY'!O196+N197*'RAP TEMPLATE-GAS AVAILABILITY'!P196+O197*'RAP TEMPLATE-GAS AVAILABILITY'!Q196+P197*'RAP TEMPLATE-GAS AVAILABILITY'!R196)/('RAP TEMPLATE-GAS AVAILABILITY'!O196+'RAP TEMPLATE-GAS AVAILABILITY'!P196+'RAP TEMPLATE-GAS AVAILABILITY'!Q196+'RAP TEMPLATE-GAS AVAILABILITY'!R196)</f>
        <v>8.8900100719424451</v>
      </c>
    </row>
    <row r="198" spans="1:29" ht="15.75" x14ac:dyDescent="0.25">
      <c r="A198" s="13">
        <v>46905</v>
      </c>
      <c r="B198" s="14">
        <f>CHOOSE(CONTROL!$C$42, 9.1643, 9.1643) * CHOOSE(CONTROL!$C$21, $C$9, 100%, $E$9)</f>
        <v>9.1643000000000008</v>
      </c>
      <c r="C198" s="14">
        <f>CHOOSE(CONTROL!$C$42, 9.1722, 9.1722) * CHOOSE(CONTROL!$C$21, $C$9, 100%, $E$9)</f>
        <v>9.1722000000000001</v>
      </c>
      <c r="D198" s="14">
        <f>CHOOSE(CONTROL!$C$42, 9.3698, 9.3698) * CHOOSE(CONTROL!$C$21, $C$9, 100%, $E$9)</f>
        <v>9.3697999999999997</v>
      </c>
      <c r="E198" s="14">
        <f>CHOOSE(CONTROL!$C$42, 9.401, 9.401) * CHOOSE(CONTROL!$C$21, $C$9, 100%, $E$9)</f>
        <v>9.4009999999999998</v>
      </c>
      <c r="F198" s="14">
        <f>CHOOSE(CONTROL!$C$42, 9.1482, 9.1482)*CHOOSE(CONTROL!$C$21, $C$9, 100%, $E$9)</f>
        <v>9.1481999999999992</v>
      </c>
      <c r="G198" s="14">
        <f>CHOOSE(CONTROL!$C$42, 9.1644, 9.1644)*CHOOSE(CONTROL!$C$21, $C$9, 100%, $E$9)</f>
        <v>9.1644000000000005</v>
      </c>
      <c r="H198" s="14">
        <f>CHOOSE(CONTROL!$C$42, 9.3896, 9.3896) * CHOOSE(CONTROL!$C$21, $C$9, 100%, $E$9)</f>
        <v>9.3895999999999997</v>
      </c>
      <c r="I198" s="14">
        <f>CHOOSE(CONTROL!$C$42, 9.1757, 9.1757)* CHOOSE(CONTROL!$C$21, $C$9, 100%, $E$9)</f>
        <v>9.1757000000000009</v>
      </c>
      <c r="J198" s="14">
        <f>CHOOSE(CONTROL!$C$42, 9.1412, 9.1412)* CHOOSE(CONTROL!$C$21, $C$9, 100%, $E$9)</f>
        <v>9.1411999999999995</v>
      </c>
      <c r="K198" s="53">
        <f>CHOOSE(CONTROL!$C$42, 9.1718, 9.1718) * CHOOSE(CONTROL!$C$21, $C$9, 100%, $E$9)</f>
        <v>9.1717999999999993</v>
      </c>
      <c r="L198" s="14">
        <f>CHOOSE(CONTROL!$C$42, 9.9766, 9.9766) * CHOOSE(CONTROL!$C$21, $C$9, 100%, $E$9)</f>
        <v>9.9765999999999995</v>
      </c>
      <c r="M198" s="14">
        <f>CHOOSE(CONTROL!$C$42, 9.0627, 9.0627) * CHOOSE(CONTROL!$C$21, $C$9, 100%, $E$9)</f>
        <v>9.0626999999999995</v>
      </c>
      <c r="N198" s="14">
        <f>CHOOSE(CONTROL!$C$42, 9.0788, 9.0788) * CHOOSE(CONTROL!$C$21, $C$9, 100%, $E$9)</f>
        <v>9.0787999999999993</v>
      </c>
      <c r="O198" s="14">
        <f>CHOOSE(CONTROL!$C$42, 9.3087, 9.3087) * CHOOSE(CONTROL!$C$21, $C$9, 100%, $E$9)</f>
        <v>9.3087</v>
      </c>
      <c r="P198" s="14">
        <f>CHOOSE(CONTROL!$C$42, 9.097, 9.097) * CHOOSE(CONTROL!$C$21, $C$9, 100%, $E$9)</f>
        <v>9.0969999999999995</v>
      </c>
      <c r="Q198" s="14">
        <f>CHOOSE(CONTROL!$C$42, 9.904, 9.904) * CHOOSE(CONTROL!$C$21, $C$9, 100%, $E$9)</f>
        <v>9.9039999999999999</v>
      </c>
      <c r="R198" s="14">
        <f>CHOOSE(CONTROL!$C$42, 10.5157, 10.5157) * CHOOSE(CONTROL!$C$21, $C$9, 100%, $E$9)</f>
        <v>10.515700000000001</v>
      </c>
      <c r="S198" s="14">
        <f>CHOOSE(CONTROL!$C$42, 8.8952, 8.8952) * CHOOSE(CONTROL!$C$21, $C$9, 100%, $E$9)</f>
        <v>8.8952000000000009</v>
      </c>
      <c r="T19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98" s="57">
        <f>(1000*CHOOSE(CONTROL!$C$42, 695, 695)*CHOOSE(CONTROL!$C$42, 0.5599, 0.5599)*CHOOSE(CONTROL!$C$42, 30, 30))/1000000</f>
        <v>11.673914999999997</v>
      </c>
      <c r="V198" s="57">
        <f>(1000*CHOOSE(CONTROL!$C$42, 500, 500)*CHOOSE(CONTROL!$C$42, 0.275, 0.275)*CHOOSE(CONTROL!$C$42, 30, 30))/1000000</f>
        <v>4.125</v>
      </c>
      <c r="W198" s="57">
        <f>(1000*CHOOSE(CONTROL!$C$42, 0.1146, 0.1146)*CHOOSE(CONTROL!$C$42, 121.5, 121.5)*CHOOSE(CONTROL!$C$42, 30, 30))/1000000</f>
        <v>0.417717</v>
      </c>
      <c r="X198" s="57">
        <f>(30*0.1790888*245000/1000000)+(30*0.2374*100000/1000000)</f>
        <v>2.0285026799999999</v>
      </c>
      <c r="Y198" s="57"/>
      <c r="Z198" s="14"/>
      <c r="AA198" s="56"/>
      <c r="AB198" s="50">
        <f>(B198*194.205+C198*267.466+D198*133.845+E198*53.484+F198*40+G198*185+H198*0+I198*100+J198*300)/(194.205+267.466+133.845+53.484+0+40+185+100+300)</f>
        <v>9.1924493655416022</v>
      </c>
      <c r="AC198" s="45">
        <f>(M198*'RAP TEMPLATE-GAS AVAILABILITY'!O197+N198*'RAP TEMPLATE-GAS AVAILABILITY'!P197+O198*'RAP TEMPLATE-GAS AVAILABILITY'!Q197+P198*'RAP TEMPLATE-GAS AVAILABILITY'!R197)/('RAP TEMPLATE-GAS AVAILABILITY'!O197+'RAP TEMPLATE-GAS AVAILABILITY'!P197+'RAP TEMPLATE-GAS AVAILABILITY'!Q197+'RAP TEMPLATE-GAS AVAILABILITY'!R197)</f>
        <v>9.1403633093525176</v>
      </c>
    </row>
    <row r="199" spans="1:29" ht="15.75" x14ac:dyDescent="0.25">
      <c r="A199" s="13">
        <v>46935</v>
      </c>
      <c r="B199" s="14">
        <f>CHOOSE(CONTROL!$C$42, 8.9886, 8.9886) * CHOOSE(CONTROL!$C$21, $C$9, 100%, $E$9)</f>
        <v>8.9885999999999999</v>
      </c>
      <c r="C199" s="14">
        <f>CHOOSE(CONTROL!$C$42, 8.9965, 8.9965) * CHOOSE(CONTROL!$C$21, $C$9, 100%, $E$9)</f>
        <v>8.9964999999999993</v>
      </c>
      <c r="D199" s="14">
        <f>CHOOSE(CONTROL!$C$42, 9.1941, 9.1941) * CHOOSE(CONTROL!$C$21, $C$9, 100%, $E$9)</f>
        <v>9.1941000000000006</v>
      </c>
      <c r="E199" s="14">
        <f>CHOOSE(CONTROL!$C$42, 9.2253, 9.2253) * CHOOSE(CONTROL!$C$21, $C$9, 100%, $E$9)</f>
        <v>9.2253000000000007</v>
      </c>
      <c r="F199" s="14">
        <f>CHOOSE(CONTROL!$C$42, 8.9729, 8.9729)*CHOOSE(CONTROL!$C$21, $C$9, 100%, $E$9)</f>
        <v>8.9728999999999992</v>
      </c>
      <c r="G199" s="14">
        <f>CHOOSE(CONTROL!$C$42, 8.9892, 8.9892)*CHOOSE(CONTROL!$C$21, $C$9, 100%, $E$9)</f>
        <v>8.9892000000000003</v>
      </c>
      <c r="H199" s="14">
        <f>CHOOSE(CONTROL!$C$42, 9.2139, 9.2139) * CHOOSE(CONTROL!$C$21, $C$9, 100%, $E$9)</f>
        <v>9.2139000000000006</v>
      </c>
      <c r="I199" s="14">
        <f>CHOOSE(CONTROL!$C$42, 9, 9)* CHOOSE(CONTROL!$C$21, $C$9, 100%, $E$9)</f>
        <v>9</v>
      </c>
      <c r="J199" s="14">
        <f>CHOOSE(CONTROL!$C$42, 8.9659, 8.9659)* CHOOSE(CONTROL!$C$21, $C$9, 100%, $E$9)</f>
        <v>8.9658999999999995</v>
      </c>
      <c r="K199" s="53">
        <f>CHOOSE(CONTROL!$C$42, 8.9961, 8.9961) * CHOOSE(CONTROL!$C$21, $C$9, 100%, $E$9)</f>
        <v>8.9961000000000002</v>
      </c>
      <c r="L199" s="14">
        <f>CHOOSE(CONTROL!$C$42, 9.8009, 9.8009) * CHOOSE(CONTROL!$C$21, $C$9, 100%, $E$9)</f>
        <v>9.8009000000000004</v>
      </c>
      <c r="M199" s="14">
        <f>CHOOSE(CONTROL!$C$42, 8.8892, 8.8892) * CHOOSE(CONTROL!$C$21, $C$9, 100%, $E$9)</f>
        <v>8.8892000000000007</v>
      </c>
      <c r="N199" s="14">
        <f>CHOOSE(CONTROL!$C$42, 8.9054, 8.9054) * CHOOSE(CONTROL!$C$21, $C$9, 100%, $E$9)</f>
        <v>8.9054000000000002</v>
      </c>
      <c r="O199" s="14">
        <f>CHOOSE(CONTROL!$C$42, 9.1347, 9.1347) * CHOOSE(CONTROL!$C$21, $C$9, 100%, $E$9)</f>
        <v>9.1347000000000005</v>
      </c>
      <c r="P199" s="14">
        <f>CHOOSE(CONTROL!$C$42, 8.923, 8.923) * CHOOSE(CONTROL!$C$21, $C$9, 100%, $E$9)</f>
        <v>8.923</v>
      </c>
      <c r="Q199" s="14">
        <f>CHOOSE(CONTROL!$C$42, 9.73, 9.73) * CHOOSE(CONTROL!$C$21, $C$9, 100%, $E$9)</f>
        <v>9.73</v>
      </c>
      <c r="R199" s="14">
        <f>CHOOSE(CONTROL!$C$42, 10.3414, 10.3414) * CHOOSE(CONTROL!$C$21, $C$9, 100%, $E$9)</f>
        <v>10.3414</v>
      </c>
      <c r="S199" s="14">
        <f>CHOOSE(CONTROL!$C$42, 8.7246, 8.7246) * CHOOSE(CONTROL!$C$21, $C$9, 100%, $E$9)</f>
        <v>8.7246000000000006</v>
      </c>
      <c r="T19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99" s="57">
        <f>(1000*CHOOSE(CONTROL!$C$42, 695, 695)*CHOOSE(CONTROL!$C$42, 0.5599, 0.5599)*CHOOSE(CONTROL!$C$42, 31, 31))/1000000</f>
        <v>12.063045499999998</v>
      </c>
      <c r="V199" s="57">
        <f>(1000*CHOOSE(CONTROL!$C$42, 500, 500)*CHOOSE(CONTROL!$C$42, 0.275, 0.275)*CHOOSE(CONTROL!$C$42, 31, 31))/1000000</f>
        <v>4.2625000000000002</v>
      </c>
      <c r="W199" s="57">
        <f>(1000*CHOOSE(CONTROL!$C$42, 0.1146, 0.1146)*CHOOSE(CONTROL!$C$42, 121.5, 121.5)*CHOOSE(CONTROL!$C$42, 31, 31))/1000000</f>
        <v>0.43164089999999994</v>
      </c>
      <c r="X199" s="57">
        <f>(31*0.1790888*245000/1000000)+(31*0.2374*100000/1000000)</f>
        <v>2.0961194359999999</v>
      </c>
      <c r="Y199" s="57"/>
      <c r="Z199" s="14"/>
      <c r="AA199" s="56"/>
      <c r="AB199" s="50">
        <f>(B199*194.205+C199*267.466+D199*133.845+E199*53.484+F199*40+G199*185+H199*0+I199*100+J199*300)/(194.205+267.466+133.845+53.484+0+40+185+100+300)</f>
        <v>9.0169287218995287</v>
      </c>
      <c r="AC199" s="45">
        <f>(M199*'RAP TEMPLATE-GAS AVAILABILITY'!O198+N199*'RAP TEMPLATE-GAS AVAILABILITY'!P198+O199*'RAP TEMPLATE-GAS AVAILABILITY'!Q198+P199*'RAP TEMPLATE-GAS AVAILABILITY'!R198)/('RAP TEMPLATE-GAS AVAILABILITY'!O198+'RAP TEMPLATE-GAS AVAILABILITY'!P198+'RAP TEMPLATE-GAS AVAILABILITY'!Q198+'RAP TEMPLATE-GAS AVAILABILITY'!R198)</f>
        <v>8.9666741007194251</v>
      </c>
    </row>
    <row r="200" spans="1:29" ht="15.75" x14ac:dyDescent="0.25">
      <c r="A200" s="13">
        <v>46966</v>
      </c>
      <c r="B200" s="14">
        <f>CHOOSE(CONTROL!$C$42, 8.5449, 8.5449) * CHOOSE(CONTROL!$C$21, $C$9, 100%, $E$9)</f>
        <v>8.5449000000000002</v>
      </c>
      <c r="C200" s="14">
        <f>CHOOSE(CONTROL!$C$42, 8.5528, 8.5528) * CHOOSE(CONTROL!$C$21, $C$9, 100%, $E$9)</f>
        <v>8.5527999999999995</v>
      </c>
      <c r="D200" s="14">
        <f>CHOOSE(CONTROL!$C$42, 8.7504, 8.7504) * CHOOSE(CONTROL!$C$21, $C$9, 100%, $E$9)</f>
        <v>8.7504000000000008</v>
      </c>
      <c r="E200" s="14">
        <f>CHOOSE(CONTROL!$C$42, 8.7815, 8.7815) * CHOOSE(CONTROL!$C$21, $C$9, 100%, $E$9)</f>
        <v>8.7814999999999994</v>
      </c>
      <c r="F200" s="14">
        <f>CHOOSE(CONTROL!$C$42, 8.5293, 8.5293)*CHOOSE(CONTROL!$C$21, $C$9, 100%, $E$9)</f>
        <v>8.5292999999999992</v>
      </c>
      <c r="G200" s="14">
        <f>CHOOSE(CONTROL!$C$42, 8.5457, 8.5457)*CHOOSE(CONTROL!$C$21, $C$9, 100%, $E$9)</f>
        <v>8.5457000000000001</v>
      </c>
      <c r="H200" s="14">
        <f>CHOOSE(CONTROL!$C$42, 8.7702, 8.7702) * CHOOSE(CONTROL!$C$21, $C$9, 100%, $E$9)</f>
        <v>8.7702000000000009</v>
      </c>
      <c r="I200" s="14">
        <f>CHOOSE(CONTROL!$C$42, 8.5563, 8.5563)* CHOOSE(CONTROL!$C$21, $C$9, 100%, $E$9)</f>
        <v>8.5563000000000002</v>
      </c>
      <c r="J200" s="14">
        <f>CHOOSE(CONTROL!$C$42, 8.5223, 8.5223)* CHOOSE(CONTROL!$C$21, $C$9, 100%, $E$9)</f>
        <v>8.5222999999999995</v>
      </c>
      <c r="K200" s="53">
        <f>CHOOSE(CONTROL!$C$42, 8.5524, 8.5524) * CHOOSE(CONTROL!$C$21, $C$9, 100%, $E$9)</f>
        <v>8.5524000000000004</v>
      </c>
      <c r="L200" s="14">
        <f>CHOOSE(CONTROL!$C$42, 9.3572, 9.3572) * CHOOSE(CONTROL!$C$21, $C$9, 100%, $E$9)</f>
        <v>9.3572000000000006</v>
      </c>
      <c r="M200" s="14">
        <f>CHOOSE(CONTROL!$C$42, 8.4502, 8.4502) * CHOOSE(CONTROL!$C$21, $C$9, 100%, $E$9)</f>
        <v>8.4502000000000006</v>
      </c>
      <c r="N200" s="14">
        <f>CHOOSE(CONTROL!$C$42, 8.4664, 8.4664) * CHOOSE(CONTROL!$C$21, $C$9, 100%, $E$9)</f>
        <v>8.4664000000000001</v>
      </c>
      <c r="O200" s="14">
        <f>CHOOSE(CONTROL!$C$42, 8.6955, 8.6955) * CHOOSE(CONTROL!$C$21, $C$9, 100%, $E$9)</f>
        <v>8.6954999999999991</v>
      </c>
      <c r="P200" s="14">
        <f>CHOOSE(CONTROL!$C$42, 8.4838, 8.4838) * CHOOSE(CONTROL!$C$21, $C$9, 100%, $E$9)</f>
        <v>8.4838000000000005</v>
      </c>
      <c r="Q200" s="14">
        <f>CHOOSE(CONTROL!$C$42, 9.2908, 9.2908) * CHOOSE(CONTROL!$C$21, $C$9, 100%, $E$9)</f>
        <v>9.2908000000000008</v>
      </c>
      <c r="R200" s="14">
        <f>CHOOSE(CONTROL!$C$42, 9.901, 9.901) * CHOOSE(CONTROL!$C$21, $C$9, 100%, $E$9)</f>
        <v>9.9009999999999998</v>
      </c>
      <c r="S200" s="14">
        <f>CHOOSE(CONTROL!$C$42, 8.2937, 8.2937) * CHOOSE(CONTROL!$C$21, $C$9, 100%, $E$9)</f>
        <v>8.2936999999999994</v>
      </c>
      <c r="T20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00" s="57">
        <f>(1000*CHOOSE(CONTROL!$C$42, 695, 695)*CHOOSE(CONTROL!$C$42, 0.5599, 0.5599)*CHOOSE(CONTROL!$C$42, 31, 31))/1000000</f>
        <v>12.063045499999998</v>
      </c>
      <c r="V200" s="57">
        <f>(1000*CHOOSE(CONTROL!$C$42, 500, 500)*CHOOSE(CONTROL!$C$42, 0.275, 0.275)*CHOOSE(CONTROL!$C$42, 31, 31))/1000000</f>
        <v>4.2625000000000002</v>
      </c>
      <c r="W200" s="57">
        <f>(1000*CHOOSE(CONTROL!$C$42, 0.1146, 0.1146)*CHOOSE(CONTROL!$C$42, 121.5, 121.5)*CHOOSE(CONTROL!$C$42, 31, 31))/1000000</f>
        <v>0.43164089999999994</v>
      </c>
      <c r="X200" s="57">
        <f>(31*0.1790888*245000/1000000)+(31*0.2374*100000/1000000)</f>
        <v>2.0961194359999999</v>
      </c>
      <c r="Y200" s="57"/>
      <c r="Z200" s="14"/>
      <c r="AA200" s="56"/>
      <c r="AB200" s="50">
        <f>(B200*194.205+C200*267.466+D200*133.845+E200*53.484+F200*40+G200*185+H200*0+I200*100+J200*300)/(194.205+267.466+133.845+53.484+0+40+185+100+300)</f>
        <v>8.5732802537676598</v>
      </c>
      <c r="AC200" s="45">
        <f>(M200*'RAP TEMPLATE-GAS AVAILABILITY'!O199+N200*'RAP TEMPLATE-GAS AVAILABILITY'!P199+O200*'RAP TEMPLATE-GAS AVAILABILITY'!Q199+P200*'RAP TEMPLATE-GAS AVAILABILITY'!R199)/('RAP TEMPLATE-GAS AVAILABILITY'!O199+'RAP TEMPLATE-GAS AVAILABILITY'!P199+'RAP TEMPLATE-GAS AVAILABILITY'!Q199+'RAP TEMPLATE-GAS AVAILABILITY'!R199)</f>
        <v>8.5275892086330938</v>
      </c>
    </row>
    <row r="201" spans="1:29" ht="15.75" x14ac:dyDescent="0.25">
      <c r="A201" s="13">
        <v>46997</v>
      </c>
      <c r="B201" s="14">
        <f>CHOOSE(CONTROL!$C$42, 8.0024, 8.0024) * CHOOSE(CONTROL!$C$21, $C$9, 100%, $E$9)</f>
        <v>8.0023999999999997</v>
      </c>
      <c r="C201" s="14">
        <f>CHOOSE(CONTROL!$C$42, 8.0103, 8.0103) * CHOOSE(CONTROL!$C$21, $C$9, 100%, $E$9)</f>
        <v>8.0103000000000009</v>
      </c>
      <c r="D201" s="14">
        <f>CHOOSE(CONTROL!$C$42, 8.2079, 8.2079) * CHOOSE(CONTROL!$C$21, $C$9, 100%, $E$9)</f>
        <v>8.2079000000000004</v>
      </c>
      <c r="E201" s="14">
        <f>CHOOSE(CONTROL!$C$42, 8.239, 8.239) * CHOOSE(CONTROL!$C$21, $C$9, 100%, $E$9)</f>
        <v>8.2390000000000008</v>
      </c>
      <c r="F201" s="14">
        <f>CHOOSE(CONTROL!$C$42, 7.9867, 7.9867)*CHOOSE(CONTROL!$C$21, $C$9, 100%, $E$9)</f>
        <v>7.9866999999999999</v>
      </c>
      <c r="G201" s="14">
        <f>CHOOSE(CONTROL!$C$42, 8.0031, 8.0031)*CHOOSE(CONTROL!$C$21, $C$9, 100%, $E$9)</f>
        <v>8.0030999999999999</v>
      </c>
      <c r="H201" s="14">
        <f>CHOOSE(CONTROL!$C$42, 8.2276, 8.2276) * CHOOSE(CONTROL!$C$21, $C$9, 100%, $E$9)</f>
        <v>8.2276000000000007</v>
      </c>
      <c r="I201" s="14">
        <f>CHOOSE(CONTROL!$C$42, 8.0137, 8.0137)* CHOOSE(CONTROL!$C$21, $C$9, 100%, $E$9)</f>
        <v>8.0137</v>
      </c>
      <c r="J201" s="14">
        <f>CHOOSE(CONTROL!$C$42, 7.9797, 7.9797)* CHOOSE(CONTROL!$C$21, $C$9, 100%, $E$9)</f>
        <v>7.9797000000000002</v>
      </c>
      <c r="K201" s="53">
        <f>CHOOSE(CONTROL!$C$42, 8.0098, 8.0098) * CHOOSE(CONTROL!$C$21, $C$9, 100%, $E$9)</f>
        <v>8.0098000000000003</v>
      </c>
      <c r="L201" s="14">
        <f>CHOOSE(CONTROL!$C$42, 8.8146, 8.8146) * CHOOSE(CONTROL!$C$21, $C$9, 100%, $E$9)</f>
        <v>8.8146000000000004</v>
      </c>
      <c r="M201" s="14">
        <f>CHOOSE(CONTROL!$C$42, 7.913, 7.913) * CHOOSE(CONTROL!$C$21, $C$9, 100%, $E$9)</f>
        <v>7.9130000000000003</v>
      </c>
      <c r="N201" s="14">
        <f>CHOOSE(CONTROL!$C$42, 7.9292, 7.9292) * CHOOSE(CONTROL!$C$21, $C$9, 100%, $E$9)</f>
        <v>7.9291999999999998</v>
      </c>
      <c r="O201" s="14">
        <f>CHOOSE(CONTROL!$C$42, 8.1584, 8.1584) * CHOOSE(CONTROL!$C$21, $C$9, 100%, $E$9)</f>
        <v>8.1584000000000003</v>
      </c>
      <c r="P201" s="14">
        <f>CHOOSE(CONTROL!$C$42, 7.9467, 7.9467) * CHOOSE(CONTROL!$C$21, $C$9, 100%, $E$9)</f>
        <v>7.9466999999999999</v>
      </c>
      <c r="Q201" s="14">
        <f>CHOOSE(CONTROL!$C$42, 8.7537, 8.7537) * CHOOSE(CONTROL!$C$21, $C$9, 100%, $E$9)</f>
        <v>8.7537000000000003</v>
      </c>
      <c r="R201" s="14">
        <f>CHOOSE(CONTROL!$C$42, 9.3626, 9.3626) * CHOOSE(CONTROL!$C$21, $C$9, 100%, $E$9)</f>
        <v>9.3626000000000005</v>
      </c>
      <c r="S201" s="14">
        <f>CHOOSE(CONTROL!$C$42, 7.7668, 7.7668) * CHOOSE(CONTROL!$C$21, $C$9, 100%, $E$9)</f>
        <v>7.7667999999999999</v>
      </c>
      <c r="T20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01" s="57">
        <f>(1000*CHOOSE(CONTROL!$C$42, 695, 695)*CHOOSE(CONTROL!$C$42, 0.5599, 0.5599)*CHOOSE(CONTROL!$C$42, 30, 30))/1000000</f>
        <v>11.673914999999997</v>
      </c>
      <c r="V201" s="57">
        <f>(1000*CHOOSE(CONTROL!$C$42, 500, 500)*CHOOSE(CONTROL!$C$42, 0.275, 0.275)*CHOOSE(CONTROL!$C$42, 30, 30))/1000000</f>
        <v>4.125</v>
      </c>
      <c r="W201" s="57">
        <f>(1000*CHOOSE(CONTROL!$C$42, 0.1146, 0.1146)*CHOOSE(CONTROL!$C$42, 121.5, 121.5)*CHOOSE(CONTROL!$C$42, 30, 30))/1000000</f>
        <v>0.417717</v>
      </c>
      <c r="X201" s="57">
        <f>(30*0.1790888*245000/1000000)+(30*0.2374*100000/1000000)</f>
        <v>2.0285026799999999</v>
      </c>
      <c r="Y201" s="57"/>
      <c r="Z201" s="14"/>
      <c r="AA201" s="56"/>
      <c r="AB201" s="50">
        <f>(B201*194.205+C201*267.466+D201*133.845+E201*53.484+F201*40+G201*185+H201*0+I201*100+J201*300)/(194.205+267.466+133.845+53.484+0+40+185+100+300)</f>
        <v>8.030731195682888</v>
      </c>
      <c r="AC201" s="45">
        <f>(M201*'RAP TEMPLATE-GAS AVAILABILITY'!O200+N201*'RAP TEMPLATE-GAS AVAILABILITY'!P200+O201*'RAP TEMPLATE-GAS AVAILABILITY'!Q200+P201*'RAP TEMPLATE-GAS AVAILABILITY'!R200)/('RAP TEMPLATE-GAS AVAILABILITY'!O200+'RAP TEMPLATE-GAS AVAILABILITY'!P200+'RAP TEMPLATE-GAS AVAILABILITY'!Q200+'RAP TEMPLATE-GAS AVAILABILITY'!R200)</f>
        <v>7.9904316546762599</v>
      </c>
    </row>
    <row r="202" spans="1:29" ht="15.75" x14ac:dyDescent="0.25">
      <c r="A202" s="13">
        <v>47027</v>
      </c>
      <c r="B202" s="14">
        <f>CHOOSE(CONTROL!$C$42, 7.8382, 7.8382) * CHOOSE(CONTROL!$C$21, $C$9, 100%, $E$9)</f>
        <v>7.8381999999999996</v>
      </c>
      <c r="C202" s="14">
        <f>CHOOSE(CONTROL!$C$42, 7.8434, 7.8434) * CHOOSE(CONTROL!$C$21, $C$9, 100%, $E$9)</f>
        <v>7.8433999999999999</v>
      </c>
      <c r="D202" s="14">
        <f>CHOOSE(CONTROL!$C$42, 8.046, 8.046) * CHOOSE(CONTROL!$C$21, $C$9, 100%, $E$9)</f>
        <v>8.0459999999999994</v>
      </c>
      <c r="E202" s="14">
        <f>CHOOSE(CONTROL!$C$42, 8.0748, 8.0748) * CHOOSE(CONTROL!$C$21, $C$9, 100%, $E$9)</f>
        <v>8.0747999999999998</v>
      </c>
      <c r="F202" s="14">
        <f>CHOOSE(CONTROL!$C$42, 7.8246, 7.8246)*CHOOSE(CONTROL!$C$21, $C$9, 100%, $E$9)</f>
        <v>7.8246000000000002</v>
      </c>
      <c r="G202" s="14">
        <f>CHOOSE(CONTROL!$C$42, 7.8406, 7.8406)*CHOOSE(CONTROL!$C$21, $C$9, 100%, $E$9)</f>
        <v>7.8406000000000002</v>
      </c>
      <c r="H202" s="14">
        <f>CHOOSE(CONTROL!$C$42, 8.0653, 8.0653) * CHOOSE(CONTROL!$C$21, $C$9, 100%, $E$9)</f>
        <v>8.0653000000000006</v>
      </c>
      <c r="I202" s="14">
        <f>CHOOSE(CONTROL!$C$42, 7.8514, 7.8514)* CHOOSE(CONTROL!$C$21, $C$9, 100%, $E$9)</f>
        <v>7.8513999999999999</v>
      </c>
      <c r="J202" s="14">
        <f>CHOOSE(CONTROL!$C$42, 7.8176, 7.8176)* CHOOSE(CONTROL!$C$21, $C$9, 100%, $E$9)</f>
        <v>7.8175999999999997</v>
      </c>
      <c r="K202" s="53">
        <f>CHOOSE(CONTROL!$C$42, 7.8475, 7.8475) * CHOOSE(CONTROL!$C$21, $C$9, 100%, $E$9)</f>
        <v>7.8475000000000001</v>
      </c>
      <c r="L202" s="14">
        <f>CHOOSE(CONTROL!$C$42, 8.6523, 8.6523) * CHOOSE(CONTROL!$C$21, $C$9, 100%, $E$9)</f>
        <v>8.6523000000000003</v>
      </c>
      <c r="M202" s="14">
        <f>CHOOSE(CONTROL!$C$42, 7.7525, 7.7525) * CHOOSE(CONTROL!$C$21, $C$9, 100%, $E$9)</f>
        <v>7.7525000000000004</v>
      </c>
      <c r="N202" s="14">
        <f>CHOOSE(CONTROL!$C$42, 7.7684, 7.7684) * CHOOSE(CONTROL!$C$21, $C$9, 100%, $E$9)</f>
        <v>7.7683999999999997</v>
      </c>
      <c r="O202" s="14">
        <f>CHOOSE(CONTROL!$C$42, 7.9977, 7.9977) * CHOOSE(CONTROL!$C$21, $C$9, 100%, $E$9)</f>
        <v>7.9977</v>
      </c>
      <c r="P202" s="14">
        <f>CHOOSE(CONTROL!$C$42, 7.786, 7.786) * CHOOSE(CONTROL!$C$21, $C$9, 100%, $E$9)</f>
        <v>7.7859999999999996</v>
      </c>
      <c r="Q202" s="14">
        <f>CHOOSE(CONTROL!$C$42, 8.593, 8.593) * CHOOSE(CONTROL!$C$21, $C$9, 100%, $E$9)</f>
        <v>8.593</v>
      </c>
      <c r="R202" s="14">
        <f>CHOOSE(CONTROL!$C$42, 9.2015, 9.2015) * CHOOSE(CONTROL!$C$21, $C$9, 100%, $E$9)</f>
        <v>9.2014999999999993</v>
      </c>
      <c r="S202" s="14">
        <f>CHOOSE(CONTROL!$C$42, 7.6092, 7.6092) * CHOOSE(CONTROL!$C$21, $C$9, 100%, $E$9)</f>
        <v>7.6092000000000004</v>
      </c>
      <c r="T20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02" s="57">
        <f>(1000*CHOOSE(CONTROL!$C$42, 695, 695)*CHOOSE(CONTROL!$C$42, 0.5599, 0.5599)*CHOOSE(CONTROL!$C$42, 31, 31))/1000000</f>
        <v>12.063045499999998</v>
      </c>
      <c r="V202" s="57">
        <f>(1000*CHOOSE(CONTROL!$C$42, 500, 500)*CHOOSE(CONTROL!$C$42, 0.275, 0.275)*CHOOSE(CONTROL!$C$42, 31, 31))/1000000</f>
        <v>4.2625000000000002</v>
      </c>
      <c r="W202" s="57">
        <f>(1000*CHOOSE(CONTROL!$C$42, 0.1146, 0.1146)*CHOOSE(CONTROL!$C$42, 121.5, 121.5)*CHOOSE(CONTROL!$C$42, 31, 31))/1000000</f>
        <v>0.43164089999999994</v>
      </c>
      <c r="X202" s="57">
        <f>(31*0.1790888*245000/1000000)+(31*0.2374*100000/1000000)</f>
        <v>2.0961194359999999</v>
      </c>
      <c r="Y202" s="57"/>
      <c r="Z202" s="14"/>
      <c r="AA202" s="56"/>
      <c r="AB202" s="50">
        <f>(B202*131.881+C202*277.167+D202*79.08+E202*125.872+F202*40+G202*185+H202*0+I202*100+J202*300)/(131.881+277.167+79.08+125.872+0+40+185+100+300)</f>
        <v>7.8726595702986284</v>
      </c>
      <c r="AC202" s="45">
        <f>(M202*'RAP TEMPLATE-GAS AVAILABILITY'!O201+N202*'RAP TEMPLATE-GAS AVAILABILITY'!P201+O202*'RAP TEMPLATE-GAS AVAILABILITY'!Q201+P202*'RAP TEMPLATE-GAS AVAILABILITY'!R201)/('RAP TEMPLATE-GAS AVAILABILITY'!O201+'RAP TEMPLATE-GAS AVAILABILITY'!P201+'RAP TEMPLATE-GAS AVAILABILITY'!Q201+'RAP TEMPLATE-GAS AVAILABILITY'!R201)</f>
        <v>7.8297776978417266</v>
      </c>
    </row>
    <row r="203" spans="1:29" ht="15.75" x14ac:dyDescent="0.25">
      <c r="A203" s="13">
        <v>47058</v>
      </c>
      <c r="B203" s="14">
        <f>CHOOSE(CONTROL!$C$42, 8.0442, 8.0442) * CHOOSE(CONTROL!$C$21, $C$9, 100%, $E$9)</f>
        <v>8.0442</v>
      </c>
      <c r="C203" s="14">
        <f>CHOOSE(CONTROL!$C$42, 8.0492, 8.0492) * CHOOSE(CONTROL!$C$21, $C$9, 100%, $E$9)</f>
        <v>8.0492000000000008</v>
      </c>
      <c r="D203" s="14">
        <f>CHOOSE(CONTROL!$C$42, 8.1122, 8.1122) * CHOOSE(CONTROL!$C$21, $C$9, 100%, $E$9)</f>
        <v>8.1121999999999996</v>
      </c>
      <c r="E203" s="14">
        <f>CHOOSE(CONTROL!$C$42, 8.146, 8.146) * CHOOSE(CONTROL!$C$21, $C$9, 100%, $E$9)</f>
        <v>8.1460000000000008</v>
      </c>
      <c r="F203" s="14">
        <f>CHOOSE(CONTROL!$C$42, 8.0449, 8.0449)*CHOOSE(CONTROL!$C$21, $C$9, 100%, $E$9)</f>
        <v>8.0449000000000002</v>
      </c>
      <c r="G203" s="14">
        <f>CHOOSE(CONTROL!$C$42, 8.0612, 8.0612)*CHOOSE(CONTROL!$C$21, $C$9, 100%, $E$9)</f>
        <v>8.0611999999999995</v>
      </c>
      <c r="H203" s="14">
        <f>CHOOSE(CONTROL!$C$42, 8.1352, 8.1352) * CHOOSE(CONTROL!$C$21, $C$9, 100%, $E$9)</f>
        <v>8.1351999999999993</v>
      </c>
      <c r="I203" s="14">
        <f>CHOOSE(CONTROL!$C$42, 8.0578, 8.0578)* CHOOSE(CONTROL!$C$21, $C$9, 100%, $E$9)</f>
        <v>8.0578000000000003</v>
      </c>
      <c r="J203" s="14">
        <f>CHOOSE(CONTROL!$C$42, 8.0379, 8.0379)* CHOOSE(CONTROL!$C$21, $C$9, 100%, $E$9)</f>
        <v>8.0379000000000005</v>
      </c>
      <c r="K203" s="53">
        <f>CHOOSE(CONTROL!$C$42, 8.0539, 8.0539) * CHOOSE(CONTROL!$C$21, $C$9, 100%, $E$9)</f>
        <v>8.0539000000000005</v>
      </c>
      <c r="L203" s="14">
        <f>CHOOSE(CONTROL!$C$42, 8.7222, 8.7222) * CHOOSE(CONTROL!$C$21, $C$9, 100%, $E$9)</f>
        <v>8.7222000000000008</v>
      </c>
      <c r="M203" s="14">
        <f>CHOOSE(CONTROL!$C$42, 7.9706, 7.9706) * CHOOSE(CONTROL!$C$21, $C$9, 100%, $E$9)</f>
        <v>7.9706000000000001</v>
      </c>
      <c r="N203" s="14">
        <f>CHOOSE(CONTROL!$C$42, 7.9868, 7.9868) * CHOOSE(CONTROL!$C$21, $C$9, 100%, $E$9)</f>
        <v>7.9867999999999997</v>
      </c>
      <c r="O203" s="14">
        <f>CHOOSE(CONTROL!$C$42, 8.067, 8.067) * CHOOSE(CONTROL!$C$21, $C$9, 100%, $E$9)</f>
        <v>8.0670000000000002</v>
      </c>
      <c r="P203" s="14">
        <f>CHOOSE(CONTROL!$C$42, 7.9903, 7.9903) * CHOOSE(CONTROL!$C$21, $C$9, 100%, $E$9)</f>
        <v>7.9903000000000004</v>
      </c>
      <c r="Q203" s="14">
        <f>CHOOSE(CONTROL!$C$42, 8.6623, 8.6623) * CHOOSE(CONTROL!$C$21, $C$9, 100%, $E$9)</f>
        <v>8.6623000000000001</v>
      </c>
      <c r="R203" s="14">
        <f>CHOOSE(CONTROL!$C$42, 9.2709, 9.2709) * CHOOSE(CONTROL!$C$21, $C$9, 100%, $E$9)</f>
        <v>9.2708999999999993</v>
      </c>
      <c r="S203" s="14">
        <f>CHOOSE(CONTROL!$C$42, 7.8096, 7.8096) * CHOOSE(CONTROL!$C$21, $C$9, 100%, $E$9)</f>
        <v>7.8095999999999997</v>
      </c>
      <c r="T20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03" s="57">
        <f>(1000*CHOOSE(CONTROL!$C$42, 695, 695)*CHOOSE(CONTROL!$C$42, 0.5599, 0.5599)*CHOOSE(CONTROL!$C$42, 30, 30))/1000000</f>
        <v>11.673914999999997</v>
      </c>
      <c r="V203" s="57">
        <f>(1000*CHOOSE(CONTROL!$C$42, 500, 500)*CHOOSE(CONTROL!$C$42, 0.275, 0.275)*CHOOSE(CONTROL!$C$42, 30, 30))/1000000</f>
        <v>4.125</v>
      </c>
      <c r="W203" s="57">
        <f>(1000*CHOOSE(CONTROL!$C$42, 0.1146, 0.1146)*CHOOSE(CONTROL!$C$42, 121.5, 121.5)*CHOOSE(CONTROL!$C$42, 30, 30))/1000000</f>
        <v>0.417717</v>
      </c>
      <c r="X203" s="57">
        <f>(30*0.1790888*100000/1000000)+(30*0.2374*100000/1000000)</f>
        <v>1.2494664</v>
      </c>
      <c r="Y203" s="57"/>
      <c r="Z203" s="14"/>
      <c r="AA203" s="56"/>
      <c r="AB203" s="50">
        <f>(B203*122.58+C203*297.941+D203*89.177+E203*40.302+F203*40+G203*160+H203*0+I203*100+J203*300)/(122.58+297.941+89.177+40.302+0+40+160+100+300)</f>
        <v>8.0562647692173925</v>
      </c>
      <c r="AC203" s="45">
        <f>(M203*'RAP TEMPLATE-GAS AVAILABILITY'!O202+N203*'RAP TEMPLATE-GAS AVAILABILITY'!P202+O203*'RAP TEMPLATE-GAS AVAILABILITY'!Q202+P203*'RAP TEMPLATE-GAS AVAILABILITY'!R202)/('RAP TEMPLATE-GAS AVAILABILITY'!O202+'RAP TEMPLATE-GAS AVAILABILITY'!P202+'RAP TEMPLATE-GAS AVAILABILITY'!Q202+'RAP TEMPLATE-GAS AVAILABILITY'!R202)</f>
        <v>8.0180589928057557</v>
      </c>
    </row>
    <row r="204" spans="1:29" ht="15.75" x14ac:dyDescent="0.25">
      <c r="A204" s="13">
        <v>47088</v>
      </c>
      <c r="B204" s="14">
        <f>CHOOSE(CONTROL!$C$42, 8.5925, 8.5925) * CHOOSE(CONTROL!$C$21, $C$9, 100%, $E$9)</f>
        <v>8.5924999999999994</v>
      </c>
      <c r="C204" s="14">
        <f>CHOOSE(CONTROL!$C$42, 8.5974, 8.5974) * CHOOSE(CONTROL!$C$21, $C$9, 100%, $E$9)</f>
        <v>8.5974000000000004</v>
      </c>
      <c r="D204" s="14">
        <f>CHOOSE(CONTROL!$C$42, 8.6605, 8.6605) * CHOOSE(CONTROL!$C$21, $C$9, 100%, $E$9)</f>
        <v>8.6605000000000008</v>
      </c>
      <c r="E204" s="14">
        <f>CHOOSE(CONTROL!$C$42, 8.6943, 8.6943) * CHOOSE(CONTROL!$C$21, $C$9, 100%, $E$9)</f>
        <v>8.6943000000000001</v>
      </c>
      <c r="F204" s="14">
        <f>CHOOSE(CONTROL!$C$42, 8.5952, 8.5952)*CHOOSE(CONTROL!$C$21, $C$9, 100%, $E$9)</f>
        <v>8.5952000000000002</v>
      </c>
      <c r="G204" s="14">
        <f>CHOOSE(CONTROL!$C$42, 8.612, 8.612)*CHOOSE(CONTROL!$C$21, $C$9, 100%, $E$9)</f>
        <v>8.6120000000000001</v>
      </c>
      <c r="H204" s="14">
        <f>CHOOSE(CONTROL!$C$42, 8.6835, 8.6835) * CHOOSE(CONTROL!$C$21, $C$9, 100%, $E$9)</f>
        <v>8.6835000000000004</v>
      </c>
      <c r="I204" s="14">
        <f>CHOOSE(CONTROL!$C$42, 8.606, 8.606)* CHOOSE(CONTROL!$C$21, $C$9, 100%, $E$9)</f>
        <v>8.6059999999999999</v>
      </c>
      <c r="J204" s="14">
        <f>CHOOSE(CONTROL!$C$42, 8.5882, 8.5882)* CHOOSE(CONTROL!$C$21, $C$9, 100%, $E$9)</f>
        <v>8.5882000000000005</v>
      </c>
      <c r="K204" s="53">
        <f>CHOOSE(CONTROL!$C$42, 8.6021, 8.6021) * CHOOSE(CONTROL!$C$21, $C$9, 100%, $E$9)</f>
        <v>8.6021000000000001</v>
      </c>
      <c r="L204" s="14">
        <f>CHOOSE(CONTROL!$C$42, 9.2705, 9.2705) * CHOOSE(CONTROL!$C$21, $C$9, 100%, $E$9)</f>
        <v>9.2705000000000002</v>
      </c>
      <c r="M204" s="14">
        <f>CHOOSE(CONTROL!$C$42, 8.5154, 8.5154) * CHOOSE(CONTROL!$C$21, $C$9, 100%, $E$9)</f>
        <v>8.5153999999999996</v>
      </c>
      <c r="N204" s="14">
        <f>CHOOSE(CONTROL!$C$42, 8.532, 8.532) * CHOOSE(CONTROL!$C$21, $C$9, 100%, $E$9)</f>
        <v>8.532</v>
      </c>
      <c r="O204" s="14">
        <f>CHOOSE(CONTROL!$C$42, 8.6097, 8.6097) * CHOOSE(CONTROL!$C$21, $C$9, 100%, $E$9)</f>
        <v>8.6097000000000001</v>
      </c>
      <c r="P204" s="14">
        <f>CHOOSE(CONTROL!$C$42, 8.533, 8.533) * CHOOSE(CONTROL!$C$21, $C$9, 100%, $E$9)</f>
        <v>8.5329999999999995</v>
      </c>
      <c r="Q204" s="14">
        <f>CHOOSE(CONTROL!$C$42, 9.205, 9.205) * CHOOSE(CONTROL!$C$21, $C$9, 100%, $E$9)</f>
        <v>9.2050000000000001</v>
      </c>
      <c r="R204" s="14">
        <f>CHOOSE(CONTROL!$C$42, 9.815, 9.815) * CHOOSE(CONTROL!$C$21, $C$9, 100%, $E$9)</f>
        <v>9.8149999999999995</v>
      </c>
      <c r="S204" s="14">
        <f>CHOOSE(CONTROL!$C$42, 8.342, 8.342) * CHOOSE(CONTROL!$C$21, $C$9, 100%, $E$9)</f>
        <v>8.3420000000000005</v>
      </c>
      <c r="T20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04" s="57">
        <f>(1000*CHOOSE(CONTROL!$C$42, 695, 695)*CHOOSE(CONTROL!$C$42, 0.5599, 0.5599)*CHOOSE(CONTROL!$C$42, 31, 31))/1000000</f>
        <v>12.063045499999998</v>
      </c>
      <c r="V204" s="57">
        <f>(1000*CHOOSE(CONTROL!$C$42, 500, 500)*CHOOSE(CONTROL!$C$42, 0.275, 0.275)*CHOOSE(CONTROL!$C$42, 31, 31))/1000000</f>
        <v>4.2625000000000002</v>
      </c>
      <c r="W204" s="57">
        <f>(1000*CHOOSE(CONTROL!$C$42, 0.1146, 0.1146)*CHOOSE(CONTROL!$C$42, 121.5, 121.5)*CHOOSE(CONTROL!$C$42, 31, 31))/1000000</f>
        <v>0.43164089999999994</v>
      </c>
      <c r="X204" s="57">
        <f>(31*0.1790888*100000/1000000)+(31*0.2374*100000/1000000)</f>
        <v>1.2911152800000001</v>
      </c>
      <c r="Y204" s="57"/>
      <c r="Z204" s="14"/>
      <c r="AA204" s="56"/>
      <c r="AB204" s="50">
        <f>(B204*122.58+C204*297.941+D204*89.177+E204*40.302+F204*40+G204*160+H204*0+I204*100+J204*300)/(122.58+297.941+89.177+40.302+0+40+160+100+300)</f>
        <v>8.6054692960869588</v>
      </c>
      <c r="AC204" s="45">
        <f>(M204*'RAP TEMPLATE-GAS AVAILABILITY'!O203+N204*'RAP TEMPLATE-GAS AVAILABILITY'!P203+O204*'RAP TEMPLATE-GAS AVAILABILITY'!Q203+P204*'RAP TEMPLATE-GAS AVAILABILITY'!R203)/('RAP TEMPLATE-GAS AVAILABILITY'!O203+'RAP TEMPLATE-GAS AVAILABILITY'!P203+'RAP TEMPLATE-GAS AVAILABILITY'!Q203+'RAP TEMPLATE-GAS AVAILABILITY'!R203)</f>
        <v>8.5616280575539552</v>
      </c>
    </row>
    <row r="205" spans="1:29" ht="15.75" x14ac:dyDescent="0.25">
      <c r="A205" s="13">
        <v>47119</v>
      </c>
      <c r="B205" s="14">
        <f>CHOOSE(CONTROL!$C$42, 9.2769, 9.2769) * CHOOSE(CONTROL!$C$21, $C$9, 100%, $E$9)</f>
        <v>9.2768999999999995</v>
      </c>
      <c r="C205" s="14">
        <f>CHOOSE(CONTROL!$C$42, 9.2818, 9.2818) * CHOOSE(CONTROL!$C$21, $C$9, 100%, $E$9)</f>
        <v>9.2818000000000005</v>
      </c>
      <c r="D205" s="14">
        <f>CHOOSE(CONTROL!$C$42, 9.3461, 9.3461) * CHOOSE(CONTROL!$C$21, $C$9, 100%, $E$9)</f>
        <v>9.3460999999999999</v>
      </c>
      <c r="E205" s="14">
        <f>CHOOSE(CONTROL!$C$42, 9.3799, 9.3799) * CHOOSE(CONTROL!$C$21, $C$9, 100%, $E$9)</f>
        <v>9.3798999999999992</v>
      </c>
      <c r="F205" s="14">
        <f>CHOOSE(CONTROL!$C$42, 9.2784, 9.2784)*CHOOSE(CONTROL!$C$21, $C$9, 100%, $E$9)</f>
        <v>9.2783999999999995</v>
      </c>
      <c r="G205" s="14">
        <f>CHOOSE(CONTROL!$C$42, 9.2943, 9.2943)*CHOOSE(CONTROL!$C$21, $C$9, 100%, $E$9)</f>
        <v>9.2942999999999998</v>
      </c>
      <c r="H205" s="14">
        <f>CHOOSE(CONTROL!$C$42, 9.3691, 9.3691) * CHOOSE(CONTROL!$C$21, $C$9, 100%, $E$9)</f>
        <v>9.3690999999999995</v>
      </c>
      <c r="I205" s="14">
        <f>CHOOSE(CONTROL!$C$42, 9.2968, 9.2968)* CHOOSE(CONTROL!$C$21, $C$9, 100%, $E$9)</f>
        <v>9.2967999999999993</v>
      </c>
      <c r="J205" s="14">
        <f>CHOOSE(CONTROL!$C$42, 9.2714, 9.2714)* CHOOSE(CONTROL!$C$21, $C$9, 100%, $E$9)</f>
        <v>9.2713999999999999</v>
      </c>
      <c r="K205" s="53">
        <f>CHOOSE(CONTROL!$C$42, 9.2929, 9.2929) * CHOOSE(CONTROL!$C$21, $C$9, 100%, $E$9)</f>
        <v>9.2928999999999995</v>
      </c>
      <c r="L205" s="14">
        <f>CHOOSE(CONTROL!$C$42, 9.9561, 9.9561) * CHOOSE(CONTROL!$C$21, $C$9, 100%, $E$9)</f>
        <v>9.9560999999999993</v>
      </c>
      <c r="M205" s="14">
        <f>CHOOSE(CONTROL!$C$42, 9.1916, 9.1916) * CHOOSE(CONTROL!$C$21, $C$9, 100%, $E$9)</f>
        <v>9.1915999999999993</v>
      </c>
      <c r="N205" s="14">
        <f>CHOOSE(CONTROL!$C$42, 9.2074, 9.2074) * CHOOSE(CONTROL!$C$21, $C$9, 100%, $E$9)</f>
        <v>9.2073999999999998</v>
      </c>
      <c r="O205" s="14">
        <f>CHOOSE(CONTROL!$C$42, 9.2883, 9.2883) * CHOOSE(CONTROL!$C$21, $C$9, 100%, $E$9)</f>
        <v>9.2882999999999996</v>
      </c>
      <c r="P205" s="14">
        <f>CHOOSE(CONTROL!$C$42, 9.2169, 9.2169) * CHOOSE(CONTROL!$C$21, $C$9, 100%, $E$9)</f>
        <v>9.2169000000000008</v>
      </c>
      <c r="Q205" s="14">
        <f>CHOOSE(CONTROL!$C$42, 9.8836, 9.8836) * CHOOSE(CONTROL!$C$21, $C$9, 100%, $E$9)</f>
        <v>9.8835999999999995</v>
      </c>
      <c r="R205" s="14">
        <f>CHOOSE(CONTROL!$C$42, 10.4953, 10.4953) * CHOOSE(CONTROL!$C$21, $C$9, 100%, $E$9)</f>
        <v>10.4953</v>
      </c>
      <c r="S205" s="14">
        <f>CHOOSE(CONTROL!$C$42, 9.0066, 9.0066) * CHOOSE(CONTROL!$C$21, $C$9, 100%, $E$9)</f>
        <v>9.0066000000000006</v>
      </c>
      <c r="T20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05" s="57">
        <f>(1000*CHOOSE(CONTROL!$C$42, 695, 695)*CHOOSE(CONTROL!$C$42, 0.5599, 0.5599)*CHOOSE(CONTROL!$C$42, 31, 31))/1000000</f>
        <v>12.063045499999998</v>
      </c>
      <c r="V205" s="57">
        <f>(1000*CHOOSE(CONTROL!$C$42, 500, 500)*CHOOSE(CONTROL!$C$42, 0.275, 0.275)*CHOOSE(CONTROL!$C$42, 31, 31))/1000000</f>
        <v>4.2625000000000002</v>
      </c>
      <c r="W205" s="57">
        <f>(1000*CHOOSE(CONTROL!$C$42, 0.1146, 0.1146)*CHOOSE(CONTROL!$C$42, 121.5, 121.5)*CHOOSE(CONTROL!$C$42, 31, 31))/1000000</f>
        <v>0.43164089999999994</v>
      </c>
      <c r="X205" s="57">
        <f>(31*0.1790888*100000/1000000)+(31*0.2374*100000/1000000)</f>
        <v>1.2911152800000001</v>
      </c>
      <c r="Y205" s="57"/>
      <c r="Z205" s="14"/>
      <c r="AA205" s="56"/>
      <c r="AB205" s="50">
        <f>(B205*122.58+C205*297.941+D205*89.177+E205*40.302+F205*40+G205*160+H205*0+I205*100+J205*300)/(122.58+297.941+89.177+40.302+0+40+160+100+300)</f>
        <v>9.2899139698260882</v>
      </c>
      <c r="AC205" s="45">
        <f>(M205*'RAP TEMPLATE-GAS AVAILABILITY'!O204+N205*'RAP TEMPLATE-GAS AVAILABILITY'!P204+O205*'RAP TEMPLATE-GAS AVAILABILITY'!Q204+P205*'RAP TEMPLATE-GAS AVAILABILITY'!R204)/('RAP TEMPLATE-GAS AVAILABILITY'!O204+'RAP TEMPLATE-GAS AVAILABILITY'!P204+'RAP TEMPLATE-GAS AVAILABILITY'!Q204+'RAP TEMPLATE-GAS AVAILABILITY'!R204)</f>
        <v>9.2399776978417254</v>
      </c>
    </row>
    <row r="206" spans="1:29" ht="15.75" x14ac:dyDescent="0.25">
      <c r="A206" s="13">
        <v>47150</v>
      </c>
      <c r="B206" s="14">
        <f>CHOOSE(CONTROL!$C$42, 9.4419, 9.4419) * CHOOSE(CONTROL!$C$21, $C$9, 100%, $E$9)</f>
        <v>9.4419000000000004</v>
      </c>
      <c r="C206" s="14">
        <f>CHOOSE(CONTROL!$C$42, 9.4469, 9.4469) * CHOOSE(CONTROL!$C$21, $C$9, 100%, $E$9)</f>
        <v>9.4468999999999994</v>
      </c>
      <c r="D206" s="14">
        <f>CHOOSE(CONTROL!$C$42, 9.5112, 9.5112) * CHOOSE(CONTROL!$C$21, $C$9, 100%, $E$9)</f>
        <v>9.5112000000000005</v>
      </c>
      <c r="E206" s="14">
        <f>CHOOSE(CONTROL!$C$42, 9.5449, 9.5449) * CHOOSE(CONTROL!$C$21, $C$9, 100%, $E$9)</f>
        <v>9.5449000000000002</v>
      </c>
      <c r="F206" s="14">
        <f>CHOOSE(CONTROL!$C$42, 9.4435, 9.4435)*CHOOSE(CONTROL!$C$21, $C$9, 100%, $E$9)</f>
        <v>9.4435000000000002</v>
      </c>
      <c r="G206" s="14">
        <f>CHOOSE(CONTROL!$C$42, 9.4594, 9.4594)*CHOOSE(CONTROL!$C$21, $C$9, 100%, $E$9)</f>
        <v>9.4594000000000005</v>
      </c>
      <c r="H206" s="14">
        <f>CHOOSE(CONTROL!$C$42, 9.5341, 9.5341) * CHOOSE(CONTROL!$C$21, $C$9, 100%, $E$9)</f>
        <v>9.5341000000000005</v>
      </c>
      <c r="I206" s="14">
        <f>CHOOSE(CONTROL!$C$42, 9.4619, 9.4619)* CHOOSE(CONTROL!$C$21, $C$9, 100%, $E$9)</f>
        <v>9.4619</v>
      </c>
      <c r="J206" s="14">
        <f>CHOOSE(CONTROL!$C$42, 9.4365, 9.4365)* CHOOSE(CONTROL!$C$21, $C$9, 100%, $E$9)</f>
        <v>9.4365000000000006</v>
      </c>
      <c r="K206" s="53">
        <f>CHOOSE(CONTROL!$C$42, 9.458, 9.458) * CHOOSE(CONTROL!$C$21, $C$9, 100%, $E$9)</f>
        <v>9.4580000000000002</v>
      </c>
      <c r="L206" s="14">
        <f>CHOOSE(CONTROL!$C$42, 10.1211, 10.1211) * CHOOSE(CONTROL!$C$21, $C$9, 100%, $E$9)</f>
        <v>10.1211</v>
      </c>
      <c r="M206" s="14">
        <f>CHOOSE(CONTROL!$C$42, 9.3551, 9.3551) * CHOOSE(CONTROL!$C$21, $C$9, 100%, $E$9)</f>
        <v>9.3551000000000002</v>
      </c>
      <c r="N206" s="14">
        <f>CHOOSE(CONTROL!$C$42, 9.3709, 9.3709) * CHOOSE(CONTROL!$C$21, $C$9, 100%, $E$9)</f>
        <v>9.3709000000000007</v>
      </c>
      <c r="O206" s="14">
        <f>CHOOSE(CONTROL!$C$42, 9.4518, 9.4518) * CHOOSE(CONTROL!$C$21, $C$9, 100%, $E$9)</f>
        <v>9.4518000000000004</v>
      </c>
      <c r="P206" s="14">
        <f>CHOOSE(CONTROL!$C$42, 9.3803, 9.3803) * CHOOSE(CONTROL!$C$21, $C$9, 100%, $E$9)</f>
        <v>9.3803000000000001</v>
      </c>
      <c r="Q206" s="14">
        <f>CHOOSE(CONTROL!$C$42, 10.0471, 10.0471) * CHOOSE(CONTROL!$C$21, $C$9, 100%, $E$9)</f>
        <v>10.0471</v>
      </c>
      <c r="R206" s="14">
        <f>CHOOSE(CONTROL!$C$42, 10.6592, 10.6592) * CHOOSE(CONTROL!$C$21, $C$9, 100%, $E$9)</f>
        <v>10.6592</v>
      </c>
      <c r="S206" s="14">
        <f>CHOOSE(CONTROL!$C$42, 9.1669, 9.1669) * CHOOSE(CONTROL!$C$21, $C$9, 100%, $E$9)</f>
        <v>9.1669</v>
      </c>
      <c r="T20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06" s="57">
        <f>(1000*CHOOSE(CONTROL!$C$42, 695, 695)*CHOOSE(CONTROL!$C$42, 0.5599, 0.5599)*CHOOSE(CONTROL!$C$42, 28, 28))/1000000</f>
        <v>10.895653999999999</v>
      </c>
      <c r="V206" s="57">
        <f>(1000*CHOOSE(CONTROL!$C$42, 500, 500)*CHOOSE(CONTROL!$C$42, 0.275, 0.275)*CHOOSE(CONTROL!$C$42, 28, 28))/1000000</f>
        <v>3.85</v>
      </c>
      <c r="W206" s="57">
        <f>(1000*CHOOSE(CONTROL!$C$42, 0.1146, 0.1146)*CHOOSE(CONTROL!$C$42, 121.5, 121.5)*CHOOSE(CONTROL!$C$42, 28, 28))/1000000</f>
        <v>0.38986920000000003</v>
      </c>
      <c r="X206" s="57">
        <f>(28*0.1790888*100000/1000000)+(28*0.2374*100000/1000000)</f>
        <v>1.16616864</v>
      </c>
      <c r="Y206" s="57"/>
      <c r="Z206" s="14"/>
      <c r="AA206" s="56"/>
      <c r="AB206" s="50">
        <f>(B206*122.58+C206*297.941+D206*89.177+E206*40.302+F206*40+G206*160+H206*0+I206*100+J206*300)/(122.58+297.941+89.177+40.302+0+40+160+100+300)</f>
        <v>9.4549998061739124</v>
      </c>
      <c r="AC206" s="45">
        <f>(M206*'RAP TEMPLATE-GAS AVAILABILITY'!O205+N206*'RAP TEMPLATE-GAS AVAILABILITY'!P205+O206*'RAP TEMPLATE-GAS AVAILABILITY'!Q205+P206*'RAP TEMPLATE-GAS AVAILABILITY'!R205)/('RAP TEMPLATE-GAS AVAILABILITY'!O205+'RAP TEMPLATE-GAS AVAILABILITY'!P205+'RAP TEMPLATE-GAS AVAILABILITY'!Q205+'RAP TEMPLATE-GAS AVAILABILITY'!R205)</f>
        <v>9.4034633093525191</v>
      </c>
    </row>
    <row r="207" spans="1:29" ht="15.75" x14ac:dyDescent="0.25">
      <c r="A207" s="13">
        <v>47178</v>
      </c>
      <c r="B207" s="14">
        <f>CHOOSE(CONTROL!$C$42, 9.174, 9.174) * CHOOSE(CONTROL!$C$21, $C$9, 100%, $E$9)</f>
        <v>9.1739999999999995</v>
      </c>
      <c r="C207" s="14">
        <f>CHOOSE(CONTROL!$C$42, 9.1789, 9.1789) * CHOOSE(CONTROL!$C$21, $C$9, 100%, $E$9)</f>
        <v>9.1789000000000005</v>
      </c>
      <c r="D207" s="14">
        <f>CHOOSE(CONTROL!$C$42, 9.2432, 9.2432) * CHOOSE(CONTROL!$C$21, $C$9, 100%, $E$9)</f>
        <v>9.2431999999999999</v>
      </c>
      <c r="E207" s="14">
        <f>CHOOSE(CONTROL!$C$42, 9.277, 9.277) * CHOOSE(CONTROL!$C$21, $C$9, 100%, $E$9)</f>
        <v>9.2769999999999992</v>
      </c>
      <c r="F207" s="14">
        <f>CHOOSE(CONTROL!$C$42, 9.1752, 9.1752)*CHOOSE(CONTROL!$C$21, $C$9, 100%, $E$9)</f>
        <v>9.1752000000000002</v>
      </c>
      <c r="G207" s="14">
        <f>CHOOSE(CONTROL!$C$42, 9.1911, 9.1911)*CHOOSE(CONTROL!$C$21, $C$9, 100%, $E$9)</f>
        <v>9.1911000000000005</v>
      </c>
      <c r="H207" s="14">
        <f>CHOOSE(CONTROL!$C$42, 9.2662, 9.2662) * CHOOSE(CONTROL!$C$21, $C$9, 100%, $E$9)</f>
        <v>9.2661999999999995</v>
      </c>
      <c r="I207" s="14">
        <f>CHOOSE(CONTROL!$C$42, 9.1939, 9.1939)* CHOOSE(CONTROL!$C$21, $C$9, 100%, $E$9)</f>
        <v>9.1938999999999993</v>
      </c>
      <c r="J207" s="14">
        <f>CHOOSE(CONTROL!$C$42, 9.1682, 9.1682)* CHOOSE(CONTROL!$C$21, $C$9, 100%, $E$9)</f>
        <v>9.1682000000000006</v>
      </c>
      <c r="K207" s="53">
        <f>CHOOSE(CONTROL!$C$42, 9.19, 9.19) * CHOOSE(CONTROL!$C$21, $C$9, 100%, $E$9)</f>
        <v>9.19</v>
      </c>
      <c r="L207" s="14">
        <f>CHOOSE(CONTROL!$C$42, 9.8532, 9.8532) * CHOOSE(CONTROL!$C$21, $C$9, 100%, $E$9)</f>
        <v>9.8531999999999993</v>
      </c>
      <c r="M207" s="14">
        <f>CHOOSE(CONTROL!$C$42, 9.0895, 9.0895) * CHOOSE(CONTROL!$C$21, $C$9, 100%, $E$9)</f>
        <v>9.0894999999999992</v>
      </c>
      <c r="N207" s="14">
        <f>CHOOSE(CONTROL!$C$42, 9.1052, 9.1052) * CHOOSE(CONTROL!$C$21, $C$9, 100%, $E$9)</f>
        <v>9.1052</v>
      </c>
      <c r="O207" s="14">
        <f>CHOOSE(CONTROL!$C$42, 9.1865, 9.1865) * CHOOSE(CONTROL!$C$21, $C$9, 100%, $E$9)</f>
        <v>9.1865000000000006</v>
      </c>
      <c r="P207" s="14">
        <f>CHOOSE(CONTROL!$C$42, 9.115, 9.115) * CHOOSE(CONTROL!$C$21, $C$9, 100%, $E$9)</f>
        <v>9.1150000000000002</v>
      </c>
      <c r="Q207" s="14">
        <f>CHOOSE(CONTROL!$C$42, 9.7818, 9.7818) * CHOOSE(CONTROL!$C$21, $C$9, 100%, $E$9)</f>
        <v>9.7818000000000005</v>
      </c>
      <c r="R207" s="14">
        <f>CHOOSE(CONTROL!$C$42, 10.3932, 10.3932) * CHOOSE(CONTROL!$C$21, $C$9, 100%, $E$9)</f>
        <v>10.3932</v>
      </c>
      <c r="S207" s="14">
        <f>CHOOSE(CONTROL!$C$42, 8.9067, 8.9067) * CHOOSE(CONTROL!$C$21, $C$9, 100%, $E$9)</f>
        <v>8.9067000000000007</v>
      </c>
      <c r="T20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07" s="57">
        <f>(1000*CHOOSE(CONTROL!$C$42, 695, 695)*CHOOSE(CONTROL!$C$42, 0.5599, 0.5599)*CHOOSE(CONTROL!$C$42, 31, 31))/1000000</f>
        <v>12.063045499999998</v>
      </c>
      <c r="V207" s="57">
        <f>(1000*CHOOSE(CONTROL!$C$42, 500, 500)*CHOOSE(CONTROL!$C$42, 0.275, 0.275)*CHOOSE(CONTROL!$C$42, 31, 31))/1000000</f>
        <v>4.2625000000000002</v>
      </c>
      <c r="W207" s="57">
        <f>(1000*CHOOSE(CONTROL!$C$42, 0.1146, 0.1146)*CHOOSE(CONTROL!$C$42, 121.5, 121.5)*CHOOSE(CONTROL!$C$42, 31, 31))/1000000</f>
        <v>0.43164089999999994</v>
      </c>
      <c r="X207" s="57">
        <f>(31*0.1790888*100000/1000000)+(31*0.2374*100000/1000000)</f>
        <v>1.2911152800000001</v>
      </c>
      <c r="Y207" s="57"/>
      <c r="Z207" s="14"/>
      <c r="AA207" s="56"/>
      <c r="AB207" s="50">
        <f>(B207*122.58+C207*297.941+D207*89.177+E207*40.302+F207*40+G207*160+H207*0+I207*100+J207*300)/(122.58+297.941+89.177+40.302+0+40+160+100+300)</f>
        <v>9.1868835350434779</v>
      </c>
      <c r="AC207" s="45">
        <f>(M207*'RAP TEMPLATE-GAS AVAILABILITY'!O206+N207*'RAP TEMPLATE-GAS AVAILABILITY'!P206+O207*'RAP TEMPLATE-GAS AVAILABILITY'!Q206+P207*'RAP TEMPLATE-GAS AVAILABILITY'!R206)/('RAP TEMPLATE-GAS AVAILABILITY'!O206+'RAP TEMPLATE-GAS AVAILABILITY'!P206+'RAP TEMPLATE-GAS AVAILABILITY'!Q206+'RAP TEMPLATE-GAS AVAILABILITY'!R206)</f>
        <v>9.1380366906474819</v>
      </c>
    </row>
    <row r="208" spans="1:29" ht="15.75" x14ac:dyDescent="0.25">
      <c r="A208" s="13">
        <v>47209</v>
      </c>
      <c r="B208" s="14">
        <f>CHOOSE(CONTROL!$C$42, 9.1477, 9.1477) * CHOOSE(CONTROL!$C$21, $C$9, 100%, $E$9)</f>
        <v>9.1477000000000004</v>
      </c>
      <c r="C208" s="14">
        <f>CHOOSE(CONTROL!$C$42, 9.152, 9.152) * CHOOSE(CONTROL!$C$21, $C$9, 100%, $E$9)</f>
        <v>9.1519999999999992</v>
      </c>
      <c r="D208" s="14">
        <f>CHOOSE(CONTROL!$C$42, 9.3528, 9.3528) * CHOOSE(CONTROL!$C$21, $C$9, 100%, $E$9)</f>
        <v>9.3528000000000002</v>
      </c>
      <c r="E208" s="14">
        <f>CHOOSE(CONTROL!$C$42, 9.3846, 9.3846) * CHOOSE(CONTROL!$C$21, $C$9, 100%, $E$9)</f>
        <v>9.3846000000000007</v>
      </c>
      <c r="F208" s="14">
        <f>CHOOSE(CONTROL!$C$42, 9.1323, 9.1323)*CHOOSE(CONTROL!$C$21, $C$9, 100%, $E$9)</f>
        <v>9.1323000000000008</v>
      </c>
      <c r="G208" s="14">
        <f>CHOOSE(CONTROL!$C$42, 9.1479, 9.1479)*CHOOSE(CONTROL!$C$21, $C$9, 100%, $E$9)</f>
        <v>9.1478999999999999</v>
      </c>
      <c r="H208" s="14">
        <f>CHOOSE(CONTROL!$C$42, 9.3743, 9.3743) * CHOOSE(CONTROL!$C$21, $C$9, 100%, $E$9)</f>
        <v>9.3742999999999999</v>
      </c>
      <c r="I208" s="14">
        <f>CHOOSE(CONTROL!$C$42, 9.1604, 9.1604)* CHOOSE(CONTROL!$C$21, $C$9, 100%, $E$9)</f>
        <v>9.1603999999999992</v>
      </c>
      <c r="J208" s="14">
        <f>CHOOSE(CONTROL!$C$42, 9.1253, 9.1253)* CHOOSE(CONTROL!$C$21, $C$9, 100%, $E$9)</f>
        <v>9.1252999999999993</v>
      </c>
      <c r="K208" s="53">
        <f>CHOOSE(CONTROL!$C$42, 9.1565, 9.1565) * CHOOSE(CONTROL!$C$21, $C$9, 100%, $E$9)</f>
        <v>9.1564999999999994</v>
      </c>
      <c r="L208" s="14">
        <f>CHOOSE(CONTROL!$C$42, 9.9613, 9.9613) * CHOOSE(CONTROL!$C$21, $C$9, 100%, $E$9)</f>
        <v>9.9612999999999996</v>
      </c>
      <c r="M208" s="14">
        <f>CHOOSE(CONTROL!$C$42, 9.047, 9.047) * CHOOSE(CONTROL!$C$21, $C$9, 100%, $E$9)</f>
        <v>9.0470000000000006</v>
      </c>
      <c r="N208" s="14">
        <f>CHOOSE(CONTROL!$C$42, 9.0625, 9.0625) * CHOOSE(CONTROL!$C$21, $C$9, 100%, $E$9)</f>
        <v>9.0625</v>
      </c>
      <c r="O208" s="14">
        <f>CHOOSE(CONTROL!$C$42, 9.2936, 9.2936) * CHOOSE(CONTROL!$C$21, $C$9, 100%, $E$9)</f>
        <v>9.2935999999999996</v>
      </c>
      <c r="P208" s="14">
        <f>CHOOSE(CONTROL!$C$42, 9.0819, 9.0819) * CHOOSE(CONTROL!$C$21, $C$9, 100%, $E$9)</f>
        <v>9.0818999999999992</v>
      </c>
      <c r="Q208" s="14">
        <f>CHOOSE(CONTROL!$C$42, 9.8889, 9.8889) * CHOOSE(CONTROL!$C$21, $C$9, 100%, $E$9)</f>
        <v>9.8888999999999996</v>
      </c>
      <c r="R208" s="14">
        <f>CHOOSE(CONTROL!$C$42, 10.5006, 10.5006) * CHOOSE(CONTROL!$C$21, $C$9, 100%, $E$9)</f>
        <v>10.5006</v>
      </c>
      <c r="S208" s="14">
        <f>CHOOSE(CONTROL!$C$42, 8.8804, 8.8804) * CHOOSE(CONTROL!$C$21, $C$9, 100%, $E$9)</f>
        <v>8.8803999999999998</v>
      </c>
      <c r="T20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08" s="57">
        <f>(1000*CHOOSE(CONTROL!$C$42, 695, 695)*CHOOSE(CONTROL!$C$42, 0.5599, 0.5599)*CHOOSE(CONTROL!$C$42, 30, 30))/1000000</f>
        <v>11.673914999999997</v>
      </c>
      <c r="V208" s="57">
        <f>(1000*CHOOSE(CONTROL!$C$42, 500, 500)*CHOOSE(CONTROL!$C$42, 0.275, 0.275)*CHOOSE(CONTROL!$C$42, 30, 30))/1000000</f>
        <v>4.125</v>
      </c>
      <c r="W208" s="57">
        <f>(1000*CHOOSE(CONTROL!$C$42, 0.1146, 0.1146)*CHOOSE(CONTROL!$C$42, 121.5, 121.5)*CHOOSE(CONTROL!$C$42, 30, 30))/1000000</f>
        <v>0.417717</v>
      </c>
      <c r="X208" s="57">
        <f>(30*0.1790888*245000/1000000)+(30*0.2374*100000/1000000)</f>
        <v>2.0285026799999999</v>
      </c>
      <c r="Y208" s="57"/>
      <c r="Z208" s="14"/>
      <c r="AA208" s="56"/>
      <c r="AB208" s="50">
        <f>(B208*141.293+C208*267.993+D208*115.016+E208*89.698+F208*40+G208*185+H208*0+I208*100+J208*300)/(141.293+267.993+115.016+89.698+0+40+185+100+300)</f>
        <v>9.1799539206618235</v>
      </c>
      <c r="AC208" s="45">
        <f>(M208*'RAP TEMPLATE-GAS AVAILABILITY'!O207+N208*'RAP TEMPLATE-GAS AVAILABILITY'!P207+O208*'RAP TEMPLATE-GAS AVAILABILITY'!Q207+P208*'RAP TEMPLATE-GAS AVAILABILITY'!R207)/('RAP TEMPLATE-GAS AVAILABILITY'!O207+'RAP TEMPLATE-GAS AVAILABILITY'!P207+'RAP TEMPLATE-GAS AVAILABILITY'!Q207+'RAP TEMPLATE-GAS AVAILABILITY'!R207)</f>
        <v>9.1247798561151079</v>
      </c>
    </row>
    <row r="209" spans="1:29" ht="15.75" x14ac:dyDescent="0.25">
      <c r="A209" s="13">
        <v>47239</v>
      </c>
      <c r="B209" s="14">
        <f>CHOOSE(CONTROL!$C$42, 9.2298, 9.2298) * CHOOSE(CONTROL!$C$21, $C$9, 100%, $E$9)</f>
        <v>9.2297999999999991</v>
      </c>
      <c r="C209" s="14">
        <f>CHOOSE(CONTROL!$C$42, 9.2377, 9.2377) * CHOOSE(CONTROL!$C$21, $C$9, 100%, $E$9)</f>
        <v>9.2377000000000002</v>
      </c>
      <c r="D209" s="14">
        <f>CHOOSE(CONTROL!$C$42, 9.4353, 9.4353) * CHOOSE(CONTROL!$C$21, $C$9, 100%, $E$9)</f>
        <v>9.4352999999999998</v>
      </c>
      <c r="E209" s="14">
        <f>CHOOSE(CONTROL!$C$42, 9.4664, 9.4664) * CHOOSE(CONTROL!$C$21, $C$9, 100%, $E$9)</f>
        <v>9.4664000000000001</v>
      </c>
      <c r="F209" s="14">
        <f>CHOOSE(CONTROL!$C$42, 9.2132, 9.2132)*CHOOSE(CONTROL!$C$21, $C$9, 100%, $E$9)</f>
        <v>9.2132000000000005</v>
      </c>
      <c r="G209" s="14">
        <f>CHOOSE(CONTROL!$C$42, 9.2293, 9.2293)*CHOOSE(CONTROL!$C$21, $C$9, 100%, $E$9)</f>
        <v>9.2293000000000003</v>
      </c>
      <c r="H209" s="14">
        <f>CHOOSE(CONTROL!$C$42, 9.455, 9.455) * CHOOSE(CONTROL!$C$21, $C$9, 100%, $E$9)</f>
        <v>9.4550000000000001</v>
      </c>
      <c r="I209" s="14">
        <f>CHOOSE(CONTROL!$C$42, 9.2411, 9.2411)* CHOOSE(CONTROL!$C$21, $C$9, 100%, $E$9)</f>
        <v>9.2410999999999994</v>
      </c>
      <c r="J209" s="14">
        <f>CHOOSE(CONTROL!$C$42, 9.2062, 9.2062)* CHOOSE(CONTROL!$C$21, $C$9, 100%, $E$9)</f>
        <v>9.2062000000000008</v>
      </c>
      <c r="K209" s="53">
        <f>CHOOSE(CONTROL!$C$42, 9.2372, 9.2372) * CHOOSE(CONTROL!$C$21, $C$9, 100%, $E$9)</f>
        <v>9.2371999999999996</v>
      </c>
      <c r="L209" s="14">
        <f>CHOOSE(CONTROL!$C$42, 10.042, 10.042) * CHOOSE(CONTROL!$C$21, $C$9, 100%, $E$9)</f>
        <v>10.042</v>
      </c>
      <c r="M209" s="14">
        <f>CHOOSE(CONTROL!$C$42, 9.1271, 9.1271) * CHOOSE(CONTROL!$C$21, $C$9, 100%, $E$9)</f>
        <v>9.1271000000000004</v>
      </c>
      <c r="N209" s="14">
        <f>CHOOSE(CONTROL!$C$42, 9.143, 9.143) * CHOOSE(CONTROL!$C$21, $C$9, 100%, $E$9)</f>
        <v>9.1430000000000007</v>
      </c>
      <c r="O209" s="14">
        <f>CHOOSE(CONTROL!$C$42, 9.3734, 9.3734) * CHOOSE(CONTROL!$C$21, $C$9, 100%, $E$9)</f>
        <v>9.3734000000000002</v>
      </c>
      <c r="P209" s="14">
        <f>CHOOSE(CONTROL!$C$42, 9.1617, 9.1617) * CHOOSE(CONTROL!$C$21, $C$9, 100%, $E$9)</f>
        <v>9.1616999999999997</v>
      </c>
      <c r="Q209" s="14">
        <f>CHOOSE(CONTROL!$C$42, 9.9687, 9.9687) * CHOOSE(CONTROL!$C$21, $C$9, 100%, $E$9)</f>
        <v>9.9687000000000001</v>
      </c>
      <c r="R209" s="14">
        <f>CHOOSE(CONTROL!$C$42, 10.5807, 10.5807) * CHOOSE(CONTROL!$C$21, $C$9, 100%, $E$9)</f>
        <v>10.5807</v>
      </c>
      <c r="S209" s="14">
        <f>CHOOSE(CONTROL!$C$42, 8.9588, 8.9588) * CHOOSE(CONTROL!$C$21, $C$9, 100%, $E$9)</f>
        <v>8.9588000000000001</v>
      </c>
      <c r="T20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09" s="57">
        <f>(1000*CHOOSE(CONTROL!$C$42, 695, 695)*CHOOSE(CONTROL!$C$42, 0.5599, 0.5599)*CHOOSE(CONTROL!$C$42, 31, 31))/1000000</f>
        <v>12.063045499999998</v>
      </c>
      <c r="V209" s="57">
        <f>(1000*CHOOSE(CONTROL!$C$42, 500, 500)*CHOOSE(CONTROL!$C$42, 0.275, 0.275)*CHOOSE(CONTROL!$C$42, 31, 31))/1000000</f>
        <v>4.2625000000000002</v>
      </c>
      <c r="W209" s="57">
        <f>(1000*CHOOSE(CONTROL!$C$42, 0.1146, 0.1146)*CHOOSE(CONTROL!$C$42, 121.5, 121.5)*CHOOSE(CONTROL!$C$42, 31, 31))/1000000</f>
        <v>0.43164089999999994</v>
      </c>
      <c r="X209" s="57">
        <f>(31*0.1790888*245000/1000000)+(31*0.2374*100000/1000000)</f>
        <v>2.0961194359999999</v>
      </c>
      <c r="Y209" s="57"/>
      <c r="Z209" s="14"/>
      <c r="AA209" s="56"/>
      <c r="AB209" s="50">
        <f>(B209*194.205+C209*267.466+D209*133.845+E209*53.484+F209*40+G209*185+H209*0+I209*100+J209*300)/(194.205+267.466+133.845+53.484+0+40+185+100+300)</f>
        <v>9.2577167529827307</v>
      </c>
      <c r="AC209" s="45">
        <f>(M209*'RAP TEMPLATE-GAS AVAILABILITY'!O208+N209*'RAP TEMPLATE-GAS AVAILABILITY'!P208+O209*'RAP TEMPLATE-GAS AVAILABILITY'!Q208+P209*'RAP TEMPLATE-GAS AVAILABILITY'!R208)/('RAP TEMPLATE-GAS AVAILABILITY'!O208+'RAP TEMPLATE-GAS AVAILABILITY'!P208+'RAP TEMPLATE-GAS AVAILABILITY'!Q208+'RAP TEMPLATE-GAS AVAILABILITY'!R208)</f>
        <v>9.2048446043165466</v>
      </c>
    </row>
    <row r="210" spans="1:29" ht="15.75" x14ac:dyDescent="0.25">
      <c r="A210" s="13">
        <v>47270</v>
      </c>
      <c r="B210" s="14">
        <f>CHOOSE(CONTROL!$C$42, 9.4914, 9.4914) * CHOOSE(CONTROL!$C$21, $C$9, 100%, $E$9)</f>
        <v>9.4914000000000005</v>
      </c>
      <c r="C210" s="14">
        <f>CHOOSE(CONTROL!$C$42, 9.4993, 9.4993) * CHOOSE(CONTROL!$C$21, $C$9, 100%, $E$9)</f>
        <v>9.4992999999999999</v>
      </c>
      <c r="D210" s="14">
        <f>CHOOSE(CONTROL!$C$42, 9.6969, 9.6969) * CHOOSE(CONTROL!$C$21, $C$9, 100%, $E$9)</f>
        <v>9.6968999999999994</v>
      </c>
      <c r="E210" s="14">
        <f>CHOOSE(CONTROL!$C$42, 9.7281, 9.7281) * CHOOSE(CONTROL!$C$21, $C$9, 100%, $E$9)</f>
        <v>9.7280999999999995</v>
      </c>
      <c r="F210" s="14">
        <f>CHOOSE(CONTROL!$C$42, 9.4753, 9.4753)*CHOOSE(CONTROL!$C$21, $C$9, 100%, $E$9)</f>
        <v>9.4753000000000007</v>
      </c>
      <c r="G210" s="14">
        <f>CHOOSE(CONTROL!$C$42, 9.4915, 9.4915)*CHOOSE(CONTROL!$C$21, $C$9, 100%, $E$9)</f>
        <v>9.4915000000000003</v>
      </c>
      <c r="H210" s="14">
        <f>CHOOSE(CONTROL!$C$42, 9.7167, 9.7167) * CHOOSE(CONTROL!$C$21, $C$9, 100%, $E$9)</f>
        <v>9.7166999999999994</v>
      </c>
      <c r="I210" s="14">
        <f>CHOOSE(CONTROL!$C$42, 9.5028, 9.5028)* CHOOSE(CONTROL!$C$21, $C$9, 100%, $E$9)</f>
        <v>9.5028000000000006</v>
      </c>
      <c r="J210" s="14">
        <f>CHOOSE(CONTROL!$C$42, 9.4683, 9.4683)* CHOOSE(CONTROL!$C$21, $C$9, 100%, $E$9)</f>
        <v>9.4682999999999993</v>
      </c>
      <c r="K210" s="53">
        <f>CHOOSE(CONTROL!$C$42, 9.4989, 9.4989) * CHOOSE(CONTROL!$C$21, $C$9, 100%, $E$9)</f>
        <v>9.4989000000000008</v>
      </c>
      <c r="L210" s="14">
        <f>CHOOSE(CONTROL!$C$42, 10.3037, 10.3037) * CHOOSE(CONTROL!$C$21, $C$9, 100%, $E$9)</f>
        <v>10.303699999999999</v>
      </c>
      <c r="M210" s="14">
        <f>CHOOSE(CONTROL!$C$42, 9.3865, 9.3865) * CHOOSE(CONTROL!$C$21, $C$9, 100%, $E$9)</f>
        <v>9.3864999999999998</v>
      </c>
      <c r="N210" s="14">
        <f>CHOOSE(CONTROL!$C$42, 9.4026, 9.4026) * CHOOSE(CONTROL!$C$21, $C$9, 100%, $E$9)</f>
        <v>9.4025999999999996</v>
      </c>
      <c r="O210" s="14">
        <f>CHOOSE(CONTROL!$C$42, 9.6325, 9.6325) * CHOOSE(CONTROL!$C$21, $C$9, 100%, $E$9)</f>
        <v>9.6325000000000003</v>
      </c>
      <c r="P210" s="14">
        <f>CHOOSE(CONTROL!$C$42, 9.4208, 9.4208) * CHOOSE(CONTROL!$C$21, $C$9, 100%, $E$9)</f>
        <v>9.4207999999999998</v>
      </c>
      <c r="Q210" s="14">
        <f>CHOOSE(CONTROL!$C$42, 10.2278, 10.2278) * CHOOSE(CONTROL!$C$21, $C$9, 100%, $E$9)</f>
        <v>10.2278</v>
      </c>
      <c r="R210" s="14">
        <f>CHOOSE(CONTROL!$C$42, 10.8403, 10.8403) * CHOOSE(CONTROL!$C$21, $C$9, 100%, $E$9)</f>
        <v>10.840299999999999</v>
      </c>
      <c r="S210" s="14">
        <f>CHOOSE(CONTROL!$C$42, 9.2129, 9.2129) * CHOOSE(CONTROL!$C$21, $C$9, 100%, $E$9)</f>
        <v>9.2128999999999994</v>
      </c>
      <c r="T21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10" s="57">
        <f>(1000*CHOOSE(CONTROL!$C$42, 695, 695)*CHOOSE(CONTROL!$C$42, 0.5599, 0.5599)*CHOOSE(CONTROL!$C$42, 30, 30))/1000000</f>
        <v>11.673914999999997</v>
      </c>
      <c r="V210" s="57">
        <f>(1000*CHOOSE(CONTROL!$C$42, 500, 500)*CHOOSE(CONTROL!$C$42, 0.275, 0.275)*CHOOSE(CONTROL!$C$42, 30, 30))/1000000</f>
        <v>4.125</v>
      </c>
      <c r="W210" s="57">
        <f>(1000*CHOOSE(CONTROL!$C$42, 0.1146, 0.1146)*CHOOSE(CONTROL!$C$42, 121.5, 121.5)*CHOOSE(CONTROL!$C$42, 30, 30))/1000000</f>
        <v>0.417717</v>
      </c>
      <c r="X210" s="57">
        <f>(30*0.1790888*245000/1000000)+(30*0.2374*100000/1000000)</f>
        <v>2.0285026799999999</v>
      </c>
      <c r="Y210" s="57"/>
      <c r="Z210" s="14"/>
      <c r="AA210" s="56"/>
      <c r="AB210" s="50">
        <f>(B210*194.205+C210*267.466+D210*133.845+E210*53.484+F210*40+G210*185+H210*0+I210*100+J210*300)/(194.205+267.466+133.845+53.484+0+40+185+100+300)</f>
        <v>9.5195493655416037</v>
      </c>
      <c r="AC210" s="45">
        <f>(M210*'RAP TEMPLATE-GAS AVAILABILITY'!O209+N210*'RAP TEMPLATE-GAS AVAILABILITY'!P209+O210*'RAP TEMPLATE-GAS AVAILABILITY'!Q209+P210*'RAP TEMPLATE-GAS AVAILABILITY'!R209)/('RAP TEMPLATE-GAS AVAILABILITY'!O209+'RAP TEMPLATE-GAS AVAILABILITY'!P209+'RAP TEMPLATE-GAS AVAILABILITY'!Q209+'RAP TEMPLATE-GAS AVAILABILITY'!R209)</f>
        <v>9.4641633093525162</v>
      </c>
    </row>
    <row r="211" spans="1:29" ht="15.75" x14ac:dyDescent="0.25">
      <c r="A211" s="13">
        <v>47300</v>
      </c>
      <c r="B211" s="14">
        <f>CHOOSE(CONTROL!$C$42, 9.3094, 9.3094) * CHOOSE(CONTROL!$C$21, $C$9, 100%, $E$9)</f>
        <v>9.3094000000000001</v>
      </c>
      <c r="C211" s="14">
        <f>CHOOSE(CONTROL!$C$42, 9.3174, 9.3174) * CHOOSE(CONTROL!$C$21, $C$9, 100%, $E$9)</f>
        <v>9.3173999999999992</v>
      </c>
      <c r="D211" s="14">
        <f>CHOOSE(CONTROL!$C$42, 9.5149, 9.5149) * CHOOSE(CONTROL!$C$21, $C$9, 100%, $E$9)</f>
        <v>9.5149000000000008</v>
      </c>
      <c r="E211" s="14">
        <f>CHOOSE(CONTROL!$C$42, 9.5461, 9.5461) * CHOOSE(CONTROL!$C$21, $C$9, 100%, $E$9)</f>
        <v>9.5460999999999991</v>
      </c>
      <c r="F211" s="14">
        <f>CHOOSE(CONTROL!$C$42, 9.2937, 9.2937)*CHOOSE(CONTROL!$C$21, $C$9, 100%, $E$9)</f>
        <v>9.2936999999999994</v>
      </c>
      <c r="G211" s="14">
        <f>CHOOSE(CONTROL!$C$42, 9.31, 9.31)*CHOOSE(CONTROL!$C$21, $C$9, 100%, $E$9)</f>
        <v>9.31</v>
      </c>
      <c r="H211" s="14">
        <f>CHOOSE(CONTROL!$C$42, 9.5347, 9.5347) * CHOOSE(CONTROL!$C$21, $C$9, 100%, $E$9)</f>
        <v>9.5347000000000008</v>
      </c>
      <c r="I211" s="14">
        <f>CHOOSE(CONTROL!$C$42, 9.3208, 9.3208)* CHOOSE(CONTROL!$C$21, $C$9, 100%, $E$9)</f>
        <v>9.3208000000000002</v>
      </c>
      <c r="J211" s="14">
        <f>CHOOSE(CONTROL!$C$42, 9.2867, 9.2867)* CHOOSE(CONTROL!$C$21, $C$9, 100%, $E$9)</f>
        <v>9.2866999999999997</v>
      </c>
      <c r="K211" s="53">
        <f>CHOOSE(CONTROL!$C$42, 9.3169, 9.3169) * CHOOSE(CONTROL!$C$21, $C$9, 100%, $E$9)</f>
        <v>9.3169000000000004</v>
      </c>
      <c r="L211" s="14">
        <f>CHOOSE(CONTROL!$C$42, 10.1217, 10.1217) * CHOOSE(CONTROL!$C$21, $C$9, 100%, $E$9)</f>
        <v>10.121700000000001</v>
      </c>
      <c r="M211" s="14">
        <f>CHOOSE(CONTROL!$C$42, 9.2068, 9.2068) * CHOOSE(CONTROL!$C$21, $C$9, 100%, $E$9)</f>
        <v>9.2067999999999994</v>
      </c>
      <c r="N211" s="14">
        <f>CHOOSE(CONTROL!$C$42, 9.2229, 9.2229) * CHOOSE(CONTROL!$C$21, $C$9, 100%, $E$9)</f>
        <v>9.2228999999999992</v>
      </c>
      <c r="O211" s="14">
        <f>CHOOSE(CONTROL!$C$42, 9.4523, 9.4523) * CHOOSE(CONTROL!$C$21, $C$9, 100%, $E$9)</f>
        <v>9.4522999999999993</v>
      </c>
      <c r="P211" s="14">
        <f>CHOOSE(CONTROL!$C$42, 9.2406, 9.2406) * CHOOSE(CONTROL!$C$21, $C$9, 100%, $E$9)</f>
        <v>9.2406000000000006</v>
      </c>
      <c r="Q211" s="14">
        <f>CHOOSE(CONTROL!$C$42, 10.0476, 10.0476) * CHOOSE(CONTROL!$C$21, $C$9, 100%, $E$9)</f>
        <v>10.047599999999999</v>
      </c>
      <c r="R211" s="14">
        <f>CHOOSE(CONTROL!$C$42, 10.6597, 10.6597) * CHOOSE(CONTROL!$C$21, $C$9, 100%, $E$9)</f>
        <v>10.659700000000001</v>
      </c>
      <c r="S211" s="14">
        <f>CHOOSE(CONTROL!$C$42, 9.0362, 9.0362) * CHOOSE(CONTROL!$C$21, $C$9, 100%, $E$9)</f>
        <v>9.0361999999999991</v>
      </c>
      <c r="T21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11" s="57">
        <f>(1000*CHOOSE(CONTROL!$C$42, 695, 695)*CHOOSE(CONTROL!$C$42, 0.5599, 0.5599)*CHOOSE(CONTROL!$C$42, 31, 31))/1000000</f>
        <v>12.063045499999998</v>
      </c>
      <c r="V211" s="57">
        <f>(1000*CHOOSE(CONTROL!$C$42, 500, 500)*CHOOSE(CONTROL!$C$42, 0.275, 0.275)*CHOOSE(CONTROL!$C$42, 31, 31))/1000000</f>
        <v>4.2625000000000002</v>
      </c>
      <c r="W211" s="57">
        <f>(1000*CHOOSE(CONTROL!$C$42, 0.1146, 0.1146)*CHOOSE(CONTROL!$C$42, 121.5, 121.5)*CHOOSE(CONTROL!$C$42, 31, 31))/1000000</f>
        <v>0.43164089999999994</v>
      </c>
      <c r="X211" s="57">
        <f>(31*0.1790888*245000/1000000)+(31*0.2374*100000/1000000)</f>
        <v>2.0961194359999999</v>
      </c>
      <c r="Y211" s="57"/>
      <c r="Z211" s="14"/>
      <c r="AA211" s="56"/>
      <c r="AB211" s="50">
        <f>(B211*194.205+C211*267.466+D211*133.845+E211*53.484+F211*40+G211*185+H211*0+I211*100+J211*300)/(194.205+267.466+133.845+53.484+0+40+185+100+300)</f>
        <v>9.3377497160910536</v>
      </c>
      <c r="AC211" s="45">
        <f>(M211*'RAP TEMPLATE-GAS AVAILABILITY'!O210+N211*'RAP TEMPLATE-GAS AVAILABILITY'!P210+O211*'RAP TEMPLATE-GAS AVAILABILITY'!Q210+P211*'RAP TEMPLATE-GAS AVAILABILITY'!R210)/('RAP TEMPLATE-GAS AVAILABILITY'!O210+'RAP TEMPLATE-GAS AVAILABILITY'!P210+'RAP TEMPLATE-GAS AVAILABILITY'!Q210+'RAP TEMPLATE-GAS AVAILABILITY'!R210)</f>
        <v>9.2842510791366912</v>
      </c>
    </row>
    <row r="212" spans="1:29" ht="15.75" x14ac:dyDescent="0.25">
      <c r="A212" s="13">
        <v>47331</v>
      </c>
      <c r="B212" s="14">
        <f>CHOOSE(CONTROL!$C$42, 8.8499, 8.8499) * CHOOSE(CONTROL!$C$21, $C$9, 100%, $E$9)</f>
        <v>8.8498999999999999</v>
      </c>
      <c r="C212" s="14">
        <f>CHOOSE(CONTROL!$C$42, 8.8578, 8.8578) * CHOOSE(CONTROL!$C$21, $C$9, 100%, $E$9)</f>
        <v>8.8577999999999992</v>
      </c>
      <c r="D212" s="14">
        <f>CHOOSE(CONTROL!$C$42, 9.0554, 9.0554) * CHOOSE(CONTROL!$C$21, $C$9, 100%, $E$9)</f>
        <v>9.0554000000000006</v>
      </c>
      <c r="E212" s="14">
        <f>CHOOSE(CONTROL!$C$42, 9.0865, 9.0865) * CHOOSE(CONTROL!$C$21, $C$9, 100%, $E$9)</f>
        <v>9.0864999999999991</v>
      </c>
      <c r="F212" s="14">
        <f>CHOOSE(CONTROL!$C$42, 8.8343, 8.8343)*CHOOSE(CONTROL!$C$21, $C$9, 100%, $E$9)</f>
        <v>8.8343000000000007</v>
      </c>
      <c r="G212" s="14">
        <f>CHOOSE(CONTROL!$C$42, 8.8507, 8.8507)*CHOOSE(CONTROL!$C$21, $C$9, 100%, $E$9)</f>
        <v>8.8506999999999998</v>
      </c>
      <c r="H212" s="14">
        <f>CHOOSE(CONTROL!$C$42, 9.0751, 9.0751) * CHOOSE(CONTROL!$C$21, $C$9, 100%, $E$9)</f>
        <v>9.0751000000000008</v>
      </c>
      <c r="I212" s="14">
        <f>CHOOSE(CONTROL!$C$42, 8.8612, 8.8612)* CHOOSE(CONTROL!$C$21, $C$9, 100%, $E$9)</f>
        <v>8.8612000000000002</v>
      </c>
      <c r="J212" s="14">
        <f>CHOOSE(CONTROL!$C$42, 8.8273, 8.8273)* CHOOSE(CONTROL!$C$21, $C$9, 100%, $E$9)</f>
        <v>8.8272999999999993</v>
      </c>
      <c r="K212" s="53">
        <f>CHOOSE(CONTROL!$C$42, 8.8574, 8.8574) * CHOOSE(CONTROL!$C$21, $C$9, 100%, $E$9)</f>
        <v>8.8574000000000002</v>
      </c>
      <c r="L212" s="14">
        <f>CHOOSE(CONTROL!$C$42, 9.6621, 9.6621) * CHOOSE(CONTROL!$C$21, $C$9, 100%, $E$9)</f>
        <v>9.6621000000000006</v>
      </c>
      <c r="M212" s="14">
        <f>CHOOSE(CONTROL!$C$42, 8.7521, 8.7521) * CHOOSE(CONTROL!$C$21, $C$9, 100%, $E$9)</f>
        <v>8.7521000000000004</v>
      </c>
      <c r="N212" s="14">
        <f>CHOOSE(CONTROL!$C$42, 8.7683, 8.7683) * CHOOSE(CONTROL!$C$21, $C$9, 100%, $E$9)</f>
        <v>8.7683</v>
      </c>
      <c r="O212" s="14">
        <f>CHOOSE(CONTROL!$C$42, 8.9974, 8.9974) * CHOOSE(CONTROL!$C$21, $C$9, 100%, $E$9)</f>
        <v>8.9974000000000007</v>
      </c>
      <c r="P212" s="14">
        <f>CHOOSE(CONTROL!$C$42, 8.7857, 8.7857) * CHOOSE(CONTROL!$C$21, $C$9, 100%, $E$9)</f>
        <v>8.7857000000000003</v>
      </c>
      <c r="Q212" s="14">
        <f>CHOOSE(CONTROL!$C$42, 9.5927, 9.5927) * CHOOSE(CONTROL!$C$21, $C$9, 100%, $E$9)</f>
        <v>9.5927000000000007</v>
      </c>
      <c r="R212" s="14">
        <f>CHOOSE(CONTROL!$C$42, 10.2037, 10.2037) * CHOOSE(CONTROL!$C$21, $C$9, 100%, $E$9)</f>
        <v>10.2037</v>
      </c>
      <c r="S212" s="14">
        <f>CHOOSE(CONTROL!$C$42, 8.5899, 8.5899) * CHOOSE(CONTROL!$C$21, $C$9, 100%, $E$9)</f>
        <v>8.5899000000000001</v>
      </c>
      <c r="T21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12" s="57">
        <f>(1000*CHOOSE(CONTROL!$C$42, 695, 695)*CHOOSE(CONTROL!$C$42, 0.5599, 0.5599)*CHOOSE(CONTROL!$C$42, 31, 31))/1000000</f>
        <v>12.063045499999998</v>
      </c>
      <c r="V212" s="57">
        <f>(1000*CHOOSE(CONTROL!$C$42, 500, 500)*CHOOSE(CONTROL!$C$42, 0.275, 0.275)*CHOOSE(CONTROL!$C$42, 31, 31))/1000000</f>
        <v>4.2625000000000002</v>
      </c>
      <c r="W212" s="57">
        <f>(1000*CHOOSE(CONTROL!$C$42, 0.1146, 0.1146)*CHOOSE(CONTROL!$C$42, 121.5, 121.5)*CHOOSE(CONTROL!$C$42, 31, 31))/1000000</f>
        <v>0.43164089999999994</v>
      </c>
      <c r="X212" s="57">
        <f>(31*0.1790888*245000/1000000)+(31*0.2374*100000/1000000)</f>
        <v>2.0961194359999999</v>
      </c>
      <c r="Y212" s="57"/>
      <c r="Z212" s="14"/>
      <c r="AA212" s="56"/>
      <c r="AB212" s="50">
        <f>(B212*194.205+C212*267.466+D212*133.845+E212*53.484+F212*40+G212*185+H212*0+I212*100+J212*300)/(194.205+267.466+133.845+53.484+0+40+185+100+300)</f>
        <v>8.8782724044740977</v>
      </c>
      <c r="AC212" s="45">
        <f>(M212*'RAP TEMPLATE-GAS AVAILABILITY'!O211+N212*'RAP TEMPLATE-GAS AVAILABILITY'!P211+O212*'RAP TEMPLATE-GAS AVAILABILITY'!Q211+P212*'RAP TEMPLATE-GAS AVAILABILITY'!R211)/('RAP TEMPLATE-GAS AVAILABILITY'!O211+'RAP TEMPLATE-GAS AVAILABILITY'!P211+'RAP TEMPLATE-GAS AVAILABILITY'!Q211+'RAP TEMPLATE-GAS AVAILABILITY'!R211)</f>
        <v>8.8294892086330936</v>
      </c>
    </row>
    <row r="213" spans="1:29" ht="15.75" x14ac:dyDescent="0.25">
      <c r="A213" s="13">
        <v>47362</v>
      </c>
      <c r="B213" s="14">
        <f>CHOOSE(CONTROL!$C$42, 8.288, 8.288) * CHOOSE(CONTROL!$C$21, $C$9, 100%, $E$9)</f>
        <v>8.2880000000000003</v>
      </c>
      <c r="C213" s="14">
        <f>CHOOSE(CONTROL!$C$42, 8.2959, 8.2959) * CHOOSE(CONTROL!$C$21, $C$9, 100%, $E$9)</f>
        <v>8.2958999999999996</v>
      </c>
      <c r="D213" s="14">
        <f>CHOOSE(CONTROL!$C$42, 8.4935, 8.4935) * CHOOSE(CONTROL!$C$21, $C$9, 100%, $E$9)</f>
        <v>8.4934999999999992</v>
      </c>
      <c r="E213" s="14">
        <f>CHOOSE(CONTROL!$C$42, 8.5246, 8.5246) * CHOOSE(CONTROL!$C$21, $C$9, 100%, $E$9)</f>
        <v>8.5245999999999995</v>
      </c>
      <c r="F213" s="14">
        <f>CHOOSE(CONTROL!$C$42, 8.2724, 8.2724)*CHOOSE(CONTROL!$C$21, $C$9, 100%, $E$9)</f>
        <v>8.2723999999999993</v>
      </c>
      <c r="G213" s="14">
        <f>CHOOSE(CONTROL!$C$42, 8.2887, 8.2887)*CHOOSE(CONTROL!$C$21, $C$9, 100%, $E$9)</f>
        <v>8.2887000000000004</v>
      </c>
      <c r="H213" s="14">
        <f>CHOOSE(CONTROL!$C$42, 8.5132, 8.5132) * CHOOSE(CONTROL!$C$21, $C$9, 100%, $E$9)</f>
        <v>8.5131999999999994</v>
      </c>
      <c r="I213" s="14">
        <f>CHOOSE(CONTROL!$C$42, 8.2993, 8.2993)* CHOOSE(CONTROL!$C$21, $C$9, 100%, $E$9)</f>
        <v>8.2993000000000006</v>
      </c>
      <c r="J213" s="14">
        <f>CHOOSE(CONTROL!$C$42, 8.2654, 8.2654)* CHOOSE(CONTROL!$C$21, $C$9, 100%, $E$9)</f>
        <v>8.2653999999999996</v>
      </c>
      <c r="K213" s="53">
        <f>CHOOSE(CONTROL!$C$42, 8.2955, 8.2955) * CHOOSE(CONTROL!$C$21, $C$9, 100%, $E$9)</f>
        <v>8.2955000000000005</v>
      </c>
      <c r="L213" s="14">
        <f>CHOOSE(CONTROL!$C$42, 9.1002, 9.1002) * CHOOSE(CONTROL!$C$21, $C$9, 100%, $E$9)</f>
        <v>9.1001999999999992</v>
      </c>
      <c r="M213" s="14">
        <f>CHOOSE(CONTROL!$C$42, 8.1958, 8.1958) * CHOOSE(CONTROL!$C$21, $C$9, 100%, $E$9)</f>
        <v>8.1958000000000002</v>
      </c>
      <c r="N213" s="14">
        <f>CHOOSE(CONTROL!$C$42, 8.2119, 8.2119) * CHOOSE(CONTROL!$C$21, $C$9, 100%, $E$9)</f>
        <v>8.2119</v>
      </c>
      <c r="O213" s="14">
        <f>CHOOSE(CONTROL!$C$42, 8.4412, 8.4412) * CHOOSE(CONTROL!$C$21, $C$9, 100%, $E$9)</f>
        <v>8.4412000000000003</v>
      </c>
      <c r="P213" s="14">
        <f>CHOOSE(CONTROL!$C$42, 8.2295, 8.2295) * CHOOSE(CONTROL!$C$21, $C$9, 100%, $E$9)</f>
        <v>8.2294999999999998</v>
      </c>
      <c r="Q213" s="14">
        <f>CHOOSE(CONTROL!$C$42, 9.0365, 9.0365) * CHOOSE(CONTROL!$C$21, $C$9, 100%, $E$9)</f>
        <v>9.0365000000000002</v>
      </c>
      <c r="R213" s="14">
        <f>CHOOSE(CONTROL!$C$42, 9.6461, 9.6461) * CHOOSE(CONTROL!$C$21, $C$9, 100%, $E$9)</f>
        <v>9.6461000000000006</v>
      </c>
      <c r="S213" s="14">
        <f>CHOOSE(CONTROL!$C$42, 8.0442, 8.0442) * CHOOSE(CONTROL!$C$21, $C$9, 100%, $E$9)</f>
        <v>8.0442</v>
      </c>
      <c r="T21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13" s="57">
        <f>(1000*CHOOSE(CONTROL!$C$42, 695, 695)*CHOOSE(CONTROL!$C$42, 0.5599, 0.5599)*CHOOSE(CONTROL!$C$42, 30, 30))/1000000</f>
        <v>11.673914999999997</v>
      </c>
      <c r="V213" s="57">
        <f>(1000*CHOOSE(CONTROL!$C$42, 500, 500)*CHOOSE(CONTROL!$C$42, 0.275, 0.275)*CHOOSE(CONTROL!$C$42, 30, 30))/1000000</f>
        <v>4.125</v>
      </c>
      <c r="W213" s="57">
        <f>(1000*CHOOSE(CONTROL!$C$42, 0.1146, 0.1146)*CHOOSE(CONTROL!$C$42, 121.5, 121.5)*CHOOSE(CONTROL!$C$42, 30, 30))/1000000</f>
        <v>0.417717</v>
      </c>
      <c r="X213" s="57">
        <f>(30*0.1790888*245000/1000000)+(30*0.2374*100000/1000000)</f>
        <v>2.0285026799999999</v>
      </c>
      <c r="Y213" s="57"/>
      <c r="Z213" s="14"/>
      <c r="AA213" s="56"/>
      <c r="AB213" s="50">
        <f>(B213*194.205+C213*267.466+D213*133.845+E213*53.484+F213*40+G213*185+H213*0+I213*100+J213*300)/(194.205+267.466+133.845+53.484+0+40+185+100+300)</f>
        <v>8.3163578832810057</v>
      </c>
      <c r="AC213" s="45">
        <f>(M213*'RAP TEMPLATE-GAS AVAILABILITY'!O212+N213*'RAP TEMPLATE-GAS AVAILABILITY'!P212+O213*'RAP TEMPLATE-GAS AVAILABILITY'!Q212+P213*'RAP TEMPLATE-GAS AVAILABILITY'!R212)/('RAP TEMPLATE-GAS AVAILABILITY'!O212+'RAP TEMPLATE-GAS AVAILABILITY'!P212+'RAP TEMPLATE-GAS AVAILABILITY'!Q212+'RAP TEMPLATE-GAS AVAILABILITY'!R212)</f>
        <v>8.2732086330935246</v>
      </c>
    </row>
    <row r="214" spans="1:29" ht="15.75" x14ac:dyDescent="0.25">
      <c r="A214" s="13">
        <v>47392</v>
      </c>
      <c r="B214" s="14">
        <f>CHOOSE(CONTROL!$C$42, 8.118, 8.118) * CHOOSE(CONTROL!$C$21, $C$9, 100%, $E$9)</f>
        <v>8.1180000000000003</v>
      </c>
      <c r="C214" s="14">
        <f>CHOOSE(CONTROL!$C$42, 8.1233, 8.1233) * CHOOSE(CONTROL!$C$21, $C$9, 100%, $E$9)</f>
        <v>8.1233000000000004</v>
      </c>
      <c r="D214" s="14">
        <f>CHOOSE(CONTROL!$C$42, 8.3258, 8.3258) * CHOOSE(CONTROL!$C$21, $C$9, 100%, $E$9)</f>
        <v>8.3257999999999992</v>
      </c>
      <c r="E214" s="14">
        <f>CHOOSE(CONTROL!$C$42, 8.3546, 8.3546) * CHOOSE(CONTROL!$C$21, $C$9, 100%, $E$9)</f>
        <v>8.3545999999999996</v>
      </c>
      <c r="F214" s="14">
        <f>CHOOSE(CONTROL!$C$42, 8.1044, 8.1044)*CHOOSE(CONTROL!$C$21, $C$9, 100%, $E$9)</f>
        <v>8.1044</v>
      </c>
      <c r="G214" s="14">
        <f>CHOOSE(CONTROL!$C$42, 8.1204, 8.1204)*CHOOSE(CONTROL!$C$21, $C$9, 100%, $E$9)</f>
        <v>8.1204000000000001</v>
      </c>
      <c r="H214" s="14">
        <f>CHOOSE(CONTROL!$C$42, 8.3451, 8.3451) * CHOOSE(CONTROL!$C$21, $C$9, 100%, $E$9)</f>
        <v>8.3451000000000004</v>
      </c>
      <c r="I214" s="14">
        <f>CHOOSE(CONTROL!$C$42, 8.1312, 8.1312)* CHOOSE(CONTROL!$C$21, $C$9, 100%, $E$9)</f>
        <v>8.1311999999999998</v>
      </c>
      <c r="J214" s="14">
        <f>CHOOSE(CONTROL!$C$42, 8.0974, 8.0974)* CHOOSE(CONTROL!$C$21, $C$9, 100%, $E$9)</f>
        <v>8.0974000000000004</v>
      </c>
      <c r="K214" s="53">
        <f>CHOOSE(CONTROL!$C$42, 8.1273, 8.1273) * CHOOSE(CONTROL!$C$21, $C$9, 100%, $E$9)</f>
        <v>8.1273</v>
      </c>
      <c r="L214" s="14">
        <f>CHOOSE(CONTROL!$C$42, 8.9321, 8.9321) * CHOOSE(CONTROL!$C$21, $C$9, 100%, $E$9)</f>
        <v>8.9321000000000002</v>
      </c>
      <c r="M214" s="14">
        <f>CHOOSE(CONTROL!$C$42, 8.0295, 8.0295) * CHOOSE(CONTROL!$C$21, $C$9, 100%, $E$9)</f>
        <v>8.0295000000000005</v>
      </c>
      <c r="N214" s="14">
        <f>CHOOSE(CONTROL!$C$42, 8.0454, 8.0454) * CHOOSE(CONTROL!$C$21, $C$9, 100%, $E$9)</f>
        <v>8.0454000000000008</v>
      </c>
      <c r="O214" s="14">
        <f>CHOOSE(CONTROL!$C$42, 8.2747, 8.2747) * CHOOSE(CONTROL!$C$21, $C$9, 100%, $E$9)</f>
        <v>8.2746999999999993</v>
      </c>
      <c r="P214" s="14">
        <f>CHOOSE(CONTROL!$C$42, 8.063, 8.063) * CHOOSE(CONTROL!$C$21, $C$9, 100%, $E$9)</f>
        <v>8.0630000000000006</v>
      </c>
      <c r="Q214" s="14">
        <f>CHOOSE(CONTROL!$C$42, 8.87, 8.87) * CHOOSE(CONTROL!$C$21, $C$9, 100%, $E$9)</f>
        <v>8.8699999999999992</v>
      </c>
      <c r="R214" s="14">
        <f>CHOOSE(CONTROL!$C$42, 9.4792, 9.4792) * CHOOSE(CONTROL!$C$21, $C$9, 100%, $E$9)</f>
        <v>9.4792000000000005</v>
      </c>
      <c r="S214" s="14">
        <f>CHOOSE(CONTROL!$C$42, 7.8809, 7.8809) * CHOOSE(CONTROL!$C$21, $C$9, 100%, $E$9)</f>
        <v>7.8808999999999996</v>
      </c>
      <c r="T21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14" s="57">
        <f>(1000*CHOOSE(CONTROL!$C$42, 695, 695)*CHOOSE(CONTROL!$C$42, 0.5599, 0.5599)*CHOOSE(CONTROL!$C$42, 31, 31))/1000000</f>
        <v>12.063045499999998</v>
      </c>
      <c r="V214" s="57">
        <f>(1000*CHOOSE(CONTROL!$C$42, 500, 500)*CHOOSE(CONTROL!$C$42, 0.275, 0.275)*CHOOSE(CONTROL!$C$42, 31, 31))/1000000</f>
        <v>4.2625000000000002</v>
      </c>
      <c r="W214" s="57">
        <f>(1000*CHOOSE(CONTROL!$C$42, 0.1146, 0.1146)*CHOOSE(CONTROL!$C$42, 121.5, 121.5)*CHOOSE(CONTROL!$C$42, 31, 31))/1000000</f>
        <v>0.43164089999999994</v>
      </c>
      <c r="X214" s="57">
        <f>(31*0.1790888*245000/1000000)+(31*0.2374*100000/1000000)</f>
        <v>2.0961194359999999</v>
      </c>
      <c r="Y214" s="57"/>
      <c r="Z214" s="14"/>
      <c r="AA214" s="56"/>
      <c r="AB214" s="50">
        <f>(B214*131.881+C214*277.167+D214*79.08+E214*125.872+F214*40+G214*185+H214*0+I214*100+J214*300)/(131.881+277.167+79.08+125.872+0+40+185+100+300)</f>
        <v>8.1524819405165463</v>
      </c>
      <c r="AC214" s="45">
        <f>(M214*'RAP TEMPLATE-GAS AVAILABILITY'!O213+N214*'RAP TEMPLATE-GAS AVAILABILITY'!P213+O214*'RAP TEMPLATE-GAS AVAILABILITY'!Q213+P214*'RAP TEMPLATE-GAS AVAILABILITY'!R213)/('RAP TEMPLATE-GAS AVAILABILITY'!O213+'RAP TEMPLATE-GAS AVAILABILITY'!P213+'RAP TEMPLATE-GAS AVAILABILITY'!Q213+'RAP TEMPLATE-GAS AVAILABILITY'!R213)</f>
        <v>8.1067776978417267</v>
      </c>
    </row>
    <row r="215" spans="1:29" ht="15.75" x14ac:dyDescent="0.25">
      <c r="A215" s="13">
        <v>47423</v>
      </c>
      <c r="B215" s="14">
        <f>CHOOSE(CONTROL!$C$42, 8.3314, 8.3314) * CHOOSE(CONTROL!$C$21, $C$9, 100%, $E$9)</f>
        <v>8.3314000000000004</v>
      </c>
      <c r="C215" s="14">
        <f>CHOOSE(CONTROL!$C$42, 8.3364, 8.3364) * CHOOSE(CONTROL!$C$21, $C$9, 100%, $E$9)</f>
        <v>8.3363999999999994</v>
      </c>
      <c r="D215" s="14">
        <f>CHOOSE(CONTROL!$C$42, 8.3994, 8.3994) * CHOOSE(CONTROL!$C$21, $C$9, 100%, $E$9)</f>
        <v>8.3994</v>
      </c>
      <c r="E215" s="14">
        <f>CHOOSE(CONTROL!$C$42, 8.4332, 8.4332) * CHOOSE(CONTROL!$C$21, $C$9, 100%, $E$9)</f>
        <v>8.4331999999999994</v>
      </c>
      <c r="F215" s="14">
        <f>CHOOSE(CONTROL!$C$42, 8.3321, 8.3321)*CHOOSE(CONTROL!$C$21, $C$9, 100%, $E$9)</f>
        <v>8.3321000000000005</v>
      </c>
      <c r="G215" s="14">
        <f>CHOOSE(CONTROL!$C$42, 8.3484, 8.3484)*CHOOSE(CONTROL!$C$21, $C$9, 100%, $E$9)</f>
        <v>8.3483999999999998</v>
      </c>
      <c r="H215" s="14">
        <f>CHOOSE(CONTROL!$C$42, 8.4224, 8.4224) * CHOOSE(CONTROL!$C$21, $C$9, 100%, $E$9)</f>
        <v>8.4223999999999997</v>
      </c>
      <c r="I215" s="14">
        <f>CHOOSE(CONTROL!$C$42, 8.3449, 8.3449)* CHOOSE(CONTROL!$C$21, $C$9, 100%, $E$9)</f>
        <v>8.3449000000000009</v>
      </c>
      <c r="J215" s="14">
        <f>CHOOSE(CONTROL!$C$42, 8.3251, 8.3251)* CHOOSE(CONTROL!$C$21, $C$9, 100%, $E$9)</f>
        <v>8.3251000000000008</v>
      </c>
      <c r="K215" s="53">
        <f>CHOOSE(CONTROL!$C$42, 8.3411, 8.3411) * CHOOSE(CONTROL!$C$21, $C$9, 100%, $E$9)</f>
        <v>8.3411000000000008</v>
      </c>
      <c r="L215" s="14">
        <f>CHOOSE(CONTROL!$C$42, 9.0094, 9.0094) * CHOOSE(CONTROL!$C$21, $C$9, 100%, $E$9)</f>
        <v>9.0093999999999994</v>
      </c>
      <c r="M215" s="14">
        <f>CHOOSE(CONTROL!$C$42, 8.2549, 8.2549) * CHOOSE(CONTROL!$C$21, $C$9, 100%, $E$9)</f>
        <v>8.2548999999999992</v>
      </c>
      <c r="N215" s="14">
        <f>CHOOSE(CONTROL!$C$42, 8.271, 8.271) * CHOOSE(CONTROL!$C$21, $C$9, 100%, $E$9)</f>
        <v>8.2710000000000008</v>
      </c>
      <c r="O215" s="14">
        <f>CHOOSE(CONTROL!$C$42, 8.3512, 8.3512) * CHOOSE(CONTROL!$C$21, $C$9, 100%, $E$9)</f>
        <v>8.3512000000000004</v>
      </c>
      <c r="P215" s="14">
        <f>CHOOSE(CONTROL!$C$42, 8.2746, 8.2746) * CHOOSE(CONTROL!$C$21, $C$9, 100%, $E$9)</f>
        <v>8.2745999999999995</v>
      </c>
      <c r="Q215" s="14">
        <f>CHOOSE(CONTROL!$C$42, 8.9465, 8.9465) * CHOOSE(CONTROL!$C$21, $C$9, 100%, $E$9)</f>
        <v>8.9465000000000003</v>
      </c>
      <c r="R215" s="14">
        <f>CHOOSE(CONTROL!$C$42, 9.5559, 9.5559) * CHOOSE(CONTROL!$C$21, $C$9, 100%, $E$9)</f>
        <v>9.5558999999999994</v>
      </c>
      <c r="S215" s="14">
        <f>CHOOSE(CONTROL!$C$42, 8.0885, 8.0885) * CHOOSE(CONTROL!$C$21, $C$9, 100%, $E$9)</f>
        <v>8.0884999999999998</v>
      </c>
      <c r="T21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15" s="57">
        <f>(1000*CHOOSE(CONTROL!$C$42, 695, 695)*CHOOSE(CONTROL!$C$42, 0.5599, 0.5599)*CHOOSE(CONTROL!$C$42, 30, 30))/1000000</f>
        <v>11.673914999999997</v>
      </c>
      <c r="V215" s="57">
        <f>(1000*CHOOSE(CONTROL!$C$42, 500, 500)*CHOOSE(CONTROL!$C$42, 0.275, 0.275)*CHOOSE(CONTROL!$C$42, 30, 30))/1000000</f>
        <v>4.125</v>
      </c>
      <c r="W215" s="57">
        <f>(1000*CHOOSE(CONTROL!$C$42, 0.1146, 0.1146)*CHOOSE(CONTROL!$C$42, 121.5, 121.5)*CHOOSE(CONTROL!$C$42, 30, 30))/1000000</f>
        <v>0.417717</v>
      </c>
      <c r="X215" s="57">
        <f>(30*0.1790888*100000/1000000)+(30*0.2374*100000/1000000)</f>
        <v>1.2494664</v>
      </c>
      <c r="Y215" s="57"/>
      <c r="Z215" s="14"/>
      <c r="AA215" s="56"/>
      <c r="AB215" s="50">
        <f>(B215*122.58+C215*297.941+D215*89.177+E215*40.302+F215*40+G215*160+H215*0+I215*100+J215*300)/(122.58+297.941+89.177+40.302+0+40+160+100+300)</f>
        <v>8.3434560735652159</v>
      </c>
      <c r="AC215" s="45">
        <f>(M215*'RAP TEMPLATE-GAS AVAILABILITY'!O214+N215*'RAP TEMPLATE-GAS AVAILABILITY'!P214+O215*'RAP TEMPLATE-GAS AVAILABILITY'!Q214+P215*'RAP TEMPLATE-GAS AVAILABILITY'!R214)/('RAP TEMPLATE-GAS AVAILABILITY'!O214+'RAP TEMPLATE-GAS AVAILABILITY'!P214+'RAP TEMPLATE-GAS AVAILABILITY'!Q214+'RAP TEMPLATE-GAS AVAILABILITY'!R214)</f>
        <v>8.3023079136690647</v>
      </c>
    </row>
    <row r="216" spans="1:29" ht="15.75" x14ac:dyDescent="0.25">
      <c r="A216" s="13">
        <v>47453</v>
      </c>
      <c r="B216" s="14">
        <f>CHOOSE(CONTROL!$C$42, 8.8992, 8.8992) * CHOOSE(CONTROL!$C$21, $C$9, 100%, $E$9)</f>
        <v>8.8992000000000004</v>
      </c>
      <c r="C216" s="14">
        <f>CHOOSE(CONTROL!$C$42, 8.9042, 8.9042) * CHOOSE(CONTROL!$C$21, $C$9, 100%, $E$9)</f>
        <v>8.9041999999999994</v>
      </c>
      <c r="D216" s="14">
        <f>CHOOSE(CONTROL!$C$42, 8.9673, 8.9673) * CHOOSE(CONTROL!$C$21, $C$9, 100%, $E$9)</f>
        <v>8.9672999999999998</v>
      </c>
      <c r="E216" s="14">
        <f>CHOOSE(CONTROL!$C$42, 9.001, 9.001) * CHOOSE(CONTROL!$C$21, $C$9, 100%, $E$9)</f>
        <v>9.0009999999999994</v>
      </c>
      <c r="F216" s="14">
        <f>CHOOSE(CONTROL!$C$42, 8.902, 8.902)*CHOOSE(CONTROL!$C$21, $C$9, 100%, $E$9)</f>
        <v>8.9019999999999992</v>
      </c>
      <c r="G216" s="14">
        <f>CHOOSE(CONTROL!$C$42, 8.9188, 8.9188)*CHOOSE(CONTROL!$C$21, $C$9, 100%, $E$9)</f>
        <v>8.9187999999999992</v>
      </c>
      <c r="H216" s="14">
        <f>CHOOSE(CONTROL!$C$42, 8.9902, 8.9902) * CHOOSE(CONTROL!$C$21, $C$9, 100%, $E$9)</f>
        <v>8.9901999999999997</v>
      </c>
      <c r="I216" s="14">
        <f>CHOOSE(CONTROL!$C$42, 8.9128, 8.9128)* CHOOSE(CONTROL!$C$21, $C$9, 100%, $E$9)</f>
        <v>8.9128000000000007</v>
      </c>
      <c r="J216" s="14">
        <f>CHOOSE(CONTROL!$C$42, 8.895, 8.895)* CHOOSE(CONTROL!$C$21, $C$9, 100%, $E$9)</f>
        <v>8.8949999999999996</v>
      </c>
      <c r="K216" s="53">
        <f>CHOOSE(CONTROL!$C$42, 8.9089, 8.9089) * CHOOSE(CONTROL!$C$21, $C$9, 100%, $E$9)</f>
        <v>8.9088999999999992</v>
      </c>
      <c r="L216" s="14">
        <f>CHOOSE(CONTROL!$C$42, 9.5772, 9.5772) * CHOOSE(CONTROL!$C$21, $C$9, 100%, $E$9)</f>
        <v>9.5771999999999995</v>
      </c>
      <c r="M216" s="14">
        <f>CHOOSE(CONTROL!$C$42, 8.819, 8.819) * CHOOSE(CONTROL!$C$21, $C$9, 100%, $E$9)</f>
        <v>8.8190000000000008</v>
      </c>
      <c r="N216" s="14">
        <f>CHOOSE(CONTROL!$C$42, 8.8357, 8.8357) * CHOOSE(CONTROL!$C$21, $C$9, 100%, $E$9)</f>
        <v>8.8356999999999992</v>
      </c>
      <c r="O216" s="14">
        <f>CHOOSE(CONTROL!$C$42, 8.9133, 8.9133) * CHOOSE(CONTROL!$C$21, $C$9, 100%, $E$9)</f>
        <v>8.9132999999999996</v>
      </c>
      <c r="P216" s="14">
        <f>CHOOSE(CONTROL!$C$42, 8.8367, 8.8367) * CHOOSE(CONTROL!$C$21, $C$9, 100%, $E$9)</f>
        <v>8.8367000000000004</v>
      </c>
      <c r="Q216" s="14">
        <f>CHOOSE(CONTROL!$C$42, 9.5086, 9.5086) * CHOOSE(CONTROL!$C$21, $C$9, 100%, $E$9)</f>
        <v>9.5085999999999995</v>
      </c>
      <c r="R216" s="14">
        <f>CHOOSE(CONTROL!$C$42, 10.1194, 10.1194) * CHOOSE(CONTROL!$C$21, $C$9, 100%, $E$9)</f>
        <v>10.119400000000001</v>
      </c>
      <c r="S216" s="14">
        <f>CHOOSE(CONTROL!$C$42, 8.6399, 8.6399) * CHOOSE(CONTROL!$C$21, $C$9, 100%, $E$9)</f>
        <v>8.6399000000000008</v>
      </c>
      <c r="T21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16" s="57">
        <f>(1000*CHOOSE(CONTROL!$C$42, 695, 695)*CHOOSE(CONTROL!$C$42, 0.5599, 0.5599)*CHOOSE(CONTROL!$C$42, 31, 31))/1000000</f>
        <v>12.063045499999998</v>
      </c>
      <c r="V216" s="57">
        <f>(1000*CHOOSE(CONTROL!$C$42, 500, 500)*CHOOSE(CONTROL!$C$42, 0.275, 0.275)*CHOOSE(CONTROL!$C$42, 31, 31))/1000000</f>
        <v>4.2625000000000002</v>
      </c>
      <c r="W216" s="57">
        <f>(1000*CHOOSE(CONTROL!$C$42, 0.1146, 0.1146)*CHOOSE(CONTROL!$C$42, 121.5, 121.5)*CHOOSE(CONTROL!$C$42, 31, 31))/1000000</f>
        <v>0.43164089999999994</v>
      </c>
      <c r="X216" s="57">
        <f>(31*0.1790888*100000/1000000)+(31*0.2374*100000/1000000)</f>
        <v>1.2911152800000001</v>
      </c>
      <c r="Y216" s="57"/>
      <c r="Z216" s="14"/>
      <c r="AA216" s="56"/>
      <c r="AB216" s="50">
        <f>(B216*122.58+C216*297.941+D216*89.177+E216*40.302+F216*40+G216*160+H216*0+I216*100+J216*300)/(122.58+297.941+89.177+40.302+0+40+160+100+300)</f>
        <v>8.9122551324347814</v>
      </c>
      <c r="AC216" s="45">
        <f>(M216*'RAP TEMPLATE-GAS AVAILABILITY'!O215+N216*'RAP TEMPLATE-GAS AVAILABILITY'!P215+O216*'RAP TEMPLATE-GAS AVAILABILITY'!Q215+P216*'RAP TEMPLATE-GAS AVAILABILITY'!R215)/('RAP TEMPLATE-GAS AVAILABILITY'!O215+'RAP TEMPLATE-GAS AVAILABILITY'!P215+'RAP TEMPLATE-GAS AVAILABILITY'!Q215+'RAP TEMPLATE-GAS AVAILABILITY'!R215)</f>
        <v>8.865248201438849</v>
      </c>
    </row>
    <row r="217" spans="1:29" ht="15.75" x14ac:dyDescent="0.25">
      <c r="A217" s="13">
        <v>47484</v>
      </c>
      <c r="B217" s="14">
        <f>CHOOSE(CONTROL!$C$42, 9.49, 9.49) * CHOOSE(CONTROL!$C$21, $C$9, 100%, $E$9)</f>
        <v>9.49</v>
      </c>
      <c r="C217" s="14">
        <f>CHOOSE(CONTROL!$C$42, 9.495, 9.495) * CHOOSE(CONTROL!$C$21, $C$9, 100%, $E$9)</f>
        <v>9.4949999999999992</v>
      </c>
      <c r="D217" s="14">
        <f>CHOOSE(CONTROL!$C$42, 9.5593, 9.5593) * CHOOSE(CONTROL!$C$21, $C$9, 100%, $E$9)</f>
        <v>9.5593000000000004</v>
      </c>
      <c r="E217" s="14">
        <f>CHOOSE(CONTROL!$C$42, 9.5931, 9.5931) * CHOOSE(CONTROL!$C$21, $C$9, 100%, $E$9)</f>
        <v>9.5930999999999997</v>
      </c>
      <c r="F217" s="14">
        <f>CHOOSE(CONTROL!$C$42, 9.4916, 9.4916)*CHOOSE(CONTROL!$C$21, $C$9, 100%, $E$9)</f>
        <v>9.4916</v>
      </c>
      <c r="G217" s="14">
        <f>CHOOSE(CONTROL!$C$42, 9.5075, 9.5075)*CHOOSE(CONTROL!$C$21, $C$9, 100%, $E$9)</f>
        <v>9.5075000000000003</v>
      </c>
      <c r="H217" s="14">
        <f>CHOOSE(CONTROL!$C$42, 9.5822, 9.5822) * CHOOSE(CONTROL!$C$21, $C$9, 100%, $E$9)</f>
        <v>9.5822000000000003</v>
      </c>
      <c r="I217" s="14">
        <f>CHOOSE(CONTROL!$C$42, 9.51, 9.51)* CHOOSE(CONTROL!$C$21, $C$9, 100%, $E$9)</f>
        <v>9.51</v>
      </c>
      <c r="J217" s="14">
        <f>CHOOSE(CONTROL!$C$42, 9.4846, 9.4846)* CHOOSE(CONTROL!$C$21, $C$9, 100%, $E$9)</f>
        <v>9.4846000000000004</v>
      </c>
      <c r="K217" s="53">
        <f>CHOOSE(CONTROL!$C$42, 9.5061, 9.5061) * CHOOSE(CONTROL!$C$21, $C$9, 100%, $E$9)</f>
        <v>9.5061</v>
      </c>
      <c r="L217" s="14">
        <f>CHOOSE(CONTROL!$C$42, 10.1692, 10.1692) * CHOOSE(CONTROL!$C$21, $C$9, 100%, $E$9)</f>
        <v>10.1692</v>
      </c>
      <c r="M217" s="14">
        <f>CHOOSE(CONTROL!$C$42, 9.4027, 9.4027) * CHOOSE(CONTROL!$C$21, $C$9, 100%, $E$9)</f>
        <v>9.4026999999999994</v>
      </c>
      <c r="N217" s="14">
        <f>CHOOSE(CONTROL!$C$42, 9.4184, 9.4184) * CHOOSE(CONTROL!$C$21, $C$9, 100%, $E$9)</f>
        <v>9.4184000000000001</v>
      </c>
      <c r="O217" s="14">
        <f>CHOOSE(CONTROL!$C$42, 9.4994, 9.4994) * CHOOSE(CONTROL!$C$21, $C$9, 100%, $E$9)</f>
        <v>9.4993999999999996</v>
      </c>
      <c r="P217" s="14">
        <f>CHOOSE(CONTROL!$C$42, 9.4279, 9.4279) * CHOOSE(CONTROL!$C$21, $C$9, 100%, $E$9)</f>
        <v>9.4278999999999993</v>
      </c>
      <c r="Q217" s="14">
        <f>CHOOSE(CONTROL!$C$42, 10.0947, 10.0947) * CHOOSE(CONTROL!$C$21, $C$9, 100%, $E$9)</f>
        <v>10.0947</v>
      </c>
      <c r="R217" s="14">
        <f>CHOOSE(CONTROL!$C$42, 10.7069, 10.7069) * CHOOSE(CONTROL!$C$21, $C$9, 100%, $E$9)</f>
        <v>10.706899999999999</v>
      </c>
      <c r="S217" s="14">
        <f>CHOOSE(CONTROL!$C$42, 9.2136, 9.2136) * CHOOSE(CONTROL!$C$21, $C$9, 100%, $E$9)</f>
        <v>9.2135999999999996</v>
      </c>
      <c r="T21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17" s="57">
        <f>(1000*CHOOSE(CONTROL!$C$42, 695, 695)*CHOOSE(CONTROL!$C$42, 0.5599, 0.5599)*CHOOSE(CONTROL!$C$42, 31, 31))/1000000</f>
        <v>12.063045499999998</v>
      </c>
      <c r="V217" s="57">
        <f>(1000*CHOOSE(CONTROL!$C$42, 500, 500)*CHOOSE(CONTROL!$C$42, 0.275, 0.275)*CHOOSE(CONTROL!$C$42, 31, 31))/1000000</f>
        <v>4.2625000000000002</v>
      </c>
      <c r="W217" s="57">
        <f>(1000*CHOOSE(CONTROL!$C$42, 0.1146, 0.1146)*CHOOSE(CONTROL!$C$42, 121.5, 121.5)*CHOOSE(CONTROL!$C$42, 31, 31))/1000000</f>
        <v>0.43164089999999994</v>
      </c>
      <c r="X217" s="57">
        <f>(31*0.1790888*100000/1000000)+(31*0.2374*100000/1000000)</f>
        <v>1.2911152800000001</v>
      </c>
      <c r="Y217" s="57"/>
      <c r="Z217" s="14"/>
      <c r="AA217" s="56"/>
      <c r="AB217" s="50">
        <f>(B217*122.58+C217*297.941+D217*89.177+E217*40.302+F217*40+G217*160+H217*0+I217*100+J217*300)/(122.58+297.941+89.177+40.302+0+40+160+100+300)</f>
        <v>9.50310331069565</v>
      </c>
      <c r="AC217" s="45">
        <f>(M217*'RAP TEMPLATE-GAS AVAILABILITY'!O216+N217*'RAP TEMPLATE-GAS AVAILABILITY'!P216+O217*'RAP TEMPLATE-GAS AVAILABILITY'!Q216+P217*'RAP TEMPLATE-GAS AVAILABILITY'!R216)/('RAP TEMPLATE-GAS AVAILABILITY'!O216+'RAP TEMPLATE-GAS AVAILABILITY'!P216+'RAP TEMPLATE-GAS AVAILABILITY'!Q216+'RAP TEMPLATE-GAS AVAILABILITY'!R216)</f>
        <v>9.4510575539568347</v>
      </c>
    </row>
    <row r="218" spans="1:29" ht="15.75" x14ac:dyDescent="0.25">
      <c r="A218" s="13">
        <v>47515</v>
      </c>
      <c r="B218" s="14">
        <f>CHOOSE(CONTROL!$C$42, 9.6589, 9.6589) * CHOOSE(CONTROL!$C$21, $C$9, 100%, $E$9)</f>
        <v>9.6588999999999992</v>
      </c>
      <c r="C218" s="14">
        <f>CHOOSE(CONTROL!$C$42, 9.6639, 9.6639) * CHOOSE(CONTROL!$C$21, $C$9, 100%, $E$9)</f>
        <v>9.6638999999999999</v>
      </c>
      <c r="D218" s="14">
        <f>CHOOSE(CONTROL!$C$42, 9.7282, 9.7282) * CHOOSE(CONTROL!$C$21, $C$9, 100%, $E$9)</f>
        <v>9.7281999999999993</v>
      </c>
      <c r="E218" s="14">
        <f>CHOOSE(CONTROL!$C$42, 9.7619, 9.7619) * CHOOSE(CONTROL!$C$21, $C$9, 100%, $E$9)</f>
        <v>9.7619000000000007</v>
      </c>
      <c r="F218" s="14">
        <f>CHOOSE(CONTROL!$C$42, 9.6605, 9.6605)*CHOOSE(CONTROL!$C$21, $C$9, 100%, $E$9)</f>
        <v>9.6605000000000008</v>
      </c>
      <c r="G218" s="14">
        <f>CHOOSE(CONTROL!$C$42, 9.6764, 9.6764)*CHOOSE(CONTROL!$C$21, $C$9, 100%, $E$9)</f>
        <v>9.6763999999999992</v>
      </c>
      <c r="H218" s="14">
        <f>CHOOSE(CONTROL!$C$42, 9.7511, 9.7511) * CHOOSE(CONTROL!$C$21, $C$9, 100%, $E$9)</f>
        <v>9.7510999999999992</v>
      </c>
      <c r="I218" s="14">
        <f>CHOOSE(CONTROL!$C$42, 9.6789, 9.6789)* CHOOSE(CONTROL!$C$21, $C$9, 100%, $E$9)</f>
        <v>9.6789000000000005</v>
      </c>
      <c r="J218" s="14">
        <f>CHOOSE(CONTROL!$C$42, 9.6535, 9.6535)* CHOOSE(CONTROL!$C$21, $C$9, 100%, $E$9)</f>
        <v>9.6534999999999993</v>
      </c>
      <c r="K218" s="53">
        <f>CHOOSE(CONTROL!$C$42, 9.675, 9.675) * CHOOSE(CONTROL!$C$21, $C$9, 100%, $E$9)</f>
        <v>9.6750000000000007</v>
      </c>
      <c r="L218" s="14">
        <f>CHOOSE(CONTROL!$C$42, 10.3381, 10.3381) * CHOOSE(CONTROL!$C$21, $C$9, 100%, $E$9)</f>
        <v>10.338100000000001</v>
      </c>
      <c r="M218" s="14">
        <f>CHOOSE(CONTROL!$C$42, 9.5699, 9.5699) * CHOOSE(CONTROL!$C$21, $C$9, 100%, $E$9)</f>
        <v>9.5699000000000005</v>
      </c>
      <c r="N218" s="14">
        <f>CHOOSE(CONTROL!$C$42, 9.5857, 9.5857) * CHOOSE(CONTROL!$C$21, $C$9, 100%, $E$9)</f>
        <v>9.5856999999999992</v>
      </c>
      <c r="O218" s="14">
        <f>CHOOSE(CONTROL!$C$42, 9.6666, 9.6666) * CHOOSE(CONTROL!$C$21, $C$9, 100%, $E$9)</f>
        <v>9.6666000000000007</v>
      </c>
      <c r="P218" s="14">
        <f>CHOOSE(CONTROL!$C$42, 9.5951, 9.5951) * CHOOSE(CONTROL!$C$21, $C$9, 100%, $E$9)</f>
        <v>9.5951000000000004</v>
      </c>
      <c r="Q218" s="14">
        <f>CHOOSE(CONTROL!$C$42, 10.2619, 10.2619) * CHOOSE(CONTROL!$C$21, $C$9, 100%, $E$9)</f>
        <v>10.261900000000001</v>
      </c>
      <c r="R218" s="14">
        <f>CHOOSE(CONTROL!$C$42, 10.8745, 10.8745) * CHOOSE(CONTROL!$C$21, $C$9, 100%, $E$9)</f>
        <v>10.874499999999999</v>
      </c>
      <c r="S218" s="14">
        <f>CHOOSE(CONTROL!$C$42, 9.3776, 9.3776) * CHOOSE(CONTROL!$C$21, $C$9, 100%, $E$9)</f>
        <v>9.3775999999999993</v>
      </c>
      <c r="T21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18" s="57">
        <f>(1000*CHOOSE(CONTROL!$C$42, 695, 695)*CHOOSE(CONTROL!$C$42, 0.5599, 0.5599)*CHOOSE(CONTROL!$C$42, 28, 28))/1000000</f>
        <v>10.895653999999999</v>
      </c>
      <c r="V218" s="57">
        <f>(1000*CHOOSE(CONTROL!$C$42, 500, 500)*CHOOSE(CONTROL!$C$42, 0.275, 0.275)*CHOOSE(CONTROL!$C$42, 28, 28))/1000000</f>
        <v>3.85</v>
      </c>
      <c r="W218" s="57">
        <f>(1000*CHOOSE(CONTROL!$C$42, 0.1146, 0.1146)*CHOOSE(CONTROL!$C$42, 121.5, 121.5)*CHOOSE(CONTROL!$C$42, 28, 28))/1000000</f>
        <v>0.38986920000000003</v>
      </c>
      <c r="X218" s="57">
        <f>(28*0.1790888*100000/1000000)+(28*0.2374*100000/1000000)</f>
        <v>1.16616864</v>
      </c>
      <c r="Y218" s="57"/>
      <c r="Z218" s="14"/>
      <c r="AA218" s="56"/>
      <c r="AB218" s="50">
        <f>(B218*122.58+C218*297.941+D218*89.177+E218*40.302+F218*40+G218*160+H218*0+I218*100+J218*300)/(122.58+297.941+89.177+40.302+0+40+160+100+300)</f>
        <v>9.671999806173913</v>
      </c>
      <c r="AC218" s="45">
        <f>(M218*'RAP TEMPLATE-GAS AVAILABILITY'!O217+N218*'RAP TEMPLATE-GAS AVAILABILITY'!P217+O218*'RAP TEMPLATE-GAS AVAILABILITY'!Q217+P218*'RAP TEMPLATE-GAS AVAILABILITY'!R217)/('RAP TEMPLATE-GAS AVAILABILITY'!O217+'RAP TEMPLATE-GAS AVAILABILITY'!P217+'RAP TEMPLATE-GAS AVAILABILITY'!Q217+'RAP TEMPLATE-GAS AVAILABILITY'!R217)</f>
        <v>9.6182633093525194</v>
      </c>
    </row>
    <row r="219" spans="1:29" ht="15.75" x14ac:dyDescent="0.25">
      <c r="A219" s="13">
        <v>47543</v>
      </c>
      <c r="B219" s="14">
        <f>CHOOSE(CONTROL!$C$42, 9.3848, 9.3848) * CHOOSE(CONTROL!$C$21, $C$9, 100%, $E$9)</f>
        <v>9.3848000000000003</v>
      </c>
      <c r="C219" s="14">
        <f>CHOOSE(CONTROL!$C$42, 9.3897, 9.3897) * CHOOSE(CONTROL!$C$21, $C$9, 100%, $E$9)</f>
        <v>9.3896999999999995</v>
      </c>
      <c r="D219" s="14">
        <f>CHOOSE(CONTROL!$C$42, 9.454, 9.454) * CHOOSE(CONTROL!$C$21, $C$9, 100%, $E$9)</f>
        <v>9.4540000000000006</v>
      </c>
      <c r="E219" s="14">
        <f>CHOOSE(CONTROL!$C$42, 9.4878, 9.4878) * CHOOSE(CONTROL!$C$21, $C$9, 100%, $E$9)</f>
        <v>9.4878</v>
      </c>
      <c r="F219" s="14">
        <f>CHOOSE(CONTROL!$C$42, 9.386, 9.386)*CHOOSE(CONTROL!$C$21, $C$9, 100%, $E$9)</f>
        <v>9.3859999999999992</v>
      </c>
      <c r="G219" s="14">
        <f>CHOOSE(CONTROL!$C$42, 9.4019, 9.4019)*CHOOSE(CONTROL!$C$21, $C$9, 100%, $E$9)</f>
        <v>9.4018999999999995</v>
      </c>
      <c r="H219" s="14">
        <f>CHOOSE(CONTROL!$C$42, 9.477, 9.477) * CHOOSE(CONTROL!$C$21, $C$9, 100%, $E$9)</f>
        <v>9.4770000000000003</v>
      </c>
      <c r="I219" s="14">
        <f>CHOOSE(CONTROL!$C$42, 9.4048, 9.4048)* CHOOSE(CONTROL!$C$21, $C$9, 100%, $E$9)</f>
        <v>9.4047999999999998</v>
      </c>
      <c r="J219" s="14">
        <f>CHOOSE(CONTROL!$C$42, 9.379, 9.379)* CHOOSE(CONTROL!$C$21, $C$9, 100%, $E$9)</f>
        <v>9.3789999999999996</v>
      </c>
      <c r="K219" s="53">
        <f>CHOOSE(CONTROL!$C$42, 9.4009, 9.4009) * CHOOSE(CONTROL!$C$21, $C$9, 100%, $E$9)</f>
        <v>9.4009</v>
      </c>
      <c r="L219" s="14">
        <f>CHOOSE(CONTROL!$C$42, 10.064, 10.064) * CHOOSE(CONTROL!$C$21, $C$9, 100%, $E$9)</f>
        <v>10.064</v>
      </c>
      <c r="M219" s="14">
        <f>CHOOSE(CONTROL!$C$42, 9.2982, 9.2982) * CHOOSE(CONTROL!$C$21, $C$9, 100%, $E$9)</f>
        <v>9.2981999999999996</v>
      </c>
      <c r="N219" s="14">
        <f>CHOOSE(CONTROL!$C$42, 9.3139, 9.3139) * CHOOSE(CONTROL!$C$21, $C$9, 100%, $E$9)</f>
        <v>9.3139000000000003</v>
      </c>
      <c r="O219" s="14">
        <f>CHOOSE(CONTROL!$C$42, 9.3952, 9.3952) * CHOOSE(CONTROL!$C$21, $C$9, 100%, $E$9)</f>
        <v>9.3952000000000009</v>
      </c>
      <c r="P219" s="14">
        <f>CHOOSE(CONTROL!$C$42, 9.3237, 9.3237) * CHOOSE(CONTROL!$C$21, $C$9, 100%, $E$9)</f>
        <v>9.3237000000000005</v>
      </c>
      <c r="Q219" s="14">
        <f>CHOOSE(CONTROL!$C$42, 9.9905, 9.9905) * CHOOSE(CONTROL!$C$21, $C$9, 100%, $E$9)</f>
        <v>9.9905000000000008</v>
      </c>
      <c r="R219" s="14">
        <f>CHOOSE(CONTROL!$C$42, 10.6025, 10.6025) * CHOOSE(CONTROL!$C$21, $C$9, 100%, $E$9)</f>
        <v>10.602499999999999</v>
      </c>
      <c r="S219" s="14">
        <f>CHOOSE(CONTROL!$C$42, 9.1114, 9.1114) * CHOOSE(CONTROL!$C$21, $C$9, 100%, $E$9)</f>
        <v>9.1113999999999997</v>
      </c>
      <c r="T21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19" s="57">
        <f>(1000*CHOOSE(CONTROL!$C$42, 695, 695)*CHOOSE(CONTROL!$C$42, 0.5599, 0.5599)*CHOOSE(CONTROL!$C$42, 31, 31))/1000000</f>
        <v>12.063045499999998</v>
      </c>
      <c r="V219" s="57">
        <f>(1000*CHOOSE(CONTROL!$C$42, 500, 500)*CHOOSE(CONTROL!$C$42, 0.275, 0.275)*CHOOSE(CONTROL!$C$42, 31, 31))/1000000</f>
        <v>4.2625000000000002</v>
      </c>
      <c r="W219" s="57">
        <f>(1000*CHOOSE(CONTROL!$C$42, 0.1146, 0.1146)*CHOOSE(CONTROL!$C$42, 121.5, 121.5)*CHOOSE(CONTROL!$C$42, 31, 31))/1000000</f>
        <v>0.43164089999999994</v>
      </c>
      <c r="X219" s="57">
        <f>(31*0.1790888*100000/1000000)+(31*0.2374*100000/1000000)</f>
        <v>1.2911152800000001</v>
      </c>
      <c r="Y219" s="57"/>
      <c r="Z219" s="14"/>
      <c r="AA219" s="56"/>
      <c r="AB219" s="50">
        <f>(B219*122.58+C219*297.941+D219*89.177+E219*40.302+F219*40+G219*160+H219*0+I219*100+J219*300)/(122.58+297.941+89.177+40.302+0+40+160+100+300)</f>
        <v>9.3976922306956521</v>
      </c>
      <c r="AC219" s="45">
        <f>(M219*'RAP TEMPLATE-GAS AVAILABILITY'!O218+N219*'RAP TEMPLATE-GAS AVAILABILITY'!P218+O219*'RAP TEMPLATE-GAS AVAILABILITY'!Q218+P219*'RAP TEMPLATE-GAS AVAILABILITY'!R218)/('RAP TEMPLATE-GAS AVAILABILITY'!O218+'RAP TEMPLATE-GAS AVAILABILITY'!P218+'RAP TEMPLATE-GAS AVAILABILITY'!Q218+'RAP TEMPLATE-GAS AVAILABILITY'!R218)</f>
        <v>9.3467366906474822</v>
      </c>
    </row>
    <row r="220" spans="1:29" ht="15.75" x14ac:dyDescent="0.25">
      <c r="A220" s="13">
        <v>47574</v>
      </c>
      <c r="B220" s="14">
        <f>CHOOSE(CONTROL!$C$42, 9.3579, 9.3579) * CHOOSE(CONTROL!$C$21, $C$9, 100%, $E$9)</f>
        <v>9.3579000000000008</v>
      </c>
      <c r="C220" s="14">
        <f>CHOOSE(CONTROL!$C$42, 9.3622, 9.3622) * CHOOSE(CONTROL!$C$21, $C$9, 100%, $E$9)</f>
        <v>9.3621999999999996</v>
      </c>
      <c r="D220" s="14">
        <f>CHOOSE(CONTROL!$C$42, 9.563, 9.563) * CHOOSE(CONTROL!$C$21, $C$9, 100%, $E$9)</f>
        <v>9.5630000000000006</v>
      </c>
      <c r="E220" s="14">
        <f>CHOOSE(CONTROL!$C$42, 9.5947, 9.5947) * CHOOSE(CONTROL!$C$21, $C$9, 100%, $E$9)</f>
        <v>9.5946999999999996</v>
      </c>
      <c r="F220" s="14">
        <f>CHOOSE(CONTROL!$C$42, 9.3424, 9.3424)*CHOOSE(CONTROL!$C$21, $C$9, 100%, $E$9)</f>
        <v>9.3423999999999996</v>
      </c>
      <c r="G220" s="14">
        <f>CHOOSE(CONTROL!$C$42, 9.3581, 9.3581)*CHOOSE(CONTROL!$C$21, $C$9, 100%, $E$9)</f>
        <v>9.3581000000000003</v>
      </c>
      <c r="H220" s="14">
        <f>CHOOSE(CONTROL!$C$42, 9.5845, 9.5845) * CHOOSE(CONTROL!$C$21, $C$9, 100%, $E$9)</f>
        <v>9.5845000000000002</v>
      </c>
      <c r="I220" s="14">
        <f>CHOOSE(CONTROL!$C$42, 9.3706, 9.3706)* CHOOSE(CONTROL!$C$21, $C$9, 100%, $E$9)</f>
        <v>9.3705999999999996</v>
      </c>
      <c r="J220" s="14">
        <f>CHOOSE(CONTROL!$C$42, 9.3354, 9.3354)* CHOOSE(CONTROL!$C$21, $C$9, 100%, $E$9)</f>
        <v>9.3353999999999999</v>
      </c>
      <c r="K220" s="53">
        <f>CHOOSE(CONTROL!$C$42, 9.3667, 9.3667) * CHOOSE(CONTROL!$C$21, $C$9, 100%, $E$9)</f>
        <v>9.3666999999999998</v>
      </c>
      <c r="L220" s="14">
        <f>CHOOSE(CONTROL!$C$42, 10.1715, 10.1715) * CHOOSE(CONTROL!$C$21, $C$9, 100%, $E$9)</f>
        <v>10.1715</v>
      </c>
      <c r="M220" s="14">
        <f>CHOOSE(CONTROL!$C$42, 9.2551, 9.2551) * CHOOSE(CONTROL!$C$21, $C$9, 100%, $E$9)</f>
        <v>9.2551000000000005</v>
      </c>
      <c r="N220" s="14">
        <f>CHOOSE(CONTROL!$C$42, 9.2705, 9.2705) * CHOOSE(CONTROL!$C$21, $C$9, 100%, $E$9)</f>
        <v>9.2705000000000002</v>
      </c>
      <c r="O220" s="14">
        <f>CHOOSE(CONTROL!$C$42, 9.5016, 9.5016) * CHOOSE(CONTROL!$C$21, $C$9, 100%, $E$9)</f>
        <v>9.5015999999999998</v>
      </c>
      <c r="P220" s="14">
        <f>CHOOSE(CONTROL!$C$42, 9.2899, 9.2899) * CHOOSE(CONTROL!$C$21, $C$9, 100%, $E$9)</f>
        <v>9.2898999999999994</v>
      </c>
      <c r="Q220" s="14">
        <f>CHOOSE(CONTROL!$C$42, 10.0969, 10.0969) * CHOOSE(CONTROL!$C$21, $C$9, 100%, $E$9)</f>
        <v>10.0969</v>
      </c>
      <c r="R220" s="14">
        <f>CHOOSE(CONTROL!$C$42, 10.7092, 10.7092) * CHOOSE(CONTROL!$C$21, $C$9, 100%, $E$9)</f>
        <v>10.709199999999999</v>
      </c>
      <c r="S220" s="14">
        <f>CHOOSE(CONTROL!$C$42, 9.0845, 9.0845) * CHOOSE(CONTROL!$C$21, $C$9, 100%, $E$9)</f>
        <v>9.0845000000000002</v>
      </c>
      <c r="T22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20" s="57">
        <f>(1000*CHOOSE(CONTROL!$C$42, 695, 695)*CHOOSE(CONTROL!$C$42, 0.5599, 0.5599)*CHOOSE(CONTROL!$C$42, 30, 30))/1000000</f>
        <v>11.673914999999997</v>
      </c>
      <c r="V220" s="57">
        <f>(1000*CHOOSE(CONTROL!$C$42, 500, 500)*CHOOSE(CONTROL!$C$42, 0.275, 0.275)*CHOOSE(CONTROL!$C$42, 30, 30))/1000000</f>
        <v>4.125</v>
      </c>
      <c r="W220" s="57">
        <f>(1000*CHOOSE(CONTROL!$C$42, 0.1146, 0.1146)*CHOOSE(CONTROL!$C$42, 121.5, 121.5)*CHOOSE(CONTROL!$C$42, 30, 30))/1000000</f>
        <v>0.417717</v>
      </c>
      <c r="X220" s="57">
        <f>(30*0.1790888*245000/1000000)+(30*0.2374*100000/1000000)</f>
        <v>2.0285026799999999</v>
      </c>
      <c r="Y220" s="57"/>
      <c r="Z220" s="14"/>
      <c r="AA220" s="56"/>
      <c r="AB220" s="50">
        <f>(B220*141.293+C220*267.993+D220*115.016+E220*89.698+F220*40+G220*185+H220*0+I220*100+J220*300)/(141.293+267.993+115.016+89.698+0+40+185+100+300)</f>
        <v>9.3901192396287314</v>
      </c>
      <c r="AC220" s="45">
        <f>(M220*'RAP TEMPLATE-GAS AVAILABILITY'!O219+N220*'RAP TEMPLATE-GAS AVAILABILITY'!P219+O220*'RAP TEMPLATE-GAS AVAILABILITY'!Q219+P220*'RAP TEMPLATE-GAS AVAILABILITY'!R219)/('RAP TEMPLATE-GAS AVAILABILITY'!O219+'RAP TEMPLATE-GAS AVAILABILITY'!P219+'RAP TEMPLATE-GAS AVAILABILITY'!Q219+'RAP TEMPLATE-GAS AVAILABILITY'!R219)</f>
        <v>9.3328143884892079</v>
      </c>
    </row>
    <row r="221" spans="1:29" ht="15.75" x14ac:dyDescent="0.25">
      <c r="A221" s="13">
        <v>47604</v>
      </c>
      <c r="B221" s="14">
        <f>CHOOSE(CONTROL!$C$42, 9.4418, 9.4418) * CHOOSE(CONTROL!$C$21, $C$9, 100%, $E$9)</f>
        <v>9.4418000000000006</v>
      </c>
      <c r="C221" s="14">
        <f>CHOOSE(CONTROL!$C$42, 9.4497, 9.4497) * CHOOSE(CONTROL!$C$21, $C$9, 100%, $E$9)</f>
        <v>9.4497</v>
      </c>
      <c r="D221" s="14">
        <f>CHOOSE(CONTROL!$C$42, 9.6473, 9.6473) * CHOOSE(CONTROL!$C$21, $C$9, 100%, $E$9)</f>
        <v>9.6472999999999995</v>
      </c>
      <c r="E221" s="14">
        <f>CHOOSE(CONTROL!$C$42, 9.6785, 9.6785) * CHOOSE(CONTROL!$C$21, $C$9, 100%, $E$9)</f>
        <v>9.6784999999999997</v>
      </c>
      <c r="F221" s="14">
        <f>CHOOSE(CONTROL!$C$42, 9.4252, 9.4252)*CHOOSE(CONTROL!$C$21, $C$9, 100%, $E$9)</f>
        <v>9.4252000000000002</v>
      </c>
      <c r="G221" s="14">
        <f>CHOOSE(CONTROL!$C$42, 9.4413, 9.4413)*CHOOSE(CONTROL!$C$21, $C$9, 100%, $E$9)</f>
        <v>9.4413</v>
      </c>
      <c r="H221" s="14">
        <f>CHOOSE(CONTROL!$C$42, 9.6671, 9.6671) * CHOOSE(CONTROL!$C$21, $C$9, 100%, $E$9)</f>
        <v>9.6670999999999996</v>
      </c>
      <c r="I221" s="14">
        <f>CHOOSE(CONTROL!$C$42, 9.4532, 9.4532)* CHOOSE(CONTROL!$C$21, $C$9, 100%, $E$9)</f>
        <v>9.4532000000000007</v>
      </c>
      <c r="J221" s="14">
        <f>CHOOSE(CONTROL!$C$42, 9.4182, 9.4182)* CHOOSE(CONTROL!$C$21, $C$9, 100%, $E$9)</f>
        <v>9.4182000000000006</v>
      </c>
      <c r="K221" s="53">
        <f>CHOOSE(CONTROL!$C$42, 9.4493, 9.4493) * CHOOSE(CONTROL!$C$21, $C$9, 100%, $E$9)</f>
        <v>9.4492999999999991</v>
      </c>
      <c r="L221" s="14">
        <f>CHOOSE(CONTROL!$C$42, 10.2541, 10.2541) * CHOOSE(CONTROL!$C$21, $C$9, 100%, $E$9)</f>
        <v>10.254099999999999</v>
      </c>
      <c r="M221" s="14">
        <f>CHOOSE(CONTROL!$C$42, 9.337, 9.337) * CHOOSE(CONTROL!$C$21, $C$9, 100%, $E$9)</f>
        <v>9.3369999999999997</v>
      </c>
      <c r="N221" s="14">
        <f>CHOOSE(CONTROL!$C$42, 9.3529, 9.3529) * CHOOSE(CONTROL!$C$21, $C$9, 100%, $E$9)</f>
        <v>9.3529</v>
      </c>
      <c r="O221" s="14">
        <f>CHOOSE(CONTROL!$C$42, 9.5834, 9.5834) * CHOOSE(CONTROL!$C$21, $C$9, 100%, $E$9)</f>
        <v>9.5833999999999993</v>
      </c>
      <c r="P221" s="14">
        <f>CHOOSE(CONTROL!$C$42, 9.3717, 9.3717) * CHOOSE(CONTROL!$C$21, $C$9, 100%, $E$9)</f>
        <v>9.3717000000000006</v>
      </c>
      <c r="Q221" s="14">
        <f>CHOOSE(CONTROL!$C$42, 10.1787, 10.1787) * CHOOSE(CONTROL!$C$21, $C$9, 100%, $E$9)</f>
        <v>10.178699999999999</v>
      </c>
      <c r="R221" s="14">
        <f>CHOOSE(CONTROL!$C$42, 10.7911, 10.7911) * CHOOSE(CONTROL!$C$21, $C$9, 100%, $E$9)</f>
        <v>10.7911</v>
      </c>
      <c r="S221" s="14">
        <f>CHOOSE(CONTROL!$C$42, 9.1647, 9.1647) * CHOOSE(CONTROL!$C$21, $C$9, 100%, $E$9)</f>
        <v>9.1646999999999998</v>
      </c>
      <c r="T22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21" s="57">
        <f>(1000*CHOOSE(CONTROL!$C$42, 695, 695)*CHOOSE(CONTROL!$C$42, 0.5599, 0.5599)*CHOOSE(CONTROL!$C$42, 31, 31))/1000000</f>
        <v>12.063045499999998</v>
      </c>
      <c r="V221" s="57">
        <f>(1000*CHOOSE(CONTROL!$C$42, 500, 500)*CHOOSE(CONTROL!$C$42, 0.275, 0.275)*CHOOSE(CONTROL!$C$42, 31, 31))/1000000</f>
        <v>4.2625000000000002</v>
      </c>
      <c r="W221" s="57">
        <f>(1000*CHOOSE(CONTROL!$C$42, 0.1146, 0.1146)*CHOOSE(CONTROL!$C$42, 121.5, 121.5)*CHOOSE(CONTROL!$C$42, 31, 31))/1000000</f>
        <v>0.43164089999999994</v>
      </c>
      <c r="X221" s="57">
        <f>(31*0.1790888*245000/1000000)+(31*0.2374*100000/1000000)</f>
        <v>2.0961194359999999</v>
      </c>
      <c r="Y221" s="57"/>
      <c r="Z221" s="14"/>
      <c r="AA221" s="56"/>
      <c r="AB221" s="50">
        <f>(B221*194.205+C221*267.466+D221*133.845+E221*53.484+F221*40+G221*185+H221*0+I221*100+J221*300)/(194.205+267.466+133.845+53.484+0+40+185+100+300)</f>
        <v>9.4697288003924651</v>
      </c>
      <c r="AC221" s="45">
        <f>(M221*'RAP TEMPLATE-GAS AVAILABILITY'!O220+N221*'RAP TEMPLATE-GAS AVAILABILITY'!P220+O221*'RAP TEMPLATE-GAS AVAILABILITY'!Q220+P221*'RAP TEMPLATE-GAS AVAILABILITY'!R220)/('RAP TEMPLATE-GAS AVAILABILITY'!O220+'RAP TEMPLATE-GAS AVAILABILITY'!P220+'RAP TEMPLATE-GAS AVAILABILITY'!Q220+'RAP TEMPLATE-GAS AVAILABILITY'!R220)</f>
        <v>9.4147870503597115</v>
      </c>
    </row>
    <row r="222" spans="1:29" ht="15.75" x14ac:dyDescent="0.25">
      <c r="A222" s="13">
        <v>47635</v>
      </c>
      <c r="B222" s="14">
        <f>CHOOSE(CONTROL!$C$42, 9.7095, 9.7095) * CHOOSE(CONTROL!$C$21, $C$9, 100%, $E$9)</f>
        <v>9.7095000000000002</v>
      </c>
      <c r="C222" s="14">
        <f>CHOOSE(CONTROL!$C$42, 9.7174, 9.7174) * CHOOSE(CONTROL!$C$21, $C$9, 100%, $E$9)</f>
        <v>9.7173999999999996</v>
      </c>
      <c r="D222" s="14">
        <f>CHOOSE(CONTROL!$C$42, 9.915, 9.915) * CHOOSE(CONTROL!$C$21, $C$9, 100%, $E$9)</f>
        <v>9.9149999999999991</v>
      </c>
      <c r="E222" s="14">
        <f>CHOOSE(CONTROL!$C$42, 9.9461, 9.9461) * CHOOSE(CONTROL!$C$21, $C$9, 100%, $E$9)</f>
        <v>9.9460999999999995</v>
      </c>
      <c r="F222" s="14">
        <f>CHOOSE(CONTROL!$C$42, 9.6933, 9.6933)*CHOOSE(CONTROL!$C$21, $C$9, 100%, $E$9)</f>
        <v>9.6933000000000007</v>
      </c>
      <c r="G222" s="14">
        <f>CHOOSE(CONTROL!$C$42, 9.7095, 9.7095)*CHOOSE(CONTROL!$C$21, $C$9, 100%, $E$9)</f>
        <v>9.7095000000000002</v>
      </c>
      <c r="H222" s="14">
        <f>CHOOSE(CONTROL!$C$42, 9.9348, 9.9348) * CHOOSE(CONTROL!$C$21, $C$9, 100%, $E$9)</f>
        <v>9.9347999999999992</v>
      </c>
      <c r="I222" s="14">
        <f>CHOOSE(CONTROL!$C$42, 9.7209, 9.7209)* CHOOSE(CONTROL!$C$21, $C$9, 100%, $E$9)</f>
        <v>9.7209000000000003</v>
      </c>
      <c r="J222" s="14">
        <f>CHOOSE(CONTROL!$C$42, 9.6863, 9.6863)* CHOOSE(CONTROL!$C$21, $C$9, 100%, $E$9)</f>
        <v>9.6862999999999992</v>
      </c>
      <c r="K222" s="53">
        <f>CHOOSE(CONTROL!$C$42, 9.717, 9.717) * CHOOSE(CONTROL!$C$21, $C$9, 100%, $E$9)</f>
        <v>9.7170000000000005</v>
      </c>
      <c r="L222" s="14">
        <f>CHOOSE(CONTROL!$C$42, 10.5218, 10.5218) * CHOOSE(CONTROL!$C$21, $C$9, 100%, $E$9)</f>
        <v>10.521800000000001</v>
      </c>
      <c r="M222" s="14">
        <f>CHOOSE(CONTROL!$C$42, 9.6024, 9.6024) * CHOOSE(CONTROL!$C$21, $C$9, 100%, $E$9)</f>
        <v>9.6023999999999994</v>
      </c>
      <c r="N222" s="14">
        <f>CHOOSE(CONTROL!$C$42, 9.6184, 9.6184) * CHOOSE(CONTROL!$C$21, $C$9, 100%, $E$9)</f>
        <v>9.6183999999999994</v>
      </c>
      <c r="O222" s="14">
        <f>CHOOSE(CONTROL!$C$42, 9.8483, 9.8483) * CHOOSE(CONTROL!$C$21, $C$9, 100%, $E$9)</f>
        <v>9.8483000000000001</v>
      </c>
      <c r="P222" s="14">
        <f>CHOOSE(CONTROL!$C$42, 9.6366, 9.6366) * CHOOSE(CONTROL!$C$21, $C$9, 100%, $E$9)</f>
        <v>9.6365999999999996</v>
      </c>
      <c r="Q222" s="14">
        <f>CHOOSE(CONTROL!$C$42, 10.4436, 10.4436) * CHOOSE(CONTROL!$C$21, $C$9, 100%, $E$9)</f>
        <v>10.4436</v>
      </c>
      <c r="R222" s="14">
        <f>CHOOSE(CONTROL!$C$42, 11.0567, 11.0567) * CHOOSE(CONTROL!$C$21, $C$9, 100%, $E$9)</f>
        <v>11.056699999999999</v>
      </c>
      <c r="S222" s="14">
        <f>CHOOSE(CONTROL!$C$42, 9.4246, 9.4246) * CHOOSE(CONTROL!$C$21, $C$9, 100%, $E$9)</f>
        <v>9.4245999999999999</v>
      </c>
      <c r="T22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22" s="57">
        <f>(1000*CHOOSE(CONTROL!$C$42, 695, 695)*CHOOSE(CONTROL!$C$42, 0.5599, 0.5599)*CHOOSE(CONTROL!$C$42, 30, 30))/1000000</f>
        <v>11.673914999999997</v>
      </c>
      <c r="V222" s="57">
        <f>(1000*CHOOSE(CONTROL!$C$42, 500, 500)*CHOOSE(CONTROL!$C$42, 0.275, 0.275)*CHOOSE(CONTROL!$C$42, 30, 30))/1000000</f>
        <v>4.125</v>
      </c>
      <c r="W222" s="57">
        <f>(1000*CHOOSE(CONTROL!$C$42, 0.1146, 0.1146)*CHOOSE(CONTROL!$C$42, 121.5, 121.5)*CHOOSE(CONTROL!$C$42, 30, 30))/1000000</f>
        <v>0.417717</v>
      </c>
      <c r="X222" s="57">
        <f>(30*0.1790888*245000/1000000)+(30*0.2374*100000/1000000)</f>
        <v>2.0285026799999999</v>
      </c>
      <c r="Y222" s="57"/>
      <c r="Z222" s="14"/>
      <c r="AA222" s="56"/>
      <c r="AB222" s="50">
        <f>(B222*194.205+C222*267.466+D222*133.845+E222*53.484+F222*40+G222*185+H222*0+I222*100+J222*300)/(194.205+267.466+133.845+53.484+0+40+185+100+300)</f>
        <v>9.7376039586342227</v>
      </c>
      <c r="AC222" s="45">
        <f>(M222*'RAP TEMPLATE-GAS AVAILABILITY'!O221+N222*'RAP TEMPLATE-GAS AVAILABILITY'!P221+O222*'RAP TEMPLATE-GAS AVAILABILITY'!Q221+P222*'RAP TEMPLATE-GAS AVAILABILITY'!R221)/('RAP TEMPLATE-GAS AVAILABILITY'!O221+'RAP TEMPLATE-GAS AVAILABILITY'!P221+'RAP TEMPLATE-GAS AVAILABILITY'!Q221+'RAP TEMPLATE-GAS AVAILABILITY'!R221)</f>
        <v>9.6799978417266193</v>
      </c>
    </row>
    <row r="223" spans="1:29" ht="15.75" x14ac:dyDescent="0.25">
      <c r="A223" s="13">
        <v>47665</v>
      </c>
      <c r="B223" s="14">
        <f>CHOOSE(CONTROL!$C$42, 9.5233, 9.5233) * CHOOSE(CONTROL!$C$21, $C$9, 100%, $E$9)</f>
        <v>9.5233000000000008</v>
      </c>
      <c r="C223" s="14">
        <f>CHOOSE(CONTROL!$C$42, 9.5312, 9.5312) * CHOOSE(CONTROL!$C$21, $C$9, 100%, $E$9)</f>
        <v>9.5312000000000001</v>
      </c>
      <c r="D223" s="14">
        <f>CHOOSE(CONTROL!$C$42, 9.7288, 9.7288) * CHOOSE(CONTROL!$C$21, $C$9, 100%, $E$9)</f>
        <v>9.7287999999999997</v>
      </c>
      <c r="E223" s="14">
        <f>CHOOSE(CONTROL!$C$42, 9.76, 9.76) * CHOOSE(CONTROL!$C$21, $C$9, 100%, $E$9)</f>
        <v>9.76</v>
      </c>
      <c r="F223" s="14">
        <f>CHOOSE(CONTROL!$C$42, 9.5076, 9.5076)*CHOOSE(CONTROL!$C$21, $C$9, 100%, $E$9)</f>
        <v>9.5076000000000001</v>
      </c>
      <c r="G223" s="14">
        <f>CHOOSE(CONTROL!$C$42, 9.5239, 9.5239)*CHOOSE(CONTROL!$C$21, $C$9, 100%, $E$9)</f>
        <v>9.5238999999999994</v>
      </c>
      <c r="H223" s="14">
        <f>CHOOSE(CONTROL!$C$42, 9.7486, 9.7486) * CHOOSE(CONTROL!$C$21, $C$9, 100%, $E$9)</f>
        <v>9.7485999999999997</v>
      </c>
      <c r="I223" s="14">
        <f>CHOOSE(CONTROL!$C$42, 9.5347, 9.5347)* CHOOSE(CONTROL!$C$21, $C$9, 100%, $E$9)</f>
        <v>9.5347000000000008</v>
      </c>
      <c r="J223" s="14">
        <f>CHOOSE(CONTROL!$C$42, 9.5006, 9.5006)* CHOOSE(CONTROL!$C$21, $C$9, 100%, $E$9)</f>
        <v>9.5006000000000004</v>
      </c>
      <c r="K223" s="53">
        <f>CHOOSE(CONTROL!$C$42, 9.5308, 9.5308) * CHOOSE(CONTROL!$C$21, $C$9, 100%, $E$9)</f>
        <v>9.5307999999999993</v>
      </c>
      <c r="L223" s="14">
        <f>CHOOSE(CONTROL!$C$42, 10.3356, 10.3356) * CHOOSE(CONTROL!$C$21, $C$9, 100%, $E$9)</f>
        <v>10.335599999999999</v>
      </c>
      <c r="M223" s="14">
        <f>CHOOSE(CONTROL!$C$42, 9.4185, 9.4185) * CHOOSE(CONTROL!$C$21, $C$9, 100%, $E$9)</f>
        <v>9.4184999999999999</v>
      </c>
      <c r="N223" s="14">
        <f>CHOOSE(CONTROL!$C$42, 9.4347, 9.4347) * CHOOSE(CONTROL!$C$21, $C$9, 100%, $E$9)</f>
        <v>9.4346999999999994</v>
      </c>
      <c r="O223" s="14">
        <f>CHOOSE(CONTROL!$C$42, 9.664, 9.664) * CHOOSE(CONTROL!$C$21, $C$9, 100%, $E$9)</f>
        <v>9.6639999999999997</v>
      </c>
      <c r="P223" s="14">
        <f>CHOOSE(CONTROL!$C$42, 9.4523, 9.4523) * CHOOSE(CONTROL!$C$21, $C$9, 100%, $E$9)</f>
        <v>9.4522999999999993</v>
      </c>
      <c r="Q223" s="14">
        <f>CHOOSE(CONTROL!$C$42, 10.2593, 10.2593) * CHOOSE(CONTROL!$C$21, $C$9, 100%, $E$9)</f>
        <v>10.2593</v>
      </c>
      <c r="R223" s="14">
        <f>CHOOSE(CONTROL!$C$42, 10.872, 10.872) * CHOOSE(CONTROL!$C$21, $C$9, 100%, $E$9)</f>
        <v>10.872</v>
      </c>
      <c r="S223" s="14">
        <f>CHOOSE(CONTROL!$C$42, 9.2439, 9.2439) * CHOOSE(CONTROL!$C$21, $C$9, 100%, $E$9)</f>
        <v>9.2439</v>
      </c>
      <c r="T22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23" s="57">
        <f>(1000*CHOOSE(CONTROL!$C$42, 695, 695)*CHOOSE(CONTROL!$C$42, 0.5599, 0.5599)*CHOOSE(CONTROL!$C$42, 31, 31))/1000000</f>
        <v>12.063045499999998</v>
      </c>
      <c r="V223" s="57">
        <f>(1000*CHOOSE(CONTROL!$C$42, 500, 500)*CHOOSE(CONTROL!$C$42, 0.275, 0.275)*CHOOSE(CONTROL!$C$42, 31, 31))/1000000</f>
        <v>4.2625000000000002</v>
      </c>
      <c r="W223" s="57">
        <f>(1000*CHOOSE(CONTROL!$C$42, 0.1146, 0.1146)*CHOOSE(CONTROL!$C$42, 121.5, 121.5)*CHOOSE(CONTROL!$C$42, 31, 31))/1000000</f>
        <v>0.43164089999999994</v>
      </c>
      <c r="X223" s="57">
        <f>(31*0.1790888*245000/1000000)+(31*0.2374*100000/1000000)</f>
        <v>2.0961194359999999</v>
      </c>
      <c r="Y223" s="57"/>
      <c r="Z223" s="14"/>
      <c r="AA223" s="56"/>
      <c r="AB223" s="50">
        <f>(B223*194.205+C223*267.466+D223*133.845+E223*53.484+F223*40+G223*185+H223*0+I223*100+J223*300)/(194.205+267.466+133.845+53.484+0+40+185+100+300)</f>
        <v>9.5516287218995295</v>
      </c>
      <c r="AC223" s="45">
        <f>(M223*'RAP TEMPLATE-GAS AVAILABILITY'!O222+N223*'RAP TEMPLATE-GAS AVAILABILITY'!P222+O223*'RAP TEMPLATE-GAS AVAILABILITY'!Q222+P223*'RAP TEMPLATE-GAS AVAILABILITY'!R222)/('RAP TEMPLATE-GAS AVAILABILITY'!O222+'RAP TEMPLATE-GAS AVAILABILITY'!P222+'RAP TEMPLATE-GAS AVAILABILITY'!Q222+'RAP TEMPLATE-GAS AVAILABILITY'!R222)</f>
        <v>9.4959741007194243</v>
      </c>
    </row>
    <row r="224" spans="1:29" ht="15.75" x14ac:dyDescent="0.25">
      <c r="A224" s="13">
        <v>47696</v>
      </c>
      <c r="B224" s="14">
        <f>CHOOSE(CONTROL!$C$42, 9.0532, 9.0532) * CHOOSE(CONTROL!$C$21, $C$9, 100%, $E$9)</f>
        <v>9.0532000000000004</v>
      </c>
      <c r="C224" s="14">
        <f>CHOOSE(CONTROL!$C$42, 9.0611, 9.0611) * CHOOSE(CONTROL!$C$21, $C$9, 100%, $E$9)</f>
        <v>9.0610999999999997</v>
      </c>
      <c r="D224" s="14">
        <f>CHOOSE(CONTROL!$C$42, 9.2587, 9.2587) * CHOOSE(CONTROL!$C$21, $C$9, 100%, $E$9)</f>
        <v>9.2586999999999993</v>
      </c>
      <c r="E224" s="14">
        <f>CHOOSE(CONTROL!$C$42, 9.2898, 9.2898) * CHOOSE(CONTROL!$C$21, $C$9, 100%, $E$9)</f>
        <v>9.2897999999999996</v>
      </c>
      <c r="F224" s="14">
        <f>CHOOSE(CONTROL!$C$42, 9.0376, 9.0376)*CHOOSE(CONTROL!$C$21, $C$9, 100%, $E$9)</f>
        <v>9.0375999999999994</v>
      </c>
      <c r="G224" s="14">
        <f>CHOOSE(CONTROL!$C$42, 9.054, 9.054)*CHOOSE(CONTROL!$C$21, $C$9, 100%, $E$9)</f>
        <v>9.0540000000000003</v>
      </c>
      <c r="H224" s="14">
        <f>CHOOSE(CONTROL!$C$42, 9.2785, 9.2785) * CHOOSE(CONTROL!$C$21, $C$9, 100%, $E$9)</f>
        <v>9.2784999999999993</v>
      </c>
      <c r="I224" s="14">
        <f>CHOOSE(CONTROL!$C$42, 9.0646, 9.0646)* CHOOSE(CONTROL!$C$21, $C$9, 100%, $E$9)</f>
        <v>9.0646000000000004</v>
      </c>
      <c r="J224" s="14">
        <f>CHOOSE(CONTROL!$C$42, 9.0306, 9.0306)* CHOOSE(CONTROL!$C$21, $C$9, 100%, $E$9)</f>
        <v>9.0305999999999997</v>
      </c>
      <c r="K224" s="53">
        <f>CHOOSE(CONTROL!$C$42, 9.0607, 9.0607) * CHOOSE(CONTROL!$C$21, $C$9, 100%, $E$9)</f>
        <v>9.0607000000000006</v>
      </c>
      <c r="L224" s="14">
        <f>CHOOSE(CONTROL!$C$42, 9.8655, 9.8655) * CHOOSE(CONTROL!$C$21, $C$9, 100%, $E$9)</f>
        <v>9.8655000000000008</v>
      </c>
      <c r="M224" s="14">
        <f>CHOOSE(CONTROL!$C$42, 8.9533, 8.9533) * CHOOSE(CONTROL!$C$21, $C$9, 100%, $E$9)</f>
        <v>8.9533000000000005</v>
      </c>
      <c r="N224" s="14">
        <f>CHOOSE(CONTROL!$C$42, 8.9695, 8.9695) * CHOOSE(CONTROL!$C$21, $C$9, 100%, $E$9)</f>
        <v>8.9695</v>
      </c>
      <c r="O224" s="14">
        <f>CHOOSE(CONTROL!$C$42, 9.1987, 9.1987) * CHOOSE(CONTROL!$C$21, $C$9, 100%, $E$9)</f>
        <v>9.1987000000000005</v>
      </c>
      <c r="P224" s="14">
        <f>CHOOSE(CONTROL!$C$42, 8.9869, 8.9869) * CHOOSE(CONTROL!$C$21, $C$9, 100%, $E$9)</f>
        <v>8.9869000000000003</v>
      </c>
      <c r="Q224" s="14">
        <f>CHOOSE(CONTROL!$C$42, 9.794, 9.794) * CHOOSE(CONTROL!$C$21, $C$9, 100%, $E$9)</f>
        <v>9.7940000000000005</v>
      </c>
      <c r="R224" s="14">
        <f>CHOOSE(CONTROL!$C$42, 10.4054, 10.4054) * CHOOSE(CONTROL!$C$21, $C$9, 100%, $E$9)</f>
        <v>10.4054</v>
      </c>
      <c r="S224" s="14">
        <f>CHOOSE(CONTROL!$C$42, 8.7873, 8.7873) * CHOOSE(CONTROL!$C$21, $C$9, 100%, $E$9)</f>
        <v>8.7873000000000001</v>
      </c>
      <c r="T22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24" s="57">
        <f>(1000*CHOOSE(CONTROL!$C$42, 695, 695)*CHOOSE(CONTROL!$C$42, 0.5599, 0.5599)*CHOOSE(CONTROL!$C$42, 31, 31))/1000000</f>
        <v>12.063045499999998</v>
      </c>
      <c r="V224" s="57">
        <f>(1000*CHOOSE(CONTROL!$C$42, 500, 500)*CHOOSE(CONTROL!$C$42, 0.275, 0.275)*CHOOSE(CONTROL!$C$42, 31, 31))/1000000</f>
        <v>4.2625000000000002</v>
      </c>
      <c r="W224" s="57">
        <f>(1000*CHOOSE(CONTROL!$C$42, 0.1146, 0.1146)*CHOOSE(CONTROL!$C$42, 121.5, 121.5)*CHOOSE(CONTROL!$C$42, 31, 31))/1000000</f>
        <v>0.43164089999999994</v>
      </c>
      <c r="X224" s="57">
        <f>(31*0.1790888*245000/1000000)+(31*0.2374*100000/1000000)</f>
        <v>2.0961194359999999</v>
      </c>
      <c r="Y224" s="57"/>
      <c r="Z224" s="14"/>
      <c r="AA224" s="56"/>
      <c r="AB224" s="50">
        <f>(B224*194.205+C224*267.466+D224*133.845+E224*53.484+F224*40+G224*185+H224*0+I224*100+J224*300)/(194.205+267.466+133.845+53.484+0+40+185+100+300)</f>
        <v>9.0815802537676618</v>
      </c>
      <c r="AC224" s="45">
        <f>(M224*'RAP TEMPLATE-GAS AVAILABILITY'!O223+N224*'RAP TEMPLATE-GAS AVAILABILITY'!P223+O224*'RAP TEMPLATE-GAS AVAILABILITY'!Q223+P224*'RAP TEMPLATE-GAS AVAILABILITY'!R223)/('RAP TEMPLATE-GAS AVAILABILITY'!O223+'RAP TEMPLATE-GAS AVAILABILITY'!P223+'RAP TEMPLATE-GAS AVAILABILITY'!Q223+'RAP TEMPLATE-GAS AVAILABILITY'!R223)</f>
        <v>9.0307172661870503</v>
      </c>
    </row>
    <row r="225" spans="1:29" ht="15.75" x14ac:dyDescent="0.25">
      <c r="A225" s="13">
        <v>47727</v>
      </c>
      <c r="B225" s="14">
        <f>CHOOSE(CONTROL!$C$42, 8.4784, 8.4784) * CHOOSE(CONTROL!$C$21, $C$9, 100%, $E$9)</f>
        <v>8.4784000000000006</v>
      </c>
      <c r="C225" s="14">
        <f>CHOOSE(CONTROL!$C$42, 8.4863, 8.4863) * CHOOSE(CONTROL!$C$21, $C$9, 100%, $E$9)</f>
        <v>8.4863</v>
      </c>
      <c r="D225" s="14">
        <f>CHOOSE(CONTROL!$C$42, 8.6839, 8.6839) * CHOOSE(CONTROL!$C$21, $C$9, 100%, $E$9)</f>
        <v>8.6838999999999995</v>
      </c>
      <c r="E225" s="14">
        <f>CHOOSE(CONTROL!$C$42, 8.715, 8.715) * CHOOSE(CONTROL!$C$21, $C$9, 100%, $E$9)</f>
        <v>8.7149999999999999</v>
      </c>
      <c r="F225" s="14">
        <f>CHOOSE(CONTROL!$C$42, 8.4628, 8.4628)*CHOOSE(CONTROL!$C$21, $C$9, 100%, $E$9)</f>
        <v>8.4627999999999997</v>
      </c>
      <c r="G225" s="14">
        <f>CHOOSE(CONTROL!$C$42, 8.4791, 8.4791)*CHOOSE(CONTROL!$C$21, $C$9, 100%, $E$9)</f>
        <v>8.4791000000000007</v>
      </c>
      <c r="H225" s="14">
        <f>CHOOSE(CONTROL!$C$42, 8.7037, 8.7037) * CHOOSE(CONTROL!$C$21, $C$9, 100%, $E$9)</f>
        <v>8.7036999999999995</v>
      </c>
      <c r="I225" s="14">
        <f>CHOOSE(CONTROL!$C$42, 8.4898, 8.4898)* CHOOSE(CONTROL!$C$21, $C$9, 100%, $E$9)</f>
        <v>8.4898000000000007</v>
      </c>
      <c r="J225" s="14">
        <f>CHOOSE(CONTROL!$C$42, 8.4558, 8.4558)* CHOOSE(CONTROL!$C$21, $C$9, 100%, $E$9)</f>
        <v>8.4558</v>
      </c>
      <c r="K225" s="53">
        <f>CHOOSE(CONTROL!$C$42, 8.4859, 8.4859) * CHOOSE(CONTROL!$C$21, $C$9, 100%, $E$9)</f>
        <v>8.4859000000000009</v>
      </c>
      <c r="L225" s="14">
        <f>CHOOSE(CONTROL!$C$42, 9.2907, 9.2907) * CHOOSE(CONTROL!$C$21, $C$9, 100%, $E$9)</f>
        <v>9.2906999999999993</v>
      </c>
      <c r="M225" s="14">
        <f>CHOOSE(CONTROL!$C$42, 8.3843, 8.3843) * CHOOSE(CONTROL!$C$21, $C$9, 100%, $E$9)</f>
        <v>8.3842999999999996</v>
      </c>
      <c r="N225" s="14">
        <f>CHOOSE(CONTROL!$C$42, 8.4004, 8.4004) * CHOOSE(CONTROL!$C$21, $C$9, 100%, $E$9)</f>
        <v>8.4003999999999994</v>
      </c>
      <c r="O225" s="14">
        <f>CHOOSE(CONTROL!$C$42, 8.6296, 8.6296) * CHOOSE(CONTROL!$C$21, $C$9, 100%, $E$9)</f>
        <v>8.6295999999999999</v>
      </c>
      <c r="P225" s="14">
        <f>CHOOSE(CONTROL!$C$42, 8.4179, 8.4179) * CHOOSE(CONTROL!$C$21, $C$9, 100%, $E$9)</f>
        <v>8.4178999999999995</v>
      </c>
      <c r="Q225" s="14">
        <f>CHOOSE(CONTROL!$C$42, 9.2249, 9.2249) * CHOOSE(CONTROL!$C$21, $C$9, 100%, $E$9)</f>
        <v>9.2248999999999999</v>
      </c>
      <c r="R225" s="14">
        <f>CHOOSE(CONTROL!$C$42, 9.835, 9.835) * CHOOSE(CONTROL!$C$21, $C$9, 100%, $E$9)</f>
        <v>9.8350000000000009</v>
      </c>
      <c r="S225" s="14">
        <f>CHOOSE(CONTROL!$C$42, 8.2291, 8.2291) * CHOOSE(CONTROL!$C$21, $C$9, 100%, $E$9)</f>
        <v>8.2291000000000007</v>
      </c>
      <c r="T22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25" s="57">
        <f>(1000*CHOOSE(CONTROL!$C$42, 695, 695)*CHOOSE(CONTROL!$C$42, 0.5599, 0.5599)*CHOOSE(CONTROL!$C$42, 30, 30))/1000000</f>
        <v>11.673914999999997</v>
      </c>
      <c r="V225" s="57">
        <f>(1000*CHOOSE(CONTROL!$C$42, 500, 500)*CHOOSE(CONTROL!$C$42, 0.275, 0.275)*CHOOSE(CONTROL!$C$42, 30, 30))/1000000</f>
        <v>4.125</v>
      </c>
      <c r="W225" s="57">
        <f>(1000*CHOOSE(CONTROL!$C$42, 0.1146, 0.1146)*CHOOSE(CONTROL!$C$42, 121.5, 121.5)*CHOOSE(CONTROL!$C$42, 30, 30))/1000000</f>
        <v>0.417717</v>
      </c>
      <c r="X225" s="57">
        <f>(30*0.1790888*245000/1000000)+(30*0.2374*100000/1000000)</f>
        <v>2.0285026799999999</v>
      </c>
      <c r="Y225" s="57"/>
      <c r="Z225" s="14"/>
      <c r="AA225" s="56"/>
      <c r="AB225" s="50">
        <f>(B225*194.205+C225*267.466+D225*133.845+E225*53.484+F225*40+G225*185+H225*0+I225*100+J225*300)/(194.205+267.466+133.845+53.484+0+40+185+100+300)</f>
        <v>8.5067657325745678</v>
      </c>
      <c r="AC225" s="45">
        <f>(M225*'RAP TEMPLATE-GAS AVAILABILITY'!O224+N225*'RAP TEMPLATE-GAS AVAILABILITY'!P224+O225*'RAP TEMPLATE-GAS AVAILABILITY'!Q224+P225*'RAP TEMPLATE-GAS AVAILABILITY'!R224)/('RAP TEMPLATE-GAS AVAILABILITY'!O224+'RAP TEMPLATE-GAS AVAILABILITY'!P224+'RAP TEMPLATE-GAS AVAILABILITY'!Q224+'RAP TEMPLATE-GAS AVAILABILITY'!R224)</f>
        <v>8.4616661870503584</v>
      </c>
    </row>
    <row r="226" spans="1:29" ht="15.75" x14ac:dyDescent="0.25">
      <c r="A226" s="13">
        <v>47757</v>
      </c>
      <c r="B226" s="14">
        <f>CHOOSE(CONTROL!$C$42, 8.3046, 8.3046) * CHOOSE(CONTROL!$C$21, $C$9, 100%, $E$9)</f>
        <v>8.3046000000000006</v>
      </c>
      <c r="C226" s="14">
        <f>CHOOSE(CONTROL!$C$42, 8.3098, 8.3098) * CHOOSE(CONTROL!$C$21, $C$9, 100%, $E$9)</f>
        <v>8.3097999999999992</v>
      </c>
      <c r="D226" s="14">
        <f>CHOOSE(CONTROL!$C$42, 8.5124, 8.5124) * CHOOSE(CONTROL!$C$21, $C$9, 100%, $E$9)</f>
        <v>8.5123999999999995</v>
      </c>
      <c r="E226" s="14">
        <f>CHOOSE(CONTROL!$C$42, 8.5411, 8.5411) * CHOOSE(CONTROL!$C$21, $C$9, 100%, $E$9)</f>
        <v>8.5411000000000001</v>
      </c>
      <c r="F226" s="14">
        <f>CHOOSE(CONTROL!$C$42, 8.291, 8.291)*CHOOSE(CONTROL!$C$21, $C$9, 100%, $E$9)</f>
        <v>8.2910000000000004</v>
      </c>
      <c r="G226" s="14">
        <f>CHOOSE(CONTROL!$C$42, 8.307, 8.307)*CHOOSE(CONTROL!$C$21, $C$9, 100%, $E$9)</f>
        <v>8.3070000000000004</v>
      </c>
      <c r="H226" s="14">
        <f>CHOOSE(CONTROL!$C$42, 8.5316, 8.5316) * CHOOSE(CONTROL!$C$21, $C$9, 100%, $E$9)</f>
        <v>8.5315999999999992</v>
      </c>
      <c r="I226" s="14">
        <f>CHOOSE(CONTROL!$C$42, 8.3177, 8.3177)* CHOOSE(CONTROL!$C$21, $C$9, 100%, $E$9)</f>
        <v>8.3177000000000003</v>
      </c>
      <c r="J226" s="14">
        <f>CHOOSE(CONTROL!$C$42, 8.284, 8.284)* CHOOSE(CONTROL!$C$21, $C$9, 100%, $E$9)</f>
        <v>8.2840000000000007</v>
      </c>
      <c r="K226" s="53">
        <f>CHOOSE(CONTROL!$C$42, 8.3138, 8.3138) * CHOOSE(CONTROL!$C$21, $C$9, 100%, $E$9)</f>
        <v>8.3138000000000005</v>
      </c>
      <c r="L226" s="14">
        <f>CHOOSE(CONTROL!$C$42, 9.1186, 9.1186) * CHOOSE(CONTROL!$C$21, $C$9, 100%, $E$9)</f>
        <v>9.1186000000000007</v>
      </c>
      <c r="M226" s="14">
        <f>CHOOSE(CONTROL!$C$42, 8.2142, 8.2142) * CHOOSE(CONTROL!$C$21, $C$9, 100%, $E$9)</f>
        <v>8.2141999999999999</v>
      </c>
      <c r="N226" s="14">
        <f>CHOOSE(CONTROL!$C$42, 8.23, 8.23) * CHOOSE(CONTROL!$C$21, $C$9, 100%, $E$9)</f>
        <v>8.23</v>
      </c>
      <c r="O226" s="14">
        <f>CHOOSE(CONTROL!$C$42, 8.4593, 8.4593) * CHOOSE(CONTROL!$C$21, $C$9, 100%, $E$9)</f>
        <v>8.4593000000000007</v>
      </c>
      <c r="P226" s="14">
        <f>CHOOSE(CONTROL!$C$42, 8.2476, 8.2476) * CHOOSE(CONTROL!$C$21, $C$9, 100%, $E$9)</f>
        <v>8.2476000000000003</v>
      </c>
      <c r="Q226" s="14">
        <f>CHOOSE(CONTROL!$C$42, 9.0546, 9.0546) * CHOOSE(CONTROL!$C$21, $C$9, 100%, $E$9)</f>
        <v>9.0546000000000006</v>
      </c>
      <c r="R226" s="14">
        <f>CHOOSE(CONTROL!$C$42, 9.6643, 9.6643) * CHOOSE(CONTROL!$C$21, $C$9, 100%, $E$9)</f>
        <v>9.6643000000000008</v>
      </c>
      <c r="S226" s="14">
        <f>CHOOSE(CONTROL!$C$42, 8.062, 8.062) * CHOOSE(CONTROL!$C$21, $C$9, 100%, $E$9)</f>
        <v>8.0619999999999994</v>
      </c>
      <c r="T22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26" s="57">
        <f>(1000*CHOOSE(CONTROL!$C$42, 695, 695)*CHOOSE(CONTROL!$C$42, 0.5599, 0.5599)*CHOOSE(CONTROL!$C$42, 31, 31))/1000000</f>
        <v>12.063045499999998</v>
      </c>
      <c r="V226" s="57">
        <f>(1000*CHOOSE(CONTROL!$C$42, 500, 500)*CHOOSE(CONTROL!$C$42, 0.275, 0.275)*CHOOSE(CONTROL!$C$42, 31, 31))/1000000</f>
        <v>4.2625000000000002</v>
      </c>
      <c r="W226" s="57">
        <f>(1000*CHOOSE(CONTROL!$C$42, 0.1146, 0.1146)*CHOOSE(CONTROL!$C$42, 121.5, 121.5)*CHOOSE(CONTROL!$C$42, 31, 31))/1000000</f>
        <v>0.43164089999999994</v>
      </c>
      <c r="X226" s="57">
        <f>(31*0.1790888*245000/1000000)+(31*0.2374*100000/1000000)</f>
        <v>2.0961194359999999</v>
      </c>
      <c r="Y226" s="57"/>
      <c r="Z226" s="14"/>
      <c r="AA226" s="56"/>
      <c r="AB226" s="50">
        <f>(B226*131.881+C226*277.167+D226*79.08+E226*125.872+F226*40+G226*185+H226*0+I226*100+J226*300)/(131.881+277.167+79.08+125.872+0+40+185+100+300)</f>
        <v>8.3390413401129955</v>
      </c>
      <c r="AC226" s="45">
        <f>(M226*'RAP TEMPLATE-GAS AVAILABILITY'!O225+N226*'RAP TEMPLATE-GAS AVAILABILITY'!P225+O226*'RAP TEMPLATE-GAS AVAILABILITY'!Q225+P226*'RAP TEMPLATE-GAS AVAILABILITY'!R225)/('RAP TEMPLATE-GAS AVAILABILITY'!O225+'RAP TEMPLATE-GAS AVAILABILITY'!P225+'RAP TEMPLATE-GAS AVAILABILITY'!Q225+'RAP TEMPLATE-GAS AVAILABILITY'!R225)</f>
        <v>8.291412230215828</v>
      </c>
    </row>
    <row r="227" spans="1:29" ht="15.75" x14ac:dyDescent="0.25">
      <c r="A227" s="13">
        <v>47788</v>
      </c>
      <c r="B227" s="14">
        <f>CHOOSE(CONTROL!$C$42, 8.5229, 8.5229) * CHOOSE(CONTROL!$C$21, $C$9, 100%, $E$9)</f>
        <v>8.5228999999999999</v>
      </c>
      <c r="C227" s="14">
        <f>CHOOSE(CONTROL!$C$42, 8.5278, 8.5278) * CHOOSE(CONTROL!$C$21, $C$9, 100%, $E$9)</f>
        <v>8.5277999999999992</v>
      </c>
      <c r="D227" s="14">
        <f>CHOOSE(CONTROL!$C$42, 8.5909, 8.5909) * CHOOSE(CONTROL!$C$21, $C$9, 100%, $E$9)</f>
        <v>8.5908999999999995</v>
      </c>
      <c r="E227" s="14">
        <f>CHOOSE(CONTROL!$C$42, 8.6247, 8.6247) * CHOOSE(CONTROL!$C$21, $C$9, 100%, $E$9)</f>
        <v>8.6247000000000007</v>
      </c>
      <c r="F227" s="14">
        <f>CHOOSE(CONTROL!$C$42, 8.5236, 8.5236)*CHOOSE(CONTROL!$C$21, $C$9, 100%, $E$9)</f>
        <v>8.5236000000000001</v>
      </c>
      <c r="G227" s="14">
        <f>CHOOSE(CONTROL!$C$42, 8.5398, 8.5398)*CHOOSE(CONTROL!$C$21, $C$9, 100%, $E$9)</f>
        <v>8.5397999999999996</v>
      </c>
      <c r="H227" s="14">
        <f>CHOOSE(CONTROL!$C$42, 8.6139, 8.6139) * CHOOSE(CONTROL!$C$21, $C$9, 100%, $E$9)</f>
        <v>8.6138999999999992</v>
      </c>
      <c r="I227" s="14">
        <f>CHOOSE(CONTROL!$C$42, 8.5364, 8.5364)* CHOOSE(CONTROL!$C$21, $C$9, 100%, $E$9)</f>
        <v>8.5364000000000004</v>
      </c>
      <c r="J227" s="14">
        <f>CHOOSE(CONTROL!$C$42, 8.5166, 8.5166)* CHOOSE(CONTROL!$C$21, $C$9, 100%, $E$9)</f>
        <v>8.5166000000000004</v>
      </c>
      <c r="K227" s="53">
        <f>CHOOSE(CONTROL!$C$42, 8.5325, 8.5325) * CHOOSE(CONTROL!$C$21, $C$9, 100%, $E$9)</f>
        <v>8.5325000000000006</v>
      </c>
      <c r="L227" s="14">
        <f>CHOOSE(CONTROL!$C$42, 9.2009, 9.2009) * CHOOSE(CONTROL!$C$21, $C$9, 100%, $E$9)</f>
        <v>9.2009000000000007</v>
      </c>
      <c r="M227" s="14">
        <f>CHOOSE(CONTROL!$C$42, 8.4444, 8.4444) * CHOOSE(CONTROL!$C$21, $C$9, 100%, $E$9)</f>
        <v>8.4443999999999999</v>
      </c>
      <c r="N227" s="14">
        <f>CHOOSE(CONTROL!$C$42, 8.4606, 8.4606) * CHOOSE(CONTROL!$C$21, $C$9, 100%, $E$9)</f>
        <v>8.4605999999999995</v>
      </c>
      <c r="O227" s="14">
        <f>CHOOSE(CONTROL!$C$42, 8.5408, 8.5408) * CHOOSE(CONTROL!$C$21, $C$9, 100%, $E$9)</f>
        <v>8.5408000000000008</v>
      </c>
      <c r="P227" s="14">
        <f>CHOOSE(CONTROL!$C$42, 8.4641, 8.4641) * CHOOSE(CONTROL!$C$21, $C$9, 100%, $E$9)</f>
        <v>8.4641000000000002</v>
      </c>
      <c r="Q227" s="14">
        <f>CHOOSE(CONTROL!$C$42, 9.1361, 9.1361) * CHOOSE(CONTROL!$C$21, $C$9, 100%, $E$9)</f>
        <v>9.1361000000000008</v>
      </c>
      <c r="R227" s="14">
        <f>CHOOSE(CONTROL!$C$42, 9.7459, 9.7459) * CHOOSE(CONTROL!$C$21, $C$9, 100%, $E$9)</f>
        <v>9.7459000000000007</v>
      </c>
      <c r="S227" s="14">
        <f>CHOOSE(CONTROL!$C$42, 8.2744, 8.2744) * CHOOSE(CONTROL!$C$21, $C$9, 100%, $E$9)</f>
        <v>8.2744</v>
      </c>
      <c r="T22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27" s="57">
        <f>(1000*CHOOSE(CONTROL!$C$42, 695, 695)*CHOOSE(CONTROL!$C$42, 0.5599, 0.5599)*CHOOSE(CONTROL!$C$42, 30, 30))/1000000</f>
        <v>11.673914999999997</v>
      </c>
      <c r="V227" s="57">
        <f>(1000*CHOOSE(CONTROL!$C$42, 500, 500)*CHOOSE(CONTROL!$C$42, 0.275, 0.275)*CHOOSE(CONTROL!$C$42, 30, 30))/1000000</f>
        <v>4.125</v>
      </c>
      <c r="W227" s="57">
        <f>(1000*CHOOSE(CONTROL!$C$42, 0.1146, 0.1146)*CHOOSE(CONTROL!$C$42, 121.5, 121.5)*CHOOSE(CONTROL!$C$42, 30, 30))/1000000</f>
        <v>0.417717</v>
      </c>
      <c r="X227" s="57">
        <f>(30*0.1790888*100000/1000000)+(30*0.2374*100000/1000000)</f>
        <v>1.2494664</v>
      </c>
      <c r="Y227" s="57"/>
      <c r="Z227" s="14"/>
      <c r="AA227" s="56"/>
      <c r="AB227" s="50">
        <f>(B227*122.58+C227*297.941+D227*89.177+E227*40.302+F227*40+G227*160+H227*0+I227*100+J227*300)/(122.58+297.941+89.177+40.302+0+40+160+100+300)</f>
        <v>8.5349162526086975</v>
      </c>
      <c r="AC227" s="45">
        <f>(M227*'RAP TEMPLATE-GAS AVAILABILITY'!O226+N227*'RAP TEMPLATE-GAS AVAILABILITY'!P226+O227*'RAP TEMPLATE-GAS AVAILABILITY'!Q226+P227*'RAP TEMPLATE-GAS AVAILABILITY'!R226)/('RAP TEMPLATE-GAS AVAILABILITY'!O226+'RAP TEMPLATE-GAS AVAILABILITY'!P226+'RAP TEMPLATE-GAS AVAILABILITY'!Q226+'RAP TEMPLATE-GAS AVAILABILITY'!R226)</f>
        <v>8.4918589928057564</v>
      </c>
    </row>
    <row r="228" spans="1:29" ht="15.75" x14ac:dyDescent="0.25">
      <c r="A228" s="13">
        <v>47818</v>
      </c>
      <c r="B228" s="14">
        <f>CHOOSE(CONTROL!$C$42, 9.1037, 9.1037) * CHOOSE(CONTROL!$C$21, $C$9, 100%, $E$9)</f>
        <v>9.1036999999999999</v>
      </c>
      <c r="C228" s="14">
        <f>CHOOSE(CONTROL!$C$42, 9.1087, 9.1087) * CHOOSE(CONTROL!$C$21, $C$9, 100%, $E$9)</f>
        <v>9.1087000000000007</v>
      </c>
      <c r="D228" s="14">
        <f>CHOOSE(CONTROL!$C$42, 9.1718, 9.1718) * CHOOSE(CONTROL!$C$21, $C$9, 100%, $E$9)</f>
        <v>9.1717999999999993</v>
      </c>
      <c r="E228" s="14">
        <f>CHOOSE(CONTROL!$C$42, 9.2055, 9.2055) * CHOOSE(CONTROL!$C$21, $C$9, 100%, $E$9)</f>
        <v>9.2055000000000007</v>
      </c>
      <c r="F228" s="14">
        <f>CHOOSE(CONTROL!$C$42, 9.1065, 9.1065)*CHOOSE(CONTROL!$C$21, $C$9, 100%, $E$9)</f>
        <v>9.1065000000000005</v>
      </c>
      <c r="G228" s="14">
        <f>CHOOSE(CONTROL!$C$42, 9.1233, 9.1233)*CHOOSE(CONTROL!$C$21, $C$9, 100%, $E$9)</f>
        <v>9.1233000000000004</v>
      </c>
      <c r="H228" s="14">
        <f>CHOOSE(CONTROL!$C$42, 9.1947, 9.1947) * CHOOSE(CONTROL!$C$21, $C$9, 100%, $E$9)</f>
        <v>9.1946999999999992</v>
      </c>
      <c r="I228" s="14">
        <f>CHOOSE(CONTROL!$C$42, 9.1173, 9.1173)* CHOOSE(CONTROL!$C$21, $C$9, 100%, $E$9)</f>
        <v>9.1173000000000002</v>
      </c>
      <c r="J228" s="14">
        <f>CHOOSE(CONTROL!$C$42, 9.0995, 9.0995)* CHOOSE(CONTROL!$C$21, $C$9, 100%, $E$9)</f>
        <v>9.0995000000000008</v>
      </c>
      <c r="K228" s="53">
        <f>CHOOSE(CONTROL!$C$42, 9.1134, 9.1134) * CHOOSE(CONTROL!$C$21, $C$9, 100%, $E$9)</f>
        <v>9.1134000000000004</v>
      </c>
      <c r="L228" s="14">
        <f>CHOOSE(CONTROL!$C$42, 9.7817, 9.7817) * CHOOSE(CONTROL!$C$21, $C$9, 100%, $E$9)</f>
        <v>9.7817000000000007</v>
      </c>
      <c r="M228" s="14">
        <f>CHOOSE(CONTROL!$C$42, 9.0215, 9.0215) * CHOOSE(CONTROL!$C$21, $C$9, 100%, $E$9)</f>
        <v>9.0214999999999996</v>
      </c>
      <c r="N228" s="14">
        <f>CHOOSE(CONTROL!$C$42, 9.0381, 9.0381) * CHOOSE(CONTROL!$C$21, $C$9, 100%, $E$9)</f>
        <v>9.0381</v>
      </c>
      <c r="O228" s="14">
        <f>CHOOSE(CONTROL!$C$42, 9.1158, 9.1158) * CHOOSE(CONTROL!$C$21, $C$9, 100%, $E$9)</f>
        <v>9.1158000000000001</v>
      </c>
      <c r="P228" s="14">
        <f>CHOOSE(CONTROL!$C$42, 9.0391, 9.0391) * CHOOSE(CONTROL!$C$21, $C$9, 100%, $E$9)</f>
        <v>9.0390999999999995</v>
      </c>
      <c r="Q228" s="14">
        <f>CHOOSE(CONTROL!$C$42, 9.7111, 9.7111) * CHOOSE(CONTROL!$C$21, $C$9, 100%, $E$9)</f>
        <v>9.7111000000000001</v>
      </c>
      <c r="R228" s="14">
        <f>CHOOSE(CONTROL!$C$42, 10.3224, 10.3224) * CHOOSE(CONTROL!$C$21, $C$9, 100%, $E$9)</f>
        <v>10.3224</v>
      </c>
      <c r="S228" s="14">
        <f>CHOOSE(CONTROL!$C$42, 8.8385, 8.8385) * CHOOSE(CONTROL!$C$21, $C$9, 100%, $E$9)</f>
        <v>8.8384999999999998</v>
      </c>
      <c r="T22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28" s="57">
        <f>(1000*CHOOSE(CONTROL!$C$42, 695, 695)*CHOOSE(CONTROL!$C$42, 0.5599, 0.5599)*CHOOSE(CONTROL!$C$42, 31, 31))/1000000</f>
        <v>12.063045499999998</v>
      </c>
      <c r="V228" s="57">
        <f>(1000*CHOOSE(CONTROL!$C$42, 500, 500)*CHOOSE(CONTROL!$C$42, 0.275, 0.275)*CHOOSE(CONTROL!$C$42, 31, 31))/1000000</f>
        <v>4.2625000000000002</v>
      </c>
      <c r="W228" s="57">
        <f>(1000*CHOOSE(CONTROL!$C$42, 0.1146, 0.1146)*CHOOSE(CONTROL!$C$42, 121.5, 121.5)*CHOOSE(CONTROL!$C$42, 31, 31))/1000000</f>
        <v>0.43164089999999994</v>
      </c>
      <c r="X228" s="57">
        <f>(31*0.1790888*100000/1000000)+(31*0.2374*100000/1000000)</f>
        <v>1.2911152800000001</v>
      </c>
      <c r="Y228" s="57"/>
      <c r="Z228" s="14"/>
      <c r="AA228" s="56"/>
      <c r="AB228" s="50">
        <f>(B228*122.58+C228*297.941+D228*89.177+E228*40.302+F228*40+G228*160+H228*0+I228*100+J228*300)/(122.58+297.941+89.177+40.302+0+40+160+100+300)</f>
        <v>9.1167551324347826</v>
      </c>
      <c r="AC228" s="45">
        <f>(M228*'RAP TEMPLATE-GAS AVAILABILITY'!O227+N228*'RAP TEMPLATE-GAS AVAILABILITY'!P227+O228*'RAP TEMPLATE-GAS AVAILABILITY'!Q227+P228*'RAP TEMPLATE-GAS AVAILABILITY'!R227)/('RAP TEMPLATE-GAS AVAILABILITY'!O227+'RAP TEMPLATE-GAS AVAILABILITY'!P227+'RAP TEMPLATE-GAS AVAILABILITY'!Q227+'RAP TEMPLATE-GAS AVAILABILITY'!R227)</f>
        <v>9.0677280575539569</v>
      </c>
    </row>
    <row r="229" spans="1:29" ht="15.75" x14ac:dyDescent="0.25">
      <c r="A229" s="13">
        <v>47849</v>
      </c>
      <c r="B229" s="14">
        <f>CHOOSE(CONTROL!$C$42, 9.8494, 9.8494) * CHOOSE(CONTROL!$C$21, $C$9, 100%, $E$9)</f>
        <v>9.8493999999999993</v>
      </c>
      <c r="C229" s="14">
        <f>CHOOSE(CONTROL!$C$42, 9.8544, 9.8544) * CHOOSE(CONTROL!$C$21, $C$9, 100%, $E$9)</f>
        <v>9.8544</v>
      </c>
      <c r="D229" s="14">
        <f>CHOOSE(CONTROL!$C$42, 9.9187, 9.9187) * CHOOSE(CONTROL!$C$21, $C$9, 100%, $E$9)</f>
        <v>9.9186999999999994</v>
      </c>
      <c r="E229" s="14">
        <f>CHOOSE(CONTROL!$C$42, 9.9524, 9.9524) * CHOOSE(CONTROL!$C$21, $C$9, 100%, $E$9)</f>
        <v>9.9524000000000008</v>
      </c>
      <c r="F229" s="14">
        <f>CHOOSE(CONTROL!$C$42, 9.8509, 9.8509)*CHOOSE(CONTROL!$C$21, $C$9, 100%, $E$9)</f>
        <v>9.8508999999999993</v>
      </c>
      <c r="G229" s="14">
        <f>CHOOSE(CONTROL!$C$42, 9.8669, 9.8669)*CHOOSE(CONTROL!$C$21, $C$9, 100%, $E$9)</f>
        <v>9.8668999999999993</v>
      </c>
      <c r="H229" s="14">
        <f>CHOOSE(CONTROL!$C$42, 9.9416, 9.9416) * CHOOSE(CONTROL!$C$21, $C$9, 100%, $E$9)</f>
        <v>9.9415999999999993</v>
      </c>
      <c r="I229" s="14">
        <f>CHOOSE(CONTROL!$C$42, 9.8694, 9.8694)* CHOOSE(CONTROL!$C$21, $C$9, 100%, $E$9)</f>
        <v>9.8694000000000006</v>
      </c>
      <c r="J229" s="14">
        <f>CHOOSE(CONTROL!$C$42, 9.8439, 9.8439)* CHOOSE(CONTROL!$C$21, $C$9, 100%, $E$9)</f>
        <v>9.8438999999999997</v>
      </c>
      <c r="K229" s="53">
        <f>CHOOSE(CONTROL!$C$42, 9.8655, 9.8655) * CHOOSE(CONTROL!$C$21, $C$9, 100%, $E$9)</f>
        <v>9.8655000000000008</v>
      </c>
      <c r="L229" s="14">
        <f>CHOOSE(CONTROL!$C$42, 10.5286, 10.5286) * CHOOSE(CONTROL!$C$21, $C$9, 100%, $E$9)</f>
        <v>10.528600000000001</v>
      </c>
      <c r="M229" s="14">
        <f>CHOOSE(CONTROL!$C$42, 9.7584, 9.7584) * CHOOSE(CONTROL!$C$21, $C$9, 100%, $E$9)</f>
        <v>9.7584</v>
      </c>
      <c r="N229" s="14">
        <f>CHOOSE(CONTROL!$C$42, 9.7742, 9.7742) * CHOOSE(CONTROL!$C$21, $C$9, 100%, $E$9)</f>
        <v>9.7742000000000004</v>
      </c>
      <c r="O229" s="14">
        <f>CHOOSE(CONTROL!$C$42, 9.8551, 9.8551) * CHOOSE(CONTROL!$C$21, $C$9, 100%, $E$9)</f>
        <v>9.8551000000000002</v>
      </c>
      <c r="P229" s="14">
        <f>CHOOSE(CONTROL!$C$42, 9.7837, 9.7837) * CHOOSE(CONTROL!$C$21, $C$9, 100%, $E$9)</f>
        <v>9.7836999999999996</v>
      </c>
      <c r="Q229" s="14">
        <f>CHOOSE(CONTROL!$C$42, 10.4504, 10.4504) * CHOOSE(CONTROL!$C$21, $C$9, 100%, $E$9)</f>
        <v>10.4504</v>
      </c>
      <c r="R229" s="14">
        <f>CHOOSE(CONTROL!$C$42, 11.0636, 11.0636) * CHOOSE(CONTROL!$C$21, $C$9, 100%, $E$9)</f>
        <v>11.063599999999999</v>
      </c>
      <c r="S229" s="14">
        <f>CHOOSE(CONTROL!$C$42, 9.5626, 9.5626) * CHOOSE(CONTROL!$C$21, $C$9, 100%, $E$9)</f>
        <v>9.5625999999999998</v>
      </c>
      <c r="T22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29" s="57">
        <f>(1000*CHOOSE(CONTROL!$C$42, 695, 695)*CHOOSE(CONTROL!$C$42, 0.5599, 0.5599)*CHOOSE(CONTROL!$C$42, 31, 31))/1000000</f>
        <v>12.063045499999998</v>
      </c>
      <c r="V229" s="57">
        <f>(1000*CHOOSE(CONTROL!$C$42, 500, 500)*CHOOSE(CONTROL!$C$42, 0.275, 0.275)*CHOOSE(CONTROL!$C$42, 31, 31))/1000000</f>
        <v>4.2625000000000002</v>
      </c>
      <c r="W229" s="57">
        <f>(1000*CHOOSE(CONTROL!$C$42, 0.1146, 0.1146)*CHOOSE(CONTROL!$C$42, 121.5, 121.5)*CHOOSE(CONTROL!$C$42, 31, 31))/1000000</f>
        <v>0.43164089999999994</v>
      </c>
      <c r="X229" s="57">
        <f>(31*0.1790888*100000/1000000)+(31*0.2374*100000/1000000)</f>
        <v>1.2911152800000001</v>
      </c>
      <c r="Y229" s="57"/>
      <c r="Z229" s="14"/>
      <c r="AA229" s="56"/>
      <c r="AB229" s="50">
        <f>(B229*122.58+C229*297.941+D229*89.177+E229*40.302+F229*40+G229*160+H229*0+I229*100+J229*300)/(122.58+297.941+89.177+40.302+0+40+160+100+300)</f>
        <v>9.8624702409565224</v>
      </c>
      <c r="AC229" s="45">
        <f>(M229*'RAP TEMPLATE-GAS AVAILABILITY'!O228+N229*'RAP TEMPLATE-GAS AVAILABILITY'!P228+O229*'RAP TEMPLATE-GAS AVAILABILITY'!Q228+P229*'RAP TEMPLATE-GAS AVAILABILITY'!R228)/('RAP TEMPLATE-GAS AVAILABILITY'!O228+'RAP TEMPLATE-GAS AVAILABILITY'!P228+'RAP TEMPLATE-GAS AVAILABILITY'!Q228+'RAP TEMPLATE-GAS AVAILABILITY'!R228)</f>
        <v>9.806777697841726</v>
      </c>
    </row>
    <row r="230" spans="1:29" ht="15.75" x14ac:dyDescent="0.25">
      <c r="A230" s="13">
        <v>47880</v>
      </c>
      <c r="B230" s="14">
        <f>CHOOSE(CONTROL!$C$42, 10.0247, 10.0247) * CHOOSE(CONTROL!$C$21, $C$9, 100%, $E$9)</f>
        <v>10.024699999999999</v>
      </c>
      <c r="C230" s="14">
        <f>CHOOSE(CONTROL!$C$42, 10.0297, 10.0297) * CHOOSE(CONTROL!$C$21, $C$9, 100%, $E$9)</f>
        <v>10.0297</v>
      </c>
      <c r="D230" s="14">
        <f>CHOOSE(CONTROL!$C$42, 10.0939, 10.0939) * CHOOSE(CONTROL!$C$21, $C$9, 100%, $E$9)</f>
        <v>10.0939</v>
      </c>
      <c r="E230" s="14">
        <f>CHOOSE(CONTROL!$C$42, 10.1277, 10.1277) * CHOOSE(CONTROL!$C$21, $C$9, 100%, $E$9)</f>
        <v>10.127700000000001</v>
      </c>
      <c r="F230" s="14">
        <f>CHOOSE(CONTROL!$C$42, 10.0263, 10.0263)*CHOOSE(CONTROL!$C$21, $C$9, 100%, $E$9)</f>
        <v>10.026300000000001</v>
      </c>
      <c r="G230" s="14">
        <f>CHOOSE(CONTROL!$C$42, 10.0422, 10.0422)*CHOOSE(CONTROL!$C$21, $C$9, 100%, $E$9)</f>
        <v>10.042199999999999</v>
      </c>
      <c r="H230" s="14">
        <f>CHOOSE(CONTROL!$C$42, 10.1169, 10.1169) * CHOOSE(CONTROL!$C$21, $C$9, 100%, $E$9)</f>
        <v>10.116899999999999</v>
      </c>
      <c r="I230" s="14">
        <f>CHOOSE(CONTROL!$C$42, 10.0447, 10.0447)* CHOOSE(CONTROL!$C$21, $C$9, 100%, $E$9)</f>
        <v>10.044700000000001</v>
      </c>
      <c r="J230" s="14">
        <f>CHOOSE(CONTROL!$C$42, 10.0193, 10.0193)* CHOOSE(CONTROL!$C$21, $C$9, 100%, $E$9)</f>
        <v>10.019299999999999</v>
      </c>
      <c r="K230" s="53">
        <f>CHOOSE(CONTROL!$C$42, 10.0408, 10.0408) * CHOOSE(CONTROL!$C$21, $C$9, 100%, $E$9)</f>
        <v>10.040800000000001</v>
      </c>
      <c r="L230" s="14">
        <f>CHOOSE(CONTROL!$C$42, 10.7039, 10.7039) * CHOOSE(CONTROL!$C$21, $C$9, 100%, $E$9)</f>
        <v>10.703900000000001</v>
      </c>
      <c r="M230" s="14">
        <f>CHOOSE(CONTROL!$C$42, 9.932, 9.932) * CHOOSE(CONTROL!$C$21, $C$9, 100%, $E$9)</f>
        <v>9.9320000000000004</v>
      </c>
      <c r="N230" s="14">
        <f>CHOOSE(CONTROL!$C$42, 9.9478, 9.9478) * CHOOSE(CONTROL!$C$21, $C$9, 100%, $E$9)</f>
        <v>9.9478000000000009</v>
      </c>
      <c r="O230" s="14">
        <f>CHOOSE(CONTROL!$C$42, 10.0286, 10.0286) * CHOOSE(CONTROL!$C$21, $C$9, 100%, $E$9)</f>
        <v>10.028600000000001</v>
      </c>
      <c r="P230" s="14">
        <f>CHOOSE(CONTROL!$C$42, 9.9572, 9.9572) * CHOOSE(CONTROL!$C$21, $C$9, 100%, $E$9)</f>
        <v>9.9572000000000003</v>
      </c>
      <c r="Q230" s="14">
        <f>CHOOSE(CONTROL!$C$42, 10.6239, 10.6239) * CHOOSE(CONTROL!$C$21, $C$9, 100%, $E$9)</f>
        <v>10.623900000000001</v>
      </c>
      <c r="R230" s="14">
        <f>CHOOSE(CONTROL!$C$42, 11.2375, 11.2375) * CHOOSE(CONTROL!$C$21, $C$9, 100%, $E$9)</f>
        <v>11.237500000000001</v>
      </c>
      <c r="S230" s="14">
        <f>CHOOSE(CONTROL!$C$42, 9.7329, 9.7329) * CHOOSE(CONTROL!$C$21, $C$9, 100%, $E$9)</f>
        <v>9.7329000000000008</v>
      </c>
      <c r="T23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30" s="57">
        <f>(1000*CHOOSE(CONTROL!$C$42, 695, 695)*CHOOSE(CONTROL!$C$42, 0.5599, 0.5599)*CHOOSE(CONTROL!$C$42, 28, 28))/1000000</f>
        <v>10.895653999999999</v>
      </c>
      <c r="V230" s="57">
        <f>(1000*CHOOSE(CONTROL!$C$42, 500, 500)*CHOOSE(CONTROL!$C$42, 0.275, 0.275)*CHOOSE(CONTROL!$C$42, 28, 28))/1000000</f>
        <v>3.85</v>
      </c>
      <c r="W230" s="57">
        <f>(1000*CHOOSE(CONTROL!$C$42, 0.1146, 0.1146)*CHOOSE(CONTROL!$C$42, 121.5, 121.5)*CHOOSE(CONTROL!$C$42, 28, 28))/1000000</f>
        <v>0.38986920000000003</v>
      </c>
      <c r="X230" s="57">
        <f>(28*0.1790888*100000/1000000)+(28*0.2374*100000/1000000)</f>
        <v>1.16616864</v>
      </c>
      <c r="Y230" s="57"/>
      <c r="Z230" s="14"/>
      <c r="AA230" s="56"/>
      <c r="AB230" s="50">
        <f>(B230*122.58+C230*297.941+D230*89.177+E230*40.302+F230*40+G230*160+H230*0+I230*100+J230*300)/(122.58+297.941+89.177+40.302+0+40+160+100+300)</f>
        <v>10.037792051652172</v>
      </c>
      <c r="AC230" s="45">
        <f>(M230*'RAP TEMPLATE-GAS AVAILABILITY'!O229+N230*'RAP TEMPLATE-GAS AVAILABILITY'!P229+O230*'RAP TEMPLATE-GAS AVAILABILITY'!Q229+P230*'RAP TEMPLATE-GAS AVAILABILITY'!R229)/('RAP TEMPLATE-GAS AVAILABILITY'!O229+'RAP TEMPLATE-GAS AVAILABILITY'!P229+'RAP TEMPLATE-GAS AVAILABILITY'!Q229+'RAP TEMPLATE-GAS AVAILABILITY'!R229)</f>
        <v>9.9803179856115118</v>
      </c>
    </row>
    <row r="231" spans="1:29" ht="15.75" x14ac:dyDescent="0.25">
      <c r="A231" s="13">
        <v>47908</v>
      </c>
      <c r="B231" s="14">
        <f>CHOOSE(CONTROL!$C$42, 9.7402, 9.7402) * CHOOSE(CONTROL!$C$21, $C$9, 100%, $E$9)</f>
        <v>9.7401999999999997</v>
      </c>
      <c r="C231" s="14">
        <f>CHOOSE(CONTROL!$C$42, 9.7451, 9.7451) * CHOOSE(CONTROL!$C$21, $C$9, 100%, $E$9)</f>
        <v>9.7451000000000008</v>
      </c>
      <c r="D231" s="14">
        <f>CHOOSE(CONTROL!$C$42, 9.8094, 9.8094) * CHOOSE(CONTROL!$C$21, $C$9, 100%, $E$9)</f>
        <v>9.8094000000000001</v>
      </c>
      <c r="E231" s="14">
        <f>CHOOSE(CONTROL!$C$42, 9.8432, 9.8432) * CHOOSE(CONTROL!$C$21, $C$9, 100%, $E$9)</f>
        <v>9.8431999999999995</v>
      </c>
      <c r="F231" s="14">
        <f>CHOOSE(CONTROL!$C$42, 9.7414, 9.7414)*CHOOSE(CONTROL!$C$21, $C$9, 100%, $E$9)</f>
        <v>9.7414000000000005</v>
      </c>
      <c r="G231" s="14">
        <f>CHOOSE(CONTROL!$C$42, 9.7573, 9.7573)*CHOOSE(CONTROL!$C$21, $C$9, 100%, $E$9)</f>
        <v>9.7573000000000008</v>
      </c>
      <c r="H231" s="14">
        <f>CHOOSE(CONTROL!$C$42, 9.8324, 9.8324) * CHOOSE(CONTROL!$C$21, $C$9, 100%, $E$9)</f>
        <v>9.8323999999999998</v>
      </c>
      <c r="I231" s="14">
        <f>CHOOSE(CONTROL!$C$42, 9.7602, 9.7602)* CHOOSE(CONTROL!$C$21, $C$9, 100%, $E$9)</f>
        <v>9.7601999999999993</v>
      </c>
      <c r="J231" s="14">
        <f>CHOOSE(CONTROL!$C$42, 9.7344, 9.7344)* CHOOSE(CONTROL!$C$21, $C$9, 100%, $E$9)</f>
        <v>9.7344000000000008</v>
      </c>
      <c r="K231" s="53">
        <f>CHOOSE(CONTROL!$C$42, 9.7563, 9.7563) * CHOOSE(CONTROL!$C$21, $C$9, 100%, $E$9)</f>
        <v>9.7562999999999995</v>
      </c>
      <c r="L231" s="14">
        <f>CHOOSE(CONTROL!$C$42, 10.4194, 10.4194) * CHOOSE(CONTROL!$C$21, $C$9, 100%, $E$9)</f>
        <v>10.4194</v>
      </c>
      <c r="M231" s="14">
        <f>CHOOSE(CONTROL!$C$42, 9.65, 9.65) * CHOOSE(CONTROL!$C$21, $C$9, 100%, $E$9)</f>
        <v>9.65</v>
      </c>
      <c r="N231" s="14">
        <f>CHOOSE(CONTROL!$C$42, 9.6657, 9.6657) * CHOOSE(CONTROL!$C$21, $C$9, 100%, $E$9)</f>
        <v>9.6656999999999993</v>
      </c>
      <c r="O231" s="14">
        <f>CHOOSE(CONTROL!$C$42, 9.747, 9.747) * CHOOSE(CONTROL!$C$21, $C$9, 100%, $E$9)</f>
        <v>9.7469999999999999</v>
      </c>
      <c r="P231" s="14">
        <f>CHOOSE(CONTROL!$C$42, 9.6755, 9.6755) * CHOOSE(CONTROL!$C$21, $C$9, 100%, $E$9)</f>
        <v>9.6754999999999995</v>
      </c>
      <c r="Q231" s="14">
        <f>CHOOSE(CONTROL!$C$42, 10.3423, 10.3423) * CHOOSE(CONTROL!$C$21, $C$9, 100%, $E$9)</f>
        <v>10.3423</v>
      </c>
      <c r="R231" s="14">
        <f>CHOOSE(CONTROL!$C$42, 10.9551, 10.9551) * CHOOSE(CONTROL!$C$21, $C$9, 100%, $E$9)</f>
        <v>10.9551</v>
      </c>
      <c r="S231" s="14">
        <f>CHOOSE(CONTROL!$C$42, 9.4566, 9.4566) * CHOOSE(CONTROL!$C$21, $C$9, 100%, $E$9)</f>
        <v>9.4565999999999999</v>
      </c>
      <c r="T23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31" s="57">
        <f>(1000*CHOOSE(CONTROL!$C$42, 695, 695)*CHOOSE(CONTROL!$C$42, 0.5599, 0.5599)*CHOOSE(CONTROL!$C$42, 31, 31))/1000000</f>
        <v>12.063045499999998</v>
      </c>
      <c r="V231" s="57">
        <f>(1000*CHOOSE(CONTROL!$C$42, 500, 500)*CHOOSE(CONTROL!$C$42, 0.275, 0.275)*CHOOSE(CONTROL!$C$42, 31, 31))/1000000</f>
        <v>4.2625000000000002</v>
      </c>
      <c r="W231" s="57">
        <f>(1000*CHOOSE(CONTROL!$C$42, 0.1146, 0.1146)*CHOOSE(CONTROL!$C$42, 121.5, 121.5)*CHOOSE(CONTROL!$C$42, 31, 31))/1000000</f>
        <v>0.43164089999999994</v>
      </c>
      <c r="X231" s="57">
        <f>(31*0.1790888*100000/1000000)+(31*0.2374*100000/1000000)</f>
        <v>1.2911152800000001</v>
      </c>
      <c r="Y231" s="57"/>
      <c r="Z231" s="14"/>
      <c r="AA231" s="56"/>
      <c r="AB231" s="50">
        <f>(B231*122.58+C231*297.941+D231*89.177+E231*40.302+F231*40+G231*160+H231*0+I231*100+J231*300)/(122.58+297.941+89.177+40.302+0+40+160+100+300)</f>
        <v>9.7530922306956516</v>
      </c>
      <c r="AC231" s="45">
        <f>(M231*'RAP TEMPLATE-GAS AVAILABILITY'!O230+N231*'RAP TEMPLATE-GAS AVAILABILITY'!P230+O231*'RAP TEMPLATE-GAS AVAILABILITY'!Q230+P231*'RAP TEMPLATE-GAS AVAILABILITY'!R230)/('RAP TEMPLATE-GAS AVAILABILITY'!O230+'RAP TEMPLATE-GAS AVAILABILITY'!P230+'RAP TEMPLATE-GAS AVAILABILITY'!Q230+'RAP TEMPLATE-GAS AVAILABILITY'!R230)</f>
        <v>9.698536690647483</v>
      </c>
    </row>
    <row r="232" spans="1:29" ht="15.75" x14ac:dyDescent="0.25">
      <c r="A232" s="13">
        <v>47939</v>
      </c>
      <c r="B232" s="14">
        <f>CHOOSE(CONTROL!$C$42, 9.7122, 9.7122) * CHOOSE(CONTROL!$C$21, $C$9, 100%, $E$9)</f>
        <v>9.7121999999999993</v>
      </c>
      <c r="C232" s="14">
        <f>CHOOSE(CONTROL!$C$42, 9.7166, 9.7166) * CHOOSE(CONTROL!$C$21, $C$9, 100%, $E$9)</f>
        <v>9.7165999999999997</v>
      </c>
      <c r="D232" s="14">
        <f>CHOOSE(CONTROL!$C$42, 9.9173, 9.9173) * CHOOSE(CONTROL!$C$21, $C$9, 100%, $E$9)</f>
        <v>9.9172999999999991</v>
      </c>
      <c r="E232" s="14">
        <f>CHOOSE(CONTROL!$C$42, 9.9491, 9.9491) * CHOOSE(CONTROL!$C$21, $C$9, 100%, $E$9)</f>
        <v>9.9490999999999996</v>
      </c>
      <c r="F232" s="14">
        <f>CHOOSE(CONTROL!$C$42, 9.6968, 9.6968)*CHOOSE(CONTROL!$C$21, $C$9, 100%, $E$9)</f>
        <v>9.6967999999999996</v>
      </c>
      <c r="G232" s="14">
        <f>CHOOSE(CONTROL!$C$42, 9.7124, 9.7124)*CHOOSE(CONTROL!$C$21, $C$9, 100%, $E$9)</f>
        <v>9.7124000000000006</v>
      </c>
      <c r="H232" s="14">
        <f>CHOOSE(CONTROL!$C$42, 9.9389, 9.9389) * CHOOSE(CONTROL!$C$21, $C$9, 100%, $E$9)</f>
        <v>9.9389000000000003</v>
      </c>
      <c r="I232" s="14">
        <f>CHOOSE(CONTROL!$C$42, 9.725, 9.725)* CHOOSE(CONTROL!$C$21, $C$9, 100%, $E$9)</f>
        <v>9.7249999999999996</v>
      </c>
      <c r="J232" s="14">
        <f>CHOOSE(CONTROL!$C$42, 9.6898, 9.6898)* CHOOSE(CONTROL!$C$21, $C$9, 100%, $E$9)</f>
        <v>9.6898</v>
      </c>
      <c r="K232" s="53">
        <f>CHOOSE(CONTROL!$C$42, 9.7211, 9.7211) * CHOOSE(CONTROL!$C$21, $C$9, 100%, $E$9)</f>
        <v>9.7210999999999999</v>
      </c>
      <c r="L232" s="14">
        <f>CHOOSE(CONTROL!$C$42, 10.5259, 10.5259) * CHOOSE(CONTROL!$C$21, $C$9, 100%, $E$9)</f>
        <v>10.5259</v>
      </c>
      <c r="M232" s="14">
        <f>CHOOSE(CONTROL!$C$42, 9.6058, 9.6058) * CHOOSE(CONTROL!$C$21, $C$9, 100%, $E$9)</f>
        <v>9.6058000000000003</v>
      </c>
      <c r="N232" s="14">
        <f>CHOOSE(CONTROL!$C$42, 9.6213, 9.6213) * CHOOSE(CONTROL!$C$21, $C$9, 100%, $E$9)</f>
        <v>9.6212999999999997</v>
      </c>
      <c r="O232" s="14">
        <f>CHOOSE(CONTROL!$C$42, 9.8524, 9.8524) * CHOOSE(CONTROL!$C$21, $C$9, 100%, $E$9)</f>
        <v>9.8523999999999994</v>
      </c>
      <c r="P232" s="14">
        <f>CHOOSE(CONTROL!$C$42, 9.6407, 9.6407) * CHOOSE(CONTROL!$C$21, $C$9, 100%, $E$9)</f>
        <v>9.6407000000000007</v>
      </c>
      <c r="Q232" s="14">
        <f>CHOOSE(CONTROL!$C$42, 10.4477, 10.4477) * CHOOSE(CONTROL!$C$21, $C$9, 100%, $E$9)</f>
        <v>10.447699999999999</v>
      </c>
      <c r="R232" s="14">
        <f>CHOOSE(CONTROL!$C$42, 11.0608, 11.0608) * CHOOSE(CONTROL!$C$21, $C$9, 100%, $E$9)</f>
        <v>11.0608</v>
      </c>
      <c r="S232" s="14">
        <f>CHOOSE(CONTROL!$C$42, 9.4286, 9.4286) * CHOOSE(CONTROL!$C$21, $C$9, 100%, $E$9)</f>
        <v>9.4285999999999994</v>
      </c>
      <c r="T23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32" s="57">
        <f>(1000*CHOOSE(CONTROL!$C$42, 695, 695)*CHOOSE(CONTROL!$C$42, 0.5599, 0.5599)*CHOOSE(CONTROL!$C$42, 30, 30))/1000000</f>
        <v>11.673914999999997</v>
      </c>
      <c r="V232" s="57">
        <f>(1000*CHOOSE(CONTROL!$C$42, 500, 500)*CHOOSE(CONTROL!$C$42, 0.275, 0.275)*CHOOSE(CONTROL!$C$42, 30, 30))/1000000</f>
        <v>4.125</v>
      </c>
      <c r="W232" s="57">
        <f>(1000*CHOOSE(CONTROL!$C$42, 0.1146, 0.1146)*CHOOSE(CONTROL!$C$42, 121.5, 121.5)*CHOOSE(CONTROL!$C$42, 30, 30))/1000000</f>
        <v>0.417717</v>
      </c>
      <c r="X232" s="57">
        <f>(30*0.1790888*245000/1000000)+(30*0.2374*100000/1000000)</f>
        <v>2.0285026799999999</v>
      </c>
      <c r="Y232" s="57"/>
      <c r="Z232" s="14"/>
      <c r="AA232" s="56"/>
      <c r="AB232" s="50">
        <f>(B232*141.293+C232*267.993+D232*115.016+E232*89.698+F232*40+G232*185+H232*0+I232*100+J232*300)/(141.293+267.993+115.016+89.698+0+40+185+100+300)</f>
        <v>9.7444836214689268</v>
      </c>
      <c r="AC232" s="45">
        <f>(M232*'RAP TEMPLATE-GAS AVAILABILITY'!O231+N232*'RAP TEMPLATE-GAS AVAILABILITY'!P231+O232*'RAP TEMPLATE-GAS AVAILABILITY'!Q231+P232*'RAP TEMPLATE-GAS AVAILABILITY'!R231)/('RAP TEMPLATE-GAS AVAILABILITY'!O231+'RAP TEMPLATE-GAS AVAILABILITY'!P231+'RAP TEMPLATE-GAS AVAILABILITY'!Q231+'RAP TEMPLATE-GAS AVAILABILITY'!R231)</f>
        <v>9.6835798561151076</v>
      </c>
    </row>
    <row r="233" spans="1:29" ht="15.75" x14ac:dyDescent="0.25">
      <c r="A233" s="13">
        <v>47969</v>
      </c>
      <c r="B233" s="14">
        <f>CHOOSE(CONTROL!$C$42, 9.7993, 9.7993) * CHOOSE(CONTROL!$C$21, $C$9, 100%, $E$9)</f>
        <v>9.7993000000000006</v>
      </c>
      <c r="C233" s="14">
        <f>CHOOSE(CONTROL!$C$42, 9.8072, 9.8072) * CHOOSE(CONTROL!$C$21, $C$9, 100%, $E$9)</f>
        <v>9.8071999999999999</v>
      </c>
      <c r="D233" s="14">
        <f>CHOOSE(CONTROL!$C$42, 10.0048, 10.0048) * CHOOSE(CONTROL!$C$21, $C$9, 100%, $E$9)</f>
        <v>10.004799999999999</v>
      </c>
      <c r="E233" s="14">
        <f>CHOOSE(CONTROL!$C$42, 10.0359, 10.0359) * CHOOSE(CONTROL!$C$21, $C$9, 100%, $E$9)</f>
        <v>10.0359</v>
      </c>
      <c r="F233" s="14">
        <f>CHOOSE(CONTROL!$C$42, 9.7827, 9.7827)*CHOOSE(CONTROL!$C$21, $C$9, 100%, $E$9)</f>
        <v>9.7827000000000002</v>
      </c>
      <c r="G233" s="14">
        <f>CHOOSE(CONTROL!$C$42, 9.7988, 9.7988)*CHOOSE(CONTROL!$C$21, $C$9, 100%, $E$9)</f>
        <v>9.7988</v>
      </c>
      <c r="H233" s="14">
        <f>CHOOSE(CONTROL!$C$42, 10.0246, 10.0246) * CHOOSE(CONTROL!$C$21, $C$9, 100%, $E$9)</f>
        <v>10.0246</v>
      </c>
      <c r="I233" s="14">
        <f>CHOOSE(CONTROL!$C$42, 9.8106, 9.8106)* CHOOSE(CONTROL!$C$21, $C$9, 100%, $E$9)</f>
        <v>9.8106000000000009</v>
      </c>
      <c r="J233" s="14">
        <f>CHOOSE(CONTROL!$C$42, 9.7757, 9.7757)* CHOOSE(CONTROL!$C$21, $C$9, 100%, $E$9)</f>
        <v>9.7757000000000005</v>
      </c>
      <c r="K233" s="53">
        <f>CHOOSE(CONTROL!$C$42, 9.8068, 9.8068) * CHOOSE(CONTROL!$C$21, $C$9, 100%, $E$9)</f>
        <v>9.8068000000000008</v>
      </c>
      <c r="L233" s="14">
        <f>CHOOSE(CONTROL!$C$42, 10.6116, 10.6116) * CHOOSE(CONTROL!$C$21, $C$9, 100%, $E$9)</f>
        <v>10.611599999999999</v>
      </c>
      <c r="M233" s="14">
        <f>CHOOSE(CONTROL!$C$42, 9.6909, 9.6909) * CHOOSE(CONTROL!$C$21, $C$9, 100%, $E$9)</f>
        <v>9.6908999999999992</v>
      </c>
      <c r="N233" s="14">
        <f>CHOOSE(CONTROL!$C$42, 9.7068, 9.7068) * CHOOSE(CONTROL!$C$21, $C$9, 100%, $E$9)</f>
        <v>9.7067999999999994</v>
      </c>
      <c r="O233" s="14">
        <f>CHOOSE(CONTROL!$C$42, 9.9372, 9.9372) * CHOOSE(CONTROL!$C$21, $C$9, 100%, $E$9)</f>
        <v>9.9372000000000007</v>
      </c>
      <c r="P233" s="14">
        <f>CHOOSE(CONTROL!$C$42, 9.7255, 9.7255) * CHOOSE(CONTROL!$C$21, $C$9, 100%, $E$9)</f>
        <v>9.7255000000000003</v>
      </c>
      <c r="Q233" s="14">
        <f>CHOOSE(CONTROL!$C$42, 10.5325, 10.5325) * CHOOSE(CONTROL!$C$21, $C$9, 100%, $E$9)</f>
        <v>10.532500000000001</v>
      </c>
      <c r="R233" s="14">
        <f>CHOOSE(CONTROL!$C$42, 11.1458, 11.1458) * CHOOSE(CONTROL!$C$21, $C$9, 100%, $E$9)</f>
        <v>11.145799999999999</v>
      </c>
      <c r="S233" s="14">
        <f>CHOOSE(CONTROL!$C$42, 9.5118, 9.5118) * CHOOSE(CONTROL!$C$21, $C$9, 100%, $E$9)</f>
        <v>9.5117999999999991</v>
      </c>
      <c r="T23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33" s="57">
        <f>(1000*CHOOSE(CONTROL!$C$42, 695, 695)*CHOOSE(CONTROL!$C$42, 0.5599, 0.5599)*CHOOSE(CONTROL!$C$42, 31, 31))/1000000</f>
        <v>12.063045499999998</v>
      </c>
      <c r="V233" s="57">
        <f>(1000*CHOOSE(CONTROL!$C$42, 500, 500)*CHOOSE(CONTROL!$C$42, 0.275, 0.275)*CHOOSE(CONTROL!$C$42, 31, 31))/1000000</f>
        <v>4.2625000000000002</v>
      </c>
      <c r="W233" s="57">
        <f>(1000*CHOOSE(CONTROL!$C$42, 0.1146, 0.1146)*CHOOSE(CONTROL!$C$42, 121.5, 121.5)*CHOOSE(CONTROL!$C$42, 31, 31))/1000000</f>
        <v>0.43164089999999994</v>
      </c>
      <c r="X233" s="57">
        <f>(31*0.1790888*245000/1000000)+(31*0.2374*100000/1000000)</f>
        <v>2.0961194359999999</v>
      </c>
      <c r="Y233" s="57"/>
      <c r="Z233" s="14"/>
      <c r="AA233" s="56"/>
      <c r="AB233" s="50">
        <f>(B233*194.205+C233*267.466+D233*133.845+E233*53.484+F233*40+G233*185+H233*0+I233*100+J233*300)/(194.205+267.466+133.845+53.484+0+40+185+100+300)</f>
        <v>9.8272167529827303</v>
      </c>
      <c r="AC233" s="45">
        <f>(M233*'RAP TEMPLATE-GAS AVAILABILITY'!O232+N233*'RAP TEMPLATE-GAS AVAILABILITY'!P232+O233*'RAP TEMPLATE-GAS AVAILABILITY'!Q232+P233*'RAP TEMPLATE-GAS AVAILABILITY'!R232)/('RAP TEMPLATE-GAS AVAILABILITY'!O232+'RAP TEMPLATE-GAS AVAILABILITY'!P232+'RAP TEMPLATE-GAS AVAILABILITY'!Q232+'RAP TEMPLATE-GAS AVAILABILITY'!R232)</f>
        <v>9.7686446043165454</v>
      </c>
    </row>
    <row r="234" spans="1:29" ht="15.75" x14ac:dyDescent="0.25">
      <c r="A234" s="13">
        <v>48000</v>
      </c>
      <c r="B234" s="14">
        <f>CHOOSE(CONTROL!$C$42, 10.0771, 10.0771) * CHOOSE(CONTROL!$C$21, $C$9, 100%, $E$9)</f>
        <v>10.0771</v>
      </c>
      <c r="C234" s="14">
        <f>CHOOSE(CONTROL!$C$42, 10.085, 10.085) * CHOOSE(CONTROL!$C$21, $C$9, 100%, $E$9)</f>
        <v>10.085000000000001</v>
      </c>
      <c r="D234" s="14">
        <f>CHOOSE(CONTROL!$C$42, 10.2826, 10.2826) * CHOOSE(CONTROL!$C$21, $C$9, 100%, $E$9)</f>
        <v>10.2826</v>
      </c>
      <c r="E234" s="14">
        <f>CHOOSE(CONTROL!$C$42, 10.3137, 10.3137) * CHOOSE(CONTROL!$C$21, $C$9, 100%, $E$9)</f>
        <v>10.313700000000001</v>
      </c>
      <c r="F234" s="14">
        <f>CHOOSE(CONTROL!$C$42, 10.0609, 10.0609)*CHOOSE(CONTROL!$C$21, $C$9, 100%, $E$9)</f>
        <v>10.0609</v>
      </c>
      <c r="G234" s="14">
        <f>CHOOSE(CONTROL!$C$42, 10.0771, 10.0771)*CHOOSE(CONTROL!$C$21, $C$9, 100%, $E$9)</f>
        <v>10.0771</v>
      </c>
      <c r="H234" s="14">
        <f>CHOOSE(CONTROL!$C$42, 10.3024, 10.3024) * CHOOSE(CONTROL!$C$21, $C$9, 100%, $E$9)</f>
        <v>10.3024</v>
      </c>
      <c r="I234" s="14">
        <f>CHOOSE(CONTROL!$C$42, 10.0885, 10.0885)* CHOOSE(CONTROL!$C$21, $C$9, 100%, $E$9)</f>
        <v>10.0885</v>
      </c>
      <c r="J234" s="14">
        <f>CHOOSE(CONTROL!$C$42, 10.0539, 10.0539)* CHOOSE(CONTROL!$C$21, $C$9, 100%, $E$9)</f>
        <v>10.053900000000001</v>
      </c>
      <c r="K234" s="53">
        <f>CHOOSE(CONTROL!$C$42, 10.0846, 10.0846) * CHOOSE(CONTROL!$C$21, $C$9, 100%, $E$9)</f>
        <v>10.0846</v>
      </c>
      <c r="L234" s="14">
        <f>CHOOSE(CONTROL!$C$42, 10.8894, 10.8894) * CHOOSE(CONTROL!$C$21, $C$9, 100%, $E$9)</f>
        <v>10.8894</v>
      </c>
      <c r="M234" s="14">
        <f>CHOOSE(CONTROL!$C$42, 9.9663, 9.9663) * CHOOSE(CONTROL!$C$21, $C$9, 100%, $E$9)</f>
        <v>9.9663000000000004</v>
      </c>
      <c r="N234" s="14">
        <f>CHOOSE(CONTROL!$C$42, 9.9823, 9.9823) * CHOOSE(CONTROL!$C$21, $C$9, 100%, $E$9)</f>
        <v>9.9823000000000004</v>
      </c>
      <c r="O234" s="14">
        <f>CHOOSE(CONTROL!$C$42, 10.2122, 10.2122) * CHOOSE(CONTROL!$C$21, $C$9, 100%, $E$9)</f>
        <v>10.212199999999999</v>
      </c>
      <c r="P234" s="14">
        <f>CHOOSE(CONTROL!$C$42, 10.0005, 10.0005) * CHOOSE(CONTROL!$C$21, $C$9, 100%, $E$9)</f>
        <v>10.000500000000001</v>
      </c>
      <c r="Q234" s="14">
        <f>CHOOSE(CONTROL!$C$42, 10.8075, 10.8075) * CHOOSE(CONTROL!$C$21, $C$9, 100%, $E$9)</f>
        <v>10.807499999999999</v>
      </c>
      <c r="R234" s="14">
        <f>CHOOSE(CONTROL!$C$42, 11.4215, 11.4215) * CHOOSE(CONTROL!$C$21, $C$9, 100%, $E$9)</f>
        <v>11.4215</v>
      </c>
      <c r="S234" s="14">
        <f>CHOOSE(CONTROL!$C$42, 9.7816, 9.7816) * CHOOSE(CONTROL!$C$21, $C$9, 100%, $E$9)</f>
        <v>9.7815999999999992</v>
      </c>
      <c r="T23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34" s="57">
        <f>(1000*CHOOSE(CONTROL!$C$42, 695, 695)*CHOOSE(CONTROL!$C$42, 0.5599, 0.5599)*CHOOSE(CONTROL!$C$42, 30, 30))/1000000</f>
        <v>11.673914999999997</v>
      </c>
      <c r="V234" s="57">
        <f>(1000*CHOOSE(CONTROL!$C$42, 500, 500)*CHOOSE(CONTROL!$C$42, 0.275, 0.275)*CHOOSE(CONTROL!$C$42, 30, 30))/1000000</f>
        <v>4.125</v>
      </c>
      <c r="W234" s="57">
        <f>(1000*CHOOSE(CONTROL!$C$42, 0.1146, 0.1146)*CHOOSE(CONTROL!$C$42, 121.5, 121.5)*CHOOSE(CONTROL!$C$42, 30, 30))/1000000</f>
        <v>0.417717</v>
      </c>
      <c r="X234" s="57">
        <f>(30*0.1790888*245000/1000000)+(30*0.2374*100000/1000000)</f>
        <v>2.0285026799999999</v>
      </c>
      <c r="Y234" s="57"/>
      <c r="Z234" s="14"/>
      <c r="AA234" s="56"/>
      <c r="AB234" s="50">
        <f>(B234*194.205+C234*267.466+D234*133.845+E234*53.484+F234*40+G234*185+H234*0+I234*100+J234*300)/(194.205+267.466+133.845+53.484+0+40+185+100+300)</f>
        <v>10.105203958634224</v>
      </c>
      <c r="AC234" s="45">
        <f>(M234*'RAP TEMPLATE-GAS AVAILABILITY'!O233+N234*'RAP TEMPLATE-GAS AVAILABILITY'!P233+O234*'RAP TEMPLATE-GAS AVAILABILITY'!Q233+P234*'RAP TEMPLATE-GAS AVAILABILITY'!R233)/('RAP TEMPLATE-GAS AVAILABILITY'!O233+'RAP TEMPLATE-GAS AVAILABILITY'!P233+'RAP TEMPLATE-GAS AVAILABILITY'!Q233+'RAP TEMPLATE-GAS AVAILABILITY'!R233)</f>
        <v>10.04389784172662</v>
      </c>
    </row>
    <row r="235" spans="1:29" ht="15.75" x14ac:dyDescent="0.25">
      <c r="A235" s="13">
        <v>48030</v>
      </c>
      <c r="B235" s="14">
        <f>CHOOSE(CONTROL!$C$42, 9.8839, 9.8839) * CHOOSE(CONTROL!$C$21, $C$9, 100%, $E$9)</f>
        <v>9.8839000000000006</v>
      </c>
      <c r="C235" s="14">
        <f>CHOOSE(CONTROL!$C$42, 9.8918, 9.8918) * CHOOSE(CONTROL!$C$21, $C$9, 100%, $E$9)</f>
        <v>9.8917999999999999</v>
      </c>
      <c r="D235" s="14">
        <f>CHOOSE(CONTROL!$C$42, 10.0894, 10.0894) * CHOOSE(CONTROL!$C$21, $C$9, 100%, $E$9)</f>
        <v>10.089399999999999</v>
      </c>
      <c r="E235" s="14">
        <f>CHOOSE(CONTROL!$C$42, 10.1205, 10.1205) * CHOOSE(CONTROL!$C$21, $C$9, 100%, $E$9)</f>
        <v>10.1205</v>
      </c>
      <c r="F235" s="14">
        <f>CHOOSE(CONTROL!$C$42, 9.8681, 9.8681)*CHOOSE(CONTROL!$C$21, $C$9, 100%, $E$9)</f>
        <v>9.8681000000000001</v>
      </c>
      <c r="G235" s="14">
        <f>CHOOSE(CONTROL!$C$42, 9.8844, 9.8844)*CHOOSE(CONTROL!$C$21, $C$9, 100%, $E$9)</f>
        <v>9.8843999999999994</v>
      </c>
      <c r="H235" s="14">
        <f>CHOOSE(CONTROL!$C$42, 10.1091, 10.1091) * CHOOSE(CONTROL!$C$21, $C$9, 100%, $E$9)</f>
        <v>10.1091</v>
      </c>
      <c r="I235" s="14">
        <f>CHOOSE(CONTROL!$C$42, 9.8952, 9.8952)* CHOOSE(CONTROL!$C$21, $C$9, 100%, $E$9)</f>
        <v>9.8952000000000009</v>
      </c>
      <c r="J235" s="14">
        <f>CHOOSE(CONTROL!$C$42, 9.8611, 9.8611)* CHOOSE(CONTROL!$C$21, $C$9, 100%, $E$9)</f>
        <v>9.8611000000000004</v>
      </c>
      <c r="K235" s="53">
        <f>CHOOSE(CONTROL!$C$42, 9.8914, 9.8914) * CHOOSE(CONTROL!$C$21, $C$9, 100%, $E$9)</f>
        <v>9.8914000000000009</v>
      </c>
      <c r="L235" s="14">
        <f>CHOOSE(CONTROL!$C$42, 10.6961, 10.6961) * CHOOSE(CONTROL!$C$21, $C$9, 100%, $E$9)</f>
        <v>10.696099999999999</v>
      </c>
      <c r="M235" s="14">
        <f>CHOOSE(CONTROL!$C$42, 9.7754, 9.7754) * CHOOSE(CONTROL!$C$21, $C$9, 100%, $E$9)</f>
        <v>9.7753999999999994</v>
      </c>
      <c r="N235" s="14">
        <f>CHOOSE(CONTROL!$C$42, 9.7916, 9.7916) * CHOOSE(CONTROL!$C$21, $C$9, 100%, $E$9)</f>
        <v>9.7916000000000007</v>
      </c>
      <c r="O235" s="14">
        <f>CHOOSE(CONTROL!$C$42, 10.021, 10.021) * CHOOSE(CONTROL!$C$21, $C$9, 100%, $E$9)</f>
        <v>10.021000000000001</v>
      </c>
      <c r="P235" s="14">
        <f>CHOOSE(CONTROL!$C$42, 9.8092, 9.8092) * CHOOSE(CONTROL!$C$21, $C$9, 100%, $E$9)</f>
        <v>9.8092000000000006</v>
      </c>
      <c r="Q235" s="14">
        <f>CHOOSE(CONTROL!$C$42, 10.6163, 10.6163) * CHOOSE(CONTROL!$C$21, $C$9, 100%, $E$9)</f>
        <v>10.616300000000001</v>
      </c>
      <c r="R235" s="14">
        <f>CHOOSE(CONTROL!$C$42, 11.2298, 11.2298) * CHOOSE(CONTROL!$C$21, $C$9, 100%, $E$9)</f>
        <v>11.229799999999999</v>
      </c>
      <c r="S235" s="14">
        <f>CHOOSE(CONTROL!$C$42, 9.594, 9.594) * CHOOSE(CONTROL!$C$21, $C$9, 100%, $E$9)</f>
        <v>9.5939999999999994</v>
      </c>
      <c r="T23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35" s="57">
        <f>(1000*CHOOSE(CONTROL!$C$42, 695, 695)*CHOOSE(CONTROL!$C$42, 0.5599, 0.5599)*CHOOSE(CONTROL!$C$42, 31, 31))/1000000</f>
        <v>12.063045499999998</v>
      </c>
      <c r="V235" s="57">
        <f>(1000*CHOOSE(CONTROL!$C$42, 500, 500)*CHOOSE(CONTROL!$C$42, 0.275, 0.275)*CHOOSE(CONTROL!$C$42, 31, 31))/1000000</f>
        <v>4.2625000000000002</v>
      </c>
      <c r="W235" s="57">
        <f>(1000*CHOOSE(CONTROL!$C$42, 0.1146, 0.1146)*CHOOSE(CONTROL!$C$42, 121.5, 121.5)*CHOOSE(CONTROL!$C$42, 31, 31))/1000000</f>
        <v>0.43164089999999994</v>
      </c>
      <c r="X235" s="57">
        <f>(31*0.1790888*245000/1000000)+(31*0.2374*100000/1000000)</f>
        <v>2.0961194359999999</v>
      </c>
      <c r="Y235" s="57"/>
      <c r="Z235" s="14"/>
      <c r="AA235" s="56"/>
      <c r="AB235" s="50">
        <f>(B235*194.205+C235*267.466+D235*133.845+E235*53.484+F235*40+G235*185+H235*0+I235*100+J235*300)/(194.205+267.466+133.845+53.484+0+40+185+100+300)</f>
        <v>9.9121754656985868</v>
      </c>
      <c r="AC235" s="45">
        <f>(M235*'RAP TEMPLATE-GAS AVAILABILITY'!O234+N235*'RAP TEMPLATE-GAS AVAILABILITY'!P234+O235*'RAP TEMPLATE-GAS AVAILABILITY'!Q234+P235*'RAP TEMPLATE-GAS AVAILABILITY'!R234)/('RAP TEMPLATE-GAS AVAILABILITY'!O234+'RAP TEMPLATE-GAS AVAILABILITY'!P234+'RAP TEMPLATE-GAS AVAILABILITY'!Q234+'RAP TEMPLATE-GAS AVAILABILITY'!R234)</f>
        <v>9.8529021582733822</v>
      </c>
    </row>
    <row r="236" spans="1:29" ht="15.75" x14ac:dyDescent="0.25">
      <c r="A236" s="13">
        <v>48061</v>
      </c>
      <c r="B236" s="14">
        <f>CHOOSE(CONTROL!$C$42, 9.3959, 9.3959) * CHOOSE(CONTROL!$C$21, $C$9, 100%, $E$9)</f>
        <v>9.3958999999999993</v>
      </c>
      <c r="C236" s="14">
        <f>CHOOSE(CONTROL!$C$42, 9.4039, 9.4039) * CHOOSE(CONTROL!$C$21, $C$9, 100%, $E$9)</f>
        <v>9.4039000000000001</v>
      </c>
      <c r="D236" s="14">
        <f>CHOOSE(CONTROL!$C$42, 9.6014, 9.6014) * CHOOSE(CONTROL!$C$21, $C$9, 100%, $E$9)</f>
        <v>9.6013999999999999</v>
      </c>
      <c r="E236" s="14">
        <f>CHOOSE(CONTROL!$C$42, 9.6326, 9.6326) * CHOOSE(CONTROL!$C$21, $C$9, 100%, $E$9)</f>
        <v>9.6326000000000001</v>
      </c>
      <c r="F236" s="14">
        <f>CHOOSE(CONTROL!$C$42, 9.3804, 9.3804)*CHOOSE(CONTROL!$C$21, $C$9, 100%, $E$9)</f>
        <v>9.3803999999999998</v>
      </c>
      <c r="G236" s="14">
        <f>CHOOSE(CONTROL!$C$42, 9.3967, 9.3967)*CHOOSE(CONTROL!$C$21, $C$9, 100%, $E$9)</f>
        <v>9.3966999999999992</v>
      </c>
      <c r="H236" s="14">
        <f>CHOOSE(CONTROL!$C$42, 9.6212, 9.6212) * CHOOSE(CONTROL!$C$21, $C$9, 100%, $E$9)</f>
        <v>9.6212</v>
      </c>
      <c r="I236" s="14">
        <f>CHOOSE(CONTROL!$C$42, 9.4073, 9.4073)* CHOOSE(CONTROL!$C$21, $C$9, 100%, $E$9)</f>
        <v>9.4072999999999993</v>
      </c>
      <c r="J236" s="14">
        <f>CHOOSE(CONTROL!$C$42, 9.3734, 9.3734)* CHOOSE(CONTROL!$C$21, $C$9, 100%, $E$9)</f>
        <v>9.3734000000000002</v>
      </c>
      <c r="K236" s="53">
        <f>CHOOSE(CONTROL!$C$42, 9.4034, 9.4034) * CHOOSE(CONTROL!$C$21, $C$9, 100%, $E$9)</f>
        <v>9.4033999999999995</v>
      </c>
      <c r="L236" s="14">
        <f>CHOOSE(CONTROL!$C$42, 10.2082, 10.2082) * CHOOSE(CONTROL!$C$21, $C$9, 100%, $E$9)</f>
        <v>10.2082</v>
      </c>
      <c r="M236" s="14">
        <f>CHOOSE(CONTROL!$C$42, 9.2926, 9.2926) * CHOOSE(CONTROL!$C$21, $C$9, 100%, $E$9)</f>
        <v>9.2926000000000002</v>
      </c>
      <c r="N236" s="14">
        <f>CHOOSE(CONTROL!$C$42, 9.3088, 9.3088) * CHOOSE(CONTROL!$C$21, $C$9, 100%, $E$9)</f>
        <v>9.3087999999999997</v>
      </c>
      <c r="O236" s="14">
        <f>CHOOSE(CONTROL!$C$42, 9.5379, 9.5379) * CHOOSE(CONTROL!$C$21, $C$9, 100%, $E$9)</f>
        <v>9.5379000000000005</v>
      </c>
      <c r="P236" s="14">
        <f>CHOOSE(CONTROL!$C$42, 9.3262, 9.3262) * CHOOSE(CONTROL!$C$21, $C$9, 100%, $E$9)</f>
        <v>9.3262</v>
      </c>
      <c r="Q236" s="14">
        <f>CHOOSE(CONTROL!$C$42, 10.1332, 10.1332) * CHOOSE(CONTROL!$C$21, $C$9, 100%, $E$9)</f>
        <v>10.1332</v>
      </c>
      <c r="R236" s="14">
        <f>CHOOSE(CONTROL!$C$42, 10.7456, 10.7456) * CHOOSE(CONTROL!$C$21, $C$9, 100%, $E$9)</f>
        <v>10.7456</v>
      </c>
      <c r="S236" s="14">
        <f>CHOOSE(CONTROL!$C$42, 9.1201, 9.1201) * CHOOSE(CONTROL!$C$21, $C$9, 100%, $E$9)</f>
        <v>9.1201000000000008</v>
      </c>
      <c r="T23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36" s="57">
        <f>(1000*CHOOSE(CONTROL!$C$42, 695, 695)*CHOOSE(CONTROL!$C$42, 0.5599, 0.5599)*CHOOSE(CONTROL!$C$42, 31, 31))/1000000</f>
        <v>12.063045499999998</v>
      </c>
      <c r="V236" s="57">
        <f>(1000*CHOOSE(CONTROL!$C$42, 500, 500)*CHOOSE(CONTROL!$C$42, 0.275, 0.275)*CHOOSE(CONTROL!$C$42, 31, 31))/1000000</f>
        <v>4.2625000000000002</v>
      </c>
      <c r="W236" s="57">
        <f>(1000*CHOOSE(CONTROL!$C$42, 0.1146, 0.1146)*CHOOSE(CONTROL!$C$42, 121.5, 121.5)*CHOOSE(CONTROL!$C$42, 31, 31))/1000000</f>
        <v>0.43164089999999994</v>
      </c>
      <c r="X236" s="57">
        <f>(31*0.1790888*245000/1000000)+(31*0.2374*100000/1000000)</f>
        <v>2.0961194359999999</v>
      </c>
      <c r="Y236" s="57"/>
      <c r="Z236" s="14"/>
      <c r="AA236" s="56"/>
      <c r="AB236" s="50">
        <f>(B236*194.205+C236*267.466+D236*133.845+E236*53.484+F236*40+G236*185+H236*0+I236*100+J236*300)/(194.205+267.466+133.845+53.484+0+40+185+100+300)</f>
        <v>9.4243321336734702</v>
      </c>
      <c r="AC236" s="45">
        <f>(M236*'RAP TEMPLATE-GAS AVAILABILITY'!O235+N236*'RAP TEMPLATE-GAS AVAILABILITY'!P235+O236*'RAP TEMPLATE-GAS AVAILABILITY'!Q235+P236*'RAP TEMPLATE-GAS AVAILABILITY'!R235)/('RAP TEMPLATE-GAS AVAILABILITY'!O235+'RAP TEMPLATE-GAS AVAILABILITY'!P235+'RAP TEMPLATE-GAS AVAILABILITY'!Q235+'RAP TEMPLATE-GAS AVAILABILITY'!R235)</f>
        <v>9.3699892086330934</v>
      </c>
    </row>
    <row r="237" spans="1:29" ht="15.75" x14ac:dyDescent="0.25">
      <c r="A237" s="13">
        <v>48092</v>
      </c>
      <c r="B237" s="14">
        <f>CHOOSE(CONTROL!$C$42, 8.7994, 8.7994) * CHOOSE(CONTROL!$C$21, $C$9, 100%, $E$9)</f>
        <v>8.7994000000000003</v>
      </c>
      <c r="C237" s="14">
        <f>CHOOSE(CONTROL!$C$42, 8.8073, 8.8073) * CHOOSE(CONTROL!$C$21, $C$9, 100%, $E$9)</f>
        <v>8.8072999999999997</v>
      </c>
      <c r="D237" s="14">
        <f>CHOOSE(CONTROL!$C$42, 9.0049, 9.0049) * CHOOSE(CONTROL!$C$21, $C$9, 100%, $E$9)</f>
        <v>9.0048999999999992</v>
      </c>
      <c r="E237" s="14">
        <f>CHOOSE(CONTROL!$C$42, 9.036, 9.036) * CHOOSE(CONTROL!$C$21, $C$9, 100%, $E$9)</f>
        <v>9.0359999999999996</v>
      </c>
      <c r="F237" s="14">
        <f>CHOOSE(CONTROL!$C$42, 8.7837, 8.7837)*CHOOSE(CONTROL!$C$21, $C$9, 100%, $E$9)</f>
        <v>8.7836999999999996</v>
      </c>
      <c r="G237" s="14">
        <f>CHOOSE(CONTROL!$C$42, 8.8001, 8.8001)*CHOOSE(CONTROL!$C$21, $C$9, 100%, $E$9)</f>
        <v>8.8001000000000005</v>
      </c>
      <c r="H237" s="14">
        <f>CHOOSE(CONTROL!$C$42, 9.0246, 9.0246) * CHOOSE(CONTROL!$C$21, $C$9, 100%, $E$9)</f>
        <v>9.0245999999999995</v>
      </c>
      <c r="I237" s="14">
        <f>CHOOSE(CONTROL!$C$42, 8.8107, 8.8107)* CHOOSE(CONTROL!$C$21, $C$9, 100%, $E$9)</f>
        <v>8.8107000000000006</v>
      </c>
      <c r="J237" s="14">
        <f>CHOOSE(CONTROL!$C$42, 8.7767, 8.7767)* CHOOSE(CONTROL!$C$21, $C$9, 100%, $E$9)</f>
        <v>8.7766999999999999</v>
      </c>
      <c r="K237" s="53">
        <f>CHOOSE(CONTROL!$C$42, 8.8068, 8.8068) * CHOOSE(CONTROL!$C$21, $C$9, 100%, $E$9)</f>
        <v>8.8068000000000008</v>
      </c>
      <c r="L237" s="14">
        <f>CHOOSE(CONTROL!$C$42, 9.6116, 9.6116) * CHOOSE(CONTROL!$C$21, $C$9, 100%, $E$9)</f>
        <v>9.6115999999999993</v>
      </c>
      <c r="M237" s="14">
        <f>CHOOSE(CONTROL!$C$42, 8.702, 8.702) * CHOOSE(CONTROL!$C$21, $C$9, 100%, $E$9)</f>
        <v>8.702</v>
      </c>
      <c r="N237" s="14">
        <f>CHOOSE(CONTROL!$C$42, 8.7182, 8.7182) * CHOOSE(CONTROL!$C$21, $C$9, 100%, $E$9)</f>
        <v>8.7181999999999995</v>
      </c>
      <c r="O237" s="14">
        <f>CHOOSE(CONTROL!$C$42, 8.9474, 8.9474) * CHOOSE(CONTROL!$C$21, $C$9, 100%, $E$9)</f>
        <v>8.9474</v>
      </c>
      <c r="P237" s="14">
        <f>CHOOSE(CONTROL!$C$42, 8.7357, 8.7357) * CHOOSE(CONTROL!$C$21, $C$9, 100%, $E$9)</f>
        <v>8.7356999999999996</v>
      </c>
      <c r="Q237" s="14">
        <f>CHOOSE(CONTROL!$C$42, 9.5427, 9.5427) * CHOOSE(CONTROL!$C$21, $C$9, 100%, $E$9)</f>
        <v>9.5427</v>
      </c>
      <c r="R237" s="14">
        <f>CHOOSE(CONTROL!$C$42, 10.1535, 10.1535) * CHOOSE(CONTROL!$C$21, $C$9, 100%, $E$9)</f>
        <v>10.153499999999999</v>
      </c>
      <c r="S237" s="14">
        <f>CHOOSE(CONTROL!$C$42, 8.5408, 8.5408) * CHOOSE(CONTROL!$C$21, $C$9, 100%, $E$9)</f>
        <v>8.5408000000000008</v>
      </c>
      <c r="T23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37" s="57">
        <f>(1000*CHOOSE(CONTROL!$C$42, 695, 695)*CHOOSE(CONTROL!$C$42, 0.5599, 0.5599)*CHOOSE(CONTROL!$C$42, 30, 30))/1000000</f>
        <v>11.673914999999997</v>
      </c>
      <c r="V237" s="57">
        <f>(1000*CHOOSE(CONTROL!$C$42, 500, 500)*CHOOSE(CONTROL!$C$42, 0.275, 0.275)*CHOOSE(CONTROL!$C$42, 30, 30))/1000000</f>
        <v>4.125</v>
      </c>
      <c r="W237" s="57">
        <f>(1000*CHOOSE(CONTROL!$C$42, 0.1146, 0.1146)*CHOOSE(CONTROL!$C$42, 121.5, 121.5)*CHOOSE(CONTROL!$C$42, 30, 30))/1000000</f>
        <v>0.417717</v>
      </c>
      <c r="X237" s="57">
        <f>(30*0.1790888*245000/1000000)+(30*0.2374*100000/1000000)</f>
        <v>2.0285026799999999</v>
      </c>
      <c r="Y237" s="57"/>
      <c r="Z237" s="14"/>
      <c r="AA237" s="56"/>
      <c r="AB237" s="50">
        <f>(B237*194.205+C237*267.466+D237*133.845+E237*53.484+F237*40+G237*185+H237*0+I237*100+J237*300)/(194.205+267.466+133.845+53.484+0+40+185+100+300)</f>
        <v>8.8277311956828886</v>
      </c>
      <c r="AC237" s="45">
        <f>(M237*'RAP TEMPLATE-GAS AVAILABILITY'!O236+N237*'RAP TEMPLATE-GAS AVAILABILITY'!P236+O237*'RAP TEMPLATE-GAS AVAILABILITY'!Q236+P237*'RAP TEMPLATE-GAS AVAILABILITY'!R236)/('RAP TEMPLATE-GAS AVAILABILITY'!O236+'RAP TEMPLATE-GAS AVAILABILITY'!P236+'RAP TEMPLATE-GAS AVAILABILITY'!Q236+'RAP TEMPLATE-GAS AVAILABILITY'!R236)</f>
        <v>8.7794316546762587</v>
      </c>
    </row>
    <row r="238" spans="1:29" ht="15.75" x14ac:dyDescent="0.25">
      <c r="A238" s="13">
        <v>48122</v>
      </c>
      <c r="B238" s="14">
        <f>CHOOSE(CONTROL!$C$42, 8.6191, 8.6191) * CHOOSE(CONTROL!$C$21, $C$9, 100%, $E$9)</f>
        <v>8.6190999999999995</v>
      </c>
      <c r="C238" s="14">
        <f>CHOOSE(CONTROL!$C$42, 8.6243, 8.6243) * CHOOSE(CONTROL!$C$21, $C$9, 100%, $E$9)</f>
        <v>8.6242999999999999</v>
      </c>
      <c r="D238" s="14">
        <f>CHOOSE(CONTROL!$C$42, 8.8268, 8.8268) * CHOOSE(CONTROL!$C$21, $C$9, 100%, $E$9)</f>
        <v>8.8268000000000004</v>
      </c>
      <c r="E238" s="14">
        <f>CHOOSE(CONTROL!$C$42, 8.8556, 8.8556) * CHOOSE(CONTROL!$C$21, $C$9, 100%, $E$9)</f>
        <v>8.8556000000000008</v>
      </c>
      <c r="F238" s="14">
        <f>CHOOSE(CONTROL!$C$42, 8.6054, 8.6054)*CHOOSE(CONTROL!$C$21, $C$9, 100%, $E$9)</f>
        <v>8.6053999999999995</v>
      </c>
      <c r="G238" s="14">
        <f>CHOOSE(CONTROL!$C$42, 8.6214, 8.6214)*CHOOSE(CONTROL!$C$21, $C$9, 100%, $E$9)</f>
        <v>8.6213999999999995</v>
      </c>
      <c r="H238" s="14">
        <f>CHOOSE(CONTROL!$C$42, 8.8461, 8.8461) * CHOOSE(CONTROL!$C$21, $C$9, 100%, $E$9)</f>
        <v>8.8460999999999999</v>
      </c>
      <c r="I238" s="14">
        <f>CHOOSE(CONTROL!$C$42, 8.6322, 8.6322)* CHOOSE(CONTROL!$C$21, $C$9, 100%, $E$9)</f>
        <v>8.6321999999999992</v>
      </c>
      <c r="J238" s="14">
        <f>CHOOSE(CONTROL!$C$42, 8.5984, 8.5984)* CHOOSE(CONTROL!$C$21, $C$9, 100%, $E$9)</f>
        <v>8.5983999999999998</v>
      </c>
      <c r="K238" s="53">
        <f>CHOOSE(CONTROL!$C$42, 8.6283, 8.6283) * CHOOSE(CONTROL!$C$21, $C$9, 100%, $E$9)</f>
        <v>8.6282999999999994</v>
      </c>
      <c r="L238" s="14">
        <f>CHOOSE(CONTROL!$C$42, 9.4331, 9.4331) * CHOOSE(CONTROL!$C$21, $C$9, 100%, $E$9)</f>
        <v>9.4330999999999996</v>
      </c>
      <c r="M238" s="14">
        <f>CHOOSE(CONTROL!$C$42, 8.5255, 8.5255) * CHOOSE(CONTROL!$C$21, $C$9, 100%, $E$9)</f>
        <v>8.5254999999999992</v>
      </c>
      <c r="N238" s="14">
        <f>CHOOSE(CONTROL!$C$42, 8.5413, 8.5413) * CHOOSE(CONTROL!$C$21, $C$9, 100%, $E$9)</f>
        <v>8.5412999999999997</v>
      </c>
      <c r="O238" s="14">
        <f>CHOOSE(CONTROL!$C$42, 8.7706, 8.7706) * CHOOSE(CONTROL!$C$21, $C$9, 100%, $E$9)</f>
        <v>8.7706</v>
      </c>
      <c r="P238" s="14">
        <f>CHOOSE(CONTROL!$C$42, 8.5589, 8.5589) * CHOOSE(CONTROL!$C$21, $C$9, 100%, $E$9)</f>
        <v>8.5588999999999995</v>
      </c>
      <c r="Q238" s="14">
        <f>CHOOSE(CONTROL!$C$42, 9.3659, 9.3659) * CHOOSE(CONTROL!$C$21, $C$9, 100%, $E$9)</f>
        <v>9.3658999999999999</v>
      </c>
      <c r="R238" s="14">
        <f>CHOOSE(CONTROL!$C$42, 9.9764, 9.9764) * CHOOSE(CONTROL!$C$21, $C$9, 100%, $E$9)</f>
        <v>9.9763999999999999</v>
      </c>
      <c r="S238" s="14">
        <f>CHOOSE(CONTROL!$C$42, 8.3674, 8.3674) * CHOOSE(CONTROL!$C$21, $C$9, 100%, $E$9)</f>
        <v>8.3673999999999999</v>
      </c>
      <c r="T23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38" s="57">
        <f>(1000*CHOOSE(CONTROL!$C$42, 695, 695)*CHOOSE(CONTROL!$C$42, 0.5599, 0.5599)*CHOOSE(CONTROL!$C$42, 31, 31))/1000000</f>
        <v>12.063045499999998</v>
      </c>
      <c r="V238" s="57">
        <f>(1000*CHOOSE(CONTROL!$C$42, 500, 500)*CHOOSE(CONTROL!$C$42, 0.275, 0.275)*CHOOSE(CONTROL!$C$42, 31, 31))/1000000</f>
        <v>4.2625000000000002</v>
      </c>
      <c r="W238" s="57">
        <f>(1000*CHOOSE(CONTROL!$C$42, 0.1146, 0.1146)*CHOOSE(CONTROL!$C$42, 121.5, 121.5)*CHOOSE(CONTROL!$C$42, 31, 31))/1000000</f>
        <v>0.43164089999999994</v>
      </c>
      <c r="X238" s="57">
        <f>(31*0.1790888*245000/1000000)+(31*0.2374*100000/1000000)</f>
        <v>2.0961194359999999</v>
      </c>
      <c r="Y238" s="57"/>
      <c r="Z238" s="14"/>
      <c r="AA238" s="56"/>
      <c r="AB238" s="50">
        <f>(B238*131.881+C238*277.167+D238*79.08+E238*125.872+F238*40+G238*185+H238*0+I238*100+J238*300)/(131.881+277.167+79.08+125.872+0+40+185+100+300)</f>
        <v>8.6534925846650541</v>
      </c>
      <c r="AC238" s="45">
        <f>(M238*'RAP TEMPLATE-GAS AVAILABILITY'!O237+N238*'RAP TEMPLATE-GAS AVAILABILITY'!P237+O238*'RAP TEMPLATE-GAS AVAILABILITY'!Q237+P238*'RAP TEMPLATE-GAS AVAILABILITY'!R237)/('RAP TEMPLATE-GAS AVAILABILITY'!O237+'RAP TEMPLATE-GAS AVAILABILITY'!P237+'RAP TEMPLATE-GAS AVAILABILITY'!Q237+'RAP TEMPLATE-GAS AVAILABILITY'!R237)</f>
        <v>8.6027122302158272</v>
      </c>
    </row>
    <row r="239" spans="1:29" ht="15.75" x14ac:dyDescent="0.25">
      <c r="A239" s="13">
        <v>48153</v>
      </c>
      <c r="B239" s="14">
        <f>CHOOSE(CONTROL!$C$42, 8.8456, 8.8456) * CHOOSE(CONTROL!$C$21, $C$9, 100%, $E$9)</f>
        <v>8.8455999999999992</v>
      </c>
      <c r="C239" s="14">
        <f>CHOOSE(CONTROL!$C$42, 8.8506, 8.8506) * CHOOSE(CONTROL!$C$21, $C$9, 100%, $E$9)</f>
        <v>8.8506</v>
      </c>
      <c r="D239" s="14">
        <f>CHOOSE(CONTROL!$C$42, 8.9136, 8.9136) * CHOOSE(CONTROL!$C$21, $C$9, 100%, $E$9)</f>
        <v>8.9136000000000006</v>
      </c>
      <c r="E239" s="14">
        <f>CHOOSE(CONTROL!$C$42, 8.9474, 8.9474) * CHOOSE(CONTROL!$C$21, $C$9, 100%, $E$9)</f>
        <v>8.9474</v>
      </c>
      <c r="F239" s="14">
        <f>CHOOSE(CONTROL!$C$42, 8.8463, 8.8463)*CHOOSE(CONTROL!$C$21, $C$9, 100%, $E$9)</f>
        <v>8.8462999999999994</v>
      </c>
      <c r="G239" s="14">
        <f>CHOOSE(CONTROL!$C$42, 8.8626, 8.8626)*CHOOSE(CONTROL!$C$21, $C$9, 100%, $E$9)</f>
        <v>8.8626000000000005</v>
      </c>
      <c r="H239" s="14">
        <f>CHOOSE(CONTROL!$C$42, 8.9366, 8.9366) * CHOOSE(CONTROL!$C$21, $C$9, 100%, $E$9)</f>
        <v>8.9366000000000003</v>
      </c>
      <c r="I239" s="14">
        <f>CHOOSE(CONTROL!$C$42, 8.8592, 8.8592)* CHOOSE(CONTROL!$C$21, $C$9, 100%, $E$9)</f>
        <v>8.8591999999999995</v>
      </c>
      <c r="J239" s="14">
        <f>CHOOSE(CONTROL!$C$42, 8.8393, 8.8393)* CHOOSE(CONTROL!$C$21, $C$9, 100%, $E$9)</f>
        <v>8.8392999999999997</v>
      </c>
      <c r="K239" s="53">
        <f>CHOOSE(CONTROL!$C$42, 8.8553, 8.8553) * CHOOSE(CONTROL!$C$21, $C$9, 100%, $E$9)</f>
        <v>8.8552999999999997</v>
      </c>
      <c r="L239" s="14">
        <f>CHOOSE(CONTROL!$C$42, 9.5236, 9.5236) * CHOOSE(CONTROL!$C$21, $C$9, 100%, $E$9)</f>
        <v>9.5236000000000001</v>
      </c>
      <c r="M239" s="14">
        <f>CHOOSE(CONTROL!$C$42, 8.7639, 8.7639) * CHOOSE(CONTROL!$C$21, $C$9, 100%, $E$9)</f>
        <v>8.7638999999999996</v>
      </c>
      <c r="N239" s="14">
        <f>CHOOSE(CONTROL!$C$42, 8.7801, 8.7801) * CHOOSE(CONTROL!$C$21, $C$9, 100%, $E$9)</f>
        <v>8.7800999999999991</v>
      </c>
      <c r="O239" s="14">
        <f>CHOOSE(CONTROL!$C$42, 8.8603, 8.8603) * CHOOSE(CONTROL!$C$21, $C$9, 100%, $E$9)</f>
        <v>8.8603000000000005</v>
      </c>
      <c r="P239" s="14">
        <f>CHOOSE(CONTROL!$C$42, 8.7836, 8.7836) * CHOOSE(CONTROL!$C$21, $C$9, 100%, $E$9)</f>
        <v>8.7835999999999999</v>
      </c>
      <c r="Q239" s="14">
        <f>CHOOSE(CONTROL!$C$42, 9.4556, 9.4556) * CHOOSE(CONTROL!$C$21, $C$9, 100%, $E$9)</f>
        <v>9.4556000000000004</v>
      </c>
      <c r="R239" s="14">
        <f>CHOOSE(CONTROL!$C$42, 10.0662, 10.0662) * CHOOSE(CONTROL!$C$21, $C$9, 100%, $E$9)</f>
        <v>10.0662</v>
      </c>
      <c r="S239" s="14">
        <f>CHOOSE(CONTROL!$C$42, 8.5878, 8.5878) * CHOOSE(CONTROL!$C$21, $C$9, 100%, $E$9)</f>
        <v>8.5877999999999997</v>
      </c>
      <c r="T23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39" s="57">
        <f>(1000*CHOOSE(CONTROL!$C$42, 695, 695)*CHOOSE(CONTROL!$C$42, 0.5599, 0.5599)*CHOOSE(CONTROL!$C$42, 30, 30))/1000000</f>
        <v>11.673914999999997</v>
      </c>
      <c r="V239" s="57">
        <f>(1000*CHOOSE(CONTROL!$C$42, 500, 500)*CHOOSE(CONTROL!$C$42, 0.275, 0.275)*CHOOSE(CONTROL!$C$42, 30, 30))/1000000</f>
        <v>4.125</v>
      </c>
      <c r="W239" s="57">
        <f>(1000*CHOOSE(CONTROL!$C$42, 0.1146, 0.1146)*CHOOSE(CONTROL!$C$42, 121.5, 121.5)*CHOOSE(CONTROL!$C$42, 30, 30))/1000000</f>
        <v>0.417717</v>
      </c>
      <c r="X239" s="57">
        <f>(30*0.1790888*100000/1000000)+(30*0.2374*100000/1000000)</f>
        <v>1.2494664</v>
      </c>
      <c r="Y239" s="57"/>
      <c r="Z239" s="14"/>
      <c r="AA239" s="56"/>
      <c r="AB239" s="50">
        <f>(B239*122.58+C239*297.941+D239*89.177+E239*40.302+F239*40+G239*160+H239*0+I239*100+J239*300)/(122.58+297.941+89.177+40.302+0+40+160+100+300)</f>
        <v>8.8576647692173918</v>
      </c>
      <c r="AC239" s="45">
        <f>(M239*'RAP TEMPLATE-GAS AVAILABILITY'!O238+N239*'RAP TEMPLATE-GAS AVAILABILITY'!P238+O239*'RAP TEMPLATE-GAS AVAILABILITY'!Q238+P239*'RAP TEMPLATE-GAS AVAILABILITY'!R238)/('RAP TEMPLATE-GAS AVAILABILITY'!O238+'RAP TEMPLATE-GAS AVAILABILITY'!P238+'RAP TEMPLATE-GAS AVAILABILITY'!Q238+'RAP TEMPLATE-GAS AVAILABILITY'!R238)</f>
        <v>8.8113589928057543</v>
      </c>
    </row>
    <row r="240" spans="1:29" ht="15.75" x14ac:dyDescent="0.25">
      <c r="A240" s="13">
        <v>48183</v>
      </c>
      <c r="B240" s="14">
        <f>CHOOSE(CONTROL!$C$42, 9.4485, 9.4485) * CHOOSE(CONTROL!$C$21, $C$9, 100%, $E$9)</f>
        <v>9.4484999999999992</v>
      </c>
      <c r="C240" s="14">
        <f>CHOOSE(CONTROL!$C$42, 9.4534, 9.4534) * CHOOSE(CONTROL!$C$21, $C$9, 100%, $E$9)</f>
        <v>9.4534000000000002</v>
      </c>
      <c r="D240" s="14">
        <f>CHOOSE(CONTROL!$C$42, 9.5165, 9.5165) * CHOOSE(CONTROL!$C$21, $C$9, 100%, $E$9)</f>
        <v>9.5165000000000006</v>
      </c>
      <c r="E240" s="14">
        <f>CHOOSE(CONTROL!$C$42, 9.5503, 9.5503) * CHOOSE(CONTROL!$C$21, $C$9, 100%, $E$9)</f>
        <v>9.5503</v>
      </c>
      <c r="F240" s="14">
        <f>CHOOSE(CONTROL!$C$42, 9.4512, 9.4512)*CHOOSE(CONTROL!$C$21, $C$9, 100%, $E$9)</f>
        <v>9.4512</v>
      </c>
      <c r="G240" s="14">
        <f>CHOOSE(CONTROL!$C$42, 9.4681, 9.4681)*CHOOSE(CONTROL!$C$21, $C$9, 100%, $E$9)</f>
        <v>9.4680999999999997</v>
      </c>
      <c r="H240" s="14">
        <f>CHOOSE(CONTROL!$C$42, 9.5395, 9.5395) * CHOOSE(CONTROL!$C$21, $C$9, 100%, $E$9)</f>
        <v>9.5395000000000003</v>
      </c>
      <c r="I240" s="14">
        <f>CHOOSE(CONTROL!$C$42, 9.462, 9.462)* CHOOSE(CONTROL!$C$21, $C$9, 100%, $E$9)</f>
        <v>9.4619999999999997</v>
      </c>
      <c r="J240" s="14">
        <f>CHOOSE(CONTROL!$C$42, 9.4442, 9.4442)* CHOOSE(CONTROL!$C$21, $C$9, 100%, $E$9)</f>
        <v>9.4442000000000004</v>
      </c>
      <c r="K240" s="53">
        <f>CHOOSE(CONTROL!$C$42, 9.4581, 9.4581) * CHOOSE(CONTROL!$C$21, $C$9, 100%, $E$9)</f>
        <v>9.4581</v>
      </c>
      <c r="L240" s="14">
        <f>CHOOSE(CONTROL!$C$42, 10.1265, 10.1265) * CHOOSE(CONTROL!$C$21, $C$9, 100%, $E$9)</f>
        <v>10.1265</v>
      </c>
      <c r="M240" s="14">
        <f>CHOOSE(CONTROL!$C$42, 9.3628, 9.3628) * CHOOSE(CONTROL!$C$21, $C$9, 100%, $E$9)</f>
        <v>9.3628</v>
      </c>
      <c r="N240" s="14">
        <f>CHOOSE(CONTROL!$C$42, 9.3794, 9.3794) * CHOOSE(CONTROL!$C$21, $C$9, 100%, $E$9)</f>
        <v>9.3794000000000004</v>
      </c>
      <c r="O240" s="14">
        <f>CHOOSE(CONTROL!$C$42, 9.4571, 9.4571) * CHOOSE(CONTROL!$C$21, $C$9, 100%, $E$9)</f>
        <v>9.4571000000000005</v>
      </c>
      <c r="P240" s="14">
        <f>CHOOSE(CONTROL!$C$42, 9.3804, 9.3804) * CHOOSE(CONTROL!$C$21, $C$9, 100%, $E$9)</f>
        <v>9.3803999999999998</v>
      </c>
      <c r="Q240" s="14">
        <f>CHOOSE(CONTROL!$C$42, 10.0524, 10.0524) * CHOOSE(CONTROL!$C$21, $C$9, 100%, $E$9)</f>
        <v>10.0524</v>
      </c>
      <c r="R240" s="14">
        <f>CHOOSE(CONTROL!$C$42, 10.6645, 10.6645) * CHOOSE(CONTROL!$C$21, $C$9, 100%, $E$9)</f>
        <v>10.6645</v>
      </c>
      <c r="S240" s="14">
        <f>CHOOSE(CONTROL!$C$42, 9.1733, 9.1733) * CHOOSE(CONTROL!$C$21, $C$9, 100%, $E$9)</f>
        <v>9.1732999999999993</v>
      </c>
      <c r="T24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40" s="57">
        <f>(1000*CHOOSE(CONTROL!$C$42, 695, 695)*CHOOSE(CONTROL!$C$42, 0.5599, 0.5599)*CHOOSE(CONTROL!$C$42, 31, 31))/1000000</f>
        <v>12.063045499999998</v>
      </c>
      <c r="V240" s="57">
        <f>(1000*CHOOSE(CONTROL!$C$42, 500, 500)*CHOOSE(CONTROL!$C$42, 0.275, 0.275)*CHOOSE(CONTROL!$C$42, 31, 31))/1000000</f>
        <v>4.2625000000000002</v>
      </c>
      <c r="W240" s="57">
        <f>(1000*CHOOSE(CONTROL!$C$42, 0.1146, 0.1146)*CHOOSE(CONTROL!$C$42, 121.5, 121.5)*CHOOSE(CONTROL!$C$42, 31, 31))/1000000</f>
        <v>0.43164089999999994</v>
      </c>
      <c r="X240" s="57">
        <f>(31*0.1790888*100000/1000000)+(31*0.2374*100000/1000000)</f>
        <v>1.2911152800000001</v>
      </c>
      <c r="Y240" s="57"/>
      <c r="Z240" s="14"/>
      <c r="AA240" s="56"/>
      <c r="AB240" s="50">
        <f>(B240*122.58+C240*297.941+D240*89.177+E240*40.302+F240*40+G240*160+H240*0+I240*100+J240*300)/(122.58+297.941+89.177+40.302+0+40+160+100+300)</f>
        <v>9.4614832091304333</v>
      </c>
      <c r="AC240" s="45">
        <f>(M240*'RAP TEMPLATE-GAS AVAILABILITY'!O239+N240*'RAP TEMPLATE-GAS AVAILABILITY'!P239+O240*'RAP TEMPLATE-GAS AVAILABILITY'!Q239+P240*'RAP TEMPLATE-GAS AVAILABILITY'!R239)/('RAP TEMPLATE-GAS AVAILABILITY'!O239+'RAP TEMPLATE-GAS AVAILABILITY'!P239+'RAP TEMPLATE-GAS AVAILABILITY'!Q239+'RAP TEMPLATE-GAS AVAILABILITY'!R239)</f>
        <v>9.4090280575539573</v>
      </c>
    </row>
    <row r="241" spans="1:29" ht="15.75" x14ac:dyDescent="0.25">
      <c r="A241" s="13">
        <v>48214</v>
      </c>
      <c r="B241" s="14">
        <f>CHOOSE(CONTROL!$C$42, 10.2224, 10.2224) * CHOOSE(CONTROL!$C$21, $C$9, 100%, $E$9)</f>
        <v>10.2224</v>
      </c>
      <c r="C241" s="14">
        <f>CHOOSE(CONTROL!$C$42, 10.2274, 10.2274) * CHOOSE(CONTROL!$C$21, $C$9, 100%, $E$9)</f>
        <v>10.227399999999999</v>
      </c>
      <c r="D241" s="14">
        <f>CHOOSE(CONTROL!$C$42, 10.2917, 10.2917) * CHOOSE(CONTROL!$C$21, $C$9, 100%, $E$9)</f>
        <v>10.291700000000001</v>
      </c>
      <c r="E241" s="14">
        <f>CHOOSE(CONTROL!$C$42, 10.3254, 10.3254) * CHOOSE(CONTROL!$C$21, $C$9, 100%, $E$9)</f>
        <v>10.3254</v>
      </c>
      <c r="F241" s="14">
        <f>CHOOSE(CONTROL!$C$42, 10.2239, 10.2239)*CHOOSE(CONTROL!$C$21, $C$9, 100%, $E$9)</f>
        <v>10.2239</v>
      </c>
      <c r="G241" s="14">
        <f>CHOOSE(CONTROL!$C$42, 10.2399, 10.2399)*CHOOSE(CONTROL!$C$21, $C$9, 100%, $E$9)</f>
        <v>10.2399</v>
      </c>
      <c r="H241" s="14">
        <f>CHOOSE(CONTROL!$C$42, 10.3146, 10.3146) * CHOOSE(CONTROL!$C$21, $C$9, 100%, $E$9)</f>
        <v>10.3146</v>
      </c>
      <c r="I241" s="14">
        <f>CHOOSE(CONTROL!$C$42, 10.2424, 10.2424)* CHOOSE(CONTROL!$C$21, $C$9, 100%, $E$9)</f>
        <v>10.2424</v>
      </c>
      <c r="J241" s="14">
        <f>CHOOSE(CONTROL!$C$42, 10.2169, 10.2169)* CHOOSE(CONTROL!$C$21, $C$9, 100%, $E$9)</f>
        <v>10.216900000000001</v>
      </c>
      <c r="K241" s="53">
        <f>CHOOSE(CONTROL!$C$42, 10.2385, 10.2385) * CHOOSE(CONTROL!$C$21, $C$9, 100%, $E$9)</f>
        <v>10.2385</v>
      </c>
      <c r="L241" s="14">
        <f>CHOOSE(CONTROL!$C$42, 10.9016, 10.9016) * CHOOSE(CONTROL!$C$21, $C$9, 100%, $E$9)</f>
        <v>10.9016</v>
      </c>
      <c r="M241" s="14">
        <f>CHOOSE(CONTROL!$C$42, 10.1277, 10.1277) * CHOOSE(CONTROL!$C$21, $C$9, 100%, $E$9)</f>
        <v>10.127700000000001</v>
      </c>
      <c r="N241" s="14">
        <f>CHOOSE(CONTROL!$C$42, 10.1434, 10.1434) * CHOOSE(CONTROL!$C$21, $C$9, 100%, $E$9)</f>
        <v>10.1434</v>
      </c>
      <c r="O241" s="14">
        <f>CHOOSE(CONTROL!$C$42, 10.2244, 10.2244) * CHOOSE(CONTROL!$C$21, $C$9, 100%, $E$9)</f>
        <v>10.224399999999999</v>
      </c>
      <c r="P241" s="14">
        <f>CHOOSE(CONTROL!$C$42, 10.1529, 10.1529) * CHOOSE(CONTROL!$C$21, $C$9, 100%, $E$9)</f>
        <v>10.152900000000001</v>
      </c>
      <c r="Q241" s="14">
        <f>CHOOSE(CONTROL!$C$42, 10.8197, 10.8197) * CHOOSE(CONTROL!$C$21, $C$9, 100%, $E$9)</f>
        <v>10.819699999999999</v>
      </c>
      <c r="R241" s="14">
        <f>CHOOSE(CONTROL!$C$42, 11.4337, 11.4337) * CHOOSE(CONTROL!$C$21, $C$9, 100%, $E$9)</f>
        <v>11.4337</v>
      </c>
      <c r="S241" s="14">
        <f>CHOOSE(CONTROL!$C$42, 9.9249, 9.9249) * CHOOSE(CONTROL!$C$21, $C$9, 100%, $E$9)</f>
        <v>9.9248999999999992</v>
      </c>
      <c r="T24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41" s="57">
        <f>(1000*CHOOSE(CONTROL!$C$42, 695, 695)*CHOOSE(CONTROL!$C$42, 0.5599, 0.5599)*CHOOSE(CONTROL!$C$42, 31, 31))/1000000</f>
        <v>12.063045499999998</v>
      </c>
      <c r="V241" s="57">
        <f>(1000*CHOOSE(CONTROL!$C$42, 500, 500)*CHOOSE(CONTROL!$C$42, 0.275, 0.275)*CHOOSE(CONTROL!$C$42, 31, 31))/1000000</f>
        <v>4.2625000000000002</v>
      </c>
      <c r="W241" s="57">
        <f>(1000*CHOOSE(CONTROL!$C$42, 0.1146, 0.1146)*CHOOSE(CONTROL!$C$42, 121.5, 121.5)*CHOOSE(CONTROL!$C$42, 31, 31))/1000000</f>
        <v>0.43164089999999994</v>
      </c>
      <c r="X241" s="57">
        <f>(31*0.1790888*100000/1000000)+(31*0.2374*100000/1000000)</f>
        <v>1.2911152800000001</v>
      </c>
      <c r="Y241" s="57"/>
      <c r="Z241" s="14"/>
      <c r="AA241" s="56"/>
      <c r="AB241" s="50">
        <f>(B241*122.58+C241*297.941+D241*89.177+E241*40.302+F241*40+G241*160+H241*0+I241*100+J241*300)/(122.58+297.941+89.177+40.302+0+40+160+100+300)</f>
        <v>10.235470240956522</v>
      </c>
      <c r="AC241" s="45">
        <f>(M241*'RAP TEMPLATE-GAS AVAILABILITY'!O240+N241*'RAP TEMPLATE-GAS AVAILABILITY'!P240+O241*'RAP TEMPLATE-GAS AVAILABILITY'!Q240+P241*'RAP TEMPLATE-GAS AVAILABILITY'!R240)/('RAP TEMPLATE-GAS AVAILABILITY'!O240+'RAP TEMPLATE-GAS AVAILABILITY'!P240+'RAP TEMPLATE-GAS AVAILABILITY'!Q240+'RAP TEMPLATE-GAS AVAILABILITY'!R240)</f>
        <v>10.176057553956834</v>
      </c>
    </row>
    <row r="242" spans="1:29" ht="15.75" x14ac:dyDescent="0.25">
      <c r="A242" s="13">
        <v>48245</v>
      </c>
      <c r="B242" s="14">
        <f>CHOOSE(CONTROL!$C$42, 10.4044, 10.4044) * CHOOSE(CONTROL!$C$21, $C$9, 100%, $E$9)</f>
        <v>10.404400000000001</v>
      </c>
      <c r="C242" s="14">
        <f>CHOOSE(CONTROL!$C$42, 10.4093, 10.4093) * CHOOSE(CONTROL!$C$21, $C$9, 100%, $E$9)</f>
        <v>10.4093</v>
      </c>
      <c r="D242" s="14">
        <f>CHOOSE(CONTROL!$C$42, 10.4736, 10.4736) * CHOOSE(CONTROL!$C$21, $C$9, 100%, $E$9)</f>
        <v>10.473599999999999</v>
      </c>
      <c r="E242" s="14">
        <f>CHOOSE(CONTROL!$C$42, 10.5074, 10.5074) * CHOOSE(CONTROL!$C$21, $C$9, 100%, $E$9)</f>
        <v>10.507400000000001</v>
      </c>
      <c r="F242" s="14">
        <f>CHOOSE(CONTROL!$C$42, 10.4059, 10.4059)*CHOOSE(CONTROL!$C$21, $C$9, 100%, $E$9)</f>
        <v>10.405900000000001</v>
      </c>
      <c r="G242" s="14">
        <f>CHOOSE(CONTROL!$C$42, 10.4219, 10.4219)*CHOOSE(CONTROL!$C$21, $C$9, 100%, $E$9)</f>
        <v>10.421900000000001</v>
      </c>
      <c r="H242" s="14">
        <f>CHOOSE(CONTROL!$C$42, 10.4966, 10.4966) * CHOOSE(CONTROL!$C$21, $C$9, 100%, $E$9)</f>
        <v>10.496600000000001</v>
      </c>
      <c r="I242" s="14">
        <f>CHOOSE(CONTROL!$C$42, 10.4243, 10.4243)* CHOOSE(CONTROL!$C$21, $C$9, 100%, $E$9)</f>
        <v>10.424300000000001</v>
      </c>
      <c r="J242" s="14">
        <f>CHOOSE(CONTROL!$C$42, 10.3989, 10.3989)* CHOOSE(CONTROL!$C$21, $C$9, 100%, $E$9)</f>
        <v>10.398899999999999</v>
      </c>
      <c r="K242" s="53">
        <f>CHOOSE(CONTROL!$C$42, 10.4204, 10.4204) * CHOOSE(CONTROL!$C$21, $C$9, 100%, $E$9)</f>
        <v>10.420400000000001</v>
      </c>
      <c r="L242" s="14">
        <f>CHOOSE(CONTROL!$C$42, 11.0836, 11.0836) * CHOOSE(CONTROL!$C$21, $C$9, 100%, $E$9)</f>
        <v>11.083600000000001</v>
      </c>
      <c r="M242" s="14">
        <f>CHOOSE(CONTROL!$C$42, 10.3078, 10.3078) * CHOOSE(CONTROL!$C$21, $C$9, 100%, $E$9)</f>
        <v>10.3078</v>
      </c>
      <c r="N242" s="14">
        <f>CHOOSE(CONTROL!$C$42, 10.3236, 10.3236) * CHOOSE(CONTROL!$C$21, $C$9, 100%, $E$9)</f>
        <v>10.323600000000001</v>
      </c>
      <c r="O242" s="14">
        <f>CHOOSE(CONTROL!$C$42, 10.4045, 10.4045) * CHOOSE(CONTROL!$C$21, $C$9, 100%, $E$9)</f>
        <v>10.404500000000001</v>
      </c>
      <c r="P242" s="14">
        <f>CHOOSE(CONTROL!$C$42, 10.333, 10.333) * CHOOSE(CONTROL!$C$21, $C$9, 100%, $E$9)</f>
        <v>10.333</v>
      </c>
      <c r="Q242" s="14">
        <f>CHOOSE(CONTROL!$C$42, 10.9998, 10.9998) * CHOOSE(CONTROL!$C$21, $C$9, 100%, $E$9)</f>
        <v>10.9998</v>
      </c>
      <c r="R242" s="14">
        <f>CHOOSE(CONTROL!$C$42, 11.6143, 11.6143) * CHOOSE(CONTROL!$C$21, $C$9, 100%, $E$9)</f>
        <v>11.6143</v>
      </c>
      <c r="S242" s="14">
        <f>CHOOSE(CONTROL!$C$42, 10.1015, 10.1015) * CHOOSE(CONTROL!$C$21, $C$9, 100%, $E$9)</f>
        <v>10.1015</v>
      </c>
      <c r="T242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242" s="57">
        <f>(1000*CHOOSE(CONTROL!$C$42, 695, 695)*CHOOSE(CONTROL!$C$42, 0.5599, 0.5599)*CHOOSE(CONTROL!$C$42, 29, 29))/1000000</f>
        <v>11.284784499999999</v>
      </c>
      <c r="V242" s="57">
        <f>(1000*CHOOSE(CONTROL!$C$42, 500, 500)*CHOOSE(CONTROL!$C$42, 0.275, 0.275)*CHOOSE(CONTROL!$C$42, 29, 29))/1000000</f>
        <v>3.9874999999999998</v>
      </c>
      <c r="W242" s="57">
        <f>(1000*CHOOSE(CONTROL!$C$42, 0.1146, 0.1146)*CHOOSE(CONTROL!$C$42, 121.5, 121.5)*CHOOSE(CONTROL!$C$42, 29, 29))/1000000</f>
        <v>0.40379309999999996</v>
      </c>
      <c r="X242" s="57">
        <f>(29*0.1790888*100000/1000000)+(29*0.2374*100000/1000000)</f>
        <v>1.2078175199999999</v>
      </c>
      <c r="Y242" s="57"/>
      <c r="Z242" s="14"/>
      <c r="AA242" s="56"/>
      <c r="AB242" s="50">
        <f>(B242*122.58+C242*297.941+D242*89.177+E242*40.302+F242*40+G242*160+H242*0+I242*100+J242*300)/(122.58+297.941+89.177+40.302+0+40+160+100+300)</f>
        <v>10.417427882869566</v>
      </c>
      <c r="AC242" s="45">
        <f>(M242*'RAP TEMPLATE-GAS AVAILABILITY'!O241+N242*'RAP TEMPLATE-GAS AVAILABILITY'!P241+O242*'RAP TEMPLATE-GAS AVAILABILITY'!Q241+P242*'RAP TEMPLATE-GAS AVAILABILITY'!R241)/('RAP TEMPLATE-GAS AVAILABILITY'!O241+'RAP TEMPLATE-GAS AVAILABILITY'!P241+'RAP TEMPLATE-GAS AVAILABILITY'!Q241+'RAP TEMPLATE-GAS AVAILABILITY'!R241)</f>
        <v>10.356163309352519</v>
      </c>
    </row>
    <row r="243" spans="1:29" ht="15.75" x14ac:dyDescent="0.25">
      <c r="A243" s="13">
        <v>48274</v>
      </c>
      <c r="B243" s="14">
        <f>CHOOSE(CONTROL!$C$42, 10.109, 10.109) * CHOOSE(CONTROL!$C$21, $C$9, 100%, $E$9)</f>
        <v>10.109</v>
      </c>
      <c r="C243" s="14">
        <f>CHOOSE(CONTROL!$C$42, 10.114, 10.114) * CHOOSE(CONTROL!$C$21, $C$9, 100%, $E$9)</f>
        <v>10.114000000000001</v>
      </c>
      <c r="D243" s="14">
        <f>CHOOSE(CONTROL!$C$42, 10.1783, 10.1783) * CHOOSE(CONTROL!$C$21, $C$9, 100%, $E$9)</f>
        <v>10.1783</v>
      </c>
      <c r="E243" s="14">
        <f>CHOOSE(CONTROL!$C$42, 10.2121, 10.2121) * CHOOSE(CONTROL!$C$21, $C$9, 100%, $E$9)</f>
        <v>10.2121</v>
      </c>
      <c r="F243" s="14">
        <f>CHOOSE(CONTROL!$C$42, 10.1103, 10.1103)*CHOOSE(CONTROL!$C$21, $C$9, 100%, $E$9)</f>
        <v>10.110300000000001</v>
      </c>
      <c r="G243" s="14">
        <f>CHOOSE(CONTROL!$C$42, 10.1261, 10.1261)*CHOOSE(CONTROL!$C$21, $C$9, 100%, $E$9)</f>
        <v>10.126099999999999</v>
      </c>
      <c r="H243" s="14">
        <f>CHOOSE(CONTROL!$C$42, 10.2013, 10.2013) * CHOOSE(CONTROL!$C$21, $C$9, 100%, $E$9)</f>
        <v>10.2013</v>
      </c>
      <c r="I243" s="14">
        <f>CHOOSE(CONTROL!$C$42, 10.129, 10.129)* CHOOSE(CONTROL!$C$21, $C$9, 100%, $E$9)</f>
        <v>10.129</v>
      </c>
      <c r="J243" s="14">
        <f>CHOOSE(CONTROL!$C$42, 10.1033, 10.1033)* CHOOSE(CONTROL!$C$21, $C$9, 100%, $E$9)</f>
        <v>10.103300000000001</v>
      </c>
      <c r="K243" s="53">
        <f>CHOOSE(CONTROL!$C$42, 10.1251, 10.1251) * CHOOSE(CONTROL!$C$21, $C$9, 100%, $E$9)</f>
        <v>10.1251</v>
      </c>
      <c r="L243" s="14">
        <f>CHOOSE(CONTROL!$C$42, 10.7883, 10.7883) * CHOOSE(CONTROL!$C$21, $C$9, 100%, $E$9)</f>
        <v>10.7883</v>
      </c>
      <c r="M243" s="14">
        <f>CHOOSE(CONTROL!$C$42, 10.0152, 10.0152) * CHOOSE(CONTROL!$C$21, $C$9, 100%, $E$9)</f>
        <v>10.0152</v>
      </c>
      <c r="N243" s="14">
        <f>CHOOSE(CONTROL!$C$42, 10.0309, 10.0309) * CHOOSE(CONTROL!$C$21, $C$9, 100%, $E$9)</f>
        <v>10.030900000000001</v>
      </c>
      <c r="O243" s="14">
        <f>CHOOSE(CONTROL!$C$42, 10.1121, 10.1121) * CHOOSE(CONTROL!$C$21, $C$9, 100%, $E$9)</f>
        <v>10.1121</v>
      </c>
      <c r="P243" s="14">
        <f>CHOOSE(CONTROL!$C$42, 10.0407, 10.0407) * CHOOSE(CONTROL!$C$21, $C$9, 100%, $E$9)</f>
        <v>10.040699999999999</v>
      </c>
      <c r="Q243" s="14">
        <f>CHOOSE(CONTROL!$C$42, 10.7074, 10.7074) * CHOOSE(CONTROL!$C$21, $C$9, 100%, $E$9)</f>
        <v>10.7074</v>
      </c>
      <c r="R243" s="14">
        <f>CHOOSE(CONTROL!$C$42, 11.3212, 11.3212) * CHOOSE(CONTROL!$C$21, $C$9, 100%, $E$9)</f>
        <v>11.321199999999999</v>
      </c>
      <c r="S243" s="14">
        <f>CHOOSE(CONTROL!$C$42, 9.8148, 9.8148) * CHOOSE(CONTROL!$C$21, $C$9, 100%, $E$9)</f>
        <v>9.8148</v>
      </c>
      <c r="T24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43" s="57">
        <f>(1000*CHOOSE(CONTROL!$C$42, 695, 695)*CHOOSE(CONTROL!$C$42, 0.5599, 0.5599)*CHOOSE(CONTROL!$C$42, 31, 31))/1000000</f>
        <v>12.063045499999998</v>
      </c>
      <c r="V243" s="57">
        <f>(1000*CHOOSE(CONTROL!$C$42, 500, 500)*CHOOSE(CONTROL!$C$42, 0.275, 0.275)*CHOOSE(CONTROL!$C$42, 31, 31))/1000000</f>
        <v>4.2625000000000002</v>
      </c>
      <c r="W243" s="57">
        <f>(1000*CHOOSE(CONTROL!$C$42, 0.1146, 0.1146)*CHOOSE(CONTROL!$C$42, 121.5, 121.5)*CHOOSE(CONTROL!$C$42, 31, 31))/1000000</f>
        <v>0.43164089999999994</v>
      </c>
      <c r="X243" s="57">
        <f>(31*0.1790888*100000/1000000)+(31*0.2374*100000/1000000)</f>
        <v>1.2911152800000001</v>
      </c>
      <c r="Y243" s="57"/>
      <c r="Z243" s="14"/>
      <c r="AA243" s="56"/>
      <c r="AB243" s="50">
        <f>(B243*122.58+C243*297.941+D243*89.177+E243*40.302+F243*40+G243*160+H243*0+I243*100+J243*300)/(122.58+297.941+89.177+40.302+0+40+160+100+300)</f>
        <v>10.121958962869565</v>
      </c>
      <c r="AC243" s="45">
        <f>(M243*'RAP TEMPLATE-GAS AVAILABILITY'!O242+N243*'RAP TEMPLATE-GAS AVAILABILITY'!P242+O243*'RAP TEMPLATE-GAS AVAILABILITY'!Q242+P243*'RAP TEMPLATE-GAS AVAILABILITY'!R242)/('RAP TEMPLATE-GAS AVAILABILITY'!O242+'RAP TEMPLATE-GAS AVAILABILITY'!P242+'RAP TEMPLATE-GAS AVAILABILITY'!Q242+'RAP TEMPLATE-GAS AVAILABILITY'!R242)</f>
        <v>10.063691366906474</v>
      </c>
    </row>
    <row r="244" spans="1:29" ht="15.75" x14ac:dyDescent="0.25">
      <c r="A244" s="13">
        <v>48305</v>
      </c>
      <c r="B244" s="14">
        <f>CHOOSE(CONTROL!$C$42, 10.08, 10.08) * CHOOSE(CONTROL!$C$21, $C$9, 100%, $E$9)</f>
        <v>10.08</v>
      </c>
      <c r="C244" s="14">
        <f>CHOOSE(CONTROL!$C$42, 10.0843, 10.0843) * CHOOSE(CONTROL!$C$21, $C$9, 100%, $E$9)</f>
        <v>10.084300000000001</v>
      </c>
      <c r="D244" s="14">
        <f>CHOOSE(CONTROL!$C$42, 10.2851, 10.2851) * CHOOSE(CONTROL!$C$21, $C$9, 100%, $E$9)</f>
        <v>10.2851</v>
      </c>
      <c r="E244" s="14">
        <f>CHOOSE(CONTROL!$C$42, 10.3168, 10.3168) * CHOOSE(CONTROL!$C$21, $C$9, 100%, $E$9)</f>
        <v>10.316800000000001</v>
      </c>
      <c r="F244" s="14">
        <f>CHOOSE(CONTROL!$C$42, 10.0645, 10.0645)*CHOOSE(CONTROL!$C$21, $C$9, 100%, $E$9)</f>
        <v>10.064500000000001</v>
      </c>
      <c r="G244" s="14">
        <f>CHOOSE(CONTROL!$C$42, 10.0802, 10.0802)*CHOOSE(CONTROL!$C$21, $C$9, 100%, $E$9)</f>
        <v>10.0802</v>
      </c>
      <c r="H244" s="14">
        <f>CHOOSE(CONTROL!$C$42, 10.3066, 10.3066) * CHOOSE(CONTROL!$C$21, $C$9, 100%, $E$9)</f>
        <v>10.3066</v>
      </c>
      <c r="I244" s="14">
        <f>CHOOSE(CONTROL!$C$42, 10.0927, 10.0927)* CHOOSE(CONTROL!$C$21, $C$9, 100%, $E$9)</f>
        <v>10.092700000000001</v>
      </c>
      <c r="J244" s="14">
        <f>CHOOSE(CONTROL!$C$42, 10.0575, 10.0575)* CHOOSE(CONTROL!$C$21, $C$9, 100%, $E$9)</f>
        <v>10.057499999999999</v>
      </c>
      <c r="K244" s="53">
        <f>CHOOSE(CONTROL!$C$42, 10.0888, 10.0888) * CHOOSE(CONTROL!$C$21, $C$9, 100%, $E$9)</f>
        <v>10.088800000000001</v>
      </c>
      <c r="L244" s="14">
        <f>CHOOSE(CONTROL!$C$42, 10.8936, 10.8936) * CHOOSE(CONTROL!$C$21, $C$9, 100%, $E$9)</f>
        <v>10.893599999999999</v>
      </c>
      <c r="M244" s="14">
        <f>CHOOSE(CONTROL!$C$42, 9.9699, 9.9699) * CHOOSE(CONTROL!$C$21, $C$9, 100%, $E$9)</f>
        <v>9.9699000000000009</v>
      </c>
      <c r="N244" s="14">
        <f>CHOOSE(CONTROL!$C$42, 9.9853, 9.9853) * CHOOSE(CONTROL!$C$21, $C$9, 100%, $E$9)</f>
        <v>9.9853000000000005</v>
      </c>
      <c r="O244" s="14">
        <f>CHOOSE(CONTROL!$C$42, 10.2164, 10.2164) * CHOOSE(CONTROL!$C$21, $C$9, 100%, $E$9)</f>
        <v>10.2164</v>
      </c>
      <c r="P244" s="14">
        <f>CHOOSE(CONTROL!$C$42, 10.0047, 10.0047) * CHOOSE(CONTROL!$C$21, $C$9, 100%, $E$9)</f>
        <v>10.0047</v>
      </c>
      <c r="Q244" s="14">
        <f>CHOOSE(CONTROL!$C$42, 10.8117, 10.8117) * CHOOSE(CONTROL!$C$21, $C$9, 100%, $E$9)</f>
        <v>10.8117</v>
      </c>
      <c r="R244" s="14">
        <f>CHOOSE(CONTROL!$C$42, 11.4258, 11.4258) * CHOOSE(CONTROL!$C$21, $C$9, 100%, $E$9)</f>
        <v>11.425800000000001</v>
      </c>
      <c r="S244" s="14">
        <f>CHOOSE(CONTROL!$C$42, 9.7858, 9.7858) * CHOOSE(CONTROL!$C$21, $C$9, 100%, $E$9)</f>
        <v>9.7858000000000001</v>
      </c>
      <c r="T24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44" s="57">
        <f>(1000*CHOOSE(CONTROL!$C$42, 695, 695)*CHOOSE(CONTROL!$C$42, 0.5599, 0.5599)*CHOOSE(CONTROL!$C$42, 30, 30))/1000000</f>
        <v>11.673914999999997</v>
      </c>
      <c r="V244" s="57">
        <f>(1000*CHOOSE(CONTROL!$C$42, 500, 500)*CHOOSE(CONTROL!$C$42, 0.275, 0.275)*CHOOSE(CONTROL!$C$42, 30, 30))/1000000</f>
        <v>4.125</v>
      </c>
      <c r="W244" s="57">
        <f>(1000*CHOOSE(CONTROL!$C$42, 0.1146, 0.1146)*CHOOSE(CONTROL!$C$42, 121.5, 121.5)*CHOOSE(CONTROL!$C$42, 30, 30))/1000000</f>
        <v>0.417717</v>
      </c>
      <c r="X244" s="57">
        <f>(30*0.1790888*245000/1000000)+(30*0.2374*100000/1000000)</f>
        <v>2.0285026799999999</v>
      </c>
      <c r="Y244" s="57"/>
      <c r="Z244" s="14"/>
      <c r="AA244" s="56"/>
      <c r="AB244" s="50">
        <f>(B244*141.293+C244*267.993+D244*115.016+E244*89.698+F244*40+G244*185+H244*0+I244*100+J244*300)/(141.293+267.993+115.016+89.698+0+40+185+100+300)</f>
        <v>10.112219239628734</v>
      </c>
      <c r="AC244" s="45">
        <f>(M244*'RAP TEMPLATE-GAS AVAILABILITY'!O243+N244*'RAP TEMPLATE-GAS AVAILABILITY'!P243+O244*'RAP TEMPLATE-GAS AVAILABILITY'!Q243+P244*'RAP TEMPLATE-GAS AVAILABILITY'!R243)/('RAP TEMPLATE-GAS AVAILABILITY'!O243+'RAP TEMPLATE-GAS AVAILABILITY'!P243+'RAP TEMPLATE-GAS AVAILABILITY'!Q243+'RAP TEMPLATE-GAS AVAILABILITY'!R243)</f>
        <v>10.04761438848921</v>
      </c>
    </row>
    <row r="245" spans="1:29" ht="15.75" x14ac:dyDescent="0.25">
      <c r="A245" s="13">
        <v>48335</v>
      </c>
      <c r="B245" s="14">
        <f>CHOOSE(CONTROL!$C$42, 10.1703, 10.1703) * CHOOSE(CONTROL!$C$21, $C$9, 100%, $E$9)</f>
        <v>10.170299999999999</v>
      </c>
      <c r="C245" s="14">
        <f>CHOOSE(CONTROL!$C$42, 10.1782, 10.1782) * CHOOSE(CONTROL!$C$21, $C$9, 100%, $E$9)</f>
        <v>10.1782</v>
      </c>
      <c r="D245" s="14">
        <f>CHOOSE(CONTROL!$C$42, 10.3758, 10.3758) * CHOOSE(CONTROL!$C$21, $C$9, 100%, $E$9)</f>
        <v>10.3758</v>
      </c>
      <c r="E245" s="14">
        <f>CHOOSE(CONTROL!$C$42, 10.4069, 10.4069) * CHOOSE(CONTROL!$C$21, $C$9, 100%, $E$9)</f>
        <v>10.4069</v>
      </c>
      <c r="F245" s="14">
        <f>CHOOSE(CONTROL!$C$42, 10.1537, 10.1537)*CHOOSE(CONTROL!$C$21, $C$9, 100%, $E$9)</f>
        <v>10.153700000000001</v>
      </c>
      <c r="G245" s="14">
        <f>CHOOSE(CONTROL!$C$42, 10.1698, 10.1698)*CHOOSE(CONTROL!$C$21, $C$9, 100%, $E$9)</f>
        <v>10.1698</v>
      </c>
      <c r="H245" s="14">
        <f>CHOOSE(CONTROL!$C$42, 10.3956, 10.3956) * CHOOSE(CONTROL!$C$21, $C$9, 100%, $E$9)</f>
        <v>10.3956</v>
      </c>
      <c r="I245" s="14">
        <f>CHOOSE(CONTROL!$C$42, 10.1817, 10.1817)* CHOOSE(CONTROL!$C$21, $C$9, 100%, $E$9)</f>
        <v>10.181699999999999</v>
      </c>
      <c r="J245" s="14">
        <f>CHOOSE(CONTROL!$C$42, 10.1467, 10.1467)* CHOOSE(CONTROL!$C$21, $C$9, 100%, $E$9)</f>
        <v>10.146699999999999</v>
      </c>
      <c r="K245" s="53">
        <f>CHOOSE(CONTROL!$C$42, 10.1778, 10.1778) * CHOOSE(CONTROL!$C$21, $C$9, 100%, $E$9)</f>
        <v>10.1778</v>
      </c>
      <c r="L245" s="14">
        <f>CHOOSE(CONTROL!$C$42, 10.9826, 10.9826) * CHOOSE(CONTROL!$C$21, $C$9, 100%, $E$9)</f>
        <v>10.9826</v>
      </c>
      <c r="M245" s="14">
        <f>CHOOSE(CONTROL!$C$42, 10.0581, 10.0581) * CHOOSE(CONTROL!$C$21, $C$9, 100%, $E$9)</f>
        <v>10.0581</v>
      </c>
      <c r="N245" s="14">
        <f>CHOOSE(CONTROL!$C$42, 10.0741, 10.0741) * CHOOSE(CONTROL!$C$21, $C$9, 100%, $E$9)</f>
        <v>10.0741</v>
      </c>
      <c r="O245" s="14">
        <f>CHOOSE(CONTROL!$C$42, 10.3045, 10.3045) * CHOOSE(CONTROL!$C$21, $C$9, 100%, $E$9)</f>
        <v>10.304500000000001</v>
      </c>
      <c r="P245" s="14">
        <f>CHOOSE(CONTROL!$C$42, 10.0928, 10.0928) * CHOOSE(CONTROL!$C$21, $C$9, 100%, $E$9)</f>
        <v>10.0928</v>
      </c>
      <c r="Q245" s="14">
        <f>CHOOSE(CONTROL!$C$42, 10.8998, 10.8998) * CHOOSE(CONTROL!$C$21, $C$9, 100%, $E$9)</f>
        <v>10.899800000000001</v>
      </c>
      <c r="R245" s="14">
        <f>CHOOSE(CONTROL!$C$42, 11.514, 11.514) * CHOOSE(CONTROL!$C$21, $C$9, 100%, $E$9)</f>
        <v>11.513999999999999</v>
      </c>
      <c r="S245" s="14">
        <f>CHOOSE(CONTROL!$C$42, 9.8721, 9.8721) * CHOOSE(CONTROL!$C$21, $C$9, 100%, $E$9)</f>
        <v>9.8720999999999997</v>
      </c>
      <c r="T24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45" s="57">
        <f>(1000*CHOOSE(CONTROL!$C$42, 695, 695)*CHOOSE(CONTROL!$C$42, 0.5599, 0.5599)*CHOOSE(CONTROL!$C$42, 31, 31))/1000000</f>
        <v>12.063045499999998</v>
      </c>
      <c r="V245" s="57">
        <f>(1000*CHOOSE(CONTROL!$C$42, 500, 500)*CHOOSE(CONTROL!$C$42, 0.275, 0.275)*CHOOSE(CONTROL!$C$42, 31, 31))/1000000</f>
        <v>4.2625000000000002</v>
      </c>
      <c r="W245" s="57">
        <f>(1000*CHOOSE(CONTROL!$C$42, 0.1146, 0.1146)*CHOOSE(CONTROL!$C$42, 121.5, 121.5)*CHOOSE(CONTROL!$C$42, 31, 31))/1000000</f>
        <v>0.43164089999999994</v>
      </c>
      <c r="X245" s="57">
        <f>(31*0.1790888*245000/1000000)+(31*0.2374*100000/1000000)</f>
        <v>2.0961194359999999</v>
      </c>
      <c r="Y245" s="57"/>
      <c r="Z245" s="14"/>
      <c r="AA245" s="56"/>
      <c r="AB245" s="50">
        <f>(B245*194.205+C245*267.466+D245*133.845+E245*53.484+F245*40+G245*185+H245*0+I245*100+J245*300)/(194.205+267.466+133.845+53.484+0+40+185+100+300)</f>
        <v>10.198224602276296</v>
      </c>
      <c r="AC245" s="45">
        <f>(M245*'RAP TEMPLATE-GAS AVAILABILITY'!O244+N245*'RAP TEMPLATE-GAS AVAILABILITY'!P244+O245*'RAP TEMPLATE-GAS AVAILABILITY'!Q244+P245*'RAP TEMPLATE-GAS AVAILABILITY'!R244)/('RAP TEMPLATE-GAS AVAILABILITY'!O244+'RAP TEMPLATE-GAS AVAILABILITY'!P244+'RAP TEMPLATE-GAS AVAILABILITY'!Q244+'RAP TEMPLATE-GAS AVAILABILITY'!R244)</f>
        <v>10.135910071942448</v>
      </c>
    </row>
    <row r="246" spans="1:29" ht="15.75" x14ac:dyDescent="0.25">
      <c r="A246" s="13">
        <v>48366</v>
      </c>
      <c r="B246" s="14">
        <f>CHOOSE(CONTROL!$C$42, 10.4586, 10.4586) * CHOOSE(CONTROL!$C$21, $C$9, 100%, $E$9)</f>
        <v>10.458600000000001</v>
      </c>
      <c r="C246" s="14">
        <f>CHOOSE(CONTROL!$C$42, 10.4665, 10.4665) * CHOOSE(CONTROL!$C$21, $C$9, 100%, $E$9)</f>
        <v>10.4665</v>
      </c>
      <c r="D246" s="14">
        <f>CHOOSE(CONTROL!$C$42, 10.6641, 10.6641) * CHOOSE(CONTROL!$C$21, $C$9, 100%, $E$9)</f>
        <v>10.664099999999999</v>
      </c>
      <c r="E246" s="14">
        <f>CHOOSE(CONTROL!$C$42, 10.6953, 10.6953) * CHOOSE(CONTROL!$C$21, $C$9, 100%, $E$9)</f>
        <v>10.6953</v>
      </c>
      <c r="F246" s="14">
        <f>CHOOSE(CONTROL!$C$42, 10.4425, 10.4425)*CHOOSE(CONTROL!$C$21, $C$9, 100%, $E$9)</f>
        <v>10.442500000000001</v>
      </c>
      <c r="G246" s="14">
        <f>CHOOSE(CONTROL!$C$42, 10.4586, 10.4586)*CHOOSE(CONTROL!$C$21, $C$9, 100%, $E$9)</f>
        <v>10.458600000000001</v>
      </c>
      <c r="H246" s="14">
        <f>CHOOSE(CONTROL!$C$42, 10.6839, 10.6839) * CHOOSE(CONTROL!$C$21, $C$9, 100%, $E$9)</f>
        <v>10.6839</v>
      </c>
      <c r="I246" s="14">
        <f>CHOOSE(CONTROL!$C$42, 10.47, 10.47)* CHOOSE(CONTROL!$C$21, $C$9, 100%, $E$9)</f>
        <v>10.47</v>
      </c>
      <c r="J246" s="14">
        <f>CHOOSE(CONTROL!$C$42, 10.4355, 10.4355)* CHOOSE(CONTROL!$C$21, $C$9, 100%, $E$9)</f>
        <v>10.435499999999999</v>
      </c>
      <c r="K246" s="53">
        <f>CHOOSE(CONTROL!$C$42, 10.4661, 10.4661) * CHOOSE(CONTROL!$C$21, $C$9, 100%, $E$9)</f>
        <v>10.466100000000001</v>
      </c>
      <c r="L246" s="14">
        <f>CHOOSE(CONTROL!$C$42, 11.2709, 11.2709) * CHOOSE(CONTROL!$C$21, $C$9, 100%, $E$9)</f>
        <v>11.270899999999999</v>
      </c>
      <c r="M246" s="14">
        <f>CHOOSE(CONTROL!$C$42, 10.344, 10.344) * CHOOSE(CONTROL!$C$21, $C$9, 100%, $E$9)</f>
        <v>10.343999999999999</v>
      </c>
      <c r="N246" s="14">
        <f>CHOOSE(CONTROL!$C$42, 10.36, 10.36) * CHOOSE(CONTROL!$C$21, $C$9, 100%, $E$9)</f>
        <v>10.36</v>
      </c>
      <c r="O246" s="14">
        <f>CHOOSE(CONTROL!$C$42, 10.5899, 10.5899) * CHOOSE(CONTROL!$C$21, $C$9, 100%, $E$9)</f>
        <v>10.5899</v>
      </c>
      <c r="P246" s="14">
        <f>CHOOSE(CONTROL!$C$42, 10.3782, 10.3782) * CHOOSE(CONTROL!$C$21, $C$9, 100%, $E$9)</f>
        <v>10.3782</v>
      </c>
      <c r="Q246" s="14">
        <f>CHOOSE(CONTROL!$C$42, 11.1852, 11.1852) * CHOOSE(CONTROL!$C$21, $C$9, 100%, $E$9)</f>
        <v>11.1852</v>
      </c>
      <c r="R246" s="14">
        <f>CHOOSE(CONTROL!$C$42, 11.8002, 11.8002) * CHOOSE(CONTROL!$C$21, $C$9, 100%, $E$9)</f>
        <v>11.8002</v>
      </c>
      <c r="S246" s="14">
        <f>CHOOSE(CONTROL!$C$42, 10.1521, 10.1521) * CHOOSE(CONTROL!$C$21, $C$9, 100%, $E$9)</f>
        <v>10.152100000000001</v>
      </c>
      <c r="T24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46" s="57">
        <f>(1000*CHOOSE(CONTROL!$C$42, 695, 695)*CHOOSE(CONTROL!$C$42, 0.5599, 0.5599)*CHOOSE(CONTROL!$C$42, 30, 30))/1000000</f>
        <v>11.673914999999997</v>
      </c>
      <c r="V246" s="57">
        <f>(1000*CHOOSE(CONTROL!$C$42, 500, 500)*CHOOSE(CONTROL!$C$42, 0.275, 0.275)*CHOOSE(CONTROL!$C$42, 30, 30))/1000000</f>
        <v>4.125</v>
      </c>
      <c r="W246" s="57">
        <f>(1000*CHOOSE(CONTROL!$C$42, 0.1146, 0.1146)*CHOOSE(CONTROL!$C$42, 121.5, 121.5)*CHOOSE(CONTROL!$C$42, 30, 30))/1000000</f>
        <v>0.417717</v>
      </c>
      <c r="X246" s="57">
        <f>(30*0.1790888*245000/1000000)+(30*0.2374*100000/1000000)</f>
        <v>2.0285026799999999</v>
      </c>
      <c r="Y246" s="57"/>
      <c r="Z246" s="14"/>
      <c r="AA246" s="56"/>
      <c r="AB246" s="50">
        <f>(B246*194.205+C246*267.466+D246*133.845+E246*53.484+F246*40+G246*185+H246*0+I246*100+J246*300)/(194.205+267.466+133.845+53.484+0+40+185+100+300)</f>
        <v>10.486734844348508</v>
      </c>
      <c r="AC246" s="45">
        <f>(M246*'RAP TEMPLATE-GAS AVAILABILITY'!O245+N246*'RAP TEMPLATE-GAS AVAILABILITY'!P245+O246*'RAP TEMPLATE-GAS AVAILABILITY'!Q245+P246*'RAP TEMPLATE-GAS AVAILABILITY'!R245)/('RAP TEMPLATE-GAS AVAILABILITY'!O245+'RAP TEMPLATE-GAS AVAILABILITY'!P245+'RAP TEMPLATE-GAS AVAILABILITY'!Q245+'RAP TEMPLATE-GAS AVAILABILITY'!R245)</f>
        <v>10.421597841726618</v>
      </c>
    </row>
    <row r="247" spans="1:29" ht="15.75" x14ac:dyDescent="0.25">
      <c r="A247" s="13">
        <v>48396</v>
      </c>
      <c r="B247" s="14">
        <f>CHOOSE(CONTROL!$C$42, 10.2581, 10.2581) * CHOOSE(CONTROL!$C$21, $C$9, 100%, $E$9)</f>
        <v>10.258100000000001</v>
      </c>
      <c r="C247" s="14">
        <f>CHOOSE(CONTROL!$C$42, 10.266, 10.266) * CHOOSE(CONTROL!$C$21, $C$9, 100%, $E$9)</f>
        <v>10.266</v>
      </c>
      <c r="D247" s="14">
        <f>CHOOSE(CONTROL!$C$42, 10.4636, 10.4636) * CHOOSE(CONTROL!$C$21, $C$9, 100%, $E$9)</f>
        <v>10.4636</v>
      </c>
      <c r="E247" s="14">
        <f>CHOOSE(CONTROL!$C$42, 10.4947, 10.4947) * CHOOSE(CONTROL!$C$21, $C$9, 100%, $E$9)</f>
        <v>10.4947</v>
      </c>
      <c r="F247" s="14">
        <f>CHOOSE(CONTROL!$C$42, 10.2423, 10.2423)*CHOOSE(CONTROL!$C$21, $C$9, 100%, $E$9)</f>
        <v>10.2423</v>
      </c>
      <c r="G247" s="14">
        <f>CHOOSE(CONTROL!$C$42, 10.2586, 10.2586)*CHOOSE(CONTROL!$C$21, $C$9, 100%, $E$9)</f>
        <v>10.258599999999999</v>
      </c>
      <c r="H247" s="14">
        <f>CHOOSE(CONTROL!$C$42, 10.4834, 10.4834) * CHOOSE(CONTROL!$C$21, $C$9, 100%, $E$9)</f>
        <v>10.4834</v>
      </c>
      <c r="I247" s="14">
        <f>CHOOSE(CONTROL!$C$42, 10.2695, 10.2695)* CHOOSE(CONTROL!$C$21, $C$9, 100%, $E$9)</f>
        <v>10.269500000000001</v>
      </c>
      <c r="J247" s="14">
        <f>CHOOSE(CONTROL!$C$42, 10.2353, 10.2353)* CHOOSE(CONTROL!$C$21, $C$9, 100%, $E$9)</f>
        <v>10.235300000000001</v>
      </c>
      <c r="K247" s="53">
        <f>CHOOSE(CONTROL!$C$42, 10.2656, 10.2656) * CHOOSE(CONTROL!$C$21, $C$9, 100%, $E$9)</f>
        <v>10.265599999999999</v>
      </c>
      <c r="L247" s="14">
        <f>CHOOSE(CONTROL!$C$42, 11.0704, 11.0704) * CHOOSE(CONTROL!$C$21, $C$9, 100%, $E$9)</f>
        <v>11.070399999999999</v>
      </c>
      <c r="M247" s="14">
        <f>CHOOSE(CONTROL!$C$42, 10.1459, 10.1459) * CHOOSE(CONTROL!$C$21, $C$9, 100%, $E$9)</f>
        <v>10.145899999999999</v>
      </c>
      <c r="N247" s="14">
        <f>CHOOSE(CONTROL!$C$42, 10.162, 10.162) * CHOOSE(CONTROL!$C$21, $C$9, 100%, $E$9)</f>
        <v>10.162000000000001</v>
      </c>
      <c r="O247" s="14">
        <f>CHOOSE(CONTROL!$C$42, 10.3914, 10.3914) * CHOOSE(CONTROL!$C$21, $C$9, 100%, $E$9)</f>
        <v>10.391400000000001</v>
      </c>
      <c r="P247" s="14">
        <f>CHOOSE(CONTROL!$C$42, 10.1797, 10.1797) * CHOOSE(CONTROL!$C$21, $C$9, 100%, $E$9)</f>
        <v>10.1797</v>
      </c>
      <c r="Q247" s="14">
        <f>CHOOSE(CONTROL!$C$42, 10.9867, 10.9867) * CHOOSE(CONTROL!$C$21, $C$9, 100%, $E$9)</f>
        <v>10.986700000000001</v>
      </c>
      <c r="R247" s="14">
        <f>CHOOSE(CONTROL!$C$42, 11.6012, 11.6012) * CHOOSE(CONTROL!$C$21, $C$9, 100%, $E$9)</f>
        <v>11.6012</v>
      </c>
      <c r="S247" s="14">
        <f>CHOOSE(CONTROL!$C$42, 9.9574, 9.9574) * CHOOSE(CONTROL!$C$21, $C$9, 100%, $E$9)</f>
        <v>9.9573999999999998</v>
      </c>
      <c r="T24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47" s="57">
        <f>(1000*CHOOSE(CONTROL!$C$42, 695, 695)*CHOOSE(CONTROL!$C$42, 0.5599, 0.5599)*CHOOSE(CONTROL!$C$42, 31, 31))/1000000</f>
        <v>12.063045499999998</v>
      </c>
      <c r="V247" s="57">
        <f>(1000*CHOOSE(CONTROL!$C$42, 500, 500)*CHOOSE(CONTROL!$C$42, 0.275, 0.275)*CHOOSE(CONTROL!$C$42, 31, 31))/1000000</f>
        <v>4.2625000000000002</v>
      </c>
      <c r="W247" s="57">
        <f>(1000*CHOOSE(CONTROL!$C$42, 0.1146, 0.1146)*CHOOSE(CONTROL!$C$42, 121.5, 121.5)*CHOOSE(CONTROL!$C$42, 31, 31))/1000000</f>
        <v>0.43164089999999994</v>
      </c>
      <c r="X247" s="57">
        <f>(31*0.1790888*245000/1000000)+(31*0.2374*100000/1000000)</f>
        <v>2.0961194359999999</v>
      </c>
      <c r="Y247" s="57"/>
      <c r="Z247" s="14"/>
      <c r="AA247" s="56"/>
      <c r="AB247" s="50">
        <f>(B247*194.205+C247*267.466+D247*133.845+E247*53.484+F247*40+G247*185+H247*0+I247*100+J247*300)/(194.205+267.466+133.845+53.484+0+40+185+100+300)</f>
        <v>10.286383314992152</v>
      </c>
      <c r="AC247" s="45">
        <f>(M247*'RAP TEMPLATE-GAS AVAILABILITY'!O246+N247*'RAP TEMPLATE-GAS AVAILABILITY'!P246+O247*'RAP TEMPLATE-GAS AVAILABILITY'!Q246+P247*'RAP TEMPLATE-GAS AVAILABILITY'!R246)/('RAP TEMPLATE-GAS AVAILABILITY'!O246+'RAP TEMPLATE-GAS AVAILABILITY'!P246+'RAP TEMPLATE-GAS AVAILABILITY'!Q246+'RAP TEMPLATE-GAS AVAILABILITY'!R246)</f>
        <v>10.223351079136691</v>
      </c>
    </row>
    <row r="248" spans="1:29" ht="15.75" x14ac:dyDescent="0.25">
      <c r="A248" s="13">
        <v>48427</v>
      </c>
      <c r="B248" s="14">
        <f>CHOOSE(CONTROL!$C$42, 9.7517, 9.7517) * CHOOSE(CONTROL!$C$21, $C$9, 100%, $E$9)</f>
        <v>9.7516999999999996</v>
      </c>
      <c r="C248" s="14">
        <f>CHOOSE(CONTROL!$C$42, 9.7596, 9.7596) * CHOOSE(CONTROL!$C$21, $C$9, 100%, $E$9)</f>
        <v>9.7596000000000007</v>
      </c>
      <c r="D248" s="14">
        <f>CHOOSE(CONTROL!$C$42, 9.9572, 9.9572) * CHOOSE(CONTROL!$C$21, $C$9, 100%, $E$9)</f>
        <v>9.9572000000000003</v>
      </c>
      <c r="E248" s="14">
        <f>CHOOSE(CONTROL!$C$42, 9.9883, 9.9883) * CHOOSE(CONTROL!$C$21, $C$9, 100%, $E$9)</f>
        <v>9.9883000000000006</v>
      </c>
      <c r="F248" s="14">
        <f>CHOOSE(CONTROL!$C$42, 9.7361, 9.7361)*CHOOSE(CONTROL!$C$21, $C$9, 100%, $E$9)</f>
        <v>9.7361000000000004</v>
      </c>
      <c r="G248" s="14">
        <f>CHOOSE(CONTROL!$C$42, 9.7525, 9.7525)*CHOOSE(CONTROL!$C$21, $C$9, 100%, $E$9)</f>
        <v>9.7524999999999995</v>
      </c>
      <c r="H248" s="14">
        <f>CHOOSE(CONTROL!$C$42, 9.9769, 9.9769) * CHOOSE(CONTROL!$C$21, $C$9, 100%, $E$9)</f>
        <v>9.9769000000000005</v>
      </c>
      <c r="I248" s="14">
        <f>CHOOSE(CONTROL!$C$42, 9.763, 9.763)* CHOOSE(CONTROL!$C$21, $C$9, 100%, $E$9)</f>
        <v>9.7629999999999999</v>
      </c>
      <c r="J248" s="14">
        <f>CHOOSE(CONTROL!$C$42, 9.7291, 9.7291)* CHOOSE(CONTROL!$C$21, $C$9, 100%, $E$9)</f>
        <v>9.7291000000000007</v>
      </c>
      <c r="K248" s="53">
        <f>CHOOSE(CONTROL!$C$42, 9.7591, 9.7591) * CHOOSE(CONTROL!$C$21, $C$9, 100%, $E$9)</f>
        <v>9.7591000000000001</v>
      </c>
      <c r="L248" s="14">
        <f>CHOOSE(CONTROL!$C$42, 10.5639, 10.5639) * CHOOSE(CONTROL!$C$21, $C$9, 100%, $E$9)</f>
        <v>10.5639</v>
      </c>
      <c r="M248" s="14">
        <f>CHOOSE(CONTROL!$C$42, 9.6447, 9.6447) * CHOOSE(CONTROL!$C$21, $C$9, 100%, $E$9)</f>
        <v>9.6447000000000003</v>
      </c>
      <c r="N248" s="14">
        <f>CHOOSE(CONTROL!$C$42, 9.6609, 9.6609) * CHOOSE(CONTROL!$C$21, $C$9, 100%, $E$9)</f>
        <v>9.6608999999999998</v>
      </c>
      <c r="O248" s="14">
        <f>CHOOSE(CONTROL!$C$42, 9.8901, 9.8901) * CHOOSE(CONTROL!$C$21, $C$9, 100%, $E$9)</f>
        <v>9.8901000000000003</v>
      </c>
      <c r="P248" s="14">
        <f>CHOOSE(CONTROL!$C$42, 9.6784, 9.6784) * CHOOSE(CONTROL!$C$21, $C$9, 100%, $E$9)</f>
        <v>9.6783999999999999</v>
      </c>
      <c r="Q248" s="14">
        <f>CHOOSE(CONTROL!$C$42, 10.4854, 10.4854) * CHOOSE(CONTROL!$C$21, $C$9, 100%, $E$9)</f>
        <v>10.4854</v>
      </c>
      <c r="R248" s="14">
        <f>CHOOSE(CONTROL!$C$42, 11.0986, 11.0986) * CHOOSE(CONTROL!$C$21, $C$9, 100%, $E$9)</f>
        <v>11.098599999999999</v>
      </c>
      <c r="S248" s="14">
        <f>CHOOSE(CONTROL!$C$42, 9.4656, 9.4656) * CHOOSE(CONTROL!$C$21, $C$9, 100%, $E$9)</f>
        <v>9.4656000000000002</v>
      </c>
      <c r="T24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48" s="57">
        <f>(1000*CHOOSE(CONTROL!$C$42, 695, 695)*CHOOSE(CONTROL!$C$42, 0.5599, 0.5599)*CHOOSE(CONTROL!$C$42, 31, 31))/1000000</f>
        <v>12.063045499999998</v>
      </c>
      <c r="V248" s="57">
        <f>(1000*CHOOSE(CONTROL!$C$42, 500, 500)*CHOOSE(CONTROL!$C$42, 0.275, 0.275)*CHOOSE(CONTROL!$C$42, 31, 31))/1000000</f>
        <v>4.2625000000000002</v>
      </c>
      <c r="W248" s="57">
        <f>(1000*CHOOSE(CONTROL!$C$42, 0.1146, 0.1146)*CHOOSE(CONTROL!$C$42, 121.5, 121.5)*CHOOSE(CONTROL!$C$42, 31, 31))/1000000</f>
        <v>0.43164089999999994</v>
      </c>
      <c r="X248" s="57">
        <f>(31*0.1790888*245000/1000000)+(31*0.2374*100000/1000000)</f>
        <v>2.0961194359999999</v>
      </c>
      <c r="Y248" s="57"/>
      <c r="Z248" s="14"/>
      <c r="AA248" s="56"/>
      <c r="AB248" s="50">
        <f>(B248*194.205+C248*267.466+D248*133.845+E248*53.484+F248*40+G248*185+H248*0+I248*100+J248*300)/(194.205+267.466+133.845+53.484+0+40+185+100+300)</f>
        <v>9.7800724044740956</v>
      </c>
      <c r="AC248" s="45">
        <f>(M248*'RAP TEMPLATE-GAS AVAILABILITY'!O247+N248*'RAP TEMPLATE-GAS AVAILABILITY'!P247+O248*'RAP TEMPLATE-GAS AVAILABILITY'!Q247+P248*'RAP TEMPLATE-GAS AVAILABILITY'!R247)/('RAP TEMPLATE-GAS AVAILABILITY'!O247+'RAP TEMPLATE-GAS AVAILABILITY'!P247+'RAP TEMPLATE-GAS AVAILABILITY'!Q247+'RAP TEMPLATE-GAS AVAILABILITY'!R247)</f>
        <v>9.7221316546762591</v>
      </c>
    </row>
    <row r="249" spans="1:29" ht="15.75" x14ac:dyDescent="0.25">
      <c r="A249" s="13">
        <v>48458</v>
      </c>
      <c r="B249" s="14">
        <f>CHOOSE(CONTROL!$C$42, 9.1325, 9.1325) * CHOOSE(CONTROL!$C$21, $C$9, 100%, $E$9)</f>
        <v>9.1325000000000003</v>
      </c>
      <c r="C249" s="14">
        <f>CHOOSE(CONTROL!$C$42, 9.1404, 9.1404) * CHOOSE(CONTROL!$C$21, $C$9, 100%, $E$9)</f>
        <v>9.1403999999999996</v>
      </c>
      <c r="D249" s="14">
        <f>CHOOSE(CONTROL!$C$42, 9.338, 9.338) * CHOOSE(CONTROL!$C$21, $C$9, 100%, $E$9)</f>
        <v>9.3379999999999992</v>
      </c>
      <c r="E249" s="14">
        <f>CHOOSE(CONTROL!$C$42, 9.3691, 9.3691) * CHOOSE(CONTROL!$C$21, $C$9, 100%, $E$9)</f>
        <v>9.3690999999999995</v>
      </c>
      <c r="F249" s="14">
        <f>CHOOSE(CONTROL!$C$42, 9.1169, 9.1169)*CHOOSE(CONTROL!$C$21, $C$9, 100%, $E$9)</f>
        <v>9.1168999999999993</v>
      </c>
      <c r="G249" s="14">
        <f>CHOOSE(CONTROL!$C$42, 9.1332, 9.1332)*CHOOSE(CONTROL!$C$21, $C$9, 100%, $E$9)</f>
        <v>9.1332000000000004</v>
      </c>
      <c r="H249" s="14">
        <f>CHOOSE(CONTROL!$C$42, 9.3578, 9.3578) * CHOOSE(CONTROL!$C$21, $C$9, 100%, $E$9)</f>
        <v>9.3577999999999992</v>
      </c>
      <c r="I249" s="14">
        <f>CHOOSE(CONTROL!$C$42, 9.1439, 9.1439)* CHOOSE(CONTROL!$C$21, $C$9, 100%, $E$9)</f>
        <v>9.1439000000000004</v>
      </c>
      <c r="J249" s="14">
        <f>CHOOSE(CONTROL!$C$42, 9.1099, 9.1099)* CHOOSE(CONTROL!$C$21, $C$9, 100%, $E$9)</f>
        <v>9.1098999999999997</v>
      </c>
      <c r="K249" s="53">
        <f>CHOOSE(CONTROL!$C$42, 9.14, 9.14) * CHOOSE(CONTROL!$C$21, $C$9, 100%, $E$9)</f>
        <v>9.14</v>
      </c>
      <c r="L249" s="14">
        <f>CHOOSE(CONTROL!$C$42, 9.9448, 9.9448) * CHOOSE(CONTROL!$C$21, $C$9, 100%, $E$9)</f>
        <v>9.9448000000000008</v>
      </c>
      <c r="M249" s="14">
        <f>CHOOSE(CONTROL!$C$42, 9.0318, 9.0318) * CHOOSE(CONTROL!$C$21, $C$9, 100%, $E$9)</f>
        <v>9.0318000000000005</v>
      </c>
      <c r="N249" s="14">
        <f>CHOOSE(CONTROL!$C$42, 9.0479, 9.0479) * CHOOSE(CONTROL!$C$21, $C$9, 100%, $E$9)</f>
        <v>9.0479000000000003</v>
      </c>
      <c r="O249" s="14">
        <f>CHOOSE(CONTROL!$C$42, 9.2772, 9.2772) * CHOOSE(CONTROL!$C$21, $C$9, 100%, $E$9)</f>
        <v>9.2772000000000006</v>
      </c>
      <c r="P249" s="14">
        <f>CHOOSE(CONTROL!$C$42, 9.0655, 9.0655) * CHOOSE(CONTROL!$C$21, $C$9, 100%, $E$9)</f>
        <v>9.0655000000000001</v>
      </c>
      <c r="Q249" s="14">
        <f>CHOOSE(CONTROL!$C$42, 9.8725, 9.8725) * CHOOSE(CONTROL!$C$21, $C$9, 100%, $E$9)</f>
        <v>9.8725000000000005</v>
      </c>
      <c r="R249" s="14">
        <f>CHOOSE(CONTROL!$C$42, 10.4842, 10.4842) * CHOOSE(CONTROL!$C$21, $C$9, 100%, $E$9)</f>
        <v>10.4842</v>
      </c>
      <c r="S249" s="14">
        <f>CHOOSE(CONTROL!$C$42, 8.8643, 8.8643) * CHOOSE(CONTROL!$C$21, $C$9, 100%, $E$9)</f>
        <v>8.8643000000000001</v>
      </c>
      <c r="T24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49" s="57">
        <f>(1000*CHOOSE(CONTROL!$C$42, 695, 695)*CHOOSE(CONTROL!$C$42, 0.5599, 0.5599)*CHOOSE(CONTROL!$C$42, 30, 30))/1000000</f>
        <v>11.673914999999997</v>
      </c>
      <c r="V249" s="57">
        <f>(1000*CHOOSE(CONTROL!$C$42, 500, 500)*CHOOSE(CONTROL!$C$42, 0.275, 0.275)*CHOOSE(CONTROL!$C$42, 30, 30))/1000000</f>
        <v>4.125</v>
      </c>
      <c r="W249" s="57">
        <f>(1000*CHOOSE(CONTROL!$C$42, 0.1146, 0.1146)*CHOOSE(CONTROL!$C$42, 121.5, 121.5)*CHOOSE(CONTROL!$C$42, 30, 30))/1000000</f>
        <v>0.417717</v>
      </c>
      <c r="X249" s="57">
        <f>(30*0.1790888*245000/1000000)+(30*0.2374*100000/1000000)</f>
        <v>2.0285026799999999</v>
      </c>
      <c r="Y249" s="57"/>
      <c r="Z249" s="14"/>
      <c r="AA249" s="56"/>
      <c r="AB249" s="50">
        <f>(B249*194.205+C249*267.466+D249*133.845+E249*53.484+F249*40+G249*185+H249*0+I249*100+J249*300)/(194.205+267.466+133.845+53.484+0+40+185+100+300)</f>
        <v>9.1608657325745693</v>
      </c>
      <c r="AC249" s="45">
        <f>(M249*'RAP TEMPLATE-GAS AVAILABILITY'!O248+N249*'RAP TEMPLATE-GAS AVAILABILITY'!P248+O249*'RAP TEMPLATE-GAS AVAILABILITY'!Q248+P249*'RAP TEMPLATE-GAS AVAILABILITY'!R248)/('RAP TEMPLATE-GAS AVAILABILITY'!O248+'RAP TEMPLATE-GAS AVAILABILITY'!P248+'RAP TEMPLATE-GAS AVAILABILITY'!Q248+'RAP TEMPLATE-GAS AVAILABILITY'!R248)</f>
        <v>9.1092086330935267</v>
      </c>
    </row>
    <row r="250" spans="1:29" ht="15.75" x14ac:dyDescent="0.25">
      <c r="A250" s="13">
        <v>48488</v>
      </c>
      <c r="B250" s="14">
        <f>CHOOSE(CONTROL!$C$42, 8.9454, 8.9454) * CHOOSE(CONTROL!$C$21, $C$9, 100%, $E$9)</f>
        <v>8.9453999999999994</v>
      </c>
      <c r="C250" s="14">
        <f>CHOOSE(CONTROL!$C$42, 8.9506, 8.9506) * CHOOSE(CONTROL!$C$21, $C$9, 100%, $E$9)</f>
        <v>8.9505999999999997</v>
      </c>
      <c r="D250" s="14">
        <f>CHOOSE(CONTROL!$C$42, 9.1532, 9.1532) * CHOOSE(CONTROL!$C$21, $C$9, 100%, $E$9)</f>
        <v>9.1532</v>
      </c>
      <c r="E250" s="14">
        <f>CHOOSE(CONTROL!$C$42, 9.182, 9.182) * CHOOSE(CONTROL!$C$21, $C$9, 100%, $E$9)</f>
        <v>9.1820000000000004</v>
      </c>
      <c r="F250" s="14">
        <f>CHOOSE(CONTROL!$C$42, 8.9318, 8.9318)*CHOOSE(CONTROL!$C$21, $C$9, 100%, $E$9)</f>
        <v>8.9318000000000008</v>
      </c>
      <c r="G250" s="14">
        <f>CHOOSE(CONTROL!$C$42, 8.9478, 8.9478)*CHOOSE(CONTROL!$C$21, $C$9, 100%, $E$9)</f>
        <v>8.9478000000000009</v>
      </c>
      <c r="H250" s="14">
        <f>CHOOSE(CONTROL!$C$42, 9.1725, 9.1725) * CHOOSE(CONTROL!$C$21, $C$9, 100%, $E$9)</f>
        <v>9.1724999999999994</v>
      </c>
      <c r="I250" s="14">
        <f>CHOOSE(CONTROL!$C$42, 8.9586, 8.9586)* CHOOSE(CONTROL!$C$21, $C$9, 100%, $E$9)</f>
        <v>8.9586000000000006</v>
      </c>
      <c r="J250" s="14">
        <f>CHOOSE(CONTROL!$C$42, 8.9248, 8.9248)* CHOOSE(CONTROL!$C$21, $C$9, 100%, $E$9)</f>
        <v>8.9247999999999994</v>
      </c>
      <c r="K250" s="53">
        <f>CHOOSE(CONTROL!$C$42, 8.9547, 8.9547) * CHOOSE(CONTROL!$C$21, $C$9, 100%, $E$9)</f>
        <v>8.9547000000000008</v>
      </c>
      <c r="L250" s="14">
        <f>CHOOSE(CONTROL!$C$42, 9.7595, 9.7595) * CHOOSE(CONTROL!$C$21, $C$9, 100%, $E$9)</f>
        <v>9.7594999999999992</v>
      </c>
      <c r="M250" s="14">
        <f>CHOOSE(CONTROL!$C$42, 8.8486, 8.8486) * CHOOSE(CONTROL!$C$21, $C$9, 100%, $E$9)</f>
        <v>8.8485999999999994</v>
      </c>
      <c r="N250" s="14">
        <f>CHOOSE(CONTROL!$C$42, 8.8644, 8.8644) * CHOOSE(CONTROL!$C$21, $C$9, 100%, $E$9)</f>
        <v>8.8643999999999998</v>
      </c>
      <c r="O250" s="14">
        <f>CHOOSE(CONTROL!$C$42, 9.0937, 9.0937) * CHOOSE(CONTROL!$C$21, $C$9, 100%, $E$9)</f>
        <v>9.0937000000000001</v>
      </c>
      <c r="P250" s="14">
        <f>CHOOSE(CONTROL!$C$42, 8.882, 8.882) * CHOOSE(CONTROL!$C$21, $C$9, 100%, $E$9)</f>
        <v>8.8819999999999997</v>
      </c>
      <c r="Q250" s="14">
        <f>CHOOSE(CONTROL!$C$42, 9.689, 9.689) * CHOOSE(CONTROL!$C$21, $C$9, 100%, $E$9)</f>
        <v>9.6890000000000001</v>
      </c>
      <c r="R250" s="14">
        <f>CHOOSE(CONTROL!$C$42, 10.3002, 10.3002) * CHOOSE(CONTROL!$C$21, $C$9, 100%, $E$9)</f>
        <v>10.3002</v>
      </c>
      <c r="S250" s="14">
        <f>CHOOSE(CONTROL!$C$42, 8.6844, 8.6844) * CHOOSE(CONTROL!$C$21, $C$9, 100%, $E$9)</f>
        <v>8.6844000000000001</v>
      </c>
      <c r="T25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50" s="57">
        <f>(1000*CHOOSE(CONTROL!$C$42, 695, 695)*CHOOSE(CONTROL!$C$42, 0.5599, 0.5599)*CHOOSE(CONTROL!$C$42, 31, 31))/1000000</f>
        <v>12.063045499999998</v>
      </c>
      <c r="V250" s="57">
        <f>(1000*CHOOSE(CONTROL!$C$42, 500, 500)*CHOOSE(CONTROL!$C$42, 0.275, 0.275)*CHOOSE(CONTROL!$C$42, 31, 31))/1000000</f>
        <v>4.2625000000000002</v>
      </c>
      <c r="W250" s="57">
        <f>(1000*CHOOSE(CONTROL!$C$42, 0.1146, 0.1146)*CHOOSE(CONTROL!$C$42, 121.5, 121.5)*CHOOSE(CONTROL!$C$42, 31, 31))/1000000</f>
        <v>0.43164089999999994</v>
      </c>
      <c r="X250" s="57">
        <f>(31*0.1790888*245000/1000000)+(31*0.2374*100000/1000000)</f>
        <v>2.0961194359999999</v>
      </c>
      <c r="Y250" s="57"/>
      <c r="Z250" s="14"/>
      <c r="AA250" s="56"/>
      <c r="AB250" s="50">
        <f>(B250*131.881+C250*277.167+D250*79.08+E250*125.872+F250*40+G250*185+H250*0+I250*100+J250*300)/(131.881+277.167+79.08+125.872+0+40+185+100+300)</f>
        <v>8.9798595702986272</v>
      </c>
      <c r="AC250" s="45">
        <f>(M250*'RAP TEMPLATE-GAS AVAILABILITY'!O249+N250*'RAP TEMPLATE-GAS AVAILABILITY'!P249+O250*'RAP TEMPLATE-GAS AVAILABILITY'!Q249+P250*'RAP TEMPLATE-GAS AVAILABILITY'!R249)/('RAP TEMPLATE-GAS AVAILABILITY'!O249+'RAP TEMPLATE-GAS AVAILABILITY'!P249+'RAP TEMPLATE-GAS AVAILABILITY'!Q249+'RAP TEMPLATE-GAS AVAILABILITY'!R249)</f>
        <v>8.9258122302158274</v>
      </c>
    </row>
    <row r="251" spans="1:29" ht="15.75" x14ac:dyDescent="0.25">
      <c r="A251" s="13">
        <v>48519</v>
      </c>
      <c r="B251" s="14">
        <f>CHOOSE(CONTROL!$C$42, 9.1806, 9.1806) * CHOOSE(CONTROL!$C$21, $C$9, 100%, $E$9)</f>
        <v>9.1806000000000001</v>
      </c>
      <c r="C251" s="14">
        <f>CHOOSE(CONTROL!$C$42, 9.1855, 9.1855) * CHOOSE(CONTROL!$C$21, $C$9, 100%, $E$9)</f>
        <v>9.1854999999999993</v>
      </c>
      <c r="D251" s="14">
        <f>CHOOSE(CONTROL!$C$42, 9.2486, 9.2486) * CHOOSE(CONTROL!$C$21, $C$9, 100%, $E$9)</f>
        <v>9.2485999999999997</v>
      </c>
      <c r="E251" s="14">
        <f>CHOOSE(CONTROL!$C$42, 9.2824, 9.2824) * CHOOSE(CONTROL!$C$21, $C$9, 100%, $E$9)</f>
        <v>9.2824000000000009</v>
      </c>
      <c r="F251" s="14">
        <f>CHOOSE(CONTROL!$C$42, 9.1813, 9.1813)*CHOOSE(CONTROL!$C$21, $C$9, 100%, $E$9)</f>
        <v>9.1813000000000002</v>
      </c>
      <c r="G251" s="14">
        <f>CHOOSE(CONTROL!$C$42, 9.1976, 9.1976)*CHOOSE(CONTROL!$C$21, $C$9, 100%, $E$9)</f>
        <v>9.1975999999999996</v>
      </c>
      <c r="H251" s="14">
        <f>CHOOSE(CONTROL!$C$42, 9.2716, 9.2716) * CHOOSE(CONTROL!$C$21, $C$9, 100%, $E$9)</f>
        <v>9.2715999999999994</v>
      </c>
      <c r="I251" s="14">
        <f>CHOOSE(CONTROL!$C$42, 9.1941, 9.1941)* CHOOSE(CONTROL!$C$21, $C$9, 100%, $E$9)</f>
        <v>9.1941000000000006</v>
      </c>
      <c r="J251" s="14">
        <f>CHOOSE(CONTROL!$C$42, 9.1743, 9.1743)* CHOOSE(CONTROL!$C$21, $C$9, 100%, $E$9)</f>
        <v>9.1743000000000006</v>
      </c>
      <c r="K251" s="53">
        <f>CHOOSE(CONTROL!$C$42, 9.1902, 9.1902) * CHOOSE(CONTROL!$C$21, $C$9, 100%, $E$9)</f>
        <v>9.1902000000000008</v>
      </c>
      <c r="L251" s="14">
        <f>CHOOSE(CONTROL!$C$42, 9.8586, 9.8586) * CHOOSE(CONTROL!$C$21, $C$9, 100%, $E$9)</f>
        <v>9.8585999999999991</v>
      </c>
      <c r="M251" s="14">
        <f>CHOOSE(CONTROL!$C$42, 9.0955, 9.0955) * CHOOSE(CONTROL!$C$21, $C$9, 100%, $E$9)</f>
        <v>9.0954999999999995</v>
      </c>
      <c r="N251" s="14">
        <f>CHOOSE(CONTROL!$C$42, 9.1116, 9.1116) * CHOOSE(CONTROL!$C$21, $C$9, 100%, $E$9)</f>
        <v>9.1115999999999993</v>
      </c>
      <c r="O251" s="14">
        <f>CHOOSE(CONTROL!$C$42, 9.1918, 9.1918) * CHOOSE(CONTROL!$C$21, $C$9, 100%, $E$9)</f>
        <v>9.1918000000000006</v>
      </c>
      <c r="P251" s="14">
        <f>CHOOSE(CONTROL!$C$42, 9.1152, 9.1152) * CHOOSE(CONTROL!$C$21, $C$9, 100%, $E$9)</f>
        <v>9.1151999999999997</v>
      </c>
      <c r="Q251" s="14">
        <f>CHOOSE(CONTROL!$C$42, 9.7871, 9.7871) * CHOOSE(CONTROL!$C$21, $C$9, 100%, $E$9)</f>
        <v>9.7871000000000006</v>
      </c>
      <c r="R251" s="14">
        <f>CHOOSE(CONTROL!$C$42, 10.3986, 10.3986) * CHOOSE(CONTROL!$C$21, $C$9, 100%, $E$9)</f>
        <v>10.3986</v>
      </c>
      <c r="S251" s="14">
        <f>CHOOSE(CONTROL!$C$42, 8.9131, 8.9131) * CHOOSE(CONTROL!$C$21, $C$9, 100%, $E$9)</f>
        <v>8.9131</v>
      </c>
      <c r="T25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51" s="57">
        <f>(1000*CHOOSE(CONTROL!$C$42, 695, 695)*CHOOSE(CONTROL!$C$42, 0.5599, 0.5599)*CHOOSE(CONTROL!$C$42, 30, 30))/1000000</f>
        <v>11.673914999999997</v>
      </c>
      <c r="V251" s="57">
        <f>(1000*CHOOSE(CONTROL!$C$42, 500, 500)*CHOOSE(CONTROL!$C$42, 0.275, 0.275)*CHOOSE(CONTROL!$C$42, 30, 30))/1000000</f>
        <v>4.125</v>
      </c>
      <c r="W251" s="57">
        <f>(1000*CHOOSE(CONTROL!$C$42, 0.1146, 0.1146)*CHOOSE(CONTROL!$C$42, 121.5, 121.5)*CHOOSE(CONTROL!$C$42, 30, 30))/1000000</f>
        <v>0.417717</v>
      </c>
      <c r="X251" s="57">
        <f>(30*0.1790888*100000/1000000)+(30*0.2374*100000/1000000)</f>
        <v>1.2494664</v>
      </c>
      <c r="Y251" s="57"/>
      <c r="Z251" s="14"/>
      <c r="AA251" s="56"/>
      <c r="AB251" s="50">
        <f>(B251*122.58+C251*297.941+D251*89.177+E251*40.302+F251*40+G251*160+H251*0+I251*100+J251*300)/(122.58+297.941+89.177+40.302+0+40+160+100+300)</f>
        <v>9.1926301656521723</v>
      </c>
      <c r="AC251" s="45">
        <f>(M251*'RAP TEMPLATE-GAS AVAILABILITY'!O250+N251*'RAP TEMPLATE-GAS AVAILABILITY'!P250+O251*'RAP TEMPLATE-GAS AVAILABILITY'!Q250+P251*'RAP TEMPLATE-GAS AVAILABILITY'!R250)/('RAP TEMPLATE-GAS AVAILABILITY'!O250+'RAP TEMPLATE-GAS AVAILABILITY'!P250+'RAP TEMPLATE-GAS AVAILABILITY'!Q250+'RAP TEMPLATE-GAS AVAILABILITY'!R250)</f>
        <v>9.142907913669065</v>
      </c>
    </row>
    <row r="252" spans="1:29" ht="15.75" x14ac:dyDescent="0.25">
      <c r="A252" s="13">
        <v>48549</v>
      </c>
      <c r="B252" s="14">
        <f>CHOOSE(CONTROL!$C$42, 9.8063, 9.8063) * CHOOSE(CONTROL!$C$21, $C$9, 100%, $E$9)</f>
        <v>9.8063000000000002</v>
      </c>
      <c r="C252" s="14">
        <f>CHOOSE(CONTROL!$C$42, 9.8113, 9.8113) * CHOOSE(CONTROL!$C$21, $C$9, 100%, $E$9)</f>
        <v>9.8112999999999992</v>
      </c>
      <c r="D252" s="14">
        <f>CHOOSE(CONTROL!$C$42, 9.8743, 9.8743) * CHOOSE(CONTROL!$C$21, $C$9, 100%, $E$9)</f>
        <v>9.8742999999999999</v>
      </c>
      <c r="E252" s="14">
        <f>CHOOSE(CONTROL!$C$42, 9.9081, 9.9081) * CHOOSE(CONTROL!$C$21, $C$9, 100%, $E$9)</f>
        <v>9.9080999999999992</v>
      </c>
      <c r="F252" s="14">
        <f>CHOOSE(CONTROL!$C$42, 9.8091, 9.8091)*CHOOSE(CONTROL!$C$21, $C$9, 100%, $E$9)</f>
        <v>9.8091000000000008</v>
      </c>
      <c r="G252" s="14">
        <f>CHOOSE(CONTROL!$C$42, 9.8259, 9.8259)*CHOOSE(CONTROL!$C$21, $C$9, 100%, $E$9)</f>
        <v>9.8259000000000007</v>
      </c>
      <c r="H252" s="14">
        <f>CHOOSE(CONTROL!$C$42, 9.8973, 9.8973) * CHOOSE(CONTROL!$C$21, $C$9, 100%, $E$9)</f>
        <v>9.8972999999999995</v>
      </c>
      <c r="I252" s="14">
        <f>CHOOSE(CONTROL!$C$42, 9.8199, 9.8199)* CHOOSE(CONTROL!$C$21, $C$9, 100%, $E$9)</f>
        <v>9.8199000000000005</v>
      </c>
      <c r="J252" s="14">
        <f>CHOOSE(CONTROL!$C$42, 9.8021, 9.8021)* CHOOSE(CONTROL!$C$21, $C$9, 100%, $E$9)</f>
        <v>9.8020999999999994</v>
      </c>
      <c r="K252" s="53">
        <f>CHOOSE(CONTROL!$C$42, 9.816, 9.816) * CHOOSE(CONTROL!$C$21, $C$9, 100%, $E$9)</f>
        <v>9.8160000000000007</v>
      </c>
      <c r="L252" s="14">
        <f>CHOOSE(CONTROL!$C$42, 10.4843, 10.4843) * CHOOSE(CONTROL!$C$21, $C$9, 100%, $E$9)</f>
        <v>10.484299999999999</v>
      </c>
      <c r="M252" s="14">
        <f>CHOOSE(CONTROL!$C$42, 9.717, 9.717) * CHOOSE(CONTROL!$C$21, $C$9, 100%, $E$9)</f>
        <v>9.7170000000000005</v>
      </c>
      <c r="N252" s="14">
        <f>CHOOSE(CONTROL!$C$42, 9.7336, 9.7336) * CHOOSE(CONTROL!$C$21, $C$9, 100%, $E$9)</f>
        <v>9.7335999999999991</v>
      </c>
      <c r="O252" s="14">
        <f>CHOOSE(CONTROL!$C$42, 9.8113, 9.8113) * CHOOSE(CONTROL!$C$21, $C$9, 100%, $E$9)</f>
        <v>9.8112999999999992</v>
      </c>
      <c r="P252" s="14">
        <f>CHOOSE(CONTROL!$C$42, 9.7346, 9.7346) * CHOOSE(CONTROL!$C$21, $C$9, 100%, $E$9)</f>
        <v>9.7346000000000004</v>
      </c>
      <c r="Q252" s="14">
        <f>CHOOSE(CONTROL!$C$42, 10.4066, 10.4066) * CHOOSE(CONTROL!$C$21, $C$9, 100%, $E$9)</f>
        <v>10.406599999999999</v>
      </c>
      <c r="R252" s="14">
        <f>CHOOSE(CONTROL!$C$42, 11.0196, 11.0196) * CHOOSE(CONTROL!$C$21, $C$9, 100%, $E$9)</f>
        <v>11.019600000000001</v>
      </c>
      <c r="S252" s="14">
        <f>CHOOSE(CONTROL!$C$42, 9.5208, 9.5208) * CHOOSE(CONTROL!$C$21, $C$9, 100%, $E$9)</f>
        <v>9.5207999999999995</v>
      </c>
      <c r="T25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52" s="57">
        <f>(1000*CHOOSE(CONTROL!$C$42, 695, 695)*CHOOSE(CONTROL!$C$42, 0.5599, 0.5599)*CHOOSE(CONTROL!$C$42, 31, 31))/1000000</f>
        <v>12.063045499999998</v>
      </c>
      <c r="V252" s="57">
        <f>(1000*CHOOSE(CONTROL!$C$42, 500, 500)*CHOOSE(CONTROL!$C$42, 0.275, 0.275)*CHOOSE(CONTROL!$C$42, 31, 31))/1000000</f>
        <v>4.2625000000000002</v>
      </c>
      <c r="W252" s="57">
        <f>(1000*CHOOSE(CONTROL!$C$42, 0.1146, 0.1146)*CHOOSE(CONTROL!$C$42, 121.5, 121.5)*CHOOSE(CONTROL!$C$42, 31, 31))/1000000</f>
        <v>0.43164089999999994</v>
      </c>
      <c r="X252" s="57">
        <f>(31*0.1790888*100000/1000000)+(31*0.2374*100000/1000000)</f>
        <v>1.2911152800000001</v>
      </c>
      <c r="Y252" s="57"/>
      <c r="Z252" s="14"/>
      <c r="AA252" s="56"/>
      <c r="AB252" s="50">
        <f>(B252*122.58+C252*297.941+D252*89.177+E252*40.302+F252*40+G252*160+H252*0+I252*100+J252*300)/(122.58+297.941+89.177+40.302+0+40+160+100+300)</f>
        <v>9.8193473779130418</v>
      </c>
      <c r="AC252" s="45">
        <f>(M252*'RAP TEMPLATE-GAS AVAILABILITY'!O251+N252*'RAP TEMPLATE-GAS AVAILABILITY'!P251+O252*'RAP TEMPLATE-GAS AVAILABILITY'!Q251+P252*'RAP TEMPLATE-GAS AVAILABILITY'!R251)/('RAP TEMPLATE-GAS AVAILABILITY'!O251+'RAP TEMPLATE-GAS AVAILABILITY'!P251+'RAP TEMPLATE-GAS AVAILABILITY'!Q251+'RAP TEMPLATE-GAS AVAILABILITY'!R251)</f>
        <v>9.7632280575539578</v>
      </c>
    </row>
    <row r="253" spans="1:29" ht="15.75" x14ac:dyDescent="0.25">
      <c r="A253" s="13">
        <v>48580</v>
      </c>
      <c r="B253" s="14">
        <f>CHOOSE(CONTROL!$C$42, 10.6096, 10.6096) * CHOOSE(CONTROL!$C$21, $C$9, 100%, $E$9)</f>
        <v>10.6096</v>
      </c>
      <c r="C253" s="14">
        <f>CHOOSE(CONTROL!$C$42, 10.6145, 10.6145) * CHOOSE(CONTROL!$C$21, $C$9, 100%, $E$9)</f>
        <v>10.6145</v>
      </c>
      <c r="D253" s="14">
        <f>CHOOSE(CONTROL!$C$42, 10.6788, 10.6788) * CHOOSE(CONTROL!$C$21, $C$9, 100%, $E$9)</f>
        <v>10.678800000000001</v>
      </c>
      <c r="E253" s="14">
        <f>CHOOSE(CONTROL!$C$42, 10.7126, 10.7126) * CHOOSE(CONTROL!$C$21, $C$9, 100%, $E$9)</f>
        <v>10.7126</v>
      </c>
      <c r="F253" s="14">
        <f>CHOOSE(CONTROL!$C$42, 10.6111, 10.6111)*CHOOSE(CONTROL!$C$21, $C$9, 100%, $E$9)</f>
        <v>10.6111</v>
      </c>
      <c r="G253" s="14">
        <f>CHOOSE(CONTROL!$C$42, 10.627, 10.627)*CHOOSE(CONTROL!$C$21, $C$9, 100%, $E$9)</f>
        <v>10.627000000000001</v>
      </c>
      <c r="H253" s="14">
        <f>CHOOSE(CONTROL!$C$42, 10.7018, 10.7018) * CHOOSE(CONTROL!$C$21, $C$9, 100%, $E$9)</f>
        <v>10.7018</v>
      </c>
      <c r="I253" s="14">
        <f>CHOOSE(CONTROL!$C$42, 10.6295, 10.6295)* CHOOSE(CONTROL!$C$21, $C$9, 100%, $E$9)</f>
        <v>10.6295</v>
      </c>
      <c r="J253" s="14">
        <f>CHOOSE(CONTROL!$C$42, 10.6041, 10.6041)* CHOOSE(CONTROL!$C$21, $C$9, 100%, $E$9)</f>
        <v>10.604100000000001</v>
      </c>
      <c r="K253" s="53">
        <f>CHOOSE(CONTROL!$C$42, 10.6256, 10.6256) * CHOOSE(CONTROL!$C$21, $C$9, 100%, $E$9)</f>
        <v>10.6256</v>
      </c>
      <c r="L253" s="14">
        <f>CHOOSE(CONTROL!$C$42, 11.2888, 11.2888) * CHOOSE(CONTROL!$C$21, $C$9, 100%, $E$9)</f>
        <v>11.2888</v>
      </c>
      <c r="M253" s="14">
        <f>CHOOSE(CONTROL!$C$42, 10.5109, 10.5109) * CHOOSE(CONTROL!$C$21, $C$9, 100%, $E$9)</f>
        <v>10.510899999999999</v>
      </c>
      <c r="N253" s="14">
        <f>CHOOSE(CONTROL!$C$42, 10.5266, 10.5266) * CHOOSE(CONTROL!$C$21, $C$9, 100%, $E$9)</f>
        <v>10.5266</v>
      </c>
      <c r="O253" s="14">
        <f>CHOOSE(CONTROL!$C$42, 10.6076, 10.6076) * CHOOSE(CONTROL!$C$21, $C$9, 100%, $E$9)</f>
        <v>10.6076</v>
      </c>
      <c r="P253" s="14">
        <f>CHOOSE(CONTROL!$C$42, 10.5361, 10.5361) * CHOOSE(CONTROL!$C$21, $C$9, 100%, $E$9)</f>
        <v>10.536099999999999</v>
      </c>
      <c r="Q253" s="14">
        <f>CHOOSE(CONTROL!$C$42, 11.2029, 11.2029) * CHOOSE(CONTROL!$C$21, $C$9, 100%, $E$9)</f>
        <v>11.2029</v>
      </c>
      <c r="R253" s="14">
        <f>CHOOSE(CONTROL!$C$42, 11.8179, 11.8179) * CHOOSE(CONTROL!$C$21, $C$9, 100%, $E$9)</f>
        <v>11.8179</v>
      </c>
      <c r="S253" s="14">
        <f>CHOOSE(CONTROL!$C$42, 10.3008, 10.3008) * CHOOSE(CONTROL!$C$21, $C$9, 100%, $E$9)</f>
        <v>10.300800000000001</v>
      </c>
      <c r="T25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53" s="57">
        <f>(1000*CHOOSE(CONTROL!$C$42, 695, 695)*CHOOSE(CONTROL!$C$42, 0.5599, 0.5599)*CHOOSE(CONTROL!$C$42, 31, 31))/1000000</f>
        <v>12.063045499999998</v>
      </c>
      <c r="V253" s="57">
        <f>(1000*CHOOSE(CONTROL!$C$42, 500, 500)*CHOOSE(CONTROL!$C$42, 0.275, 0.275)*CHOOSE(CONTROL!$C$42, 31, 31))/1000000</f>
        <v>4.2625000000000002</v>
      </c>
      <c r="W253" s="57">
        <f>(1000*CHOOSE(CONTROL!$C$42, 0.1146, 0.1146)*CHOOSE(CONTROL!$C$42, 121.5, 121.5)*CHOOSE(CONTROL!$C$42, 31, 31))/1000000</f>
        <v>0.43164089999999994</v>
      </c>
      <c r="X253" s="57">
        <f>(31*0.1790888*100000/1000000)+(31*0.2374*100000/1000000)</f>
        <v>1.2911152800000001</v>
      </c>
      <c r="Y253" s="57"/>
      <c r="Z253" s="14"/>
      <c r="AA253" s="56"/>
      <c r="AB253" s="50">
        <f>(B253*122.58+C253*297.941+D253*89.177+E253*40.302+F253*40+G253*160+H253*0+I253*100+J253*300)/(122.58+297.941+89.177+40.302+0+40+160+100+300)</f>
        <v>10.622613969826089</v>
      </c>
      <c r="AC253" s="45">
        <f>(M253*'RAP TEMPLATE-GAS AVAILABILITY'!O252+N253*'RAP TEMPLATE-GAS AVAILABILITY'!P252+O253*'RAP TEMPLATE-GAS AVAILABILITY'!Q252+P253*'RAP TEMPLATE-GAS AVAILABILITY'!R252)/('RAP TEMPLATE-GAS AVAILABILITY'!O252+'RAP TEMPLATE-GAS AVAILABILITY'!P252+'RAP TEMPLATE-GAS AVAILABILITY'!Q252+'RAP TEMPLATE-GAS AVAILABILITY'!R252)</f>
        <v>10.559257553956833</v>
      </c>
    </row>
    <row r="254" spans="1:29" ht="15.75" x14ac:dyDescent="0.25">
      <c r="A254" s="13">
        <v>48611</v>
      </c>
      <c r="B254" s="14">
        <f>CHOOSE(CONTROL!$C$42, 10.7984, 10.7984) * CHOOSE(CONTROL!$C$21, $C$9, 100%, $E$9)</f>
        <v>10.798400000000001</v>
      </c>
      <c r="C254" s="14">
        <f>CHOOSE(CONTROL!$C$42, 10.8033, 10.8033) * CHOOSE(CONTROL!$C$21, $C$9, 100%, $E$9)</f>
        <v>10.8033</v>
      </c>
      <c r="D254" s="14">
        <f>CHOOSE(CONTROL!$C$42, 10.8676, 10.8676) * CHOOSE(CONTROL!$C$21, $C$9, 100%, $E$9)</f>
        <v>10.867599999999999</v>
      </c>
      <c r="E254" s="14">
        <f>CHOOSE(CONTROL!$C$42, 10.9014, 10.9014) * CHOOSE(CONTROL!$C$21, $C$9, 100%, $E$9)</f>
        <v>10.901400000000001</v>
      </c>
      <c r="F254" s="14">
        <f>CHOOSE(CONTROL!$C$42, 10.7999, 10.7999)*CHOOSE(CONTROL!$C$21, $C$9, 100%, $E$9)</f>
        <v>10.799899999999999</v>
      </c>
      <c r="G254" s="14">
        <f>CHOOSE(CONTROL!$C$42, 10.8159, 10.8159)*CHOOSE(CONTROL!$C$21, $C$9, 100%, $E$9)</f>
        <v>10.815899999999999</v>
      </c>
      <c r="H254" s="14">
        <f>CHOOSE(CONTROL!$C$42, 10.8906, 10.8906) * CHOOSE(CONTROL!$C$21, $C$9, 100%, $E$9)</f>
        <v>10.890599999999999</v>
      </c>
      <c r="I254" s="14">
        <f>CHOOSE(CONTROL!$C$42, 10.8184, 10.8184)* CHOOSE(CONTROL!$C$21, $C$9, 100%, $E$9)</f>
        <v>10.8184</v>
      </c>
      <c r="J254" s="14">
        <f>CHOOSE(CONTROL!$C$42, 10.7929, 10.7929)* CHOOSE(CONTROL!$C$21, $C$9, 100%, $E$9)</f>
        <v>10.792899999999999</v>
      </c>
      <c r="K254" s="53">
        <f>CHOOSE(CONTROL!$C$42, 10.8145, 10.8145) * CHOOSE(CONTROL!$C$21, $C$9, 100%, $E$9)</f>
        <v>10.814500000000001</v>
      </c>
      <c r="L254" s="14">
        <f>CHOOSE(CONTROL!$C$42, 11.4776, 11.4776) * CHOOSE(CONTROL!$C$21, $C$9, 100%, $E$9)</f>
        <v>11.477600000000001</v>
      </c>
      <c r="M254" s="14">
        <f>CHOOSE(CONTROL!$C$42, 10.6978, 10.6978) * CHOOSE(CONTROL!$C$21, $C$9, 100%, $E$9)</f>
        <v>10.697800000000001</v>
      </c>
      <c r="N254" s="14">
        <f>CHOOSE(CONTROL!$C$42, 10.7136, 10.7136) * CHOOSE(CONTROL!$C$21, $C$9, 100%, $E$9)</f>
        <v>10.7136</v>
      </c>
      <c r="O254" s="14">
        <f>CHOOSE(CONTROL!$C$42, 10.7945, 10.7945) * CHOOSE(CONTROL!$C$21, $C$9, 100%, $E$9)</f>
        <v>10.794499999999999</v>
      </c>
      <c r="P254" s="14">
        <f>CHOOSE(CONTROL!$C$42, 10.723, 10.723) * CHOOSE(CONTROL!$C$21, $C$9, 100%, $E$9)</f>
        <v>10.723000000000001</v>
      </c>
      <c r="Q254" s="14">
        <f>CHOOSE(CONTROL!$C$42, 11.3898, 11.3898) * CHOOSE(CONTROL!$C$21, $C$9, 100%, $E$9)</f>
        <v>11.389799999999999</v>
      </c>
      <c r="R254" s="14">
        <f>CHOOSE(CONTROL!$C$42, 12.0053, 12.0053) * CHOOSE(CONTROL!$C$21, $C$9, 100%, $E$9)</f>
        <v>12.0053</v>
      </c>
      <c r="S254" s="14">
        <f>CHOOSE(CONTROL!$C$42, 10.4842, 10.4842) * CHOOSE(CONTROL!$C$21, $C$9, 100%, $E$9)</f>
        <v>10.4842</v>
      </c>
      <c r="T25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54" s="57">
        <f>(1000*CHOOSE(CONTROL!$C$42, 695, 695)*CHOOSE(CONTROL!$C$42, 0.5599, 0.5599)*CHOOSE(CONTROL!$C$42, 28, 28))/1000000</f>
        <v>10.895653999999999</v>
      </c>
      <c r="V254" s="57">
        <f>(1000*CHOOSE(CONTROL!$C$42, 500, 500)*CHOOSE(CONTROL!$C$42, 0.275, 0.275)*CHOOSE(CONTROL!$C$42, 28, 28))/1000000</f>
        <v>3.85</v>
      </c>
      <c r="W254" s="57">
        <f>(1000*CHOOSE(CONTROL!$C$42, 0.1146, 0.1146)*CHOOSE(CONTROL!$C$42, 121.5, 121.5)*CHOOSE(CONTROL!$C$42, 28, 28))/1000000</f>
        <v>0.38986920000000003</v>
      </c>
      <c r="X254" s="57">
        <f>(28*0.1790888*100000/1000000)+(28*0.2374*100000/1000000)</f>
        <v>1.16616864</v>
      </c>
      <c r="Y254" s="57"/>
      <c r="Z254" s="14"/>
      <c r="AA254" s="56"/>
      <c r="AB254" s="50">
        <f>(B254*122.58+C254*297.941+D254*89.177+E254*40.302+F254*40+G254*160+H254*0+I254*100+J254*300)/(122.58+297.941+89.177+40.302+0+40+160+100+300)</f>
        <v>10.811436578521739</v>
      </c>
      <c r="AC254" s="45">
        <f>(M254*'RAP TEMPLATE-GAS AVAILABILITY'!O253+N254*'RAP TEMPLATE-GAS AVAILABILITY'!P253+O254*'RAP TEMPLATE-GAS AVAILABILITY'!Q253+P254*'RAP TEMPLATE-GAS AVAILABILITY'!R253)/('RAP TEMPLATE-GAS AVAILABILITY'!O253+'RAP TEMPLATE-GAS AVAILABILITY'!P253+'RAP TEMPLATE-GAS AVAILABILITY'!Q253+'RAP TEMPLATE-GAS AVAILABILITY'!R253)</f>
        <v>10.746163309352518</v>
      </c>
    </row>
    <row r="255" spans="1:29" ht="15.75" x14ac:dyDescent="0.25">
      <c r="A255" s="13">
        <v>48639</v>
      </c>
      <c r="B255" s="14">
        <f>CHOOSE(CONTROL!$C$42, 10.4919, 10.4919) * CHOOSE(CONTROL!$C$21, $C$9, 100%, $E$9)</f>
        <v>10.491899999999999</v>
      </c>
      <c r="C255" s="14">
        <f>CHOOSE(CONTROL!$C$42, 10.4968, 10.4968) * CHOOSE(CONTROL!$C$21, $C$9, 100%, $E$9)</f>
        <v>10.4968</v>
      </c>
      <c r="D255" s="14">
        <f>CHOOSE(CONTROL!$C$42, 10.5611, 10.5611) * CHOOSE(CONTROL!$C$21, $C$9, 100%, $E$9)</f>
        <v>10.5611</v>
      </c>
      <c r="E255" s="14">
        <f>CHOOSE(CONTROL!$C$42, 10.5949, 10.5949) * CHOOSE(CONTROL!$C$21, $C$9, 100%, $E$9)</f>
        <v>10.594900000000001</v>
      </c>
      <c r="F255" s="14">
        <f>CHOOSE(CONTROL!$C$42, 10.4931, 10.4931)*CHOOSE(CONTROL!$C$21, $C$9, 100%, $E$9)</f>
        <v>10.4931</v>
      </c>
      <c r="G255" s="14">
        <f>CHOOSE(CONTROL!$C$42, 10.509, 10.509)*CHOOSE(CONTROL!$C$21, $C$9, 100%, $E$9)</f>
        <v>10.509</v>
      </c>
      <c r="H255" s="14">
        <f>CHOOSE(CONTROL!$C$42, 10.5841, 10.5841) * CHOOSE(CONTROL!$C$21, $C$9, 100%, $E$9)</f>
        <v>10.584099999999999</v>
      </c>
      <c r="I255" s="14">
        <f>CHOOSE(CONTROL!$C$42, 10.5119, 10.5119)* CHOOSE(CONTROL!$C$21, $C$9, 100%, $E$9)</f>
        <v>10.511900000000001</v>
      </c>
      <c r="J255" s="14">
        <f>CHOOSE(CONTROL!$C$42, 10.4861, 10.4861)* CHOOSE(CONTROL!$C$21, $C$9, 100%, $E$9)</f>
        <v>10.4861</v>
      </c>
      <c r="K255" s="53">
        <f>CHOOSE(CONTROL!$C$42, 10.508, 10.508) * CHOOSE(CONTROL!$C$21, $C$9, 100%, $E$9)</f>
        <v>10.507999999999999</v>
      </c>
      <c r="L255" s="14">
        <f>CHOOSE(CONTROL!$C$42, 11.1711, 11.1711) * CHOOSE(CONTROL!$C$21, $C$9, 100%, $E$9)</f>
        <v>11.171099999999999</v>
      </c>
      <c r="M255" s="14">
        <f>CHOOSE(CONTROL!$C$42, 10.3941, 10.3941) * CHOOSE(CONTROL!$C$21, $C$9, 100%, $E$9)</f>
        <v>10.3941</v>
      </c>
      <c r="N255" s="14">
        <f>CHOOSE(CONTROL!$C$42, 10.4098, 10.4098) * CHOOSE(CONTROL!$C$21, $C$9, 100%, $E$9)</f>
        <v>10.409800000000001</v>
      </c>
      <c r="O255" s="14">
        <f>CHOOSE(CONTROL!$C$42, 10.4911, 10.4911) * CHOOSE(CONTROL!$C$21, $C$9, 100%, $E$9)</f>
        <v>10.491099999999999</v>
      </c>
      <c r="P255" s="14">
        <f>CHOOSE(CONTROL!$C$42, 10.4196, 10.4196) * CHOOSE(CONTROL!$C$21, $C$9, 100%, $E$9)</f>
        <v>10.419600000000001</v>
      </c>
      <c r="Q255" s="14">
        <f>CHOOSE(CONTROL!$C$42, 11.0864, 11.0864) * CHOOSE(CONTROL!$C$21, $C$9, 100%, $E$9)</f>
        <v>11.086399999999999</v>
      </c>
      <c r="R255" s="14">
        <f>CHOOSE(CONTROL!$C$42, 11.7011, 11.7011) * CHOOSE(CONTROL!$C$21, $C$9, 100%, $E$9)</f>
        <v>11.7011</v>
      </c>
      <c r="S255" s="14">
        <f>CHOOSE(CONTROL!$C$42, 10.1865, 10.1865) * CHOOSE(CONTROL!$C$21, $C$9, 100%, $E$9)</f>
        <v>10.186500000000001</v>
      </c>
      <c r="T25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55" s="57">
        <f>(1000*CHOOSE(CONTROL!$C$42, 695, 695)*CHOOSE(CONTROL!$C$42, 0.5599, 0.5599)*CHOOSE(CONTROL!$C$42, 31, 31))/1000000</f>
        <v>12.063045499999998</v>
      </c>
      <c r="V255" s="57">
        <f>(1000*CHOOSE(CONTROL!$C$42, 500, 500)*CHOOSE(CONTROL!$C$42, 0.275, 0.275)*CHOOSE(CONTROL!$C$42, 31, 31))/1000000</f>
        <v>4.2625000000000002</v>
      </c>
      <c r="W255" s="57">
        <f>(1000*CHOOSE(CONTROL!$C$42, 0.1146, 0.1146)*CHOOSE(CONTROL!$C$42, 121.5, 121.5)*CHOOSE(CONTROL!$C$42, 31, 31))/1000000</f>
        <v>0.43164089999999994</v>
      </c>
      <c r="X255" s="57">
        <f>(31*0.1790888*100000/1000000)+(31*0.2374*100000/1000000)</f>
        <v>1.2911152800000001</v>
      </c>
      <c r="Y255" s="57"/>
      <c r="Z255" s="14"/>
      <c r="AA255" s="56"/>
      <c r="AB255" s="50">
        <f>(B255*122.58+C255*297.941+D255*89.177+E255*40.302+F255*40+G255*160+H255*0+I255*100+J255*300)/(122.58+297.941+89.177+40.302+0+40+160+100+300)</f>
        <v>10.504792230695653</v>
      </c>
      <c r="AC255" s="45">
        <f>(M255*'RAP TEMPLATE-GAS AVAILABILITY'!O254+N255*'RAP TEMPLATE-GAS AVAILABILITY'!P254+O255*'RAP TEMPLATE-GAS AVAILABILITY'!Q254+P255*'RAP TEMPLATE-GAS AVAILABILITY'!R254)/('RAP TEMPLATE-GAS AVAILABILITY'!O254+'RAP TEMPLATE-GAS AVAILABILITY'!P254+'RAP TEMPLATE-GAS AVAILABILITY'!Q254+'RAP TEMPLATE-GAS AVAILABILITY'!R254)</f>
        <v>10.442636690647481</v>
      </c>
    </row>
    <row r="256" spans="1:29" ht="15.75" x14ac:dyDescent="0.25">
      <c r="A256" s="13">
        <v>48670</v>
      </c>
      <c r="B256" s="14">
        <f>CHOOSE(CONTROL!$C$42, 10.4617, 10.4617) * CHOOSE(CONTROL!$C$21, $C$9, 100%, $E$9)</f>
        <v>10.4617</v>
      </c>
      <c r="C256" s="14">
        <f>CHOOSE(CONTROL!$C$42, 10.466, 10.466) * CHOOSE(CONTROL!$C$21, $C$9, 100%, $E$9)</f>
        <v>10.465999999999999</v>
      </c>
      <c r="D256" s="14">
        <f>CHOOSE(CONTROL!$C$42, 10.6668, 10.6668) * CHOOSE(CONTROL!$C$21, $C$9, 100%, $E$9)</f>
        <v>10.6668</v>
      </c>
      <c r="E256" s="14">
        <f>CHOOSE(CONTROL!$C$42, 10.6985, 10.6985) * CHOOSE(CONTROL!$C$21, $C$9, 100%, $E$9)</f>
        <v>10.698499999999999</v>
      </c>
      <c r="F256" s="14">
        <f>CHOOSE(CONTROL!$C$42, 10.4462, 10.4462)*CHOOSE(CONTROL!$C$21, $C$9, 100%, $E$9)</f>
        <v>10.446199999999999</v>
      </c>
      <c r="G256" s="14">
        <f>CHOOSE(CONTROL!$C$42, 10.4619, 10.4619)*CHOOSE(CONTROL!$C$21, $C$9, 100%, $E$9)</f>
        <v>10.4619</v>
      </c>
      <c r="H256" s="14">
        <f>CHOOSE(CONTROL!$C$42, 10.6883, 10.6883) * CHOOSE(CONTROL!$C$21, $C$9, 100%, $E$9)</f>
        <v>10.6883</v>
      </c>
      <c r="I256" s="14">
        <f>CHOOSE(CONTROL!$C$42, 10.4744, 10.4744)* CHOOSE(CONTROL!$C$21, $C$9, 100%, $E$9)</f>
        <v>10.474399999999999</v>
      </c>
      <c r="J256" s="14">
        <f>CHOOSE(CONTROL!$C$42, 10.4392, 10.4392)* CHOOSE(CONTROL!$C$21, $C$9, 100%, $E$9)</f>
        <v>10.4392</v>
      </c>
      <c r="K256" s="53">
        <f>CHOOSE(CONTROL!$C$42, 10.4705, 10.4705) * CHOOSE(CONTROL!$C$21, $C$9, 100%, $E$9)</f>
        <v>10.470499999999999</v>
      </c>
      <c r="L256" s="14">
        <f>CHOOSE(CONTROL!$C$42, 11.2753, 11.2753) * CHOOSE(CONTROL!$C$21, $C$9, 100%, $E$9)</f>
        <v>11.2753</v>
      </c>
      <c r="M256" s="14">
        <f>CHOOSE(CONTROL!$C$42, 10.3477, 10.3477) * CHOOSE(CONTROL!$C$21, $C$9, 100%, $E$9)</f>
        <v>10.3477</v>
      </c>
      <c r="N256" s="14">
        <f>CHOOSE(CONTROL!$C$42, 10.3632, 10.3632) * CHOOSE(CONTROL!$C$21, $C$9, 100%, $E$9)</f>
        <v>10.363200000000001</v>
      </c>
      <c r="O256" s="14">
        <f>CHOOSE(CONTROL!$C$42, 10.5943, 10.5943) * CHOOSE(CONTROL!$C$21, $C$9, 100%, $E$9)</f>
        <v>10.5943</v>
      </c>
      <c r="P256" s="14">
        <f>CHOOSE(CONTROL!$C$42, 10.3826, 10.3826) * CHOOSE(CONTROL!$C$21, $C$9, 100%, $E$9)</f>
        <v>10.3826</v>
      </c>
      <c r="Q256" s="14">
        <f>CHOOSE(CONTROL!$C$42, 11.1896, 11.1896) * CHOOSE(CONTROL!$C$21, $C$9, 100%, $E$9)</f>
        <v>11.1896</v>
      </c>
      <c r="R256" s="14">
        <f>CHOOSE(CONTROL!$C$42, 11.8046, 11.8046) * CHOOSE(CONTROL!$C$21, $C$9, 100%, $E$9)</f>
        <v>11.804600000000001</v>
      </c>
      <c r="S256" s="14">
        <f>CHOOSE(CONTROL!$C$42, 10.1564, 10.1564) * CHOOSE(CONTROL!$C$21, $C$9, 100%, $E$9)</f>
        <v>10.1564</v>
      </c>
      <c r="T25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56" s="57">
        <f>(1000*CHOOSE(CONTROL!$C$42, 695, 695)*CHOOSE(CONTROL!$C$42, 0.5599, 0.5599)*CHOOSE(CONTROL!$C$42, 30, 30))/1000000</f>
        <v>11.673914999999997</v>
      </c>
      <c r="V256" s="57">
        <f>(1000*CHOOSE(CONTROL!$C$42, 500, 500)*CHOOSE(CONTROL!$C$42, 0.275, 0.275)*CHOOSE(CONTROL!$C$42, 30, 30))/1000000</f>
        <v>4.125</v>
      </c>
      <c r="W256" s="57">
        <f>(1000*CHOOSE(CONTROL!$C$42, 0.1146, 0.1146)*CHOOSE(CONTROL!$C$42, 121.5, 121.5)*CHOOSE(CONTROL!$C$42, 30, 30))/1000000</f>
        <v>0.417717</v>
      </c>
      <c r="X256" s="57">
        <f>(30*0.1790888*245000/1000000)+(30*0.2374*100000/1000000)</f>
        <v>2.0285026799999999</v>
      </c>
      <c r="Y256" s="57"/>
      <c r="Z256" s="14"/>
      <c r="AA256" s="56"/>
      <c r="AB256" s="50">
        <f>(B256*141.293+C256*267.993+D256*115.016+E256*89.698+F256*40+G256*185+H256*0+I256*100+J256*300)/(141.293+267.993+115.016+89.698+0+40+185+100+300)</f>
        <v>10.493919239628733</v>
      </c>
      <c r="AC256" s="45">
        <f>(M256*'RAP TEMPLATE-GAS AVAILABILITY'!O255+N256*'RAP TEMPLATE-GAS AVAILABILITY'!P255+O256*'RAP TEMPLATE-GAS AVAILABILITY'!Q255+P256*'RAP TEMPLATE-GAS AVAILABILITY'!R255)/('RAP TEMPLATE-GAS AVAILABILITY'!O255+'RAP TEMPLATE-GAS AVAILABILITY'!P255+'RAP TEMPLATE-GAS AVAILABILITY'!Q255+'RAP TEMPLATE-GAS AVAILABILITY'!R255)</f>
        <v>10.425479856115107</v>
      </c>
    </row>
    <row r="257" spans="1:29" ht="15.75" x14ac:dyDescent="0.25">
      <c r="A257" s="13">
        <v>48700</v>
      </c>
      <c r="B257" s="14">
        <f>CHOOSE(CONTROL!$C$42, 10.5553, 10.5553) * CHOOSE(CONTROL!$C$21, $C$9, 100%, $E$9)</f>
        <v>10.555300000000001</v>
      </c>
      <c r="C257" s="14">
        <f>CHOOSE(CONTROL!$C$42, 10.5633, 10.5633) * CHOOSE(CONTROL!$C$21, $C$9, 100%, $E$9)</f>
        <v>10.5633</v>
      </c>
      <c r="D257" s="14">
        <f>CHOOSE(CONTROL!$C$42, 10.7608, 10.7608) * CHOOSE(CONTROL!$C$21, $C$9, 100%, $E$9)</f>
        <v>10.7608</v>
      </c>
      <c r="E257" s="14">
        <f>CHOOSE(CONTROL!$C$42, 10.792, 10.792) * CHOOSE(CONTROL!$C$21, $C$9, 100%, $E$9)</f>
        <v>10.792</v>
      </c>
      <c r="F257" s="14">
        <f>CHOOSE(CONTROL!$C$42, 10.5388, 10.5388)*CHOOSE(CONTROL!$C$21, $C$9, 100%, $E$9)</f>
        <v>10.5388</v>
      </c>
      <c r="G257" s="14">
        <f>CHOOSE(CONTROL!$C$42, 10.5549, 10.5549)*CHOOSE(CONTROL!$C$21, $C$9, 100%, $E$9)</f>
        <v>10.5549</v>
      </c>
      <c r="H257" s="14">
        <f>CHOOSE(CONTROL!$C$42, 10.7806, 10.7806) * CHOOSE(CONTROL!$C$21, $C$9, 100%, $E$9)</f>
        <v>10.7806</v>
      </c>
      <c r="I257" s="14">
        <f>CHOOSE(CONTROL!$C$42, 10.5667, 10.5667)* CHOOSE(CONTROL!$C$21, $C$9, 100%, $E$9)</f>
        <v>10.566700000000001</v>
      </c>
      <c r="J257" s="14">
        <f>CHOOSE(CONTROL!$C$42, 10.5318, 10.5318)* CHOOSE(CONTROL!$C$21, $C$9, 100%, $E$9)</f>
        <v>10.5318</v>
      </c>
      <c r="K257" s="53">
        <f>CHOOSE(CONTROL!$C$42, 10.5628, 10.5628) * CHOOSE(CONTROL!$C$21, $C$9, 100%, $E$9)</f>
        <v>10.562799999999999</v>
      </c>
      <c r="L257" s="14">
        <f>CHOOSE(CONTROL!$C$42, 11.3676, 11.3676) * CHOOSE(CONTROL!$C$21, $C$9, 100%, $E$9)</f>
        <v>11.367599999999999</v>
      </c>
      <c r="M257" s="14">
        <f>CHOOSE(CONTROL!$C$42, 10.4393, 10.4393) * CHOOSE(CONTROL!$C$21, $C$9, 100%, $E$9)</f>
        <v>10.439299999999999</v>
      </c>
      <c r="N257" s="14">
        <f>CHOOSE(CONTROL!$C$42, 10.4552, 10.4552) * CHOOSE(CONTROL!$C$21, $C$9, 100%, $E$9)</f>
        <v>10.4552</v>
      </c>
      <c r="O257" s="14">
        <f>CHOOSE(CONTROL!$C$42, 10.6856, 10.6856) * CHOOSE(CONTROL!$C$21, $C$9, 100%, $E$9)</f>
        <v>10.685600000000001</v>
      </c>
      <c r="P257" s="14">
        <f>CHOOSE(CONTROL!$C$42, 10.4739, 10.4739) * CHOOSE(CONTROL!$C$21, $C$9, 100%, $E$9)</f>
        <v>10.4739</v>
      </c>
      <c r="Q257" s="14">
        <f>CHOOSE(CONTROL!$C$42, 11.2809, 11.2809) * CHOOSE(CONTROL!$C$21, $C$9, 100%, $E$9)</f>
        <v>11.280900000000001</v>
      </c>
      <c r="R257" s="14">
        <f>CHOOSE(CONTROL!$C$42, 11.8962, 11.8962) * CHOOSE(CONTROL!$C$21, $C$9, 100%, $E$9)</f>
        <v>11.8962</v>
      </c>
      <c r="S257" s="14">
        <f>CHOOSE(CONTROL!$C$42, 10.246, 10.246) * CHOOSE(CONTROL!$C$21, $C$9, 100%, $E$9)</f>
        <v>10.246</v>
      </c>
      <c r="T25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57" s="57">
        <f>(1000*CHOOSE(CONTROL!$C$42, 695, 695)*CHOOSE(CONTROL!$C$42, 0.5599, 0.5599)*CHOOSE(CONTROL!$C$42, 31, 31))/1000000</f>
        <v>12.063045499999998</v>
      </c>
      <c r="V257" s="57">
        <f>(1000*CHOOSE(CONTROL!$C$42, 500, 500)*CHOOSE(CONTROL!$C$42, 0.275, 0.275)*CHOOSE(CONTROL!$C$42, 31, 31))/1000000</f>
        <v>4.2625000000000002</v>
      </c>
      <c r="W257" s="57">
        <f>(1000*CHOOSE(CONTROL!$C$42, 0.1146, 0.1146)*CHOOSE(CONTROL!$C$42, 121.5, 121.5)*CHOOSE(CONTROL!$C$42, 31, 31))/1000000</f>
        <v>0.43164089999999994</v>
      </c>
      <c r="X257" s="57">
        <f>(31*0.1790888*245000/1000000)+(31*0.2374*100000/1000000)</f>
        <v>2.0961194359999999</v>
      </c>
      <c r="Y257" s="57"/>
      <c r="Z257" s="14"/>
      <c r="AA257" s="56"/>
      <c r="AB257" s="50">
        <f>(B257*194.205+C257*267.466+D257*133.845+E257*53.484+F257*40+G257*185+H257*0+I257*100+J257*300)/(194.205+267.466+133.845+53.484+0+40+185+100+300)</f>
        <v>10.583291003375194</v>
      </c>
      <c r="AC257" s="45">
        <f>(M257*'RAP TEMPLATE-GAS AVAILABILITY'!O256+N257*'RAP TEMPLATE-GAS AVAILABILITY'!P256+O257*'RAP TEMPLATE-GAS AVAILABILITY'!Q256+P257*'RAP TEMPLATE-GAS AVAILABILITY'!R256)/('RAP TEMPLATE-GAS AVAILABILITY'!O256+'RAP TEMPLATE-GAS AVAILABILITY'!P256+'RAP TEMPLATE-GAS AVAILABILITY'!Q256+'RAP TEMPLATE-GAS AVAILABILITY'!R256)</f>
        <v>10.517044604316546</v>
      </c>
    </row>
    <row r="258" spans="1:29" ht="15.75" x14ac:dyDescent="0.25">
      <c r="A258" s="13">
        <v>48731</v>
      </c>
      <c r="B258" s="14">
        <f>CHOOSE(CONTROL!$C$42, 10.8546, 10.8546) * CHOOSE(CONTROL!$C$21, $C$9, 100%, $E$9)</f>
        <v>10.8546</v>
      </c>
      <c r="C258" s="14">
        <f>CHOOSE(CONTROL!$C$42, 10.8625, 10.8625) * CHOOSE(CONTROL!$C$21, $C$9, 100%, $E$9)</f>
        <v>10.862500000000001</v>
      </c>
      <c r="D258" s="14">
        <f>CHOOSE(CONTROL!$C$42, 11.0601, 11.0601) * CHOOSE(CONTROL!$C$21, $C$9, 100%, $E$9)</f>
        <v>11.0601</v>
      </c>
      <c r="E258" s="14">
        <f>CHOOSE(CONTROL!$C$42, 11.0912, 11.0912) * CHOOSE(CONTROL!$C$21, $C$9, 100%, $E$9)</f>
        <v>11.091200000000001</v>
      </c>
      <c r="F258" s="14">
        <f>CHOOSE(CONTROL!$C$42, 10.8384, 10.8384)*CHOOSE(CONTROL!$C$21, $C$9, 100%, $E$9)</f>
        <v>10.8384</v>
      </c>
      <c r="G258" s="14">
        <f>CHOOSE(CONTROL!$C$42, 10.8546, 10.8546)*CHOOSE(CONTROL!$C$21, $C$9, 100%, $E$9)</f>
        <v>10.8546</v>
      </c>
      <c r="H258" s="14">
        <f>CHOOSE(CONTROL!$C$42, 11.0799, 11.0799) * CHOOSE(CONTROL!$C$21, $C$9, 100%, $E$9)</f>
        <v>11.0799</v>
      </c>
      <c r="I258" s="14">
        <f>CHOOSE(CONTROL!$C$42, 10.866, 10.866)* CHOOSE(CONTROL!$C$21, $C$9, 100%, $E$9)</f>
        <v>10.866</v>
      </c>
      <c r="J258" s="14">
        <f>CHOOSE(CONTROL!$C$42, 10.8314, 10.8314)* CHOOSE(CONTROL!$C$21, $C$9, 100%, $E$9)</f>
        <v>10.8314</v>
      </c>
      <c r="K258" s="53">
        <f>CHOOSE(CONTROL!$C$42, 10.8621, 10.8621) * CHOOSE(CONTROL!$C$21, $C$9, 100%, $E$9)</f>
        <v>10.8621</v>
      </c>
      <c r="L258" s="14">
        <f>CHOOSE(CONTROL!$C$42, 11.6669, 11.6669) * CHOOSE(CONTROL!$C$21, $C$9, 100%, $E$9)</f>
        <v>11.6669</v>
      </c>
      <c r="M258" s="14">
        <f>CHOOSE(CONTROL!$C$42, 10.736, 10.736) * CHOOSE(CONTROL!$C$21, $C$9, 100%, $E$9)</f>
        <v>10.736000000000001</v>
      </c>
      <c r="N258" s="14">
        <f>CHOOSE(CONTROL!$C$42, 10.752, 10.752) * CHOOSE(CONTROL!$C$21, $C$9, 100%, $E$9)</f>
        <v>10.752000000000001</v>
      </c>
      <c r="O258" s="14">
        <f>CHOOSE(CONTROL!$C$42, 10.9819, 10.9819) * CHOOSE(CONTROL!$C$21, $C$9, 100%, $E$9)</f>
        <v>10.9819</v>
      </c>
      <c r="P258" s="14">
        <f>CHOOSE(CONTROL!$C$42, 10.7702, 10.7702) * CHOOSE(CONTROL!$C$21, $C$9, 100%, $E$9)</f>
        <v>10.770200000000001</v>
      </c>
      <c r="Q258" s="14">
        <f>CHOOSE(CONTROL!$C$42, 11.5772, 11.5772) * CHOOSE(CONTROL!$C$21, $C$9, 100%, $E$9)</f>
        <v>11.577199999999999</v>
      </c>
      <c r="R258" s="14">
        <f>CHOOSE(CONTROL!$C$42, 12.1931, 12.1931) * CHOOSE(CONTROL!$C$21, $C$9, 100%, $E$9)</f>
        <v>12.193099999999999</v>
      </c>
      <c r="S258" s="14">
        <f>CHOOSE(CONTROL!$C$42, 10.5367, 10.5367) * CHOOSE(CONTROL!$C$21, $C$9, 100%, $E$9)</f>
        <v>10.5367</v>
      </c>
      <c r="T25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58" s="57">
        <f>(1000*CHOOSE(CONTROL!$C$42, 695, 695)*CHOOSE(CONTROL!$C$42, 0.5599, 0.5599)*CHOOSE(CONTROL!$C$42, 30, 30))/1000000</f>
        <v>11.673914999999997</v>
      </c>
      <c r="V258" s="57">
        <f>(1000*CHOOSE(CONTROL!$C$42, 500, 500)*CHOOSE(CONTROL!$C$42, 0.275, 0.275)*CHOOSE(CONTROL!$C$42, 30, 30))/1000000</f>
        <v>4.125</v>
      </c>
      <c r="W258" s="57">
        <f>(1000*CHOOSE(CONTROL!$C$42, 0.1146, 0.1146)*CHOOSE(CONTROL!$C$42, 121.5, 121.5)*CHOOSE(CONTROL!$C$42, 30, 30))/1000000</f>
        <v>0.417717</v>
      </c>
      <c r="X258" s="57">
        <f>(30*0.1790888*245000/1000000)+(30*0.2374*100000/1000000)</f>
        <v>2.0285026799999999</v>
      </c>
      <c r="Y258" s="57"/>
      <c r="Z258" s="14"/>
      <c r="AA258" s="56"/>
      <c r="AB258" s="50">
        <f>(B258*194.205+C258*267.466+D258*133.845+E258*53.484+F258*40+G258*185+H258*0+I258*100+J258*300)/(194.205+267.466+133.845+53.484+0+40+185+100+300)</f>
        <v>10.882703958634226</v>
      </c>
      <c r="AC258" s="45">
        <f>(M258*'RAP TEMPLATE-GAS AVAILABILITY'!O257+N258*'RAP TEMPLATE-GAS AVAILABILITY'!P257+O258*'RAP TEMPLATE-GAS AVAILABILITY'!Q257+P258*'RAP TEMPLATE-GAS AVAILABILITY'!R257)/('RAP TEMPLATE-GAS AVAILABILITY'!O257+'RAP TEMPLATE-GAS AVAILABILITY'!P257+'RAP TEMPLATE-GAS AVAILABILITY'!Q257+'RAP TEMPLATE-GAS AVAILABILITY'!R257)</f>
        <v>10.813597841726621</v>
      </c>
    </row>
    <row r="259" spans="1:29" ht="15.75" x14ac:dyDescent="0.25">
      <c r="A259" s="13">
        <v>48761</v>
      </c>
      <c r="B259" s="14">
        <f>CHOOSE(CONTROL!$C$42, 10.6465, 10.6465) * CHOOSE(CONTROL!$C$21, $C$9, 100%, $E$9)</f>
        <v>10.6465</v>
      </c>
      <c r="C259" s="14">
        <f>CHOOSE(CONTROL!$C$42, 10.6544, 10.6544) * CHOOSE(CONTROL!$C$21, $C$9, 100%, $E$9)</f>
        <v>10.654400000000001</v>
      </c>
      <c r="D259" s="14">
        <f>CHOOSE(CONTROL!$C$42, 10.852, 10.852) * CHOOSE(CONTROL!$C$21, $C$9, 100%, $E$9)</f>
        <v>10.852</v>
      </c>
      <c r="E259" s="14">
        <f>CHOOSE(CONTROL!$C$42, 10.8831, 10.8831) * CHOOSE(CONTROL!$C$21, $C$9, 100%, $E$9)</f>
        <v>10.883100000000001</v>
      </c>
      <c r="F259" s="14">
        <f>CHOOSE(CONTROL!$C$42, 10.6307, 10.6307)*CHOOSE(CONTROL!$C$21, $C$9, 100%, $E$9)</f>
        <v>10.630699999999999</v>
      </c>
      <c r="G259" s="14">
        <f>CHOOSE(CONTROL!$C$42, 10.647, 10.647)*CHOOSE(CONTROL!$C$21, $C$9, 100%, $E$9)</f>
        <v>10.647</v>
      </c>
      <c r="H259" s="14">
        <f>CHOOSE(CONTROL!$C$42, 10.8717, 10.8717) * CHOOSE(CONTROL!$C$21, $C$9, 100%, $E$9)</f>
        <v>10.871700000000001</v>
      </c>
      <c r="I259" s="14">
        <f>CHOOSE(CONTROL!$C$42, 10.6578, 10.6578)* CHOOSE(CONTROL!$C$21, $C$9, 100%, $E$9)</f>
        <v>10.6578</v>
      </c>
      <c r="J259" s="14">
        <f>CHOOSE(CONTROL!$C$42, 10.6237, 10.6237)* CHOOSE(CONTROL!$C$21, $C$9, 100%, $E$9)</f>
        <v>10.623699999999999</v>
      </c>
      <c r="K259" s="53">
        <f>CHOOSE(CONTROL!$C$42, 10.6539, 10.6539) * CHOOSE(CONTROL!$C$21, $C$9, 100%, $E$9)</f>
        <v>10.6539</v>
      </c>
      <c r="L259" s="14">
        <f>CHOOSE(CONTROL!$C$42, 11.4587, 11.4587) * CHOOSE(CONTROL!$C$21, $C$9, 100%, $E$9)</f>
        <v>11.4587</v>
      </c>
      <c r="M259" s="14">
        <f>CHOOSE(CONTROL!$C$42, 10.5303, 10.5303) * CHOOSE(CONTROL!$C$21, $C$9, 100%, $E$9)</f>
        <v>10.5303</v>
      </c>
      <c r="N259" s="14">
        <f>CHOOSE(CONTROL!$C$42, 10.5465, 10.5465) * CHOOSE(CONTROL!$C$21, $C$9, 100%, $E$9)</f>
        <v>10.5465</v>
      </c>
      <c r="O259" s="14">
        <f>CHOOSE(CONTROL!$C$42, 10.7759, 10.7759) * CHOOSE(CONTROL!$C$21, $C$9, 100%, $E$9)</f>
        <v>10.7759</v>
      </c>
      <c r="P259" s="14">
        <f>CHOOSE(CONTROL!$C$42, 10.5641, 10.5641) * CHOOSE(CONTROL!$C$21, $C$9, 100%, $E$9)</f>
        <v>10.5641</v>
      </c>
      <c r="Q259" s="14">
        <f>CHOOSE(CONTROL!$C$42, 11.3712, 11.3712) * CHOOSE(CONTROL!$C$21, $C$9, 100%, $E$9)</f>
        <v>11.3712</v>
      </c>
      <c r="R259" s="14">
        <f>CHOOSE(CONTROL!$C$42, 11.9866, 11.9866) * CHOOSE(CONTROL!$C$21, $C$9, 100%, $E$9)</f>
        <v>11.986599999999999</v>
      </c>
      <c r="S259" s="14">
        <f>CHOOSE(CONTROL!$C$42, 10.3345, 10.3345) * CHOOSE(CONTROL!$C$21, $C$9, 100%, $E$9)</f>
        <v>10.3345</v>
      </c>
      <c r="T25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59" s="57">
        <f>(1000*CHOOSE(CONTROL!$C$42, 695, 695)*CHOOSE(CONTROL!$C$42, 0.5599, 0.5599)*CHOOSE(CONTROL!$C$42, 31, 31))/1000000</f>
        <v>12.063045499999998</v>
      </c>
      <c r="V259" s="57">
        <f>(1000*CHOOSE(CONTROL!$C$42, 500, 500)*CHOOSE(CONTROL!$C$42, 0.275, 0.275)*CHOOSE(CONTROL!$C$42, 31, 31))/1000000</f>
        <v>4.2625000000000002</v>
      </c>
      <c r="W259" s="57">
        <f>(1000*CHOOSE(CONTROL!$C$42, 0.1146, 0.1146)*CHOOSE(CONTROL!$C$42, 121.5, 121.5)*CHOOSE(CONTROL!$C$42, 31, 31))/1000000</f>
        <v>0.43164089999999994</v>
      </c>
      <c r="X259" s="57">
        <f>(31*0.1790888*245000/1000000)+(31*0.2374*100000/1000000)</f>
        <v>2.0961194359999999</v>
      </c>
      <c r="Y259" s="57"/>
      <c r="Z259" s="14"/>
      <c r="AA259" s="56"/>
      <c r="AB259" s="50">
        <f>(B259*194.205+C259*267.466+D259*133.845+E259*53.484+F259*40+G259*185+H259*0+I259*100+J259*300)/(194.205+267.466+133.845+53.484+0+40+185+100+300)</f>
        <v>10.674775465698589</v>
      </c>
      <c r="AC259" s="45">
        <f>(M259*'RAP TEMPLATE-GAS AVAILABILITY'!O258+N259*'RAP TEMPLATE-GAS AVAILABILITY'!P258+O259*'RAP TEMPLATE-GAS AVAILABILITY'!Q258+P259*'RAP TEMPLATE-GAS AVAILABILITY'!R258)/('RAP TEMPLATE-GAS AVAILABILITY'!O258+'RAP TEMPLATE-GAS AVAILABILITY'!P258+'RAP TEMPLATE-GAS AVAILABILITY'!Q258+'RAP TEMPLATE-GAS AVAILABILITY'!R258)</f>
        <v>10.60780215827338</v>
      </c>
    </row>
    <row r="260" spans="1:29" ht="15.75" x14ac:dyDescent="0.25">
      <c r="A260" s="13">
        <v>48792</v>
      </c>
      <c r="B260" s="14">
        <f>CHOOSE(CONTROL!$C$42, 10.1209, 10.1209) * CHOOSE(CONTROL!$C$21, $C$9, 100%, $E$9)</f>
        <v>10.120900000000001</v>
      </c>
      <c r="C260" s="14">
        <f>CHOOSE(CONTROL!$C$42, 10.1288, 10.1288) * CHOOSE(CONTROL!$C$21, $C$9, 100%, $E$9)</f>
        <v>10.1288</v>
      </c>
      <c r="D260" s="14">
        <f>CHOOSE(CONTROL!$C$42, 10.3264, 10.3264) * CHOOSE(CONTROL!$C$21, $C$9, 100%, $E$9)</f>
        <v>10.3264</v>
      </c>
      <c r="E260" s="14">
        <f>CHOOSE(CONTROL!$C$42, 10.3575, 10.3575) * CHOOSE(CONTROL!$C$21, $C$9, 100%, $E$9)</f>
        <v>10.3575</v>
      </c>
      <c r="F260" s="14">
        <f>CHOOSE(CONTROL!$C$42, 10.1053, 10.1053)*CHOOSE(CONTROL!$C$21, $C$9, 100%, $E$9)</f>
        <v>10.1053</v>
      </c>
      <c r="G260" s="14">
        <f>CHOOSE(CONTROL!$C$42, 10.1217, 10.1217)*CHOOSE(CONTROL!$C$21, $C$9, 100%, $E$9)</f>
        <v>10.121700000000001</v>
      </c>
      <c r="H260" s="14">
        <f>CHOOSE(CONTROL!$C$42, 10.3461, 10.3461) * CHOOSE(CONTROL!$C$21, $C$9, 100%, $E$9)</f>
        <v>10.3461</v>
      </c>
      <c r="I260" s="14">
        <f>CHOOSE(CONTROL!$C$42, 10.1322, 10.1322)* CHOOSE(CONTROL!$C$21, $C$9, 100%, $E$9)</f>
        <v>10.132199999999999</v>
      </c>
      <c r="J260" s="14">
        <f>CHOOSE(CONTROL!$C$42, 10.0983, 10.0983)* CHOOSE(CONTROL!$C$21, $C$9, 100%, $E$9)</f>
        <v>10.0983</v>
      </c>
      <c r="K260" s="53">
        <f>CHOOSE(CONTROL!$C$42, 10.1283, 10.1283) * CHOOSE(CONTROL!$C$21, $C$9, 100%, $E$9)</f>
        <v>10.128299999999999</v>
      </c>
      <c r="L260" s="14">
        <f>CHOOSE(CONTROL!$C$42, 10.9331, 10.9331) * CHOOSE(CONTROL!$C$21, $C$9, 100%, $E$9)</f>
        <v>10.9331</v>
      </c>
      <c r="M260" s="14">
        <f>CHOOSE(CONTROL!$C$42, 10.0102, 10.0102) * CHOOSE(CONTROL!$C$21, $C$9, 100%, $E$9)</f>
        <v>10.010199999999999</v>
      </c>
      <c r="N260" s="14">
        <f>CHOOSE(CONTROL!$C$42, 10.0264, 10.0264) * CHOOSE(CONTROL!$C$21, $C$9, 100%, $E$9)</f>
        <v>10.026400000000001</v>
      </c>
      <c r="O260" s="14">
        <f>CHOOSE(CONTROL!$C$42, 10.2555, 10.2555) * CHOOSE(CONTROL!$C$21, $C$9, 100%, $E$9)</f>
        <v>10.2555</v>
      </c>
      <c r="P260" s="14">
        <f>CHOOSE(CONTROL!$C$42, 10.0438, 10.0438) * CHOOSE(CONTROL!$C$21, $C$9, 100%, $E$9)</f>
        <v>10.043799999999999</v>
      </c>
      <c r="Q260" s="14">
        <f>CHOOSE(CONTROL!$C$42, 10.8508, 10.8508) * CHOOSE(CONTROL!$C$21, $C$9, 100%, $E$9)</f>
        <v>10.8508</v>
      </c>
      <c r="R260" s="14">
        <f>CHOOSE(CONTROL!$C$42, 11.465, 11.465) * CHOOSE(CONTROL!$C$21, $C$9, 100%, $E$9)</f>
        <v>11.465</v>
      </c>
      <c r="S260" s="14">
        <f>CHOOSE(CONTROL!$C$42, 9.8241, 9.8241) * CHOOSE(CONTROL!$C$21, $C$9, 100%, $E$9)</f>
        <v>9.8240999999999996</v>
      </c>
      <c r="T26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60" s="57">
        <f>(1000*CHOOSE(CONTROL!$C$42, 695, 695)*CHOOSE(CONTROL!$C$42, 0.5599, 0.5599)*CHOOSE(CONTROL!$C$42, 31, 31))/1000000</f>
        <v>12.063045499999998</v>
      </c>
      <c r="V260" s="57">
        <f>(1000*CHOOSE(CONTROL!$C$42, 500, 500)*CHOOSE(CONTROL!$C$42, 0.275, 0.275)*CHOOSE(CONTROL!$C$42, 31, 31))/1000000</f>
        <v>4.2625000000000002</v>
      </c>
      <c r="W260" s="57">
        <f>(1000*CHOOSE(CONTROL!$C$42, 0.1146, 0.1146)*CHOOSE(CONTROL!$C$42, 121.5, 121.5)*CHOOSE(CONTROL!$C$42, 31, 31))/1000000</f>
        <v>0.43164089999999994</v>
      </c>
      <c r="X260" s="57">
        <f>(31*0.1790888*245000/1000000)+(31*0.2374*100000/1000000)</f>
        <v>2.0961194359999999</v>
      </c>
      <c r="Y260" s="57"/>
      <c r="Z260" s="14"/>
      <c r="AA260" s="56"/>
      <c r="AB260" s="50">
        <f>(B260*194.205+C260*267.466+D260*133.845+E260*53.484+F260*40+G260*185+H260*0+I260*100+J260*300)/(194.205+267.466+133.845+53.484+0+40+185+100+300)</f>
        <v>10.149272404474097</v>
      </c>
      <c r="AC260" s="45">
        <f>(M260*'RAP TEMPLATE-GAS AVAILABILITY'!O259+N260*'RAP TEMPLATE-GAS AVAILABILITY'!P259+O260*'RAP TEMPLATE-GAS AVAILABILITY'!Q259+P260*'RAP TEMPLATE-GAS AVAILABILITY'!R259)/('RAP TEMPLATE-GAS AVAILABILITY'!O259+'RAP TEMPLATE-GAS AVAILABILITY'!P259+'RAP TEMPLATE-GAS AVAILABILITY'!Q259+'RAP TEMPLATE-GAS AVAILABILITY'!R259)</f>
        <v>10.087589208633092</v>
      </c>
    </row>
    <row r="261" spans="1:29" ht="15.75" x14ac:dyDescent="0.25">
      <c r="A261" s="13">
        <v>48823</v>
      </c>
      <c r="B261" s="14">
        <f>CHOOSE(CONTROL!$C$42, 9.4783, 9.4783) * CHOOSE(CONTROL!$C$21, $C$9, 100%, $E$9)</f>
        <v>9.4783000000000008</v>
      </c>
      <c r="C261" s="14">
        <f>CHOOSE(CONTROL!$C$42, 9.4862, 9.4862) * CHOOSE(CONTROL!$C$21, $C$9, 100%, $E$9)</f>
        <v>9.4862000000000002</v>
      </c>
      <c r="D261" s="14">
        <f>CHOOSE(CONTROL!$C$42, 9.6838, 9.6838) * CHOOSE(CONTROL!$C$21, $C$9, 100%, $E$9)</f>
        <v>9.6837999999999997</v>
      </c>
      <c r="E261" s="14">
        <f>CHOOSE(CONTROL!$C$42, 9.7149, 9.7149) * CHOOSE(CONTROL!$C$21, $C$9, 100%, $E$9)</f>
        <v>9.7149000000000001</v>
      </c>
      <c r="F261" s="14">
        <f>CHOOSE(CONTROL!$C$42, 9.4626, 9.4626)*CHOOSE(CONTROL!$C$21, $C$9, 100%, $E$9)</f>
        <v>9.4626000000000001</v>
      </c>
      <c r="G261" s="14">
        <f>CHOOSE(CONTROL!$C$42, 9.479, 9.479)*CHOOSE(CONTROL!$C$21, $C$9, 100%, $E$9)</f>
        <v>9.4789999999999992</v>
      </c>
      <c r="H261" s="14">
        <f>CHOOSE(CONTROL!$C$42, 9.7035, 9.7035) * CHOOSE(CONTROL!$C$21, $C$9, 100%, $E$9)</f>
        <v>9.7035</v>
      </c>
      <c r="I261" s="14">
        <f>CHOOSE(CONTROL!$C$42, 9.4896, 9.4896)* CHOOSE(CONTROL!$C$21, $C$9, 100%, $E$9)</f>
        <v>9.4895999999999994</v>
      </c>
      <c r="J261" s="14">
        <f>CHOOSE(CONTROL!$C$42, 9.4556, 9.4556)* CHOOSE(CONTROL!$C$21, $C$9, 100%, $E$9)</f>
        <v>9.4556000000000004</v>
      </c>
      <c r="K261" s="53">
        <f>CHOOSE(CONTROL!$C$42, 9.4857, 9.4857) * CHOOSE(CONTROL!$C$21, $C$9, 100%, $E$9)</f>
        <v>9.4856999999999996</v>
      </c>
      <c r="L261" s="14">
        <f>CHOOSE(CONTROL!$C$42, 10.2905, 10.2905) * CHOOSE(CONTROL!$C$21, $C$9, 100%, $E$9)</f>
        <v>10.2905</v>
      </c>
      <c r="M261" s="14">
        <f>CHOOSE(CONTROL!$C$42, 9.374, 9.374) * CHOOSE(CONTROL!$C$21, $C$9, 100%, $E$9)</f>
        <v>9.3740000000000006</v>
      </c>
      <c r="N261" s="14">
        <f>CHOOSE(CONTROL!$C$42, 9.3902, 9.3902) * CHOOSE(CONTROL!$C$21, $C$9, 100%, $E$9)</f>
        <v>9.3902000000000001</v>
      </c>
      <c r="O261" s="14">
        <f>CHOOSE(CONTROL!$C$42, 9.6194, 9.6194) * CHOOSE(CONTROL!$C$21, $C$9, 100%, $E$9)</f>
        <v>9.6194000000000006</v>
      </c>
      <c r="P261" s="14">
        <f>CHOOSE(CONTROL!$C$42, 9.4077, 9.4077) * CHOOSE(CONTROL!$C$21, $C$9, 100%, $E$9)</f>
        <v>9.4077000000000002</v>
      </c>
      <c r="Q261" s="14">
        <f>CHOOSE(CONTROL!$C$42, 10.2147, 10.2147) * CHOOSE(CONTROL!$C$21, $C$9, 100%, $E$9)</f>
        <v>10.214700000000001</v>
      </c>
      <c r="R261" s="14">
        <f>CHOOSE(CONTROL!$C$42, 10.8273, 10.8273) * CHOOSE(CONTROL!$C$21, $C$9, 100%, $E$9)</f>
        <v>10.827299999999999</v>
      </c>
      <c r="S261" s="14">
        <f>CHOOSE(CONTROL!$C$42, 9.2001, 9.2001) * CHOOSE(CONTROL!$C$21, $C$9, 100%, $E$9)</f>
        <v>9.2001000000000008</v>
      </c>
      <c r="T26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61" s="57">
        <f>(1000*CHOOSE(CONTROL!$C$42, 695, 695)*CHOOSE(CONTROL!$C$42, 0.5599, 0.5599)*CHOOSE(CONTROL!$C$42, 30, 30))/1000000</f>
        <v>11.673914999999997</v>
      </c>
      <c r="V261" s="57">
        <f>(1000*CHOOSE(CONTROL!$C$42, 500, 500)*CHOOSE(CONTROL!$C$42, 0.275, 0.275)*CHOOSE(CONTROL!$C$42, 30, 30))/1000000</f>
        <v>4.125</v>
      </c>
      <c r="W261" s="57">
        <f>(1000*CHOOSE(CONTROL!$C$42, 0.1146, 0.1146)*CHOOSE(CONTROL!$C$42, 121.5, 121.5)*CHOOSE(CONTROL!$C$42, 30, 30))/1000000</f>
        <v>0.417717</v>
      </c>
      <c r="X261" s="57">
        <f>(30*0.1790888*245000/1000000)+(30*0.2374*100000/1000000)</f>
        <v>2.0285026799999999</v>
      </c>
      <c r="Y261" s="57"/>
      <c r="Z261" s="14"/>
      <c r="AA261" s="56"/>
      <c r="AB261" s="50">
        <f>(B261*194.205+C261*267.466+D261*133.845+E261*53.484+F261*40+G261*185+H261*0+I261*100+J261*300)/(194.205+267.466+133.845+53.484+0+40+185+100+300)</f>
        <v>9.5066311956828891</v>
      </c>
      <c r="AC261" s="45">
        <f>(M261*'RAP TEMPLATE-GAS AVAILABILITY'!O260+N261*'RAP TEMPLATE-GAS AVAILABILITY'!P260+O261*'RAP TEMPLATE-GAS AVAILABILITY'!Q260+P261*'RAP TEMPLATE-GAS AVAILABILITY'!R260)/('RAP TEMPLATE-GAS AVAILABILITY'!O260+'RAP TEMPLATE-GAS AVAILABILITY'!P260+'RAP TEMPLATE-GAS AVAILABILITY'!Q260+'RAP TEMPLATE-GAS AVAILABILITY'!R260)</f>
        <v>9.4514316546762593</v>
      </c>
    </row>
    <row r="262" spans="1:29" ht="15.75" x14ac:dyDescent="0.25">
      <c r="A262" s="13">
        <v>48853</v>
      </c>
      <c r="B262" s="14">
        <f>CHOOSE(CONTROL!$C$42, 9.2842, 9.2842) * CHOOSE(CONTROL!$C$21, $C$9, 100%, $E$9)</f>
        <v>9.2842000000000002</v>
      </c>
      <c r="C262" s="14">
        <f>CHOOSE(CONTROL!$C$42, 9.2894, 9.2894) * CHOOSE(CONTROL!$C$21, $C$9, 100%, $E$9)</f>
        <v>9.2894000000000005</v>
      </c>
      <c r="D262" s="14">
        <f>CHOOSE(CONTROL!$C$42, 9.4919, 9.4919) * CHOOSE(CONTROL!$C$21, $C$9, 100%, $E$9)</f>
        <v>9.4918999999999993</v>
      </c>
      <c r="E262" s="14">
        <f>CHOOSE(CONTROL!$C$42, 9.5207, 9.5207) * CHOOSE(CONTROL!$C$21, $C$9, 100%, $E$9)</f>
        <v>9.5206999999999997</v>
      </c>
      <c r="F262" s="14">
        <f>CHOOSE(CONTROL!$C$42, 9.2705, 9.2705)*CHOOSE(CONTROL!$C$21, $C$9, 100%, $E$9)</f>
        <v>9.2705000000000002</v>
      </c>
      <c r="G262" s="14">
        <f>CHOOSE(CONTROL!$C$42, 9.2865, 9.2865)*CHOOSE(CONTROL!$C$21, $C$9, 100%, $E$9)</f>
        <v>9.2865000000000002</v>
      </c>
      <c r="H262" s="14">
        <f>CHOOSE(CONTROL!$C$42, 9.5112, 9.5112) * CHOOSE(CONTROL!$C$21, $C$9, 100%, $E$9)</f>
        <v>9.5112000000000005</v>
      </c>
      <c r="I262" s="14">
        <f>CHOOSE(CONTROL!$C$42, 9.2973, 9.2973)* CHOOSE(CONTROL!$C$21, $C$9, 100%, $E$9)</f>
        <v>9.2972999999999999</v>
      </c>
      <c r="J262" s="14">
        <f>CHOOSE(CONTROL!$C$42, 9.2635, 9.2635)* CHOOSE(CONTROL!$C$21, $C$9, 100%, $E$9)</f>
        <v>9.2635000000000005</v>
      </c>
      <c r="K262" s="53">
        <f>CHOOSE(CONTROL!$C$42, 9.2934, 9.2934) * CHOOSE(CONTROL!$C$21, $C$9, 100%, $E$9)</f>
        <v>9.2934000000000001</v>
      </c>
      <c r="L262" s="14">
        <f>CHOOSE(CONTROL!$C$42, 10.0982, 10.0982) * CHOOSE(CONTROL!$C$21, $C$9, 100%, $E$9)</f>
        <v>10.0982</v>
      </c>
      <c r="M262" s="14">
        <f>CHOOSE(CONTROL!$C$42, 9.1839, 9.1839) * CHOOSE(CONTROL!$C$21, $C$9, 100%, $E$9)</f>
        <v>9.1838999999999995</v>
      </c>
      <c r="N262" s="14">
        <f>CHOOSE(CONTROL!$C$42, 9.1997, 9.1997) * CHOOSE(CONTROL!$C$21, $C$9, 100%, $E$9)</f>
        <v>9.1997</v>
      </c>
      <c r="O262" s="14">
        <f>CHOOSE(CONTROL!$C$42, 9.429, 9.429) * CHOOSE(CONTROL!$C$21, $C$9, 100%, $E$9)</f>
        <v>9.4290000000000003</v>
      </c>
      <c r="P262" s="14">
        <f>CHOOSE(CONTROL!$C$42, 9.2173, 9.2173) * CHOOSE(CONTROL!$C$21, $C$9, 100%, $E$9)</f>
        <v>9.2172999999999998</v>
      </c>
      <c r="Q262" s="14">
        <f>CHOOSE(CONTROL!$C$42, 10.0243, 10.0243) * CHOOSE(CONTROL!$C$21, $C$9, 100%, $E$9)</f>
        <v>10.0243</v>
      </c>
      <c r="R262" s="14">
        <f>CHOOSE(CONTROL!$C$42, 10.6364, 10.6364) * CHOOSE(CONTROL!$C$21, $C$9, 100%, $E$9)</f>
        <v>10.6364</v>
      </c>
      <c r="S262" s="14">
        <f>CHOOSE(CONTROL!$C$42, 9.0133, 9.0133) * CHOOSE(CONTROL!$C$21, $C$9, 100%, $E$9)</f>
        <v>9.0132999999999992</v>
      </c>
      <c r="T26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62" s="57">
        <f>(1000*CHOOSE(CONTROL!$C$42, 695, 695)*CHOOSE(CONTROL!$C$42, 0.5599, 0.5599)*CHOOSE(CONTROL!$C$42, 31, 31))/1000000</f>
        <v>12.063045499999998</v>
      </c>
      <c r="V262" s="57">
        <f>(1000*CHOOSE(CONTROL!$C$42, 500, 500)*CHOOSE(CONTROL!$C$42, 0.275, 0.275)*CHOOSE(CONTROL!$C$42, 31, 31))/1000000</f>
        <v>4.2625000000000002</v>
      </c>
      <c r="W262" s="57">
        <f>(1000*CHOOSE(CONTROL!$C$42, 0.1146, 0.1146)*CHOOSE(CONTROL!$C$42, 121.5, 121.5)*CHOOSE(CONTROL!$C$42, 31, 31))/1000000</f>
        <v>0.43164089999999994</v>
      </c>
      <c r="X262" s="57">
        <f>(31*0.1790888*245000/1000000)+(31*0.2374*100000/1000000)</f>
        <v>2.0961194359999999</v>
      </c>
      <c r="Y262" s="57"/>
      <c r="Z262" s="14"/>
      <c r="AA262" s="56"/>
      <c r="AB262" s="50">
        <f>(B262*131.881+C262*277.167+D262*79.08+E262*125.872+F262*40+G262*185+H262*0+I262*100+J262*300)/(131.881+277.167+79.08+125.872+0+40+185+100+300)</f>
        <v>9.3185925846650512</v>
      </c>
      <c r="AC262" s="45">
        <f>(M262*'RAP TEMPLATE-GAS AVAILABILITY'!O261+N262*'RAP TEMPLATE-GAS AVAILABILITY'!P261+O262*'RAP TEMPLATE-GAS AVAILABILITY'!Q261+P262*'RAP TEMPLATE-GAS AVAILABILITY'!R261)/('RAP TEMPLATE-GAS AVAILABILITY'!O261+'RAP TEMPLATE-GAS AVAILABILITY'!P261+'RAP TEMPLATE-GAS AVAILABILITY'!Q261+'RAP TEMPLATE-GAS AVAILABILITY'!R261)</f>
        <v>9.2611122302158275</v>
      </c>
    </row>
    <row r="263" spans="1:29" ht="15.75" x14ac:dyDescent="0.25">
      <c r="A263" s="13">
        <v>48884</v>
      </c>
      <c r="B263" s="14">
        <f>CHOOSE(CONTROL!$C$42, 9.5282, 9.5282) * CHOOSE(CONTROL!$C$21, $C$9, 100%, $E$9)</f>
        <v>9.5282</v>
      </c>
      <c r="C263" s="14">
        <f>CHOOSE(CONTROL!$C$42, 9.5332, 9.5332) * CHOOSE(CONTROL!$C$21, $C$9, 100%, $E$9)</f>
        <v>9.5332000000000008</v>
      </c>
      <c r="D263" s="14">
        <f>CHOOSE(CONTROL!$C$42, 9.5963, 9.5963) * CHOOSE(CONTROL!$C$21, $C$9, 100%, $E$9)</f>
        <v>9.5962999999999994</v>
      </c>
      <c r="E263" s="14">
        <f>CHOOSE(CONTROL!$C$42, 9.6301, 9.6301) * CHOOSE(CONTROL!$C$21, $C$9, 100%, $E$9)</f>
        <v>9.6301000000000005</v>
      </c>
      <c r="F263" s="14">
        <f>CHOOSE(CONTROL!$C$42, 9.529, 9.529)*CHOOSE(CONTROL!$C$21, $C$9, 100%, $E$9)</f>
        <v>9.5289999999999999</v>
      </c>
      <c r="G263" s="14">
        <f>CHOOSE(CONTROL!$C$42, 9.5452, 9.5452)*CHOOSE(CONTROL!$C$21, $C$9, 100%, $E$9)</f>
        <v>9.5451999999999995</v>
      </c>
      <c r="H263" s="14">
        <f>CHOOSE(CONTROL!$C$42, 9.6193, 9.6193) * CHOOSE(CONTROL!$C$21, $C$9, 100%, $E$9)</f>
        <v>9.6193000000000008</v>
      </c>
      <c r="I263" s="14">
        <f>CHOOSE(CONTROL!$C$42, 9.5418, 9.5418)* CHOOSE(CONTROL!$C$21, $C$9, 100%, $E$9)</f>
        <v>9.5418000000000003</v>
      </c>
      <c r="J263" s="14">
        <f>CHOOSE(CONTROL!$C$42, 9.522, 9.522)* CHOOSE(CONTROL!$C$21, $C$9, 100%, $E$9)</f>
        <v>9.5220000000000002</v>
      </c>
      <c r="K263" s="53">
        <f>CHOOSE(CONTROL!$C$42, 9.5379, 9.5379) * CHOOSE(CONTROL!$C$21, $C$9, 100%, $E$9)</f>
        <v>9.5379000000000005</v>
      </c>
      <c r="L263" s="14">
        <f>CHOOSE(CONTROL!$C$42, 10.2063, 10.2063) * CHOOSE(CONTROL!$C$21, $C$9, 100%, $E$9)</f>
        <v>10.206300000000001</v>
      </c>
      <c r="M263" s="14">
        <f>CHOOSE(CONTROL!$C$42, 9.4397, 9.4397) * CHOOSE(CONTROL!$C$21, $C$9, 100%, $E$9)</f>
        <v>9.4397000000000002</v>
      </c>
      <c r="N263" s="14">
        <f>CHOOSE(CONTROL!$C$42, 9.4558, 9.4558) * CHOOSE(CONTROL!$C$21, $C$9, 100%, $E$9)</f>
        <v>9.4558</v>
      </c>
      <c r="O263" s="14">
        <f>CHOOSE(CONTROL!$C$42, 9.536, 9.536) * CHOOSE(CONTROL!$C$21, $C$9, 100%, $E$9)</f>
        <v>9.5359999999999996</v>
      </c>
      <c r="P263" s="14">
        <f>CHOOSE(CONTROL!$C$42, 9.4594, 9.4594) * CHOOSE(CONTROL!$C$21, $C$9, 100%, $E$9)</f>
        <v>9.4594000000000005</v>
      </c>
      <c r="Q263" s="14">
        <f>CHOOSE(CONTROL!$C$42, 10.1313, 10.1313) * CHOOSE(CONTROL!$C$21, $C$9, 100%, $E$9)</f>
        <v>10.1313</v>
      </c>
      <c r="R263" s="14">
        <f>CHOOSE(CONTROL!$C$42, 10.7436, 10.7436) * CHOOSE(CONTROL!$C$21, $C$9, 100%, $E$9)</f>
        <v>10.743600000000001</v>
      </c>
      <c r="S263" s="14">
        <f>CHOOSE(CONTROL!$C$42, 9.2507, 9.2507) * CHOOSE(CONTROL!$C$21, $C$9, 100%, $E$9)</f>
        <v>9.2507000000000001</v>
      </c>
      <c r="T26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63" s="57">
        <f>(1000*CHOOSE(CONTROL!$C$42, 695, 695)*CHOOSE(CONTROL!$C$42, 0.5599, 0.5599)*CHOOSE(CONTROL!$C$42, 30, 30))/1000000</f>
        <v>11.673914999999997</v>
      </c>
      <c r="V263" s="57">
        <f>(1000*CHOOSE(CONTROL!$C$42, 500, 500)*CHOOSE(CONTROL!$C$42, 0.275, 0.275)*CHOOSE(CONTROL!$C$42, 30, 30))/1000000</f>
        <v>4.125</v>
      </c>
      <c r="W263" s="57">
        <f>(1000*CHOOSE(CONTROL!$C$42, 0.1146, 0.1146)*CHOOSE(CONTROL!$C$42, 121.5, 121.5)*CHOOSE(CONTROL!$C$42, 30, 30))/1000000</f>
        <v>0.417717</v>
      </c>
      <c r="X263" s="57">
        <f>(30*0.1790888*100000/1000000)+(30*0.2374*100000/1000000)</f>
        <v>1.2494664</v>
      </c>
      <c r="Y263" s="57"/>
      <c r="Z263" s="14"/>
      <c r="AA263" s="56"/>
      <c r="AB263" s="50">
        <f>(B263*122.58+C263*297.941+D263*89.177+E263*40.302+F263*40+G263*160+H263*0+I263*100+J263*300)/(122.58+297.941+89.177+40.302+0+40+160+100+300)</f>
        <v>9.5403055934782603</v>
      </c>
      <c r="AC263" s="45">
        <f>(M263*'RAP TEMPLATE-GAS AVAILABILITY'!O262+N263*'RAP TEMPLATE-GAS AVAILABILITY'!P262+O263*'RAP TEMPLATE-GAS AVAILABILITY'!Q262+P263*'RAP TEMPLATE-GAS AVAILABILITY'!R262)/('RAP TEMPLATE-GAS AVAILABILITY'!O262+'RAP TEMPLATE-GAS AVAILABILITY'!P262+'RAP TEMPLATE-GAS AVAILABILITY'!Q262+'RAP TEMPLATE-GAS AVAILABILITY'!R262)</f>
        <v>9.4871079136690657</v>
      </c>
    </row>
    <row r="264" spans="1:29" ht="15.75" x14ac:dyDescent="0.25">
      <c r="A264" s="13">
        <v>48914</v>
      </c>
      <c r="B264" s="14">
        <f>CHOOSE(CONTROL!$C$42, 10.1777, 10.1777) * CHOOSE(CONTROL!$C$21, $C$9, 100%, $E$9)</f>
        <v>10.1777</v>
      </c>
      <c r="C264" s="14">
        <f>CHOOSE(CONTROL!$C$42, 10.1826, 10.1826) * CHOOSE(CONTROL!$C$21, $C$9, 100%, $E$9)</f>
        <v>10.182600000000001</v>
      </c>
      <c r="D264" s="14">
        <f>CHOOSE(CONTROL!$C$42, 10.2457, 10.2457) * CHOOSE(CONTROL!$C$21, $C$9, 100%, $E$9)</f>
        <v>10.245699999999999</v>
      </c>
      <c r="E264" s="14">
        <f>CHOOSE(CONTROL!$C$42, 10.2795, 10.2795) * CHOOSE(CONTROL!$C$21, $C$9, 100%, $E$9)</f>
        <v>10.279500000000001</v>
      </c>
      <c r="F264" s="14">
        <f>CHOOSE(CONTROL!$C$42, 10.1804, 10.1804)*CHOOSE(CONTROL!$C$21, $C$9, 100%, $E$9)</f>
        <v>10.180400000000001</v>
      </c>
      <c r="G264" s="14">
        <f>CHOOSE(CONTROL!$C$42, 10.1972, 10.1972)*CHOOSE(CONTROL!$C$21, $C$9, 100%, $E$9)</f>
        <v>10.1972</v>
      </c>
      <c r="H264" s="14">
        <f>CHOOSE(CONTROL!$C$42, 10.2687, 10.2687) * CHOOSE(CONTROL!$C$21, $C$9, 100%, $E$9)</f>
        <v>10.268700000000001</v>
      </c>
      <c r="I264" s="14">
        <f>CHOOSE(CONTROL!$C$42, 10.1912, 10.1912)* CHOOSE(CONTROL!$C$21, $C$9, 100%, $E$9)</f>
        <v>10.1912</v>
      </c>
      <c r="J264" s="14">
        <f>CHOOSE(CONTROL!$C$42, 10.1734, 10.1734)* CHOOSE(CONTROL!$C$21, $C$9, 100%, $E$9)</f>
        <v>10.173400000000001</v>
      </c>
      <c r="K264" s="53">
        <f>CHOOSE(CONTROL!$C$42, 10.1873, 10.1873) * CHOOSE(CONTROL!$C$21, $C$9, 100%, $E$9)</f>
        <v>10.1873</v>
      </c>
      <c r="L264" s="14">
        <f>CHOOSE(CONTROL!$C$42, 10.8557, 10.8557) * CHOOSE(CONTROL!$C$21, $C$9, 100%, $E$9)</f>
        <v>10.855700000000001</v>
      </c>
      <c r="M264" s="14">
        <f>CHOOSE(CONTROL!$C$42, 10.0846, 10.0846) * CHOOSE(CONTROL!$C$21, $C$9, 100%, $E$9)</f>
        <v>10.0846</v>
      </c>
      <c r="N264" s="14">
        <f>CHOOSE(CONTROL!$C$42, 10.1012, 10.1012) * CHOOSE(CONTROL!$C$21, $C$9, 100%, $E$9)</f>
        <v>10.1012</v>
      </c>
      <c r="O264" s="14">
        <f>CHOOSE(CONTROL!$C$42, 10.1789, 10.1789) * CHOOSE(CONTROL!$C$21, $C$9, 100%, $E$9)</f>
        <v>10.178900000000001</v>
      </c>
      <c r="P264" s="14">
        <f>CHOOSE(CONTROL!$C$42, 10.1022, 10.1022) * CHOOSE(CONTROL!$C$21, $C$9, 100%, $E$9)</f>
        <v>10.1022</v>
      </c>
      <c r="Q264" s="14">
        <f>CHOOSE(CONTROL!$C$42, 10.7742, 10.7742) * CHOOSE(CONTROL!$C$21, $C$9, 100%, $E$9)</f>
        <v>10.7742</v>
      </c>
      <c r="R264" s="14">
        <f>CHOOSE(CONTROL!$C$42, 11.3881, 11.3881) * CHOOSE(CONTROL!$C$21, $C$9, 100%, $E$9)</f>
        <v>11.3881</v>
      </c>
      <c r="S264" s="14">
        <f>CHOOSE(CONTROL!$C$42, 9.8814, 9.8814) * CHOOSE(CONTROL!$C$21, $C$9, 100%, $E$9)</f>
        <v>9.8813999999999993</v>
      </c>
      <c r="T26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64" s="57">
        <f>(1000*CHOOSE(CONTROL!$C$42, 695, 695)*CHOOSE(CONTROL!$C$42, 0.5599, 0.5599)*CHOOSE(CONTROL!$C$42, 31, 31))/1000000</f>
        <v>12.063045499999998</v>
      </c>
      <c r="V264" s="57">
        <f>(1000*CHOOSE(CONTROL!$C$42, 500, 500)*CHOOSE(CONTROL!$C$42, 0.275, 0.275)*CHOOSE(CONTROL!$C$42, 31, 31))/1000000</f>
        <v>4.2625000000000002</v>
      </c>
      <c r="W264" s="57">
        <f>(1000*CHOOSE(CONTROL!$C$42, 0.1146, 0.1146)*CHOOSE(CONTROL!$C$42, 121.5, 121.5)*CHOOSE(CONTROL!$C$42, 31, 31))/1000000</f>
        <v>0.43164089999999994</v>
      </c>
      <c r="X264" s="57">
        <f>(31*0.1790888*100000/1000000)+(31*0.2374*100000/1000000)</f>
        <v>1.2911152800000001</v>
      </c>
      <c r="Y264" s="57"/>
      <c r="Z264" s="14"/>
      <c r="AA264" s="56"/>
      <c r="AB264" s="50">
        <f>(B264*122.58+C264*297.941+D264*89.177+E264*40.302+F264*40+G264*160+H264*0+I264*100+J264*300)/(122.58+297.941+89.177+40.302+0+40+160+100+300)</f>
        <v>10.190669296086957</v>
      </c>
      <c r="AC264" s="45">
        <f>(M264*'RAP TEMPLATE-GAS AVAILABILITY'!O263+N264*'RAP TEMPLATE-GAS AVAILABILITY'!P263+O264*'RAP TEMPLATE-GAS AVAILABILITY'!Q263+P264*'RAP TEMPLATE-GAS AVAILABILITY'!R263)/('RAP TEMPLATE-GAS AVAILABILITY'!O263+'RAP TEMPLATE-GAS AVAILABILITY'!P263+'RAP TEMPLATE-GAS AVAILABILITY'!Q263+'RAP TEMPLATE-GAS AVAILABILITY'!R263)</f>
        <v>10.130828057553957</v>
      </c>
    </row>
    <row r="265" spans="1:29" ht="15.75" x14ac:dyDescent="0.25">
      <c r="A265" s="13">
        <v>48945</v>
      </c>
      <c r="B265" s="14">
        <f>CHOOSE(CONTROL!$C$42, 11.0114, 11.0114) * CHOOSE(CONTROL!$C$21, $C$9, 100%, $E$9)</f>
        <v>11.0114</v>
      </c>
      <c r="C265" s="14">
        <f>CHOOSE(CONTROL!$C$42, 11.0163, 11.0163) * CHOOSE(CONTROL!$C$21, $C$9, 100%, $E$9)</f>
        <v>11.016299999999999</v>
      </c>
      <c r="D265" s="14">
        <f>CHOOSE(CONTROL!$C$42, 11.0806, 11.0806) * CHOOSE(CONTROL!$C$21, $C$9, 100%, $E$9)</f>
        <v>11.0806</v>
      </c>
      <c r="E265" s="14">
        <f>CHOOSE(CONTROL!$C$42, 11.1144, 11.1144) * CHOOSE(CONTROL!$C$21, $C$9, 100%, $E$9)</f>
        <v>11.1144</v>
      </c>
      <c r="F265" s="14">
        <f>CHOOSE(CONTROL!$C$42, 11.0129, 11.0129)*CHOOSE(CONTROL!$C$21, $C$9, 100%, $E$9)</f>
        <v>11.0129</v>
      </c>
      <c r="G265" s="14">
        <f>CHOOSE(CONTROL!$C$42, 11.0288, 11.0288)*CHOOSE(CONTROL!$C$21, $C$9, 100%, $E$9)</f>
        <v>11.0288</v>
      </c>
      <c r="H265" s="14">
        <f>CHOOSE(CONTROL!$C$42, 11.1036, 11.1036) * CHOOSE(CONTROL!$C$21, $C$9, 100%, $E$9)</f>
        <v>11.1036</v>
      </c>
      <c r="I265" s="14">
        <f>CHOOSE(CONTROL!$C$42, 11.0313, 11.0313)* CHOOSE(CONTROL!$C$21, $C$9, 100%, $E$9)</f>
        <v>11.0313</v>
      </c>
      <c r="J265" s="14">
        <f>CHOOSE(CONTROL!$C$42, 11.0059, 11.0059)* CHOOSE(CONTROL!$C$21, $C$9, 100%, $E$9)</f>
        <v>11.0059</v>
      </c>
      <c r="K265" s="53">
        <f>CHOOSE(CONTROL!$C$42, 11.0274, 11.0274) * CHOOSE(CONTROL!$C$21, $C$9, 100%, $E$9)</f>
        <v>11.0274</v>
      </c>
      <c r="L265" s="14">
        <f>CHOOSE(CONTROL!$C$42, 11.6906, 11.6906) * CHOOSE(CONTROL!$C$21, $C$9, 100%, $E$9)</f>
        <v>11.6906</v>
      </c>
      <c r="M265" s="14">
        <f>CHOOSE(CONTROL!$C$42, 10.9086, 10.9086) * CHOOSE(CONTROL!$C$21, $C$9, 100%, $E$9)</f>
        <v>10.9086</v>
      </c>
      <c r="N265" s="14">
        <f>CHOOSE(CONTROL!$C$42, 10.9244, 10.9244) * CHOOSE(CONTROL!$C$21, $C$9, 100%, $E$9)</f>
        <v>10.9244</v>
      </c>
      <c r="O265" s="14">
        <f>CHOOSE(CONTROL!$C$42, 11.0053, 11.0053) * CHOOSE(CONTROL!$C$21, $C$9, 100%, $E$9)</f>
        <v>11.0053</v>
      </c>
      <c r="P265" s="14">
        <f>CHOOSE(CONTROL!$C$42, 10.9339, 10.9339) * CHOOSE(CONTROL!$C$21, $C$9, 100%, $E$9)</f>
        <v>10.9339</v>
      </c>
      <c r="Q265" s="14">
        <f>CHOOSE(CONTROL!$C$42, 11.6006, 11.6006) * CHOOSE(CONTROL!$C$21, $C$9, 100%, $E$9)</f>
        <v>11.6006</v>
      </c>
      <c r="R265" s="14">
        <f>CHOOSE(CONTROL!$C$42, 12.2166, 12.2166) * CHOOSE(CONTROL!$C$21, $C$9, 100%, $E$9)</f>
        <v>12.2166</v>
      </c>
      <c r="S265" s="14">
        <f>CHOOSE(CONTROL!$C$42, 10.691, 10.691) * CHOOSE(CONTROL!$C$21, $C$9, 100%, $E$9)</f>
        <v>10.691000000000001</v>
      </c>
      <c r="T26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65" s="57">
        <f>(1000*CHOOSE(CONTROL!$C$42, 695, 695)*CHOOSE(CONTROL!$C$42, 0.5599, 0.5599)*CHOOSE(CONTROL!$C$42, 31, 31))/1000000</f>
        <v>12.063045499999998</v>
      </c>
      <c r="V265" s="57">
        <f>(1000*CHOOSE(CONTROL!$C$42, 500, 500)*CHOOSE(CONTROL!$C$42, 0.275, 0.275)*CHOOSE(CONTROL!$C$42, 31, 31))/1000000</f>
        <v>4.2625000000000002</v>
      </c>
      <c r="W265" s="57">
        <f>(1000*CHOOSE(CONTROL!$C$42, 0.1146, 0.1146)*CHOOSE(CONTROL!$C$42, 121.5, 121.5)*CHOOSE(CONTROL!$C$42, 31, 31))/1000000</f>
        <v>0.43164089999999994</v>
      </c>
      <c r="X265" s="57">
        <f>(31*0.1790888*100000/1000000)+(31*0.2374*100000/1000000)</f>
        <v>1.2911152800000001</v>
      </c>
      <c r="Y265" s="57"/>
      <c r="Z265" s="14"/>
      <c r="AA265" s="56"/>
      <c r="AB265" s="50">
        <f>(B265*122.58+C265*297.941+D265*89.177+E265*40.302+F265*40+G265*160+H265*0+I265*100+J265*300)/(122.58+297.941+89.177+40.302+0+40+160+100+300)</f>
        <v>11.024413969826085</v>
      </c>
      <c r="AC265" s="45">
        <f>(M265*'RAP TEMPLATE-GAS AVAILABILITY'!O264+N265*'RAP TEMPLATE-GAS AVAILABILITY'!P264+O265*'RAP TEMPLATE-GAS AVAILABILITY'!Q264+P265*'RAP TEMPLATE-GAS AVAILABILITY'!R264)/('RAP TEMPLATE-GAS AVAILABILITY'!O264+'RAP TEMPLATE-GAS AVAILABILITY'!P264+'RAP TEMPLATE-GAS AVAILABILITY'!Q264+'RAP TEMPLATE-GAS AVAILABILITY'!R264)</f>
        <v>10.956977697841728</v>
      </c>
    </row>
    <row r="266" spans="1:29" ht="15.75" x14ac:dyDescent="0.25">
      <c r="A266" s="13">
        <v>48976</v>
      </c>
      <c r="B266" s="14">
        <f>CHOOSE(CONTROL!$C$42, 11.2073, 11.2073) * CHOOSE(CONTROL!$C$21, $C$9, 100%, $E$9)</f>
        <v>11.2073</v>
      </c>
      <c r="C266" s="14">
        <f>CHOOSE(CONTROL!$C$42, 11.2123, 11.2123) * CHOOSE(CONTROL!$C$21, $C$9, 100%, $E$9)</f>
        <v>11.212300000000001</v>
      </c>
      <c r="D266" s="14">
        <f>CHOOSE(CONTROL!$C$42, 11.2766, 11.2766) * CHOOSE(CONTROL!$C$21, $C$9, 100%, $E$9)</f>
        <v>11.2766</v>
      </c>
      <c r="E266" s="14">
        <f>CHOOSE(CONTROL!$C$42, 11.3103, 11.3103) * CHOOSE(CONTROL!$C$21, $C$9, 100%, $E$9)</f>
        <v>11.3103</v>
      </c>
      <c r="F266" s="14">
        <f>CHOOSE(CONTROL!$C$42, 11.2089, 11.2089)*CHOOSE(CONTROL!$C$21, $C$9, 100%, $E$9)</f>
        <v>11.2089</v>
      </c>
      <c r="G266" s="14">
        <f>CHOOSE(CONTROL!$C$42, 11.2248, 11.2248)*CHOOSE(CONTROL!$C$21, $C$9, 100%, $E$9)</f>
        <v>11.2248</v>
      </c>
      <c r="H266" s="14">
        <f>CHOOSE(CONTROL!$C$42, 11.2995, 11.2995) * CHOOSE(CONTROL!$C$21, $C$9, 100%, $E$9)</f>
        <v>11.2995</v>
      </c>
      <c r="I266" s="14">
        <f>CHOOSE(CONTROL!$C$42, 11.2273, 11.2273)* CHOOSE(CONTROL!$C$21, $C$9, 100%, $E$9)</f>
        <v>11.2273</v>
      </c>
      <c r="J266" s="14">
        <f>CHOOSE(CONTROL!$C$42, 11.2019, 11.2019)* CHOOSE(CONTROL!$C$21, $C$9, 100%, $E$9)</f>
        <v>11.2019</v>
      </c>
      <c r="K266" s="53">
        <f>CHOOSE(CONTROL!$C$42, 11.2234, 11.2234) * CHOOSE(CONTROL!$C$21, $C$9, 100%, $E$9)</f>
        <v>11.2234</v>
      </c>
      <c r="L266" s="14">
        <f>CHOOSE(CONTROL!$C$42, 11.8865, 11.8865) * CHOOSE(CONTROL!$C$21, $C$9, 100%, $E$9)</f>
        <v>11.8865</v>
      </c>
      <c r="M266" s="14">
        <f>CHOOSE(CONTROL!$C$42, 11.1027, 11.1027) * CHOOSE(CONTROL!$C$21, $C$9, 100%, $E$9)</f>
        <v>11.1027</v>
      </c>
      <c r="N266" s="14">
        <f>CHOOSE(CONTROL!$C$42, 11.1184, 11.1184) * CHOOSE(CONTROL!$C$21, $C$9, 100%, $E$9)</f>
        <v>11.118399999999999</v>
      </c>
      <c r="O266" s="14">
        <f>CHOOSE(CONTROL!$C$42, 11.1993, 11.1993) * CHOOSE(CONTROL!$C$21, $C$9, 100%, $E$9)</f>
        <v>11.199299999999999</v>
      </c>
      <c r="P266" s="14">
        <f>CHOOSE(CONTROL!$C$42, 11.1279, 11.1279) * CHOOSE(CONTROL!$C$21, $C$9, 100%, $E$9)</f>
        <v>11.1279</v>
      </c>
      <c r="Q266" s="14">
        <f>CHOOSE(CONTROL!$C$42, 11.7946, 11.7946) * CHOOSE(CONTROL!$C$21, $C$9, 100%, $E$9)</f>
        <v>11.794600000000001</v>
      </c>
      <c r="R266" s="14">
        <f>CHOOSE(CONTROL!$C$42, 12.4111, 12.4111) * CHOOSE(CONTROL!$C$21, $C$9, 100%, $E$9)</f>
        <v>12.411099999999999</v>
      </c>
      <c r="S266" s="14">
        <f>CHOOSE(CONTROL!$C$42, 10.8813, 10.8813) * CHOOSE(CONTROL!$C$21, $C$9, 100%, $E$9)</f>
        <v>10.8813</v>
      </c>
      <c r="T26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66" s="57">
        <f>(1000*CHOOSE(CONTROL!$C$42, 695, 695)*CHOOSE(CONTROL!$C$42, 0.5599, 0.5599)*CHOOSE(CONTROL!$C$42, 28, 28))/1000000</f>
        <v>10.895653999999999</v>
      </c>
      <c r="V266" s="57">
        <f>(1000*CHOOSE(CONTROL!$C$42, 500, 500)*CHOOSE(CONTROL!$C$42, 0.275, 0.275)*CHOOSE(CONTROL!$C$42, 28, 28))/1000000</f>
        <v>3.85</v>
      </c>
      <c r="W266" s="57">
        <f>(1000*CHOOSE(CONTROL!$C$42, 0.1146, 0.1146)*CHOOSE(CONTROL!$C$42, 121.5, 121.5)*CHOOSE(CONTROL!$C$42, 28, 28))/1000000</f>
        <v>0.38986920000000003</v>
      </c>
      <c r="X266" s="57">
        <f>(28*0.1790888*100000/1000000)+(28*0.2374*100000/1000000)</f>
        <v>1.16616864</v>
      </c>
      <c r="Y266" s="57"/>
      <c r="Z266" s="14"/>
      <c r="AA266" s="56"/>
      <c r="AB266" s="50">
        <f>(B266*122.58+C266*297.941+D266*89.177+E266*40.302+F266*40+G266*160+H266*0+I266*100+J266*300)/(122.58+297.941+89.177+40.302+0+40+160+100+300)</f>
        <v>11.220399806173912</v>
      </c>
      <c r="AC266" s="45">
        <f>(M266*'RAP TEMPLATE-GAS AVAILABILITY'!O265+N266*'RAP TEMPLATE-GAS AVAILABILITY'!P265+O266*'RAP TEMPLATE-GAS AVAILABILITY'!Q265+P266*'RAP TEMPLATE-GAS AVAILABILITY'!R265)/('RAP TEMPLATE-GAS AVAILABILITY'!O265+'RAP TEMPLATE-GAS AVAILABILITY'!P265+'RAP TEMPLATE-GAS AVAILABILITY'!Q265+'RAP TEMPLATE-GAS AVAILABILITY'!R265)</f>
        <v>11.151012230215827</v>
      </c>
    </row>
    <row r="267" spans="1:29" ht="15.75" x14ac:dyDescent="0.25">
      <c r="A267" s="13">
        <v>49004</v>
      </c>
      <c r="B267" s="14">
        <f>CHOOSE(CONTROL!$C$42, 10.8892, 10.8892) * CHOOSE(CONTROL!$C$21, $C$9, 100%, $E$9)</f>
        <v>10.889200000000001</v>
      </c>
      <c r="C267" s="14">
        <f>CHOOSE(CONTROL!$C$42, 10.8942, 10.8942) * CHOOSE(CONTROL!$C$21, $C$9, 100%, $E$9)</f>
        <v>10.8942</v>
      </c>
      <c r="D267" s="14">
        <f>CHOOSE(CONTROL!$C$42, 10.9585, 10.9585) * CHOOSE(CONTROL!$C$21, $C$9, 100%, $E$9)</f>
        <v>10.958500000000001</v>
      </c>
      <c r="E267" s="14">
        <f>CHOOSE(CONTROL!$C$42, 10.9922, 10.9922) * CHOOSE(CONTROL!$C$21, $C$9, 100%, $E$9)</f>
        <v>10.9922</v>
      </c>
      <c r="F267" s="14">
        <f>CHOOSE(CONTROL!$C$42, 10.8905, 10.8905)*CHOOSE(CONTROL!$C$21, $C$9, 100%, $E$9)</f>
        <v>10.890499999999999</v>
      </c>
      <c r="G267" s="14">
        <f>CHOOSE(CONTROL!$C$42, 10.9063, 10.9063)*CHOOSE(CONTROL!$C$21, $C$9, 100%, $E$9)</f>
        <v>10.9063</v>
      </c>
      <c r="H267" s="14">
        <f>CHOOSE(CONTROL!$C$42, 10.9814, 10.9814) * CHOOSE(CONTROL!$C$21, $C$9, 100%, $E$9)</f>
        <v>10.981400000000001</v>
      </c>
      <c r="I267" s="14">
        <f>CHOOSE(CONTROL!$C$42, 10.9092, 10.9092)* CHOOSE(CONTROL!$C$21, $C$9, 100%, $E$9)</f>
        <v>10.9092</v>
      </c>
      <c r="J267" s="14">
        <f>CHOOSE(CONTROL!$C$42, 10.8835, 10.8835)* CHOOSE(CONTROL!$C$21, $C$9, 100%, $E$9)</f>
        <v>10.8835</v>
      </c>
      <c r="K267" s="53">
        <f>CHOOSE(CONTROL!$C$42, 10.9053, 10.9053) * CHOOSE(CONTROL!$C$21, $C$9, 100%, $E$9)</f>
        <v>10.9053</v>
      </c>
      <c r="L267" s="14">
        <f>CHOOSE(CONTROL!$C$42, 11.5684, 11.5684) * CHOOSE(CONTROL!$C$21, $C$9, 100%, $E$9)</f>
        <v>11.5684</v>
      </c>
      <c r="M267" s="14">
        <f>CHOOSE(CONTROL!$C$42, 10.7875, 10.7875) * CHOOSE(CONTROL!$C$21, $C$9, 100%, $E$9)</f>
        <v>10.7875</v>
      </c>
      <c r="N267" s="14">
        <f>CHOOSE(CONTROL!$C$42, 10.8032, 10.8032) * CHOOSE(CONTROL!$C$21, $C$9, 100%, $E$9)</f>
        <v>10.8032</v>
      </c>
      <c r="O267" s="14">
        <f>CHOOSE(CONTROL!$C$42, 10.8844, 10.8844) * CHOOSE(CONTROL!$C$21, $C$9, 100%, $E$9)</f>
        <v>10.884399999999999</v>
      </c>
      <c r="P267" s="14">
        <f>CHOOSE(CONTROL!$C$42, 10.813, 10.813) * CHOOSE(CONTROL!$C$21, $C$9, 100%, $E$9)</f>
        <v>10.813000000000001</v>
      </c>
      <c r="Q267" s="14">
        <f>CHOOSE(CONTROL!$C$42, 11.4797, 11.4797) * CHOOSE(CONTROL!$C$21, $C$9, 100%, $E$9)</f>
        <v>11.479699999999999</v>
      </c>
      <c r="R267" s="14">
        <f>CHOOSE(CONTROL!$C$42, 12.0954, 12.0954) * CHOOSE(CONTROL!$C$21, $C$9, 100%, $E$9)</f>
        <v>12.0954</v>
      </c>
      <c r="S267" s="14">
        <f>CHOOSE(CONTROL!$C$42, 10.5724, 10.5724) * CHOOSE(CONTROL!$C$21, $C$9, 100%, $E$9)</f>
        <v>10.5724</v>
      </c>
      <c r="T26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67" s="57">
        <f>(1000*CHOOSE(CONTROL!$C$42, 695, 695)*CHOOSE(CONTROL!$C$42, 0.5599, 0.5599)*CHOOSE(CONTROL!$C$42, 31, 31))/1000000</f>
        <v>12.063045499999998</v>
      </c>
      <c r="V267" s="57">
        <f>(1000*CHOOSE(CONTROL!$C$42, 500, 500)*CHOOSE(CONTROL!$C$42, 0.275, 0.275)*CHOOSE(CONTROL!$C$42, 31, 31))/1000000</f>
        <v>4.2625000000000002</v>
      </c>
      <c r="W267" s="57">
        <f>(1000*CHOOSE(CONTROL!$C$42, 0.1146, 0.1146)*CHOOSE(CONTROL!$C$42, 121.5, 121.5)*CHOOSE(CONTROL!$C$42, 31, 31))/1000000</f>
        <v>0.43164089999999994</v>
      </c>
      <c r="X267" s="57">
        <f>(31*0.1790888*100000/1000000)+(31*0.2374*100000/1000000)</f>
        <v>1.2911152800000001</v>
      </c>
      <c r="Y267" s="57"/>
      <c r="Z267" s="14"/>
      <c r="AA267" s="56"/>
      <c r="AB267" s="50">
        <f>(B267*122.58+C267*297.941+D267*89.177+E267*40.302+F267*40+G267*160+H267*0+I267*100+J267*300)/(122.58+297.941+89.177+40.302+0+40+160+100+300)</f>
        <v>10.902155458347826</v>
      </c>
      <c r="AC267" s="45">
        <f>(M267*'RAP TEMPLATE-GAS AVAILABILITY'!O266+N267*'RAP TEMPLATE-GAS AVAILABILITY'!P266+O267*'RAP TEMPLATE-GAS AVAILABILITY'!Q266+P267*'RAP TEMPLATE-GAS AVAILABILITY'!R266)/('RAP TEMPLATE-GAS AVAILABILITY'!O266+'RAP TEMPLATE-GAS AVAILABILITY'!P266+'RAP TEMPLATE-GAS AVAILABILITY'!Q266+'RAP TEMPLATE-GAS AVAILABILITY'!R266)</f>
        <v>10.835991366906475</v>
      </c>
    </row>
    <row r="268" spans="1:29" ht="15.75" x14ac:dyDescent="0.25">
      <c r="A268" s="13">
        <v>49035</v>
      </c>
      <c r="B268" s="14">
        <f>CHOOSE(CONTROL!$C$42, 10.8578, 10.8578) * CHOOSE(CONTROL!$C$21, $C$9, 100%, $E$9)</f>
        <v>10.857799999999999</v>
      </c>
      <c r="C268" s="14">
        <f>CHOOSE(CONTROL!$C$42, 10.8622, 10.8622) * CHOOSE(CONTROL!$C$21, $C$9, 100%, $E$9)</f>
        <v>10.8622</v>
      </c>
      <c r="D268" s="14">
        <f>CHOOSE(CONTROL!$C$42, 11.0629, 11.0629) * CHOOSE(CONTROL!$C$21, $C$9, 100%, $E$9)</f>
        <v>11.062900000000001</v>
      </c>
      <c r="E268" s="14">
        <f>CHOOSE(CONTROL!$C$42, 11.0947, 11.0947) * CHOOSE(CONTROL!$C$21, $C$9, 100%, $E$9)</f>
        <v>11.0947</v>
      </c>
      <c r="F268" s="14">
        <f>CHOOSE(CONTROL!$C$42, 10.8424, 10.8424)*CHOOSE(CONTROL!$C$21, $C$9, 100%, $E$9)</f>
        <v>10.8424</v>
      </c>
      <c r="G268" s="14">
        <f>CHOOSE(CONTROL!$C$42, 10.858, 10.858)*CHOOSE(CONTROL!$C$21, $C$9, 100%, $E$9)</f>
        <v>10.858000000000001</v>
      </c>
      <c r="H268" s="14">
        <f>CHOOSE(CONTROL!$C$42, 11.0845, 11.0845) * CHOOSE(CONTROL!$C$21, $C$9, 100%, $E$9)</f>
        <v>11.0845</v>
      </c>
      <c r="I268" s="14">
        <f>CHOOSE(CONTROL!$C$42, 10.8706, 10.8706)* CHOOSE(CONTROL!$C$21, $C$9, 100%, $E$9)</f>
        <v>10.8706</v>
      </c>
      <c r="J268" s="14">
        <f>CHOOSE(CONTROL!$C$42, 10.8354, 10.8354)* CHOOSE(CONTROL!$C$21, $C$9, 100%, $E$9)</f>
        <v>10.8354</v>
      </c>
      <c r="K268" s="53">
        <f>CHOOSE(CONTROL!$C$42, 10.8667, 10.8667) * CHOOSE(CONTROL!$C$21, $C$9, 100%, $E$9)</f>
        <v>10.8667</v>
      </c>
      <c r="L268" s="14">
        <f>CHOOSE(CONTROL!$C$42, 11.6715, 11.6715) * CHOOSE(CONTROL!$C$21, $C$9, 100%, $E$9)</f>
        <v>11.6715</v>
      </c>
      <c r="M268" s="14">
        <f>CHOOSE(CONTROL!$C$42, 10.7399, 10.7399) * CHOOSE(CONTROL!$C$21, $C$9, 100%, $E$9)</f>
        <v>10.7399</v>
      </c>
      <c r="N268" s="14">
        <f>CHOOSE(CONTROL!$C$42, 10.7553, 10.7553) * CHOOSE(CONTROL!$C$21, $C$9, 100%, $E$9)</f>
        <v>10.7553</v>
      </c>
      <c r="O268" s="14">
        <f>CHOOSE(CONTROL!$C$42, 10.9864, 10.9864) * CHOOSE(CONTROL!$C$21, $C$9, 100%, $E$9)</f>
        <v>10.9864</v>
      </c>
      <c r="P268" s="14">
        <f>CHOOSE(CONTROL!$C$42, 10.7747, 10.7747) * CHOOSE(CONTROL!$C$21, $C$9, 100%, $E$9)</f>
        <v>10.774699999999999</v>
      </c>
      <c r="Q268" s="14">
        <f>CHOOSE(CONTROL!$C$42, 11.5817, 11.5817) * CHOOSE(CONTROL!$C$21, $C$9, 100%, $E$9)</f>
        <v>11.5817</v>
      </c>
      <c r="R268" s="14">
        <f>CHOOSE(CONTROL!$C$42, 12.1977, 12.1977) * CHOOSE(CONTROL!$C$21, $C$9, 100%, $E$9)</f>
        <v>12.197699999999999</v>
      </c>
      <c r="S268" s="14">
        <f>CHOOSE(CONTROL!$C$42, 10.5411, 10.5411) * CHOOSE(CONTROL!$C$21, $C$9, 100%, $E$9)</f>
        <v>10.5411</v>
      </c>
      <c r="T26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68" s="57">
        <f>(1000*CHOOSE(CONTROL!$C$42, 695, 695)*CHOOSE(CONTROL!$C$42, 0.5599, 0.5599)*CHOOSE(CONTROL!$C$42, 30, 30))/1000000</f>
        <v>11.673914999999997</v>
      </c>
      <c r="V268" s="57">
        <f>(1000*CHOOSE(CONTROL!$C$42, 500, 500)*CHOOSE(CONTROL!$C$42, 0.275, 0.275)*CHOOSE(CONTROL!$C$42, 30, 30))/1000000</f>
        <v>4.125</v>
      </c>
      <c r="W268" s="57">
        <f>(1000*CHOOSE(CONTROL!$C$42, 0.1146, 0.1146)*CHOOSE(CONTROL!$C$42, 121.5, 121.5)*CHOOSE(CONTROL!$C$42, 30, 30))/1000000</f>
        <v>0.417717</v>
      </c>
      <c r="X268" s="57">
        <f>(30*0.1790888*245000/1000000)+(30*0.2374*100000/1000000)</f>
        <v>2.0285026799999999</v>
      </c>
      <c r="Y268" s="57"/>
      <c r="Z268" s="14"/>
      <c r="AA268" s="56"/>
      <c r="AB268" s="50">
        <f>(B268*141.293+C268*267.993+D268*115.016+E268*89.698+F268*40+G268*185+H268*0+I268*100+J268*300)/(141.293+267.993+115.016+89.698+0+40+185+100+300)</f>
        <v>10.890083621468927</v>
      </c>
      <c r="AC268" s="45">
        <f>(M268*'RAP TEMPLATE-GAS AVAILABILITY'!O267+N268*'RAP TEMPLATE-GAS AVAILABILITY'!P267+O268*'RAP TEMPLATE-GAS AVAILABILITY'!Q267+P268*'RAP TEMPLATE-GAS AVAILABILITY'!R267)/('RAP TEMPLATE-GAS AVAILABILITY'!O267+'RAP TEMPLATE-GAS AVAILABILITY'!P267+'RAP TEMPLATE-GAS AVAILABILITY'!Q267+'RAP TEMPLATE-GAS AVAILABILITY'!R267)</f>
        <v>10.81761438848921</v>
      </c>
    </row>
    <row r="269" spans="1:29" ht="15.75" x14ac:dyDescent="0.25">
      <c r="A269" s="13">
        <v>49065</v>
      </c>
      <c r="B269" s="14">
        <f>CHOOSE(CONTROL!$C$42, 10.955, 10.955) * CHOOSE(CONTROL!$C$21, $C$9, 100%, $E$9)</f>
        <v>10.955</v>
      </c>
      <c r="C269" s="14">
        <f>CHOOSE(CONTROL!$C$42, 10.9629, 10.9629) * CHOOSE(CONTROL!$C$21, $C$9, 100%, $E$9)</f>
        <v>10.962899999999999</v>
      </c>
      <c r="D269" s="14">
        <f>CHOOSE(CONTROL!$C$42, 11.1605, 11.1605) * CHOOSE(CONTROL!$C$21, $C$9, 100%, $E$9)</f>
        <v>11.160500000000001</v>
      </c>
      <c r="E269" s="14">
        <f>CHOOSE(CONTROL!$C$42, 11.1916, 11.1916) * CHOOSE(CONTROL!$C$21, $C$9, 100%, $E$9)</f>
        <v>11.191599999999999</v>
      </c>
      <c r="F269" s="14">
        <f>CHOOSE(CONTROL!$C$42, 10.9384, 10.9384)*CHOOSE(CONTROL!$C$21, $C$9, 100%, $E$9)</f>
        <v>10.9384</v>
      </c>
      <c r="G269" s="14">
        <f>CHOOSE(CONTROL!$C$42, 10.9545, 10.9545)*CHOOSE(CONTROL!$C$21, $C$9, 100%, $E$9)</f>
        <v>10.954499999999999</v>
      </c>
      <c r="H269" s="14">
        <f>CHOOSE(CONTROL!$C$42, 11.1803, 11.1803) * CHOOSE(CONTROL!$C$21, $C$9, 100%, $E$9)</f>
        <v>11.180300000000001</v>
      </c>
      <c r="I269" s="14">
        <f>CHOOSE(CONTROL!$C$42, 10.9664, 10.9664)* CHOOSE(CONTROL!$C$21, $C$9, 100%, $E$9)</f>
        <v>10.9664</v>
      </c>
      <c r="J269" s="14">
        <f>CHOOSE(CONTROL!$C$42, 10.9314, 10.9314)* CHOOSE(CONTROL!$C$21, $C$9, 100%, $E$9)</f>
        <v>10.9314</v>
      </c>
      <c r="K269" s="53">
        <f>CHOOSE(CONTROL!$C$42, 10.9625, 10.9625) * CHOOSE(CONTROL!$C$21, $C$9, 100%, $E$9)</f>
        <v>10.9625</v>
      </c>
      <c r="L269" s="14">
        <f>CHOOSE(CONTROL!$C$42, 11.7673, 11.7673) * CHOOSE(CONTROL!$C$21, $C$9, 100%, $E$9)</f>
        <v>11.767300000000001</v>
      </c>
      <c r="M269" s="14">
        <f>CHOOSE(CONTROL!$C$42, 10.8349, 10.8349) * CHOOSE(CONTROL!$C$21, $C$9, 100%, $E$9)</f>
        <v>10.834899999999999</v>
      </c>
      <c r="N269" s="14">
        <f>CHOOSE(CONTROL!$C$42, 10.8508, 10.8508) * CHOOSE(CONTROL!$C$21, $C$9, 100%, $E$9)</f>
        <v>10.8508</v>
      </c>
      <c r="O269" s="14">
        <f>CHOOSE(CONTROL!$C$42, 11.0813, 11.0813) * CHOOSE(CONTROL!$C$21, $C$9, 100%, $E$9)</f>
        <v>11.081300000000001</v>
      </c>
      <c r="P269" s="14">
        <f>CHOOSE(CONTROL!$C$42, 10.8696, 10.8696) * CHOOSE(CONTROL!$C$21, $C$9, 100%, $E$9)</f>
        <v>10.8696</v>
      </c>
      <c r="Q269" s="14">
        <f>CHOOSE(CONTROL!$C$42, 11.6766, 11.6766) * CHOOSE(CONTROL!$C$21, $C$9, 100%, $E$9)</f>
        <v>11.676600000000001</v>
      </c>
      <c r="R269" s="14">
        <f>CHOOSE(CONTROL!$C$42, 12.2928, 12.2928) * CHOOSE(CONTROL!$C$21, $C$9, 100%, $E$9)</f>
        <v>12.2928</v>
      </c>
      <c r="S269" s="14">
        <f>CHOOSE(CONTROL!$C$42, 10.6341, 10.6341) * CHOOSE(CONTROL!$C$21, $C$9, 100%, $E$9)</f>
        <v>10.6341</v>
      </c>
      <c r="T26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69" s="57">
        <f>(1000*CHOOSE(CONTROL!$C$42, 695, 695)*CHOOSE(CONTROL!$C$42, 0.5599, 0.5599)*CHOOSE(CONTROL!$C$42, 31, 31))/1000000</f>
        <v>12.063045499999998</v>
      </c>
      <c r="V269" s="57">
        <f>(1000*CHOOSE(CONTROL!$C$42, 500, 500)*CHOOSE(CONTROL!$C$42, 0.275, 0.275)*CHOOSE(CONTROL!$C$42, 31, 31))/1000000</f>
        <v>4.2625000000000002</v>
      </c>
      <c r="W269" s="57">
        <f>(1000*CHOOSE(CONTROL!$C$42, 0.1146, 0.1146)*CHOOSE(CONTROL!$C$42, 121.5, 121.5)*CHOOSE(CONTROL!$C$42, 31, 31))/1000000</f>
        <v>0.43164089999999994</v>
      </c>
      <c r="X269" s="57">
        <f>(31*0.1790888*245000/1000000)+(31*0.2374*100000/1000000)</f>
        <v>2.0961194359999999</v>
      </c>
      <c r="Y269" s="57"/>
      <c r="Z269" s="14"/>
      <c r="AA269" s="56"/>
      <c r="AB269" s="50">
        <f>(B269*194.205+C269*267.466+D269*133.845+E269*53.484+F269*40+G269*185+H269*0+I269*100+J269*300)/(194.205+267.466+133.845+53.484+0+40+185+100+300)</f>
        <v>10.982924602276295</v>
      </c>
      <c r="AC269" s="45">
        <f>(M269*'RAP TEMPLATE-GAS AVAILABILITY'!O268+N269*'RAP TEMPLATE-GAS AVAILABILITY'!P268+O269*'RAP TEMPLATE-GAS AVAILABILITY'!Q268+P269*'RAP TEMPLATE-GAS AVAILABILITY'!R268)/('RAP TEMPLATE-GAS AVAILABILITY'!O268+'RAP TEMPLATE-GAS AVAILABILITY'!P268+'RAP TEMPLATE-GAS AVAILABILITY'!Q268+'RAP TEMPLATE-GAS AVAILABILITY'!R268)</f>
        <v>10.912687050359713</v>
      </c>
    </row>
    <row r="270" spans="1:29" ht="15.75" x14ac:dyDescent="0.25">
      <c r="A270" s="13">
        <v>49096</v>
      </c>
      <c r="B270" s="14">
        <f>CHOOSE(CONTROL!$C$42, 11.2656, 11.2656) * CHOOSE(CONTROL!$C$21, $C$9, 100%, $E$9)</f>
        <v>11.265599999999999</v>
      </c>
      <c r="C270" s="14">
        <f>CHOOSE(CONTROL!$C$42, 11.2735, 11.2735) * CHOOSE(CONTROL!$C$21, $C$9, 100%, $E$9)</f>
        <v>11.2735</v>
      </c>
      <c r="D270" s="14">
        <f>CHOOSE(CONTROL!$C$42, 11.4711, 11.4711) * CHOOSE(CONTROL!$C$21, $C$9, 100%, $E$9)</f>
        <v>11.4711</v>
      </c>
      <c r="E270" s="14">
        <f>CHOOSE(CONTROL!$C$42, 11.5022, 11.5022) * CHOOSE(CONTROL!$C$21, $C$9, 100%, $E$9)</f>
        <v>11.5022</v>
      </c>
      <c r="F270" s="14">
        <f>CHOOSE(CONTROL!$C$42, 11.2494, 11.2494)*CHOOSE(CONTROL!$C$21, $C$9, 100%, $E$9)</f>
        <v>11.2494</v>
      </c>
      <c r="G270" s="14">
        <f>CHOOSE(CONTROL!$C$42, 11.2656, 11.2656)*CHOOSE(CONTROL!$C$21, $C$9, 100%, $E$9)</f>
        <v>11.265599999999999</v>
      </c>
      <c r="H270" s="14">
        <f>CHOOSE(CONTROL!$C$42, 11.4909, 11.4909) * CHOOSE(CONTROL!$C$21, $C$9, 100%, $E$9)</f>
        <v>11.4909</v>
      </c>
      <c r="I270" s="14">
        <f>CHOOSE(CONTROL!$C$42, 11.277, 11.277)* CHOOSE(CONTROL!$C$21, $C$9, 100%, $E$9)</f>
        <v>11.276999999999999</v>
      </c>
      <c r="J270" s="14">
        <f>CHOOSE(CONTROL!$C$42, 11.2424, 11.2424)* CHOOSE(CONTROL!$C$21, $C$9, 100%, $E$9)</f>
        <v>11.2424</v>
      </c>
      <c r="K270" s="53">
        <f>CHOOSE(CONTROL!$C$42, 11.2731, 11.2731) * CHOOSE(CONTROL!$C$21, $C$9, 100%, $E$9)</f>
        <v>11.273099999999999</v>
      </c>
      <c r="L270" s="14">
        <f>CHOOSE(CONTROL!$C$42, 12.0779, 12.0779) * CHOOSE(CONTROL!$C$21, $C$9, 100%, $E$9)</f>
        <v>12.0779</v>
      </c>
      <c r="M270" s="14">
        <f>CHOOSE(CONTROL!$C$42, 11.1428, 11.1428) * CHOOSE(CONTROL!$C$21, $C$9, 100%, $E$9)</f>
        <v>11.142799999999999</v>
      </c>
      <c r="N270" s="14">
        <f>CHOOSE(CONTROL!$C$42, 11.1588, 11.1588) * CHOOSE(CONTROL!$C$21, $C$9, 100%, $E$9)</f>
        <v>11.158799999999999</v>
      </c>
      <c r="O270" s="14">
        <f>CHOOSE(CONTROL!$C$42, 11.3887, 11.3887) * CHOOSE(CONTROL!$C$21, $C$9, 100%, $E$9)</f>
        <v>11.3887</v>
      </c>
      <c r="P270" s="14">
        <f>CHOOSE(CONTROL!$C$42, 11.177, 11.177) * CHOOSE(CONTROL!$C$21, $C$9, 100%, $E$9)</f>
        <v>11.177</v>
      </c>
      <c r="Q270" s="14">
        <f>CHOOSE(CONTROL!$C$42, 11.984, 11.984) * CHOOSE(CONTROL!$C$21, $C$9, 100%, $E$9)</f>
        <v>11.984</v>
      </c>
      <c r="R270" s="14">
        <f>CHOOSE(CONTROL!$C$42, 12.601, 12.601) * CHOOSE(CONTROL!$C$21, $C$9, 100%, $E$9)</f>
        <v>12.601000000000001</v>
      </c>
      <c r="S270" s="14">
        <f>CHOOSE(CONTROL!$C$42, 10.9358, 10.9358) * CHOOSE(CONTROL!$C$21, $C$9, 100%, $E$9)</f>
        <v>10.9358</v>
      </c>
      <c r="T27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70" s="57">
        <f>(1000*CHOOSE(CONTROL!$C$42, 695, 695)*CHOOSE(CONTROL!$C$42, 0.5599, 0.5599)*CHOOSE(CONTROL!$C$42, 30, 30))/1000000</f>
        <v>11.673914999999997</v>
      </c>
      <c r="V270" s="57">
        <f>(1000*CHOOSE(CONTROL!$C$42, 500, 500)*CHOOSE(CONTROL!$C$42, 0.275, 0.275)*CHOOSE(CONTROL!$C$42, 30, 30))/1000000</f>
        <v>4.125</v>
      </c>
      <c r="W270" s="57">
        <f>(1000*CHOOSE(CONTROL!$C$42, 0.1146, 0.1146)*CHOOSE(CONTROL!$C$42, 121.5, 121.5)*CHOOSE(CONTROL!$C$42, 30, 30))/1000000</f>
        <v>0.417717</v>
      </c>
      <c r="X270" s="57">
        <f>(30*0.1790888*245000/1000000)+(30*0.2374*100000/1000000)</f>
        <v>2.0285026799999999</v>
      </c>
      <c r="Y270" s="57"/>
      <c r="Z270" s="14"/>
      <c r="AA270" s="56"/>
      <c r="AB270" s="50">
        <f>(B270*194.205+C270*267.466+D270*133.845+E270*53.484+F270*40+G270*185+H270*0+I270*100+J270*300)/(194.205+267.466+133.845+53.484+0+40+185+100+300)</f>
        <v>11.293703958634222</v>
      </c>
      <c r="AC270" s="45">
        <f>(M270*'RAP TEMPLATE-GAS AVAILABILITY'!O269+N270*'RAP TEMPLATE-GAS AVAILABILITY'!P269+O270*'RAP TEMPLATE-GAS AVAILABILITY'!Q269+P270*'RAP TEMPLATE-GAS AVAILABILITY'!R269)/('RAP TEMPLATE-GAS AVAILABILITY'!O269+'RAP TEMPLATE-GAS AVAILABILITY'!P269+'RAP TEMPLATE-GAS AVAILABILITY'!Q269+'RAP TEMPLATE-GAS AVAILABILITY'!R269)</f>
        <v>11.220397841726619</v>
      </c>
    </row>
    <row r="271" spans="1:29" ht="15.75" x14ac:dyDescent="0.25">
      <c r="A271" s="13">
        <v>49126</v>
      </c>
      <c r="B271" s="14">
        <f>CHOOSE(CONTROL!$C$42, 11.0496, 11.0496) * CHOOSE(CONTROL!$C$21, $C$9, 100%, $E$9)</f>
        <v>11.0496</v>
      </c>
      <c r="C271" s="14">
        <f>CHOOSE(CONTROL!$C$42, 11.0575, 11.0575) * CHOOSE(CONTROL!$C$21, $C$9, 100%, $E$9)</f>
        <v>11.057499999999999</v>
      </c>
      <c r="D271" s="14">
        <f>CHOOSE(CONTROL!$C$42, 11.2551, 11.2551) * CHOOSE(CONTROL!$C$21, $C$9, 100%, $E$9)</f>
        <v>11.255100000000001</v>
      </c>
      <c r="E271" s="14">
        <f>CHOOSE(CONTROL!$C$42, 11.2862, 11.2862) * CHOOSE(CONTROL!$C$21, $C$9, 100%, $E$9)</f>
        <v>11.286199999999999</v>
      </c>
      <c r="F271" s="14">
        <f>CHOOSE(CONTROL!$C$42, 11.0338, 11.0338)*CHOOSE(CONTROL!$C$21, $C$9, 100%, $E$9)</f>
        <v>11.033799999999999</v>
      </c>
      <c r="G271" s="14">
        <f>CHOOSE(CONTROL!$C$42, 11.0501, 11.0501)*CHOOSE(CONTROL!$C$21, $C$9, 100%, $E$9)</f>
        <v>11.0501</v>
      </c>
      <c r="H271" s="14">
        <f>CHOOSE(CONTROL!$C$42, 11.2748, 11.2748) * CHOOSE(CONTROL!$C$21, $C$9, 100%, $E$9)</f>
        <v>11.274800000000001</v>
      </c>
      <c r="I271" s="14">
        <f>CHOOSE(CONTROL!$C$42, 11.0609, 11.0609)* CHOOSE(CONTROL!$C$21, $C$9, 100%, $E$9)</f>
        <v>11.0609</v>
      </c>
      <c r="J271" s="14">
        <f>CHOOSE(CONTROL!$C$42, 11.0268, 11.0268)* CHOOSE(CONTROL!$C$21, $C$9, 100%, $E$9)</f>
        <v>11.0268</v>
      </c>
      <c r="K271" s="53">
        <f>CHOOSE(CONTROL!$C$42, 11.057, 11.057) * CHOOSE(CONTROL!$C$21, $C$9, 100%, $E$9)</f>
        <v>11.057</v>
      </c>
      <c r="L271" s="14">
        <f>CHOOSE(CONTROL!$C$42, 11.8618, 11.8618) * CHOOSE(CONTROL!$C$21, $C$9, 100%, $E$9)</f>
        <v>11.861800000000001</v>
      </c>
      <c r="M271" s="14">
        <f>CHOOSE(CONTROL!$C$42, 10.9294, 10.9294) * CHOOSE(CONTROL!$C$21, $C$9, 100%, $E$9)</f>
        <v>10.929399999999999</v>
      </c>
      <c r="N271" s="14">
        <f>CHOOSE(CONTROL!$C$42, 10.9455, 10.9455) * CHOOSE(CONTROL!$C$21, $C$9, 100%, $E$9)</f>
        <v>10.945499999999999</v>
      </c>
      <c r="O271" s="14">
        <f>CHOOSE(CONTROL!$C$42, 11.1749, 11.1749) * CHOOSE(CONTROL!$C$21, $C$9, 100%, $E$9)</f>
        <v>11.174899999999999</v>
      </c>
      <c r="P271" s="14">
        <f>CHOOSE(CONTROL!$C$42, 10.9632, 10.9632) * CHOOSE(CONTROL!$C$21, $C$9, 100%, $E$9)</f>
        <v>10.963200000000001</v>
      </c>
      <c r="Q271" s="14">
        <f>CHOOSE(CONTROL!$C$42, 11.7702, 11.7702) * CHOOSE(CONTROL!$C$21, $C$9, 100%, $E$9)</f>
        <v>11.770200000000001</v>
      </c>
      <c r="R271" s="14">
        <f>CHOOSE(CONTROL!$C$42, 12.3866, 12.3866) * CHOOSE(CONTROL!$C$21, $C$9, 100%, $E$9)</f>
        <v>12.3866</v>
      </c>
      <c r="S271" s="14">
        <f>CHOOSE(CONTROL!$C$42, 10.726, 10.726) * CHOOSE(CONTROL!$C$21, $C$9, 100%, $E$9)</f>
        <v>10.726000000000001</v>
      </c>
      <c r="T27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71" s="57">
        <f>(1000*CHOOSE(CONTROL!$C$42, 695, 695)*CHOOSE(CONTROL!$C$42, 0.5599, 0.5599)*CHOOSE(CONTROL!$C$42, 31, 31))/1000000</f>
        <v>12.063045499999998</v>
      </c>
      <c r="V271" s="57">
        <f>(1000*CHOOSE(CONTROL!$C$42, 500, 500)*CHOOSE(CONTROL!$C$42, 0.275, 0.275)*CHOOSE(CONTROL!$C$42, 31, 31))/1000000</f>
        <v>4.2625000000000002</v>
      </c>
      <c r="W271" s="57">
        <f>(1000*CHOOSE(CONTROL!$C$42, 0.1146, 0.1146)*CHOOSE(CONTROL!$C$42, 121.5, 121.5)*CHOOSE(CONTROL!$C$42, 31, 31))/1000000</f>
        <v>0.43164089999999994</v>
      </c>
      <c r="X271" s="57">
        <f>(31*0.1790888*245000/1000000)+(31*0.2374*100000/1000000)</f>
        <v>2.0961194359999999</v>
      </c>
      <c r="Y271" s="57"/>
      <c r="Z271" s="14"/>
      <c r="AA271" s="56"/>
      <c r="AB271" s="50">
        <f>(B271*194.205+C271*267.466+D271*133.845+E271*53.484+F271*40+G271*185+H271*0+I271*100+J271*300)/(194.205+267.466+133.845+53.484+0+40+185+100+300)</f>
        <v>11.077875465698588</v>
      </c>
      <c r="AC271" s="45">
        <f>(M271*'RAP TEMPLATE-GAS AVAILABILITY'!O270+N271*'RAP TEMPLATE-GAS AVAILABILITY'!P270+O271*'RAP TEMPLATE-GAS AVAILABILITY'!Q270+P271*'RAP TEMPLATE-GAS AVAILABILITY'!R270)/('RAP TEMPLATE-GAS AVAILABILITY'!O270+'RAP TEMPLATE-GAS AVAILABILITY'!P270+'RAP TEMPLATE-GAS AVAILABILITY'!Q270+'RAP TEMPLATE-GAS AVAILABILITY'!R270)</f>
        <v>11.006851079136689</v>
      </c>
    </row>
    <row r="272" spans="1:29" ht="15.75" x14ac:dyDescent="0.25">
      <c r="A272" s="13">
        <v>49157</v>
      </c>
      <c r="B272" s="14">
        <f>CHOOSE(CONTROL!$C$42, 10.504, 10.504) * CHOOSE(CONTROL!$C$21, $C$9, 100%, $E$9)</f>
        <v>10.504</v>
      </c>
      <c r="C272" s="14">
        <f>CHOOSE(CONTROL!$C$42, 10.512, 10.512) * CHOOSE(CONTROL!$C$21, $C$9, 100%, $E$9)</f>
        <v>10.512</v>
      </c>
      <c r="D272" s="14">
        <f>CHOOSE(CONTROL!$C$42, 10.7095, 10.7095) * CHOOSE(CONTROL!$C$21, $C$9, 100%, $E$9)</f>
        <v>10.7095</v>
      </c>
      <c r="E272" s="14">
        <f>CHOOSE(CONTROL!$C$42, 10.7407, 10.7407) * CHOOSE(CONTROL!$C$21, $C$9, 100%, $E$9)</f>
        <v>10.7407</v>
      </c>
      <c r="F272" s="14">
        <f>CHOOSE(CONTROL!$C$42, 10.4885, 10.4885)*CHOOSE(CONTROL!$C$21, $C$9, 100%, $E$9)</f>
        <v>10.4885</v>
      </c>
      <c r="G272" s="14">
        <f>CHOOSE(CONTROL!$C$42, 10.5048, 10.5048)*CHOOSE(CONTROL!$C$21, $C$9, 100%, $E$9)</f>
        <v>10.504799999999999</v>
      </c>
      <c r="H272" s="14">
        <f>CHOOSE(CONTROL!$C$42, 10.7293, 10.7293) * CHOOSE(CONTROL!$C$21, $C$9, 100%, $E$9)</f>
        <v>10.7293</v>
      </c>
      <c r="I272" s="14">
        <f>CHOOSE(CONTROL!$C$42, 10.5154, 10.5154)* CHOOSE(CONTROL!$C$21, $C$9, 100%, $E$9)</f>
        <v>10.5154</v>
      </c>
      <c r="J272" s="14">
        <f>CHOOSE(CONTROL!$C$42, 10.4815, 10.4815)* CHOOSE(CONTROL!$C$21, $C$9, 100%, $E$9)</f>
        <v>10.4815</v>
      </c>
      <c r="K272" s="53">
        <f>CHOOSE(CONTROL!$C$42, 10.5115, 10.5115) * CHOOSE(CONTROL!$C$21, $C$9, 100%, $E$9)</f>
        <v>10.5115</v>
      </c>
      <c r="L272" s="14">
        <f>CHOOSE(CONTROL!$C$42, 11.3163, 11.3163) * CHOOSE(CONTROL!$C$21, $C$9, 100%, $E$9)</f>
        <v>11.3163</v>
      </c>
      <c r="M272" s="14">
        <f>CHOOSE(CONTROL!$C$42, 10.3895, 10.3895) * CHOOSE(CONTROL!$C$21, $C$9, 100%, $E$9)</f>
        <v>10.3895</v>
      </c>
      <c r="N272" s="14">
        <f>CHOOSE(CONTROL!$C$42, 10.4057, 10.4057) * CHOOSE(CONTROL!$C$21, $C$9, 100%, $E$9)</f>
        <v>10.4057</v>
      </c>
      <c r="O272" s="14">
        <f>CHOOSE(CONTROL!$C$42, 10.6349, 10.6349) * CHOOSE(CONTROL!$C$21, $C$9, 100%, $E$9)</f>
        <v>10.6349</v>
      </c>
      <c r="P272" s="14">
        <f>CHOOSE(CONTROL!$C$42, 10.4232, 10.4232) * CHOOSE(CONTROL!$C$21, $C$9, 100%, $E$9)</f>
        <v>10.4232</v>
      </c>
      <c r="Q272" s="14">
        <f>CHOOSE(CONTROL!$C$42, 11.2302, 11.2302) * CHOOSE(CONTROL!$C$21, $C$9, 100%, $E$9)</f>
        <v>11.2302</v>
      </c>
      <c r="R272" s="14">
        <f>CHOOSE(CONTROL!$C$42, 11.8452, 11.8452) * CHOOSE(CONTROL!$C$21, $C$9, 100%, $E$9)</f>
        <v>11.8452</v>
      </c>
      <c r="S272" s="14">
        <f>CHOOSE(CONTROL!$C$42, 10.1962, 10.1962) * CHOOSE(CONTROL!$C$21, $C$9, 100%, $E$9)</f>
        <v>10.196199999999999</v>
      </c>
      <c r="T27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72" s="57">
        <f>(1000*CHOOSE(CONTROL!$C$42, 695, 695)*CHOOSE(CONTROL!$C$42, 0.5599, 0.5599)*CHOOSE(CONTROL!$C$42, 31, 31))/1000000</f>
        <v>12.063045499999998</v>
      </c>
      <c r="V272" s="57">
        <f>(1000*CHOOSE(CONTROL!$C$42, 500, 500)*CHOOSE(CONTROL!$C$42, 0.275, 0.275)*CHOOSE(CONTROL!$C$42, 31, 31))/1000000</f>
        <v>4.2625000000000002</v>
      </c>
      <c r="W272" s="57">
        <f>(1000*CHOOSE(CONTROL!$C$42, 0.1146, 0.1146)*CHOOSE(CONTROL!$C$42, 121.5, 121.5)*CHOOSE(CONTROL!$C$42, 31, 31))/1000000</f>
        <v>0.43164089999999994</v>
      </c>
      <c r="X272" s="57">
        <f>(31*0.1790888*245000/1000000)+(31*0.2374*100000/1000000)</f>
        <v>2.0961194359999999</v>
      </c>
      <c r="Y272" s="57"/>
      <c r="Z272" s="14"/>
      <c r="AA272" s="56"/>
      <c r="AB272" s="50">
        <f>(B272*194.205+C272*267.466+D272*133.845+E272*53.484+F272*40+G272*185+H272*0+I272*100+J272*300)/(194.205+267.466+133.845+53.484+0+40+185+100+300)</f>
        <v>10.532432133673471</v>
      </c>
      <c r="AC272" s="45">
        <f>(M272*'RAP TEMPLATE-GAS AVAILABILITY'!O271+N272*'RAP TEMPLATE-GAS AVAILABILITY'!P271+O272*'RAP TEMPLATE-GAS AVAILABILITY'!Q271+P272*'RAP TEMPLATE-GAS AVAILABILITY'!R271)/('RAP TEMPLATE-GAS AVAILABILITY'!O271+'RAP TEMPLATE-GAS AVAILABILITY'!P271+'RAP TEMPLATE-GAS AVAILABILITY'!Q271+'RAP TEMPLATE-GAS AVAILABILITY'!R271)</f>
        <v>10.466931654676259</v>
      </c>
    </row>
    <row r="273" spans="1:29" ht="15.75" x14ac:dyDescent="0.25">
      <c r="A273" s="13">
        <v>49188</v>
      </c>
      <c r="B273" s="14">
        <f>CHOOSE(CONTROL!$C$42, 9.8371, 9.8371) * CHOOSE(CONTROL!$C$21, $C$9, 100%, $E$9)</f>
        <v>9.8370999999999995</v>
      </c>
      <c r="C273" s="14">
        <f>CHOOSE(CONTROL!$C$42, 9.845, 9.845) * CHOOSE(CONTROL!$C$21, $C$9, 100%, $E$9)</f>
        <v>9.8450000000000006</v>
      </c>
      <c r="D273" s="14">
        <f>CHOOSE(CONTROL!$C$42, 10.0426, 10.0426) * CHOOSE(CONTROL!$C$21, $C$9, 100%, $E$9)</f>
        <v>10.0426</v>
      </c>
      <c r="E273" s="14">
        <f>CHOOSE(CONTROL!$C$42, 10.0738, 10.0738) * CHOOSE(CONTROL!$C$21, $C$9, 100%, $E$9)</f>
        <v>10.0738</v>
      </c>
      <c r="F273" s="14">
        <f>CHOOSE(CONTROL!$C$42, 9.8215, 9.8215)*CHOOSE(CONTROL!$C$21, $C$9, 100%, $E$9)</f>
        <v>9.8215000000000003</v>
      </c>
      <c r="G273" s="14">
        <f>CHOOSE(CONTROL!$C$42, 9.8378, 9.8378)*CHOOSE(CONTROL!$C$21, $C$9, 100%, $E$9)</f>
        <v>9.8377999999999997</v>
      </c>
      <c r="H273" s="14">
        <f>CHOOSE(CONTROL!$C$42, 10.0624, 10.0624) * CHOOSE(CONTROL!$C$21, $C$9, 100%, $E$9)</f>
        <v>10.0624</v>
      </c>
      <c r="I273" s="14">
        <f>CHOOSE(CONTROL!$C$42, 9.8485, 9.8485)* CHOOSE(CONTROL!$C$21, $C$9, 100%, $E$9)</f>
        <v>9.8484999999999996</v>
      </c>
      <c r="J273" s="14">
        <f>CHOOSE(CONTROL!$C$42, 9.8145, 9.8145)* CHOOSE(CONTROL!$C$21, $C$9, 100%, $E$9)</f>
        <v>9.8145000000000007</v>
      </c>
      <c r="K273" s="53">
        <f>CHOOSE(CONTROL!$C$42, 9.8446, 9.8446) * CHOOSE(CONTROL!$C$21, $C$9, 100%, $E$9)</f>
        <v>9.8445999999999998</v>
      </c>
      <c r="L273" s="14">
        <f>CHOOSE(CONTROL!$C$42, 10.6494, 10.6494) * CHOOSE(CONTROL!$C$21, $C$9, 100%, $E$9)</f>
        <v>10.6494</v>
      </c>
      <c r="M273" s="14">
        <f>CHOOSE(CONTROL!$C$42, 9.7293, 9.7293) * CHOOSE(CONTROL!$C$21, $C$9, 100%, $E$9)</f>
        <v>9.7293000000000003</v>
      </c>
      <c r="N273" s="14">
        <f>CHOOSE(CONTROL!$C$42, 9.7455, 9.7455) * CHOOSE(CONTROL!$C$21, $C$9, 100%, $E$9)</f>
        <v>9.7454999999999998</v>
      </c>
      <c r="O273" s="14">
        <f>CHOOSE(CONTROL!$C$42, 9.9747, 9.9747) * CHOOSE(CONTROL!$C$21, $C$9, 100%, $E$9)</f>
        <v>9.9747000000000003</v>
      </c>
      <c r="P273" s="14">
        <f>CHOOSE(CONTROL!$C$42, 9.763, 9.763) * CHOOSE(CONTROL!$C$21, $C$9, 100%, $E$9)</f>
        <v>9.7629999999999999</v>
      </c>
      <c r="Q273" s="14">
        <f>CHOOSE(CONTROL!$C$42, 10.57, 10.57) * CHOOSE(CONTROL!$C$21, $C$9, 100%, $E$9)</f>
        <v>10.57</v>
      </c>
      <c r="R273" s="14">
        <f>CHOOSE(CONTROL!$C$42, 11.1834, 11.1834) * CHOOSE(CONTROL!$C$21, $C$9, 100%, $E$9)</f>
        <v>11.183400000000001</v>
      </c>
      <c r="S273" s="14">
        <f>CHOOSE(CONTROL!$C$42, 9.5486, 9.5486) * CHOOSE(CONTROL!$C$21, $C$9, 100%, $E$9)</f>
        <v>9.5486000000000004</v>
      </c>
      <c r="T27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73" s="57">
        <f>(1000*CHOOSE(CONTROL!$C$42, 695, 695)*CHOOSE(CONTROL!$C$42, 0.5599, 0.5599)*CHOOSE(CONTROL!$C$42, 30, 30))/1000000</f>
        <v>11.673914999999997</v>
      </c>
      <c r="V273" s="57">
        <f>(1000*CHOOSE(CONTROL!$C$42, 500, 500)*CHOOSE(CONTROL!$C$42, 0.275, 0.275)*CHOOSE(CONTROL!$C$42, 30, 30))/1000000</f>
        <v>4.125</v>
      </c>
      <c r="W273" s="57">
        <f>(1000*CHOOSE(CONTROL!$C$42, 0.1146, 0.1146)*CHOOSE(CONTROL!$C$42, 121.5, 121.5)*CHOOSE(CONTROL!$C$42, 30, 30))/1000000</f>
        <v>0.417717</v>
      </c>
      <c r="X273" s="57">
        <f>(30*0.1790888*245000/1000000)+(30*0.2374*100000/1000000)</f>
        <v>2.0285026799999999</v>
      </c>
      <c r="Y273" s="57"/>
      <c r="Z273" s="14"/>
      <c r="AA273" s="56"/>
      <c r="AB273" s="50">
        <f>(B273*194.205+C273*267.466+D273*133.845+E273*53.484+F273*40+G273*185+H273*0+I273*100+J273*300)/(194.205+267.466+133.845+53.484+0+40+185+100+300)</f>
        <v>9.8654699306907379</v>
      </c>
      <c r="AC273" s="45">
        <f>(M273*'RAP TEMPLATE-GAS AVAILABILITY'!O272+N273*'RAP TEMPLATE-GAS AVAILABILITY'!P272+O273*'RAP TEMPLATE-GAS AVAILABILITY'!Q272+P273*'RAP TEMPLATE-GAS AVAILABILITY'!R272)/('RAP TEMPLATE-GAS AVAILABILITY'!O272+'RAP TEMPLATE-GAS AVAILABILITY'!P272+'RAP TEMPLATE-GAS AVAILABILITY'!Q272+'RAP TEMPLATE-GAS AVAILABILITY'!R272)</f>
        <v>9.8067316546762591</v>
      </c>
    </row>
    <row r="274" spans="1:29" ht="15.75" x14ac:dyDescent="0.25">
      <c r="A274" s="13">
        <v>49218</v>
      </c>
      <c r="B274" s="14">
        <f>CHOOSE(CONTROL!$C$42, 9.6357, 9.6357) * CHOOSE(CONTROL!$C$21, $C$9, 100%, $E$9)</f>
        <v>9.6356999999999999</v>
      </c>
      <c r="C274" s="14">
        <f>CHOOSE(CONTROL!$C$42, 9.641, 9.641) * CHOOSE(CONTROL!$C$21, $C$9, 100%, $E$9)</f>
        <v>9.641</v>
      </c>
      <c r="D274" s="14">
        <f>CHOOSE(CONTROL!$C$42, 9.8435, 9.8435) * CHOOSE(CONTROL!$C$21, $C$9, 100%, $E$9)</f>
        <v>9.8435000000000006</v>
      </c>
      <c r="E274" s="14">
        <f>CHOOSE(CONTROL!$C$42, 9.8723, 9.8723) * CHOOSE(CONTROL!$C$21, $C$9, 100%, $E$9)</f>
        <v>9.8722999999999992</v>
      </c>
      <c r="F274" s="14">
        <f>CHOOSE(CONTROL!$C$42, 9.6221, 9.6221)*CHOOSE(CONTROL!$C$21, $C$9, 100%, $E$9)</f>
        <v>9.6220999999999997</v>
      </c>
      <c r="G274" s="14">
        <f>CHOOSE(CONTROL!$C$42, 9.6381, 9.6381)*CHOOSE(CONTROL!$C$21, $C$9, 100%, $E$9)</f>
        <v>9.6380999999999997</v>
      </c>
      <c r="H274" s="14">
        <f>CHOOSE(CONTROL!$C$42, 9.8628, 9.8628) * CHOOSE(CONTROL!$C$21, $C$9, 100%, $E$9)</f>
        <v>9.8628</v>
      </c>
      <c r="I274" s="14">
        <f>CHOOSE(CONTROL!$C$42, 9.6489, 9.6489)* CHOOSE(CONTROL!$C$21, $C$9, 100%, $E$9)</f>
        <v>9.6488999999999994</v>
      </c>
      <c r="J274" s="14">
        <f>CHOOSE(CONTROL!$C$42, 9.6151, 9.6151)* CHOOSE(CONTROL!$C$21, $C$9, 100%, $E$9)</f>
        <v>9.6151</v>
      </c>
      <c r="K274" s="53">
        <f>CHOOSE(CONTROL!$C$42, 9.645, 9.645) * CHOOSE(CONTROL!$C$21, $C$9, 100%, $E$9)</f>
        <v>9.6449999999999996</v>
      </c>
      <c r="L274" s="14">
        <f>CHOOSE(CONTROL!$C$42, 10.4498, 10.4498) * CHOOSE(CONTROL!$C$21, $C$9, 100%, $E$9)</f>
        <v>10.4498</v>
      </c>
      <c r="M274" s="14">
        <f>CHOOSE(CONTROL!$C$42, 9.5319, 9.5319) * CHOOSE(CONTROL!$C$21, $C$9, 100%, $E$9)</f>
        <v>9.5319000000000003</v>
      </c>
      <c r="N274" s="14">
        <f>CHOOSE(CONTROL!$C$42, 9.5478, 9.5478) * CHOOSE(CONTROL!$C$21, $C$9, 100%, $E$9)</f>
        <v>9.5478000000000005</v>
      </c>
      <c r="O274" s="14">
        <f>CHOOSE(CONTROL!$C$42, 9.7771, 9.7771) * CHOOSE(CONTROL!$C$21, $C$9, 100%, $E$9)</f>
        <v>9.7771000000000008</v>
      </c>
      <c r="P274" s="14">
        <f>CHOOSE(CONTROL!$C$42, 9.5654, 9.5654) * CHOOSE(CONTROL!$C$21, $C$9, 100%, $E$9)</f>
        <v>9.5654000000000003</v>
      </c>
      <c r="Q274" s="14">
        <f>CHOOSE(CONTROL!$C$42, 10.3724, 10.3724) * CHOOSE(CONTROL!$C$21, $C$9, 100%, $E$9)</f>
        <v>10.372400000000001</v>
      </c>
      <c r="R274" s="14">
        <f>CHOOSE(CONTROL!$C$42, 10.9853, 10.9853) * CHOOSE(CONTROL!$C$21, $C$9, 100%, $E$9)</f>
        <v>10.985300000000001</v>
      </c>
      <c r="S274" s="14">
        <f>CHOOSE(CONTROL!$C$42, 9.3547, 9.3547) * CHOOSE(CONTROL!$C$21, $C$9, 100%, $E$9)</f>
        <v>9.3546999999999993</v>
      </c>
      <c r="T27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74" s="57">
        <f>(1000*CHOOSE(CONTROL!$C$42, 695, 695)*CHOOSE(CONTROL!$C$42, 0.5599, 0.5599)*CHOOSE(CONTROL!$C$42, 31, 31))/1000000</f>
        <v>12.063045499999998</v>
      </c>
      <c r="V274" s="57">
        <f>(1000*CHOOSE(CONTROL!$C$42, 500, 500)*CHOOSE(CONTROL!$C$42, 0.275, 0.275)*CHOOSE(CONTROL!$C$42, 31, 31))/1000000</f>
        <v>4.2625000000000002</v>
      </c>
      <c r="W274" s="57">
        <f>(1000*CHOOSE(CONTROL!$C$42, 0.1146, 0.1146)*CHOOSE(CONTROL!$C$42, 121.5, 121.5)*CHOOSE(CONTROL!$C$42, 31, 31))/1000000</f>
        <v>0.43164089999999994</v>
      </c>
      <c r="X274" s="57">
        <f>(31*0.1790888*245000/1000000)+(31*0.2374*100000/1000000)</f>
        <v>2.0961194359999999</v>
      </c>
      <c r="Y274" s="57"/>
      <c r="Z274" s="14"/>
      <c r="AA274" s="56"/>
      <c r="AB274" s="50">
        <f>(B274*131.881+C274*277.167+D274*79.08+E274*125.872+F274*40+G274*185+H274*0+I274*100+J274*300)/(131.881+277.167+79.08+125.872+0+40+185+100+300)</f>
        <v>9.6701819405165459</v>
      </c>
      <c r="AC274" s="45">
        <f>(M274*'RAP TEMPLATE-GAS AVAILABILITY'!O273+N274*'RAP TEMPLATE-GAS AVAILABILITY'!P273+O274*'RAP TEMPLATE-GAS AVAILABILITY'!Q273+P274*'RAP TEMPLATE-GAS AVAILABILITY'!R273)/('RAP TEMPLATE-GAS AVAILABILITY'!O273+'RAP TEMPLATE-GAS AVAILABILITY'!P273+'RAP TEMPLATE-GAS AVAILABILITY'!Q273+'RAP TEMPLATE-GAS AVAILABILITY'!R273)</f>
        <v>9.6091776978417265</v>
      </c>
    </row>
    <row r="275" spans="1:29" ht="15.75" x14ac:dyDescent="0.25">
      <c r="A275" s="13">
        <v>49249</v>
      </c>
      <c r="B275" s="14">
        <f>CHOOSE(CONTROL!$C$42, 9.8891, 9.8891) * CHOOSE(CONTROL!$C$21, $C$9, 100%, $E$9)</f>
        <v>9.8890999999999991</v>
      </c>
      <c r="C275" s="14">
        <f>CHOOSE(CONTROL!$C$42, 9.894, 9.894) * CHOOSE(CONTROL!$C$21, $C$9, 100%, $E$9)</f>
        <v>9.8940000000000001</v>
      </c>
      <c r="D275" s="14">
        <f>CHOOSE(CONTROL!$C$42, 9.9571, 9.9571) * CHOOSE(CONTROL!$C$21, $C$9, 100%, $E$9)</f>
        <v>9.9571000000000005</v>
      </c>
      <c r="E275" s="14">
        <f>CHOOSE(CONTROL!$C$42, 9.9909, 9.9909) * CHOOSE(CONTROL!$C$21, $C$9, 100%, $E$9)</f>
        <v>9.9908999999999999</v>
      </c>
      <c r="F275" s="14">
        <f>CHOOSE(CONTROL!$C$42, 9.8898, 9.8898)*CHOOSE(CONTROL!$C$21, $C$9, 100%, $E$9)</f>
        <v>9.8897999999999993</v>
      </c>
      <c r="G275" s="14">
        <f>CHOOSE(CONTROL!$C$42, 9.9061, 9.9061)*CHOOSE(CONTROL!$C$21, $C$9, 100%, $E$9)</f>
        <v>9.9061000000000003</v>
      </c>
      <c r="H275" s="14">
        <f>CHOOSE(CONTROL!$C$42, 9.9801, 9.9801) * CHOOSE(CONTROL!$C$21, $C$9, 100%, $E$9)</f>
        <v>9.9801000000000002</v>
      </c>
      <c r="I275" s="14">
        <f>CHOOSE(CONTROL!$C$42, 9.9026, 9.9026)* CHOOSE(CONTROL!$C$21, $C$9, 100%, $E$9)</f>
        <v>9.9025999999999996</v>
      </c>
      <c r="J275" s="14">
        <f>CHOOSE(CONTROL!$C$42, 9.8828, 9.8828)* CHOOSE(CONTROL!$C$21, $C$9, 100%, $E$9)</f>
        <v>9.8827999999999996</v>
      </c>
      <c r="K275" s="53">
        <f>CHOOSE(CONTROL!$C$42, 9.8987, 9.8987) * CHOOSE(CONTROL!$C$21, $C$9, 100%, $E$9)</f>
        <v>9.8986999999999998</v>
      </c>
      <c r="L275" s="14">
        <f>CHOOSE(CONTROL!$C$42, 10.5671, 10.5671) * CHOOSE(CONTROL!$C$21, $C$9, 100%, $E$9)</f>
        <v>10.5671</v>
      </c>
      <c r="M275" s="14">
        <f>CHOOSE(CONTROL!$C$42, 9.7969, 9.7969) * CHOOSE(CONTROL!$C$21, $C$9, 100%, $E$9)</f>
        <v>9.7969000000000008</v>
      </c>
      <c r="N275" s="14">
        <f>CHOOSE(CONTROL!$C$42, 9.813, 9.813) * CHOOSE(CONTROL!$C$21, $C$9, 100%, $E$9)</f>
        <v>9.8130000000000006</v>
      </c>
      <c r="O275" s="14">
        <f>CHOOSE(CONTROL!$C$42, 9.8932, 9.8932) * CHOOSE(CONTROL!$C$21, $C$9, 100%, $E$9)</f>
        <v>9.8932000000000002</v>
      </c>
      <c r="P275" s="14">
        <f>CHOOSE(CONTROL!$C$42, 9.8166, 9.8166) * CHOOSE(CONTROL!$C$21, $C$9, 100%, $E$9)</f>
        <v>9.8165999999999993</v>
      </c>
      <c r="Q275" s="14">
        <f>CHOOSE(CONTROL!$C$42, 10.4885, 10.4885) * CHOOSE(CONTROL!$C$21, $C$9, 100%, $E$9)</f>
        <v>10.4885</v>
      </c>
      <c r="R275" s="14">
        <f>CHOOSE(CONTROL!$C$42, 11.1017, 11.1017) * CHOOSE(CONTROL!$C$21, $C$9, 100%, $E$9)</f>
        <v>11.101699999999999</v>
      </c>
      <c r="S275" s="14">
        <f>CHOOSE(CONTROL!$C$42, 9.6012, 9.6012) * CHOOSE(CONTROL!$C$21, $C$9, 100%, $E$9)</f>
        <v>9.6012000000000004</v>
      </c>
      <c r="T27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75" s="57">
        <f>(1000*CHOOSE(CONTROL!$C$42, 695, 695)*CHOOSE(CONTROL!$C$42, 0.5599, 0.5599)*CHOOSE(CONTROL!$C$42, 30, 30))/1000000</f>
        <v>11.673914999999997</v>
      </c>
      <c r="V275" s="57">
        <f>(1000*CHOOSE(CONTROL!$C$42, 500, 500)*CHOOSE(CONTROL!$C$42, 0.275, 0.275)*CHOOSE(CONTROL!$C$42, 30, 30))/1000000</f>
        <v>4.125</v>
      </c>
      <c r="W275" s="57">
        <f>(1000*CHOOSE(CONTROL!$C$42, 0.1146, 0.1146)*CHOOSE(CONTROL!$C$42, 121.5, 121.5)*CHOOSE(CONTROL!$C$42, 30, 30))/1000000</f>
        <v>0.417717</v>
      </c>
      <c r="X275" s="57">
        <f>(30*0.1790888*100000/1000000)+(30*0.2374*100000/1000000)</f>
        <v>1.2494664</v>
      </c>
      <c r="Y275" s="57"/>
      <c r="Z275" s="14"/>
      <c r="AA275" s="56"/>
      <c r="AB275" s="50">
        <f>(B275*122.58+C275*297.941+D275*89.177+E275*40.302+F275*40+G275*160+H275*0+I275*100+J275*300)/(122.58+297.941+89.177+40.302+0+40+160+100+300)</f>
        <v>9.9011301656521731</v>
      </c>
      <c r="AC275" s="45">
        <f>(M275*'RAP TEMPLATE-GAS AVAILABILITY'!O274+N275*'RAP TEMPLATE-GAS AVAILABILITY'!P274+O275*'RAP TEMPLATE-GAS AVAILABILITY'!Q274+P275*'RAP TEMPLATE-GAS AVAILABILITY'!R274)/('RAP TEMPLATE-GAS AVAILABILITY'!O274+'RAP TEMPLATE-GAS AVAILABILITY'!P274+'RAP TEMPLATE-GAS AVAILABILITY'!Q274+'RAP TEMPLATE-GAS AVAILABILITY'!R274)</f>
        <v>9.8443079136690645</v>
      </c>
    </row>
    <row r="276" spans="1:29" ht="15.75" x14ac:dyDescent="0.25">
      <c r="A276" s="13">
        <v>49279</v>
      </c>
      <c r="B276" s="14">
        <f>CHOOSE(CONTROL!$C$42, 10.5631, 10.5631) * CHOOSE(CONTROL!$C$21, $C$9, 100%, $E$9)</f>
        <v>10.5631</v>
      </c>
      <c r="C276" s="14">
        <f>CHOOSE(CONTROL!$C$42, 10.5681, 10.5681) * CHOOSE(CONTROL!$C$21, $C$9, 100%, $E$9)</f>
        <v>10.568099999999999</v>
      </c>
      <c r="D276" s="14">
        <f>CHOOSE(CONTROL!$C$42, 10.6311, 10.6311) * CHOOSE(CONTROL!$C$21, $C$9, 100%, $E$9)</f>
        <v>10.6311</v>
      </c>
      <c r="E276" s="14">
        <f>CHOOSE(CONTROL!$C$42, 10.6649, 10.6649) * CHOOSE(CONTROL!$C$21, $C$9, 100%, $E$9)</f>
        <v>10.664899999999999</v>
      </c>
      <c r="F276" s="14">
        <f>CHOOSE(CONTROL!$C$42, 10.5659, 10.5659)*CHOOSE(CONTROL!$C$21, $C$9, 100%, $E$9)</f>
        <v>10.565899999999999</v>
      </c>
      <c r="G276" s="14">
        <f>CHOOSE(CONTROL!$C$42, 10.5827, 10.5827)*CHOOSE(CONTROL!$C$21, $C$9, 100%, $E$9)</f>
        <v>10.582700000000001</v>
      </c>
      <c r="H276" s="14">
        <f>CHOOSE(CONTROL!$C$42, 10.6541, 10.6541) * CHOOSE(CONTROL!$C$21, $C$9, 100%, $E$9)</f>
        <v>10.6541</v>
      </c>
      <c r="I276" s="14">
        <f>CHOOSE(CONTROL!$C$42, 10.5767, 10.5767)* CHOOSE(CONTROL!$C$21, $C$9, 100%, $E$9)</f>
        <v>10.576700000000001</v>
      </c>
      <c r="J276" s="14">
        <f>CHOOSE(CONTROL!$C$42, 10.5589, 10.5589)* CHOOSE(CONTROL!$C$21, $C$9, 100%, $E$9)</f>
        <v>10.5589</v>
      </c>
      <c r="K276" s="53">
        <f>CHOOSE(CONTROL!$C$42, 10.5728, 10.5728) * CHOOSE(CONTROL!$C$21, $C$9, 100%, $E$9)</f>
        <v>10.572800000000001</v>
      </c>
      <c r="L276" s="14">
        <f>CHOOSE(CONTROL!$C$42, 11.2411, 11.2411) * CHOOSE(CONTROL!$C$21, $C$9, 100%, $E$9)</f>
        <v>11.241099999999999</v>
      </c>
      <c r="M276" s="14">
        <f>CHOOSE(CONTROL!$C$42, 10.4661, 10.4661) * CHOOSE(CONTROL!$C$21, $C$9, 100%, $E$9)</f>
        <v>10.466100000000001</v>
      </c>
      <c r="N276" s="14">
        <f>CHOOSE(CONTROL!$C$42, 10.4828, 10.4828) * CHOOSE(CONTROL!$C$21, $C$9, 100%, $E$9)</f>
        <v>10.482799999999999</v>
      </c>
      <c r="O276" s="14">
        <f>CHOOSE(CONTROL!$C$42, 10.5604, 10.5604) * CHOOSE(CONTROL!$C$21, $C$9, 100%, $E$9)</f>
        <v>10.5604</v>
      </c>
      <c r="P276" s="14">
        <f>CHOOSE(CONTROL!$C$42, 10.4838, 10.4838) * CHOOSE(CONTROL!$C$21, $C$9, 100%, $E$9)</f>
        <v>10.4838</v>
      </c>
      <c r="Q276" s="14">
        <f>CHOOSE(CONTROL!$C$42, 11.1557, 11.1557) * CHOOSE(CONTROL!$C$21, $C$9, 100%, $E$9)</f>
        <v>11.1557</v>
      </c>
      <c r="R276" s="14">
        <f>CHOOSE(CONTROL!$C$42, 11.7706, 11.7706) * CHOOSE(CONTROL!$C$21, $C$9, 100%, $E$9)</f>
        <v>11.7706</v>
      </c>
      <c r="S276" s="14">
        <f>CHOOSE(CONTROL!$C$42, 10.2557, 10.2557) * CHOOSE(CONTROL!$C$21, $C$9, 100%, $E$9)</f>
        <v>10.255699999999999</v>
      </c>
      <c r="T27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76" s="57">
        <f>(1000*CHOOSE(CONTROL!$C$42, 695, 695)*CHOOSE(CONTROL!$C$42, 0.5599, 0.5599)*CHOOSE(CONTROL!$C$42, 31, 31))/1000000</f>
        <v>12.063045499999998</v>
      </c>
      <c r="V276" s="57">
        <f>(1000*CHOOSE(CONTROL!$C$42, 500, 500)*CHOOSE(CONTROL!$C$42, 0.275, 0.275)*CHOOSE(CONTROL!$C$42, 31, 31))/1000000</f>
        <v>4.2625000000000002</v>
      </c>
      <c r="W276" s="57">
        <f>(1000*CHOOSE(CONTROL!$C$42, 0.1146, 0.1146)*CHOOSE(CONTROL!$C$42, 121.5, 121.5)*CHOOSE(CONTROL!$C$42, 31, 31))/1000000</f>
        <v>0.43164089999999994</v>
      </c>
      <c r="X276" s="57">
        <f>(31*0.1790888*100000/1000000)+(31*0.2374*100000/1000000)</f>
        <v>1.2911152800000001</v>
      </c>
      <c r="Y276" s="57"/>
      <c r="Z276" s="14"/>
      <c r="AA276" s="56"/>
      <c r="AB276" s="50">
        <f>(B276*122.58+C276*297.941+D276*89.177+E276*40.302+F276*40+G276*160+H276*0+I276*100+J276*300)/(122.58+297.941+89.177+40.302+0+40+160+100+300)</f>
        <v>10.576147377913042</v>
      </c>
      <c r="AC276" s="45">
        <f>(M276*'RAP TEMPLATE-GAS AVAILABILITY'!O275+N276*'RAP TEMPLATE-GAS AVAILABILITY'!P275+O276*'RAP TEMPLATE-GAS AVAILABILITY'!Q275+P276*'RAP TEMPLATE-GAS AVAILABILITY'!R275)/('RAP TEMPLATE-GAS AVAILABILITY'!O275+'RAP TEMPLATE-GAS AVAILABILITY'!P275+'RAP TEMPLATE-GAS AVAILABILITY'!Q275+'RAP TEMPLATE-GAS AVAILABILITY'!R275)</f>
        <v>10.512348201438849</v>
      </c>
    </row>
    <row r="277" spans="1:29" ht="15.75" x14ac:dyDescent="0.25">
      <c r="A277" s="13">
        <v>49310</v>
      </c>
      <c r="B277" s="14">
        <f>CHOOSE(CONTROL!$C$42, 11.4284, 11.4284) * CHOOSE(CONTROL!$C$21, $C$9, 100%, $E$9)</f>
        <v>11.4284</v>
      </c>
      <c r="C277" s="14">
        <f>CHOOSE(CONTROL!$C$42, 11.4333, 11.4333) * CHOOSE(CONTROL!$C$21, $C$9, 100%, $E$9)</f>
        <v>11.433299999999999</v>
      </c>
      <c r="D277" s="14">
        <f>CHOOSE(CONTROL!$C$42, 11.4976, 11.4976) * CHOOSE(CONTROL!$C$21, $C$9, 100%, $E$9)</f>
        <v>11.4976</v>
      </c>
      <c r="E277" s="14">
        <f>CHOOSE(CONTROL!$C$42, 11.5314, 11.5314) * CHOOSE(CONTROL!$C$21, $C$9, 100%, $E$9)</f>
        <v>11.5314</v>
      </c>
      <c r="F277" s="14">
        <f>CHOOSE(CONTROL!$C$42, 11.4299, 11.4299)*CHOOSE(CONTROL!$C$21, $C$9, 100%, $E$9)</f>
        <v>11.4299</v>
      </c>
      <c r="G277" s="14">
        <f>CHOOSE(CONTROL!$C$42, 11.4458, 11.4458)*CHOOSE(CONTROL!$C$21, $C$9, 100%, $E$9)</f>
        <v>11.4458</v>
      </c>
      <c r="H277" s="14">
        <f>CHOOSE(CONTROL!$C$42, 11.5206, 11.5206) * CHOOSE(CONTROL!$C$21, $C$9, 100%, $E$9)</f>
        <v>11.5206</v>
      </c>
      <c r="I277" s="14">
        <f>CHOOSE(CONTROL!$C$42, 11.4484, 11.4484)* CHOOSE(CONTROL!$C$21, $C$9, 100%, $E$9)</f>
        <v>11.448399999999999</v>
      </c>
      <c r="J277" s="14">
        <f>CHOOSE(CONTROL!$C$42, 11.4229, 11.4229)* CHOOSE(CONTROL!$C$21, $C$9, 100%, $E$9)</f>
        <v>11.4229</v>
      </c>
      <c r="K277" s="53">
        <f>CHOOSE(CONTROL!$C$42, 11.4445, 11.4445) * CHOOSE(CONTROL!$C$21, $C$9, 100%, $E$9)</f>
        <v>11.4445</v>
      </c>
      <c r="L277" s="14">
        <f>CHOOSE(CONTROL!$C$42, 12.1076, 12.1076) * CHOOSE(CONTROL!$C$21, $C$9, 100%, $E$9)</f>
        <v>12.1076</v>
      </c>
      <c r="M277" s="14">
        <f>CHOOSE(CONTROL!$C$42, 11.3214, 11.3214) * CHOOSE(CONTROL!$C$21, $C$9, 100%, $E$9)</f>
        <v>11.321400000000001</v>
      </c>
      <c r="N277" s="14">
        <f>CHOOSE(CONTROL!$C$42, 11.3372, 11.3372) * CHOOSE(CONTROL!$C$21, $C$9, 100%, $E$9)</f>
        <v>11.337199999999999</v>
      </c>
      <c r="O277" s="14">
        <f>CHOOSE(CONTROL!$C$42, 11.4181, 11.4181) * CHOOSE(CONTROL!$C$21, $C$9, 100%, $E$9)</f>
        <v>11.418100000000001</v>
      </c>
      <c r="P277" s="14">
        <f>CHOOSE(CONTROL!$C$42, 11.3467, 11.3467) * CHOOSE(CONTROL!$C$21, $C$9, 100%, $E$9)</f>
        <v>11.3467</v>
      </c>
      <c r="Q277" s="14">
        <f>CHOOSE(CONTROL!$C$42, 12.0134, 12.0134) * CHOOSE(CONTROL!$C$21, $C$9, 100%, $E$9)</f>
        <v>12.013400000000001</v>
      </c>
      <c r="R277" s="14">
        <f>CHOOSE(CONTROL!$C$42, 12.6305, 12.6305) * CHOOSE(CONTROL!$C$21, $C$9, 100%, $E$9)</f>
        <v>12.6305</v>
      </c>
      <c r="S277" s="14">
        <f>CHOOSE(CONTROL!$C$42, 11.096, 11.096) * CHOOSE(CONTROL!$C$21, $C$9, 100%, $E$9)</f>
        <v>11.096</v>
      </c>
      <c r="T27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77" s="57">
        <f>(1000*CHOOSE(CONTROL!$C$42, 695, 695)*CHOOSE(CONTROL!$C$42, 0.5599, 0.5599)*CHOOSE(CONTROL!$C$42, 31, 31))/1000000</f>
        <v>12.063045499999998</v>
      </c>
      <c r="V277" s="57">
        <f>(1000*CHOOSE(CONTROL!$C$42, 500, 500)*CHOOSE(CONTROL!$C$42, 0.275, 0.275)*CHOOSE(CONTROL!$C$42, 31, 31))/1000000</f>
        <v>4.2625000000000002</v>
      </c>
      <c r="W277" s="57">
        <f>(1000*CHOOSE(CONTROL!$C$42, 0.1146, 0.1146)*CHOOSE(CONTROL!$C$42, 121.5, 121.5)*CHOOSE(CONTROL!$C$42, 31, 31))/1000000</f>
        <v>0.43164089999999994</v>
      </c>
      <c r="X277" s="57">
        <f>(31*0.1790888*100000/1000000)+(31*0.2374*100000/1000000)</f>
        <v>1.2911152800000001</v>
      </c>
      <c r="Y277" s="57"/>
      <c r="Z277" s="14"/>
      <c r="AA277" s="56"/>
      <c r="AB277" s="50">
        <f>(B277*122.58+C277*297.941+D277*89.177+E277*40.302+F277*40+G277*160+H277*0+I277*100+J277*300)/(122.58+297.941+89.177+40.302+0+40+160+100+300)</f>
        <v>11.441422665478262</v>
      </c>
      <c r="AC277" s="45">
        <f>(M277*'RAP TEMPLATE-GAS AVAILABILITY'!O276+N277*'RAP TEMPLATE-GAS AVAILABILITY'!P276+O277*'RAP TEMPLATE-GAS AVAILABILITY'!Q276+P277*'RAP TEMPLATE-GAS AVAILABILITY'!R276)/('RAP TEMPLATE-GAS AVAILABILITY'!O276+'RAP TEMPLATE-GAS AVAILABILITY'!P276+'RAP TEMPLATE-GAS AVAILABILITY'!Q276+'RAP TEMPLATE-GAS AVAILABILITY'!R276)</f>
        <v>11.369777697841727</v>
      </c>
    </row>
    <row r="278" spans="1:29" ht="15.75" x14ac:dyDescent="0.25">
      <c r="A278" s="13">
        <v>49341</v>
      </c>
      <c r="B278" s="14">
        <f>CHOOSE(CONTROL!$C$42, 11.6318, 11.6318) * CHOOSE(CONTROL!$C$21, $C$9, 100%, $E$9)</f>
        <v>11.6318</v>
      </c>
      <c r="C278" s="14">
        <f>CHOOSE(CONTROL!$C$42, 11.6367, 11.6367) * CHOOSE(CONTROL!$C$21, $C$9, 100%, $E$9)</f>
        <v>11.636699999999999</v>
      </c>
      <c r="D278" s="14">
        <f>CHOOSE(CONTROL!$C$42, 11.701, 11.701) * CHOOSE(CONTROL!$C$21, $C$9, 100%, $E$9)</f>
        <v>11.701000000000001</v>
      </c>
      <c r="E278" s="14">
        <f>CHOOSE(CONTROL!$C$42, 11.7348, 11.7348) * CHOOSE(CONTROL!$C$21, $C$9, 100%, $E$9)</f>
        <v>11.7348</v>
      </c>
      <c r="F278" s="14">
        <f>CHOOSE(CONTROL!$C$42, 11.6333, 11.6333)*CHOOSE(CONTROL!$C$21, $C$9, 100%, $E$9)</f>
        <v>11.6333</v>
      </c>
      <c r="G278" s="14">
        <f>CHOOSE(CONTROL!$C$42, 11.6493, 11.6493)*CHOOSE(CONTROL!$C$21, $C$9, 100%, $E$9)</f>
        <v>11.6493</v>
      </c>
      <c r="H278" s="14">
        <f>CHOOSE(CONTROL!$C$42, 11.724, 11.724) * CHOOSE(CONTROL!$C$21, $C$9, 100%, $E$9)</f>
        <v>11.724</v>
      </c>
      <c r="I278" s="14">
        <f>CHOOSE(CONTROL!$C$42, 11.6517, 11.6517)* CHOOSE(CONTROL!$C$21, $C$9, 100%, $E$9)</f>
        <v>11.6517</v>
      </c>
      <c r="J278" s="14">
        <f>CHOOSE(CONTROL!$C$42, 11.6263, 11.6263)* CHOOSE(CONTROL!$C$21, $C$9, 100%, $E$9)</f>
        <v>11.626300000000001</v>
      </c>
      <c r="K278" s="53">
        <f>CHOOSE(CONTROL!$C$42, 11.6479, 11.6479) * CHOOSE(CONTROL!$C$21, $C$9, 100%, $E$9)</f>
        <v>11.6479</v>
      </c>
      <c r="L278" s="14">
        <f>CHOOSE(CONTROL!$C$42, 12.311, 12.311) * CHOOSE(CONTROL!$C$21, $C$9, 100%, $E$9)</f>
        <v>12.311</v>
      </c>
      <c r="M278" s="14">
        <f>CHOOSE(CONTROL!$C$42, 11.5228, 11.5228) * CHOOSE(CONTROL!$C$21, $C$9, 100%, $E$9)</f>
        <v>11.5228</v>
      </c>
      <c r="N278" s="14">
        <f>CHOOSE(CONTROL!$C$42, 11.5386, 11.5386) * CHOOSE(CONTROL!$C$21, $C$9, 100%, $E$9)</f>
        <v>11.538600000000001</v>
      </c>
      <c r="O278" s="14">
        <f>CHOOSE(CONTROL!$C$42, 11.6195, 11.6195) * CHOOSE(CONTROL!$C$21, $C$9, 100%, $E$9)</f>
        <v>11.6195</v>
      </c>
      <c r="P278" s="14">
        <f>CHOOSE(CONTROL!$C$42, 11.548, 11.548) * CHOOSE(CONTROL!$C$21, $C$9, 100%, $E$9)</f>
        <v>11.548</v>
      </c>
      <c r="Q278" s="14">
        <f>CHOOSE(CONTROL!$C$42, 12.2148, 12.2148) * CHOOSE(CONTROL!$C$21, $C$9, 100%, $E$9)</f>
        <v>12.2148</v>
      </c>
      <c r="R278" s="14">
        <f>CHOOSE(CONTROL!$C$42, 12.8323, 12.8323) * CHOOSE(CONTROL!$C$21, $C$9, 100%, $E$9)</f>
        <v>12.8323</v>
      </c>
      <c r="S278" s="14">
        <f>CHOOSE(CONTROL!$C$42, 11.2935, 11.2935) * CHOOSE(CONTROL!$C$21, $C$9, 100%, $E$9)</f>
        <v>11.2935</v>
      </c>
      <c r="T27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278" s="57">
        <f>(1000*CHOOSE(CONTROL!$C$42, 695, 695)*CHOOSE(CONTROL!$C$42, 0.5599, 0.5599)*CHOOSE(CONTROL!$C$42, 28, 28))/1000000</f>
        <v>10.895653999999999</v>
      </c>
      <c r="V278" s="57">
        <f>(1000*CHOOSE(CONTROL!$C$42, 500, 500)*CHOOSE(CONTROL!$C$42, 0.275, 0.275)*CHOOSE(CONTROL!$C$42, 28, 28))/1000000</f>
        <v>3.85</v>
      </c>
      <c r="W278" s="57">
        <f>(1000*CHOOSE(CONTROL!$C$42, 0.1146, 0.1146)*CHOOSE(CONTROL!$C$42, 121.5, 121.5)*CHOOSE(CONTROL!$C$42, 28, 28))/1000000</f>
        <v>0.38986920000000003</v>
      </c>
      <c r="X278" s="57">
        <f>(28*0.1790888*100000/1000000)+(28*0.2374*100000/1000000)</f>
        <v>1.16616864</v>
      </c>
      <c r="Y278" s="57"/>
      <c r="Z278" s="14"/>
      <c r="AA278" s="56"/>
      <c r="AB278" s="50">
        <f>(B278*122.58+C278*297.941+D278*89.177+E278*40.302+F278*40+G278*160+H278*0+I278*100+J278*300)/(122.58+297.941+89.177+40.302+0+40+160+100+300)</f>
        <v>11.644827882869563</v>
      </c>
      <c r="AC278" s="45">
        <f>(M278*'RAP TEMPLATE-GAS AVAILABILITY'!O277+N278*'RAP TEMPLATE-GAS AVAILABILITY'!P277+O278*'RAP TEMPLATE-GAS AVAILABILITY'!Q277+P278*'RAP TEMPLATE-GAS AVAILABILITY'!R277)/('RAP TEMPLATE-GAS AVAILABILITY'!O277+'RAP TEMPLATE-GAS AVAILABILITY'!P277+'RAP TEMPLATE-GAS AVAILABILITY'!Q277+'RAP TEMPLATE-GAS AVAILABILITY'!R277)</f>
        <v>11.571163309352517</v>
      </c>
    </row>
    <row r="279" spans="1:29" ht="15.75" x14ac:dyDescent="0.25">
      <c r="A279" s="13">
        <v>49369</v>
      </c>
      <c r="B279" s="14">
        <f>CHOOSE(CONTROL!$C$42, 11.3016, 11.3016) * CHOOSE(CONTROL!$C$21, $C$9, 100%, $E$9)</f>
        <v>11.301600000000001</v>
      </c>
      <c r="C279" s="14">
        <f>CHOOSE(CONTROL!$C$42, 11.3066, 11.3066) * CHOOSE(CONTROL!$C$21, $C$9, 100%, $E$9)</f>
        <v>11.3066</v>
      </c>
      <c r="D279" s="14">
        <f>CHOOSE(CONTROL!$C$42, 11.3708, 11.3708) * CHOOSE(CONTROL!$C$21, $C$9, 100%, $E$9)</f>
        <v>11.370799999999999</v>
      </c>
      <c r="E279" s="14">
        <f>CHOOSE(CONTROL!$C$42, 11.4046, 11.4046) * CHOOSE(CONTROL!$C$21, $C$9, 100%, $E$9)</f>
        <v>11.4046</v>
      </c>
      <c r="F279" s="14">
        <f>CHOOSE(CONTROL!$C$42, 11.3029, 11.3029)*CHOOSE(CONTROL!$C$21, $C$9, 100%, $E$9)</f>
        <v>11.302899999999999</v>
      </c>
      <c r="G279" s="14">
        <f>CHOOSE(CONTROL!$C$42, 11.3187, 11.3187)*CHOOSE(CONTROL!$C$21, $C$9, 100%, $E$9)</f>
        <v>11.3187</v>
      </c>
      <c r="H279" s="14">
        <f>CHOOSE(CONTROL!$C$42, 11.3938, 11.3938) * CHOOSE(CONTROL!$C$21, $C$9, 100%, $E$9)</f>
        <v>11.393800000000001</v>
      </c>
      <c r="I279" s="14">
        <f>CHOOSE(CONTROL!$C$42, 11.3216, 11.3216)* CHOOSE(CONTROL!$C$21, $C$9, 100%, $E$9)</f>
        <v>11.3216</v>
      </c>
      <c r="J279" s="14">
        <f>CHOOSE(CONTROL!$C$42, 11.2959, 11.2959)* CHOOSE(CONTROL!$C$21, $C$9, 100%, $E$9)</f>
        <v>11.2959</v>
      </c>
      <c r="K279" s="53">
        <f>CHOOSE(CONTROL!$C$42, 11.3177, 11.3177) * CHOOSE(CONTROL!$C$21, $C$9, 100%, $E$9)</f>
        <v>11.3177</v>
      </c>
      <c r="L279" s="14">
        <f>CHOOSE(CONTROL!$C$42, 11.9808, 11.9808) * CHOOSE(CONTROL!$C$21, $C$9, 100%, $E$9)</f>
        <v>11.9808</v>
      </c>
      <c r="M279" s="14">
        <f>CHOOSE(CONTROL!$C$42, 11.1957, 11.1957) * CHOOSE(CONTROL!$C$21, $C$9, 100%, $E$9)</f>
        <v>11.1957</v>
      </c>
      <c r="N279" s="14">
        <f>CHOOSE(CONTROL!$C$42, 11.2114, 11.2114) * CHOOSE(CONTROL!$C$21, $C$9, 100%, $E$9)</f>
        <v>11.211399999999999</v>
      </c>
      <c r="O279" s="14">
        <f>CHOOSE(CONTROL!$C$42, 11.2927, 11.2927) * CHOOSE(CONTROL!$C$21, $C$9, 100%, $E$9)</f>
        <v>11.2927</v>
      </c>
      <c r="P279" s="14">
        <f>CHOOSE(CONTROL!$C$42, 11.2212, 11.2212) * CHOOSE(CONTROL!$C$21, $C$9, 100%, $E$9)</f>
        <v>11.2212</v>
      </c>
      <c r="Q279" s="14">
        <f>CHOOSE(CONTROL!$C$42, 11.888, 11.888) * CHOOSE(CONTROL!$C$21, $C$9, 100%, $E$9)</f>
        <v>11.888</v>
      </c>
      <c r="R279" s="14">
        <f>CHOOSE(CONTROL!$C$42, 12.5047, 12.5047) * CHOOSE(CONTROL!$C$21, $C$9, 100%, $E$9)</f>
        <v>12.5047</v>
      </c>
      <c r="S279" s="14">
        <f>CHOOSE(CONTROL!$C$42, 10.9729, 10.9729) * CHOOSE(CONTROL!$C$21, $C$9, 100%, $E$9)</f>
        <v>10.972899999999999</v>
      </c>
      <c r="T27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79" s="57">
        <f>(1000*CHOOSE(CONTROL!$C$42, 695, 695)*CHOOSE(CONTROL!$C$42, 0.5599, 0.5599)*CHOOSE(CONTROL!$C$42, 31, 31))/1000000</f>
        <v>12.063045499999998</v>
      </c>
      <c r="V279" s="57">
        <f>(1000*CHOOSE(CONTROL!$C$42, 500, 500)*CHOOSE(CONTROL!$C$42, 0.275, 0.275)*CHOOSE(CONTROL!$C$42, 31, 31))/1000000</f>
        <v>4.2625000000000002</v>
      </c>
      <c r="W279" s="57">
        <f>(1000*CHOOSE(CONTROL!$C$42, 0.1146, 0.1146)*CHOOSE(CONTROL!$C$42, 121.5, 121.5)*CHOOSE(CONTROL!$C$42, 31, 31))/1000000</f>
        <v>0.43164089999999994</v>
      </c>
      <c r="X279" s="57">
        <f>(31*0.1790888*100000/1000000)+(31*0.2374*100000/1000000)</f>
        <v>1.2911152800000001</v>
      </c>
      <c r="Y279" s="57"/>
      <c r="Z279" s="14"/>
      <c r="AA279" s="56"/>
      <c r="AB279" s="50">
        <f>(B279*122.58+C279*297.941+D279*89.177+E279*40.302+F279*40+G279*160+H279*0+I279*100+J279*300)/(122.58+297.941+89.177+40.302+0+40+160+100+300)</f>
        <v>11.314547703826086</v>
      </c>
      <c r="AC279" s="45">
        <f>(M279*'RAP TEMPLATE-GAS AVAILABILITY'!O278+N279*'RAP TEMPLATE-GAS AVAILABILITY'!P278+O279*'RAP TEMPLATE-GAS AVAILABILITY'!Q278+P279*'RAP TEMPLATE-GAS AVAILABILITY'!R278)/('RAP TEMPLATE-GAS AVAILABILITY'!O278+'RAP TEMPLATE-GAS AVAILABILITY'!P278+'RAP TEMPLATE-GAS AVAILABILITY'!Q278+'RAP TEMPLATE-GAS AVAILABILITY'!R278)</f>
        <v>11.244236690647481</v>
      </c>
    </row>
    <row r="280" spans="1:29" ht="15.75" x14ac:dyDescent="0.25">
      <c r="A280" s="13">
        <v>49400</v>
      </c>
      <c r="B280" s="14">
        <f>CHOOSE(CONTROL!$C$42, 11.269, 11.269) * CHOOSE(CONTROL!$C$21, $C$9, 100%, $E$9)</f>
        <v>11.269</v>
      </c>
      <c r="C280" s="14">
        <f>CHOOSE(CONTROL!$C$42, 11.2733, 11.2733) * CHOOSE(CONTROL!$C$21, $C$9, 100%, $E$9)</f>
        <v>11.273300000000001</v>
      </c>
      <c r="D280" s="14">
        <f>CHOOSE(CONTROL!$C$42, 11.4741, 11.4741) * CHOOSE(CONTROL!$C$21, $C$9, 100%, $E$9)</f>
        <v>11.4741</v>
      </c>
      <c r="E280" s="14">
        <f>CHOOSE(CONTROL!$C$42, 11.5058, 11.5058) * CHOOSE(CONTROL!$C$21, $C$9, 100%, $E$9)</f>
        <v>11.505800000000001</v>
      </c>
      <c r="F280" s="14">
        <f>CHOOSE(CONTROL!$C$42, 11.2535, 11.2535)*CHOOSE(CONTROL!$C$21, $C$9, 100%, $E$9)</f>
        <v>11.253500000000001</v>
      </c>
      <c r="G280" s="14">
        <f>CHOOSE(CONTROL!$C$42, 11.2692, 11.2692)*CHOOSE(CONTROL!$C$21, $C$9, 100%, $E$9)</f>
        <v>11.2692</v>
      </c>
      <c r="H280" s="14">
        <f>CHOOSE(CONTROL!$C$42, 11.4956, 11.4956) * CHOOSE(CONTROL!$C$21, $C$9, 100%, $E$9)</f>
        <v>11.4956</v>
      </c>
      <c r="I280" s="14">
        <f>CHOOSE(CONTROL!$C$42, 11.2817, 11.2817)* CHOOSE(CONTROL!$C$21, $C$9, 100%, $E$9)</f>
        <v>11.281700000000001</v>
      </c>
      <c r="J280" s="14">
        <f>CHOOSE(CONTROL!$C$42, 11.2465, 11.2465)* CHOOSE(CONTROL!$C$21, $C$9, 100%, $E$9)</f>
        <v>11.246499999999999</v>
      </c>
      <c r="K280" s="53">
        <f>CHOOSE(CONTROL!$C$42, 11.2778, 11.2778) * CHOOSE(CONTROL!$C$21, $C$9, 100%, $E$9)</f>
        <v>11.277799999999999</v>
      </c>
      <c r="L280" s="14">
        <f>CHOOSE(CONTROL!$C$42, 12.0826, 12.0826) * CHOOSE(CONTROL!$C$21, $C$9, 100%, $E$9)</f>
        <v>12.082599999999999</v>
      </c>
      <c r="M280" s="14">
        <f>CHOOSE(CONTROL!$C$42, 11.1469, 11.1469) * CHOOSE(CONTROL!$C$21, $C$9, 100%, $E$9)</f>
        <v>11.1469</v>
      </c>
      <c r="N280" s="14">
        <f>CHOOSE(CONTROL!$C$42, 11.1623, 11.1623) * CHOOSE(CONTROL!$C$21, $C$9, 100%, $E$9)</f>
        <v>11.1623</v>
      </c>
      <c r="O280" s="14">
        <f>CHOOSE(CONTROL!$C$42, 11.3934, 11.3934) * CHOOSE(CONTROL!$C$21, $C$9, 100%, $E$9)</f>
        <v>11.3934</v>
      </c>
      <c r="P280" s="14">
        <f>CHOOSE(CONTROL!$C$42, 11.1817, 11.1817) * CHOOSE(CONTROL!$C$21, $C$9, 100%, $E$9)</f>
        <v>11.181699999999999</v>
      </c>
      <c r="Q280" s="14">
        <f>CHOOSE(CONTROL!$C$42, 11.9887, 11.9887) * CHOOSE(CONTROL!$C$21, $C$9, 100%, $E$9)</f>
        <v>11.9887</v>
      </c>
      <c r="R280" s="14">
        <f>CHOOSE(CONTROL!$C$42, 12.6057, 12.6057) * CHOOSE(CONTROL!$C$21, $C$9, 100%, $E$9)</f>
        <v>12.605700000000001</v>
      </c>
      <c r="S280" s="14">
        <f>CHOOSE(CONTROL!$C$42, 10.9404, 10.9404) * CHOOSE(CONTROL!$C$21, $C$9, 100%, $E$9)</f>
        <v>10.9404</v>
      </c>
      <c r="T28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80" s="57">
        <f>(1000*CHOOSE(CONTROL!$C$42, 695, 695)*CHOOSE(CONTROL!$C$42, 0.5599, 0.5599)*CHOOSE(CONTROL!$C$42, 30, 30))/1000000</f>
        <v>11.673914999999997</v>
      </c>
      <c r="V280" s="57">
        <f>(1000*CHOOSE(CONTROL!$C$42, 500, 500)*CHOOSE(CONTROL!$C$42, 0.275, 0.275)*CHOOSE(CONTROL!$C$42, 30, 30))/1000000</f>
        <v>4.125</v>
      </c>
      <c r="W280" s="57">
        <f>(1000*CHOOSE(CONTROL!$C$42, 0.1146, 0.1146)*CHOOSE(CONTROL!$C$42, 121.5, 121.5)*CHOOSE(CONTROL!$C$42, 30, 30))/1000000</f>
        <v>0.417717</v>
      </c>
      <c r="X280" s="57">
        <f>(30*0.1790888*245000/1000000)+(30*0.2374*100000/1000000)</f>
        <v>2.0285026799999999</v>
      </c>
      <c r="Y280" s="57"/>
      <c r="Z280" s="14"/>
      <c r="AA280" s="56"/>
      <c r="AB280" s="50">
        <f>(B280*141.293+C280*267.993+D280*115.016+E280*89.698+F280*40+G280*185+H280*0+I280*100+J280*300)/(141.293+267.993+115.016+89.698+0+40+185+100+300)</f>
        <v>11.301219239628736</v>
      </c>
      <c r="AC280" s="45">
        <f>(M280*'RAP TEMPLATE-GAS AVAILABILITY'!O279+N280*'RAP TEMPLATE-GAS AVAILABILITY'!P279+O280*'RAP TEMPLATE-GAS AVAILABILITY'!Q279+P280*'RAP TEMPLATE-GAS AVAILABILITY'!R279)/('RAP TEMPLATE-GAS AVAILABILITY'!O279+'RAP TEMPLATE-GAS AVAILABILITY'!P279+'RAP TEMPLATE-GAS AVAILABILITY'!Q279+'RAP TEMPLATE-GAS AVAILABILITY'!R279)</f>
        <v>11.224614388489208</v>
      </c>
    </row>
    <row r="281" spans="1:29" ht="15.75" x14ac:dyDescent="0.25">
      <c r="A281" s="13">
        <v>49430</v>
      </c>
      <c r="B281" s="14">
        <f>CHOOSE(CONTROL!$C$42, 11.3698, 11.3698) * CHOOSE(CONTROL!$C$21, $C$9, 100%, $E$9)</f>
        <v>11.3698</v>
      </c>
      <c r="C281" s="14">
        <f>CHOOSE(CONTROL!$C$42, 11.3777, 11.3777) * CHOOSE(CONTROL!$C$21, $C$9, 100%, $E$9)</f>
        <v>11.377700000000001</v>
      </c>
      <c r="D281" s="14">
        <f>CHOOSE(CONTROL!$C$42, 11.5753, 11.5753) * CHOOSE(CONTROL!$C$21, $C$9, 100%, $E$9)</f>
        <v>11.5753</v>
      </c>
      <c r="E281" s="14">
        <f>CHOOSE(CONTROL!$C$42, 11.6064, 11.6064) * CHOOSE(CONTROL!$C$21, $C$9, 100%, $E$9)</f>
        <v>11.606400000000001</v>
      </c>
      <c r="F281" s="14">
        <f>CHOOSE(CONTROL!$C$42, 11.3532, 11.3532)*CHOOSE(CONTROL!$C$21, $C$9, 100%, $E$9)</f>
        <v>11.353199999999999</v>
      </c>
      <c r="G281" s="14">
        <f>CHOOSE(CONTROL!$C$42, 11.3693, 11.3693)*CHOOSE(CONTROL!$C$21, $C$9, 100%, $E$9)</f>
        <v>11.369300000000001</v>
      </c>
      <c r="H281" s="14">
        <f>CHOOSE(CONTROL!$C$42, 11.595, 11.595) * CHOOSE(CONTROL!$C$21, $C$9, 100%, $E$9)</f>
        <v>11.595000000000001</v>
      </c>
      <c r="I281" s="14">
        <f>CHOOSE(CONTROL!$C$42, 11.3811, 11.3811)* CHOOSE(CONTROL!$C$21, $C$9, 100%, $E$9)</f>
        <v>11.3811</v>
      </c>
      <c r="J281" s="14">
        <f>CHOOSE(CONTROL!$C$42, 11.3462, 11.3462)* CHOOSE(CONTROL!$C$21, $C$9, 100%, $E$9)</f>
        <v>11.3462</v>
      </c>
      <c r="K281" s="53">
        <f>CHOOSE(CONTROL!$C$42, 11.3773, 11.3773) * CHOOSE(CONTROL!$C$21, $C$9, 100%, $E$9)</f>
        <v>11.3773</v>
      </c>
      <c r="L281" s="14">
        <f>CHOOSE(CONTROL!$C$42, 12.182, 12.182) * CHOOSE(CONTROL!$C$21, $C$9, 100%, $E$9)</f>
        <v>12.182</v>
      </c>
      <c r="M281" s="14">
        <f>CHOOSE(CONTROL!$C$42, 11.2455, 11.2455) * CHOOSE(CONTROL!$C$21, $C$9, 100%, $E$9)</f>
        <v>11.2455</v>
      </c>
      <c r="N281" s="14">
        <f>CHOOSE(CONTROL!$C$42, 11.2614, 11.2614) * CHOOSE(CONTROL!$C$21, $C$9, 100%, $E$9)</f>
        <v>11.2614</v>
      </c>
      <c r="O281" s="14">
        <f>CHOOSE(CONTROL!$C$42, 11.4919, 11.4919) * CHOOSE(CONTROL!$C$21, $C$9, 100%, $E$9)</f>
        <v>11.491899999999999</v>
      </c>
      <c r="P281" s="14">
        <f>CHOOSE(CONTROL!$C$42, 11.2802, 11.2802) * CHOOSE(CONTROL!$C$21, $C$9, 100%, $E$9)</f>
        <v>11.280200000000001</v>
      </c>
      <c r="Q281" s="14">
        <f>CHOOSE(CONTROL!$C$42, 12.0872, 12.0872) * CHOOSE(CONTROL!$C$21, $C$9, 100%, $E$9)</f>
        <v>12.087199999999999</v>
      </c>
      <c r="R281" s="14">
        <f>CHOOSE(CONTROL!$C$42, 12.7044, 12.7044) * CHOOSE(CONTROL!$C$21, $C$9, 100%, $E$9)</f>
        <v>12.7044</v>
      </c>
      <c r="S281" s="14">
        <f>CHOOSE(CONTROL!$C$42, 11.0369, 11.0369) * CHOOSE(CONTROL!$C$21, $C$9, 100%, $E$9)</f>
        <v>11.036899999999999</v>
      </c>
      <c r="T28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81" s="57">
        <f>(1000*CHOOSE(CONTROL!$C$42, 695, 695)*CHOOSE(CONTROL!$C$42, 0.5599, 0.5599)*CHOOSE(CONTROL!$C$42, 31, 31))/1000000</f>
        <v>12.063045499999998</v>
      </c>
      <c r="V281" s="57">
        <f>(1000*CHOOSE(CONTROL!$C$42, 500, 500)*CHOOSE(CONTROL!$C$42, 0.275, 0.275)*CHOOSE(CONTROL!$C$42, 31, 31))/1000000</f>
        <v>4.2625000000000002</v>
      </c>
      <c r="W281" s="57">
        <f>(1000*CHOOSE(CONTROL!$C$42, 0.1146, 0.1146)*CHOOSE(CONTROL!$C$42, 121.5, 121.5)*CHOOSE(CONTROL!$C$42, 31, 31))/1000000</f>
        <v>0.43164089999999994</v>
      </c>
      <c r="X281" s="57">
        <f>(31*0.1790888*245000/1000000)+(31*0.2374*100000/1000000)</f>
        <v>2.0961194359999999</v>
      </c>
      <c r="Y281" s="57"/>
      <c r="Z281" s="14"/>
      <c r="AA281" s="56"/>
      <c r="AB281" s="50">
        <f>(B281*194.205+C281*267.466+D281*133.845+E281*53.484+F281*40+G281*185+H281*0+I281*100+J281*300)/(194.205+267.466+133.845+53.484+0+40+185+100+300)</f>
        <v>11.397716752982731</v>
      </c>
      <c r="AC281" s="45">
        <f>(M281*'RAP TEMPLATE-GAS AVAILABILITY'!O280+N281*'RAP TEMPLATE-GAS AVAILABILITY'!P280+O281*'RAP TEMPLATE-GAS AVAILABILITY'!Q280+P281*'RAP TEMPLATE-GAS AVAILABILITY'!R280)/('RAP TEMPLATE-GAS AVAILABILITY'!O280+'RAP TEMPLATE-GAS AVAILABILITY'!P280+'RAP TEMPLATE-GAS AVAILABILITY'!Q280+'RAP TEMPLATE-GAS AVAILABILITY'!R280)</f>
        <v>11.323287050359713</v>
      </c>
    </row>
    <row r="282" spans="1:29" ht="15.75" x14ac:dyDescent="0.25">
      <c r="A282" s="34">
        <v>49461</v>
      </c>
      <c r="B282" s="14">
        <f>CHOOSE(CONTROL!$C$42, 11.6921, 11.6921) * CHOOSE(CONTROL!$C$21, $C$9, 100%, $E$9)</f>
        <v>11.6921</v>
      </c>
      <c r="C282" s="14">
        <f>CHOOSE(CONTROL!$C$42, 11.7001, 11.7001) * CHOOSE(CONTROL!$C$21, $C$9, 100%, $E$9)</f>
        <v>11.700100000000001</v>
      </c>
      <c r="D282" s="14">
        <f>CHOOSE(CONTROL!$C$42, 11.8976, 11.8976) * CHOOSE(CONTROL!$C$21, $C$9, 100%, $E$9)</f>
        <v>11.897600000000001</v>
      </c>
      <c r="E282" s="14">
        <f>CHOOSE(CONTROL!$C$42, 11.9288, 11.9288) * CHOOSE(CONTROL!$C$21, $C$9, 100%, $E$9)</f>
        <v>11.928800000000001</v>
      </c>
      <c r="F282" s="14">
        <f>CHOOSE(CONTROL!$C$42, 11.676, 11.676)*CHOOSE(CONTROL!$C$21, $C$9, 100%, $E$9)</f>
        <v>11.676</v>
      </c>
      <c r="G282" s="14">
        <f>CHOOSE(CONTROL!$C$42, 11.6922, 11.6922)*CHOOSE(CONTROL!$C$21, $C$9, 100%, $E$9)</f>
        <v>11.6922</v>
      </c>
      <c r="H282" s="14">
        <f>CHOOSE(CONTROL!$C$42, 11.9174, 11.9174) * CHOOSE(CONTROL!$C$21, $C$9, 100%, $E$9)</f>
        <v>11.917400000000001</v>
      </c>
      <c r="I282" s="14">
        <f>CHOOSE(CONTROL!$C$42, 11.7035, 11.7035)* CHOOSE(CONTROL!$C$21, $C$9, 100%, $E$9)</f>
        <v>11.7035</v>
      </c>
      <c r="J282" s="14">
        <f>CHOOSE(CONTROL!$C$42, 11.669, 11.669)* CHOOSE(CONTROL!$C$21, $C$9, 100%, $E$9)</f>
        <v>11.669</v>
      </c>
      <c r="K282" s="53">
        <f>CHOOSE(CONTROL!$C$42, 11.6996, 11.6996) * CHOOSE(CONTROL!$C$21, $C$9, 100%, $E$9)</f>
        <v>11.6996</v>
      </c>
      <c r="L282" s="14">
        <f>CHOOSE(CONTROL!$C$42, 12.5044, 12.5044) * CHOOSE(CONTROL!$C$21, $C$9, 100%, $E$9)</f>
        <v>12.5044</v>
      </c>
      <c r="M282" s="14">
        <f>CHOOSE(CONTROL!$C$42, 11.565, 11.565) * CHOOSE(CONTROL!$C$21, $C$9, 100%, $E$9)</f>
        <v>11.565</v>
      </c>
      <c r="N282" s="14">
        <f>CHOOSE(CONTROL!$C$42, 11.5811, 11.5811) * CHOOSE(CONTROL!$C$21, $C$9, 100%, $E$9)</f>
        <v>11.581099999999999</v>
      </c>
      <c r="O282" s="14">
        <f>CHOOSE(CONTROL!$C$42, 11.811, 11.811) * CHOOSE(CONTROL!$C$21, $C$9, 100%, $E$9)</f>
        <v>11.811</v>
      </c>
      <c r="P282" s="14">
        <f>CHOOSE(CONTROL!$C$42, 11.5993, 11.5993) * CHOOSE(CONTROL!$C$21, $C$9, 100%, $E$9)</f>
        <v>11.599299999999999</v>
      </c>
      <c r="Q282" s="14">
        <f>CHOOSE(CONTROL!$C$42, 12.4063, 12.4063) * CHOOSE(CONTROL!$C$21, $C$9, 100%, $E$9)</f>
        <v>12.4063</v>
      </c>
      <c r="R282" s="14">
        <f>CHOOSE(CONTROL!$C$42, 13.0243, 13.0243) * CHOOSE(CONTROL!$C$21, $C$9, 100%, $E$9)</f>
        <v>13.0243</v>
      </c>
      <c r="S282" s="14">
        <f>CHOOSE(CONTROL!$C$42, 11.35, 11.35) * CHOOSE(CONTROL!$C$21, $C$9, 100%, $E$9)</f>
        <v>11.35</v>
      </c>
      <c r="T28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82" s="57">
        <f>(1000*CHOOSE(CONTROL!$C$42, 695, 695)*CHOOSE(CONTROL!$C$42, 0.5599, 0.5599)*CHOOSE(CONTROL!$C$42, 30, 30))/1000000</f>
        <v>11.673914999999997</v>
      </c>
      <c r="V282" s="57">
        <f>(1000*CHOOSE(CONTROL!$C$42, 500, 500)*CHOOSE(CONTROL!$C$42, 0.275, 0.275)*CHOOSE(CONTROL!$C$42, 30, 30))/1000000</f>
        <v>4.125</v>
      </c>
      <c r="W282" s="57">
        <f>(1000*CHOOSE(CONTROL!$C$42, 0.1146, 0.1146)*CHOOSE(CONTROL!$C$42, 121.5, 121.5)*CHOOSE(CONTROL!$C$42, 30, 30))/1000000</f>
        <v>0.417717</v>
      </c>
      <c r="X282" s="57">
        <f>(30*0.1790888*245000/1000000)+(30*0.2374*100000/1000000)</f>
        <v>2.0285026799999999</v>
      </c>
      <c r="Y282" s="57"/>
      <c r="Z282" s="14"/>
      <c r="AA282" s="56"/>
      <c r="AB282" s="50">
        <f>(B282*194.205+C282*267.466+D282*133.845+E282*53.484+F282*40+G282*185+H282*0+I282*100+J282*300)/(194.205+267.466+133.845+53.484+0+40+185+100+300)</f>
        <v>11.720270359733126</v>
      </c>
      <c r="AC282" s="45">
        <f>(M282*'RAP TEMPLATE-GAS AVAILABILITY'!O281+N282*'RAP TEMPLATE-GAS AVAILABILITY'!P281+O282*'RAP TEMPLATE-GAS AVAILABILITY'!Q281+P282*'RAP TEMPLATE-GAS AVAILABILITY'!R281)/('RAP TEMPLATE-GAS AVAILABILITY'!O281+'RAP TEMPLATE-GAS AVAILABILITY'!P281+'RAP TEMPLATE-GAS AVAILABILITY'!Q281+'RAP TEMPLATE-GAS AVAILABILITY'!R281)</f>
        <v>11.642663309352518</v>
      </c>
    </row>
    <row r="283" spans="1:29" ht="15.75" x14ac:dyDescent="0.25">
      <c r="A283" s="34">
        <v>49491</v>
      </c>
      <c r="B283" s="14">
        <f>CHOOSE(CONTROL!$C$42, 11.4679, 11.4679) * CHOOSE(CONTROL!$C$21, $C$9, 100%, $E$9)</f>
        <v>11.4679</v>
      </c>
      <c r="C283" s="14">
        <f>CHOOSE(CONTROL!$C$42, 11.4759, 11.4759) * CHOOSE(CONTROL!$C$21, $C$9, 100%, $E$9)</f>
        <v>11.475899999999999</v>
      </c>
      <c r="D283" s="14">
        <f>CHOOSE(CONTROL!$C$42, 11.6734, 11.6734) * CHOOSE(CONTROL!$C$21, $C$9, 100%, $E$9)</f>
        <v>11.673400000000001</v>
      </c>
      <c r="E283" s="14">
        <f>CHOOSE(CONTROL!$C$42, 11.7046, 11.7046) * CHOOSE(CONTROL!$C$21, $C$9, 100%, $E$9)</f>
        <v>11.704599999999999</v>
      </c>
      <c r="F283" s="14">
        <f>CHOOSE(CONTROL!$C$42, 11.4522, 11.4522)*CHOOSE(CONTROL!$C$21, $C$9, 100%, $E$9)</f>
        <v>11.452199999999999</v>
      </c>
      <c r="G283" s="14">
        <f>CHOOSE(CONTROL!$C$42, 11.4685, 11.4685)*CHOOSE(CONTROL!$C$21, $C$9, 100%, $E$9)</f>
        <v>11.468500000000001</v>
      </c>
      <c r="H283" s="14">
        <f>CHOOSE(CONTROL!$C$42, 11.6932, 11.6932) * CHOOSE(CONTROL!$C$21, $C$9, 100%, $E$9)</f>
        <v>11.693199999999999</v>
      </c>
      <c r="I283" s="14">
        <f>CHOOSE(CONTROL!$C$42, 11.4793, 11.4793)* CHOOSE(CONTROL!$C$21, $C$9, 100%, $E$9)</f>
        <v>11.4793</v>
      </c>
      <c r="J283" s="14">
        <f>CHOOSE(CONTROL!$C$42, 11.4452, 11.4452)* CHOOSE(CONTROL!$C$21, $C$9, 100%, $E$9)</f>
        <v>11.4452</v>
      </c>
      <c r="K283" s="53">
        <f>CHOOSE(CONTROL!$C$42, 11.4754, 11.4754) * CHOOSE(CONTROL!$C$21, $C$9, 100%, $E$9)</f>
        <v>11.4754</v>
      </c>
      <c r="L283" s="14">
        <f>CHOOSE(CONTROL!$C$42, 12.2802, 12.2802) * CHOOSE(CONTROL!$C$21, $C$9, 100%, $E$9)</f>
        <v>12.280200000000001</v>
      </c>
      <c r="M283" s="14">
        <f>CHOOSE(CONTROL!$C$42, 11.3435, 11.3435) * CHOOSE(CONTROL!$C$21, $C$9, 100%, $E$9)</f>
        <v>11.343500000000001</v>
      </c>
      <c r="N283" s="14">
        <f>CHOOSE(CONTROL!$C$42, 11.3597, 11.3597) * CHOOSE(CONTROL!$C$21, $C$9, 100%, $E$9)</f>
        <v>11.3597</v>
      </c>
      <c r="O283" s="14">
        <f>CHOOSE(CONTROL!$C$42, 11.589, 11.589) * CHOOSE(CONTROL!$C$21, $C$9, 100%, $E$9)</f>
        <v>11.589</v>
      </c>
      <c r="P283" s="14">
        <f>CHOOSE(CONTROL!$C$42, 11.3773, 11.3773) * CHOOSE(CONTROL!$C$21, $C$9, 100%, $E$9)</f>
        <v>11.3773</v>
      </c>
      <c r="Q283" s="14">
        <f>CHOOSE(CONTROL!$C$42, 12.1843, 12.1843) * CHOOSE(CONTROL!$C$21, $C$9, 100%, $E$9)</f>
        <v>12.1843</v>
      </c>
      <c r="R283" s="14">
        <f>CHOOSE(CONTROL!$C$42, 12.8018, 12.8018) * CHOOSE(CONTROL!$C$21, $C$9, 100%, $E$9)</f>
        <v>12.8018</v>
      </c>
      <c r="S283" s="14">
        <f>CHOOSE(CONTROL!$C$42, 11.1323, 11.1323) * CHOOSE(CONTROL!$C$21, $C$9, 100%, $E$9)</f>
        <v>11.132300000000001</v>
      </c>
      <c r="T28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83" s="57">
        <f>(1000*CHOOSE(CONTROL!$C$42, 695, 695)*CHOOSE(CONTROL!$C$42, 0.5599, 0.5599)*CHOOSE(CONTROL!$C$42, 31, 31))/1000000</f>
        <v>12.063045499999998</v>
      </c>
      <c r="V283" s="57">
        <f>(1000*CHOOSE(CONTROL!$C$42, 500, 500)*CHOOSE(CONTROL!$C$42, 0.275, 0.275)*CHOOSE(CONTROL!$C$42, 31, 31))/1000000</f>
        <v>4.2625000000000002</v>
      </c>
      <c r="W283" s="57">
        <f>(1000*CHOOSE(CONTROL!$C$42, 0.1146, 0.1146)*CHOOSE(CONTROL!$C$42, 121.5, 121.5)*CHOOSE(CONTROL!$C$42, 31, 31))/1000000</f>
        <v>0.43164089999999994</v>
      </c>
      <c r="X283" s="57">
        <f>(31*0.1790888*245000/1000000)+(31*0.2374*100000/1000000)</f>
        <v>2.0961194359999999</v>
      </c>
      <c r="Y283" s="57"/>
      <c r="Z283" s="14"/>
      <c r="AA283" s="56"/>
      <c r="AB283" s="50">
        <f>(B283*194.205+C283*267.466+D283*133.845+E283*53.484+F283*40+G283*185+H283*0+I283*100+J283*300)/(194.205+267.466+133.845+53.484+0+40+185+100+300)</f>
        <v>11.496249716091052</v>
      </c>
      <c r="AC283" s="45">
        <f>(M283*'RAP TEMPLATE-GAS AVAILABILITY'!O282+N283*'RAP TEMPLATE-GAS AVAILABILITY'!P282+O283*'RAP TEMPLATE-GAS AVAILABILITY'!Q282+P283*'RAP TEMPLATE-GAS AVAILABILITY'!R282)/('RAP TEMPLATE-GAS AVAILABILITY'!O282+'RAP TEMPLATE-GAS AVAILABILITY'!P282+'RAP TEMPLATE-GAS AVAILABILITY'!Q282+'RAP TEMPLATE-GAS AVAILABILITY'!R282)</f>
        <v>11.420974100719423</v>
      </c>
    </row>
    <row r="284" spans="1:29" ht="15.75" x14ac:dyDescent="0.25">
      <c r="A284" s="34">
        <v>49522</v>
      </c>
      <c r="B284" s="14">
        <f>CHOOSE(CONTROL!$C$42, 10.9017, 10.9017) * CHOOSE(CONTROL!$C$21, $C$9, 100%, $E$9)</f>
        <v>10.9017</v>
      </c>
      <c r="C284" s="14">
        <f>CHOOSE(CONTROL!$C$42, 10.9097, 10.9097) * CHOOSE(CONTROL!$C$21, $C$9, 100%, $E$9)</f>
        <v>10.909700000000001</v>
      </c>
      <c r="D284" s="14">
        <f>CHOOSE(CONTROL!$C$42, 11.1072, 11.1072) * CHOOSE(CONTROL!$C$21, $C$9, 100%, $E$9)</f>
        <v>11.107200000000001</v>
      </c>
      <c r="E284" s="14">
        <f>CHOOSE(CONTROL!$C$42, 11.1384, 11.1384) * CHOOSE(CONTROL!$C$21, $C$9, 100%, $E$9)</f>
        <v>11.138400000000001</v>
      </c>
      <c r="F284" s="14">
        <f>CHOOSE(CONTROL!$C$42, 10.8862, 10.8862)*CHOOSE(CONTROL!$C$21, $C$9, 100%, $E$9)</f>
        <v>10.886200000000001</v>
      </c>
      <c r="G284" s="14">
        <f>CHOOSE(CONTROL!$C$42, 10.9025, 10.9025)*CHOOSE(CONTROL!$C$21, $C$9, 100%, $E$9)</f>
        <v>10.9025</v>
      </c>
      <c r="H284" s="14">
        <f>CHOOSE(CONTROL!$C$42, 11.127, 11.127) * CHOOSE(CONTROL!$C$21, $C$9, 100%, $E$9)</f>
        <v>11.127000000000001</v>
      </c>
      <c r="I284" s="14">
        <f>CHOOSE(CONTROL!$C$42, 10.9131, 10.9131)* CHOOSE(CONTROL!$C$21, $C$9, 100%, $E$9)</f>
        <v>10.9131</v>
      </c>
      <c r="J284" s="14">
        <f>CHOOSE(CONTROL!$C$42, 10.8792, 10.8792)* CHOOSE(CONTROL!$C$21, $C$9, 100%, $E$9)</f>
        <v>10.879200000000001</v>
      </c>
      <c r="K284" s="53">
        <f>CHOOSE(CONTROL!$C$42, 10.9092, 10.9092) * CHOOSE(CONTROL!$C$21, $C$9, 100%, $E$9)</f>
        <v>10.9092</v>
      </c>
      <c r="L284" s="14">
        <f>CHOOSE(CONTROL!$C$42, 11.714, 11.714) * CHOOSE(CONTROL!$C$21, $C$9, 100%, $E$9)</f>
        <v>11.714</v>
      </c>
      <c r="M284" s="14">
        <f>CHOOSE(CONTROL!$C$42, 10.7832, 10.7832) * CHOOSE(CONTROL!$C$21, $C$9, 100%, $E$9)</f>
        <v>10.783200000000001</v>
      </c>
      <c r="N284" s="14">
        <f>CHOOSE(CONTROL!$C$42, 10.7994, 10.7994) * CHOOSE(CONTROL!$C$21, $C$9, 100%, $E$9)</f>
        <v>10.7994</v>
      </c>
      <c r="O284" s="14">
        <f>CHOOSE(CONTROL!$C$42, 11.0286, 11.0286) * CHOOSE(CONTROL!$C$21, $C$9, 100%, $E$9)</f>
        <v>11.028600000000001</v>
      </c>
      <c r="P284" s="14">
        <f>CHOOSE(CONTROL!$C$42, 10.8168, 10.8168) * CHOOSE(CONTROL!$C$21, $C$9, 100%, $E$9)</f>
        <v>10.816800000000001</v>
      </c>
      <c r="Q284" s="14">
        <f>CHOOSE(CONTROL!$C$42, 11.6239, 11.6239) * CHOOSE(CONTROL!$C$21, $C$9, 100%, $E$9)</f>
        <v>11.623900000000001</v>
      </c>
      <c r="R284" s="14">
        <f>CHOOSE(CONTROL!$C$42, 12.2399, 12.2399) * CHOOSE(CONTROL!$C$21, $C$9, 100%, $E$9)</f>
        <v>12.2399</v>
      </c>
      <c r="S284" s="14">
        <f>CHOOSE(CONTROL!$C$42, 10.5824, 10.5824) * CHOOSE(CONTROL!$C$21, $C$9, 100%, $E$9)</f>
        <v>10.5824</v>
      </c>
      <c r="T28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84" s="57">
        <f>(1000*CHOOSE(CONTROL!$C$42, 695, 695)*CHOOSE(CONTROL!$C$42, 0.5599, 0.5599)*CHOOSE(CONTROL!$C$42, 31, 31))/1000000</f>
        <v>12.063045499999998</v>
      </c>
      <c r="V284" s="57">
        <f>(1000*CHOOSE(CONTROL!$C$42, 500, 500)*CHOOSE(CONTROL!$C$42, 0.275, 0.275)*CHOOSE(CONTROL!$C$42, 31, 31))/1000000</f>
        <v>4.2625000000000002</v>
      </c>
      <c r="W284" s="57">
        <f>(1000*CHOOSE(CONTROL!$C$42, 0.1146, 0.1146)*CHOOSE(CONTROL!$C$42, 121.5, 121.5)*CHOOSE(CONTROL!$C$42, 31, 31))/1000000</f>
        <v>0.43164089999999994</v>
      </c>
      <c r="X284" s="57">
        <f>(31*0.1790888*245000/1000000)+(31*0.2374*100000/1000000)</f>
        <v>2.0961194359999999</v>
      </c>
      <c r="Y284" s="57"/>
      <c r="Z284" s="14"/>
      <c r="AA284" s="56"/>
      <c r="AB284" s="50">
        <f>(B284*194.205+C284*267.466+D284*133.845+E284*53.484+F284*40+G284*185+H284*0+I284*100+J284*300)/(194.205+267.466+133.845+53.484+0+40+185+100+300)</f>
        <v>10.930132133673471</v>
      </c>
      <c r="AC284" s="45">
        <f>(M284*'RAP TEMPLATE-GAS AVAILABILITY'!O283+N284*'RAP TEMPLATE-GAS AVAILABILITY'!P283+O284*'RAP TEMPLATE-GAS AVAILABILITY'!Q283+P284*'RAP TEMPLATE-GAS AVAILABILITY'!R283)/('RAP TEMPLATE-GAS AVAILABILITY'!O283+'RAP TEMPLATE-GAS AVAILABILITY'!P283+'RAP TEMPLATE-GAS AVAILABILITY'!Q283+'RAP TEMPLATE-GAS AVAILABILITY'!R283)</f>
        <v>10.860617266187052</v>
      </c>
    </row>
    <row r="285" spans="1:29" ht="15.75" x14ac:dyDescent="0.25">
      <c r="A285" s="34">
        <v>49553</v>
      </c>
      <c r="B285" s="14">
        <f>CHOOSE(CONTROL!$C$42, 10.2096, 10.2096) * CHOOSE(CONTROL!$C$21, $C$9, 100%, $E$9)</f>
        <v>10.2096</v>
      </c>
      <c r="C285" s="14">
        <f>CHOOSE(CONTROL!$C$42, 10.2175, 10.2175) * CHOOSE(CONTROL!$C$21, $C$9, 100%, $E$9)</f>
        <v>10.217499999999999</v>
      </c>
      <c r="D285" s="14">
        <f>CHOOSE(CONTROL!$C$42, 10.4151, 10.4151) * CHOOSE(CONTROL!$C$21, $C$9, 100%, $E$9)</f>
        <v>10.415100000000001</v>
      </c>
      <c r="E285" s="14">
        <f>CHOOSE(CONTROL!$C$42, 10.4462, 10.4462) * CHOOSE(CONTROL!$C$21, $C$9, 100%, $E$9)</f>
        <v>10.446199999999999</v>
      </c>
      <c r="F285" s="14">
        <f>CHOOSE(CONTROL!$C$42, 10.194, 10.194)*CHOOSE(CONTROL!$C$21, $C$9, 100%, $E$9)</f>
        <v>10.194000000000001</v>
      </c>
      <c r="G285" s="14">
        <f>CHOOSE(CONTROL!$C$42, 10.2103, 10.2103)*CHOOSE(CONTROL!$C$21, $C$9, 100%, $E$9)</f>
        <v>10.2103</v>
      </c>
      <c r="H285" s="14">
        <f>CHOOSE(CONTROL!$C$42, 10.4349, 10.4349) * CHOOSE(CONTROL!$C$21, $C$9, 100%, $E$9)</f>
        <v>10.434900000000001</v>
      </c>
      <c r="I285" s="14">
        <f>CHOOSE(CONTROL!$C$42, 10.2209, 10.2209)* CHOOSE(CONTROL!$C$21, $C$9, 100%, $E$9)</f>
        <v>10.2209</v>
      </c>
      <c r="J285" s="14">
        <f>CHOOSE(CONTROL!$C$42, 10.187, 10.187)* CHOOSE(CONTROL!$C$21, $C$9, 100%, $E$9)</f>
        <v>10.186999999999999</v>
      </c>
      <c r="K285" s="53">
        <f>CHOOSE(CONTROL!$C$42, 10.2171, 10.2171) * CHOOSE(CONTROL!$C$21, $C$9, 100%, $E$9)</f>
        <v>10.2171</v>
      </c>
      <c r="L285" s="14">
        <f>CHOOSE(CONTROL!$C$42, 11.0219, 11.0219) * CHOOSE(CONTROL!$C$21, $C$9, 100%, $E$9)</f>
        <v>11.0219</v>
      </c>
      <c r="M285" s="14">
        <f>CHOOSE(CONTROL!$C$42, 10.098, 10.098) * CHOOSE(CONTROL!$C$21, $C$9, 100%, $E$9)</f>
        <v>10.098000000000001</v>
      </c>
      <c r="N285" s="14">
        <f>CHOOSE(CONTROL!$C$42, 10.1142, 10.1142) * CHOOSE(CONTROL!$C$21, $C$9, 100%, $E$9)</f>
        <v>10.1142</v>
      </c>
      <c r="O285" s="14">
        <f>CHOOSE(CONTROL!$C$42, 10.3434, 10.3434) * CHOOSE(CONTROL!$C$21, $C$9, 100%, $E$9)</f>
        <v>10.343400000000001</v>
      </c>
      <c r="P285" s="14">
        <f>CHOOSE(CONTROL!$C$42, 10.1317, 10.1317) * CHOOSE(CONTROL!$C$21, $C$9, 100%, $E$9)</f>
        <v>10.1317</v>
      </c>
      <c r="Q285" s="14">
        <f>CHOOSE(CONTROL!$C$42, 10.9387, 10.9387) * CHOOSE(CONTROL!$C$21, $C$9, 100%, $E$9)</f>
        <v>10.938700000000001</v>
      </c>
      <c r="R285" s="14">
        <f>CHOOSE(CONTROL!$C$42, 11.553, 11.553) * CHOOSE(CONTROL!$C$21, $C$9, 100%, $E$9)</f>
        <v>11.553000000000001</v>
      </c>
      <c r="S285" s="14">
        <f>CHOOSE(CONTROL!$C$42, 9.9103, 9.9103) * CHOOSE(CONTROL!$C$21, $C$9, 100%, $E$9)</f>
        <v>9.9102999999999994</v>
      </c>
      <c r="T28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85" s="57">
        <f>(1000*CHOOSE(CONTROL!$C$42, 695, 695)*CHOOSE(CONTROL!$C$42, 0.5599, 0.5599)*CHOOSE(CONTROL!$C$42, 30, 30))/1000000</f>
        <v>11.673914999999997</v>
      </c>
      <c r="V285" s="57">
        <f>(1000*CHOOSE(CONTROL!$C$42, 500, 500)*CHOOSE(CONTROL!$C$42, 0.275, 0.275)*CHOOSE(CONTROL!$C$42, 30, 30))/1000000</f>
        <v>4.125</v>
      </c>
      <c r="W285" s="57">
        <f>(1000*CHOOSE(CONTROL!$C$42, 0.1146, 0.1146)*CHOOSE(CONTROL!$C$42, 121.5, 121.5)*CHOOSE(CONTROL!$C$42, 30, 30))/1000000</f>
        <v>0.417717</v>
      </c>
      <c r="X285" s="57">
        <f>(30*0.1790888*245000/1000000)+(30*0.2374*100000/1000000)</f>
        <v>2.0285026799999999</v>
      </c>
      <c r="Y285" s="57"/>
      <c r="Z285" s="14"/>
      <c r="AA285" s="56"/>
      <c r="AB285" s="50">
        <f>(B285*194.205+C285*267.466+D285*133.845+E285*53.484+F285*40+G285*185+H285*0+I285*100+J285*300)/(194.205+267.466+133.845+53.484+0+40+185+100+300)</f>
        <v>10.237957883281005</v>
      </c>
      <c r="AC285" s="45">
        <f>(M285*'RAP TEMPLATE-GAS AVAILABILITY'!O284+N285*'RAP TEMPLATE-GAS AVAILABILITY'!P284+O285*'RAP TEMPLATE-GAS AVAILABILITY'!Q284+P285*'RAP TEMPLATE-GAS AVAILABILITY'!R284)/('RAP TEMPLATE-GAS AVAILABILITY'!O284+'RAP TEMPLATE-GAS AVAILABILITY'!P284+'RAP TEMPLATE-GAS AVAILABILITY'!Q284+'RAP TEMPLATE-GAS AVAILABILITY'!R284)</f>
        <v>10.17543165467626</v>
      </c>
    </row>
    <row r="286" spans="1:29" ht="15.75" x14ac:dyDescent="0.25">
      <c r="A286" s="34">
        <v>49583</v>
      </c>
      <c r="B286" s="14">
        <f>CHOOSE(CONTROL!$C$42, 10.0006, 10.0006) * CHOOSE(CONTROL!$C$21, $C$9, 100%, $E$9)</f>
        <v>10.0006</v>
      </c>
      <c r="C286" s="14">
        <f>CHOOSE(CONTROL!$C$42, 10.0058, 10.0058) * CHOOSE(CONTROL!$C$21, $C$9, 100%, $E$9)</f>
        <v>10.005800000000001</v>
      </c>
      <c r="D286" s="14">
        <f>CHOOSE(CONTROL!$C$42, 10.2084, 10.2084) * CHOOSE(CONTROL!$C$21, $C$9, 100%, $E$9)</f>
        <v>10.208399999999999</v>
      </c>
      <c r="E286" s="14">
        <f>CHOOSE(CONTROL!$C$42, 10.2372, 10.2372) * CHOOSE(CONTROL!$C$21, $C$9, 100%, $E$9)</f>
        <v>10.2372</v>
      </c>
      <c r="F286" s="14">
        <f>CHOOSE(CONTROL!$C$42, 9.987, 9.987)*CHOOSE(CONTROL!$C$21, $C$9, 100%, $E$9)</f>
        <v>9.9870000000000001</v>
      </c>
      <c r="G286" s="14">
        <f>CHOOSE(CONTROL!$C$42, 10.003, 10.003)*CHOOSE(CONTROL!$C$21, $C$9, 100%, $E$9)</f>
        <v>10.003</v>
      </c>
      <c r="H286" s="14">
        <f>CHOOSE(CONTROL!$C$42, 10.2277, 10.2277) * CHOOSE(CONTROL!$C$21, $C$9, 100%, $E$9)</f>
        <v>10.2277</v>
      </c>
      <c r="I286" s="14">
        <f>CHOOSE(CONTROL!$C$42, 10.0138, 10.0138)* CHOOSE(CONTROL!$C$21, $C$9, 100%, $E$9)</f>
        <v>10.0138</v>
      </c>
      <c r="J286" s="14">
        <f>CHOOSE(CONTROL!$C$42, 9.98, 9.98)* CHOOSE(CONTROL!$C$21, $C$9, 100%, $E$9)</f>
        <v>9.98</v>
      </c>
      <c r="K286" s="53">
        <f>CHOOSE(CONTROL!$C$42, 10.0099, 10.0099) * CHOOSE(CONTROL!$C$21, $C$9, 100%, $E$9)</f>
        <v>10.0099</v>
      </c>
      <c r="L286" s="14">
        <f>CHOOSE(CONTROL!$C$42, 10.8147, 10.8147) * CHOOSE(CONTROL!$C$21, $C$9, 100%, $E$9)</f>
        <v>10.8147</v>
      </c>
      <c r="M286" s="14">
        <f>CHOOSE(CONTROL!$C$42, 9.8931, 9.8931) * CHOOSE(CONTROL!$C$21, $C$9, 100%, $E$9)</f>
        <v>9.8931000000000004</v>
      </c>
      <c r="N286" s="14">
        <f>CHOOSE(CONTROL!$C$42, 9.909, 9.909) * CHOOSE(CONTROL!$C$21, $C$9, 100%, $E$9)</f>
        <v>9.9090000000000007</v>
      </c>
      <c r="O286" s="14">
        <f>CHOOSE(CONTROL!$C$42, 10.1383, 10.1383) * CHOOSE(CONTROL!$C$21, $C$9, 100%, $E$9)</f>
        <v>10.138299999999999</v>
      </c>
      <c r="P286" s="14">
        <f>CHOOSE(CONTROL!$C$42, 9.9266, 9.9266) * CHOOSE(CONTROL!$C$21, $C$9, 100%, $E$9)</f>
        <v>9.9266000000000005</v>
      </c>
      <c r="Q286" s="14">
        <f>CHOOSE(CONTROL!$C$42, 10.7336, 10.7336) * CHOOSE(CONTROL!$C$21, $C$9, 100%, $E$9)</f>
        <v>10.733599999999999</v>
      </c>
      <c r="R286" s="14">
        <f>CHOOSE(CONTROL!$C$42, 11.3474, 11.3474) * CHOOSE(CONTROL!$C$21, $C$9, 100%, $E$9)</f>
        <v>11.3474</v>
      </c>
      <c r="S286" s="14">
        <f>CHOOSE(CONTROL!$C$42, 9.7091, 9.7091) * CHOOSE(CONTROL!$C$21, $C$9, 100%, $E$9)</f>
        <v>9.7090999999999994</v>
      </c>
      <c r="T28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86" s="57">
        <f>(1000*CHOOSE(CONTROL!$C$42, 695, 695)*CHOOSE(CONTROL!$C$42, 0.5599, 0.5599)*CHOOSE(CONTROL!$C$42, 31, 31))/1000000</f>
        <v>12.063045499999998</v>
      </c>
      <c r="V286" s="57">
        <f>(1000*CHOOSE(CONTROL!$C$42, 500, 500)*CHOOSE(CONTROL!$C$42, 0.275, 0.275)*CHOOSE(CONTROL!$C$42, 31, 31))/1000000</f>
        <v>4.2625000000000002</v>
      </c>
      <c r="W286" s="57">
        <f>(1000*CHOOSE(CONTROL!$C$42, 0.1146, 0.1146)*CHOOSE(CONTROL!$C$42, 121.5, 121.5)*CHOOSE(CONTROL!$C$42, 31, 31))/1000000</f>
        <v>0.43164089999999994</v>
      </c>
      <c r="X286" s="57">
        <f>(31*0.1790888*245000/1000000)+(31*0.2374*100000/1000000)</f>
        <v>2.0961194359999999</v>
      </c>
      <c r="Y286" s="57"/>
      <c r="Z286" s="14"/>
      <c r="AA286" s="56"/>
      <c r="AB286" s="50">
        <f>(B286*131.881+C286*277.167+D286*79.08+E286*125.872+F286*40+G286*185+H286*0+I286*100+J286*300)/(131.881+277.167+79.08+125.872+0+40+185+100+300)</f>
        <v>10.035059570298628</v>
      </c>
      <c r="AC286" s="45">
        <f>(M286*'RAP TEMPLATE-GAS AVAILABILITY'!O285+N286*'RAP TEMPLATE-GAS AVAILABILITY'!P285+O286*'RAP TEMPLATE-GAS AVAILABILITY'!Q285+P286*'RAP TEMPLATE-GAS AVAILABILITY'!R285)/('RAP TEMPLATE-GAS AVAILABILITY'!O285+'RAP TEMPLATE-GAS AVAILABILITY'!P285+'RAP TEMPLATE-GAS AVAILABILITY'!Q285+'RAP TEMPLATE-GAS AVAILABILITY'!R285)</f>
        <v>9.9703776978417267</v>
      </c>
    </row>
    <row r="287" spans="1:29" ht="15.75" x14ac:dyDescent="0.25">
      <c r="A287" s="34">
        <v>49614</v>
      </c>
      <c r="B287" s="14">
        <f>CHOOSE(CONTROL!$C$42, 10.2636, 10.2636) * CHOOSE(CONTROL!$C$21, $C$9, 100%, $E$9)</f>
        <v>10.2636</v>
      </c>
      <c r="C287" s="14">
        <f>CHOOSE(CONTROL!$C$42, 10.2685, 10.2685) * CHOOSE(CONTROL!$C$21, $C$9, 100%, $E$9)</f>
        <v>10.2685</v>
      </c>
      <c r="D287" s="14">
        <f>CHOOSE(CONTROL!$C$42, 10.3316, 10.3316) * CHOOSE(CONTROL!$C$21, $C$9, 100%, $E$9)</f>
        <v>10.3316</v>
      </c>
      <c r="E287" s="14">
        <f>CHOOSE(CONTROL!$C$42, 10.3654, 10.3654) * CHOOSE(CONTROL!$C$21, $C$9, 100%, $E$9)</f>
        <v>10.365399999999999</v>
      </c>
      <c r="F287" s="14">
        <f>CHOOSE(CONTROL!$C$42, 10.2643, 10.2643)*CHOOSE(CONTROL!$C$21, $C$9, 100%, $E$9)</f>
        <v>10.2643</v>
      </c>
      <c r="G287" s="14">
        <f>CHOOSE(CONTROL!$C$42, 10.2806, 10.2806)*CHOOSE(CONTROL!$C$21, $C$9, 100%, $E$9)</f>
        <v>10.2806</v>
      </c>
      <c r="H287" s="14">
        <f>CHOOSE(CONTROL!$C$42, 10.3546, 10.3546) * CHOOSE(CONTROL!$C$21, $C$9, 100%, $E$9)</f>
        <v>10.3546</v>
      </c>
      <c r="I287" s="14">
        <f>CHOOSE(CONTROL!$C$42, 10.2771, 10.2771)* CHOOSE(CONTROL!$C$21, $C$9, 100%, $E$9)</f>
        <v>10.277100000000001</v>
      </c>
      <c r="J287" s="14">
        <f>CHOOSE(CONTROL!$C$42, 10.2573, 10.2573)* CHOOSE(CONTROL!$C$21, $C$9, 100%, $E$9)</f>
        <v>10.257300000000001</v>
      </c>
      <c r="K287" s="53">
        <f>CHOOSE(CONTROL!$C$42, 10.2732, 10.2732) * CHOOSE(CONTROL!$C$21, $C$9, 100%, $E$9)</f>
        <v>10.273199999999999</v>
      </c>
      <c r="L287" s="14">
        <f>CHOOSE(CONTROL!$C$42, 10.9416, 10.9416) * CHOOSE(CONTROL!$C$21, $C$9, 100%, $E$9)</f>
        <v>10.941599999999999</v>
      </c>
      <c r="M287" s="14">
        <f>CHOOSE(CONTROL!$C$42, 10.1676, 10.1676) * CHOOSE(CONTROL!$C$21, $C$9, 100%, $E$9)</f>
        <v>10.1676</v>
      </c>
      <c r="N287" s="14">
        <f>CHOOSE(CONTROL!$C$42, 10.1837, 10.1837) * CHOOSE(CONTROL!$C$21, $C$9, 100%, $E$9)</f>
        <v>10.1837</v>
      </c>
      <c r="O287" s="14">
        <f>CHOOSE(CONTROL!$C$42, 10.2639, 10.2639) * CHOOSE(CONTROL!$C$21, $C$9, 100%, $E$9)</f>
        <v>10.2639</v>
      </c>
      <c r="P287" s="14">
        <f>CHOOSE(CONTROL!$C$42, 10.1873, 10.1873) * CHOOSE(CONTROL!$C$21, $C$9, 100%, $E$9)</f>
        <v>10.1873</v>
      </c>
      <c r="Q287" s="14">
        <f>CHOOSE(CONTROL!$C$42, 10.8592, 10.8592) * CHOOSE(CONTROL!$C$21, $C$9, 100%, $E$9)</f>
        <v>10.8592</v>
      </c>
      <c r="R287" s="14">
        <f>CHOOSE(CONTROL!$C$42, 11.4734, 11.4734) * CHOOSE(CONTROL!$C$21, $C$9, 100%, $E$9)</f>
        <v>11.4734</v>
      </c>
      <c r="S287" s="14">
        <f>CHOOSE(CONTROL!$C$42, 9.9648, 9.9648) * CHOOSE(CONTROL!$C$21, $C$9, 100%, $E$9)</f>
        <v>9.9648000000000003</v>
      </c>
      <c r="T28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87" s="57">
        <f>(1000*CHOOSE(CONTROL!$C$42, 695, 695)*CHOOSE(CONTROL!$C$42, 0.5599, 0.5599)*CHOOSE(CONTROL!$C$42, 30, 30))/1000000</f>
        <v>11.673914999999997</v>
      </c>
      <c r="V287" s="57">
        <f>(1000*CHOOSE(CONTROL!$C$42, 500, 500)*CHOOSE(CONTROL!$C$42, 0.275, 0.275)*CHOOSE(CONTROL!$C$42, 30, 30))/1000000</f>
        <v>4.125</v>
      </c>
      <c r="W287" s="57">
        <f>(1000*CHOOSE(CONTROL!$C$42, 0.1146, 0.1146)*CHOOSE(CONTROL!$C$42, 121.5, 121.5)*CHOOSE(CONTROL!$C$42, 30, 30))/1000000</f>
        <v>0.417717</v>
      </c>
      <c r="X287" s="57">
        <f>(30*0.1790888*100000/1000000)+(30*0.2374*100000/1000000)</f>
        <v>1.2494664</v>
      </c>
      <c r="Y287" s="57"/>
      <c r="Z287" s="14"/>
      <c r="AA287" s="56"/>
      <c r="AB287" s="50">
        <f>(B287*122.58+C287*297.941+D287*89.177+E287*40.302+F287*40+G287*160+H287*0+I287*100+J287*300)/(122.58+297.941+89.177+40.302+0+40+160+100+300)</f>
        <v>10.275630165652174</v>
      </c>
      <c r="AC287" s="45">
        <f>(M287*'RAP TEMPLATE-GAS AVAILABILITY'!O286+N287*'RAP TEMPLATE-GAS AVAILABILITY'!P286+O287*'RAP TEMPLATE-GAS AVAILABILITY'!Q286+P287*'RAP TEMPLATE-GAS AVAILABILITY'!R286)/('RAP TEMPLATE-GAS AVAILABILITY'!O286+'RAP TEMPLATE-GAS AVAILABILITY'!P286+'RAP TEMPLATE-GAS AVAILABILITY'!Q286+'RAP TEMPLATE-GAS AVAILABILITY'!R286)</f>
        <v>10.215007913669066</v>
      </c>
    </row>
    <row r="288" spans="1:29" ht="15.75" x14ac:dyDescent="0.25">
      <c r="A288" s="34">
        <v>49644</v>
      </c>
      <c r="B288" s="14">
        <f>CHOOSE(CONTROL!$C$42, 10.9631, 10.9631) * CHOOSE(CONTROL!$C$21, $C$9, 100%, $E$9)</f>
        <v>10.963100000000001</v>
      </c>
      <c r="C288" s="14">
        <f>CHOOSE(CONTROL!$C$42, 10.9681, 10.9681) * CHOOSE(CONTROL!$C$21, $C$9, 100%, $E$9)</f>
        <v>10.9681</v>
      </c>
      <c r="D288" s="14">
        <f>CHOOSE(CONTROL!$C$42, 11.0312, 11.0312) * CHOOSE(CONTROL!$C$21, $C$9, 100%, $E$9)</f>
        <v>11.0312</v>
      </c>
      <c r="E288" s="14">
        <f>CHOOSE(CONTROL!$C$42, 11.065, 11.065) * CHOOSE(CONTROL!$C$21, $C$9, 100%, $E$9)</f>
        <v>11.065</v>
      </c>
      <c r="F288" s="14">
        <f>CHOOSE(CONTROL!$C$42, 10.9659, 10.9659)*CHOOSE(CONTROL!$C$21, $C$9, 100%, $E$9)</f>
        <v>10.9659</v>
      </c>
      <c r="G288" s="14">
        <f>CHOOSE(CONTROL!$C$42, 10.9827, 10.9827)*CHOOSE(CONTROL!$C$21, $C$9, 100%, $E$9)</f>
        <v>10.982699999999999</v>
      </c>
      <c r="H288" s="14">
        <f>CHOOSE(CONTROL!$C$42, 11.0542, 11.0542) * CHOOSE(CONTROL!$C$21, $C$9, 100%, $E$9)</f>
        <v>11.0542</v>
      </c>
      <c r="I288" s="14">
        <f>CHOOSE(CONTROL!$C$42, 10.9767, 10.9767)* CHOOSE(CONTROL!$C$21, $C$9, 100%, $E$9)</f>
        <v>10.976699999999999</v>
      </c>
      <c r="J288" s="14">
        <f>CHOOSE(CONTROL!$C$42, 10.9589, 10.9589)* CHOOSE(CONTROL!$C$21, $C$9, 100%, $E$9)</f>
        <v>10.9589</v>
      </c>
      <c r="K288" s="53">
        <f>CHOOSE(CONTROL!$C$42, 10.9728, 10.9728) * CHOOSE(CONTROL!$C$21, $C$9, 100%, $E$9)</f>
        <v>10.972799999999999</v>
      </c>
      <c r="L288" s="14">
        <f>CHOOSE(CONTROL!$C$42, 11.6412, 11.6412) * CHOOSE(CONTROL!$C$21, $C$9, 100%, $E$9)</f>
        <v>11.6412</v>
      </c>
      <c r="M288" s="14">
        <f>CHOOSE(CONTROL!$C$42, 10.8621, 10.8621) * CHOOSE(CONTROL!$C$21, $C$9, 100%, $E$9)</f>
        <v>10.8621</v>
      </c>
      <c r="N288" s="14">
        <f>CHOOSE(CONTROL!$C$42, 10.8788, 10.8788) * CHOOSE(CONTROL!$C$21, $C$9, 100%, $E$9)</f>
        <v>10.8788</v>
      </c>
      <c r="O288" s="14">
        <f>CHOOSE(CONTROL!$C$42, 10.9564, 10.9564) * CHOOSE(CONTROL!$C$21, $C$9, 100%, $E$9)</f>
        <v>10.9564</v>
      </c>
      <c r="P288" s="14">
        <f>CHOOSE(CONTROL!$C$42, 10.8798, 10.8798) * CHOOSE(CONTROL!$C$21, $C$9, 100%, $E$9)</f>
        <v>10.879799999999999</v>
      </c>
      <c r="Q288" s="14">
        <f>CHOOSE(CONTROL!$C$42, 11.5517, 11.5517) * CHOOSE(CONTROL!$C$21, $C$9, 100%, $E$9)</f>
        <v>11.5517</v>
      </c>
      <c r="R288" s="14">
        <f>CHOOSE(CONTROL!$C$42, 12.1676, 12.1676) * CHOOSE(CONTROL!$C$21, $C$9, 100%, $E$9)</f>
        <v>12.1676</v>
      </c>
      <c r="S288" s="14">
        <f>CHOOSE(CONTROL!$C$42, 10.6442, 10.6442) * CHOOSE(CONTROL!$C$21, $C$9, 100%, $E$9)</f>
        <v>10.6442</v>
      </c>
      <c r="T28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288" s="57">
        <f>(1000*CHOOSE(CONTROL!$C$42, 695, 695)*CHOOSE(CONTROL!$C$42, 0.5599, 0.5599)*CHOOSE(CONTROL!$C$42, 31, 31))/1000000</f>
        <v>12.063045499999998</v>
      </c>
      <c r="V288" s="57">
        <f>(1000*CHOOSE(CONTROL!$C$42, 500, 500)*CHOOSE(CONTROL!$C$42, 0.275, 0.275)*CHOOSE(CONTROL!$C$42, 31, 31))/1000000</f>
        <v>4.2625000000000002</v>
      </c>
      <c r="W288" s="57">
        <f>(1000*CHOOSE(CONTROL!$C$42, 0.1146, 0.1146)*CHOOSE(CONTROL!$C$42, 121.5, 121.5)*CHOOSE(CONTROL!$C$42, 31, 31))/1000000</f>
        <v>0.43164089999999994</v>
      </c>
      <c r="X288" s="57">
        <f>(31*0.1790888*100000/1000000)+(31*0.2374*100000/1000000)</f>
        <v>1.2911152800000001</v>
      </c>
      <c r="Y288" s="57"/>
      <c r="Z288" s="14"/>
      <c r="AA288" s="56"/>
      <c r="AB288" s="50">
        <f>(B288*122.58+C288*297.941+D288*89.177+E288*40.302+F288*40+G288*160+H288*0+I288*100+J288*300)/(122.58+297.941+89.177+40.302+0+40+160+100+300)</f>
        <v>10.976158636956523</v>
      </c>
      <c r="AC288" s="45">
        <f>(M288*'RAP TEMPLATE-GAS AVAILABILITY'!O287+N288*'RAP TEMPLATE-GAS AVAILABILITY'!P287+O288*'RAP TEMPLATE-GAS AVAILABILITY'!Q287+P288*'RAP TEMPLATE-GAS AVAILABILITY'!R287)/('RAP TEMPLATE-GAS AVAILABILITY'!O287+'RAP TEMPLATE-GAS AVAILABILITY'!P287+'RAP TEMPLATE-GAS AVAILABILITY'!Q287+'RAP TEMPLATE-GAS AVAILABILITY'!R287)</f>
        <v>10.908348201438848</v>
      </c>
    </row>
    <row r="289" spans="1:29" ht="15.75" x14ac:dyDescent="0.25">
      <c r="A289" s="34">
        <v>49675</v>
      </c>
      <c r="B289" s="14">
        <f>CHOOSE(CONTROL!$C$42, 11.8612, 11.8612) * CHOOSE(CONTROL!$C$21, $C$9, 100%, $E$9)</f>
        <v>11.8612</v>
      </c>
      <c r="C289" s="14">
        <f>CHOOSE(CONTROL!$C$42, 11.8661, 11.8661) * CHOOSE(CONTROL!$C$21, $C$9, 100%, $E$9)</f>
        <v>11.866099999999999</v>
      </c>
      <c r="D289" s="14">
        <f>CHOOSE(CONTROL!$C$42, 11.9304, 11.9304) * CHOOSE(CONTROL!$C$21, $C$9, 100%, $E$9)</f>
        <v>11.930400000000001</v>
      </c>
      <c r="E289" s="14">
        <f>CHOOSE(CONTROL!$C$42, 11.9642, 11.9642) * CHOOSE(CONTROL!$C$21, $C$9, 100%, $E$9)</f>
        <v>11.9642</v>
      </c>
      <c r="F289" s="14">
        <f>CHOOSE(CONTROL!$C$42, 11.8627, 11.8627)*CHOOSE(CONTROL!$C$21, $C$9, 100%, $E$9)</f>
        <v>11.8627</v>
      </c>
      <c r="G289" s="14">
        <f>CHOOSE(CONTROL!$C$42, 11.8786, 11.8786)*CHOOSE(CONTROL!$C$21, $C$9, 100%, $E$9)</f>
        <v>11.8786</v>
      </c>
      <c r="H289" s="14">
        <f>CHOOSE(CONTROL!$C$42, 11.9534, 11.9534) * CHOOSE(CONTROL!$C$21, $C$9, 100%, $E$9)</f>
        <v>11.9534</v>
      </c>
      <c r="I289" s="14">
        <f>CHOOSE(CONTROL!$C$42, 11.8812, 11.8812)* CHOOSE(CONTROL!$C$21, $C$9, 100%, $E$9)</f>
        <v>11.8812</v>
      </c>
      <c r="J289" s="14">
        <f>CHOOSE(CONTROL!$C$42, 11.8557, 11.8557)* CHOOSE(CONTROL!$C$21, $C$9, 100%, $E$9)</f>
        <v>11.855700000000001</v>
      </c>
      <c r="K289" s="53">
        <f>CHOOSE(CONTROL!$C$42, 11.8773, 11.8773) * CHOOSE(CONTROL!$C$21, $C$9, 100%, $E$9)</f>
        <v>11.8773</v>
      </c>
      <c r="L289" s="14">
        <f>CHOOSE(CONTROL!$C$42, 12.5404, 12.5404) * CHOOSE(CONTROL!$C$21, $C$9, 100%, $E$9)</f>
        <v>12.5404</v>
      </c>
      <c r="M289" s="14">
        <f>CHOOSE(CONTROL!$C$42, 11.7499, 11.7499) * CHOOSE(CONTROL!$C$21, $C$9, 100%, $E$9)</f>
        <v>11.7499</v>
      </c>
      <c r="N289" s="14">
        <f>CHOOSE(CONTROL!$C$42, 11.7656, 11.7656) * CHOOSE(CONTROL!$C$21, $C$9, 100%, $E$9)</f>
        <v>11.765599999999999</v>
      </c>
      <c r="O289" s="14">
        <f>CHOOSE(CONTROL!$C$42, 11.8466, 11.8466) * CHOOSE(CONTROL!$C$21, $C$9, 100%, $E$9)</f>
        <v>11.8466</v>
      </c>
      <c r="P289" s="14">
        <f>CHOOSE(CONTROL!$C$42, 11.7751, 11.7751) * CHOOSE(CONTROL!$C$21, $C$9, 100%, $E$9)</f>
        <v>11.7751</v>
      </c>
      <c r="Q289" s="14">
        <f>CHOOSE(CONTROL!$C$42, 12.4419, 12.4419) * CHOOSE(CONTROL!$C$21, $C$9, 100%, $E$9)</f>
        <v>12.4419</v>
      </c>
      <c r="R289" s="14">
        <f>CHOOSE(CONTROL!$C$42, 13.06, 13.06) * CHOOSE(CONTROL!$C$21, $C$9, 100%, $E$9)</f>
        <v>13.06</v>
      </c>
      <c r="S289" s="14">
        <f>CHOOSE(CONTROL!$C$42, 11.5163, 11.5163) * CHOOSE(CONTROL!$C$21, $C$9, 100%, $E$9)</f>
        <v>11.516299999999999</v>
      </c>
      <c r="T28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289" s="57">
        <f>(1000*CHOOSE(CONTROL!$C$42, 695, 695)*CHOOSE(CONTROL!$C$42, 0.5599, 0.5599)*CHOOSE(CONTROL!$C$42, 31, 31))/1000000</f>
        <v>12.063045499999998</v>
      </c>
      <c r="V289" s="57">
        <f>(1000*CHOOSE(CONTROL!$C$42, 500, 500)*CHOOSE(CONTROL!$C$42, 0.275, 0.275)*CHOOSE(CONTROL!$C$42, 31, 31))/1000000</f>
        <v>4.2625000000000002</v>
      </c>
      <c r="W289" s="57">
        <f>(1000*CHOOSE(CONTROL!$C$42, 0.1146, 0.1146)*CHOOSE(CONTROL!$C$42, 121.5, 121.5)*CHOOSE(CONTROL!$C$42, 31, 31))/1000000</f>
        <v>0.43164089999999994</v>
      </c>
      <c r="X289" s="57">
        <f>(31*0.1790888*100000/1000000)+(31*0.2374*100000/1000000)</f>
        <v>1.2911152800000001</v>
      </c>
      <c r="Y289" s="57"/>
      <c r="Z289" s="14"/>
      <c r="AA289" s="56"/>
      <c r="AB289" s="50">
        <f>(B289*122.58+C289*297.941+D289*89.177+E289*40.302+F289*40+G289*160+H289*0+I289*100+J289*300)/(122.58+297.941+89.177+40.302+0+40+160+100+300)</f>
        <v>11.874222665478259</v>
      </c>
      <c r="AC289" s="45">
        <f>(M289*'RAP TEMPLATE-GAS AVAILABILITY'!O288+N289*'RAP TEMPLATE-GAS AVAILABILITY'!P288+O289*'RAP TEMPLATE-GAS AVAILABILITY'!Q288+P289*'RAP TEMPLATE-GAS AVAILABILITY'!R288)/('RAP TEMPLATE-GAS AVAILABILITY'!O288+'RAP TEMPLATE-GAS AVAILABILITY'!P288+'RAP TEMPLATE-GAS AVAILABILITY'!Q288+'RAP TEMPLATE-GAS AVAILABILITY'!R288)</f>
        <v>11.798257553956836</v>
      </c>
    </row>
    <row r="290" spans="1:29" ht="15.75" x14ac:dyDescent="0.25">
      <c r="A290" s="34">
        <v>49706</v>
      </c>
      <c r="B290" s="14">
        <f>CHOOSE(CONTROL!$C$42, 12.0723, 12.0723) * CHOOSE(CONTROL!$C$21, $C$9, 100%, $E$9)</f>
        <v>12.0723</v>
      </c>
      <c r="C290" s="14">
        <f>CHOOSE(CONTROL!$C$42, 12.0772, 12.0772) * CHOOSE(CONTROL!$C$21, $C$9, 100%, $E$9)</f>
        <v>12.077199999999999</v>
      </c>
      <c r="D290" s="14">
        <f>CHOOSE(CONTROL!$C$42, 12.1415, 12.1415) * CHOOSE(CONTROL!$C$21, $C$9, 100%, $E$9)</f>
        <v>12.141500000000001</v>
      </c>
      <c r="E290" s="14">
        <f>CHOOSE(CONTROL!$C$42, 12.1753, 12.1753) * CHOOSE(CONTROL!$C$21, $C$9, 100%, $E$9)</f>
        <v>12.1753</v>
      </c>
      <c r="F290" s="14">
        <f>CHOOSE(CONTROL!$C$42, 12.0739, 12.0739)*CHOOSE(CONTROL!$C$21, $C$9, 100%, $E$9)</f>
        <v>12.0739</v>
      </c>
      <c r="G290" s="14">
        <f>CHOOSE(CONTROL!$C$42, 12.0898, 12.0898)*CHOOSE(CONTROL!$C$21, $C$9, 100%, $E$9)</f>
        <v>12.0898</v>
      </c>
      <c r="H290" s="14">
        <f>CHOOSE(CONTROL!$C$42, 12.1645, 12.1645) * CHOOSE(CONTROL!$C$21, $C$9, 100%, $E$9)</f>
        <v>12.1645</v>
      </c>
      <c r="I290" s="14">
        <f>CHOOSE(CONTROL!$C$42, 12.0923, 12.0923)* CHOOSE(CONTROL!$C$21, $C$9, 100%, $E$9)</f>
        <v>12.0923</v>
      </c>
      <c r="J290" s="14">
        <f>CHOOSE(CONTROL!$C$42, 12.0669, 12.0669)* CHOOSE(CONTROL!$C$21, $C$9, 100%, $E$9)</f>
        <v>12.0669</v>
      </c>
      <c r="K290" s="53">
        <f>CHOOSE(CONTROL!$C$42, 12.0884, 12.0884) * CHOOSE(CONTROL!$C$21, $C$9, 100%, $E$9)</f>
        <v>12.0884</v>
      </c>
      <c r="L290" s="14">
        <f>CHOOSE(CONTROL!$C$42, 12.7515, 12.7515) * CHOOSE(CONTROL!$C$21, $C$9, 100%, $E$9)</f>
        <v>12.7515</v>
      </c>
      <c r="M290" s="14">
        <f>CHOOSE(CONTROL!$C$42, 11.9589, 11.9589) * CHOOSE(CONTROL!$C$21, $C$9, 100%, $E$9)</f>
        <v>11.9589</v>
      </c>
      <c r="N290" s="14">
        <f>CHOOSE(CONTROL!$C$42, 11.9747, 11.9747) * CHOOSE(CONTROL!$C$21, $C$9, 100%, $E$9)</f>
        <v>11.9747</v>
      </c>
      <c r="O290" s="14">
        <f>CHOOSE(CONTROL!$C$42, 12.0556, 12.0556) * CHOOSE(CONTROL!$C$21, $C$9, 100%, $E$9)</f>
        <v>12.0556</v>
      </c>
      <c r="P290" s="14">
        <f>CHOOSE(CONTROL!$C$42, 11.9841, 11.9841) * CHOOSE(CONTROL!$C$21, $C$9, 100%, $E$9)</f>
        <v>11.9841</v>
      </c>
      <c r="Q290" s="14">
        <f>CHOOSE(CONTROL!$C$42, 12.6509, 12.6509) * CHOOSE(CONTROL!$C$21, $C$9, 100%, $E$9)</f>
        <v>12.6509</v>
      </c>
      <c r="R290" s="14">
        <f>CHOOSE(CONTROL!$C$42, 13.2695, 13.2695) * CHOOSE(CONTROL!$C$21, $C$9, 100%, $E$9)</f>
        <v>13.269500000000001</v>
      </c>
      <c r="S290" s="14">
        <f>CHOOSE(CONTROL!$C$42, 11.7213, 11.7213) * CHOOSE(CONTROL!$C$21, $C$9, 100%, $E$9)</f>
        <v>11.721299999999999</v>
      </c>
      <c r="T29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290" s="57">
        <f>(1000*CHOOSE(CONTROL!$C$42, 695, 695)*CHOOSE(CONTROL!$C$42, 0.5599, 0.5599)*CHOOSE(CONTROL!$C$42, 29, 29))/1000000</f>
        <v>11.284784499999999</v>
      </c>
      <c r="V290" s="57">
        <f>(1000*CHOOSE(CONTROL!$C$42, 500, 500)*CHOOSE(CONTROL!$C$42, 0.275, 0.275)*CHOOSE(CONTROL!$C$42, 29, 29))/1000000</f>
        <v>3.9874999999999998</v>
      </c>
      <c r="W290" s="57">
        <f>(1000*CHOOSE(CONTROL!$C$42, 0.1146, 0.1146)*CHOOSE(CONTROL!$C$42, 121.5, 121.5)*CHOOSE(CONTROL!$C$42, 29, 29))/1000000</f>
        <v>0.40379309999999996</v>
      </c>
      <c r="X290" s="57">
        <f>(29*0.1790888*100000/1000000)+(29*0.2374*100000/1000000)</f>
        <v>1.2078175199999999</v>
      </c>
      <c r="Y290" s="57"/>
      <c r="Z290" s="14"/>
      <c r="AA290" s="56"/>
      <c r="AB290" s="50">
        <f>(B290*122.58+C290*297.941+D290*89.177+E290*40.302+F290*40+G290*160+H290*0+I290*100+J290*300)/(122.58+297.941+89.177+40.302+0+40+160+100+300)</f>
        <v>12.08536614373913</v>
      </c>
      <c r="AC290" s="45">
        <f>(M290*'RAP TEMPLATE-GAS AVAILABILITY'!O289+N290*'RAP TEMPLATE-GAS AVAILABILITY'!P289+O290*'RAP TEMPLATE-GAS AVAILABILITY'!Q289+P290*'RAP TEMPLATE-GAS AVAILABILITY'!R289)/('RAP TEMPLATE-GAS AVAILABILITY'!O289+'RAP TEMPLATE-GAS AVAILABILITY'!P289+'RAP TEMPLATE-GAS AVAILABILITY'!Q289+'RAP TEMPLATE-GAS AVAILABILITY'!R289)</f>
        <v>12.007263309352519</v>
      </c>
    </row>
    <row r="291" spans="1:29" ht="15.75" x14ac:dyDescent="0.25">
      <c r="A291" s="34">
        <v>49735</v>
      </c>
      <c r="B291" s="14">
        <f>CHOOSE(CONTROL!$C$42, 11.7296, 11.7296) * CHOOSE(CONTROL!$C$21, $C$9, 100%, $E$9)</f>
        <v>11.7296</v>
      </c>
      <c r="C291" s="14">
        <f>CHOOSE(CONTROL!$C$42, 11.7346, 11.7346) * CHOOSE(CONTROL!$C$21, $C$9, 100%, $E$9)</f>
        <v>11.7346</v>
      </c>
      <c r="D291" s="14">
        <f>CHOOSE(CONTROL!$C$42, 11.7989, 11.7989) * CHOOSE(CONTROL!$C$21, $C$9, 100%, $E$9)</f>
        <v>11.7989</v>
      </c>
      <c r="E291" s="14">
        <f>CHOOSE(CONTROL!$C$42, 11.8326, 11.8326) * CHOOSE(CONTROL!$C$21, $C$9, 100%, $E$9)</f>
        <v>11.832599999999999</v>
      </c>
      <c r="F291" s="14">
        <f>CHOOSE(CONTROL!$C$42, 11.7309, 11.7309)*CHOOSE(CONTROL!$C$21, $C$9, 100%, $E$9)</f>
        <v>11.7309</v>
      </c>
      <c r="G291" s="14">
        <f>CHOOSE(CONTROL!$C$42, 11.7467, 11.7467)*CHOOSE(CONTROL!$C$21, $C$9, 100%, $E$9)</f>
        <v>11.746700000000001</v>
      </c>
      <c r="H291" s="14">
        <f>CHOOSE(CONTROL!$C$42, 11.8218, 11.8218) * CHOOSE(CONTROL!$C$21, $C$9, 100%, $E$9)</f>
        <v>11.8218</v>
      </c>
      <c r="I291" s="14">
        <f>CHOOSE(CONTROL!$C$42, 11.7496, 11.7496)* CHOOSE(CONTROL!$C$21, $C$9, 100%, $E$9)</f>
        <v>11.749599999999999</v>
      </c>
      <c r="J291" s="14">
        <f>CHOOSE(CONTROL!$C$42, 11.7239, 11.7239)* CHOOSE(CONTROL!$C$21, $C$9, 100%, $E$9)</f>
        <v>11.7239</v>
      </c>
      <c r="K291" s="53">
        <f>CHOOSE(CONTROL!$C$42, 11.7457, 11.7457) * CHOOSE(CONTROL!$C$21, $C$9, 100%, $E$9)</f>
        <v>11.745699999999999</v>
      </c>
      <c r="L291" s="14">
        <f>CHOOSE(CONTROL!$C$42, 12.4088, 12.4088) * CHOOSE(CONTROL!$C$21, $C$9, 100%, $E$9)</f>
        <v>12.408799999999999</v>
      </c>
      <c r="M291" s="14">
        <f>CHOOSE(CONTROL!$C$42, 11.6194, 11.6194) * CHOOSE(CONTROL!$C$21, $C$9, 100%, $E$9)</f>
        <v>11.619400000000001</v>
      </c>
      <c r="N291" s="14">
        <f>CHOOSE(CONTROL!$C$42, 11.6351, 11.6351) * CHOOSE(CONTROL!$C$21, $C$9, 100%, $E$9)</f>
        <v>11.6351</v>
      </c>
      <c r="O291" s="14">
        <f>CHOOSE(CONTROL!$C$42, 11.7164, 11.7164) * CHOOSE(CONTROL!$C$21, $C$9, 100%, $E$9)</f>
        <v>11.7164</v>
      </c>
      <c r="P291" s="14">
        <f>CHOOSE(CONTROL!$C$42, 11.6449, 11.6449) * CHOOSE(CONTROL!$C$21, $C$9, 100%, $E$9)</f>
        <v>11.6449</v>
      </c>
      <c r="Q291" s="14">
        <f>CHOOSE(CONTROL!$C$42, 12.3117, 12.3117) * CHOOSE(CONTROL!$C$21, $C$9, 100%, $E$9)</f>
        <v>12.3117</v>
      </c>
      <c r="R291" s="14">
        <f>CHOOSE(CONTROL!$C$42, 12.9294, 12.9294) * CHOOSE(CONTROL!$C$21, $C$9, 100%, $E$9)</f>
        <v>12.929399999999999</v>
      </c>
      <c r="S291" s="14">
        <f>CHOOSE(CONTROL!$C$42, 11.3885, 11.3885) * CHOOSE(CONTROL!$C$21, $C$9, 100%, $E$9)</f>
        <v>11.388500000000001</v>
      </c>
      <c r="T29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291" s="57">
        <f>(1000*CHOOSE(CONTROL!$C$42, 695, 695)*CHOOSE(CONTROL!$C$42, 0.5599, 0.5599)*CHOOSE(CONTROL!$C$42, 31, 31))/1000000</f>
        <v>12.063045499999998</v>
      </c>
      <c r="V291" s="57">
        <f>(1000*CHOOSE(CONTROL!$C$42, 500, 500)*CHOOSE(CONTROL!$C$42, 0.275, 0.275)*CHOOSE(CONTROL!$C$42, 31, 31))/1000000</f>
        <v>4.2625000000000002</v>
      </c>
      <c r="W291" s="57">
        <f>(1000*CHOOSE(CONTROL!$C$42, 0.1146, 0.1146)*CHOOSE(CONTROL!$C$42, 121.5, 121.5)*CHOOSE(CONTROL!$C$42, 31, 31))/1000000</f>
        <v>0.43164089999999994</v>
      </c>
      <c r="X291" s="57">
        <f>(31*0.1790888*100000/1000000)+(31*0.2374*100000/1000000)</f>
        <v>1.2911152800000001</v>
      </c>
      <c r="Y291" s="57"/>
      <c r="Z291" s="14"/>
      <c r="AA291" s="56"/>
      <c r="AB291" s="50">
        <f>(B291*122.58+C291*297.941+D291*89.177+E291*40.302+F291*40+G291*160+H291*0+I291*100+J291*300)/(122.58+297.941+89.177+40.302+0+40+160+100+300)</f>
        <v>11.742555458347825</v>
      </c>
      <c r="AC291" s="45">
        <f>(M291*'RAP TEMPLATE-GAS AVAILABILITY'!O290+N291*'RAP TEMPLATE-GAS AVAILABILITY'!P290+O291*'RAP TEMPLATE-GAS AVAILABILITY'!Q290+P291*'RAP TEMPLATE-GAS AVAILABILITY'!R290)/('RAP TEMPLATE-GAS AVAILABILITY'!O290+'RAP TEMPLATE-GAS AVAILABILITY'!P290+'RAP TEMPLATE-GAS AVAILABILITY'!Q290+'RAP TEMPLATE-GAS AVAILABILITY'!R290)</f>
        <v>11.667936690647483</v>
      </c>
    </row>
    <row r="292" spans="1:29" ht="15.75" x14ac:dyDescent="0.25">
      <c r="A292" s="34">
        <v>49766</v>
      </c>
      <c r="B292" s="14">
        <f>CHOOSE(CONTROL!$C$42, 11.6957, 11.6957) * CHOOSE(CONTROL!$C$21, $C$9, 100%, $E$9)</f>
        <v>11.6957</v>
      </c>
      <c r="C292" s="14">
        <f>CHOOSE(CONTROL!$C$42, 11.7001, 11.7001) * CHOOSE(CONTROL!$C$21, $C$9, 100%, $E$9)</f>
        <v>11.700100000000001</v>
      </c>
      <c r="D292" s="14">
        <f>CHOOSE(CONTROL!$C$42, 11.9008, 11.9008) * CHOOSE(CONTROL!$C$21, $C$9, 100%, $E$9)</f>
        <v>11.9008</v>
      </c>
      <c r="E292" s="14">
        <f>CHOOSE(CONTROL!$C$42, 11.9326, 11.9326) * CHOOSE(CONTROL!$C$21, $C$9, 100%, $E$9)</f>
        <v>11.932600000000001</v>
      </c>
      <c r="F292" s="14">
        <f>CHOOSE(CONTROL!$C$42, 11.6803, 11.6803)*CHOOSE(CONTROL!$C$21, $C$9, 100%, $E$9)</f>
        <v>11.680300000000001</v>
      </c>
      <c r="G292" s="14">
        <f>CHOOSE(CONTROL!$C$42, 11.6959, 11.6959)*CHOOSE(CONTROL!$C$21, $C$9, 100%, $E$9)</f>
        <v>11.6959</v>
      </c>
      <c r="H292" s="14">
        <f>CHOOSE(CONTROL!$C$42, 11.9224, 11.9224) * CHOOSE(CONTROL!$C$21, $C$9, 100%, $E$9)</f>
        <v>11.9224</v>
      </c>
      <c r="I292" s="14">
        <f>CHOOSE(CONTROL!$C$42, 11.7084, 11.7084)* CHOOSE(CONTROL!$C$21, $C$9, 100%, $E$9)</f>
        <v>11.708399999999999</v>
      </c>
      <c r="J292" s="14">
        <f>CHOOSE(CONTROL!$C$42, 11.6733, 11.6733)* CHOOSE(CONTROL!$C$21, $C$9, 100%, $E$9)</f>
        <v>11.673299999999999</v>
      </c>
      <c r="K292" s="53">
        <f>CHOOSE(CONTROL!$C$42, 11.7046, 11.7046) * CHOOSE(CONTROL!$C$21, $C$9, 100%, $E$9)</f>
        <v>11.704599999999999</v>
      </c>
      <c r="L292" s="14">
        <f>CHOOSE(CONTROL!$C$42, 12.5094, 12.5094) * CHOOSE(CONTROL!$C$21, $C$9, 100%, $E$9)</f>
        <v>12.509399999999999</v>
      </c>
      <c r="M292" s="14">
        <f>CHOOSE(CONTROL!$C$42, 11.5693, 11.5693) * CHOOSE(CONTROL!$C$21, $C$9, 100%, $E$9)</f>
        <v>11.5693</v>
      </c>
      <c r="N292" s="14">
        <f>CHOOSE(CONTROL!$C$42, 11.5848, 11.5848) * CHOOSE(CONTROL!$C$21, $C$9, 100%, $E$9)</f>
        <v>11.5848</v>
      </c>
      <c r="O292" s="14">
        <f>CHOOSE(CONTROL!$C$42, 11.8159, 11.8159) * CHOOSE(CONTROL!$C$21, $C$9, 100%, $E$9)</f>
        <v>11.815899999999999</v>
      </c>
      <c r="P292" s="14">
        <f>CHOOSE(CONTROL!$C$42, 11.6042, 11.6042) * CHOOSE(CONTROL!$C$21, $C$9, 100%, $E$9)</f>
        <v>11.604200000000001</v>
      </c>
      <c r="Q292" s="14">
        <f>CHOOSE(CONTROL!$C$42, 12.4112, 12.4112) * CHOOSE(CONTROL!$C$21, $C$9, 100%, $E$9)</f>
        <v>12.411199999999999</v>
      </c>
      <c r="R292" s="14">
        <f>CHOOSE(CONTROL!$C$42, 13.0292, 13.0292) * CHOOSE(CONTROL!$C$21, $C$9, 100%, $E$9)</f>
        <v>13.029199999999999</v>
      </c>
      <c r="S292" s="14">
        <f>CHOOSE(CONTROL!$C$42, 11.3548, 11.3548) * CHOOSE(CONTROL!$C$21, $C$9, 100%, $E$9)</f>
        <v>11.354799999999999</v>
      </c>
      <c r="T29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292" s="57">
        <f>(1000*CHOOSE(CONTROL!$C$42, 695, 695)*CHOOSE(CONTROL!$C$42, 0.5599, 0.5599)*CHOOSE(CONTROL!$C$42, 30, 30))/1000000</f>
        <v>11.673914999999997</v>
      </c>
      <c r="V292" s="57">
        <f>(1000*CHOOSE(CONTROL!$C$42, 500, 500)*CHOOSE(CONTROL!$C$42, 0.275, 0.275)*CHOOSE(CONTROL!$C$42, 30, 30))/1000000</f>
        <v>4.125</v>
      </c>
      <c r="W292" s="57">
        <f>(1000*CHOOSE(CONTROL!$C$42, 0.1146, 0.1146)*CHOOSE(CONTROL!$C$42, 121.5, 121.5)*CHOOSE(CONTROL!$C$42, 30, 30))/1000000</f>
        <v>0.417717</v>
      </c>
      <c r="X292" s="57">
        <f>(30*0.1790888*245000/1000000)+(30*0.2374*100000/1000000)</f>
        <v>2.0285026799999999</v>
      </c>
      <c r="Y292" s="57"/>
      <c r="Z292" s="14"/>
      <c r="AA292" s="56"/>
      <c r="AB292" s="50">
        <f>(B292*141.293+C292*267.993+D292*115.016+E292*89.698+F292*40+G292*185+H292*0+I292*100+J292*300)/(141.293+267.993+115.016+89.698+0+40+185+100+300)</f>
        <v>11.727975550443906</v>
      </c>
      <c r="AC292" s="45">
        <f>(M292*'RAP TEMPLATE-GAS AVAILABILITY'!O291+N292*'RAP TEMPLATE-GAS AVAILABILITY'!P291+O292*'RAP TEMPLATE-GAS AVAILABILITY'!Q291+P292*'RAP TEMPLATE-GAS AVAILABILITY'!R291)/('RAP TEMPLATE-GAS AVAILABILITY'!O291+'RAP TEMPLATE-GAS AVAILABILITY'!P291+'RAP TEMPLATE-GAS AVAILABILITY'!Q291+'RAP TEMPLATE-GAS AVAILABILITY'!R291)</f>
        <v>11.647079856115107</v>
      </c>
    </row>
    <row r="293" spans="1:29" ht="15.75" x14ac:dyDescent="0.25">
      <c r="A293" s="34">
        <v>49796</v>
      </c>
      <c r="B293" s="14">
        <f>CHOOSE(CONTROL!$C$42, 11.8003, 11.8003) * CHOOSE(CONTROL!$C$21, $C$9, 100%, $E$9)</f>
        <v>11.8003</v>
      </c>
      <c r="C293" s="14">
        <f>CHOOSE(CONTROL!$C$42, 11.8082, 11.8082) * CHOOSE(CONTROL!$C$21, $C$9, 100%, $E$9)</f>
        <v>11.808199999999999</v>
      </c>
      <c r="D293" s="14">
        <f>CHOOSE(CONTROL!$C$42, 12.0058, 12.0058) * CHOOSE(CONTROL!$C$21, $C$9, 100%, $E$9)</f>
        <v>12.005800000000001</v>
      </c>
      <c r="E293" s="14">
        <f>CHOOSE(CONTROL!$C$42, 12.0369, 12.0369) * CHOOSE(CONTROL!$C$21, $C$9, 100%, $E$9)</f>
        <v>12.036899999999999</v>
      </c>
      <c r="F293" s="14">
        <f>CHOOSE(CONTROL!$C$42, 11.7837, 11.7837)*CHOOSE(CONTROL!$C$21, $C$9, 100%, $E$9)</f>
        <v>11.7837</v>
      </c>
      <c r="G293" s="14">
        <f>CHOOSE(CONTROL!$C$42, 11.7998, 11.7998)*CHOOSE(CONTROL!$C$21, $C$9, 100%, $E$9)</f>
        <v>11.799799999999999</v>
      </c>
      <c r="H293" s="14">
        <f>CHOOSE(CONTROL!$C$42, 12.0255, 12.0255) * CHOOSE(CONTROL!$C$21, $C$9, 100%, $E$9)</f>
        <v>12.025499999999999</v>
      </c>
      <c r="I293" s="14">
        <f>CHOOSE(CONTROL!$C$42, 11.8116, 11.8116)* CHOOSE(CONTROL!$C$21, $C$9, 100%, $E$9)</f>
        <v>11.8116</v>
      </c>
      <c r="J293" s="14">
        <f>CHOOSE(CONTROL!$C$42, 11.7767, 11.7767)* CHOOSE(CONTROL!$C$21, $C$9, 100%, $E$9)</f>
        <v>11.7767</v>
      </c>
      <c r="K293" s="53">
        <f>CHOOSE(CONTROL!$C$42, 11.8078, 11.8078) * CHOOSE(CONTROL!$C$21, $C$9, 100%, $E$9)</f>
        <v>11.8078</v>
      </c>
      <c r="L293" s="14">
        <f>CHOOSE(CONTROL!$C$42, 12.6125, 12.6125) * CHOOSE(CONTROL!$C$21, $C$9, 100%, $E$9)</f>
        <v>12.612500000000001</v>
      </c>
      <c r="M293" s="14">
        <f>CHOOSE(CONTROL!$C$42, 11.6717, 11.6717) * CHOOSE(CONTROL!$C$21, $C$9, 100%, $E$9)</f>
        <v>11.6717</v>
      </c>
      <c r="N293" s="14">
        <f>CHOOSE(CONTROL!$C$42, 11.6876, 11.6876) * CHOOSE(CONTROL!$C$21, $C$9, 100%, $E$9)</f>
        <v>11.6876</v>
      </c>
      <c r="O293" s="14">
        <f>CHOOSE(CONTROL!$C$42, 11.918, 11.918) * CHOOSE(CONTROL!$C$21, $C$9, 100%, $E$9)</f>
        <v>11.917999999999999</v>
      </c>
      <c r="P293" s="14">
        <f>CHOOSE(CONTROL!$C$42, 11.7063, 11.7063) * CHOOSE(CONTROL!$C$21, $C$9, 100%, $E$9)</f>
        <v>11.706300000000001</v>
      </c>
      <c r="Q293" s="14">
        <f>CHOOSE(CONTROL!$C$42, 12.5133, 12.5133) * CHOOSE(CONTROL!$C$21, $C$9, 100%, $E$9)</f>
        <v>12.513299999999999</v>
      </c>
      <c r="R293" s="14">
        <f>CHOOSE(CONTROL!$C$42, 13.1316, 13.1316) * CHOOSE(CONTROL!$C$21, $C$9, 100%, $E$9)</f>
        <v>13.131600000000001</v>
      </c>
      <c r="S293" s="14">
        <f>CHOOSE(CONTROL!$C$42, 11.455, 11.455) * CHOOSE(CONTROL!$C$21, $C$9, 100%, $E$9)</f>
        <v>11.455</v>
      </c>
      <c r="T29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293" s="57">
        <f>(1000*CHOOSE(CONTROL!$C$42, 695, 695)*CHOOSE(CONTROL!$C$42, 0.5599, 0.5599)*CHOOSE(CONTROL!$C$42, 31, 31))/1000000</f>
        <v>12.063045499999998</v>
      </c>
      <c r="V293" s="57">
        <f>(1000*CHOOSE(CONTROL!$C$42, 500, 500)*CHOOSE(CONTROL!$C$42, 0.275, 0.275)*CHOOSE(CONTROL!$C$42, 31, 31))/1000000</f>
        <v>4.2625000000000002</v>
      </c>
      <c r="W293" s="57">
        <f>(1000*CHOOSE(CONTROL!$C$42, 0.1146, 0.1146)*CHOOSE(CONTROL!$C$42, 121.5, 121.5)*CHOOSE(CONTROL!$C$42, 31, 31))/1000000</f>
        <v>0.43164089999999994</v>
      </c>
      <c r="X293" s="57">
        <f>(31*0.1790888*245000/1000000)+(31*0.2374*100000/1000000)</f>
        <v>2.0961194359999999</v>
      </c>
      <c r="Y293" s="57"/>
      <c r="Z293" s="14"/>
      <c r="AA293" s="56"/>
      <c r="AB293" s="50">
        <f>(B293*194.205+C293*267.466+D293*133.845+E293*53.484+F293*40+G293*185+H293*0+I293*100+J293*300)/(194.205+267.466+133.845+53.484+0+40+185+100+300)</f>
        <v>11.828216752982732</v>
      </c>
      <c r="AC293" s="45">
        <f>(M293*'RAP TEMPLATE-GAS AVAILABILITY'!O292+N293*'RAP TEMPLATE-GAS AVAILABILITY'!P292+O293*'RAP TEMPLATE-GAS AVAILABILITY'!Q292+P293*'RAP TEMPLATE-GAS AVAILABILITY'!R292)/('RAP TEMPLATE-GAS AVAILABILITY'!O292+'RAP TEMPLATE-GAS AVAILABILITY'!P292+'RAP TEMPLATE-GAS AVAILABILITY'!Q292+'RAP TEMPLATE-GAS AVAILABILITY'!R292)</f>
        <v>11.749444604316547</v>
      </c>
    </row>
    <row r="294" spans="1:29" ht="15.75" x14ac:dyDescent="0.25">
      <c r="A294" s="34">
        <v>49827</v>
      </c>
      <c r="B294" s="14">
        <f>CHOOSE(CONTROL!$C$42, 12.1348, 12.1348) * CHOOSE(CONTROL!$C$21, $C$9, 100%, $E$9)</f>
        <v>12.1348</v>
      </c>
      <c r="C294" s="14">
        <f>CHOOSE(CONTROL!$C$42, 12.1428, 12.1428) * CHOOSE(CONTROL!$C$21, $C$9, 100%, $E$9)</f>
        <v>12.142799999999999</v>
      </c>
      <c r="D294" s="14">
        <f>CHOOSE(CONTROL!$C$42, 12.3403, 12.3403) * CHOOSE(CONTROL!$C$21, $C$9, 100%, $E$9)</f>
        <v>12.340299999999999</v>
      </c>
      <c r="E294" s="14">
        <f>CHOOSE(CONTROL!$C$42, 12.3715, 12.3715) * CHOOSE(CONTROL!$C$21, $C$9, 100%, $E$9)</f>
        <v>12.371499999999999</v>
      </c>
      <c r="F294" s="14">
        <f>CHOOSE(CONTROL!$C$42, 12.1187, 12.1187)*CHOOSE(CONTROL!$C$21, $C$9, 100%, $E$9)</f>
        <v>12.1187</v>
      </c>
      <c r="G294" s="14">
        <f>CHOOSE(CONTROL!$C$42, 12.1349, 12.1349)*CHOOSE(CONTROL!$C$21, $C$9, 100%, $E$9)</f>
        <v>12.1349</v>
      </c>
      <c r="H294" s="14">
        <f>CHOOSE(CONTROL!$C$42, 12.3601, 12.3601) * CHOOSE(CONTROL!$C$21, $C$9, 100%, $E$9)</f>
        <v>12.360099999999999</v>
      </c>
      <c r="I294" s="14">
        <f>CHOOSE(CONTROL!$C$42, 12.1462, 12.1462)* CHOOSE(CONTROL!$C$21, $C$9, 100%, $E$9)</f>
        <v>12.1462</v>
      </c>
      <c r="J294" s="14">
        <f>CHOOSE(CONTROL!$C$42, 12.1117, 12.1117)* CHOOSE(CONTROL!$C$21, $C$9, 100%, $E$9)</f>
        <v>12.111700000000001</v>
      </c>
      <c r="K294" s="53">
        <f>CHOOSE(CONTROL!$C$42, 12.1423, 12.1423) * CHOOSE(CONTROL!$C$21, $C$9, 100%, $E$9)</f>
        <v>12.142300000000001</v>
      </c>
      <c r="L294" s="14">
        <f>CHOOSE(CONTROL!$C$42, 12.9471, 12.9471) * CHOOSE(CONTROL!$C$21, $C$9, 100%, $E$9)</f>
        <v>12.947100000000001</v>
      </c>
      <c r="M294" s="14">
        <f>CHOOSE(CONTROL!$C$42, 12.0033, 12.0033) * CHOOSE(CONTROL!$C$21, $C$9, 100%, $E$9)</f>
        <v>12.003299999999999</v>
      </c>
      <c r="N294" s="14">
        <f>CHOOSE(CONTROL!$C$42, 12.0193, 12.0193) * CHOOSE(CONTROL!$C$21, $C$9, 100%, $E$9)</f>
        <v>12.019299999999999</v>
      </c>
      <c r="O294" s="14">
        <f>CHOOSE(CONTROL!$C$42, 12.2492, 12.2492) * CHOOSE(CONTROL!$C$21, $C$9, 100%, $E$9)</f>
        <v>12.2492</v>
      </c>
      <c r="P294" s="14">
        <f>CHOOSE(CONTROL!$C$42, 12.0375, 12.0375) * CHOOSE(CONTROL!$C$21, $C$9, 100%, $E$9)</f>
        <v>12.0375</v>
      </c>
      <c r="Q294" s="14">
        <f>CHOOSE(CONTROL!$C$42, 12.8445, 12.8445) * CHOOSE(CONTROL!$C$21, $C$9, 100%, $E$9)</f>
        <v>12.8445</v>
      </c>
      <c r="R294" s="14">
        <f>CHOOSE(CONTROL!$C$42, 13.4636, 13.4636) * CHOOSE(CONTROL!$C$21, $C$9, 100%, $E$9)</f>
        <v>13.4636</v>
      </c>
      <c r="S294" s="14">
        <f>CHOOSE(CONTROL!$C$42, 11.7799, 11.7799) * CHOOSE(CONTROL!$C$21, $C$9, 100%, $E$9)</f>
        <v>11.7799</v>
      </c>
      <c r="T29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294" s="57">
        <f>(1000*CHOOSE(CONTROL!$C$42, 695, 695)*CHOOSE(CONTROL!$C$42, 0.5599, 0.5599)*CHOOSE(CONTROL!$C$42, 30, 30))/1000000</f>
        <v>11.673914999999997</v>
      </c>
      <c r="V294" s="57">
        <f>(1000*CHOOSE(CONTROL!$C$42, 500, 500)*CHOOSE(CONTROL!$C$42, 0.275, 0.275)*CHOOSE(CONTROL!$C$42, 30, 30))/1000000</f>
        <v>4.125</v>
      </c>
      <c r="W294" s="57">
        <f>(1000*CHOOSE(CONTROL!$C$42, 0.1146, 0.1146)*CHOOSE(CONTROL!$C$42, 121.5, 121.5)*CHOOSE(CONTROL!$C$42, 30, 30))/1000000</f>
        <v>0.417717</v>
      </c>
      <c r="X294" s="57">
        <f>(30*0.1790888*245000/1000000)+(30*0.2374*100000/1000000)</f>
        <v>2.0285026799999999</v>
      </c>
      <c r="Y294" s="57"/>
      <c r="Z294" s="14"/>
      <c r="AA294" s="56"/>
      <c r="AB294" s="50">
        <f>(B294*194.205+C294*267.466+D294*133.845+E294*53.484+F294*40+G294*185+H294*0+I294*100+J294*300)/(194.205+267.466+133.845+53.484+0+40+185+100+300)</f>
        <v>12.162970359733125</v>
      </c>
      <c r="AC294" s="45">
        <f>(M294*'RAP TEMPLATE-GAS AVAILABILITY'!O293+N294*'RAP TEMPLATE-GAS AVAILABILITY'!P293+O294*'RAP TEMPLATE-GAS AVAILABILITY'!Q293+P294*'RAP TEMPLATE-GAS AVAILABILITY'!R293)/('RAP TEMPLATE-GAS AVAILABILITY'!O293+'RAP TEMPLATE-GAS AVAILABILITY'!P293+'RAP TEMPLATE-GAS AVAILABILITY'!Q293+'RAP TEMPLATE-GAS AVAILABILITY'!R293)</f>
        <v>12.080897841726619</v>
      </c>
    </row>
    <row r="295" spans="1:29" ht="15.75" x14ac:dyDescent="0.25">
      <c r="A295" s="34">
        <v>49857</v>
      </c>
      <c r="B295" s="14">
        <f>CHOOSE(CONTROL!$C$42, 11.9022, 11.9022) * CHOOSE(CONTROL!$C$21, $C$9, 100%, $E$9)</f>
        <v>11.902200000000001</v>
      </c>
      <c r="C295" s="14">
        <f>CHOOSE(CONTROL!$C$42, 11.9101, 11.9101) * CHOOSE(CONTROL!$C$21, $C$9, 100%, $E$9)</f>
        <v>11.9101</v>
      </c>
      <c r="D295" s="14">
        <f>CHOOSE(CONTROL!$C$42, 12.1077, 12.1077) * CHOOSE(CONTROL!$C$21, $C$9, 100%, $E$9)</f>
        <v>12.107699999999999</v>
      </c>
      <c r="E295" s="14">
        <f>CHOOSE(CONTROL!$C$42, 12.1388, 12.1388) * CHOOSE(CONTROL!$C$21, $C$9, 100%, $E$9)</f>
        <v>12.1388</v>
      </c>
      <c r="F295" s="14">
        <f>CHOOSE(CONTROL!$C$42, 11.8864, 11.8864)*CHOOSE(CONTROL!$C$21, $C$9, 100%, $E$9)</f>
        <v>11.8864</v>
      </c>
      <c r="G295" s="14">
        <f>CHOOSE(CONTROL!$C$42, 11.9027, 11.9027)*CHOOSE(CONTROL!$C$21, $C$9, 100%, $E$9)</f>
        <v>11.902699999999999</v>
      </c>
      <c r="H295" s="14">
        <f>CHOOSE(CONTROL!$C$42, 12.1274, 12.1274) * CHOOSE(CONTROL!$C$21, $C$9, 100%, $E$9)</f>
        <v>12.1274</v>
      </c>
      <c r="I295" s="14">
        <f>CHOOSE(CONTROL!$C$42, 11.9135, 11.9135)* CHOOSE(CONTROL!$C$21, $C$9, 100%, $E$9)</f>
        <v>11.913500000000001</v>
      </c>
      <c r="J295" s="14">
        <f>CHOOSE(CONTROL!$C$42, 11.8794, 11.8794)* CHOOSE(CONTROL!$C$21, $C$9, 100%, $E$9)</f>
        <v>11.8794</v>
      </c>
      <c r="K295" s="53">
        <f>CHOOSE(CONTROL!$C$42, 11.9096, 11.9096) * CHOOSE(CONTROL!$C$21, $C$9, 100%, $E$9)</f>
        <v>11.909599999999999</v>
      </c>
      <c r="L295" s="14">
        <f>CHOOSE(CONTROL!$C$42, 12.7144, 12.7144) * CHOOSE(CONTROL!$C$21, $C$9, 100%, $E$9)</f>
        <v>12.714399999999999</v>
      </c>
      <c r="M295" s="14">
        <f>CHOOSE(CONTROL!$C$42, 11.7733, 11.7733) * CHOOSE(CONTROL!$C$21, $C$9, 100%, $E$9)</f>
        <v>11.773300000000001</v>
      </c>
      <c r="N295" s="14">
        <f>CHOOSE(CONTROL!$C$42, 11.7895, 11.7895) * CHOOSE(CONTROL!$C$21, $C$9, 100%, $E$9)</f>
        <v>11.7895</v>
      </c>
      <c r="O295" s="14">
        <f>CHOOSE(CONTROL!$C$42, 12.0189, 12.0189) * CHOOSE(CONTROL!$C$21, $C$9, 100%, $E$9)</f>
        <v>12.0189</v>
      </c>
      <c r="P295" s="14">
        <f>CHOOSE(CONTROL!$C$42, 11.8072, 11.8072) * CHOOSE(CONTROL!$C$21, $C$9, 100%, $E$9)</f>
        <v>11.8072</v>
      </c>
      <c r="Q295" s="14">
        <f>CHOOSE(CONTROL!$C$42, 12.6142, 12.6142) * CHOOSE(CONTROL!$C$21, $C$9, 100%, $E$9)</f>
        <v>12.6142</v>
      </c>
      <c r="R295" s="14">
        <f>CHOOSE(CONTROL!$C$42, 13.2327, 13.2327) * CHOOSE(CONTROL!$C$21, $C$9, 100%, $E$9)</f>
        <v>13.232699999999999</v>
      </c>
      <c r="S295" s="14">
        <f>CHOOSE(CONTROL!$C$42, 11.5539, 11.5539) * CHOOSE(CONTROL!$C$21, $C$9, 100%, $E$9)</f>
        <v>11.553900000000001</v>
      </c>
      <c r="T29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295" s="57">
        <f>(1000*CHOOSE(CONTROL!$C$42, 695, 695)*CHOOSE(CONTROL!$C$42, 0.5599, 0.5599)*CHOOSE(CONTROL!$C$42, 31, 31))/1000000</f>
        <v>12.063045499999998</v>
      </c>
      <c r="V295" s="57">
        <f>(1000*CHOOSE(CONTROL!$C$42, 500, 500)*CHOOSE(CONTROL!$C$42, 0.275, 0.275)*CHOOSE(CONTROL!$C$42, 31, 31))/1000000</f>
        <v>4.2625000000000002</v>
      </c>
      <c r="W295" s="57">
        <f>(1000*CHOOSE(CONTROL!$C$42, 0.1146, 0.1146)*CHOOSE(CONTROL!$C$42, 121.5, 121.5)*CHOOSE(CONTROL!$C$42, 31, 31))/1000000</f>
        <v>0.43164089999999994</v>
      </c>
      <c r="X295" s="57">
        <f>(31*0.1790888*245000/1000000)+(31*0.2374*100000/1000000)</f>
        <v>2.0961194359999999</v>
      </c>
      <c r="Y295" s="57"/>
      <c r="Z295" s="14"/>
      <c r="AA295" s="56"/>
      <c r="AB295" s="50">
        <f>(B295*194.205+C295*267.466+D295*133.845+E295*53.484+F295*40+G295*185+H295*0+I295*100+J295*300)/(194.205+267.466+133.845+53.484+0+40+185+100+300)</f>
        <v>11.930475465698587</v>
      </c>
      <c r="AC295" s="45">
        <f>(M295*'RAP TEMPLATE-GAS AVAILABILITY'!O294+N295*'RAP TEMPLATE-GAS AVAILABILITY'!P294+O295*'RAP TEMPLATE-GAS AVAILABILITY'!Q294+P295*'RAP TEMPLATE-GAS AVAILABILITY'!R294)/('RAP TEMPLATE-GAS AVAILABILITY'!O294+'RAP TEMPLATE-GAS AVAILABILITY'!P294+'RAP TEMPLATE-GAS AVAILABILITY'!Q294+'RAP TEMPLATE-GAS AVAILABILITY'!R294)</f>
        <v>11.850816546762589</v>
      </c>
    </row>
    <row r="296" spans="1:29" ht="15.75" x14ac:dyDescent="0.25">
      <c r="A296" s="34">
        <v>49888</v>
      </c>
      <c r="B296" s="14">
        <f>CHOOSE(CONTROL!$C$42, 11.3145, 11.3145) * CHOOSE(CONTROL!$C$21, $C$9, 100%, $E$9)</f>
        <v>11.314500000000001</v>
      </c>
      <c r="C296" s="14">
        <f>CHOOSE(CONTROL!$C$42, 11.3224, 11.3224) * CHOOSE(CONTROL!$C$21, $C$9, 100%, $E$9)</f>
        <v>11.3224</v>
      </c>
      <c r="D296" s="14">
        <f>CHOOSE(CONTROL!$C$42, 11.52, 11.52) * CHOOSE(CONTROL!$C$21, $C$9, 100%, $E$9)</f>
        <v>11.52</v>
      </c>
      <c r="E296" s="14">
        <f>CHOOSE(CONTROL!$C$42, 11.5512, 11.5512) * CHOOSE(CONTROL!$C$21, $C$9, 100%, $E$9)</f>
        <v>11.5512</v>
      </c>
      <c r="F296" s="14">
        <f>CHOOSE(CONTROL!$C$42, 11.299, 11.299)*CHOOSE(CONTROL!$C$21, $C$9, 100%, $E$9)</f>
        <v>11.298999999999999</v>
      </c>
      <c r="G296" s="14">
        <f>CHOOSE(CONTROL!$C$42, 11.3153, 11.3153)*CHOOSE(CONTROL!$C$21, $C$9, 100%, $E$9)</f>
        <v>11.315300000000001</v>
      </c>
      <c r="H296" s="14">
        <f>CHOOSE(CONTROL!$C$42, 11.5398, 11.5398) * CHOOSE(CONTROL!$C$21, $C$9, 100%, $E$9)</f>
        <v>11.5398</v>
      </c>
      <c r="I296" s="14">
        <f>CHOOSE(CONTROL!$C$42, 11.3259, 11.3259)* CHOOSE(CONTROL!$C$21, $C$9, 100%, $E$9)</f>
        <v>11.325900000000001</v>
      </c>
      <c r="J296" s="14">
        <f>CHOOSE(CONTROL!$C$42, 11.292, 11.292)* CHOOSE(CONTROL!$C$21, $C$9, 100%, $E$9)</f>
        <v>11.292</v>
      </c>
      <c r="K296" s="53">
        <f>CHOOSE(CONTROL!$C$42, 11.322, 11.322) * CHOOSE(CONTROL!$C$21, $C$9, 100%, $E$9)</f>
        <v>11.321999999999999</v>
      </c>
      <c r="L296" s="14">
        <f>CHOOSE(CONTROL!$C$42, 12.1268, 12.1268) * CHOOSE(CONTROL!$C$21, $C$9, 100%, $E$9)</f>
        <v>12.126799999999999</v>
      </c>
      <c r="M296" s="14">
        <f>CHOOSE(CONTROL!$C$42, 11.1918, 11.1918) * CHOOSE(CONTROL!$C$21, $C$9, 100%, $E$9)</f>
        <v>11.191800000000001</v>
      </c>
      <c r="N296" s="14">
        <f>CHOOSE(CONTROL!$C$42, 11.208, 11.208) * CHOOSE(CONTROL!$C$21, $C$9, 100%, $E$9)</f>
        <v>11.208</v>
      </c>
      <c r="O296" s="14">
        <f>CHOOSE(CONTROL!$C$42, 11.4372, 11.4372) * CHOOSE(CONTROL!$C$21, $C$9, 100%, $E$9)</f>
        <v>11.437200000000001</v>
      </c>
      <c r="P296" s="14">
        <f>CHOOSE(CONTROL!$C$42, 11.2254, 11.2254) * CHOOSE(CONTROL!$C$21, $C$9, 100%, $E$9)</f>
        <v>11.2254</v>
      </c>
      <c r="Q296" s="14">
        <f>CHOOSE(CONTROL!$C$42, 12.0325, 12.0325) * CHOOSE(CONTROL!$C$21, $C$9, 100%, $E$9)</f>
        <v>12.032500000000001</v>
      </c>
      <c r="R296" s="14">
        <f>CHOOSE(CONTROL!$C$42, 12.6495, 12.6495) * CHOOSE(CONTROL!$C$21, $C$9, 100%, $E$9)</f>
        <v>12.6495</v>
      </c>
      <c r="S296" s="14">
        <f>CHOOSE(CONTROL!$C$42, 10.9833, 10.9833) * CHOOSE(CONTROL!$C$21, $C$9, 100%, $E$9)</f>
        <v>10.9833</v>
      </c>
      <c r="T29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296" s="57">
        <f>(1000*CHOOSE(CONTROL!$C$42, 695, 695)*CHOOSE(CONTROL!$C$42, 0.5599, 0.5599)*CHOOSE(CONTROL!$C$42, 31, 31))/1000000</f>
        <v>12.063045499999998</v>
      </c>
      <c r="V296" s="57">
        <f>(1000*CHOOSE(CONTROL!$C$42, 500, 500)*CHOOSE(CONTROL!$C$42, 0.275, 0.275)*CHOOSE(CONTROL!$C$42, 31, 31))/1000000</f>
        <v>4.2625000000000002</v>
      </c>
      <c r="W296" s="57">
        <f>(1000*CHOOSE(CONTROL!$C$42, 0.1146, 0.1146)*CHOOSE(CONTROL!$C$42, 121.5, 121.5)*CHOOSE(CONTROL!$C$42, 31, 31))/1000000</f>
        <v>0.43164089999999994</v>
      </c>
      <c r="X296" s="57">
        <f>(31*0.1790888*245000/1000000)+(31*0.2374*100000/1000000)</f>
        <v>2.0961194359999999</v>
      </c>
      <c r="Y296" s="57"/>
      <c r="Z296" s="14"/>
      <c r="AA296" s="56"/>
      <c r="AB296" s="50">
        <f>(B296*194.205+C296*267.466+D296*133.845+E296*53.484+F296*40+G296*185+H296*0+I296*100+J296*300)/(194.205+267.466+133.845+53.484+0+40+185+100+300)</f>
        <v>11.342911139481947</v>
      </c>
      <c r="AC296" s="45">
        <f>(M296*'RAP TEMPLATE-GAS AVAILABILITY'!O295+N296*'RAP TEMPLATE-GAS AVAILABILITY'!P295+O296*'RAP TEMPLATE-GAS AVAILABILITY'!Q295+P296*'RAP TEMPLATE-GAS AVAILABILITY'!R295)/('RAP TEMPLATE-GAS AVAILABILITY'!O295+'RAP TEMPLATE-GAS AVAILABILITY'!P295+'RAP TEMPLATE-GAS AVAILABILITY'!Q295+'RAP TEMPLATE-GAS AVAILABILITY'!R295)</f>
        <v>11.269217266187052</v>
      </c>
    </row>
    <row r="297" spans="1:29" ht="15.75" x14ac:dyDescent="0.25">
      <c r="A297" s="34">
        <v>49919</v>
      </c>
      <c r="B297" s="14">
        <f>CHOOSE(CONTROL!$C$42, 10.5961, 10.5961) * CHOOSE(CONTROL!$C$21, $C$9, 100%, $E$9)</f>
        <v>10.5961</v>
      </c>
      <c r="C297" s="14">
        <f>CHOOSE(CONTROL!$C$42, 10.6041, 10.6041) * CHOOSE(CONTROL!$C$21, $C$9, 100%, $E$9)</f>
        <v>10.604100000000001</v>
      </c>
      <c r="D297" s="14">
        <f>CHOOSE(CONTROL!$C$42, 10.8016, 10.8016) * CHOOSE(CONTROL!$C$21, $C$9, 100%, $E$9)</f>
        <v>10.801600000000001</v>
      </c>
      <c r="E297" s="14">
        <f>CHOOSE(CONTROL!$C$42, 10.8328, 10.8328) * CHOOSE(CONTROL!$C$21, $C$9, 100%, $E$9)</f>
        <v>10.832800000000001</v>
      </c>
      <c r="F297" s="14">
        <f>CHOOSE(CONTROL!$C$42, 10.5805, 10.5805)*CHOOSE(CONTROL!$C$21, $C$9, 100%, $E$9)</f>
        <v>10.580500000000001</v>
      </c>
      <c r="G297" s="14">
        <f>CHOOSE(CONTROL!$C$42, 10.5969, 10.5969)*CHOOSE(CONTROL!$C$21, $C$9, 100%, $E$9)</f>
        <v>10.5969</v>
      </c>
      <c r="H297" s="14">
        <f>CHOOSE(CONTROL!$C$42, 10.8214, 10.8214) * CHOOSE(CONTROL!$C$21, $C$9, 100%, $E$9)</f>
        <v>10.821400000000001</v>
      </c>
      <c r="I297" s="14">
        <f>CHOOSE(CONTROL!$C$42, 10.6075, 10.6075)* CHOOSE(CONTROL!$C$21, $C$9, 100%, $E$9)</f>
        <v>10.6075</v>
      </c>
      <c r="J297" s="14">
        <f>CHOOSE(CONTROL!$C$42, 10.5735, 10.5735)* CHOOSE(CONTROL!$C$21, $C$9, 100%, $E$9)</f>
        <v>10.573499999999999</v>
      </c>
      <c r="K297" s="53">
        <f>CHOOSE(CONTROL!$C$42, 10.6036, 10.6036) * CHOOSE(CONTROL!$C$21, $C$9, 100%, $E$9)</f>
        <v>10.6036</v>
      </c>
      <c r="L297" s="14">
        <f>CHOOSE(CONTROL!$C$42, 11.4084, 11.4084) * CHOOSE(CONTROL!$C$21, $C$9, 100%, $E$9)</f>
        <v>11.4084</v>
      </c>
      <c r="M297" s="14">
        <f>CHOOSE(CONTROL!$C$42, 10.4806, 10.4806) * CHOOSE(CONTROL!$C$21, $C$9, 100%, $E$9)</f>
        <v>10.480600000000001</v>
      </c>
      <c r="N297" s="14">
        <f>CHOOSE(CONTROL!$C$42, 10.4968, 10.4968) * CHOOSE(CONTROL!$C$21, $C$9, 100%, $E$9)</f>
        <v>10.4968</v>
      </c>
      <c r="O297" s="14">
        <f>CHOOSE(CONTROL!$C$42, 10.726, 10.726) * CHOOSE(CONTROL!$C$21, $C$9, 100%, $E$9)</f>
        <v>10.726000000000001</v>
      </c>
      <c r="P297" s="14">
        <f>CHOOSE(CONTROL!$C$42, 10.5143, 10.5143) * CHOOSE(CONTROL!$C$21, $C$9, 100%, $E$9)</f>
        <v>10.5143</v>
      </c>
      <c r="Q297" s="14">
        <f>CHOOSE(CONTROL!$C$42, 11.3213, 11.3213) * CHOOSE(CONTROL!$C$21, $C$9, 100%, $E$9)</f>
        <v>11.321300000000001</v>
      </c>
      <c r="R297" s="14">
        <f>CHOOSE(CONTROL!$C$42, 11.9366, 11.9366) * CHOOSE(CONTROL!$C$21, $C$9, 100%, $E$9)</f>
        <v>11.9366</v>
      </c>
      <c r="S297" s="14">
        <f>CHOOSE(CONTROL!$C$42, 10.2857, 10.2857) * CHOOSE(CONTROL!$C$21, $C$9, 100%, $E$9)</f>
        <v>10.2857</v>
      </c>
      <c r="T29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297" s="57">
        <f>(1000*CHOOSE(CONTROL!$C$42, 695, 695)*CHOOSE(CONTROL!$C$42, 0.5599, 0.5599)*CHOOSE(CONTROL!$C$42, 30, 30))/1000000</f>
        <v>11.673914999999997</v>
      </c>
      <c r="V297" s="57">
        <f>(1000*CHOOSE(CONTROL!$C$42, 500, 500)*CHOOSE(CONTROL!$C$42, 0.275, 0.275)*CHOOSE(CONTROL!$C$42, 30, 30))/1000000</f>
        <v>4.125</v>
      </c>
      <c r="W297" s="57">
        <f>(1000*CHOOSE(CONTROL!$C$42, 0.1146, 0.1146)*CHOOSE(CONTROL!$C$42, 121.5, 121.5)*CHOOSE(CONTROL!$C$42, 30, 30))/1000000</f>
        <v>0.417717</v>
      </c>
      <c r="X297" s="57">
        <f>(30*0.1790888*245000/1000000)+(30*0.2374*100000/1000000)</f>
        <v>2.0285026799999999</v>
      </c>
      <c r="Y297" s="57"/>
      <c r="Z297" s="14"/>
      <c r="AA297" s="56"/>
      <c r="AB297" s="50">
        <f>(B297*194.205+C297*267.466+D297*133.845+E297*53.484+F297*40+G297*185+H297*0+I297*100+J297*300)/(194.205+267.466+133.845+53.484+0+40+185+100+300)</f>
        <v>10.624505446075354</v>
      </c>
      <c r="AC297" s="45">
        <f>(M297*'RAP TEMPLATE-GAS AVAILABILITY'!O296+N297*'RAP TEMPLATE-GAS AVAILABILITY'!P296+O297*'RAP TEMPLATE-GAS AVAILABILITY'!Q296+P297*'RAP TEMPLATE-GAS AVAILABILITY'!R296)/('RAP TEMPLATE-GAS AVAILABILITY'!O296+'RAP TEMPLATE-GAS AVAILABILITY'!P296+'RAP TEMPLATE-GAS AVAILABILITY'!Q296+'RAP TEMPLATE-GAS AVAILABILITY'!R296)</f>
        <v>10.55803165467626</v>
      </c>
    </row>
    <row r="298" spans="1:29" ht="15.75" x14ac:dyDescent="0.25">
      <c r="A298" s="34">
        <v>49949</v>
      </c>
      <c r="B298" s="14">
        <f>CHOOSE(CONTROL!$C$42, 10.3793, 10.3793) * CHOOSE(CONTROL!$C$21, $C$9, 100%, $E$9)</f>
        <v>10.379300000000001</v>
      </c>
      <c r="C298" s="14">
        <f>CHOOSE(CONTROL!$C$42, 10.3846, 10.3846) * CHOOSE(CONTROL!$C$21, $C$9, 100%, $E$9)</f>
        <v>10.384600000000001</v>
      </c>
      <c r="D298" s="14">
        <f>CHOOSE(CONTROL!$C$42, 10.5871, 10.5871) * CHOOSE(CONTROL!$C$21, $C$9, 100%, $E$9)</f>
        <v>10.5871</v>
      </c>
      <c r="E298" s="14">
        <f>CHOOSE(CONTROL!$C$42, 10.6159, 10.6159) * CHOOSE(CONTROL!$C$21, $C$9, 100%, $E$9)</f>
        <v>10.6159</v>
      </c>
      <c r="F298" s="14">
        <f>CHOOSE(CONTROL!$C$42, 10.3657, 10.3657)*CHOOSE(CONTROL!$C$21, $C$9, 100%, $E$9)</f>
        <v>10.3657</v>
      </c>
      <c r="G298" s="14">
        <f>CHOOSE(CONTROL!$C$42, 10.3817, 10.3817)*CHOOSE(CONTROL!$C$21, $C$9, 100%, $E$9)</f>
        <v>10.3817</v>
      </c>
      <c r="H298" s="14">
        <f>CHOOSE(CONTROL!$C$42, 10.6064, 10.6064) * CHOOSE(CONTROL!$C$21, $C$9, 100%, $E$9)</f>
        <v>10.606400000000001</v>
      </c>
      <c r="I298" s="14">
        <f>CHOOSE(CONTROL!$C$42, 10.3925, 10.3925)* CHOOSE(CONTROL!$C$21, $C$9, 100%, $E$9)</f>
        <v>10.3925</v>
      </c>
      <c r="J298" s="14">
        <f>CHOOSE(CONTROL!$C$42, 10.3587, 10.3587)* CHOOSE(CONTROL!$C$21, $C$9, 100%, $E$9)</f>
        <v>10.358700000000001</v>
      </c>
      <c r="K298" s="53">
        <f>CHOOSE(CONTROL!$C$42, 10.3886, 10.3886) * CHOOSE(CONTROL!$C$21, $C$9, 100%, $E$9)</f>
        <v>10.3886</v>
      </c>
      <c r="L298" s="14">
        <f>CHOOSE(CONTROL!$C$42, 11.1934, 11.1934) * CHOOSE(CONTROL!$C$21, $C$9, 100%, $E$9)</f>
        <v>11.1934</v>
      </c>
      <c r="M298" s="14">
        <f>CHOOSE(CONTROL!$C$42, 10.268, 10.268) * CHOOSE(CONTROL!$C$21, $C$9, 100%, $E$9)</f>
        <v>10.268000000000001</v>
      </c>
      <c r="N298" s="14">
        <f>CHOOSE(CONTROL!$C$42, 10.2839, 10.2839) * CHOOSE(CONTROL!$C$21, $C$9, 100%, $E$9)</f>
        <v>10.283899999999999</v>
      </c>
      <c r="O298" s="14">
        <f>CHOOSE(CONTROL!$C$42, 10.5132, 10.5132) * CHOOSE(CONTROL!$C$21, $C$9, 100%, $E$9)</f>
        <v>10.513199999999999</v>
      </c>
      <c r="P298" s="14">
        <f>CHOOSE(CONTROL!$C$42, 10.3015, 10.3015) * CHOOSE(CONTROL!$C$21, $C$9, 100%, $E$9)</f>
        <v>10.301500000000001</v>
      </c>
      <c r="Q298" s="14">
        <f>CHOOSE(CONTROL!$C$42, 11.1085, 11.1085) * CHOOSE(CONTROL!$C$21, $C$9, 100%, $E$9)</f>
        <v>11.108499999999999</v>
      </c>
      <c r="R298" s="14">
        <f>CHOOSE(CONTROL!$C$42, 11.7232, 11.7232) * CHOOSE(CONTROL!$C$21, $C$9, 100%, $E$9)</f>
        <v>11.7232</v>
      </c>
      <c r="S298" s="14">
        <f>CHOOSE(CONTROL!$C$42, 10.0768, 10.0768) * CHOOSE(CONTROL!$C$21, $C$9, 100%, $E$9)</f>
        <v>10.0768</v>
      </c>
      <c r="T29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298" s="57">
        <f>(1000*CHOOSE(CONTROL!$C$42, 695, 695)*CHOOSE(CONTROL!$C$42, 0.5599, 0.5599)*CHOOSE(CONTROL!$C$42, 31, 31))/1000000</f>
        <v>12.063045499999998</v>
      </c>
      <c r="V298" s="57">
        <f>(1000*CHOOSE(CONTROL!$C$42, 500, 500)*CHOOSE(CONTROL!$C$42, 0.275, 0.275)*CHOOSE(CONTROL!$C$42, 31, 31))/1000000</f>
        <v>4.2625000000000002</v>
      </c>
      <c r="W298" s="57">
        <f>(1000*CHOOSE(CONTROL!$C$42, 0.1146, 0.1146)*CHOOSE(CONTROL!$C$42, 121.5, 121.5)*CHOOSE(CONTROL!$C$42, 31, 31))/1000000</f>
        <v>0.43164089999999994</v>
      </c>
      <c r="X298" s="57">
        <f>(31*0.1790888*245000/1000000)+(31*0.2374*100000/1000000)</f>
        <v>2.0961194359999999</v>
      </c>
      <c r="Y298" s="57"/>
      <c r="Z298" s="14"/>
      <c r="AA298" s="56"/>
      <c r="AB298" s="50">
        <f>(B298*131.881+C298*277.167+D298*79.08+E298*125.872+F298*40+G298*185+H298*0+I298*100+J298*300)/(131.881+277.167+79.08+125.872+0+40+185+100+300)</f>
        <v>10.413781940516547</v>
      </c>
      <c r="AC298" s="45">
        <f>(M298*'RAP TEMPLATE-GAS AVAILABILITY'!O297+N298*'RAP TEMPLATE-GAS AVAILABILITY'!P297+O298*'RAP TEMPLATE-GAS AVAILABILITY'!Q297+P298*'RAP TEMPLATE-GAS AVAILABILITY'!R297)/('RAP TEMPLATE-GAS AVAILABILITY'!O297+'RAP TEMPLATE-GAS AVAILABILITY'!P297+'RAP TEMPLATE-GAS AVAILABILITY'!Q297+'RAP TEMPLATE-GAS AVAILABILITY'!R297)</f>
        <v>10.345277697841727</v>
      </c>
    </row>
    <row r="299" spans="1:29" ht="15.75" x14ac:dyDescent="0.25">
      <c r="A299" s="34">
        <v>49980</v>
      </c>
      <c r="B299" s="14">
        <f>CHOOSE(CONTROL!$C$42, 10.6523, 10.6523) * CHOOSE(CONTROL!$C$21, $C$9, 100%, $E$9)</f>
        <v>10.6523</v>
      </c>
      <c r="C299" s="14">
        <f>CHOOSE(CONTROL!$C$42, 10.6572, 10.6572) * CHOOSE(CONTROL!$C$21, $C$9, 100%, $E$9)</f>
        <v>10.6572</v>
      </c>
      <c r="D299" s="14">
        <f>CHOOSE(CONTROL!$C$42, 10.7203, 10.7203) * CHOOSE(CONTROL!$C$21, $C$9, 100%, $E$9)</f>
        <v>10.7203</v>
      </c>
      <c r="E299" s="14">
        <f>CHOOSE(CONTROL!$C$42, 10.7541, 10.7541) * CHOOSE(CONTROL!$C$21, $C$9, 100%, $E$9)</f>
        <v>10.754099999999999</v>
      </c>
      <c r="F299" s="14">
        <f>CHOOSE(CONTROL!$C$42, 10.653, 10.653)*CHOOSE(CONTROL!$C$21, $C$9, 100%, $E$9)</f>
        <v>10.653</v>
      </c>
      <c r="G299" s="14">
        <f>CHOOSE(CONTROL!$C$42, 10.6693, 10.6693)*CHOOSE(CONTROL!$C$21, $C$9, 100%, $E$9)</f>
        <v>10.6693</v>
      </c>
      <c r="H299" s="14">
        <f>CHOOSE(CONTROL!$C$42, 10.7433, 10.7433) * CHOOSE(CONTROL!$C$21, $C$9, 100%, $E$9)</f>
        <v>10.7433</v>
      </c>
      <c r="I299" s="14">
        <f>CHOOSE(CONTROL!$C$42, 10.6658, 10.6658)* CHOOSE(CONTROL!$C$21, $C$9, 100%, $E$9)</f>
        <v>10.665800000000001</v>
      </c>
      <c r="J299" s="14">
        <f>CHOOSE(CONTROL!$C$42, 10.646, 10.646)* CHOOSE(CONTROL!$C$21, $C$9, 100%, $E$9)</f>
        <v>10.646000000000001</v>
      </c>
      <c r="K299" s="53">
        <f>CHOOSE(CONTROL!$C$42, 10.6619, 10.6619) * CHOOSE(CONTROL!$C$21, $C$9, 100%, $E$9)</f>
        <v>10.661899999999999</v>
      </c>
      <c r="L299" s="14">
        <f>CHOOSE(CONTROL!$C$42, 11.3303, 11.3303) * CHOOSE(CONTROL!$C$21, $C$9, 100%, $E$9)</f>
        <v>11.330299999999999</v>
      </c>
      <c r="M299" s="14">
        <f>CHOOSE(CONTROL!$C$42, 10.5524, 10.5524) * CHOOSE(CONTROL!$C$21, $C$9, 100%, $E$9)</f>
        <v>10.5524</v>
      </c>
      <c r="N299" s="14">
        <f>CHOOSE(CONTROL!$C$42, 10.5685, 10.5685) * CHOOSE(CONTROL!$C$21, $C$9, 100%, $E$9)</f>
        <v>10.5685</v>
      </c>
      <c r="O299" s="14">
        <f>CHOOSE(CONTROL!$C$42, 10.6487, 10.6487) * CHOOSE(CONTROL!$C$21, $C$9, 100%, $E$9)</f>
        <v>10.6487</v>
      </c>
      <c r="P299" s="14">
        <f>CHOOSE(CONTROL!$C$42, 10.5721, 10.5721) * CHOOSE(CONTROL!$C$21, $C$9, 100%, $E$9)</f>
        <v>10.572100000000001</v>
      </c>
      <c r="Q299" s="14">
        <f>CHOOSE(CONTROL!$C$42, 11.244, 11.244) * CHOOSE(CONTROL!$C$21, $C$9, 100%, $E$9)</f>
        <v>11.244</v>
      </c>
      <c r="R299" s="14">
        <f>CHOOSE(CONTROL!$C$42, 11.8591, 11.8591) * CHOOSE(CONTROL!$C$21, $C$9, 100%, $E$9)</f>
        <v>11.8591</v>
      </c>
      <c r="S299" s="14">
        <f>CHOOSE(CONTROL!$C$42, 10.3423, 10.3423) * CHOOSE(CONTROL!$C$21, $C$9, 100%, $E$9)</f>
        <v>10.3423</v>
      </c>
      <c r="T29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299" s="57">
        <f>(1000*CHOOSE(CONTROL!$C$42, 695, 695)*CHOOSE(CONTROL!$C$42, 0.5599, 0.5599)*CHOOSE(CONTROL!$C$42, 30, 30))/1000000</f>
        <v>11.673914999999997</v>
      </c>
      <c r="V299" s="57">
        <f>(1000*CHOOSE(CONTROL!$C$42, 500, 500)*CHOOSE(CONTROL!$C$42, 0.275, 0.275)*CHOOSE(CONTROL!$C$42, 30, 30))/1000000</f>
        <v>4.125</v>
      </c>
      <c r="W299" s="57">
        <f>(1000*CHOOSE(CONTROL!$C$42, 0.1146, 0.1146)*CHOOSE(CONTROL!$C$42, 121.5, 121.5)*CHOOSE(CONTROL!$C$42, 30, 30))/1000000</f>
        <v>0.417717</v>
      </c>
      <c r="X299" s="57">
        <f>(30*0.1790888*100000/1000000)+(30*0.2374*100000/1000000)</f>
        <v>1.2494664</v>
      </c>
      <c r="Y299" s="57"/>
      <c r="Z299" s="14"/>
      <c r="AA299" s="56"/>
      <c r="AB299" s="50">
        <f>(B299*122.58+C299*297.941+D299*89.177+E299*40.302+F299*40+G299*160+H299*0+I299*100+J299*300)/(122.58+297.941+89.177+40.302+0+40+160+100+300)</f>
        <v>10.664330165652174</v>
      </c>
      <c r="AC299" s="45">
        <f>(M299*'RAP TEMPLATE-GAS AVAILABILITY'!O298+N299*'RAP TEMPLATE-GAS AVAILABILITY'!P298+O299*'RAP TEMPLATE-GAS AVAILABILITY'!Q298+P299*'RAP TEMPLATE-GAS AVAILABILITY'!R298)/('RAP TEMPLATE-GAS AVAILABILITY'!O298+'RAP TEMPLATE-GAS AVAILABILITY'!P298+'RAP TEMPLATE-GAS AVAILABILITY'!Q298+'RAP TEMPLATE-GAS AVAILABILITY'!R298)</f>
        <v>10.599807913669064</v>
      </c>
    </row>
    <row r="300" spans="1:29" ht="15.75" x14ac:dyDescent="0.25">
      <c r="A300" s="34">
        <v>50010</v>
      </c>
      <c r="B300" s="14">
        <f>CHOOSE(CONTROL!$C$42, 11.3783, 11.3783) * CHOOSE(CONTROL!$C$21, $C$9, 100%, $E$9)</f>
        <v>11.378299999999999</v>
      </c>
      <c r="C300" s="14">
        <f>CHOOSE(CONTROL!$C$42, 11.3833, 11.3833) * CHOOSE(CONTROL!$C$21, $C$9, 100%, $E$9)</f>
        <v>11.3833</v>
      </c>
      <c r="D300" s="14">
        <f>CHOOSE(CONTROL!$C$42, 11.4464, 11.4464) * CHOOSE(CONTROL!$C$21, $C$9, 100%, $E$9)</f>
        <v>11.446400000000001</v>
      </c>
      <c r="E300" s="14">
        <f>CHOOSE(CONTROL!$C$42, 11.4801, 11.4801) * CHOOSE(CONTROL!$C$21, $C$9, 100%, $E$9)</f>
        <v>11.4801</v>
      </c>
      <c r="F300" s="14">
        <f>CHOOSE(CONTROL!$C$42, 11.3811, 11.3811)*CHOOSE(CONTROL!$C$21, $C$9, 100%, $E$9)</f>
        <v>11.3811</v>
      </c>
      <c r="G300" s="14">
        <f>CHOOSE(CONTROL!$C$42, 11.3979, 11.3979)*CHOOSE(CONTROL!$C$21, $C$9, 100%, $E$9)</f>
        <v>11.3979</v>
      </c>
      <c r="H300" s="14">
        <f>CHOOSE(CONTROL!$C$42, 11.4693, 11.4693) * CHOOSE(CONTROL!$C$21, $C$9, 100%, $E$9)</f>
        <v>11.4693</v>
      </c>
      <c r="I300" s="14">
        <f>CHOOSE(CONTROL!$C$42, 11.3919, 11.3919)* CHOOSE(CONTROL!$C$21, $C$9, 100%, $E$9)</f>
        <v>11.3919</v>
      </c>
      <c r="J300" s="14">
        <f>CHOOSE(CONTROL!$C$42, 11.3741, 11.3741)* CHOOSE(CONTROL!$C$21, $C$9, 100%, $E$9)</f>
        <v>11.3741</v>
      </c>
      <c r="K300" s="53">
        <f>CHOOSE(CONTROL!$C$42, 11.388, 11.388) * CHOOSE(CONTROL!$C$21, $C$9, 100%, $E$9)</f>
        <v>11.388</v>
      </c>
      <c r="L300" s="14">
        <f>CHOOSE(CONTROL!$C$42, 12.0563, 12.0563) * CHOOSE(CONTROL!$C$21, $C$9, 100%, $E$9)</f>
        <v>12.0563</v>
      </c>
      <c r="M300" s="14">
        <f>CHOOSE(CONTROL!$C$42, 11.2731, 11.2731) * CHOOSE(CONTROL!$C$21, $C$9, 100%, $E$9)</f>
        <v>11.273099999999999</v>
      </c>
      <c r="N300" s="14">
        <f>CHOOSE(CONTROL!$C$42, 11.2898, 11.2898) * CHOOSE(CONTROL!$C$21, $C$9, 100%, $E$9)</f>
        <v>11.2898</v>
      </c>
      <c r="O300" s="14">
        <f>CHOOSE(CONTROL!$C$42, 11.3674, 11.3674) * CHOOSE(CONTROL!$C$21, $C$9, 100%, $E$9)</f>
        <v>11.3674</v>
      </c>
      <c r="P300" s="14">
        <f>CHOOSE(CONTROL!$C$42, 11.2908, 11.2908) * CHOOSE(CONTROL!$C$21, $C$9, 100%, $E$9)</f>
        <v>11.290800000000001</v>
      </c>
      <c r="Q300" s="14">
        <f>CHOOSE(CONTROL!$C$42, 11.9627, 11.9627) * CHOOSE(CONTROL!$C$21, $C$9, 100%, $E$9)</f>
        <v>11.9627</v>
      </c>
      <c r="R300" s="14">
        <f>CHOOSE(CONTROL!$C$42, 12.5796, 12.5796) * CHOOSE(CONTROL!$C$21, $C$9, 100%, $E$9)</f>
        <v>12.579599999999999</v>
      </c>
      <c r="S300" s="14">
        <f>CHOOSE(CONTROL!$C$42, 11.0474, 11.0474) * CHOOSE(CONTROL!$C$21, $C$9, 100%, $E$9)</f>
        <v>11.0474</v>
      </c>
      <c r="T30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00" s="57">
        <f>(1000*CHOOSE(CONTROL!$C$42, 695, 695)*CHOOSE(CONTROL!$C$42, 0.5599, 0.5599)*CHOOSE(CONTROL!$C$42, 31, 31))/1000000</f>
        <v>12.063045499999998</v>
      </c>
      <c r="V300" s="57">
        <f>(1000*CHOOSE(CONTROL!$C$42, 500, 500)*CHOOSE(CONTROL!$C$42, 0.275, 0.275)*CHOOSE(CONTROL!$C$42, 31, 31))/1000000</f>
        <v>4.2625000000000002</v>
      </c>
      <c r="W300" s="57">
        <f>(1000*CHOOSE(CONTROL!$C$42, 0.1146, 0.1146)*CHOOSE(CONTROL!$C$42, 121.5, 121.5)*CHOOSE(CONTROL!$C$42, 31, 31))/1000000</f>
        <v>0.43164089999999994</v>
      </c>
      <c r="X300" s="57">
        <f>(31*0.1790888*100000/1000000)+(31*0.2374*100000/1000000)</f>
        <v>1.2911152800000001</v>
      </c>
      <c r="Y300" s="57"/>
      <c r="Z300" s="14"/>
      <c r="AA300" s="56"/>
      <c r="AB300" s="50">
        <f>(B300*122.58+C300*297.941+D300*89.177+E300*40.302+F300*40+G300*160+H300*0+I300*100+J300*300)/(122.58+297.941+89.177+40.302+0+40+160+100+300)</f>
        <v>11.391355132434782</v>
      </c>
      <c r="AC300" s="45">
        <f>(M300*'RAP TEMPLATE-GAS AVAILABILITY'!O299+N300*'RAP TEMPLATE-GAS AVAILABILITY'!P299+O300*'RAP TEMPLATE-GAS AVAILABILITY'!Q299+P300*'RAP TEMPLATE-GAS AVAILABILITY'!R299)/('RAP TEMPLATE-GAS AVAILABILITY'!O299+'RAP TEMPLATE-GAS AVAILABILITY'!P299+'RAP TEMPLATE-GAS AVAILABILITY'!Q299+'RAP TEMPLATE-GAS AVAILABILITY'!R299)</f>
        <v>11.319348201438849</v>
      </c>
    </row>
    <row r="301" spans="1:29" ht="15.75" x14ac:dyDescent="0.25">
      <c r="A301" s="34">
        <v>50041</v>
      </c>
      <c r="B301" s="14">
        <f>CHOOSE(CONTROL!$C$42, 12.3104, 12.3104) * CHOOSE(CONTROL!$C$21, $C$9, 100%, $E$9)</f>
        <v>12.3104</v>
      </c>
      <c r="C301" s="14">
        <f>CHOOSE(CONTROL!$C$42, 12.3154, 12.3154) * CHOOSE(CONTROL!$C$21, $C$9, 100%, $E$9)</f>
        <v>12.3154</v>
      </c>
      <c r="D301" s="14">
        <f>CHOOSE(CONTROL!$C$42, 12.3796, 12.3796) * CHOOSE(CONTROL!$C$21, $C$9, 100%, $E$9)</f>
        <v>12.3796</v>
      </c>
      <c r="E301" s="14">
        <f>CHOOSE(CONTROL!$C$42, 12.4134, 12.4134) * CHOOSE(CONTROL!$C$21, $C$9, 100%, $E$9)</f>
        <v>12.413399999999999</v>
      </c>
      <c r="F301" s="14">
        <f>CHOOSE(CONTROL!$C$42, 12.3119, 12.3119)*CHOOSE(CONTROL!$C$21, $C$9, 100%, $E$9)</f>
        <v>12.3119</v>
      </c>
      <c r="G301" s="14">
        <f>CHOOSE(CONTROL!$C$42, 12.3278, 12.3278)*CHOOSE(CONTROL!$C$21, $C$9, 100%, $E$9)</f>
        <v>12.3278</v>
      </c>
      <c r="H301" s="14">
        <f>CHOOSE(CONTROL!$C$42, 12.4026, 12.4026) * CHOOSE(CONTROL!$C$21, $C$9, 100%, $E$9)</f>
        <v>12.4026</v>
      </c>
      <c r="I301" s="14">
        <f>CHOOSE(CONTROL!$C$42, 12.3304, 12.3304)* CHOOSE(CONTROL!$C$21, $C$9, 100%, $E$9)</f>
        <v>12.330399999999999</v>
      </c>
      <c r="J301" s="14">
        <f>CHOOSE(CONTROL!$C$42, 12.3049, 12.3049)* CHOOSE(CONTROL!$C$21, $C$9, 100%, $E$9)</f>
        <v>12.3049</v>
      </c>
      <c r="K301" s="53">
        <f>CHOOSE(CONTROL!$C$42, 12.3265, 12.3265) * CHOOSE(CONTROL!$C$21, $C$9, 100%, $E$9)</f>
        <v>12.326499999999999</v>
      </c>
      <c r="L301" s="14">
        <f>CHOOSE(CONTROL!$C$42, 12.9896, 12.9896) * CHOOSE(CONTROL!$C$21, $C$9, 100%, $E$9)</f>
        <v>12.989599999999999</v>
      </c>
      <c r="M301" s="14">
        <f>CHOOSE(CONTROL!$C$42, 12.1946, 12.1946) * CHOOSE(CONTROL!$C$21, $C$9, 100%, $E$9)</f>
        <v>12.194599999999999</v>
      </c>
      <c r="N301" s="14">
        <f>CHOOSE(CONTROL!$C$42, 12.2103, 12.2103) * CHOOSE(CONTROL!$C$21, $C$9, 100%, $E$9)</f>
        <v>12.2103</v>
      </c>
      <c r="O301" s="14">
        <f>CHOOSE(CONTROL!$C$42, 12.2913, 12.2913) * CHOOSE(CONTROL!$C$21, $C$9, 100%, $E$9)</f>
        <v>12.2913</v>
      </c>
      <c r="P301" s="14">
        <f>CHOOSE(CONTROL!$C$42, 12.2198, 12.2198) * CHOOSE(CONTROL!$C$21, $C$9, 100%, $E$9)</f>
        <v>12.219799999999999</v>
      </c>
      <c r="Q301" s="14">
        <f>CHOOSE(CONTROL!$C$42, 12.8866, 12.8866) * CHOOSE(CONTROL!$C$21, $C$9, 100%, $E$9)</f>
        <v>12.8866</v>
      </c>
      <c r="R301" s="14">
        <f>CHOOSE(CONTROL!$C$42, 13.5058, 13.5058) * CHOOSE(CONTROL!$C$21, $C$9, 100%, $E$9)</f>
        <v>13.505800000000001</v>
      </c>
      <c r="S301" s="14">
        <f>CHOOSE(CONTROL!$C$42, 11.9525, 11.9525) * CHOOSE(CONTROL!$C$21, $C$9, 100%, $E$9)</f>
        <v>11.952500000000001</v>
      </c>
      <c r="T30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01" s="57">
        <f>(1000*CHOOSE(CONTROL!$C$42, 695, 695)*CHOOSE(CONTROL!$C$42, 0.5599, 0.5599)*CHOOSE(CONTROL!$C$42, 31, 31))/1000000</f>
        <v>12.063045499999998</v>
      </c>
      <c r="V301" s="57">
        <f>(1000*CHOOSE(CONTROL!$C$42, 500, 500)*CHOOSE(CONTROL!$C$42, 0.275, 0.275)*CHOOSE(CONTROL!$C$42, 31, 31))/1000000</f>
        <v>4.2625000000000002</v>
      </c>
      <c r="W301" s="57">
        <f>(1000*CHOOSE(CONTROL!$C$42, 0.1146, 0.1146)*CHOOSE(CONTROL!$C$42, 121.5, 121.5)*CHOOSE(CONTROL!$C$42, 31, 31))/1000000</f>
        <v>0.43164089999999994</v>
      </c>
      <c r="X301" s="57">
        <f>(31*0.1790888*100000/1000000)+(31*0.2374*100000/1000000)</f>
        <v>1.2911152800000001</v>
      </c>
      <c r="Y301" s="57"/>
      <c r="Z301" s="14"/>
      <c r="AA301" s="56"/>
      <c r="AB301" s="50">
        <f>(B301*122.58+C301*297.941+D301*89.177+E301*40.302+F301*40+G301*160+H301*0+I301*100+J301*300)/(122.58+297.941+89.177+40.302+0+40+160+100+300)</f>
        <v>12.323448573391302</v>
      </c>
      <c r="AC301" s="45">
        <f>(M301*'RAP TEMPLATE-GAS AVAILABILITY'!O300+N301*'RAP TEMPLATE-GAS AVAILABILITY'!P300+O301*'RAP TEMPLATE-GAS AVAILABILITY'!Q300+P301*'RAP TEMPLATE-GAS AVAILABILITY'!R300)/('RAP TEMPLATE-GAS AVAILABILITY'!O300+'RAP TEMPLATE-GAS AVAILABILITY'!P300+'RAP TEMPLATE-GAS AVAILABILITY'!Q300+'RAP TEMPLATE-GAS AVAILABILITY'!R300)</f>
        <v>12.242957553956835</v>
      </c>
    </row>
    <row r="302" spans="1:29" ht="15.75" x14ac:dyDescent="0.25">
      <c r="A302" s="34">
        <v>50072</v>
      </c>
      <c r="B302" s="14">
        <f>CHOOSE(CONTROL!$C$42, 12.5295, 12.5295) * CHOOSE(CONTROL!$C$21, $C$9, 100%, $E$9)</f>
        <v>12.529500000000001</v>
      </c>
      <c r="C302" s="14">
        <f>CHOOSE(CONTROL!$C$42, 12.5344, 12.5344) * CHOOSE(CONTROL!$C$21, $C$9, 100%, $E$9)</f>
        <v>12.5344</v>
      </c>
      <c r="D302" s="14">
        <f>CHOOSE(CONTROL!$C$42, 12.5987, 12.5987) * CHOOSE(CONTROL!$C$21, $C$9, 100%, $E$9)</f>
        <v>12.598699999999999</v>
      </c>
      <c r="E302" s="14">
        <f>CHOOSE(CONTROL!$C$42, 12.6325, 12.6325) * CHOOSE(CONTROL!$C$21, $C$9, 100%, $E$9)</f>
        <v>12.6325</v>
      </c>
      <c r="F302" s="14">
        <f>CHOOSE(CONTROL!$C$42, 12.5311, 12.5311)*CHOOSE(CONTROL!$C$21, $C$9, 100%, $E$9)</f>
        <v>12.5311</v>
      </c>
      <c r="G302" s="14">
        <f>CHOOSE(CONTROL!$C$42, 12.547, 12.547)*CHOOSE(CONTROL!$C$21, $C$9, 100%, $E$9)</f>
        <v>12.547000000000001</v>
      </c>
      <c r="H302" s="14">
        <f>CHOOSE(CONTROL!$C$42, 12.6217, 12.6217) * CHOOSE(CONTROL!$C$21, $C$9, 100%, $E$9)</f>
        <v>12.621700000000001</v>
      </c>
      <c r="I302" s="14">
        <f>CHOOSE(CONTROL!$C$42, 12.5495, 12.5495)* CHOOSE(CONTROL!$C$21, $C$9, 100%, $E$9)</f>
        <v>12.5495</v>
      </c>
      <c r="J302" s="14">
        <f>CHOOSE(CONTROL!$C$42, 12.5241, 12.5241)* CHOOSE(CONTROL!$C$21, $C$9, 100%, $E$9)</f>
        <v>12.524100000000001</v>
      </c>
      <c r="K302" s="53">
        <f>CHOOSE(CONTROL!$C$42, 12.5456, 12.5456) * CHOOSE(CONTROL!$C$21, $C$9, 100%, $E$9)</f>
        <v>12.5456</v>
      </c>
      <c r="L302" s="14">
        <f>CHOOSE(CONTROL!$C$42, 13.2087, 13.2087) * CHOOSE(CONTROL!$C$21, $C$9, 100%, $E$9)</f>
        <v>13.2087</v>
      </c>
      <c r="M302" s="14">
        <f>CHOOSE(CONTROL!$C$42, 12.4115, 12.4115) * CHOOSE(CONTROL!$C$21, $C$9, 100%, $E$9)</f>
        <v>12.4115</v>
      </c>
      <c r="N302" s="14">
        <f>CHOOSE(CONTROL!$C$42, 12.4273, 12.4273) * CHOOSE(CONTROL!$C$21, $C$9, 100%, $E$9)</f>
        <v>12.427300000000001</v>
      </c>
      <c r="O302" s="14">
        <f>CHOOSE(CONTROL!$C$42, 12.5081, 12.5081) * CHOOSE(CONTROL!$C$21, $C$9, 100%, $E$9)</f>
        <v>12.508100000000001</v>
      </c>
      <c r="P302" s="14">
        <f>CHOOSE(CONTROL!$C$42, 12.4367, 12.4367) * CHOOSE(CONTROL!$C$21, $C$9, 100%, $E$9)</f>
        <v>12.4367</v>
      </c>
      <c r="Q302" s="14">
        <f>CHOOSE(CONTROL!$C$42, 13.1034, 13.1034) * CHOOSE(CONTROL!$C$21, $C$9, 100%, $E$9)</f>
        <v>13.103400000000001</v>
      </c>
      <c r="R302" s="14">
        <f>CHOOSE(CONTROL!$C$42, 13.7232, 13.7232) * CHOOSE(CONTROL!$C$21, $C$9, 100%, $E$9)</f>
        <v>13.7232</v>
      </c>
      <c r="S302" s="14">
        <f>CHOOSE(CONTROL!$C$42, 12.1653, 12.1653) * CHOOSE(CONTROL!$C$21, $C$9, 100%, $E$9)</f>
        <v>12.1653</v>
      </c>
      <c r="T30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02" s="57">
        <f>(1000*CHOOSE(CONTROL!$C$42, 695, 695)*CHOOSE(CONTROL!$C$42, 0.5599, 0.5599)*CHOOSE(CONTROL!$C$42, 28, 28))/1000000</f>
        <v>10.895653999999999</v>
      </c>
      <c r="V302" s="57">
        <f>(1000*CHOOSE(CONTROL!$C$42, 500, 500)*CHOOSE(CONTROL!$C$42, 0.275, 0.275)*CHOOSE(CONTROL!$C$42, 28, 28))/1000000</f>
        <v>3.85</v>
      </c>
      <c r="W302" s="57">
        <f>(1000*CHOOSE(CONTROL!$C$42, 0.1146, 0.1146)*CHOOSE(CONTROL!$C$42, 121.5, 121.5)*CHOOSE(CONTROL!$C$42, 28, 28))/1000000</f>
        <v>0.38986920000000003</v>
      </c>
      <c r="X302" s="57">
        <f>(28*0.1790888*100000/1000000)+(28*0.2374*100000/1000000)</f>
        <v>1.16616864</v>
      </c>
      <c r="Y302" s="57"/>
      <c r="Z302" s="14"/>
      <c r="AA302" s="56"/>
      <c r="AB302" s="50">
        <f>(B302*122.58+C302*297.941+D302*89.177+E302*40.302+F302*40+G302*160+H302*0+I302*100+J302*300)/(122.58+297.941+89.177+40.302+0+40+160+100+300)</f>
        <v>12.54256614373913</v>
      </c>
      <c r="AC302" s="45">
        <f>(M302*'RAP TEMPLATE-GAS AVAILABILITY'!O301+N302*'RAP TEMPLATE-GAS AVAILABILITY'!P301+O302*'RAP TEMPLATE-GAS AVAILABILITY'!Q301+P302*'RAP TEMPLATE-GAS AVAILABILITY'!R301)/('RAP TEMPLATE-GAS AVAILABILITY'!O301+'RAP TEMPLATE-GAS AVAILABILITY'!P301+'RAP TEMPLATE-GAS AVAILABILITY'!Q301+'RAP TEMPLATE-GAS AVAILABILITY'!R301)</f>
        <v>12.459817985611512</v>
      </c>
    </row>
    <row r="303" spans="1:29" ht="15.75" x14ac:dyDescent="0.25">
      <c r="A303" s="34">
        <v>50100</v>
      </c>
      <c r="B303" s="14">
        <f>CHOOSE(CONTROL!$C$42, 12.1739, 12.1739) * CHOOSE(CONTROL!$C$21, $C$9, 100%, $E$9)</f>
        <v>12.1739</v>
      </c>
      <c r="C303" s="14">
        <f>CHOOSE(CONTROL!$C$42, 12.1788, 12.1788) * CHOOSE(CONTROL!$C$21, $C$9, 100%, $E$9)</f>
        <v>12.178800000000001</v>
      </c>
      <c r="D303" s="14">
        <f>CHOOSE(CONTROL!$C$42, 12.2431, 12.2431) * CHOOSE(CONTROL!$C$21, $C$9, 100%, $E$9)</f>
        <v>12.2431</v>
      </c>
      <c r="E303" s="14">
        <f>CHOOSE(CONTROL!$C$42, 12.2769, 12.2769) * CHOOSE(CONTROL!$C$21, $C$9, 100%, $E$9)</f>
        <v>12.276899999999999</v>
      </c>
      <c r="F303" s="14">
        <f>CHOOSE(CONTROL!$C$42, 12.1751, 12.1751)*CHOOSE(CONTROL!$C$21, $C$9, 100%, $E$9)</f>
        <v>12.1751</v>
      </c>
      <c r="G303" s="14">
        <f>CHOOSE(CONTROL!$C$42, 12.191, 12.191)*CHOOSE(CONTROL!$C$21, $C$9, 100%, $E$9)</f>
        <v>12.191000000000001</v>
      </c>
      <c r="H303" s="14">
        <f>CHOOSE(CONTROL!$C$42, 12.2661, 12.2661) * CHOOSE(CONTROL!$C$21, $C$9, 100%, $E$9)</f>
        <v>12.2661</v>
      </c>
      <c r="I303" s="14">
        <f>CHOOSE(CONTROL!$C$42, 12.1938, 12.1938)* CHOOSE(CONTROL!$C$21, $C$9, 100%, $E$9)</f>
        <v>12.1938</v>
      </c>
      <c r="J303" s="14">
        <f>CHOOSE(CONTROL!$C$42, 12.1681, 12.1681)* CHOOSE(CONTROL!$C$21, $C$9, 100%, $E$9)</f>
        <v>12.168100000000001</v>
      </c>
      <c r="K303" s="53">
        <f>CHOOSE(CONTROL!$C$42, 12.1899, 12.1899) * CHOOSE(CONTROL!$C$21, $C$9, 100%, $E$9)</f>
        <v>12.1899</v>
      </c>
      <c r="L303" s="14">
        <f>CHOOSE(CONTROL!$C$42, 12.8531, 12.8531) * CHOOSE(CONTROL!$C$21, $C$9, 100%, $E$9)</f>
        <v>12.8531</v>
      </c>
      <c r="M303" s="14">
        <f>CHOOSE(CONTROL!$C$42, 12.0591, 12.0591) * CHOOSE(CONTROL!$C$21, $C$9, 100%, $E$9)</f>
        <v>12.059100000000001</v>
      </c>
      <c r="N303" s="14">
        <f>CHOOSE(CONTROL!$C$42, 12.0748, 12.0748) * CHOOSE(CONTROL!$C$21, $C$9, 100%, $E$9)</f>
        <v>12.0748</v>
      </c>
      <c r="O303" s="14">
        <f>CHOOSE(CONTROL!$C$42, 12.1561, 12.1561) * CHOOSE(CONTROL!$C$21, $C$9, 100%, $E$9)</f>
        <v>12.1561</v>
      </c>
      <c r="P303" s="14">
        <f>CHOOSE(CONTROL!$C$42, 12.0846, 12.0846) * CHOOSE(CONTROL!$C$21, $C$9, 100%, $E$9)</f>
        <v>12.0846</v>
      </c>
      <c r="Q303" s="14">
        <f>CHOOSE(CONTROL!$C$42, 12.7514, 12.7514) * CHOOSE(CONTROL!$C$21, $C$9, 100%, $E$9)</f>
        <v>12.7514</v>
      </c>
      <c r="R303" s="14">
        <f>CHOOSE(CONTROL!$C$42, 13.3703, 13.3703) * CHOOSE(CONTROL!$C$21, $C$9, 100%, $E$9)</f>
        <v>13.3703</v>
      </c>
      <c r="S303" s="14">
        <f>CHOOSE(CONTROL!$C$42, 11.8199, 11.8199) * CHOOSE(CONTROL!$C$21, $C$9, 100%, $E$9)</f>
        <v>11.819900000000001</v>
      </c>
      <c r="T30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03" s="57">
        <f>(1000*CHOOSE(CONTROL!$C$42, 695, 695)*CHOOSE(CONTROL!$C$42, 0.5599, 0.5599)*CHOOSE(CONTROL!$C$42, 31, 31))/1000000</f>
        <v>12.063045499999998</v>
      </c>
      <c r="V303" s="57">
        <f>(1000*CHOOSE(CONTROL!$C$42, 500, 500)*CHOOSE(CONTROL!$C$42, 0.275, 0.275)*CHOOSE(CONTROL!$C$42, 31, 31))/1000000</f>
        <v>4.2625000000000002</v>
      </c>
      <c r="W303" s="57">
        <f>(1000*CHOOSE(CONTROL!$C$42, 0.1146, 0.1146)*CHOOSE(CONTROL!$C$42, 121.5, 121.5)*CHOOSE(CONTROL!$C$42, 31, 31))/1000000</f>
        <v>0.43164089999999994</v>
      </c>
      <c r="X303" s="57">
        <f>(31*0.1790888*100000/1000000)+(31*0.2374*100000/1000000)</f>
        <v>1.2911152800000001</v>
      </c>
      <c r="Y303" s="57"/>
      <c r="Z303" s="14"/>
      <c r="AA303" s="56"/>
      <c r="AB303" s="50">
        <f>(B303*122.58+C303*297.941+D303*89.177+E303*40.302+F303*40+G303*160+H303*0+I303*100+J303*300)/(122.58+297.941+89.177+40.302+0+40+160+100+300)</f>
        <v>12.186783535043476</v>
      </c>
      <c r="AC303" s="45">
        <f>(M303*'RAP TEMPLATE-GAS AVAILABILITY'!O302+N303*'RAP TEMPLATE-GAS AVAILABILITY'!P302+O303*'RAP TEMPLATE-GAS AVAILABILITY'!Q302+P303*'RAP TEMPLATE-GAS AVAILABILITY'!R302)/('RAP TEMPLATE-GAS AVAILABILITY'!O302+'RAP TEMPLATE-GAS AVAILABILITY'!P302+'RAP TEMPLATE-GAS AVAILABILITY'!Q302+'RAP TEMPLATE-GAS AVAILABILITY'!R302)</f>
        <v>12.10763669064748</v>
      </c>
    </row>
    <row r="304" spans="1:29" ht="15.75" x14ac:dyDescent="0.25">
      <c r="A304" s="34">
        <v>50131</v>
      </c>
      <c r="B304" s="14">
        <f>CHOOSE(CONTROL!$C$42, 12.1386, 12.1386) * CHOOSE(CONTROL!$C$21, $C$9, 100%, $E$9)</f>
        <v>12.1386</v>
      </c>
      <c r="C304" s="14">
        <f>CHOOSE(CONTROL!$C$42, 12.143, 12.143) * CHOOSE(CONTROL!$C$21, $C$9, 100%, $E$9)</f>
        <v>12.143000000000001</v>
      </c>
      <c r="D304" s="14">
        <f>CHOOSE(CONTROL!$C$42, 12.3437, 12.3437) * CHOOSE(CONTROL!$C$21, $C$9, 100%, $E$9)</f>
        <v>12.3437</v>
      </c>
      <c r="E304" s="14">
        <f>CHOOSE(CONTROL!$C$42, 12.3755, 12.3755) * CHOOSE(CONTROL!$C$21, $C$9, 100%, $E$9)</f>
        <v>12.375500000000001</v>
      </c>
      <c r="F304" s="14">
        <f>CHOOSE(CONTROL!$C$42, 12.1232, 12.1232)*CHOOSE(CONTROL!$C$21, $C$9, 100%, $E$9)</f>
        <v>12.123200000000001</v>
      </c>
      <c r="G304" s="14">
        <f>CHOOSE(CONTROL!$C$42, 12.1388, 12.1388)*CHOOSE(CONTROL!$C$21, $C$9, 100%, $E$9)</f>
        <v>12.1388</v>
      </c>
      <c r="H304" s="14">
        <f>CHOOSE(CONTROL!$C$42, 12.3653, 12.3653) * CHOOSE(CONTROL!$C$21, $C$9, 100%, $E$9)</f>
        <v>12.3653</v>
      </c>
      <c r="I304" s="14">
        <f>CHOOSE(CONTROL!$C$42, 12.1513, 12.1513)* CHOOSE(CONTROL!$C$21, $C$9, 100%, $E$9)</f>
        <v>12.151300000000001</v>
      </c>
      <c r="J304" s="14">
        <f>CHOOSE(CONTROL!$C$42, 12.1162, 12.1162)* CHOOSE(CONTROL!$C$21, $C$9, 100%, $E$9)</f>
        <v>12.116199999999999</v>
      </c>
      <c r="K304" s="53">
        <f>CHOOSE(CONTROL!$C$42, 12.1475, 12.1475) * CHOOSE(CONTROL!$C$21, $C$9, 100%, $E$9)</f>
        <v>12.147500000000001</v>
      </c>
      <c r="L304" s="14">
        <f>CHOOSE(CONTROL!$C$42, 12.9523, 12.9523) * CHOOSE(CONTROL!$C$21, $C$9, 100%, $E$9)</f>
        <v>12.952299999999999</v>
      </c>
      <c r="M304" s="14">
        <f>CHOOSE(CONTROL!$C$42, 12.0077, 12.0077) * CHOOSE(CONTROL!$C$21, $C$9, 100%, $E$9)</f>
        <v>12.0077</v>
      </c>
      <c r="N304" s="14">
        <f>CHOOSE(CONTROL!$C$42, 12.0232, 12.0232) * CHOOSE(CONTROL!$C$21, $C$9, 100%, $E$9)</f>
        <v>12.023199999999999</v>
      </c>
      <c r="O304" s="14">
        <f>CHOOSE(CONTROL!$C$42, 12.2543, 12.2543) * CHOOSE(CONTROL!$C$21, $C$9, 100%, $E$9)</f>
        <v>12.254300000000001</v>
      </c>
      <c r="P304" s="14">
        <f>CHOOSE(CONTROL!$C$42, 12.0426, 12.0426) * CHOOSE(CONTROL!$C$21, $C$9, 100%, $E$9)</f>
        <v>12.0426</v>
      </c>
      <c r="Q304" s="14">
        <f>CHOOSE(CONTROL!$C$42, 12.8496, 12.8496) * CHOOSE(CONTROL!$C$21, $C$9, 100%, $E$9)</f>
        <v>12.849600000000001</v>
      </c>
      <c r="R304" s="14">
        <f>CHOOSE(CONTROL!$C$42, 13.4687, 13.4687) * CHOOSE(CONTROL!$C$21, $C$9, 100%, $E$9)</f>
        <v>13.4687</v>
      </c>
      <c r="S304" s="14">
        <f>CHOOSE(CONTROL!$C$42, 11.7849, 11.7849) * CHOOSE(CONTROL!$C$21, $C$9, 100%, $E$9)</f>
        <v>11.7849</v>
      </c>
      <c r="T30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04" s="57">
        <f>(1000*CHOOSE(CONTROL!$C$42, 695, 695)*CHOOSE(CONTROL!$C$42, 0.5599, 0.5599)*CHOOSE(CONTROL!$C$42, 30, 30))/1000000</f>
        <v>11.673914999999997</v>
      </c>
      <c r="V304" s="57">
        <f>(1000*CHOOSE(CONTROL!$C$42, 500, 500)*CHOOSE(CONTROL!$C$42, 0.275, 0.275)*CHOOSE(CONTROL!$C$42, 30, 30))/1000000</f>
        <v>4.125</v>
      </c>
      <c r="W304" s="57">
        <f>(1000*CHOOSE(CONTROL!$C$42, 0.1146, 0.1146)*CHOOSE(CONTROL!$C$42, 121.5, 121.5)*CHOOSE(CONTROL!$C$42, 30, 30))/1000000</f>
        <v>0.417717</v>
      </c>
      <c r="X304" s="57">
        <f>(30*0.1790888*245000/1000000)+(30*0.2374*100000/1000000)</f>
        <v>2.0285026799999999</v>
      </c>
      <c r="Y304" s="57"/>
      <c r="Z304" s="14"/>
      <c r="AA304" s="56"/>
      <c r="AB304" s="50">
        <f>(B304*141.293+C304*267.993+D304*115.016+E304*89.698+F304*40+G304*185+H304*0+I304*100+J304*300)/(141.293+267.993+115.016+89.698+0+40+185+100+300)</f>
        <v>12.170875550443906</v>
      </c>
      <c r="AC304" s="45">
        <f>(M304*'RAP TEMPLATE-GAS AVAILABILITY'!O303+N304*'RAP TEMPLATE-GAS AVAILABILITY'!P303+O304*'RAP TEMPLATE-GAS AVAILABILITY'!Q303+P304*'RAP TEMPLATE-GAS AVAILABILITY'!R303)/('RAP TEMPLATE-GAS AVAILABILITY'!O303+'RAP TEMPLATE-GAS AVAILABILITY'!P303+'RAP TEMPLATE-GAS AVAILABILITY'!Q303+'RAP TEMPLATE-GAS AVAILABILITY'!R303)</f>
        <v>12.085479856115107</v>
      </c>
    </row>
    <row r="305" spans="1:29" ht="15.75" x14ac:dyDescent="0.25">
      <c r="A305" s="34">
        <v>50161</v>
      </c>
      <c r="B305" s="14">
        <f>CHOOSE(CONTROL!$C$42, 12.2471, 12.2471) * CHOOSE(CONTROL!$C$21, $C$9, 100%, $E$9)</f>
        <v>12.2471</v>
      </c>
      <c r="C305" s="14">
        <f>CHOOSE(CONTROL!$C$42, 12.255, 12.255) * CHOOSE(CONTROL!$C$21, $C$9, 100%, $E$9)</f>
        <v>12.255000000000001</v>
      </c>
      <c r="D305" s="14">
        <f>CHOOSE(CONTROL!$C$42, 12.4526, 12.4526) * CHOOSE(CONTROL!$C$21, $C$9, 100%, $E$9)</f>
        <v>12.4526</v>
      </c>
      <c r="E305" s="14">
        <f>CHOOSE(CONTROL!$C$42, 12.4837, 12.4837) * CHOOSE(CONTROL!$C$21, $C$9, 100%, $E$9)</f>
        <v>12.483700000000001</v>
      </c>
      <c r="F305" s="14">
        <f>CHOOSE(CONTROL!$C$42, 12.2305, 12.2305)*CHOOSE(CONTROL!$C$21, $C$9, 100%, $E$9)</f>
        <v>12.230499999999999</v>
      </c>
      <c r="G305" s="14">
        <f>CHOOSE(CONTROL!$C$42, 12.2466, 12.2466)*CHOOSE(CONTROL!$C$21, $C$9, 100%, $E$9)</f>
        <v>12.246600000000001</v>
      </c>
      <c r="H305" s="14">
        <f>CHOOSE(CONTROL!$C$42, 12.4724, 12.4724) * CHOOSE(CONTROL!$C$21, $C$9, 100%, $E$9)</f>
        <v>12.4724</v>
      </c>
      <c r="I305" s="14">
        <f>CHOOSE(CONTROL!$C$42, 12.2584, 12.2584)* CHOOSE(CONTROL!$C$21, $C$9, 100%, $E$9)</f>
        <v>12.2584</v>
      </c>
      <c r="J305" s="14">
        <f>CHOOSE(CONTROL!$C$42, 12.2235, 12.2235)* CHOOSE(CONTROL!$C$21, $C$9, 100%, $E$9)</f>
        <v>12.2235</v>
      </c>
      <c r="K305" s="53">
        <f>CHOOSE(CONTROL!$C$42, 12.2546, 12.2546) * CHOOSE(CONTROL!$C$21, $C$9, 100%, $E$9)</f>
        <v>12.2546</v>
      </c>
      <c r="L305" s="14">
        <f>CHOOSE(CONTROL!$C$42, 13.0594, 13.0594) * CHOOSE(CONTROL!$C$21, $C$9, 100%, $E$9)</f>
        <v>13.0594</v>
      </c>
      <c r="M305" s="14">
        <f>CHOOSE(CONTROL!$C$42, 12.114, 12.114) * CHOOSE(CONTROL!$C$21, $C$9, 100%, $E$9)</f>
        <v>12.114000000000001</v>
      </c>
      <c r="N305" s="14">
        <f>CHOOSE(CONTROL!$C$42, 12.1299, 12.1299) * CHOOSE(CONTROL!$C$21, $C$9, 100%, $E$9)</f>
        <v>12.129899999999999</v>
      </c>
      <c r="O305" s="14">
        <f>CHOOSE(CONTROL!$C$42, 12.3603, 12.3603) * CHOOSE(CONTROL!$C$21, $C$9, 100%, $E$9)</f>
        <v>12.360300000000001</v>
      </c>
      <c r="P305" s="14">
        <f>CHOOSE(CONTROL!$C$42, 12.1486, 12.1486) * CHOOSE(CONTROL!$C$21, $C$9, 100%, $E$9)</f>
        <v>12.1486</v>
      </c>
      <c r="Q305" s="14">
        <f>CHOOSE(CONTROL!$C$42, 12.9556, 12.9556) * CHOOSE(CONTROL!$C$21, $C$9, 100%, $E$9)</f>
        <v>12.9556</v>
      </c>
      <c r="R305" s="14">
        <f>CHOOSE(CONTROL!$C$42, 13.575, 13.575) * CHOOSE(CONTROL!$C$21, $C$9, 100%, $E$9)</f>
        <v>13.574999999999999</v>
      </c>
      <c r="S305" s="14">
        <f>CHOOSE(CONTROL!$C$42, 11.8889, 11.8889) * CHOOSE(CONTROL!$C$21, $C$9, 100%, $E$9)</f>
        <v>11.8889</v>
      </c>
      <c r="T30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05" s="57">
        <f>(1000*CHOOSE(CONTROL!$C$42, 695, 695)*CHOOSE(CONTROL!$C$42, 0.5599, 0.5599)*CHOOSE(CONTROL!$C$42, 31, 31))/1000000</f>
        <v>12.063045499999998</v>
      </c>
      <c r="V305" s="57">
        <f>(1000*CHOOSE(CONTROL!$C$42, 500, 500)*CHOOSE(CONTROL!$C$42, 0.275, 0.275)*CHOOSE(CONTROL!$C$42, 31, 31))/1000000</f>
        <v>4.2625000000000002</v>
      </c>
      <c r="W305" s="57">
        <f>(1000*CHOOSE(CONTROL!$C$42, 0.1146, 0.1146)*CHOOSE(CONTROL!$C$42, 121.5, 121.5)*CHOOSE(CONTROL!$C$42, 31, 31))/1000000</f>
        <v>0.43164089999999994</v>
      </c>
      <c r="X305" s="57">
        <f>(31*0.1790888*245000/1000000)+(31*0.2374*100000/1000000)</f>
        <v>2.0961194359999999</v>
      </c>
      <c r="Y305" s="57"/>
      <c r="Z305" s="14"/>
      <c r="AA305" s="56"/>
      <c r="AB305" s="50">
        <f>(B305*194.205+C305*267.466+D305*133.845+E305*53.484+F305*40+G305*185+H305*0+I305*100+J305*300)/(194.205+267.466+133.845+53.484+0+40+185+100+300)</f>
        <v>12.275016752982729</v>
      </c>
      <c r="AC305" s="45">
        <f>(M305*'RAP TEMPLATE-GAS AVAILABILITY'!O304+N305*'RAP TEMPLATE-GAS AVAILABILITY'!P304+O305*'RAP TEMPLATE-GAS AVAILABILITY'!Q304+P305*'RAP TEMPLATE-GAS AVAILABILITY'!R304)/('RAP TEMPLATE-GAS AVAILABILITY'!O304+'RAP TEMPLATE-GAS AVAILABILITY'!P304+'RAP TEMPLATE-GAS AVAILABILITY'!Q304+'RAP TEMPLATE-GAS AVAILABILITY'!R304)</f>
        <v>12.191744604316547</v>
      </c>
    </row>
    <row r="306" spans="1:29" ht="15.75" x14ac:dyDescent="0.25">
      <c r="A306" s="34">
        <v>50192</v>
      </c>
      <c r="B306" s="14">
        <f>CHOOSE(CONTROL!$C$42, 12.5943, 12.5943) * CHOOSE(CONTROL!$C$21, $C$9, 100%, $E$9)</f>
        <v>12.5943</v>
      </c>
      <c r="C306" s="14">
        <f>CHOOSE(CONTROL!$C$42, 12.6022, 12.6022) * CHOOSE(CONTROL!$C$21, $C$9, 100%, $E$9)</f>
        <v>12.6022</v>
      </c>
      <c r="D306" s="14">
        <f>CHOOSE(CONTROL!$C$42, 12.7998, 12.7998) * CHOOSE(CONTROL!$C$21, $C$9, 100%, $E$9)</f>
        <v>12.799799999999999</v>
      </c>
      <c r="E306" s="14">
        <f>CHOOSE(CONTROL!$C$42, 12.831, 12.831) * CHOOSE(CONTROL!$C$21, $C$9, 100%, $E$9)</f>
        <v>12.831</v>
      </c>
      <c r="F306" s="14">
        <f>CHOOSE(CONTROL!$C$42, 12.5782, 12.5782)*CHOOSE(CONTROL!$C$21, $C$9, 100%, $E$9)</f>
        <v>12.578200000000001</v>
      </c>
      <c r="G306" s="14">
        <f>CHOOSE(CONTROL!$C$42, 12.5944, 12.5944)*CHOOSE(CONTROL!$C$21, $C$9, 100%, $E$9)</f>
        <v>12.5944</v>
      </c>
      <c r="H306" s="14">
        <f>CHOOSE(CONTROL!$C$42, 12.8196, 12.8196) * CHOOSE(CONTROL!$C$21, $C$9, 100%, $E$9)</f>
        <v>12.819599999999999</v>
      </c>
      <c r="I306" s="14">
        <f>CHOOSE(CONTROL!$C$42, 12.6057, 12.6057)* CHOOSE(CONTROL!$C$21, $C$9, 100%, $E$9)</f>
        <v>12.605700000000001</v>
      </c>
      <c r="J306" s="14">
        <f>CHOOSE(CONTROL!$C$42, 12.5712, 12.5712)* CHOOSE(CONTROL!$C$21, $C$9, 100%, $E$9)</f>
        <v>12.571199999999999</v>
      </c>
      <c r="K306" s="53">
        <f>CHOOSE(CONTROL!$C$42, 12.6018, 12.6018) * CHOOSE(CONTROL!$C$21, $C$9, 100%, $E$9)</f>
        <v>12.601800000000001</v>
      </c>
      <c r="L306" s="14">
        <f>CHOOSE(CONTROL!$C$42, 13.4066, 13.4066) * CHOOSE(CONTROL!$C$21, $C$9, 100%, $E$9)</f>
        <v>13.406599999999999</v>
      </c>
      <c r="M306" s="14">
        <f>CHOOSE(CONTROL!$C$42, 12.4581, 12.4581) * CHOOSE(CONTROL!$C$21, $C$9, 100%, $E$9)</f>
        <v>12.4581</v>
      </c>
      <c r="N306" s="14">
        <f>CHOOSE(CONTROL!$C$42, 12.4742, 12.4742) * CHOOSE(CONTROL!$C$21, $C$9, 100%, $E$9)</f>
        <v>12.4742</v>
      </c>
      <c r="O306" s="14">
        <f>CHOOSE(CONTROL!$C$42, 12.7041, 12.7041) * CHOOSE(CONTROL!$C$21, $C$9, 100%, $E$9)</f>
        <v>12.7041</v>
      </c>
      <c r="P306" s="14">
        <f>CHOOSE(CONTROL!$C$42, 12.4923, 12.4923) * CHOOSE(CONTROL!$C$21, $C$9, 100%, $E$9)</f>
        <v>12.4923</v>
      </c>
      <c r="Q306" s="14">
        <f>CHOOSE(CONTROL!$C$42, 13.2994, 13.2994) * CHOOSE(CONTROL!$C$21, $C$9, 100%, $E$9)</f>
        <v>13.2994</v>
      </c>
      <c r="R306" s="14">
        <f>CHOOSE(CONTROL!$C$42, 13.9196, 13.9196) * CHOOSE(CONTROL!$C$21, $C$9, 100%, $E$9)</f>
        <v>13.919600000000001</v>
      </c>
      <c r="S306" s="14">
        <f>CHOOSE(CONTROL!$C$42, 12.2261, 12.2261) * CHOOSE(CONTROL!$C$21, $C$9, 100%, $E$9)</f>
        <v>12.226100000000001</v>
      </c>
      <c r="T30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06" s="57">
        <f>(1000*CHOOSE(CONTROL!$C$42, 695, 695)*CHOOSE(CONTROL!$C$42, 0.5599, 0.5599)*CHOOSE(CONTROL!$C$42, 30, 30))/1000000</f>
        <v>11.673914999999997</v>
      </c>
      <c r="V306" s="57">
        <f>(1000*CHOOSE(CONTROL!$C$42, 500, 500)*CHOOSE(CONTROL!$C$42, 0.275, 0.275)*CHOOSE(CONTROL!$C$42, 30, 30))/1000000</f>
        <v>4.125</v>
      </c>
      <c r="W306" s="57">
        <f>(1000*CHOOSE(CONTROL!$C$42, 0.1146, 0.1146)*CHOOSE(CONTROL!$C$42, 121.5, 121.5)*CHOOSE(CONTROL!$C$42, 30, 30))/1000000</f>
        <v>0.417717</v>
      </c>
      <c r="X306" s="57">
        <f>(30*0.1790888*245000/1000000)+(30*0.2374*100000/1000000)</f>
        <v>2.0285026799999999</v>
      </c>
      <c r="Y306" s="57"/>
      <c r="Z306" s="14"/>
      <c r="AA306" s="56"/>
      <c r="AB306" s="50">
        <f>(B306*194.205+C306*267.466+D306*133.845+E306*53.484+F306*40+G306*185+H306*0+I306*100+J306*300)/(194.205+267.466+133.845+53.484+0+40+185+100+300)</f>
        <v>12.622449365541602</v>
      </c>
      <c r="AC306" s="45">
        <f>(M306*'RAP TEMPLATE-GAS AVAILABILITY'!O305+N306*'RAP TEMPLATE-GAS AVAILABILITY'!P305+O306*'RAP TEMPLATE-GAS AVAILABILITY'!Q305+P306*'RAP TEMPLATE-GAS AVAILABILITY'!R305)/('RAP TEMPLATE-GAS AVAILABILITY'!O305+'RAP TEMPLATE-GAS AVAILABILITY'!P305+'RAP TEMPLATE-GAS AVAILABILITY'!Q305+'RAP TEMPLATE-GAS AVAILABILITY'!R305)</f>
        <v>12.535748920863309</v>
      </c>
    </row>
    <row r="307" spans="1:29" ht="15.75" x14ac:dyDescent="0.25">
      <c r="A307" s="34">
        <v>50222</v>
      </c>
      <c r="B307" s="14">
        <f>CHOOSE(CONTROL!$C$42, 12.3528, 12.3528) * CHOOSE(CONTROL!$C$21, $C$9, 100%, $E$9)</f>
        <v>12.3528</v>
      </c>
      <c r="C307" s="14">
        <f>CHOOSE(CONTROL!$C$42, 12.3607, 12.3607) * CHOOSE(CONTROL!$C$21, $C$9, 100%, $E$9)</f>
        <v>12.3607</v>
      </c>
      <c r="D307" s="14">
        <f>CHOOSE(CONTROL!$C$42, 12.5583, 12.5583) * CHOOSE(CONTROL!$C$21, $C$9, 100%, $E$9)</f>
        <v>12.558299999999999</v>
      </c>
      <c r="E307" s="14">
        <f>CHOOSE(CONTROL!$C$42, 12.5895, 12.5895) * CHOOSE(CONTROL!$C$21, $C$9, 100%, $E$9)</f>
        <v>12.589499999999999</v>
      </c>
      <c r="F307" s="14">
        <f>CHOOSE(CONTROL!$C$42, 12.3371, 12.3371)*CHOOSE(CONTROL!$C$21, $C$9, 100%, $E$9)</f>
        <v>12.3371</v>
      </c>
      <c r="G307" s="14">
        <f>CHOOSE(CONTROL!$C$42, 12.3534, 12.3534)*CHOOSE(CONTROL!$C$21, $C$9, 100%, $E$9)</f>
        <v>12.353400000000001</v>
      </c>
      <c r="H307" s="14">
        <f>CHOOSE(CONTROL!$C$42, 12.5781, 12.5781) * CHOOSE(CONTROL!$C$21, $C$9, 100%, $E$9)</f>
        <v>12.578099999999999</v>
      </c>
      <c r="I307" s="14">
        <f>CHOOSE(CONTROL!$C$42, 12.3642, 12.3642)* CHOOSE(CONTROL!$C$21, $C$9, 100%, $E$9)</f>
        <v>12.3642</v>
      </c>
      <c r="J307" s="14">
        <f>CHOOSE(CONTROL!$C$42, 12.3301, 12.3301)* CHOOSE(CONTROL!$C$21, $C$9, 100%, $E$9)</f>
        <v>12.3301</v>
      </c>
      <c r="K307" s="53">
        <f>CHOOSE(CONTROL!$C$42, 12.3603, 12.3603) * CHOOSE(CONTROL!$C$21, $C$9, 100%, $E$9)</f>
        <v>12.360300000000001</v>
      </c>
      <c r="L307" s="14">
        <f>CHOOSE(CONTROL!$C$42, 13.1651, 13.1651) * CHOOSE(CONTROL!$C$21, $C$9, 100%, $E$9)</f>
        <v>13.165100000000001</v>
      </c>
      <c r="M307" s="14">
        <f>CHOOSE(CONTROL!$C$42, 12.2195, 12.2195) * CHOOSE(CONTROL!$C$21, $C$9, 100%, $E$9)</f>
        <v>12.2195</v>
      </c>
      <c r="N307" s="14">
        <f>CHOOSE(CONTROL!$C$42, 12.2356, 12.2356) * CHOOSE(CONTROL!$C$21, $C$9, 100%, $E$9)</f>
        <v>12.2356</v>
      </c>
      <c r="O307" s="14">
        <f>CHOOSE(CONTROL!$C$42, 12.465, 12.465) * CHOOSE(CONTROL!$C$21, $C$9, 100%, $E$9)</f>
        <v>12.465</v>
      </c>
      <c r="P307" s="14">
        <f>CHOOSE(CONTROL!$C$42, 12.2533, 12.2533) * CHOOSE(CONTROL!$C$21, $C$9, 100%, $E$9)</f>
        <v>12.253299999999999</v>
      </c>
      <c r="Q307" s="14">
        <f>CHOOSE(CONTROL!$C$42, 13.0603, 13.0603) * CHOOSE(CONTROL!$C$21, $C$9, 100%, $E$9)</f>
        <v>13.0603</v>
      </c>
      <c r="R307" s="14">
        <f>CHOOSE(CONTROL!$C$42, 13.6799, 13.6799) * CHOOSE(CONTROL!$C$21, $C$9, 100%, $E$9)</f>
        <v>13.6799</v>
      </c>
      <c r="S307" s="14">
        <f>CHOOSE(CONTROL!$C$42, 11.9916, 11.9916) * CHOOSE(CONTROL!$C$21, $C$9, 100%, $E$9)</f>
        <v>11.9916</v>
      </c>
      <c r="T30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07" s="57">
        <f>(1000*CHOOSE(CONTROL!$C$42, 695, 695)*CHOOSE(CONTROL!$C$42, 0.5599, 0.5599)*CHOOSE(CONTROL!$C$42, 31, 31))/1000000</f>
        <v>12.063045499999998</v>
      </c>
      <c r="V307" s="57">
        <f>(1000*CHOOSE(CONTROL!$C$42, 500, 500)*CHOOSE(CONTROL!$C$42, 0.275, 0.275)*CHOOSE(CONTROL!$C$42, 31, 31))/1000000</f>
        <v>4.2625000000000002</v>
      </c>
      <c r="W307" s="57">
        <f>(1000*CHOOSE(CONTROL!$C$42, 0.1146, 0.1146)*CHOOSE(CONTROL!$C$42, 121.5, 121.5)*CHOOSE(CONTROL!$C$42, 31, 31))/1000000</f>
        <v>0.43164089999999994</v>
      </c>
      <c r="X307" s="57">
        <f>(31*0.1790888*245000/1000000)+(31*0.2374*100000/1000000)</f>
        <v>2.0961194359999999</v>
      </c>
      <c r="Y307" s="57"/>
      <c r="Z307" s="14"/>
      <c r="AA307" s="56"/>
      <c r="AB307" s="50">
        <f>(B307*194.205+C307*267.466+D307*133.845+E307*53.484+F307*40+G307*185+H307*0+I307*100+J307*300)/(194.205+267.466+133.845+53.484+0+40+185+100+300)</f>
        <v>12.381128721899529</v>
      </c>
      <c r="AC307" s="45">
        <f>(M307*'RAP TEMPLATE-GAS AVAILABILITY'!O306+N307*'RAP TEMPLATE-GAS AVAILABILITY'!P306+O307*'RAP TEMPLATE-GAS AVAILABILITY'!Q306+P307*'RAP TEMPLATE-GAS AVAILABILITY'!R306)/('RAP TEMPLATE-GAS AVAILABILITY'!O306+'RAP TEMPLATE-GAS AVAILABILITY'!P306+'RAP TEMPLATE-GAS AVAILABILITY'!Q306+'RAP TEMPLATE-GAS AVAILABILITY'!R306)</f>
        <v>12.296951079136692</v>
      </c>
    </row>
    <row r="308" spans="1:29" ht="15.75" x14ac:dyDescent="0.25">
      <c r="A308" s="34">
        <v>50253</v>
      </c>
      <c r="B308" s="14">
        <f>CHOOSE(CONTROL!$C$42, 11.7429, 11.7429) * CHOOSE(CONTROL!$C$21, $C$9, 100%, $E$9)</f>
        <v>11.742900000000001</v>
      </c>
      <c r="C308" s="14">
        <f>CHOOSE(CONTROL!$C$42, 11.7508, 11.7508) * CHOOSE(CONTROL!$C$21, $C$9, 100%, $E$9)</f>
        <v>11.7508</v>
      </c>
      <c r="D308" s="14">
        <f>CHOOSE(CONTROL!$C$42, 11.9484, 11.9484) * CHOOSE(CONTROL!$C$21, $C$9, 100%, $E$9)</f>
        <v>11.948399999999999</v>
      </c>
      <c r="E308" s="14">
        <f>CHOOSE(CONTROL!$C$42, 11.9796, 11.9796) * CHOOSE(CONTROL!$C$21, $C$9, 100%, $E$9)</f>
        <v>11.9796</v>
      </c>
      <c r="F308" s="14">
        <f>CHOOSE(CONTROL!$C$42, 11.7274, 11.7274)*CHOOSE(CONTROL!$C$21, $C$9, 100%, $E$9)</f>
        <v>11.727399999999999</v>
      </c>
      <c r="G308" s="14">
        <f>CHOOSE(CONTROL!$C$42, 11.7437, 11.7437)*CHOOSE(CONTROL!$C$21, $C$9, 100%, $E$9)</f>
        <v>11.7437</v>
      </c>
      <c r="H308" s="14">
        <f>CHOOSE(CONTROL!$C$42, 11.9682, 11.9682) * CHOOSE(CONTROL!$C$21, $C$9, 100%, $E$9)</f>
        <v>11.9682</v>
      </c>
      <c r="I308" s="14">
        <f>CHOOSE(CONTROL!$C$42, 11.7543, 11.7543)* CHOOSE(CONTROL!$C$21, $C$9, 100%, $E$9)</f>
        <v>11.754300000000001</v>
      </c>
      <c r="J308" s="14">
        <f>CHOOSE(CONTROL!$C$42, 11.7204, 11.7204)* CHOOSE(CONTROL!$C$21, $C$9, 100%, $E$9)</f>
        <v>11.7204</v>
      </c>
      <c r="K308" s="53">
        <f>CHOOSE(CONTROL!$C$42, 11.7504, 11.7504) * CHOOSE(CONTROL!$C$21, $C$9, 100%, $E$9)</f>
        <v>11.750400000000001</v>
      </c>
      <c r="L308" s="14">
        <f>CHOOSE(CONTROL!$C$42, 12.5552, 12.5552) * CHOOSE(CONTROL!$C$21, $C$9, 100%, $E$9)</f>
        <v>12.555199999999999</v>
      </c>
      <c r="M308" s="14">
        <f>CHOOSE(CONTROL!$C$42, 11.6159, 11.6159) * CHOOSE(CONTROL!$C$21, $C$9, 100%, $E$9)</f>
        <v>11.6159</v>
      </c>
      <c r="N308" s="14">
        <f>CHOOSE(CONTROL!$C$42, 11.6321, 11.6321) * CHOOSE(CONTROL!$C$21, $C$9, 100%, $E$9)</f>
        <v>11.632099999999999</v>
      </c>
      <c r="O308" s="14">
        <f>CHOOSE(CONTROL!$C$42, 11.8612, 11.8612) * CHOOSE(CONTROL!$C$21, $C$9, 100%, $E$9)</f>
        <v>11.8612</v>
      </c>
      <c r="P308" s="14">
        <f>CHOOSE(CONTROL!$C$42, 11.6495, 11.6495) * CHOOSE(CONTROL!$C$21, $C$9, 100%, $E$9)</f>
        <v>11.6495</v>
      </c>
      <c r="Q308" s="14">
        <f>CHOOSE(CONTROL!$C$42, 12.4565, 12.4565) * CHOOSE(CONTROL!$C$21, $C$9, 100%, $E$9)</f>
        <v>12.4565</v>
      </c>
      <c r="R308" s="14">
        <f>CHOOSE(CONTROL!$C$42, 13.0747, 13.0747) * CHOOSE(CONTROL!$C$21, $C$9, 100%, $E$9)</f>
        <v>13.0747</v>
      </c>
      <c r="S308" s="14">
        <f>CHOOSE(CONTROL!$C$42, 11.3993, 11.3993) * CHOOSE(CONTROL!$C$21, $C$9, 100%, $E$9)</f>
        <v>11.3993</v>
      </c>
      <c r="T30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08" s="57">
        <f>(1000*CHOOSE(CONTROL!$C$42, 695, 695)*CHOOSE(CONTROL!$C$42, 0.5599, 0.5599)*CHOOSE(CONTROL!$C$42, 31, 31))/1000000</f>
        <v>12.063045499999998</v>
      </c>
      <c r="V308" s="57">
        <f>(1000*CHOOSE(CONTROL!$C$42, 500, 500)*CHOOSE(CONTROL!$C$42, 0.275, 0.275)*CHOOSE(CONTROL!$C$42, 31, 31))/1000000</f>
        <v>4.2625000000000002</v>
      </c>
      <c r="W308" s="57">
        <f>(1000*CHOOSE(CONTROL!$C$42, 0.1146, 0.1146)*CHOOSE(CONTROL!$C$42, 121.5, 121.5)*CHOOSE(CONTROL!$C$42, 31, 31))/1000000</f>
        <v>0.43164089999999994</v>
      </c>
      <c r="X308" s="57">
        <f>(31*0.1790888*245000/1000000)+(31*0.2374*100000/1000000)</f>
        <v>2.0961194359999999</v>
      </c>
      <c r="Y308" s="57"/>
      <c r="Z308" s="14"/>
      <c r="AA308" s="56"/>
      <c r="AB308" s="50">
        <f>(B308*194.205+C308*267.466+D308*133.845+E308*53.484+F308*40+G308*185+H308*0+I308*100+J308*300)/(194.205+267.466+133.845+53.484+0+40+185+100+300)</f>
        <v>11.771311139481947</v>
      </c>
      <c r="AC308" s="45">
        <f>(M308*'RAP TEMPLATE-GAS AVAILABILITY'!O307+N308*'RAP TEMPLATE-GAS AVAILABILITY'!P307+O308*'RAP TEMPLATE-GAS AVAILABILITY'!Q307+P308*'RAP TEMPLATE-GAS AVAILABILITY'!R307)/('RAP TEMPLATE-GAS AVAILABILITY'!O307+'RAP TEMPLATE-GAS AVAILABILITY'!P307+'RAP TEMPLATE-GAS AVAILABILITY'!Q307+'RAP TEMPLATE-GAS AVAILABILITY'!R307)</f>
        <v>11.693289208633093</v>
      </c>
    </row>
    <row r="309" spans="1:29" ht="15.75" x14ac:dyDescent="0.25">
      <c r="A309" s="34">
        <v>50284</v>
      </c>
      <c r="B309" s="14">
        <f>CHOOSE(CONTROL!$C$42, 10.9973, 10.9973) * CHOOSE(CONTROL!$C$21, $C$9, 100%, $E$9)</f>
        <v>10.997299999999999</v>
      </c>
      <c r="C309" s="14">
        <f>CHOOSE(CONTROL!$C$42, 11.0053, 11.0053) * CHOOSE(CONTROL!$C$21, $C$9, 100%, $E$9)</f>
        <v>11.0053</v>
      </c>
      <c r="D309" s="14">
        <f>CHOOSE(CONTROL!$C$42, 11.2028, 11.2028) * CHOOSE(CONTROL!$C$21, $C$9, 100%, $E$9)</f>
        <v>11.2028</v>
      </c>
      <c r="E309" s="14">
        <f>CHOOSE(CONTROL!$C$42, 11.234, 11.234) * CHOOSE(CONTROL!$C$21, $C$9, 100%, $E$9)</f>
        <v>11.234</v>
      </c>
      <c r="F309" s="14">
        <f>CHOOSE(CONTROL!$C$42, 10.9817, 10.9817)*CHOOSE(CONTROL!$C$21, $C$9, 100%, $E$9)</f>
        <v>10.9817</v>
      </c>
      <c r="G309" s="14">
        <f>CHOOSE(CONTROL!$C$42, 10.9981, 10.9981)*CHOOSE(CONTROL!$C$21, $C$9, 100%, $E$9)</f>
        <v>10.998100000000001</v>
      </c>
      <c r="H309" s="14">
        <f>CHOOSE(CONTROL!$C$42, 11.2226, 11.2226) * CHOOSE(CONTROL!$C$21, $C$9, 100%, $E$9)</f>
        <v>11.2226</v>
      </c>
      <c r="I309" s="14">
        <f>CHOOSE(CONTROL!$C$42, 11.0087, 11.0087)* CHOOSE(CONTROL!$C$21, $C$9, 100%, $E$9)</f>
        <v>11.008699999999999</v>
      </c>
      <c r="J309" s="14">
        <f>CHOOSE(CONTROL!$C$42, 10.9747, 10.9747)* CHOOSE(CONTROL!$C$21, $C$9, 100%, $E$9)</f>
        <v>10.9747</v>
      </c>
      <c r="K309" s="53">
        <f>CHOOSE(CONTROL!$C$42, 11.0048, 11.0048) * CHOOSE(CONTROL!$C$21, $C$9, 100%, $E$9)</f>
        <v>11.004799999999999</v>
      </c>
      <c r="L309" s="14">
        <f>CHOOSE(CONTROL!$C$42, 11.8096, 11.8096) * CHOOSE(CONTROL!$C$21, $C$9, 100%, $E$9)</f>
        <v>11.8096</v>
      </c>
      <c r="M309" s="14">
        <f>CHOOSE(CONTROL!$C$42, 10.8778, 10.8778) * CHOOSE(CONTROL!$C$21, $C$9, 100%, $E$9)</f>
        <v>10.877800000000001</v>
      </c>
      <c r="N309" s="14">
        <f>CHOOSE(CONTROL!$C$42, 10.894, 10.894) * CHOOSE(CONTROL!$C$21, $C$9, 100%, $E$9)</f>
        <v>10.894</v>
      </c>
      <c r="O309" s="14">
        <f>CHOOSE(CONTROL!$C$42, 11.1232, 11.1232) * CHOOSE(CONTROL!$C$21, $C$9, 100%, $E$9)</f>
        <v>11.123200000000001</v>
      </c>
      <c r="P309" s="14">
        <f>CHOOSE(CONTROL!$C$42, 10.9115, 10.9115) * CHOOSE(CONTROL!$C$21, $C$9, 100%, $E$9)</f>
        <v>10.9115</v>
      </c>
      <c r="Q309" s="14">
        <f>CHOOSE(CONTROL!$C$42, 11.7185, 11.7185) * CHOOSE(CONTROL!$C$21, $C$9, 100%, $E$9)</f>
        <v>11.718500000000001</v>
      </c>
      <c r="R309" s="14">
        <f>CHOOSE(CONTROL!$C$42, 12.3348, 12.3348) * CHOOSE(CONTROL!$C$21, $C$9, 100%, $E$9)</f>
        <v>12.3348</v>
      </c>
      <c r="S309" s="14">
        <f>CHOOSE(CONTROL!$C$42, 10.6753, 10.6753) * CHOOSE(CONTROL!$C$21, $C$9, 100%, $E$9)</f>
        <v>10.6753</v>
      </c>
      <c r="T30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09" s="57">
        <f>(1000*CHOOSE(CONTROL!$C$42, 695, 695)*CHOOSE(CONTROL!$C$42, 0.5599, 0.5599)*CHOOSE(CONTROL!$C$42, 30, 30))/1000000</f>
        <v>11.673914999999997</v>
      </c>
      <c r="V309" s="57">
        <f>(1000*CHOOSE(CONTROL!$C$42, 500, 500)*CHOOSE(CONTROL!$C$42, 0.275, 0.275)*CHOOSE(CONTROL!$C$42, 30, 30))/1000000</f>
        <v>4.125</v>
      </c>
      <c r="W309" s="57">
        <f>(1000*CHOOSE(CONTROL!$C$42, 0.1146, 0.1146)*CHOOSE(CONTROL!$C$42, 121.5, 121.5)*CHOOSE(CONTROL!$C$42, 30, 30))/1000000</f>
        <v>0.417717</v>
      </c>
      <c r="X309" s="57">
        <f>(30*0.1790888*245000/1000000)+(30*0.2374*100000/1000000)</f>
        <v>2.0285026799999999</v>
      </c>
      <c r="Y309" s="57"/>
      <c r="Z309" s="14"/>
      <c r="AA309" s="56"/>
      <c r="AB309" s="50">
        <f>(B309*194.205+C309*267.466+D309*133.845+E309*53.484+F309*40+G309*185+H309*0+I309*100+J309*300)/(194.205+267.466+133.845+53.484+0+40+185+100+300)</f>
        <v>11.025705446075353</v>
      </c>
      <c r="AC309" s="45">
        <f>(M309*'RAP TEMPLATE-GAS AVAILABILITY'!O308+N309*'RAP TEMPLATE-GAS AVAILABILITY'!P308+O309*'RAP TEMPLATE-GAS AVAILABILITY'!Q308+P309*'RAP TEMPLATE-GAS AVAILABILITY'!R308)/('RAP TEMPLATE-GAS AVAILABILITY'!O308+'RAP TEMPLATE-GAS AVAILABILITY'!P308+'RAP TEMPLATE-GAS AVAILABILITY'!Q308+'RAP TEMPLATE-GAS AVAILABILITY'!R308)</f>
        <v>10.955231654676259</v>
      </c>
    </row>
    <row r="310" spans="1:29" ht="15.75" x14ac:dyDescent="0.25">
      <c r="A310" s="34">
        <v>50314</v>
      </c>
      <c r="B310" s="14">
        <f>CHOOSE(CONTROL!$C$42, 10.7724, 10.7724) * CHOOSE(CONTROL!$C$21, $C$9, 100%, $E$9)</f>
        <v>10.772399999999999</v>
      </c>
      <c r="C310" s="14">
        <f>CHOOSE(CONTROL!$C$42, 10.7776, 10.7776) * CHOOSE(CONTROL!$C$21, $C$9, 100%, $E$9)</f>
        <v>10.7776</v>
      </c>
      <c r="D310" s="14">
        <f>CHOOSE(CONTROL!$C$42, 10.9802, 10.9802) * CHOOSE(CONTROL!$C$21, $C$9, 100%, $E$9)</f>
        <v>10.9802</v>
      </c>
      <c r="E310" s="14">
        <f>CHOOSE(CONTROL!$C$42, 11.009, 11.009) * CHOOSE(CONTROL!$C$21, $C$9, 100%, $E$9)</f>
        <v>11.009</v>
      </c>
      <c r="F310" s="14">
        <f>CHOOSE(CONTROL!$C$42, 10.7588, 10.7588)*CHOOSE(CONTROL!$C$21, $C$9, 100%, $E$9)</f>
        <v>10.758800000000001</v>
      </c>
      <c r="G310" s="14">
        <f>CHOOSE(CONTROL!$C$42, 10.7748, 10.7748)*CHOOSE(CONTROL!$C$21, $C$9, 100%, $E$9)</f>
        <v>10.774800000000001</v>
      </c>
      <c r="H310" s="14">
        <f>CHOOSE(CONTROL!$C$42, 10.9994, 10.9994) * CHOOSE(CONTROL!$C$21, $C$9, 100%, $E$9)</f>
        <v>10.9994</v>
      </c>
      <c r="I310" s="14">
        <f>CHOOSE(CONTROL!$C$42, 10.7855, 10.7855)* CHOOSE(CONTROL!$C$21, $C$9, 100%, $E$9)</f>
        <v>10.785500000000001</v>
      </c>
      <c r="J310" s="14">
        <f>CHOOSE(CONTROL!$C$42, 10.7518, 10.7518)* CHOOSE(CONTROL!$C$21, $C$9, 100%, $E$9)</f>
        <v>10.751799999999999</v>
      </c>
      <c r="K310" s="53">
        <f>CHOOSE(CONTROL!$C$42, 10.7816, 10.7816) * CHOOSE(CONTROL!$C$21, $C$9, 100%, $E$9)</f>
        <v>10.781599999999999</v>
      </c>
      <c r="L310" s="14">
        <f>CHOOSE(CONTROL!$C$42, 11.5864, 11.5864) * CHOOSE(CONTROL!$C$21, $C$9, 100%, $E$9)</f>
        <v>11.586399999999999</v>
      </c>
      <c r="M310" s="14">
        <f>CHOOSE(CONTROL!$C$42, 10.6571, 10.6571) * CHOOSE(CONTROL!$C$21, $C$9, 100%, $E$9)</f>
        <v>10.6571</v>
      </c>
      <c r="N310" s="14">
        <f>CHOOSE(CONTROL!$C$42, 10.6729, 10.6729) * CHOOSE(CONTROL!$C$21, $C$9, 100%, $E$9)</f>
        <v>10.6729</v>
      </c>
      <c r="O310" s="14">
        <f>CHOOSE(CONTROL!$C$42, 10.9023, 10.9023) * CHOOSE(CONTROL!$C$21, $C$9, 100%, $E$9)</f>
        <v>10.9023</v>
      </c>
      <c r="P310" s="14">
        <f>CHOOSE(CONTROL!$C$42, 10.6906, 10.6906) * CHOOSE(CONTROL!$C$21, $C$9, 100%, $E$9)</f>
        <v>10.6906</v>
      </c>
      <c r="Q310" s="14">
        <f>CHOOSE(CONTROL!$C$42, 11.4976, 11.4976) * CHOOSE(CONTROL!$C$21, $C$9, 100%, $E$9)</f>
        <v>11.4976</v>
      </c>
      <c r="R310" s="14">
        <f>CHOOSE(CONTROL!$C$42, 12.1133, 12.1133) * CHOOSE(CONTROL!$C$21, $C$9, 100%, $E$9)</f>
        <v>12.113300000000001</v>
      </c>
      <c r="S310" s="14">
        <f>CHOOSE(CONTROL!$C$42, 10.4585, 10.4585) * CHOOSE(CONTROL!$C$21, $C$9, 100%, $E$9)</f>
        <v>10.458500000000001</v>
      </c>
      <c r="T31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10" s="57">
        <f>(1000*CHOOSE(CONTROL!$C$42, 695, 695)*CHOOSE(CONTROL!$C$42, 0.5599, 0.5599)*CHOOSE(CONTROL!$C$42, 31, 31))/1000000</f>
        <v>12.063045499999998</v>
      </c>
      <c r="V310" s="57">
        <f>(1000*CHOOSE(CONTROL!$C$42, 500, 500)*CHOOSE(CONTROL!$C$42, 0.275, 0.275)*CHOOSE(CONTROL!$C$42, 31, 31))/1000000</f>
        <v>4.2625000000000002</v>
      </c>
      <c r="W310" s="57">
        <f>(1000*CHOOSE(CONTROL!$C$42, 0.1146, 0.1146)*CHOOSE(CONTROL!$C$42, 121.5, 121.5)*CHOOSE(CONTROL!$C$42, 31, 31))/1000000</f>
        <v>0.43164089999999994</v>
      </c>
      <c r="X310" s="57">
        <f>(31*0.1790888*245000/1000000)+(31*0.2374*100000/1000000)</f>
        <v>2.0961194359999999</v>
      </c>
      <c r="Y310" s="57"/>
      <c r="Z310" s="14"/>
      <c r="AA310" s="56"/>
      <c r="AB310" s="50">
        <f>(B310*131.881+C310*277.167+D310*79.08+E310*125.872+F310*40+G310*185+H310*0+I310*100+J310*300)/(131.881+277.167+79.08+125.872+0+40+185+100+300)</f>
        <v>10.806851499273609</v>
      </c>
      <c r="AC310" s="45">
        <f>(M310*'RAP TEMPLATE-GAS AVAILABILITY'!O309+N310*'RAP TEMPLATE-GAS AVAILABILITY'!P309+O310*'RAP TEMPLATE-GAS AVAILABILITY'!Q309+P310*'RAP TEMPLATE-GAS AVAILABILITY'!R309)/('RAP TEMPLATE-GAS AVAILABILITY'!O309+'RAP TEMPLATE-GAS AVAILABILITY'!P309+'RAP TEMPLATE-GAS AVAILABILITY'!Q309+'RAP TEMPLATE-GAS AVAILABILITY'!R309)</f>
        <v>10.73435467625899</v>
      </c>
    </row>
    <row r="311" spans="1:29" ht="15.75" x14ac:dyDescent="0.25">
      <c r="A311" s="34">
        <v>50345</v>
      </c>
      <c r="B311" s="14">
        <f>CHOOSE(CONTROL!$C$42, 11.0557, 11.0557) * CHOOSE(CONTROL!$C$21, $C$9, 100%, $E$9)</f>
        <v>11.0557</v>
      </c>
      <c r="C311" s="14">
        <f>CHOOSE(CONTROL!$C$42, 11.0606, 11.0606) * CHOOSE(CONTROL!$C$21, $C$9, 100%, $E$9)</f>
        <v>11.060600000000001</v>
      </c>
      <c r="D311" s="14">
        <f>CHOOSE(CONTROL!$C$42, 11.1237, 11.1237) * CHOOSE(CONTROL!$C$21, $C$9, 100%, $E$9)</f>
        <v>11.123699999999999</v>
      </c>
      <c r="E311" s="14">
        <f>CHOOSE(CONTROL!$C$42, 11.1575, 11.1575) * CHOOSE(CONTROL!$C$21, $C$9, 100%, $E$9)</f>
        <v>11.157500000000001</v>
      </c>
      <c r="F311" s="14">
        <f>CHOOSE(CONTROL!$C$42, 11.0564, 11.0564)*CHOOSE(CONTROL!$C$21, $C$9, 100%, $E$9)</f>
        <v>11.0564</v>
      </c>
      <c r="G311" s="14">
        <f>CHOOSE(CONTROL!$C$42, 11.0727, 11.0727)*CHOOSE(CONTROL!$C$21, $C$9, 100%, $E$9)</f>
        <v>11.072699999999999</v>
      </c>
      <c r="H311" s="14">
        <f>CHOOSE(CONTROL!$C$42, 11.1467, 11.1467) * CHOOSE(CONTROL!$C$21, $C$9, 100%, $E$9)</f>
        <v>11.146699999999999</v>
      </c>
      <c r="I311" s="14">
        <f>CHOOSE(CONTROL!$C$42, 11.0692, 11.0692)* CHOOSE(CONTROL!$C$21, $C$9, 100%, $E$9)</f>
        <v>11.0692</v>
      </c>
      <c r="J311" s="14">
        <f>CHOOSE(CONTROL!$C$42, 11.0494, 11.0494)* CHOOSE(CONTROL!$C$21, $C$9, 100%, $E$9)</f>
        <v>11.0494</v>
      </c>
      <c r="K311" s="53">
        <f>CHOOSE(CONTROL!$C$42, 11.0653, 11.0653) * CHOOSE(CONTROL!$C$21, $C$9, 100%, $E$9)</f>
        <v>11.065300000000001</v>
      </c>
      <c r="L311" s="14">
        <f>CHOOSE(CONTROL!$C$42, 11.7337, 11.7337) * CHOOSE(CONTROL!$C$21, $C$9, 100%, $E$9)</f>
        <v>11.733700000000001</v>
      </c>
      <c r="M311" s="14">
        <f>CHOOSE(CONTROL!$C$42, 10.9517, 10.9517) * CHOOSE(CONTROL!$C$21, $C$9, 100%, $E$9)</f>
        <v>10.951700000000001</v>
      </c>
      <c r="N311" s="14">
        <f>CHOOSE(CONTROL!$C$42, 10.9678, 10.9678) * CHOOSE(CONTROL!$C$21, $C$9, 100%, $E$9)</f>
        <v>10.9678</v>
      </c>
      <c r="O311" s="14">
        <f>CHOOSE(CONTROL!$C$42, 11.048, 11.048) * CHOOSE(CONTROL!$C$21, $C$9, 100%, $E$9)</f>
        <v>11.048</v>
      </c>
      <c r="P311" s="14">
        <f>CHOOSE(CONTROL!$C$42, 10.9714, 10.9714) * CHOOSE(CONTROL!$C$21, $C$9, 100%, $E$9)</f>
        <v>10.971399999999999</v>
      </c>
      <c r="Q311" s="14">
        <f>CHOOSE(CONTROL!$C$42, 11.6433, 11.6433) * CHOOSE(CONTROL!$C$21, $C$9, 100%, $E$9)</f>
        <v>11.6433</v>
      </c>
      <c r="R311" s="14">
        <f>CHOOSE(CONTROL!$C$42, 12.2594, 12.2594) * CHOOSE(CONTROL!$C$21, $C$9, 100%, $E$9)</f>
        <v>12.259399999999999</v>
      </c>
      <c r="S311" s="14">
        <f>CHOOSE(CONTROL!$C$42, 10.734, 10.734) * CHOOSE(CONTROL!$C$21, $C$9, 100%, $E$9)</f>
        <v>10.734</v>
      </c>
      <c r="T31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11" s="57">
        <f>(1000*CHOOSE(CONTROL!$C$42, 695, 695)*CHOOSE(CONTROL!$C$42, 0.5599, 0.5599)*CHOOSE(CONTROL!$C$42, 30, 30))/1000000</f>
        <v>11.673914999999997</v>
      </c>
      <c r="V311" s="57">
        <f>(1000*CHOOSE(CONTROL!$C$42, 500, 500)*CHOOSE(CONTROL!$C$42, 0.275, 0.275)*CHOOSE(CONTROL!$C$42, 30, 30))/1000000</f>
        <v>4.125</v>
      </c>
      <c r="W311" s="57">
        <f>(1000*CHOOSE(CONTROL!$C$42, 0.1146, 0.1146)*CHOOSE(CONTROL!$C$42, 121.5, 121.5)*CHOOSE(CONTROL!$C$42, 30, 30))/1000000</f>
        <v>0.417717</v>
      </c>
      <c r="X311" s="57">
        <f>(30*0.1790888*100000/1000000)+(30*0.2374*100000/1000000)</f>
        <v>1.2494664</v>
      </c>
      <c r="Y311" s="57"/>
      <c r="Z311" s="14"/>
      <c r="AA311" s="56"/>
      <c r="AB311" s="50">
        <f>(B311*122.58+C311*297.941+D311*89.177+E311*40.302+F311*40+G311*160+H311*0+I311*100+J311*300)/(122.58+297.941+89.177+40.302+0+40+160+100+300)</f>
        <v>11.067730165652174</v>
      </c>
      <c r="AC311" s="45">
        <f>(M311*'RAP TEMPLATE-GAS AVAILABILITY'!O310+N311*'RAP TEMPLATE-GAS AVAILABILITY'!P310+O311*'RAP TEMPLATE-GAS AVAILABILITY'!Q310+P311*'RAP TEMPLATE-GAS AVAILABILITY'!R310)/('RAP TEMPLATE-GAS AVAILABILITY'!O310+'RAP TEMPLATE-GAS AVAILABILITY'!P310+'RAP TEMPLATE-GAS AVAILABILITY'!Q310+'RAP TEMPLATE-GAS AVAILABILITY'!R310)</f>
        <v>10.999107913669064</v>
      </c>
    </row>
    <row r="312" spans="1:29" ht="15.75" x14ac:dyDescent="0.25">
      <c r="A312" s="34">
        <v>50375</v>
      </c>
      <c r="B312" s="14">
        <f>CHOOSE(CONTROL!$C$42, 11.8093, 11.8093) * CHOOSE(CONTROL!$C$21, $C$9, 100%, $E$9)</f>
        <v>11.8093</v>
      </c>
      <c r="C312" s="14">
        <f>CHOOSE(CONTROL!$C$42, 11.8142, 11.8142) * CHOOSE(CONTROL!$C$21, $C$9, 100%, $E$9)</f>
        <v>11.8142</v>
      </c>
      <c r="D312" s="14">
        <f>CHOOSE(CONTROL!$C$42, 11.8773, 11.8773) * CHOOSE(CONTROL!$C$21, $C$9, 100%, $E$9)</f>
        <v>11.8773</v>
      </c>
      <c r="E312" s="14">
        <f>CHOOSE(CONTROL!$C$42, 11.9111, 11.9111) * CHOOSE(CONTROL!$C$21, $C$9, 100%, $E$9)</f>
        <v>11.911099999999999</v>
      </c>
      <c r="F312" s="14">
        <f>CHOOSE(CONTROL!$C$42, 11.812, 11.812)*CHOOSE(CONTROL!$C$21, $C$9, 100%, $E$9)</f>
        <v>11.811999999999999</v>
      </c>
      <c r="G312" s="14">
        <f>CHOOSE(CONTROL!$C$42, 11.8288, 11.8288)*CHOOSE(CONTROL!$C$21, $C$9, 100%, $E$9)</f>
        <v>11.828799999999999</v>
      </c>
      <c r="H312" s="14">
        <f>CHOOSE(CONTROL!$C$42, 11.9003, 11.9003) * CHOOSE(CONTROL!$C$21, $C$9, 100%, $E$9)</f>
        <v>11.9003</v>
      </c>
      <c r="I312" s="14">
        <f>CHOOSE(CONTROL!$C$42, 11.8228, 11.8228)* CHOOSE(CONTROL!$C$21, $C$9, 100%, $E$9)</f>
        <v>11.822800000000001</v>
      </c>
      <c r="J312" s="14">
        <f>CHOOSE(CONTROL!$C$42, 11.805, 11.805)* CHOOSE(CONTROL!$C$21, $C$9, 100%, $E$9)</f>
        <v>11.805</v>
      </c>
      <c r="K312" s="53">
        <f>CHOOSE(CONTROL!$C$42, 11.8189, 11.8189) * CHOOSE(CONTROL!$C$21, $C$9, 100%, $E$9)</f>
        <v>11.818899999999999</v>
      </c>
      <c r="L312" s="14">
        <f>CHOOSE(CONTROL!$C$42, 12.4873, 12.4873) * CHOOSE(CONTROL!$C$21, $C$9, 100%, $E$9)</f>
        <v>12.487299999999999</v>
      </c>
      <c r="M312" s="14">
        <f>CHOOSE(CONTROL!$C$42, 11.6997, 11.6997) * CHOOSE(CONTROL!$C$21, $C$9, 100%, $E$9)</f>
        <v>11.6997</v>
      </c>
      <c r="N312" s="14">
        <f>CHOOSE(CONTROL!$C$42, 11.7163, 11.7163) * CHOOSE(CONTROL!$C$21, $C$9, 100%, $E$9)</f>
        <v>11.7163</v>
      </c>
      <c r="O312" s="14">
        <f>CHOOSE(CONTROL!$C$42, 11.794, 11.794) * CHOOSE(CONTROL!$C$21, $C$9, 100%, $E$9)</f>
        <v>11.794</v>
      </c>
      <c r="P312" s="14">
        <f>CHOOSE(CONTROL!$C$42, 11.7174, 11.7174) * CHOOSE(CONTROL!$C$21, $C$9, 100%, $E$9)</f>
        <v>11.7174</v>
      </c>
      <c r="Q312" s="14">
        <f>CHOOSE(CONTROL!$C$42, 12.3893, 12.3893) * CHOOSE(CONTROL!$C$21, $C$9, 100%, $E$9)</f>
        <v>12.3893</v>
      </c>
      <c r="R312" s="14">
        <f>CHOOSE(CONTROL!$C$42, 13.0073, 13.0073) * CHOOSE(CONTROL!$C$21, $C$9, 100%, $E$9)</f>
        <v>13.007300000000001</v>
      </c>
      <c r="S312" s="14">
        <f>CHOOSE(CONTROL!$C$42, 11.4658, 11.4658) * CHOOSE(CONTROL!$C$21, $C$9, 100%, $E$9)</f>
        <v>11.4658</v>
      </c>
      <c r="T31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12" s="57">
        <f>(1000*CHOOSE(CONTROL!$C$42, 695, 695)*CHOOSE(CONTROL!$C$42, 0.5599, 0.5599)*CHOOSE(CONTROL!$C$42, 31, 31))/1000000</f>
        <v>12.063045499999998</v>
      </c>
      <c r="V312" s="57">
        <f>(1000*CHOOSE(CONTROL!$C$42, 500, 500)*CHOOSE(CONTROL!$C$42, 0.275, 0.275)*CHOOSE(CONTROL!$C$42, 31, 31))/1000000</f>
        <v>4.2625000000000002</v>
      </c>
      <c r="W312" s="57">
        <f>(1000*CHOOSE(CONTROL!$C$42, 0.1146, 0.1146)*CHOOSE(CONTROL!$C$42, 121.5, 121.5)*CHOOSE(CONTROL!$C$42, 31, 31))/1000000</f>
        <v>0.43164089999999994</v>
      </c>
      <c r="X312" s="57">
        <f>(31*0.1790888*100000/1000000)+(31*0.2374*100000/1000000)</f>
        <v>1.2911152800000001</v>
      </c>
      <c r="Y312" s="57"/>
      <c r="Z312" s="14"/>
      <c r="AA312" s="56"/>
      <c r="AB312" s="50">
        <f>(B312*122.58+C312*297.941+D312*89.177+E312*40.302+F312*40+G312*160+H312*0+I312*100+J312*300)/(122.58+297.941+89.177+40.302+0+40+160+100+300)</f>
        <v>11.822269296086956</v>
      </c>
      <c r="AC312" s="45">
        <f>(M312*'RAP TEMPLATE-GAS AVAILABILITY'!O311+N312*'RAP TEMPLATE-GAS AVAILABILITY'!P311+O312*'RAP TEMPLATE-GAS AVAILABILITY'!Q311+P312*'RAP TEMPLATE-GAS AVAILABILITY'!R311)/('RAP TEMPLATE-GAS AVAILABILITY'!O311+'RAP TEMPLATE-GAS AVAILABILITY'!P311+'RAP TEMPLATE-GAS AVAILABILITY'!Q311+'RAP TEMPLATE-GAS AVAILABILITY'!R311)</f>
        <v>11.745942446043166</v>
      </c>
    </row>
    <row r="313" spans="1:29" ht="15.75" x14ac:dyDescent="0.25">
      <c r="A313" s="33">
        <v>50436</v>
      </c>
      <c r="B313" s="14">
        <f>CHOOSE(CONTROL!$C$42, 12.7766, 12.7766) * CHOOSE(CONTROL!$C$21, $C$9, 100%, $E$9)</f>
        <v>12.7766</v>
      </c>
      <c r="C313" s="14">
        <f>CHOOSE(CONTROL!$C$42, 12.7816, 12.7816) * CHOOSE(CONTROL!$C$21, $C$9, 100%, $E$9)</f>
        <v>12.781599999999999</v>
      </c>
      <c r="D313" s="14">
        <f>CHOOSE(CONTROL!$C$42, 12.8459, 12.8459) * CHOOSE(CONTROL!$C$21, $C$9, 100%, $E$9)</f>
        <v>12.8459</v>
      </c>
      <c r="E313" s="14">
        <f>CHOOSE(CONTROL!$C$42, 12.8796, 12.8796) * CHOOSE(CONTROL!$C$21, $C$9, 100%, $E$9)</f>
        <v>12.8796</v>
      </c>
      <c r="F313" s="14">
        <f>CHOOSE(CONTROL!$C$42, 12.7781, 12.7781)*CHOOSE(CONTROL!$C$21, $C$9, 100%, $E$9)</f>
        <v>12.7781</v>
      </c>
      <c r="G313" s="14">
        <f>CHOOSE(CONTROL!$C$42, 12.7941, 12.7941)*CHOOSE(CONTROL!$C$21, $C$9, 100%, $E$9)</f>
        <v>12.7941</v>
      </c>
      <c r="H313" s="14">
        <f>CHOOSE(CONTROL!$C$42, 12.8688, 12.8688) * CHOOSE(CONTROL!$C$21, $C$9, 100%, $E$9)</f>
        <v>12.8688</v>
      </c>
      <c r="I313" s="14">
        <f>CHOOSE(CONTROL!$C$42, 12.7966, 12.7966)* CHOOSE(CONTROL!$C$21, $C$9, 100%, $E$9)</f>
        <v>12.7966</v>
      </c>
      <c r="J313" s="14">
        <f>CHOOSE(CONTROL!$C$42, 12.7711, 12.7711)* CHOOSE(CONTROL!$C$21, $C$9, 100%, $E$9)</f>
        <v>12.771100000000001</v>
      </c>
      <c r="K313" s="53">
        <f>CHOOSE(CONTROL!$C$42, 12.7927, 12.7927) * CHOOSE(CONTROL!$C$21, $C$9, 100%, $E$9)</f>
        <v>12.7927</v>
      </c>
      <c r="L313" s="14">
        <f>CHOOSE(CONTROL!$C$42, 13.4558, 13.4558) * CHOOSE(CONTROL!$C$21, $C$9, 100%, $E$9)</f>
        <v>13.4558</v>
      </c>
      <c r="M313" s="14">
        <f>CHOOSE(CONTROL!$C$42, 12.6561, 12.6561) * CHOOSE(CONTROL!$C$21, $C$9, 100%, $E$9)</f>
        <v>12.6561</v>
      </c>
      <c r="N313" s="14">
        <f>CHOOSE(CONTROL!$C$42, 12.6718, 12.6718) * CHOOSE(CONTROL!$C$21, $C$9, 100%, $E$9)</f>
        <v>12.671799999999999</v>
      </c>
      <c r="O313" s="14">
        <f>CHOOSE(CONTROL!$C$42, 12.7528, 12.7528) * CHOOSE(CONTROL!$C$21, $C$9, 100%, $E$9)</f>
        <v>12.752800000000001</v>
      </c>
      <c r="P313" s="14">
        <f>CHOOSE(CONTROL!$C$42, 12.6813, 12.6813) * CHOOSE(CONTROL!$C$21, $C$9, 100%, $E$9)</f>
        <v>12.6813</v>
      </c>
      <c r="Q313" s="14">
        <f>CHOOSE(CONTROL!$C$42, 13.3481, 13.3481) * CHOOSE(CONTROL!$C$21, $C$9, 100%, $E$9)</f>
        <v>13.348100000000001</v>
      </c>
      <c r="R313" s="14">
        <f>CHOOSE(CONTROL!$C$42, 13.9685, 13.9685) * CHOOSE(CONTROL!$C$21, $C$9, 100%, $E$9)</f>
        <v>13.968500000000001</v>
      </c>
      <c r="S313" s="14">
        <f>CHOOSE(CONTROL!$C$42, 12.4052, 12.4052) * CHOOSE(CONTROL!$C$21, $C$9, 100%, $E$9)</f>
        <v>12.405200000000001</v>
      </c>
      <c r="T31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13" s="57">
        <f>(1000*CHOOSE(CONTROL!$C$42, 695, 695)*CHOOSE(CONTROL!$C$42, 0.5599, 0.5599)*CHOOSE(CONTROL!$C$42, 31, 31))/1000000</f>
        <v>12.063045499999998</v>
      </c>
      <c r="V313" s="57">
        <f>(1000*CHOOSE(CONTROL!$C$42, 500, 500)*CHOOSE(CONTROL!$C$42, 0.275, 0.275)*CHOOSE(CONTROL!$C$42, 31, 31))/1000000</f>
        <v>4.2625000000000002</v>
      </c>
      <c r="W313" s="57">
        <f>(1000*CHOOSE(CONTROL!$C$42, 0.1146, 0.1146)*CHOOSE(CONTROL!$C$42, 121.5, 121.5)*CHOOSE(CONTROL!$C$42, 31, 31))/1000000</f>
        <v>0.43164089999999994</v>
      </c>
      <c r="X313" s="57">
        <f>(31*0.1790888*100000/1000000)+(31*0.2374*100000/1000000)</f>
        <v>1.2911152800000001</v>
      </c>
      <c r="Y313" s="57"/>
      <c r="Z313" s="14"/>
      <c r="AA313" s="56"/>
      <c r="AB313" s="50">
        <f>(B313*122.58+C313*297.941+D313*89.177+E313*40.302+F313*40+G313*160+H313*0+I313*100+J313*300)/(122.58+297.941+89.177+40.302+0+40+160+100+300)</f>
        <v>12.789670240956521</v>
      </c>
      <c r="AC313" s="45">
        <f>(M313*'RAP TEMPLATE-GAS AVAILABILITY'!O312+N313*'RAP TEMPLATE-GAS AVAILABILITY'!P312+O313*'RAP TEMPLATE-GAS AVAILABILITY'!Q312+P313*'RAP TEMPLATE-GAS AVAILABILITY'!R312)/('RAP TEMPLATE-GAS AVAILABILITY'!O312+'RAP TEMPLATE-GAS AVAILABILITY'!P312+'RAP TEMPLATE-GAS AVAILABILITY'!Q312+'RAP TEMPLATE-GAS AVAILABILITY'!R312)</f>
        <v>12.704457553956834</v>
      </c>
    </row>
    <row r="314" spans="1:29" ht="15.75" x14ac:dyDescent="0.25">
      <c r="A314" s="33">
        <v>50464</v>
      </c>
      <c r="B314" s="14">
        <f>CHOOSE(CONTROL!$C$42, 13.004, 13.004) * CHOOSE(CONTROL!$C$21, $C$9, 100%, $E$9)</f>
        <v>13.004</v>
      </c>
      <c r="C314" s="14">
        <f>CHOOSE(CONTROL!$C$42, 13.009, 13.009) * CHOOSE(CONTROL!$C$21, $C$9, 100%, $E$9)</f>
        <v>13.009</v>
      </c>
      <c r="D314" s="14">
        <f>CHOOSE(CONTROL!$C$42, 13.0732, 13.0732) * CHOOSE(CONTROL!$C$21, $C$9, 100%, $E$9)</f>
        <v>13.0732</v>
      </c>
      <c r="E314" s="14">
        <f>CHOOSE(CONTROL!$C$42, 13.107, 13.107) * CHOOSE(CONTROL!$C$21, $C$9, 100%, $E$9)</f>
        <v>13.106999999999999</v>
      </c>
      <c r="F314" s="14">
        <f>CHOOSE(CONTROL!$C$42, 13.0056, 13.0056)*CHOOSE(CONTROL!$C$21, $C$9, 100%, $E$9)</f>
        <v>13.005599999999999</v>
      </c>
      <c r="G314" s="14">
        <f>CHOOSE(CONTROL!$C$42, 13.0215, 13.0215)*CHOOSE(CONTROL!$C$21, $C$9, 100%, $E$9)</f>
        <v>13.0215</v>
      </c>
      <c r="H314" s="14">
        <f>CHOOSE(CONTROL!$C$42, 13.0962, 13.0962) * CHOOSE(CONTROL!$C$21, $C$9, 100%, $E$9)</f>
        <v>13.0962</v>
      </c>
      <c r="I314" s="14">
        <f>CHOOSE(CONTROL!$C$42, 13.024, 13.024)* CHOOSE(CONTROL!$C$21, $C$9, 100%, $E$9)</f>
        <v>13.023999999999999</v>
      </c>
      <c r="J314" s="14">
        <f>CHOOSE(CONTROL!$C$42, 12.9986, 12.9986)* CHOOSE(CONTROL!$C$21, $C$9, 100%, $E$9)</f>
        <v>12.9986</v>
      </c>
      <c r="K314" s="53">
        <f>CHOOSE(CONTROL!$C$42, 13.0201, 13.0201) * CHOOSE(CONTROL!$C$21, $C$9, 100%, $E$9)</f>
        <v>13.020099999999999</v>
      </c>
      <c r="L314" s="14">
        <f>CHOOSE(CONTROL!$C$42, 13.6832, 13.6832) * CHOOSE(CONTROL!$C$21, $C$9, 100%, $E$9)</f>
        <v>13.683199999999999</v>
      </c>
      <c r="M314" s="14">
        <f>CHOOSE(CONTROL!$C$42, 12.8812, 12.8812) * CHOOSE(CONTROL!$C$21, $C$9, 100%, $E$9)</f>
        <v>12.8812</v>
      </c>
      <c r="N314" s="14">
        <f>CHOOSE(CONTROL!$C$42, 12.897, 12.897) * CHOOSE(CONTROL!$C$21, $C$9, 100%, $E$9)</f>
        <v>12.897</v>
      </c>
      <c r="O314" s="14">
        <f>CHOOSE(CONTROL!$C$42, 12.9779, 12.9779) * CHOOSE(CONTROL!$C$21, $C$9, 100%, $E$9)</f>
        <v>12.9779</v>
      </c>
      <c r="P314" s="14">
        <f>CHOOSE(CONTROL!$C$42, 12.9064, 12.9064) * CHOOSE(CONTROL!$C$21, $C$9, 100%, $E$9)</f>
        <v>12.9064</v>
      </c>
      <c r="Q314" s="14">
        <f>CHOOSE(CONTROL!$C$42, 13.5732, 13.5732) * CHOOSE(CONTROL!$C$21, $C$9, 100%, $E$9)</f>
        <v>13.5732</v>
      </c>
      <c r="R314" s="14">
        <f>CHOOSE(CONTROL!$C$42, 14.1941, 14.1941) * CHOOSE(CONTROL!$C$21, $C$9, 100%, $E$9)</f>
        <v>14.194100000000001</v>
      </c>
      <c r="S314" s="14">
        <f>CHOOSE(CONTROL!$C$42, 12.6261, 12.6261) * CHOOSE(CONTROL!$C$21, $C$9, 100%, $E$9)</f>
        <v>12.626099999999999</v>
      </c>
      <c r="T31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14" s="57">
        <f>(1000*CHOOSE(CONTROL!$C$42, 695, 695)*CHOOSE(CONTROL!$C$42, 0.5599, 0.5599)*CHOOSE(CONTROL!$C$42, 28, 28))/1000000</f>
        <v>10.895653999999999</v>
      </c>
      <c r="V314" s="57">
        <f>(1000*CHOOSE(CONTROL!$C$42, 500, 500)*CHOOSE(CONTROL!$C$42, 0.275, 0.275)*CHOOSE(CONTROL!$C$42, 28, 28))/1000000</f>
        <v>3.85</v>
      </c>
      <c r="W314" s="57">
        <f>(1000*CHOOSE(CONTROL!$C$42, 0.1146, 0.1146)*CHOOSE(CONTROL!$C$42, 121.5, 121.5)*CHOOSE(CONTROL!$C$42, 28, 28))/1000000</f>
        <v>0.38986920000000003</v>
      </c>
      <c r="X314" s="57">
        <f>(28*0.1790888*100000/1000000)+(28*0.2374*100000/1000000)</f>
        <v>1.16616864</v>
      </c>
      <c r="Y314" s="57"/>
      <c r="Z314" s="14"/>
      <c r="AA314" s="56"/>
      <c r="AB314" s="50">
        <f>(B314*122.58+C314*297.941+D314*89.177+E314*40.302+F314*40+G314*160+H314*0+I314*100+J314*300)/(122.58+297.941+89.177+40.302+0+40+160+100+300)</f>
        <v>13.017092051652174</v>
      </c>
      <c r="AC314" s="45">
        <f>(M314*'RAP TEMPLATE-GAS AVAILABILITY'!O313+N314*'RAP TEMPLATE-GAS AVAILABILITY'!P313+O314*'RAP TEMPLATE-GAS AVAILABILITY'!Q313+P314*'RAP TEMPLATE-GAS AVAILABILITY'!R313)/('RAP TEMPLATE-GAS AVAILABILITY'!O313+'RAP TEMPLATE-GAS AVAILABILITY'!P313+'RAP TEMPLATE-GAS AVAILABILITY'!Q313+'RAP TEMPLATE-GAS AVAILABILITY'!R313)</f>
        <v>12.929563309352519</v>
      </c>
    </row>
    <row r="315" spans="1:29" ht="15.75" x14ac:dyDescent="0.25">
      <c r="A315" s="33">
        <v>50495</v>
      </c>
      <c r="B315" s="14">
        <f>CHOOSE(CONTROL!$C$42, 12.6349, 12.6349) * CHOOSE(CONTROL!$C$21, $C$9, 100%, $E$9)</f>
        <v>12.6349</v>
      </c>
      <c r="C315" s="14">
        <f>CHOOSE(CONTROL!$C$42, 12.6399, 12.6399) * CHOOSE(CONTROL!$C$21, $C$9, 100%, $E$9)</f>
        <v>12.639900000000001</v>
      </c>
      <c r="D315" s="14">
        <f>CHOOSE(CONTROL!$C$42, 12.7041, 12.7041) * CHOOSE(CONTROL!$C$21, $C$9, 100%, $E$9)</f>
        <v>12.7041</v>
      </c>
      <c r="E315" s="14">
        <f>CHOOSE(CONTROL!$C$42, 12.7379, 12.7379) * CHOOSE(CONTROL!$C$21, $C$9, 100%, $E$9)</f>
        <v>12.7379</v>
      </c>
      <c r="F315" s="14">
        <f>CHOOSE(CONTROL!$C$42, 12.6362, 12.6362)*CHOOSE(CONTROL!$C$21, $C$9, 100%, $E$9)</f>
        <v>12.636200000000001</v>
      </c>
      <c r="G315" s="14">
        <f>CHOOSE(CONTROL!$C$42, 12.652, 12.652)*CHOOSE(CONTROL!$C$21, $C$9, 100%, $E$9)</f>
        <v>12.651999999999999</v>
      </c>
      <c r="H315" s="14">
        <f>CHOOSE(CONTROL!$C$42, 12.7271, 12.7271) * CHOOSE(CONTROL!$C$21, $C$9, 100%, $E$9)</f>
        <v>12.7271</v>
      </c>
      <c r="I315" s="14">
        <f>CHOOSE(CONTROL!$C$42, 12.6549, 12.6549)* CHOOSE(CONTROL!$C$21, $C$9, 100%, $E$9)</f>
        <v>12.6549</v>
      </c>
      <c r="J315" s="14">
        <f>CHOOSE(CONTROL!$C$42, 12.6292, 12.6292)* CHOOSE(CONTROL!$C$21, $C$9, 100%, $E$9)</f>
        <v>12.629200000000001</v>
      </c>
      <c r="K315" s="53">
        <f>CHOOSE(CONTROL!$C$42, 12.651, 12.651) * CHOOSE(CONTROL!$C$21, $C$9, 100%, $E$9)</f>
        <v>12.651</v>
      </c>
      <c r="L315" s="14">
        <f>CHOOSE(CONTROL!$C$42, 13.3141, 13.3141) * CHOOSE(CONTROL!$C$21, $C$9, 100%, $E$9)</f>
        <v>13.3141</v>
      </c>
      <c r="M315" s="14">
        <f>CHOOSE(CONTROL!$C$42, 12.5155, 12.5155) * CHOOSE(CONTROL!$C$21, $C$9, 100%, $E$9)</f>
        <v>12.515499999999999</v>
      </c>
      <c r="N315" s="14">
        <f>CHOOSE(CONTROL!$C$42, 12.5312, 12.5312) * CHOOSE(CONTROL!$C$21, $C$9, 100%, $E$9)</f>
        <v>12.5312</v>
      </c>
      <c r="O315" s="14">
        <f>CHOOSE(CONTROL!$C$42, 12.6125, 12.6125) * CHOOSE(CONTROL!$C$21, $C$9, 100%, $E$9)</f>
        <v>12.612500000000001</v>
      </c>
      <c r="P315" s="14">
        <f>CHOOSE(CONTROL!$C$42, 12.541, 12.541) * CHOOSE(CONTROL!$C$21, $C$9, 100%, $E$9)</f>
        <v>12.541</v>
      </c>
      <c r="Q315" s="14">
        <f>CHOOSE(CONTROL!$C$42, 13.2078, 13.2078) * CHOOSE(CONTROL!$C$21, $C$9, 100%, $E$9)</f>
        <v>13.207800000000001</v>
      </c>
      <c r="R315" s="14">
        <f>CHOOSE(CONTROL!$C$42, 13.8278, 13.8278) * CHOOSE(CONTROL!$C$21, $C$9, 100%, $E$9)</f>
        <v>13.8278</v>
      </c>
      <c r="S315" s="14">
        <f>CHOOSE(CONTROL!$C$42, 12.2676, 12.2676) * CHOOSE(CONTROL!$C$21, $C$9, 100%, $E$9)</f>
        <v>12.2676</v>
      </c>
      <c r="T31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15" s="57">
        <f>(1000*CHOOSE(CONTROL!$C$42, 695, 695)*CHOOSE(CONTROL!$C$42, 0.5599, 0.5599)*CHOOSE(CONTROL!$C$42, 31, 31))/1000000</f>
        <v>12.063045499999998</v>
      </c>
      <c r="V315" s="57">
        <f>(1000*CHOOSE(CONTROL!$C$42, 500, 500)*CHOOSE(CONTROL!$C$42, 0.275, 0.275)*CHOOSE(CONTROL!$C$42, 31, 31))/1000000</f>
        <v>4.2625000000000002</v>
      </c>
      <c r="W315" s="57">
        <f>(1000*CHOOSE(CONTROL!$C$42, 0.1146, 0.1146)*CHOOSE(CONTROL!$C$42, 121.5, 121.5)*CHOOSE(CONTROL!$C$42, 31, 31))/1000000</f>
        <v>0.43164089999999994</v>
      </c>
      <c r="X315" s="57">
        <f>(31*0.1790888*100000/1000000)+(31*0.2374*100000/1000000)</f>
        <v>1.2911152800000001</v>
      </c>
      <c r="Y315" s="57"/>
      <c r="Z315" s="14"/>
      <c r="AA315" s="56"/>
      <c r="AB315" s="50">
        <f>(B315*122.58+C315*297.941+D315*89.177+E315*40.302+F315*40+G315*160+H315*0+I315*100+J315*300)/(122.58+297.941+89.177+40.302+0+40+160+100+300)</f>
        <v>12.647847703826088</v>
      </c>
      <c r="AC315" s="45">
        <f>(M315*'RAP TEMPLATE-GAS AVAILABILITY'!O314+N315*'RAP TEMPLATE-GAS AVAILABILITY'!P314+O315*'RAP TEMPLATE-GAS AVAILABILITY'!Q314+P315*'RAP TEMPLATE-GAS AVAILABILITY'!R314)/('RAP TEMPLATE-GAS AVAILABILITY'!O314+'RAP TEMPLATE-GAS AVAILABILITY'!P314+'RAP TEMPLATE-GAS AVAILABILITY'!Q314+'RAP TEMPLATE-GAS AVAILABILITY'!R314)</f>
        <v>12.56403669064748</v>
      </c>
    </row>
    <row r="316" spans="1:29" ht="15.75" x14ac:dyDescent="0.25">
      <c r="A316" s="33">
        <v>50525</v>
      </c>
      <c r="B316" s="14">
        <f>CHOOSE(CONTROL!$C$42, 12.5983, 12.5983) * CHOOSE(CONTROL!$C$21, $C$9, 100%, $E$9)</f>
        <v>12.5983</v>
      </c>
      <c r="C316" s="14">
        <f>CHOOSE(CONTROL!$C$42, 12.6026, 12.6026) * CHOOSE(CONTROL!$C$21, $C$9, 100%, $E$9)</f>
        <v>12.602600000000001</v>
      </c>
      <c r="D316" s="14">
        <f>CHOOSE(CONTROL!$C$42, 12.8034, 12.8034) * CHOOSE(CONTROL!$C$21, $C$9, 100%, $E$9)</f>
        <v>12.8034</v>
      </c>
      <c r="E316" s="14">
        <f>CHOOSE(CONTROL!$C$42, 12.8351, 12.8351) * CHOOSE(CONTROL!$C$21, $C$9, 100%, $E$9)</f>
        <v>12.835100000000001</v>
      </c>
      <c r="F316" s="14">
        <f>CHOOSE(CONTROL!$C$42, 12.5828, 12.5828)*CHOOSE(CONTROL!$C$21, $C$9, 100%, $E$9)</f>
        <v>12.582800000000001</v>
      </c>
      <c r="G316" s="14">
        <f>CHOOSE(CONTROL!$C$42, 12.5985, 12.5985)*CHOOSE(CONTROL!$C$21, $C$9, 100%, $E$9)</f>
        <v>12.5985</v>
      </c>
      <c r="H316" s="14">
        <f>CHOOSE(CONTROL!$C$42, 12.8249, 12.8249) * CHOOSE(CONTROL!$C$21, $C$9, 100%, $E$9)</f>
        <v>12.8249</v>
      </c>
      <c r="I316" s="14">
        <f>CHOOSE(CONTROL!$C$42, 12.611, 12.611)* CHOOSE(CONTROL!$C$21, $C$9, 100%, $E$9)</f>
        <v>12.611000000000001</v>
      </c>
      <c r="J316" s="14">
        <f>CHOOSE(CONTROL!$C$42, 12.5758, 12.5758)* CHOOSE(CONTROL!$C$21, $C$9, 100%, $E$9)</f>
        <v>12.575799999999999</v>
      </c>
      <c r="K316" s="53">
        <f>CHOOSE(CONTROL!$C$42, 12.6071, 12.6071) * CHOOSE(CONTROL!$C$21, $C$9, 100%, $E$9)</f>
        <v>12.607100000000001</v>
      </c>
      <c r="L316" s="14">
        <f>CHOOSE(CONTROL!$C$42, 13.4119, 13.4119) * CHOOSE(CONTROL!$C$21, $C$9, 100%, $E$9)</f>
        <v>13.411899999999999</v>
      </c>
      <c r="M316" s="14">
        <f>CHOOSE(CONTROL!$C$42, 12.4628, 12.4628) * CHOOSE(CONTROL!$C$21, $C$9, 100%, $E$9)</f>
        <v>12.4628</v>
      </c>
      <c r="N316" s="14">
        <f>CHOOSE(CONTROL!$C$42, 12.4782, 12.4782) * CHOOSE(CONTROL!$C$21, $C$9, 100%, $E$9)</f>
        <v>12.478199999999999</v>
      </c>
      <c r="O316" s="14">
        <f>CHOOSE(CONTROL!$C$42, 12.7093, 12.7093) * CHOOSE(CONTROL!$C$21, $C$9, 100%, $E$9)</f>
        <v>12.709300000000001</v>
      </c>
      <c r="P316" s="14">
        <f>CHOOSE(CONTROL!$C$42, 12.4976, 12.4976) * CHOOSE(CONTROL!$C$21, $C$9, 100%, $E$9)</f>
        <v>12.4976</v>
      </c>
      <c r="Q316" s="14">
        <f>CHOOSE(CONTROL!$C$42, 13.3046, 13.3046) * CHOOSE(CONTROL!$C$21, $C$9, 100%, $E$9)</f>
        <v>13.304600000000001</v>
      </c>
      <c r="R316" s="14">
        <f>CHOOSE(CONTROL!$C$42, 13.9249, 13.9249) * CHOOSE(CONTROL!$C$21, $C$9, 100%, $E$9)</f>
        <v>13.924899999999999</v>
      </c>
      <c r="S316" s="14">
        <f>CHOOSE(CONTROL!$C$42, 12.2313, 12.2313) * CHOOSE(CONTROL!$C$21, $C$9, 100%, $E$9)</f>
        <v>12.231299999999999</v>
      </c>
      <c r="T31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16" s="57">
        <f>(1000*CHOOSE(CONTROL!$C$42, 695, 695)*CHOOSE(CONTROL!$C$42, 0.5599, 0.5599)*CHOOSE(CONTROL!$C$42, 30, 30))/1000000</f>
        <v>11.673914999999997</v>
      </c>
      <c r="V316" s="57">
        <f>(1000*CHOOSE(CONTROL!$C$42, 500, 500)*CHOOSE(CONTROL!$C$42, 0.275, 0.275)*CHOOSE(CONTROL!$C$42, 30, 30))/1000000</f>
        <v>4.125</v>
      </c>
      <c r="W316" s="57">
        <f>(1000*CHOOSE(CONTROL!$C$42, 0.1146, 0.1146)*CHOOSE(CONTROL!$C$42, 121.5, 121.5)*CHOOSE(CONTROL!$C$42, 30, 30))/1000000</f>
        <v>0.417717</v>
      </c>
      <c r="X316" s="57">
        <f>(30*0.1790888*245000/1000000)+(30*0.2374*100000/1000000)</f>
        <v>2.0285026799999999</v>
      </c>
      <c r="Y316" s="57"/>
      <c r="Z316" s="14"/>
      <c r="AA316" s="56"/>
      <c r="AB316" s="50">
        <f>(B316*141.293+C316*267.993+D316*115.016+E316*89.698+F316*40+G316*185+H316*0+I316*100+J316*300)/(141.293+267.993+115.016+89.698+0+40+185+100+300)</f>
        <v>12.630519239628734</v>
      </c>
      <c r="AC316" s="45">
        <f>(M316*'RAP TEMPLATE-GAS AVAILABILITY'!O315+N316*'RAP TEMPLATE-GAS AVAILABILITY'!P315+O316*'RAP TEMPLATE-GAS AVAILABILITY'!Q315+P316*'RAP TEMPLATE-GAS AVAILABILITY'!R315)/('RAP TEMPLATE-GAS AVAILABILITY'!O315+'RAP TEMPLATE-GAS AVAILABILITY'!P315+'RAP TEMPLATE-GAS AVAILABILITY'!Q315+'RAP TEMPLATE-GAS AVAILABILITY'!R315)</f>
        <v>12.540514388489207</v>
      </c>
    </row>
    <row r="317" spans="1:29" ht="15.75" x14ac:dyDescent="0.25">
      <c r="A317" s="33">
        <v>50556</v>
      </c>
      <c r="B317" s="14">
        <f>CHOOSE(CONTROL!$C$42, 12.7108, 12.7108) * CHOOSE(CONTROL!$C$21, $C$9, 100%, $E$9)</f>
        <v>12.710800000000001</v>
      </c>
      <c r="C317" s="14">
        <f>CHOOSE(CONTROL!$C$42, 12.7187, 12.7187) * CHOOSE(CONTROL!$C$21, $C$9, 100%, $E$9)</f>
        <v>12.7187</v>
      </c>
      <c r="D317" s="14">
        <f>CHOOSE(CONTROL!$C$42, 12.9163, 12.9163) * CHOOSE(CONTROL!$C$21, $C$9, 100%, $E$9)</f>
        <v>12.9163</v>
      </c>
      <c r="E317" s="14">
        <f>CHOOSE(CONTROL!$C$42, 12.9474, 12.9474) * CHOOSE(CONTROL!$C$21, $C$9, 100%, $E$9)</f>
        <v>12.9474</v>
      </c>
      <c r="F317" s="14">
        <f>CHOOSE(CONTROL!$C$42, 12.6942, 12.6942)*CHOOSE(CONTROL!$C$21, $C$9, 100%, $E$9)</f>
        <v>12.6942</v>
      </c>
      <c r="G317" s="14">
        <f>CHOOSE(CONTROL!$C$42, 12.7103, 12.7103)*CHOOSE(CONTROL!$C$21, $C$9, 100%, $E$9)</f>
        <v>12.7103</v>
      </c>
      <c r="H317" s="14">
        <f>CHOOSE(CONTROL!$C$42, 12.9361, 12.9361) * CHOOSE(CONTROL!$C$21, $C$9, 100%, $E$9)</f>
        <v>12.9361</v>
      </c>
      <c r="I317" s="14">
        <f>CHOOSE(CONTROL!$C$42, 12.7222, 12.7222)* CHOOSE(CONTROL!$C$21, $C$9, 100%, $E$9)</f>
        <v>12.722200000000001</v>
      </c>
      <c r="J317" s="14">
        <f>CHOOSE(CONTROL!$C$42, 12.6872, 12.6872)* CHOOSE(CONTROL!$C$21, $C$9, 100%, $E$9)</f>
        <v>12.687200000000001</v>
      </c>
      <c r="K317" s="53">
        <f>CHOOSE(CONTROL!$C$42, 12.7183, 12.7183) * CHOOSE(CONTROL!$C$21, $C$9, 100%, $E$9)</f>
        <v>12.718299999999999</v>
      </c>
      <c r="L317" s="14">
        <f>CHOOSE(CONTROL!$C$42, 13.5231, 13.5231) * CHOOSE(CONTROL!$C$21, $C$9, 100%, $E$9)</f>
        <v>13.523099999999999</v>
      </c>
      <c r="M317" s="14">
        <f>CHOOSE(CONTROL!$C$42, 12.573, 12.573) * CHOOSE(CONTROL!$C$21, $C$9, 100%, $E$9)</f>
        <v>12.573</v>
      </c>
      <c r="N317" s="14">
        <f>CHOOSE(CONTROL!$C$42, 12.5889, 12.5889) * CHOOSE(CONTROL!$C$21, $C$9, 100%, $E$9)</f>
        <v>12.588900000000001</v>
      </c>
      <c r="O317" s="14">
        <f>CHOOSE(CONTROL!$C$42, 12.8194, 12.8194) * CHOOSE(CONTROL!$C$21, $C$9, 100%, $E$9)</f>
        <v>12.8194</v>
      </c>
      <c r="P317" s="14">
        <f>CHOOSE(CONTROL!$C$42, 12.6077, 12.6077) * CHOOSE(CONTROL!$C$21, $C$9, 100%, $E$9)</f>
        <v>12.607699999999999</v>
      </c>
      <c r="Q317" s="14">
        <f>CHOOSE(CONTROL!$C$42, 13.4147, 13.4147) * CHOOSE(CONTROL!$C$21, $C$9, 100%, $E$9)</f>
        <v>13.4147</v>
      </c>
      <c r="R317" s="14">
        <f>CHOOSE(CONTROL!$C$42, 14.0352, 14.0352) * CHOOSE(CONTROL!$C$21, $C$9, 100%, $E$9)</f>
        <v>14.0352</v>
      </c>
      <c r="S317" s="14">
        <f>CHOOSE(CONTROL!$C$42, 12.3392, 12.3392) * CHOOSE(CONTROL!$C$21, $C$9, 100%, $E$9)</f>
        <v>12.3392</v>
      </c>
      <c r="T31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17" s="57">
        <f>(1000*CHOOSE(CONTROL!$C$42, 695, 695)*CHOOSE(CONTROL!$C$42, 0.5599, 0.5599)*CHOOSE(CONTROL!$C$42, 31, 31))/1000000</f>
        <v>12.063045499999998</v>
      </c>
      <c r="V317" s="57">
        <f>(1000*CHOOSE(CONTROL!$C$42, 500, 500)*CHOOSE(CONTROL!$C$42, 0.275, 0.275)*CHOOSE(CONTROL!$C$42, 31, 31))/1000000</f>
        <v>4.2625000000000002</v>
      </c>
      <c r="W317" s="57">
        <f>(1000*CHOOSE(CONTROL!$C$42, 0.1146, 0.1146)*CHOOSE(CONTROL!$C$42, 121.5, 121.5)*CHOOSE(CONTROL!$C$42, 31, 31))/1000000</f>
        <v>0.43164089999999994</v>
      </c>
      <c r="X317" s="57">
        <f>(31*0.1790888*245000/1000000)+(31*0.2374*100000/1000000)</f>
        <v>2.0961194359999999</v>
      </c>
      <c r="Y317" s="57"/>
      <c r="Z317" s="14"/>
      <c r="AA317" s="56"/>
      <c r="AB317" s="50">
        <f>(B317*194.205+C317*267.466+D317*133.845+E317*53.484+F317*40+G317*185+H317*0+I317*100+J317*300)/(194.205+267.466+133.845+53.484+0+40+185+100+300)</f>
        <v>12.738724602276296</v>
      </c>
      <c r="AC317" s="45">
        <f>(M317*'RAP TEMPLATE-GAS AVAILABILITY'!O316+N317*'RAP TEMPLATE-GAS AVAILABILITY'!P316+O317*'RAP TEMPLATE-GAS AVAILABILITY'!Q316+P317*'RAP TEMPLATE-GAS AVAILABILITY'!R316)/('RAP TEMPLATE-GAS AVAILABILITY'!O316+'RAP TEMPLATE-GAS AVAILABILITY'!P316+'RAP TEMPLATE-GAS AVAILABILITY'!Q316+'RAP TEMPLATE-GAS AVAILABILITY'!R316)</f>
        <v>12.650787050359712</v>
      </c>
    </row>
    <row r="318" spans="1:29" ht="15.75" x14ac:dyDescent="0.25">
      <c r="A318" s="33">
        <v>50586</v>
      </c>
      <c r="B318" s="14">
        <f>CHOOSE(CONTROL!$C$42, 13.0712, 13.0712) * CHOOSE(CONTROL!$C$21, $C$9, 100%, $E$9)</f>
        <v>13.071199999999999</v>
      </c>
      <c r="C318" s="14">
        <f>CHOOSE(CONTROL!$C$42, 13.0791, 13.0791) * CHOOSE(CONTROL!$C$21, $C$9, 100%, $E$9)</f>
        <v>13.0791</v>
      </c>
      <c r="D318" s="14">
        <f>CHOOSE(CONTROL!$C$42, 13.2767, 13.2767) * CHOOSE(CONTROL!$C$21, $C$9, 100%, $E$9)</f>
        <v>13.2767</v>
      </c>
      <c r="E318" s="14">
        <f>CHOOSE(CONTROL!$C$42, 13.3079, 13.3079) * CHOOSE(CONTROL!$C$21, $C$9, 100%, $E$9)</f>
        <v>13.3079</v>
      </c>
      <c r="F318" s="14">
        <f>CHOOSE(CONTROL!$C$42, 13.055, 13.055)*CHOOSE(CONTROL!$C$21, $C$9, 100%, $E$9)</f>
        <v>13.055</v>
      </c>
      <c r="G318" s="14">
        <f>CHOOSE(CONTROL!$C$42, 13.0712, 13.0712)*CHOOSE(CONTROL!$C$21, $C$9, 100%, $E$9)</f>
        <v>13.071199999999999</v>
      </c>
      <c r="H318" s="14">
        <f>CHOOSE(CONTROL!$C$42, 13.2965, 13.2965) * CHOOSE(CONTROL!$C$21, $C$9, 100%, $E$9)</f>
        <v>13.2965</v>
      </c>
      <c r="I318" s="14">
        <f>CHOOSE(CONTROL!$C$42, 13.0826, 13.0826)* CHOOSE(CONTROL!$C$21, $C$9, 100%, $E$9)</f>
        <v>13.082599999999999</v>
      </c>
      <c r="J318" s="14">
        <f>CHOOSE(CONTROL!$C$42, 13.048, 13.048)* CHOOSE(CONTROL!$C$21, $C$9, 100%, $E$9)</f>
        <v>13.048</v>
      </c>
      <c r="K318" s="53">
        <f>CHOOSE(CONTROL!$C$42, 13.0787, 13.0787) * CHOOSE(CONTROL!$C$21, $C$9, 100%, $E$9)</f>
        <v>13.0787</v>
      </c>
      <c r="L318" s="14">
        <f>CHOOSE(CONTROL!$C$42, 13.8835, 13.8835) * CHOOSE(CONTROL!$C$21, $C$9, 100%, $E$9)</f>
        <v>13.8835</v>
      </c>
      <c r="M318" s="14">
        <f>CHOOSE(CONTROL!$C$42, 12.9302, 12.9302) * CHOOSE(CONTROL!$C$21, $C$9, 100%, $E$9)</f>
        <v>12.930199999999999</v>
      </c>
      <c r="N318" s="14">
        <f>CHOOSE(CONTROL!$C$42, 12.9462, 12.9462) * CHOOSE(CONTROL!$C$21, $C$9, 100%, $E$9)</f>
        <v>12.946199999999999</v>
      </c>
      <c r="O318" s="14">
        <f>CHOOSE(CONTROL!$C$42, 13.1761, 13.1761) * CHOOSE(CONTROL!$C$21, $C$9, 100%, $E$9)</f>
        <v>13.1761</v>
      </c>
      <c r="P318" s="14">
        <f>CHOOSE(CONTROL!$C$42, 12.9644, 12.9644) * CHOOSE(CONTROL!$C$21, $C$9, 100%, $E$9)</f>
        <v>12.964399999999999</v>
      </c>
      <c r="Q318" s="14">
        <f>CHOOSE(CONTROL!$C$42, 13.7714, 13.7714) * CHOOSE(CONTROL!$C$21, $C$9, 100%, $E$9)</f>
        <v>13.7714</v>
      </c>
      <c r="R318" s="14">
        <f>CHOOSE(CONTROL!$C$42, 14.3929, 14.3929) * CHOOSE(CONTROL!$C$21, $C$9, 100%, $E$9)</f>
        <v>14.392899999999999</v>
      </c>
      <c r="S318" s="14">
        <f>CHOOSE(CONTROL!$C$42, 12.6892, 12.6892) * CHOOSE(CONTROL!$C$21, $C$9, 100%, $E$9)</f>
        <v>12.6892</v>
      </c>
      <c r="T31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18" s="57">
        <f>(1000*CHOOSE(CONTROL!$C$42, 695, 695)*CHOOSE(CONTROL!$C$42, 0.5599, 0.5599)*CHOOSE(CONTROL!$C$42, 30, 30))/1000000</f>
        <v>11.673914999999997</v>
      </c>
      <c r="V318" s="57">
        <f>(1000*CHOOSE(CONTROL!$C$42, 500, 500)*CHOOSE(CONTROL!$C$42, 0.275, 0.275)*CHOOSE(CONTROL!$C$42, 30, 30))/1000000</f>
        <v>4.125</v>
      </c>
      <c r="W318" s="57">
        <f>(1000*CHOOSE(CONTROL!$C$42, 0.1146, 0.1146)*CHOOSE(CONTROL!$C$42, 121.5, 121.5)*CHOOSE(CONTROL!$C$42, 30, 30))/1000000</f>
        <v>0.417717</v>
      </c>
      <c r="X318" s="57">
        <f>(30*0.1790888*245000/1000000)+(30*0.2374*100000/1000000)</f>
        <v>2.0285026799999999</v>
      </c>
      <c r="Y318" s="57"/>
      <c r="Z318" s="14"/>
      <c r="AA318" s="56"/>
      <c r="AB318" s="50">
        <f>(B318*194.205+C318*267.466+D318*133.845+E318*53.484+F318*40+G318*185+H318*0+I318*100+J318*300)/(194.205+267.466+133.845+53.484+0+40+185+100+300)</f>
        <v>13.099308156750395</v>
      </c>
      <c r="AC318" s="45">
        <f>(M318*'RAP TEMPLATE-GAS AVAILABILITY'!O317+N318*'RAP TEMPLATE-GAS AVAILABILITY'!P317+O318*'RAP TEMPLATE-GAS AVAILABILITY'!Q317+P318*'RAP TEMPLATE-GAS AVAILABILITY'!R317)/('RAP TEMPLATE-GAS AVAILABILITY'!O317+'RAP TEMPLATE-GAS AVAILABILITY'!P317+'RAP TEMPLATE-GAS AVAILABILITY'!Q317+'RAP TEMPLATE-GAS AVAILABILITY'!R317)</f>
        <v>13.007797841726619</v>
      </c>
    </row>
    <row r="319" spans="1:29" ht="15.75" x14ac:dyDescent="0.25">
      <c r="A319" s="33">
        <v>50617</v>
      </c>
      <c r="B319" s="14">
        <f>CHOOSE(CONTROL!$C$42, 12.8206, 12.8206) * CHOOSE(CONTROL!$C$21, $C$9, 100%, $E$9)</f>
        <v>12.820600000000001</v>
      </c>
      <c r="C319" s="14">
        <f>CHOOSE(CONTROL!$C$42, 12.8285, 12.8285) * CHOOSE(CONTROL!$C$21, $C$9, 100%, $E$9)</f>
        <v>12.8285</v>
      </c>
      <c r="D319" s="14">
        <f>CHOOSE(CONTROL!$C$42, 13.0261, 13.0261) * CHOOSE(CONTROL!$C$21, $C$9, 100%, $E$9)</f>
        <v>13.0261</v>
      </c>
      <c r="E319" s="14">
        <f>CHOOSE(CONTROL!$C$42, 13.0572, 13.0572) * CHOOSE(CONTROL!$C$21, $C$9, 100%, $E$9)</f>
        <v>13.0572</v>
      </c>
      <c r="F319" s="14">
        <f>CHOOSE(CONTROL!$C$42, 12.8048, 12.8048)*CHOOSE(CONTROL!$C$21, $C$9, 100%, $E$9)</f>
        <v>12.8048</v>
      </c>
      <c r="G319" s="14">
        <f>CHOOSE(CONTROL!$C$42, 12.8211, 12.8211)*CHOOSE(CONTROL!$C$21, $C$9, 100%, $E$9)</f>
        <v>12.821099999999999</v>
      </c>
      <c r="H319" s="14">
        <f>CHOOSE(CONTROL!$C$42, 13.0458, 13.0458) * CHOOSE(CONTROL!$C$21, $C$9, 100%, $E$9)</f>
        <v>13.0458</v>
      </c>
      <c r="I319" s="14">
        <f>CHOOSE(CONTROL!$C$42, 12.8319, 12.8319)* CHOOSE(CONTROL!$C$21, $C$9, 100%, $E$9)</f>
        <v>12.831899999999999</v>
      </c>
      <c r="J319" s="14">
        <f>CHOOSE(CONTROL!$C$42, 12.7978, 12.7978)* CHOOSE(CONTROL!$C$21, $C$9, 100%, $E$9)</f>
        <v>12.797800000000001</v>
      </c>
      <c r="K319" s="53">
        <f>CHOOSE(CONTROL!$C$42, 12.828, 12.828) * CHOOSE(CONTROL!$C$21, $C$9, 100%, $E$9)</f>
        <v>12.827999999999999</v>
      </c>
      <c r="L319" s="14">
        <f>CHOOSE(CONTROL!$C$42, 13.6328, 13.6328) * CHOOSE(CONTROL!$C$21, $C$9, 100%, $E$9)</f>
        <v>13.6328</v>
      </c>
      <c r="M319" s="14">
        <f>CHOOSE(CONTROL!$C$42, 12.6825, 12.6825) * CHOOSE(CONTROL!$C$21, $C$9, 100%, $E$9)</f>
        <v>12.682499999999999</v>
      </c>
      <c r="N319" s="14">
        <f>CHOOSE(CONTROL!$C$42, 12.6986, 12.6986) * CHOOSE(CONTROL!$C$21, $C$9, 100%, $E$9)</f>
        <v>12.698600000000001</v>
      </c>
      <c r="O319" s="14">
        <f>CHOOSE(CONTROL!$C$42, 12.928, 12.928) * CHOOSE(CONTROL!$C$21, $C$9, 100%, $E$9)</f>
        <v>12.928000000000001</v>
      </c>
      <c r="P319" s="14">
        <f>CHOOSE(CONTROL!$C$42, 12.7163, 12.7163) * CHOOSE(CONTROL!$C$21, $C$9, 100%, $E$9)</f>
        <v>12.7163</v>
      </c>
      <c r="Q319" s="14">
        <f>CHOOSE(CONTROL!$C$42, 13.5233, 13.5233) * CHOOSE(CONTROL!$C$21, $C$9, 100%, $E$9)</f>
        <v>13.523300000000001</v>
      </c>
      <c r="R319" s="14">
        <f>CHOOSE(CONTROL!$C$42, 14.1441, 14.1441) * CHOOSE(CONTROL!$C$21, $C$9, 100%, $E$9)</f>
        <v>14.1441</v>
      </c>
      <c r="S319" s="14">
        <f>CHOOSE(CONTROL!$C$42, 12.4458, 12.4458) * CHOOSE(CONTROL!$C$21, $C$9, 100%, $E$9)</f>
        <v>12.4458</v>
      </c>
      <c r="T31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19" s="57">
        <f>(1000*CHOOSE(CONTROL!$C$42, 695, 695)*CHOOSE(CONTROL!$C$42, 0.5599, 0.5599)*CHOOSE(CONTROL!$C$42, 31, 31))/1000000</f>
        <v>12.063045499999998</v>
      </c>
      <c r="V319" s="57">
        <f>(1000*CHOOSE(CONTROL!$C$42, 500, 500)*CHOOSE(CONTROL!$C$42, 0.275, 0.275)*CHOOSE(CONTROL!$C$42, 31, 31))/1000000</f>
        <v>4.2625000000000002</v>
      </c>
      <c r="W319" s="57">
        <f>(1000*CHOOSE(CONTROL!$C$42, 0.1146, 0.1146)*CHOOSE(CONTROL!$C$42, 121.5, 121.5)*CHOOSE(CONTROL!$C$42, 31, 31))/1000000</f>
        <v>0.43164089999999994</v>
      </c>
      <c r="X319" s="57">
        <f>(31*0.1790888*245000/1000000)+(31*0.2374*100000/1000000)</f>
        <v>2.0961194359999999</v>
      </c>
      <c r="Y319" s="57"/>
      <c r="Z319" s="14"/>
      <c r="AA319" s="56"/>
      <c r="AB319" s="50">
        <f>(B319*194.205+C319*267.466+D319*133.845+E319*53.484+F319*40+G319*185+H319*0+I319*100+J319*300)/(194.205+267.466+133.845+53.484+0+40+185+100+300)</f>
        <v>12.848875465698587</v>
      </c>
      <c r="AC319" s="45">
        <f>(M319*'RAP TEMPLATE-GAS AVAILABILITY'!O318+N319*'RAP TEMPLATE-GAS AVAILABILITY'!P318+O319*'RAP TEMPLATE-GAS AVAILABILITY'!Q318+P319*'RAP TEMPLATE-GAS AVAILABILITY'!R318)/('RAP TEMPLATE-GAS AVAILABILITY'!O318+'RAP TEMPLATE-GAS AVAILABILITY'!P318+'RAP TEMPLATE-GAS AVAILABILITY'!Q318+'RAP TEMPLATE-GAS AVAILABILITY'!R318)</f>
        <v>12.759951079136693</v>
      </c>
    </row>
    <row r="320" spans="1:29" ht="15.75" x14ac:dyDescent="0.25">
      <c r="A320" s="33">
        <v>50648</v>
      </c>
      <c r="B320" s="14">
        <f>CHOOSE(CONTROL!$C$42, 12.1876, 12.1876) * CHOOSE(CONTROL!$C$21, $C$9, 100%, $E$9)</f>
        <v>12.1876</v>
      </c>
      <c r="C320" s="14">
        <f>CHOOSE(CONTROL!$C$42, 12.1955, 12.1955) * CHOOSE(CONTROL!$C$21, $C$9, 100%, $E$9)</f>
        <v>12.195499999999999</v>
      </c>
      <c r="D320" s="14">
        <f>CHOOSE(CONTROL!$C$42, 12.3931, 12.3931) * CHOOSE(CONTROL!$C$21, $C$9, 100%, $E$9)</f>
        <v>12.3931</v>
      </c>
      <c r="E320" s="14">
        <f>CHOOSE(CONTROL!$C$42, 12.4242, 12.4242) * CHOOSE(CONTROL!$C$21, $C$9, 100%, $E$9)</f>
        <v>12.424200000000001</v>
      </c>
      <c r="F320" s="14">
        <f>CHOOSE(CONTROL!$C$42, 12.172, 12.172)*CHOOSE(CONTROL!$C$21, $C$9, 100%, $E$9)</f>
        <v>12.172000000000001</v>
      </c>
      <c r="G320" s="14">
        <f>CHOOSE(CONTROL!$C$42, 12.1883, 12.1883)*CHOOSE(CONTROL!$C$21, $C$9, 100%, $E$9)</f>
        <v>12.1883</v>
      </c>
      <c r="H320" s="14">
        <f>CHOOSE(CONTROL!$C$42, 12.4128, 12.4128) * CHOOSE(CONTROL!$C$21, $C$9, 100%, $E$9)</f>
        <v>12.412800000000001</v>
      </c>
      <c r="I320" s="14">
        <f>CHOOSE(CONTROL!$C$42, 12.1989, 12.1989)* CHOOSE(CONTROL!$C$21, $C$9, 100%, $E$9)</f>
        <v>12.1989</v>
      </c>
      <c r="J320" s="14">
        <f>CHOOSE(CONTROL!$C$42, 12.165, 12.165)* CHOOSE(CONTROL!$C$21, $C$9, 100%, $E$9)</f>
        <v>12.164999999999999</v>
      </c>
      <c r="K320" s="53">
        <f>CHOOSE(CONTROL!$C$42, 12.195, 12.195) * CHOOSE(CONTROL!$C$21, $C$9, 100%, $E$9)</f>
        <v>12.195</v>
      </c>
      <c r="L320" s="14">
        <f>CHOOSE(CONTROL!$C$42, 12.9998, 12.9998) * CHOOSE(CONTROL!$C$21, $C$9, 100%, $E$9)</f>
        <v>12.9998</v>
      </c>
      <c r="M320" s="14">
        <f>CHOOSE(CONTROL!$C$42, 12.0561, 12.0561) * CHOOSE(CONTROL!$C$21, $C$9, 100%, $E$9)</f>
        <v>12.056100000000001</v>
      </c>
      <c r="N320" s="14">
        <f>CHOOSE(CONTROL!$C$42, 12.0722, 12.0722) * CHOOSE(CONTROL!$C$21, $C$9, 100%, $E$9)</f>
        <v>12.0722</v>
      </c>
      <c r="O320" s="14">
        <f>CHOOSE(CONTROL!$C$42, 12.3014, 12.3014) * CHOOSE(CONTROL!$C$21, $C$9, 100%, $E$9)</f>
        <v>12.301399999999999</v>
      </c>
      <c r="P320" s="14">
        <f>CHOOSE(CONTROL!$C$42, 12.0897, 12.0897) * CHOOSE(CONTROL!$C$21, $C$9, 100%, $E$9)</f>
        <v>12.089700000000001</v>
      </c>
      <c r="Q320" s="14">
        <f>CHOOSE(CONTROL!$C$42, 12.8967, 12.8967) * CHOOSE(CONTROL!$C$21, $C$9, 100%, $E$9)</f>
        <v>12.896699999999999</v>
      </c>
      <c r="R320" s="14">
        <f>CHOOSE(CONTROL!$C$42, 13.5159, 13.5159) * CHOOSE(CONTROL!$C$21, $C$9, 100%, $E$9)</f>
        <v>13.5159</v>
      </c>
      <c r="S320" s="14">
        <f>CHOOSE(CONTROL!$C$42, 11.8311, 11.8311) * CHOOSE(CONTROL!$C$21, $C$9, 100%, $E$9)</f>
        <v>11.831099999999999</v>
      </c>
      <c r="T32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20" s="57">
        <f>(1000*CHOOSE(CONTROL!$C$42, 695, 695)*CHOOSE(CONTROL!$C$42, 0.5599, 0.5599)*CHOOSE(CONTROL!$C$42, 31, 31))/1000000</f>
        <v>12.063045499999998</v>
      </c>
      <c r="V320" s="57">
        <f>(1000*CHOOSE(CONTROL!$C$42, 500, 500)*CHOOSE(CONTROL!$C$42, 0.275, 0.275)*CHOOSE(CONTROL!$C$42, 31, 31))/1000000</f>
        <v>4.2625000000000002</v>
      </c>
      <c r="W320" s="57">
        <f>(1000*CHOOSE(CONTROL!$C$42, 0.1146, 0.1146)*CHOOSE(CONTROL!$C$42, 121.5, 121.5)*CHOOSE(CONTROL!$C$42, 31, 31))/1000000</f>
        <v>0.43164089999999994</v>
      </c>
      <c r="X320" s="57">
        <f>(31*0.1790888*245000/1000000)+(31*0.2374*100000/1000000)</f>
        <v>2.0961194359999999</v>
      </c>
      <c r="Y320" s="57"/>
      <c r="Z320" s="14"/>
      <c r="AA320" s="56"/>
      <c r="AB320" s="50">
        <f>(B320*194.205+C320*267.466+D320*133.845+E320*53.484+F320*40+G320*185+H320*0+I320*100+J320*300)/(194.205+267.466+133.845+53.484+0+40+185+100+300)</f>
        <v>12.215957883281003</v>
      </c>
      <c r="AC320" s="45">
        <f>(M320*'RAP TEMPLATE-GAS AVAILABILITY'!O319+N320*'RAP TEMPLATE-GAS AVAILABILITY'!P319+O320*'RAP TEMPLATE-GAS AVAILABILITY'!Q319+P320*'RAP TEMPLATE-GAS AVAILABILITY'!R319)/('RAP TEMPLATE-GAS AVAILABILITY'!O319+'RAP TEMPLATE-GAS AVAILABILITY'!P319+'RAP TEMPLATE-GAS AVAILABILITY'!Q319+'RAP TEMPLATE-GAS AVAILABILITY'!R319)</f>
        <v>12.133466187050358</v>
      </c>
    </row>
    <row r="321" spans="1:29" ht="15.75" x14ac:dyDescent="0.25">
      <c r="A321" s="33">
        <v>50678</v>
      </c>
      <c r="B321" s="14">
        <f>CHOOSE(CONTROL!$C$42, 11.4138, 11.4138) * CHOOSE(CONTROL!$C$21, $C$9, 100%, $E$9)</f>
        <v>11.4138</v>
      </c>
      <c r="C321" s="14">
        <f>CHOOSE(CONTROL!$C$42, 11.4217, 11.4217) * CHOOSE(CONTROL!$C$21, $C$9, 100%, $E$9)</f>
        <v>11.4217</v>
      </c>
      <c r="D321" s="14">
        <f>CHOOSE(CONTROL!$C$42, 11.6193, 11.6193) * CHOOSE(CONTROL!$C$21, $C$9, 100%, $E$9)</f>
        <v>11.619300000000001</v>
      </c>
      <c r="E321" s="14">
        <f>CHOOSE(CONTROL!$C$42, 11.6504, 11.6504) * CHOOSE(CONTROL!$C$21, $C$9, 100%, $E$9)</f>
        <v>11.650399999999999</v>
      </c>
      <c r="F321" s="14">
        <f>CHOOSE(CONTROL!$C$42, 11.3981, 11.3981)*CHOOSE(CONTROL!$C$21, $C$9, 100%, $E$9)</f>
        <v>11.398099999999999</v>
      </c>
      <c r="G321" s="14">
        <f>CHOOSE(CONTROL!$C$42, 11.4145, 11.4145)*CHOOSE(CONTROL!$C$21, $C$9, 100%, $E$9)</f>
        <v>11.4145</v>
      </c>
      <c r="H321" s="14">
        <f>CHOOSE(CONTROL!$C$42, 11.639, 11.639) * CHOOSE(CONTROL!$C$21, $C$9, 100%, $E$9)</f>
        <v>11.638999999999999</v>
      </c>
      <c r="I321" s="14">
        <f>CHOOSE(CONTROL!$C$42, 11.4251, 11.4251)* CHOOSE(CONTROL!$C$21, $C$9, 100%, $E$9)</f>
        <v>11.4251</v>
      </c>
      <c r="J321" s="14">
        <f>CHOOSE(CONTROL!$C$42, 11.3911, 11.3911)* CHOOSE(CONTROL!$C$21, $C$9, 100%, $E$9)</f>
        <v>11.3911</v>
      </c>
      <c r="K321" s="53">
        <f>CHOOSE(CONTROL!$C$42, 11.4212, 11.4212) * CHOOSE(CONTROL!$C$21, $C$9, 100%, $E$9)</f>
        <v>11.421200000000001</v>
      </c>
      <c r="L321" s="14">
        <f>CHOOSE(CONTROL!$C$42, 12.226, 12.226) * CHOOSE(CONTROL!$C$21, $C$9, 100%, $E$9)</f>
        <v>12.226000000000001</v>
      </c>
      <c r="M321" s="14">
        <f>CHOOSE(CONTROL!$C$42, 11.29, 11.29) * CHOOSE(CONTROL!$C$21, $C$9, 100%, $E$9)</f>
        <v>11.29</v>
      </c>
      <c r="N321" s="14">
        <f>CHOOSE(CONTROL!$C$42, 11.3062, 11.3062) * CHOOSE(CONTROL!$C$21, $C$9, 100%, $E$9)</f>
        <v>11.3062</v>
      </c>
      <c r="O321" s="14">
        <f>CHOOSE(CONTROL!$C$42, 11.5354, 11.5354) * CHOOSE(CONTROL!$C$21, $C$9, 100%, $E$9)</f>
        <v>11.535399999999999</v>
      </c>
      <c r="P321" s="14">
        <f>CHOOSE(CONTROL!$C$42, 11.3237, 11.3237) * CHOOSE(CONTROL!$C$21, $C$9, 100%, $E$9)</f>
        <v>11.323700000000001</v>
      </c>
      <c r="Q321" s="14">
        <f>CHOOSE(CONTROL!$C$42, 12.1307, 12.1307) * CHOOSE(CONTROL!$C$21, $C$9, 100%, $E$9)</f>
        <v>12.130699999999999</v>
      </c>
      <c r="R321" s="14">
        <f>CHOOSE(CONTROL!$C$42, 12.748, 12.748) * CHOOSE(CONTROL!$C$21, $C$9, 100%, $E$9)</f>
        <v>12.747999999999999</v>
      </c>
      <c r="S321" s="14">
        <f>CHOOSE(CONTROL!$C$42, 11.0796, 11.0796) * CHOOSE(CONTROL!$C$21, $C$9, 100%, $E$9)</f>
        <v>11.079599999999999</v>
      </c>
      <c r="T32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21" s="57">
        <f>(1000*CHOOSE(CONTROL!$C$42, 695, 695)*CHOOSE(CONTROL!$C$42, 0.5599, 0.5599)*CHOOSE(CONTROL!$C$42, 30, 30))/1000000</f>
        <v>11.673914999999997</v>
      </c>
      <c r="V321" s="57">
        <f>(1000*CHOOSE(CONTROL!$C$42, 500, 500)*CHOOSE(CONTROL!$C$42, 0.275, 0.275)*CHOOSE(CONTROL!$C$42, 30, 30))/1000000</f>
        <v>4.125</v>
      </c>
      <c r="W321" s="57">
        <f>(1000*CHOOSE(CONTROL!$C$42, 0.1146, 0.1146)*CHOOSE(CONTROL!$C$42, 121.5, 121.5)*CHOOSE(CONTROL!$C$42, 30, 30))/1000000</f>
        <v>0.417717</v>
      </c>
      <c r="X321" s="57">
        <f>(30*0.1790888*245000/1000000)+(30*0.2374*100000/1000000)</f>
        <v>2.0285026799999999</v>
      </c>
      <c r="Y321" s="57"/>
      <c r="Z321" s="14"/>
      <c r="AA321" s="56"/>
      <c r="AB321" s="50">
        <f>(B321*194.205+C321*267.466+D321*133.845+E321*53.484+F321*40+G321*185+H321*0+I321*100+J321*300)/(194.205+267.466+133.845+53.484+0+40+185+100+300)</f>
        <v>11.442131195682888</v>
      </c>
      <c r="AC321" s="45">
        <f>(M321*'RAP TEMPLATE-GAS AVAILABILITY'!O320+N321*'RAP TEMPLATE-GAS AVAILABILITY'!P320+O321*'RAP TEMPLATE-GAS AVAILABILITY'!Q320+P321*'RAP TEMPLATE-GAS AVAILABILITY'!R320)/('RAP TEMPLATE-GAS AVAILABILITY'!O320+'RAP TEMPLATE-GAS AVAILABILITY'!P320+'RAP TEMPLATE-GAS AVAILABILITY'!Q320+'RAP TEMPLATE-GAS AVAILABILITY'!R320)</f>
        <v>11.36743165467626</v>
      </c>
    </row>
    <row r="322" spans="1:29" ht="15.75" x14ac:dyDescent="0.25">
      <c r="A322" s="33">
        <v>50709</v>
      </c>
      <c r="B322" s="14">
        <f>CHOOSE(CONTROL!$C$42, 11.1804, 11.1804) * CHOOSE(CONTROL!$C$21, $C$9, 100%, $E$9)</f>
        <v>11.180400000000001</v>
      </c>
      <c r="C322" s="14">
        <f>CHOOSE(CONTROL!$C$42, 11.1856, 11.1856) * CHOOSE(CONTROL!$C$21, $C$9, 100%, $E$9)</f>
        <v>11.185600000000001</v>
      </c>
      <c r="D322" s="14">
        <f>CHOOSE(CONTROL!$C$42, 11.3881, 11.3881) * CHOOSE(CONTROL!$C$21, $C$9, 100%, $E$9)</f>
        <v>11.3881</v>
      </c>
      <c r="E322" s="14">
        <f>CHOOSE(CONTROL!$C$42, 11.4169, 11.4169) * CHOOSE(CONTROL!$C$21, $C$9, 100%, $E$9)</f>
        <v>11.4169</v>
      </c>
      <c r="F322" s="14">
        <f>CHOOSE(CONTROL!$C$42, 11.1667, 11.1667)*CHOOSE(CONTROL!$C$21, $C$9, 100%, $E$9)</f>
        <v>11.166700000000001</v>
      </c>
      <c r="G322" s="14">
        <f>CHOOSE(CONTROL!$C$42, 11.1827, 11.1827)*CHOOSE(CONTROL!$C$21, $C$9, 100%, $E$9)</f>
        <v>11.182700000000001</v>
      </c>
      <c r="H322" s="14">
        <f>CHOOSE(CONTROL!$C$42, 11.4074, 11.4074) * CHOOSE(CONTROL!$C$21, $C$9, 100%, $E$9)</f>
        <v>11.407400000000001</v>
      </c>
      <c r="I322" s="14">
        <f>CHOOSE(CONTROL!$C$42, 11.1935, 11.1935)* CHOOSE(CONTROL!$C$21, $C$9, 100%, $E$9)</f>
        <v>11.1935</v>
      </c>
      <c r="J322" s="14">
        <f>CHOOSE(CONTROL!$C$42, 11.1597, 11.1597)* CHOOSE(CONTROL!$C$21, $C$9, 100%, $E$9)</f>
        <v>11.159700000000001</v>
      </c>
      <c r="K322" s="53">
        <f>CHOOSE(CONTROL!$C$42, 11.1896, 11.1896) * CHOOSE(CONTROL!$C$21, $C$9, 100%, $E$9)</f>
        <v>11.1896</v>
      </c>
      <c r="L322" s="14">
        <f>CHOOSE(CONTROL!$C$42, 11.9944, 11.9944) * CHOOSE(CONTROL!$C$21, $C$9, 100%, $E$9)</f>
        <v>11.994400000000001</v>
      </c>
      <c r="M322" s="14">
        <f>CHOOSE(CONTROL!$C$42, 11.0609, 11.0609) * CHOOSE(CONTROL!$C$21, $C$9, 100%, $E$9)</f>
        <v>11.0609</v>
      </c>
      <c r="N322" s="14">
        <f>CHOOSE(CONTROL!$C$42, 11.0768, 11.0768) * CHOOSE(CONTROL!$C$21, $C$9, 100%, $E$9)</f>
        <v>11.0768</v>
      </c>
      <c r="O322" s="14">
        <f>CHOOSE(CONTROL!$C$42, 11.3061, 11.3061) * CHOOSE(CONTROL!$C$21, $C$9, 100%, $E$9)</f>
        <v>11.306100000000001</v>
      </c>
      <c r="P322" s="14">
        <f>CHOOSE(CONTROL!$C$42, 11.0944, 11.0944) * CHOOSE(CONTROL!$C$21, $C$9, 100%, $E$9)</f>
        <v>11.0944</v>
      </c>
      <c r="Q322" s="14">
        <f>CHOOSE(CONTROL!$C$42, 11.9014, 11.9014) * CHOOSE(CONTROL!$C$21, $C$9, 100%, $E$9)</f>
        <v>11.901400000000001</v>
      </c>
      <c r="R322" s="14">
        <f>CHOOSE(CONTROL!$C$42, 12.5181, 12.5181) * CHOOSE(CONTROL!$C$21, $C$9, 100%, $E$9)</f>
        <v>12.5181</v>
      </c>
      <c r="S322" s="14">
        <f>CHOOSE(CONTROL!$C$42, 10.8547, 10.8547) * CHOOSE(CONTROL!$C$21, $C$9, 100%, $E$9)</f>
        <v>10.854699999999999</v>
      </c>
      <c r="T32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22" s="57">
        <f>(1000*CHOOSE(CONTROL!$C$42, 695, 695)*CHOOSE(CONTROL!$C$42, 0.5599, 0.5599)*CHOOSE(CONTROL!$C$42, 31, 31))/1000000</f>
        <v>12.063045499999998</v>
      </c>
      <c r="V322" s="57">
        <f>(1000*CHOOSE(CONTROL!$C$42, 500, 500)*CHOOSE(CONTROL!$C$42, 0.275, 0.275)*CHOOSE(CONTROL!$C$42, 31, 31))/1000000</f>
        <v>4.2625000000000002</v>
      </c>
      <c r="W322" s="57">
        <f>(1000*CHOOSE(CONTROL!$C$42, 0.1146, 0.1146)*CHOOSE(CONTROL!$C$42, 121.5, 121.5)*CHOOSE(CONTROL!$C$42, 31, 31))/1000000</f>
        <v>0.43164089999999994</v>
      </c>
      <c r="X322" s="57">
        <f>(31*0.1790888*245000/1000000)+(31*0.2374*100000/1000000)</f>
        <v>2.0961194359999999</v>
      </c>
      <c r="Y322" s="57"/>
      <c r="Z322" s="14"/>
      <c r="AA322" s="56"/>
      <c r="AB322" s="50">
        <f>(B322*131.881+C322*277.167+D322*79.08+E322*125.872+F322*40+G322*185+H322*0+I322*100+J322*300)/(131.881+277.167+79.08+125.872+0+40+185+100+300)</f>
        <v>11.214792584665052</v>
      </c>
      <c r="AC322" s="45">
        <f>(M322*'RAP TEMPLATE-GAS AVAILABILITY'!O321+N322*'RAP TEMPLATE-GAS AVAILABILITY'!P321+O322*'RAP TEMPLATE-GAS AVAILABILITY'!Q321+P322*'RAP TEMPLATE-GAS AVAILABILITY'!R321)/('RAP TEMPLATE-GAS AVAILABILITY'!O321+'RAP TEMPLATE-GAS AVAILABILITY'!P321+'RAP TEMPLATE-GAS AVAILABILITY'!Q321+'RAP TEMPLATE-GAS AVAILABILITY'!R321)</f>
        <v>11.138177697841728</v>
      </c>
    </row>
    <row r="323" spans="1:29" ht="15.75" x14ac:dyDescent="0.25">
      <c r="A323" s="33">
        <v>50739</v>
      </c>
      <c r="B323" s="14">
        <f>CHOOSE(CONTROL!$C$42, 11.4744, 11.4744) * CHOOSE(CONTROL!$C$21, $C$9, 100%, $E$9)</f>
        <v>11.474399999999999</v>
      </c>
      <c r="C323" s="14">
        <f>CHOOSE(CONTROL!$C$42, 11.4793, 11.4793) * CHOOSE(CONTROL!$C$21, $C$9, 100%, $E$9)</f>
        <v>11.4793</v>
      </c>
      <c r="D323" s="14">
        <f>CHOOSE(CONTROL!$C$42, 11.5424, 11.5424) * CHOOSE(CONTROL!$C$21, $C$9, 100%, $E$9)</f>
        <v>11.542400000000001</v>
      </c>
      <c r="E323" s="14">
        <f>CHOOSE(CONTROL!$C$42, 11.5762, 11.5762) * CHOOSE(CONTROL!$C$21, $C$9, 100%, $E$9)</f>
        <v>11.5762</v>
      </c>
      <c r="F323" s="14">
        <f>CHOOSE(CONTROL!$C$42, 11.4751, 11.4751)*CHOOSE(CONTROL!$C$21, $C$9, 100%, $E$9)</f>
        <v>11.475099999999999</v>
      </c>
      <c r="G323" s="14">
        <f>CHOOSE(CONTROL!$C$42, 11.4914, 11.4914)*CHOOSE(CONTROL!$C$21, $C$9, 100%, $E$9)</f>
        <v>11.491400000000001</v>
      </c>
      <c r="H323" s="14">
        <f>CHOOSE(CONTROL!$C$42, 11.5654, 11.5654) * CHOOSE(CONTROL!$C$21, $C$9, 100%, $E$9)</f>
        <v>11.5654</v>
      </c>
      <c r="I323" s="14">
        <f>CHOOSE(CONTROL!$C$42, 11.4879, 11.4879)* CHOOSE(CONTROL!$C$21, $C$9, 100%, $E$9)</f>
        <v>11.4879</v>
      </c>
      <c r="J323" s="14">
        <f>CHOOSE(CONTROL!$C$42, 11.4681, 11.4681)* CHOOSE(CONTROL!$C$21, $C$9, 100%, $E$9)</f>
        <v>11.4681</v>
      </c>
      <c r="K323" s="53">
        <f>CHOOSE(CONTROL!$C$42, 11.484, 11.484) * CHOOSE(CONTROL!$C$21, $C$9, 100%, $E$9)</f>
        <v>11.484</v>
      </c>
      <c r="L323" s="14">
        <f>CHOOSE(CONTROL!$C$42, 12.1524, 12.1524) * CHOOSE(CONTROL!$C$21, $C$9, 100%, $E$9)</f>
        <v>12.1524</v>
      </c>
      <c r="M323" s="14">
        <f>CHOOSE(CONTROL!$C$42, 11.3662, 11.3662) * CHOOSE(CONTROL!$C$21, $C$9, 100%, $E$9)</f>
        <v>11.366199999999999</v>
      </c>
      <c r="N323" s="14">
        <f>CHOOSE(CONTROL!$C$42, 11.3823, 11.3823) * CHOOSE(CONTROL!$C$21, $C$9, 100%, $E$9)</f>
        <v>11.382300000000001</v>
      </c>
      <c r="O323" s="14">
        <f>CHOOSE(CONTROL!$C$42, 11.4625, 11.4625) * CHOOSE(CONTROL!$C$21, $C$9, 100%, $E$9)</f>
        <v>11.4625</v>
      </c>
      <c r="P323" s="14">
        <f>CHOOSE(CONTROL!$C$42, 11.3859, 11.3859) * CHOOSE(CONTROL!$C$21, $C$9, 100%, $E$9)</f>
        <v>11.385899999999999</v>
      </c>
      <c r="Q323" s="14">
        <f>CHOOSE(CONTROL!$C$42, 12.0578, 12.0578) * CHOOSE(CONTROL!$C$21, $C$9, 100%, $E$9)</f>
        <v>12.0578</v>
      </c>
      <c r="R323" s="14">
        <f>CHOOSE(CONTROL!$C$42, 12.675, 12.675) * CHOOSE(CONTROL!$C$21, $C$9, 100%, $E$9)</f>
        <v>12.675000000000001</v>
      </c>
      <c r="S323" s="14">
        <f>CHOOSE(CONTROL!$C$42, 11.1406, 11.1406) * CHOOSE(CONTROL!$C$21, $C$9, 100%, $E$9)</f>
        <v>11.140599999999999</v>
      </c>
      <c r="T32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23" s="57">
        <f>(1000*CHOOSE(CONTROL!$C$42, 695, 695)*CHOOSE(CONTROL!$C$42, 0.5599, 0.5599)*CHOOSE(CONTROL!$C$42, 30, 30))/1000000</f>
        <v>11.673914999999997</v>
      </c>
      <c r="V323" s="57">
        <f>(1000*CHOOSE(CONTROL!$C$42, 500, 500)*CHOOSE(CONTROL!$C$42, 0.275, 0.275)*CHOOSE(CONTROL!$C$42, 30, 30))/1000000</f>
        <v>4.125</v>
      </c>
      <c r="W323" s="57">
        <f>(1000*CHOOSE(CONTROL!$C$42, 0.1146, 0.1146)*CHOOSE(CONTROL!$C$42, 121.5, 121.5)*CHOOSE(CONTROL!$C$42, 30, 30))/1000000</f>
        <v>0.417717</v>
      </c>
      <c r="X323" s="57">
        <f>(30*0.1790888*100000/1000000)+(30*0.2374*100000/1000000)</f>
        <v>1.2494664</v>
      </c>
      <c r="Y323" s="57"/>
      <c r="Z323" s="14"/>
      <c r="AA323" s="56"/>
      <c r="AB323" s="50">
        <f>(B323*122.58+C323*297.941+D323*89.177+E323*40.302+F323*40+G323*160+H323*0+I323*100+J323*300)/(122.58+297.941+89.177+40.302+0+40+160+100+300)</f>
        <v>11.486430165652175</v>
      </c>
      <c r="AC323" s="45">
        <f>(M323*'RAP TEMPLATE-GAS AVAILABILITY'!O322+N323*'RAP TEMPLATE-GAS AVAILABILITY'!P322+O323*'RAP TEMPLATE-GAS AVAILABILITY'!Q322+P323*'RAP TEMPLATE-GAS AVAILABILITY'!R322)/('RAP TEMPLATE-GAS AVAILABILITY'!O322+'RAP TEMPLATE-GAS AVAILABILITY'!P322+'RAP TEMPLATE-GAS AVAILABILITY'!Q322+'RAP TEMPLATE-GAS AVAILABILITY'!R322)</f>
        <v>11.413607913669065</v>
      </c>
    </row>
    <row r="324" spans="1:29" ht="15.75" x14ac:dyDescent="0.25">
      <c r="A324" s="33">
        <v>50770</v>
      </c>
      <c r="B324" s="14">
        <f>CHOOSE(CONTROL!$C$42, 12.2565, 12.2565) * CHOOSE(CONTROL!$C$21, $C$9, 100%, $E$9)</f>
        <v>12.256500000000001</v>
      </c>
      <c r="C324" s="14">
        <f>CHOOSE(CONTROL!$C$42, 12.2615, 12.2615) * CHOOSE(CONTROL!$C$21, $C$9, 100%, $E$9)</f>
        <v>12.2615</v>
      </c>
      <c r="D324" s="14">
        <f>CHOOSE(CONTROL!$C$42, 12.3245, 12.3245) * CHOOSE(CONTROL!$C$21, $C$9, 100%, $E$9)</f>
        <v>12.3245</v>
      </c>
      <c r="E324" s="14">
        <f>CHOOSE(CONTROL!$C$42, 12.3583, 12.3583) * CHOOSE(CONTROL!$C$21, $C$9, 100%, $E$9)</f>
        <v>12.3583</v>
      </c>
      <c r="F324" s="14">
        <f>CHOOSE(CONTROL!$C$42, 12.2592, 12.2592)*CHOOSE(CONTROL!$C$21, $C$9, 100%, $E$9)</f>
        <v>12.2592</v>
      </c>
      <c r="G324" s="14">
        <f>CHOOSE(CONTROL!$C$42, 12.2761, 12.2761)*CHOOSE(CONTROL!$C$21, $C$9, 100%, $E$9)</f>
        <v>12.2761</v>
      </c>
      <c r="H324" s="14">
        <f>CHOOSE(CONTROL!$C$42, 12.3475, 12.3475) * CHOOSE(CONTROL!$C$21, $C$9, 100%, $E$9)</f>
        <v>12.3475</v>
      </c>
      <c r="I324" s="14">
        <f>CHOOSE(CONTROL!$C$42, 12.27, 12.27)* CHOOSE(CONTROL!$C$21, $C$9, 100%, $E$9)</f>
        <v>12.27</v>
      </c>
      <c r="J324" s="14">
        <f>CHOOSE(CONTROL!$C$42, 12.2522, 12.2522)* CHOOSE(CONTROL!$C$21, $C$9, 100%, $E$9)</f>
        <v>12.2522</v>
      </c>
      <c r="K324" s="53">
        <f>CHOOSE(CONTROL!$C$42, 12.2662, 12.2662) * CHOOSE(CONTROL!$C$21, $C$9, 100%, $E$9)</f>
        <v>12.2662</v>
      </c>
      <c r="L324" s="14">
        <f>CHOOSE(CONTROL!$C$42, 12.9345, 12.9345) * CHOOSE(CONTROL!$C$21, $C$9, 100%, $E$9)</f>
        <v>12.9345</v>
      </c>
      <c r="M324" s="14">
        <f>CHOOSE(CONTROL!$C$42, 12.1424, 12.1424) * CHOOSE(CONTROL!$C$21, $C$9, 100%, $E$9)</f>
        <v>12.1424</v>
      </c>
      <c r="N324" s="14">
        <f>CHOOSE(CONTROL!$C$42, 12.1591, 12.1591) * CHOOSE(CONTROL!$C$21, $C$9, 100%, $E$9)</f>
        <v>12.1591</v>
      </c>
      <c r="O324" s="14">
        <f>CHOOSE(CONTROL!$C$42, 12.2367, 12.2367) * CHOOSE(CONTROL!$C$21, $C$9, 100%, $E$9)</f>
        <v>12.236700000000001</v>
      </c>
      <c r="P324" s="14">
        <f>CHOOSE(CONTROL!$C$42, 12.1601, 12.1601) * CHOOSE(CONTROL!$C$21, $C$9, 100%, $E$9)</f>
        <v>12.1601</v>
      </c>
      <c r="Q324" s="14">
        <f>CHOOSE(CONTROL!$C$42, 12.832, 12.832) * CHOOSE(CONTROL!$C$21, $C$9, 100%, $E$9)</f>
        <v>12.832000000000001</v>
      </c>
      <c r="R324" s="14">
        <f>CHOOSE(CONTROL!$C$42, 13.4511, 13.4511) * CHOOSE(CONTROL!$C$21, $C$9, 100%, $E$9)</f>
        <v>13.4511</v>
      </c>
      <c r="S324" s="14">
        <f>CHOOSE(CONTROL!$C$42, 11.9002, 11.9002) * CHOOSE(CONTROL!$C$21, $C$9, 100%, $E$9)</f>
        <v>11.9002</v>
      </c>
      <c r="T32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24" s="57">
        <f>(1000*CHOOSE(CONTROL!$C$42, 695, 695)*CHOOSE(CONTROL!$C$42, 0.5599, 0.5599)*CHOOSE(CONTROL!$C$42, 31, 31))/1000000</f>
        <v>12.063045499999998</v>
      </c>
      <c r="V324" s="57">
        <f>(1000*CHOOSE(CONTROL!$C$42, 500, 500)*CHOOSE(CONTROL!$C$42, 0.275, 0.275)*CHOOSE(CONTROL!$C$42, 31, 31))/1000000</f>
        <v>4.2625000000000002</v>
      </c>
      <c r="W324" s="57">
        <f>(1000*CHOOSE(CONTROL!$C$42, 0.1146, 0.1146)*CHOOSE(CONTROL!$C$42, 121.5, 121.5)*CHOOSE(CONTROL!$C$42, 31, 31))/1000000</f>
        <v>0.43164089999999994</v>
      </c>
      <c r="X324" s="57">
        <f>(31*0.1790888*100000/1000000)+(31*0.2374*100000/1000000)</f>
        <v>1.2911152800000001</v>
      </c>
      <c r="Y324" s="57"/>
      <c r="Z324" s="14"/>
      <c r="AA324" s="56"/>
      <c r="AB324" s="50">
        <f>(B324*122.58+C324*297.941+D324*89.177+E324*40.302+F324*40+G324*160+H324*0+I324*100+J324*300)/(122.58+297.941+89.177+40.302+0+40+160+100+300)</f>
        <v>12.269509117043478</v>
      </c>
      <c r="AC324" s="45">
        <f>(M324*'RAP TEMPLATE-GAS AVAILABILITY'!O323+N324*'RAP TEMPLATE-GAS AVAILABILITY'!P323+O324*'RAP TEMPLATE-GAS AVAILABILITY'!Q323+P324*'RAP TEMPLATE-GAS AVAILABILITY'!R323)/('RAP TEMPLATE-GAS AVAILABILITY'!O323+'RAP TEMPLATE-GAS AVAILABILITY'!P323+'RAP TEMPLATE-GAS AVAILABILITY'!Q323+'RAP TEMPLATE-GAS AVAILABILITY'!R323)</f>
        <v>12.18864820143885</v>
      </c>
    </row>
    <row r="325" spans="1:29" ht="15.75" x14ac:dyDescent="0.25">
      <c r="A325" s="33">
        <v>50801</v>
      </c>
      <c r="B325" s="14">
        <f>CHOOSE(CONTROL!$C$42, 13.2605, 13.2605) * CHOOSE(CONTROL!$C$21, $C$9, 100%, $E$9)</f>
        <v>13.2605</v>
      </c>
      <c r="C325" s="14">
        <f>CHOOSE(CONTROL!$C$42, 13.2655, 13.2655) * CHOOSE(CONTROL!$C$21, $C$9, 100%, $E$9)</f>
        <v>13.265499999999999</v>
      </c>
      <c r="D325" s="14">
        <f>CHOOSE(CONTROL!$C$42, 13.3297, 13.3297) * CHOOSE(CONTROL!$C$21, $C$9, 100%, $E$9)</f>
        <v>13.329700000000001</v>
      </c>
      <c r="E325" s="14">
        <f>CHOOSE(CONTROL!$C$42, 13.3635, 13.3635) * CHOOSE(CONTROL!$C$21, $C$9, 100%, $E$9)</f>
        <v>13.3635</v>
      </c>
      <c r="F325" s="14">
        <f>CHOOSE(CONTROL!$C$42, 13.262, 13.262)*CHOOSE(CONTROL!$C$21, $C$9, 100%, $E$9)</f>
        <v>13.262</v>
      </c>
      <c r="G325" s="14">
        <f>CHOOSE(CONTROL!$C$42, 13.278, 13.278)*CHOOSE(CONTROL!$C$21, $C$9, 100%, $E$9)</f>
        <v>13.278</v>
      </c>
      <c r="H325" s="14">
        <f>CHOOSE(CONTROL!$C$42, 13.3527, 13.3527) * CHOOSE(CONTROL!$C$21, $C$9, 100%, $E$9)</f>
        <v>13.3527</v>
      </c>
      <c r="I325" s="14">
        <f>CHOOSE(CONTROL!$C$42, 13.2805, 13.2805)* CHOOSE(CONTROL!$C$21, $C$9, 100%, $E$9)</f>
        <v>13.2805</v>
      </c>
      <c r="J325" s="14">
        <f>CHOOSE(CONTROL!$C$42, 13.255, 13.255)* CHOOSE(CONTROL!$C$21, $C$9, 100%, $E$9)</f>
        <v>13.255000000000001</v>
      </c>
      <c r="K325" s="53">
        <f>CHOOSE(CONTROL!$C$42, 13.2766, 13.2766) * CHOOSE(CONTROL!$C$21, $C$9, 100%, $E$9)</f>
        <v>13.2766</v>
      </c>
      <c r="L325" s="14">
        <f>CHOOSE(CONTROL!$C$42, 13.9397, 13.9397) * CHOOSE(CONTROL!$C$21, $C$9, 100%, $E$9)</f>
        <v>13.9397</v>
      </c>
      <c r="M325" s="14">
        <f>CHOOSE(CONTROL!$C$42, 13.1351, 13.1351) * CHOOSE(CONTROL!$C$21, $C$9, 100%, $E$9)</f>
        <v>13.1351</v>
      </c>
      <c r="N325" s="14">
        <f>CHOOSE(CONTROL!$C$42, 13.1509, 13.1509) * CHOOSE(CONTROL!$C$21, $C$9, 100%, $E$9)</f>
        <v>13.1509</v>
      </c>
      <c r="O325" s="14">
        <f>CHOOSE(CONTROL!$C$42, 13.2318, 13.2318) * CHOOSE(CONTROL!$C$21, $C$9, 100%, $E$9)</f>
        <v>13.2318</v>
      </c>
      <c r="P325" s="14">
        <f>CHOOSE(CONTROL!$C$42, 13.1603, 13.1603) * CHOOSE(CONTROL!$C$21, $C$9, 100%, $E$9)</f>
        <v>13.160299999999999</v>
      </c>
      <c r="Q325" s="14">
        <f>CHOOSE(CONTROL!$C$42, 13.8271, 13.8271) * CHOOSE(CONTROL!$C$21, $C$9, 100%, $E$9)</f>
        <v>13.8271</v>
      </c>
      <c r="R325" s="14">
        <f>CHOOSE(CONTROL!$C$42, 14.4487, 14.4487) * CHOOSE(CONTROL!$C$21, $C$9, 100%, $E$9)</f>
        <v>14.448700000000001</v>
      </c>
      <c r="S325" s="14">
        <f>CHOOSE(CONTROL!$C$42, 12.8752, 12.8752) * CHOOSE(CONTROL!$C$21, $C$9, 100%, $E$9)</f>
        <v>12.8752</v>
      </c>
      <c r="T32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25" s="57">
        <f>(1000*CHOOSE(CONTROL!$C$42, 695, 695)*CHOOSE(CONTROL!$C$42, 0.5599, 0.5599)*CHOOSE(CONTROL!$C$42, 31, 31))/1000000</f>
        <v>12.063045499999998</v>
      </c>
      <c r="V325" s="57">
        <f>(1000*CHOOSE(CONTROL!$C$42, 500, 500)*CHOOSE(CONTROL!$C$42, 0.275, 0.275)*CHOOSE(CONTROL!$C$42, 31, 31))/1000000</f>
        <v>4.2625000000000002</v>
      </c>
      <c r="W325" s="57">
        <f>(1000*CHOOSE(CONTROL!$C$42, 0.1146, 0.1146)*CHOOSE(CONTROL!$C$42, 121.5, 121.5)*CHOOSE(CONTROL!$C$42, 31, 31))/1000000</f>
        <v>0.43164089999999994</v>
      </c>
      <c r="X325" s="57">
        <f>(31*0.1790888*100000/1000000)+(31*0.2374*100000/1000000)</f>
        <v>1.2911152800000001</v>
      </c>
      <c r="Y325" s="57"/>
      <c r="Z325" s="14"/>
      <c r="AA325" s="56"/>
      <c r="AB325" s="50">
        <f>(B325*122.58+C325*297.941+D325*89.177+E325*40.302+F325*40+G325*160+H325*0+I325*100+J325*300)/(122.58+297.941+89.177+40.302+0+40+160+100+300)</f>
        <v>13.273562486434782</v>
      </c>
      <c r="AC325" s="45">
        <f>(M325*'RAP TEMPLATE-GAS AVAILABILITY'!O324+N325*'RAP TEMPLATE-GAS AVAILABILITY'!P324+O325*'RAP TEMPLATE-GAS AVAILABILITY'!Q324+P325*'RAP TEMPLATE-GAS AVAILABILITY'!R324)/('RAP TEMPLATE-GAS AVAILABILITY'!O324+'RAP TEMPLATE-GAS AVAILABILITY'!P324+'RAP TEMPLATE-GAS AVAILABILITY'!Q324+'RAP TEMPLATE-GAS AVAILABILITY'!R324)</f>
        <v>13.183463309352517</v>
      </c>
    </row>
    <row r="326" spans="1:29" ht="15.75" x14ac:dyDescent="0.25">
      <c r="A326" s="33">
        <v>50829</v>
      </c>
      <c r="B326" s="14">
        <f>CHOOSE(CONTROL!$C$42, 13.4965, 13.4965) * CHOOSE(CONTROL!$C$21, $C$9, 100%, $E$9)</f>
        <v>13.496499999999999</v>
      </c>
      <c r="C326" s="14">
        <f>CHOOSE(CONTROL!$C$42, 13.5015, 13.5015) * CHOOSE(CONTROL!$C$21, $C$9, 100%, $E$9)</f>
        <v>13.5015</v>
      </c>
      <c r="D326" s="14">
        <f>CHOOSE(CONTROL!$C$42, 13.5658, 13.5658) * CHOOSE(CONTROL!$C$21, $C$9, 100%, $E$9)</f>
        <v>13.565799999999999</v>
      </c>
      <c r="E326" s="14">
        <f>CHOOSE(CONTROL!$C$42, 13.5995, 13.5995) * CHOOSE(CONTROL!$C$21, $C$9, 100%, $E$9)</f>
        <v>13.599500000000001</v>
      </c>
      <c r="F326" s="14">
        <f>CHOOSE(CONTROL!$C$42, 13.4981, 13.4981)*CHOOSE(CONTROL!$C$21, $C$9, 100%, $E$9)</f>
        <v>13.498100000000001</v>
      </c>
      <c r="G326" s="14">
        <f>CHOOSE(CONTROL!$C$42, 13.514, 13.514)*CHOOSE(CONTROL!$C$21, $C$9, 100%, $E$9)</f>
        <v>13.513999999999999</v>
      </c>
      <c r="H326" s="14">
        <f>CHOOSE(CONTROL!$C$42, 13.5887, 13.5887) * CHOOSE(CONTROL!$C$21, $C$9, 100%, $E$9)</f>
        <v>13.588699999999999</v>
      </c>
      <c r="I326" s="14">
        <f>CHOOSE(CONTROL!$C$42, 13.5165, 13.5165)* CHOOSE(CONTROL!$C$21, $C$9, 100%, $E$9)</f>
        <v>13.516500000000001</v>
      </c>
      <c r="J326" s="14">
        <f>CHOOSE(CONTROL!$C$42, 13.4911, 13.4911)* CHOOSE(CONTROL!$C$21, $C$9, 100%, $E$9)</f>
        <v>13.491099999999999</v>
      </c>
      <c r="K326" s="53">
        <f>CHOOSE(CONTROL!$C$42, 13.5126, 13.5126) * CHOOSE(CONTROL!$C$21, $C$9, 100%, $E$9)</f>
        <v>13.512600000000001</v>
      </c>
      <c r="L326" s="14">
        <f>CHOOSE(CONTROL!$C$42, 14.1757, 14.1757) * CHOOSE(CONTROL!$C$21, $C$9, 100%, $E$9)</f>
        <v>14.175700000000001</v>
      </c>
      <c r="M326" s="14">
        <f>CHOOSE(CONTROL!$C$42, 13.3688, 13.3688) * CHOOSE(CONTROL!$C$21, $C$9, 100%, $E$9)</f>
        <v>13.3688</v>
      </c>
      <c r="N326" s="14">
        <f>CHOOSE(CONTROL!$C$42, 13.3845, 13.3845) * CHOOSE(CONTROL!$C$21, $C$9, 100%, $E$9)</f>
        <v>13.384499999999999</v>
      </c>
      <c r="O326" s="14">
        <f>CHOOSE(CONTROL!$C$42, 13.4654, 13.4654) * CHOOSE(CONTROL!$C$21, $C$9, 100%, $E$9)</f>
        <v>13.465400000000001</v>
      </c>
      <c r="P326" s="14">
        <f>CHOOSE(CONTROL!$C$42, 13.394, 13.394) * CHOOSE(CONTROL!$C$21, $C$9, 100%, $E$9)</f>
        <v>13.394</v>
      </c>
      <c r="Q326" s="14">
        <f>CHOOSE(CONTROL!$C$42, 14.0607, 14.0607) * CHOOSE(CONTROL!$C$21, $C$9, 100%, $E$9)</f>
        <v>14.060700000000001</v>
      </c>
      <c r="R326" s="14">
        <f>CHOOSE(CONTROL!$C$42, 14.6829, 14.6829) * CHOOSE(CONTROL!$C$21, $C$9, 100%, $E$9)</f>
        <v>14.6829</v>
      </c>
      <c r="S326" s="14">
        <f>CHOOSE(CONTROL!$C$42, 13.1043, 13.1043) * CHOOSE(CONTROL!$C$21, $C$9, 100%, $E$9)</f>
        <v>13.1043</v>
      </c>
      <c r="T32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26" s="57">
        <f>(1000*CHOOSE(CONTROL!$C$42, 695, 695)*CHOOSE(CONTROL!$C$42, 0.5599, 0.5599)*CHOOSE(CONTROL!$C$42, 28, 28))/1000000</f>
        <v>10.895653999999999</v>
      </c>
      <c r="V326" s="57">
        <f>(1000*CHOOSE(CONTROL!$C$42, 500, 500)*CHOOSE(CONTROL!$C$42, 0.275, 0.275)*CHOOSE(CONTROL!$C$42, 28, 28))/1000000</f>
        <v>3.85</v>
      </c>
      <c r="W326" s="57">
        <f>(1000*CHOOSE(CONTROL!$C$42, 0.1146, 0.1146)*CHOOSE(CONTROL!$C$42, 121.5, 121.5)*CHOOSE(CONTROL!$C$42, 28, 28))/1000000</f>
        <v>0.38986920000000003</v>
      </c>
      <c r="X326" s="57">
        <f>(28*0.1790888*100000/1000000)+(28*0.2374*100000/1000000)</f>
        <v>1.16616864</v>
      </c>
      <c r="Y326" s="57"/>
      <c r="Z326" s="14"/>
      <c r="AA326" s="56"/>
      <c r="AB326" s="50">
        <f>(B326*122.58+C326*297.941+D326*89.177+E326*40.302+F326*40+G326*160+H326*0+I326*100+J326*300)/(122.58+297.941+89.177+40.302+0+40+160+100+300)</f>
        <v>13.509599806173911</v>
      </c>
      <c r="AC326" s="45">
        <f>(M326*'RAP TEMPLATE-GAS AVAILABILITY'!O325+N326*'RAP TEMPLATE-GAS AVAILABILITY'!P325+O326*'RAP TEMPLATE-GAS AVAILABILITY'!Q325+P326*'RAP TEMPLATE-GAS AVAILABILITY'!R325)/('RAP TEMPLATE-GAS AVAILABILITY'!O325+'RAP TEMPLATE-GAS AVAILABILITY'!P325+'RAP TEMPLATE-GAS AVAILABILITY'!Q325+'RAP TEMPLATE-GAS AVAILABILITY'!R325)</f>
        <v>13.417112230215828</v>
      </c>
    </row>
    <row r="327" spans="1:29" ht="15.75" x14ac:dyDescent="0.25">
      <c r="A327" s="33">
        <v>50860</v>
      </c>
      <c r="B327" s="14">
        <f>CHOOSE(CONTROL!$C$42, 13.1134, 13.1134) * CHOOSE(CONTROL!$C$21, $C$9, 100%, $E$9)</f>
        <v>13.1134</v>
      </c>
      <c r="C327" s="14">
        <f>CHOOSE(CONTROL!$C$42, 13.1184, 13.1184) * CHOOSE(CONTROL!$C$21, $C$9, 100%, $E$9)</f>
        <v>13.118399999999999</v>
      </c>
      <c r="D327" s="14">
        <f>CHOOSE(CONTROL!$C$42, 13.1827, 13.1827) * CHOOSE(CONTROL!$C$21, $C$9, 100%, $E$9)</f>
        <v>13.182700000000001</v>
      </c>
      <c r="E327" s="14">
        <f>CHOOSE(CONTROL!$C$42, 13.2164, 13.2164) * CHOOSE(CONTROL!$C$21, $C$9, 100%, $E$9)</f>
        <v>13.2164</v>
      </c>
      <c r="F327" s="14">
        <f>CHOOSE(CONTROL!$C$42, 13.1147, 13.1147)*CHOOSE(CONTROL!$C$21, $C$9, 100%, $E$9)</f>
        <v>13.114699999999999</v>
      </c>
      <c r="G327" s="14">
        <f>CHOOSE(CONTROL!$C$42, 13.1305, 13.1305)*CHOOSE(CONTROL!$C$21, $C$9, 100%, $E$9)</f>
        <v>13.1305</v>
      </c>
      <c r="H327" s="14">
        <f>CHOOSE(CONTROL!$C$42, 13.2056, 13.2056) * CHOOSE(CONTROL!$C$21, $C$9, 100%, $E$9)</f>
        <v>13.2056</v>
      </c>
      <c r="I327" s="14">
        <f>CHOOSE(CONTROL!$C$42, 13.1334, 13.1334)* CHOOSE(CONTROL!$C$21, $C$9, 100%, $E$9)</f>
        <v>13.1334</v>
      </c>
      <c r="J327" s="14">
        <f>CHOOSE(CONTROL!$C$42, 13.1077, 13.1077)* CHOOSE(CONTROL!$C$21, $C$9, 100%, $E$9)</f>
        <v>13.107699999999999</v>
      </c>
      <c r="K327" s="53">
        <f>CHOOSE(CONTROL!$C$42, 13.1295, 13.1295) * CHOOSE(CONTROL!$C$21, $C$9, 100%, $E$9)</f>
        <v>13.1295</v>
      </c>
      <c r="L327" s="14">
        <f>CHOOSE(CONTROL!$C$42, 13.7926, 13.7926) * CHOOSE(CONTROL!$C$21, $C$9, 100%, $E$9)</f>
        <v>13.7926</v>
      </c>
      <c r="M327" s="14">
        <f>CHOOSE(CONTROL!$C$42, 12.9892, 12.9892) * CHOOSE(CONTROL!$C$21, $C$9, 100%, $E$9)</f>
        <v>12.9892</v>
      </c>
      <c r="N327" s="14">
        <f>CHOOSE(CONTROL!$C$42, 13.0049, 13.0049) * CHOOSE(CONTROL!$C$21, $C$9, 100%, $E$9)</f>
        <v>13.004899999999999</v>
      </c>
      <c r="O327" s="14">
        <f>CHOOSE(CONTROL!$C$42, 13.0862, 13.0862) * CHOOSE(CONTROL!$C$21, $C$9, 100%, $E$9)</f>
        <v>13.0862</v>
      </c>
      <c r="P327" s="14">
        <f>CHOOSE(CONTROL!$C$42, 13.0147, 13.0147) * CHOOSE(CONTROL!$C$21, $C$9, 100%, $E$9)</f>
        <v>13.014699999999999</v>
      </c>
      <c r="Q327" s="14">
        <f>CHOOSE(CONTROL!$C$42, 13.6815, 13.6815) * CHOOSE(CONTROL!$C$21, $C$9, 100%, $E$9)</f>
        <v>13.6815</v>
      </c>
      <c r="R327" s="14">
        <f>CHOOSE(CONTROL!$C$42, 14.3027, 14.3027) * CHOOSE(CONTROL!$C$21, $C$9, 100%, $E$9)</f>
        <v>14.3027</v>
      </c>
      <c r="S327" s="14">
        <f>CHOOSE(CONTROL!$C$42, 12.7323, 12.7323) * CHOOSE(CONTROL!$C$21, $C$9, 100%, $E$9)</f>
        <v>12.7323</v>
      </c>
      <c r="T32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27" s="57">
        <f>(1000*CHOOSE(CONTROL!$C$42, 695, 695)*CHOOSE(CONTROL!$C$42, 0.5599, 0.5599)*CHOOSE(CONTROL!$C$42, 31, 31))/1000000</f>
        <v>12.063045499999998</v>
      </c>
      <c r="V327" s="57">
        <f>(1000*CHOOSE(CONTROL!$C$42, 500, 500)*CHOOSE(CONTROL!$C$42, 0.275, 0.275)*CHOOSE(CONTROL!$C$42, 31, 31))/1000000</f>
        <v>4.2625000000000002</v>
      </c>
      <c r="W327" s="57">
        <f>(1000*CHOOSE(CONTROL!$C$42, 0.1146, 0.1146)*CHOOSE(CONTROL!$C$42, 121.5, 121.5)*CHOOSE(CONTROL!$C$42, 31, 31))/1000000</f>
        <v>0.43164089999999994</v>
      </c>
      <c r="X327" s="57">
        <f>(31*0.1790888*100000/1000000)+(31*0.2374*100000/1000000)</f>
        <v>1.2911152800000001</v>
      </c>
      <c r="Y327" s="57"/>
      <c r="Z327" s="14"/>
      <c r="AA327" s="56"/>
      <c r="AB327" s="50">
        <f>(B327*122.58+C327*297.941+D327*89.177+E327*40.302+F327*40+G327*160+H327*0+I327*100+J327*300)/(122.58+297.941+89.177+40.302+0+40+160+100+300)</f>
        <v>13.126355458347826</v>
      </c>
      <c r="AC327" s="45">
        <f>(M327*'RAP TEMPLATE-GAS AVAILABILITY'!O326+N327*'RAP TEMPLATE-GAS AVAILABILITY'!P326+O327*'RAP TEMPLATE-GAS AVAILABILITY'!Q326+P327*'RAP TEMPLATE-GAS AVAILABILITY'!R326)/('RAP TEMPLATE-GAS AVAILABILITY'!O326+'RAP TEMPLATE-GAS AVAILABILITY'!P326+'RAP TEMPLATE-GAS AVAILABILITY'!Q326+'RAP TEMPLATE-GAS AVAILABILITY'!R326)</f>
        <v>13.037736690647481</v>
      </c>
    </row>
    <row r="328" spans="1:29" ht="15.75" x14ac:dyDescent="0.25">
      <c r="A328" s="33">
        <v>50890</v>
      </c>
      <c r="B328" s="14">
        <f>CHOOSE(CONTROL!$C$42, 13.0753, 13.0753) * CHOOSE(CONTROL!$C$21, $C$9, 100%, $E$9)</f>
        <v>13.0753</v>
      </c>
      <c r="C328" s="14">
        <f>CHOOSE(CONTROL!$C$42, 13.0797, 13.0797) * CHOOSE(CONTROL!$C$21, $C$9, 100%, $E$9)</f>
        <v>13.079700000000001</v>
      </c>
      <c r="D328" s="14">
        <f>CHOOSE(CONTROL!$C$42, 13.2805, 13.2805) * CHOOSE(CONTROL!$C$21, $C$9, 100%, $E$9)</f>
        <v>13.2805</v>
      </c>
      <c r="E328" s="14">
        <f>CHOOSE(CONTROL!$C$42, 13.3122, 13.3122) * CHOOSE(CONTROL!$C$21, $C$9, 100%, $E$9)</f>
        <v>13.312200000000001</v>
      </c>
      <c r="F328" s="14">
        <f>CHOOSE(CONTROL!$C$42, 13.0599, 13.0599)*CHOOSE(CONTROL!$C$21, $C$9, 100%, $E$9)</f>
        <v>13.059900000000001</v>
      </c>
      <c r="G328" s="14">
        <f>CHOOSE(CONTROL!$C$42, 13.0756, 13.0756)*CHOOSE(CONTROL!$C$21, $C$9, 100%, $E$9)</f>
        <v>13.0756</v>
      </c>
      <c r="H328" s="14">
        <f>CHOOSE(CONTROL!$C$42, 13.302, 13.302) * CHOOSE(CONTROL!$C$21, $C$9, 100%, $E$9)</f>
        <v>13.302</v>
      </c>
      <c r="I328" s="14">
        <f>CHOOSE(CONTROL!$C$42, 13.0881, 13.0881)* CHOOSE(CONTROL!$C$21, $C$9, 100%, $E$9)</f>
        <v>13.088100000000001</v>
      </c>
      <c r="J328" s="14">
        <f>CHOOSE(CONTROL!$C$42, 13.0529, 13.0529)* CHOOSE(CONTROL!$C$21, $C$9, 100%, $E$9)</f>
        <v>13.052899999999999</v>
      </c>
      <c r="K328" s="53">
        <f>CHOOSE(CONTROL!$C$42, 13.0842, 13.0842) * CHOOSE(CONTROL!$C$21, $C$9, 100%, $E$9)</f>
        <v>13.084199999999999</v>
      </c>
      <c r="L328" s="14">
        <f>CHOOSE(CONTROL!$C$42, 13.889, 13.889) * CHOOSE(CONTROL!$C$21, $C$9, 100%, $E$9)</f>
        <v>13.888999999999999</v>
      </c>
      <c r="M328" s="14">
        <f>CHOOSE(CONTROL!$C$42, 12.935, 12.935) * CHOOSE(CONTROL!$C$21, $C$9, 100%, $E$9)</f>
        <v>12.935</v>
      </c>
      <c r="N328" s="14">
        <f>CHOOSE(CONTROL!$C$42, 12.9505, 12.9505) * CHOOSE(CONTROL!$C$21, $C$9, 100%, $E$9)</f>
        <v>12.9505</v>
      </c>
      <c r="O328" s="14">
        <f>CHOOSE(CONTROL!$C$42, 13.1816, 13.1816) * CHOOSE(CONTROL!$C$21, $C$9, 100%, $E$9)</f>
        <v>13.1816</v>
      </c>
      <c r="P328" s="14">
        <f>CHOOSE(CONTROL!$C$42, 12.9699, 12.9699) * CHOOSE(CONTROL!$C$21, $C$9, 100%, $E$9)</f>
        <v>12.969900000000001</v>
      </c>
      <c r="Q328" s="14">
        <f>CHOOSE(CONTROL!$C$42, 13.7769, 13.7769) * CHOOSE(CONTROL!$C$21, $C$9, 100%, $E$9)</f>
        <v>13.776899999999999</v>
      </c>
      <c r="R328" s="14">
        <f>CHOOSE(CONTROL!$C$42, 14.3983, 14.3983) * CHOOSE(CONTROL!$C$21, $C$9, 100%, $E$9)</f>
        <v>14.398300000000001</v>
      </c>
      <c r="S328" s="14">
        <f>CHOOSE(CONTROL!$C$42, 12.6946, 12.6946) * CHOOSE(CONTROL!$C$21, $C$9, 100%, $E$9)</f>
        <v>12.694599999999999</v>
      </c>
      <c r="T32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28" s="57">
        <f>(1000*CHOOSE(CONTROL!$C$42, 695, 695)*CHOOSE(CONTROL!$C$42, 0.5599, 0.5599)*CHOOSE(CONTROL!$C$42, 30, 30))/1000000</f>
        <v>11.673914999999997</v>
      </c>
      <c r="V328" s="57">
        <f>(1000*CHOOSE(CONTROL!$C$42, 500, 500)*CHOOSE(CONTROL!$C$42, 0.275, 0.275)*CHOOSE(CONTROL!$C$42, 30, 30))/1000000</f>
        <v>4.125</v>
      </c>
      <c r="W328" s="57">
        <f>(1000*CHOOSE(CONTROL!$C$42, 0.1146, 0.1146)*CHOOSE(CONTROL!$C$42, 121.5, 121.5)*CHOOSE(CONTROL!$C$42, 30, 30))/1000000</f>
        <v>0.417717</v>
      </c>
      <c r="X328" s="57">
        <f>(30*0.1790888*245000/1000000)+(30*0.2374*100000/1000000)</f>
        <v>2.0285026799999999</v>
      </c>
      <c r="Y328" s="57"/>
      <c r="Z328" s="14"/>
      <c r="AA328" s="56"/>
      <c r="AB328" s="50">
        <f>(B328*141.293+C328*267.993+D328*115.016+E328*89.698+F328*40+G328*185+H328*0+I328*100+J328*300)/(141.293+267.993+115.016+89.698+0+40+185+100+300)</f>
        <v>13.107607835835353</v>
      </c>
      <c r="AC328" s="45">
        <f>(M328*'RAP TEMPLATE-GAS AVAILABILITY'!O327+N328*'RAP TEMPLATE-GAS AVAILABILITY'!P327+O328*'RAP TEMPLATE-GAS AVAILABILITY'!Q327+P328*'RAP TEMPLATE-GAS AVAILABILITY'!R327)/('RAP TEMPLATE-GAS AVAILABILITY'!O327+'RAP TEMPLATE-GAS AVAILABILITY'!P327+'RAP TEMPLATE-GAS AVAILABILITY'!Q327+'RAP TEMPLATE-GAS AVAILABILITY'!R327)</f>
        <v>13.012779856115108</v>
      </c>
    </row>
    <row r="329" spans="1:29" ht="15.75" x14ac:dyDescent="0.25">
      <c r="A329" s="33">
        <v>50921</v>
      </c>
      <c r="B329" s="14">
        <f>CHOOSE(CONTROL!$C$42, 13.1921, 13.1921) * CHOOSE(CONTROL!$C$21, $C$9, 100%, $E$9)</f>
        <v>13.1921</v>
      </c>
      <c r="C329" s="14">
        <f>CHOOSE(CONTROL!$C$42, 13.2, 13.2) * CHOOSE(CONTROL!$C$21, $C$9, 100%, $E$9)</f>
        <v>13.2</v>
      </c>
      <c r="D329" s="14">
        <f>CHOOSE(CONTROL!$C$42, 13.3976, 13.3976) * CHOOSE(CONTROL!$C$21, $C$9, 100%, $E$9)</f>
        <v>13.397600000000001</v>
      </c>
      <c r="E329" s="14">
        <f>CHOOSE(CONTROL!$C$42, 13.4287, 13.4287) * CHOOSE(CONTROL!$C$21, $C$9, 100%, $E$9)</f>
        <v>13.428699999999999</v>
      </c>
      <c r="F329" s="14">
        <f>CHOOSE(CONTROL!$C$42, 13.1755, 13.1755)*CHOOSE(CONTROL!$C$21, $C$9, 100%, $E$9)</f>
        <v>13.1755</v>
      </c>
      <c r="G329" s="14">
        <f>CHOOSE(CONTROL!$C$42, 13.1916, 13.1916)*CHOOSE(CONTROL!$C$21, $C$9, 100%, $E$9)</f>
        <v>13.191599999999999</v>
      </c>
      <c r="H329" s="14">
        <f>CHOOSE(CONTROL!$C$42, 13.4174, 13.4174) * CHOOSE(CONTROL!$C$21, $C$9, 100%, $E$9)</f>
        <v>13.417400000000001</v>
      </c>
      <c r="I329" s="14">
        <f>CHOOSE(CONTROL!$C$42, 13.2035, 13.2035)* CHOOSE(CONTROL!$C$21, $C$9, 100%, $E$9)</f>
        <v>13.2035</v>
      </c>
      <c r="J329" s="14">
        <f>CHOOSE(CONTROL!$C$42, 13.1685, 13.1685)* CHOOSE(CONTROL!$C$21, $C$9, 100%, $E$9)</f>
        <v>13.1685</v>
      </c>
      <c r="K329" s="53">
        <f>CHOOSE(CONTROL!$C$42, 13.1996, 13.1996) * CHOOSE(CONTROL!$C$21, $C$9, 100%, $E$9)</f>
        <v>13.1996</v>
      </c>
      <c r="L329" s="14">
        <f>CHOOSE(CONTROL!$C$42, 14.0044, 14.0044) * CHOOSE(CONTROL!$C$21, $C$9, 100%, $E$9)</f>
        <v>14.0044</v>
      </c>
      <c r="M329" s="14">
        <f>CHOOSE(CONTROL!$C$42, 13.0495, 13.0495) * CHOOSE(CONTROL!$C$21, $C$9, 100%, $E$9)</f>
        <v>13.0495</v>
      </c>
      <c r="N329" s="14">
        <f>CHOOSE(CONTROL!$C$42, 13.0654, 13.0654) * CHOOSE(CONTROL!$C$21, $C$9, 100%, $E$9)</f>
        <v>13.0654</v>
      </c>
      <c r="O329" s="14">
        <f>CHOOSE(CONTROL!$C$42, 13.2958, 13.2958) * CHOOSE(CONTROL!$C$21, $C$9, 100%, $E$9)</f>
        <v>13.2958</v>
      </c>
      <c r="P329" s="14">
        <f>CHOOSE(CONTROL!$C$42, 13.0841, 13.0841) * CHOOSE(CONTROL!$C$21, $C$9, 100%, $E$9)</f>
        <v>13.084099999999999</v>
      </c>
      <c r="Q329" s="14">
        <f>CHOOSE(CONTROL!$C$42, 13.8911, 13.8911) * CHOOSE(CONTROL!$C$21, $C$9, 100%, $E$9)</f>
        <v>13.8911</v>
      </c>
      <c r="R329" s="14">
        <f>CHOOSE(CONTROL!$C$42, 14.5128, 14.5128) * CHOOSE(CONTROL!$C$21, $C$9, 100%, $E$9)</f>
        <v>14.5128</v>
      </c>
      <c r="S329" s="14">
        <f>CHOOSE(CONTROL!$C$42, 12.8066, 12.8066) * CHOOSE(CONTROL!$C$21, $C$9, 100%, $E$9)</f>
        <v>12.8066</v>
      </c>
      <c r="T32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29" s="57">
        <f>(1000*CHOOSE(CONTROL!$C$42, 695, 695)*CHOOSE(CONTROL!$C$42, 0.5599, 0.5599)*CHOOSE(CONTROL!$C$42, 31, 31))/1000000</f>
        <v>12.063045499999998</v>
      </c>
      <c r="V329" s="57">
        <f>(1000*CHOOSE(CONTROL!$C$42, 500, 500)*CHOOSE(CONTROL!$C$42, 0.275, 0.275)*CHOOSE(CONTROL!$C$42, 31, 31))/1000000</f>
        <v>4.2625000000000002</v>
      </c>
      <c r="W329" s="57">
        <f>(1000*CHOOSE(CONTROL!$C$42, 0.1146, 0.1146)*CHOOSE(CONTROL!$C$42, 121.5, 121.5)*CHOOSE(CONTROL!$C$42, 31, 31))/1000000</f>
        <v>0.43164089999999994</v>
      </c>
      <c r="X329" s="57">
        <f>(31*0.1790888*245000/1000000)+(31*0.2374*100000/1000000)</f>
        <v>2.0961194359999999</v>
      </c>
      <c r="Y329" s="57"/>
      <c r="Z329" s="14"/>
      <c r="AA329" s="56"/>
      <c r="AB329" s="50">
        <f>(B329*194.205+C329*267.466+D329*133.845+E329*53.484+F329*40+G329*185+H329*0+I329*100+J329*300)/(194.205+267.466+133.845+53.484+0+40+185+100+300)</f>
        <v>13.220024602276295</v>
      </c>
      <c r="AC329" s="45">
        <f>(M329*'RAP TEMPLATE-GAS AVAILABILITY'!O328+N329*'RAP TEMPLATE-GAS AVAILABILITY'!P328+O329*'RAP TEMPLATE-GAS AVAILABILITY'!Q328+P329*'RAP TEMPLATE-GAS AVAILABILITY'!R328)/('RAP TEMPLATE-GAS AVAILABILITY'!O328+'RAP TEMPLATE-GAS AVAILABILITY'!P328+'RAP TEMPLATE-GAS AVAILABILITY'!Q328+'RAP TEMPLATE-GAS AVAILABILITY'!R328)</f>
        <v>13.127244604316546</v>
      </c>
    </row>
    <row r="330" spans="1:29" ht="15.75" x14ac:dyDescent="0.25">
      <c r="A330" s="33">
        <v>50951</v>
      </c>
      <c r="B330" s="14">
        <f>CHOOSE(CONTROL!$C$42, 13.5662, 13.5662) * CHOOSE(CONTROL!$C$21, $C$9, 100%, $E$9)</f>
        <v>13.5662</v>
      </c>
      <c r="C330" s="14">
        <f>CHOOSE(CONTROL!$C$42, 13.5741, 13.5741) * CHOOSE(CONTROL!$C$21, $C$9, 100%, $E$9)</f>
        <v>13.5741</v>
      </c>
      <c r="D330" s="14">
        <f>CHOOSE(CONTROL!$C$42, 13.7717, 13.7717) * CHOOSE(CONTROL!$C$21, $C$9, 100%, $E$9)</f>
        <v>13.771699999999999</v>
      </c>
      <c r="E330" s="14">
        <f>CHOOSE(CONTROL!$C$42, 13.8028, 13.8028) * CHOOSE(CONTROL!$C$21, $C$9, 100%, $E$9)</f>
        <v>13.8028</v>
      </c>
      <c r="F330" s="14">
        <f>CHOOSE(CONTROL!$C$42, 13.55, 13.55)*CHOOSE(CONTROL!$C$21, $C$9, 100%, $E$9)</f>
        <v>13.55</v>
      </c>
      <c r="G330" s="14">
        <f>CHOOSE(CONTROL!$C$42, 13.5662, 13.5662)*CHOOSE(CONTROL!$C$21, $C$9, 100%, $E$9)</f>
        <v>13.5662</v>
      </c>
      <c r="H330" s="14">
        <f>CHOOSE(CONTROL!$C$42, 13.7914, 13.7914) * CHOOSE(CONTROL!$C$21, $C$9, 100%, $E$9)</f>
        <v>13.791399999999999</v>
      </c>
      <c r="I330" s="14">
        <f>CHOOSE(CONTROL!$C$42, 13.5775, 13.5775)* CHOOSE(CONTROL!$C$21, $C$9, 100%, $E$9)</f>
        <v>13.577500000000001</v>
      </c>
      <c r="J330" s="14">
        <f>CHOOSE(CONTROL!$C$42, 13.543, 13.543)* CHOOSE(CONTROL!$C$21, $C$9, 100%, $E$9)</f>
        <v>13.542999999999999</v>
      </c>
      <c r="K330" s="53">
        <f>CHOOSE(CONTROL!$C$42, 13.5736, 13.5736) * CHOOSE(CONTROL!$C$21, $C$9, 100%, $E$9)</f>
        <v>13.573600000000001</v>
      </c>
      <c r="L330" s="14">
        <f>CHOOSE(CONTROL!$C$42, 14.3784, 14.3784) * CHOOSE(CONTROL!$C$21, $C$9, 100%, $E$9)</f>
        <v>14.378399999999999</v>
      </c>
      <c r="M330" s="14">
        <f>CHOOSE(CONTROL!$C$42, 13.4202, 13.4202) * CHOOSE(CONTROL!$C$21, $C$9, 100%, $E$9)</f>
        <v>13.420199999999999</v>
      </c>
      <c r="N330" s="14">
        <f>CHOOSE(CONTROL!$C$42, 13.4362, 13.4362) * CHOOSE(CONTROL!$C$21, $C$9, 100%, $E$9)</f>
        <v>13.436199999999999</v>
      </c>
      <c r="O330" s="14">
        <f>CHOOSE(CONTROL!$C$42, 13.6661, 13.6661) * CHOOSE(CONTROL!$C$21, $C$9, 100%, $E$9)</f>
        <v>13.6661</v>
      </c>
      <c r="P330" s="14">
        <f>CHOOSE(CONTROL!$C$42, 13.4544, 13.4544) * CHOOSE(CONTROL!$C$21, $C$9, 100%, $E$9)</f>
        <v>13.4544</v>
      </c>
      <c r="Q330" s="14">
        <f>CHOOSE(CONTROL!$C$42, 14.2614, 14.2614) * CHOOSE(CONTROL!$C$21, $C$9, 100%, $E$9)</f>
        <v>14.2614</v>
      </c>
      <c r="R330" s="14">
        <f>CHOOSE(CONTROL!$C$42, 14.884, 14.884) * CHOOSE(CONTROL!$C$21, $C$9, 100%, $E$9)</f>
        <v>14.884</v>
      </c>
      <c r="S330" s="14">
        <f>CHOOSE(CONTROL!$C$42, 13.1699, 13.1699) * CHOOSE(CONTROL!$C$21, $C$9, 100%, $E$9)</f>
        <v>13.1699</v>
      </c>
      <c r="T33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30" s="57">
        <f>(1000*CHOOSE(CONTROL!$C$42, 695, 695)*CHOOSE(CONTROL!$C$42, 0.5599, 0.5599)*CHOOSE(CONTROL!$C$42, 30, 30))/1000000</f>
        <v>11.673914999999997</v>
      </c>
      <c r="V330" s="57">
        <f>(1000*CHOOSE(CONTROL!$C$42, 500, 500)*CHOOSE(CONTROL!$C$42, 0.275, 0.275)*CHOOSE(CONTROL!$C$42, 30, 30))/1000000</f>
        <v>4.125</v>
      </c>
      <c r="W330" s="57">
        <f>(1000*CHOOSE(CONTROL!$C$42, 0.1146, 0.1146)*CHOOSE(CONTROL!$C$42, 121.5, 121.5)*CHOOSE(CONTROL!$C$42, 30, 30))/1000000</f>
        <v>0.417717</v>
      </c>
      <c r="X330" s="57">
        <f>(30*0.1790888*245000/1000000)+(30*0.2374*100000/1000000)</f>
        <v>2.0285026799999999</v>
      </c>
      <c r="Y330" s="57"/>
      <c r="Z330" s="14"/>
      <c r="AA330" s="56"/>
      <c r="AB330" s="50">
        <f>(B330*194.205+C330*267.466+D330*133.845+E330*53.484+F330*40+G330*185+H330*0+I330*100+J330*300)/(194.205+267.466+133.845+53.484+0+40+185+100+300)</f>
        <v>13.594296109340659</v>
      </c>
      <c r="AC330" s="45">
        <f>(M330*'RAP TEMPLATE-GAS AVAILABILITY'!O329+N330*'RAP TEMPLATE-GAS AVAILABILITY'!P329+O330*'RAP TEMPLATE-GAS AVAILABILITY'!Q329+P330*'RAP TEMPLATE-GAS AVAILABILITY'!R329)/('RAP TEMPLATE-GAS AVAILABILITY'!O329+'RAP TEMPLATE-GAS AVAILABILITY'!P329+'RAP TEMPLATE-GAS AVAILABILITY'!Q329+'RAP TEMPLATE-GAS AVAILABILITY'!R329)</f>
        <v>13.497797841726618</v>
      </c>
    </row>
    <row r="331" spans="1:29" ht="15.75" x14ac:dyDescent="0.25">
      <c r="A331" s="33">
        <v>50982</v>
      </c>
      <c r="B331" s="14">
        <f>CHOOSE(CONTROL!$C$42, 13.306, 13.306) * CHOOSE(CONTROL!$C$21, $C$9, 100%, $E$9)</f>
        <v>13.305999999999999</v>
      </c>
      <c r="C331" s="14">
        <f>CHOOSE(CONTROL!$C$42, 13.3139, 13.3139) * CHOOSE(CONTROL!$C$21, $C$9, 100%, $E$9)</f>
        <v>13.3139</v>
      </c>
      <c r="D331" s="14">
        <f>CHOOSE(CONTROL!$C$42, 13.5115, 13.5115) * CHOOSE(CONTROL!$C$21, $C$9, 100%, $E$9)</f>
        <v>13.5115</v>
      </c>
      <c r="E331" s="14">
        <f>CHOOSE(CONTROL!$C$42, 13.5426, 13.5426) * CHOOSE(CONTROL!$C$21, $C$9, 100%, $E$9)</f>
        <v>13.5426</v>
      </c>
      <c r="F331" s="14">
        <f>CHOOSE(CONTROL!$C$42, 13.2903, 13.2903)*CHOOSE(CONTROL!$C$21, $C$9, 100%, $E$9)</f>
        <v>13.2903</v>
      </c>
      <c r="G331" s="14">
        <f>CHOOSE(CONTROL!$C$42, 13.3066, 13.3066)*CHOOSE(CONTROL!$C$21, $C$9, 100%, $E$9)</f>
        <v>13.3066</v>
      </c>
      <c r="H331" s="14">
        <f>CHOOSE(CONTROL!$C$42, 13.5313, 13.5313) * CHOOSE(CONTROL!$C$21, $C$9, 100%, $E$9)</f>
        <v>13.5313</v>
      </c>
      <c r="I331" s="14">
        <f>CHOOSE(CONTROL!$C$42, 13.3174, 13.3174)* CHOOSE(CONTROL!$C$21, $C$9, 100%, $E$9)</f>
        <v>13.317399999999999</v>
      </c>
      <c r="J331" s="14">
        <f>CHOOSE(CONTROL!$C$42, 13.2833, 13.2833)* CHOOSE(CONTROL!$C$21, $C$9, 100%, $E$9)</f>
        <v>13.283300000000001</v>
      </c>
      <c r="K331" s="53">
        <f>CHOOSE(CONTROL!$C$42, 13.3135, 13.3135) * CHOOSE(CONTROL!$C$21, $C$9, 100%, $E$9)</f>
        <v>13.313499999999999</v>
      </c>
      <c r="L331" s="14">
        <f>CHOOSE(CONTROL!$C$42, 14.1183, 14.1183) * CHOOSE(CONTROL!$C$21, $C$9, 100%, $E$9)</f>
        <v>14.1183</v>
      </c>
      <c r="M331" s="14">
        <f>CHOOSE(CONTROL!$C$42, 13.163, 13.163) * CHOOSE(CONTROL!$C$21, $C$9, 100%, $E$9)</f>
        <v>13.163</v>
      </c>
      <c r="N331" s="14">
        <f>CHOOSE(CONTROL!$C$42, 13.1792, 13.1792) * CHOOSE(CONTROL!$C$21, $C$9, 100%, $E$9)</f>
        <v>13.1792</v>
      </c>
      <c r="O331" s="14">
        <f>CHOOSE(CONTROL!$C$42, 13.4086, 13.4086) * CHOOSE(CONTROL!$C$21, $C$9, 100%, $E$9)</f>
        <v>13.4086</v>
      </c>
      <c r="P331" s="14">
        <f>CHOOSE(CONTROL!$C$42, 13.1968, 13.1968) * CHOOSE(CONTROL!$C$21, $C$9, 100%, $E$9)</f>
        <v>13.1968</v>
      </c>
      <c r="Q331" s="14">
        <f>CHOOSE(CONTROL!$C$42, 14.0039, 14.0039) * CHOOSE(CONTROL!$C$21, $C$9, 100%, $E$9)</f>
        <v>14.0039</v>
      </c>
      <c r="R331" s="14">
        <f>CHOOSE(CONTROL!$C$42, 14.6259, 14.6259) * CHOOSE(CONTROL!$C$21, $C$9, 100%, $E$9)</f>
        <v>14.6259</v>
      </c>
      <c r="S331" s="14">
        <f>CHOOSE(CONTROL!$C$42, 12.9172, 12.9172) * CHOOSE(CONTROL!$C$21, $C$9, 100%, $E$9)</f>
        <v>12.917199999999999</v>
      </c>
      <c r="T33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31" s="57">
        <f>(1000*CHOOSE(CONTROL!$C$42, 695, 695)*CHOOSE(CONTROL!$C$42, 0.5599, 0.5599)*CHOOSE(CONTROL!$C$42, 31, 31))/1000000</f>
        <v>12.063045499999998</v>
      </c>
      <c r="V331" s="57">
        <f>(1000*CHOOSE(CONTROL!$C$42, 500, 500)*CHOOSE(CONTROL!$C$42, 0.275, 0.275)*CHOOSE(CONTROL!$C$42, 31, 31))/1000000</f>
        <v>4.2625000000000002</v>
      </c>
      <c r="W331" s="57">
        <f>(1000*CHOOSE(CONTROL!$C$42, 0.1146, 0.1146)*CHOOSE(CONTROL!$C$42, 121.5, 121.5)*CHOOSE(CONTROL!$C$42, 31, 31))/1000000</f>
        <v>0.43164089999999994</v>
      </c>
      <c r="X331" s="57">
        <f>(31*0.1790888*245000/1000000)+(31*0.2374*100000/1000000)</f>
        <v>2.0961194359999999</v>
      </c>
      <c r="Y331" s="57"/>
      <c r="Z331" s="14"/>
      <c r="AA331" s="56"/>
      <c r="AB331" s="50">
        <f>(B331*194.205+C331*267.466+D331*133.845+E331*53.484+F331*40+G331*185+H331*0+I331*100+J331*300)/(194.205+267.466+133.845+53.484+0+40+185+100+300)</f>
        <v>13.334324523783359</v>
      </c>
      <c r="AC331" s="45">
        <f>(M331*'RAP TEMPLATE-GAS AVAILABILITY'!O330+N331*'RAP TEMPLATE-GAS AVAILABILITY'!P330+O331*'RAP TEMPLATE-GAS AVAILABILITY'!Q330+P331*'RAP TEMPLATE-GAS AVAILABILITY'!R330)/('RAP TEMPLATE-GAS AVAILABILITY'!O330+'RAP TEMPLATE-GAS AVAILABILITY'!P330+'RAP TEMPLATE-GAS AVAILABILITY'!Q330+'RAP TEMPLATE-GAS AVAILABILITY'!R330)</f>
        <v>13.240502158273381</v>
      </c>
    </row>
    <row r="332" spans="1:29" ht="15.75" x14ac:dyDescent="0.25">
      <c r="A332" s="33">
        <v>51013</v>
      </c>
      <c r="B332" s="14">
        <f>CHOOSE(CONTROL!$C$42, 12.649, 12.649) * CHOOSE(CONTROL!$C$21, $C$9, 100%, $E$9)</f>
        <v>12.648999999999999</v>
      </c>
      <c r="C332" s="14">
        <f>CHOOSE(CONTROL!$C$42, 12.6569, 12.6569) * CHOOSE(CONTROL!$C$21, $C$9, 100%, $E$9)</f>
        <v>12.6569</v>
      </c>
      <c r="D332" s="14">
        <f>CHOOSE(CONTROL!$C$42, 12.8545, 12.8545) * CHOOSE(CONTROL!$C$21, $C$9, 100%, $E$9)</f>
        <v>12.8545</v>
      </c>
      <c r="E332" s="14">
        <f>CHOOSE(CONTROL!$C$42, 12.8857, 12.8857) * CHOOSE(CONTROL!$C$21, $C$9, 100%, $E$9)</f>
        <v>12.8857</v>
      </c>
      <c r="F332" s="14">
        <f>CHOOSE(CONTROL!$C$42, 12.6335, 12.6335)*CHOOSE(CONTROL!$C$21, $C$9, 100%, $E$9)</f>
        <v>12.6335</v>
      </c>
      <c r="G332" s="14">
        <f>CHOOSE(CONTROL!$C$42, 12.6498, 12.6498)*CHOOSE(CONTROL!$C$21, $C$9, 100%, $E$9)</f>
        <v>12.649800000000001</v>
      </c>
      <c r="H332" s="14">
        <f>CHOOSE(CONTROL!$C$42, 12.8743, 12.8743) * CHOOSE(CONTROL!$C$21, $C$9, 100%, $E$9)</f>
        <v>12.8743</v>
      </c>
      <c r="I332" s="14">
        <f>CHOOSE(CONTROL!$C$42, 12.6604, 12.6604)* CHOOSE(CONTROL!$C$21, $C$9, 100%, $E$9)</f>
        <v>12.660399999999999</v>
      </c>
      <c r="J332" s="14">
        <f>CHOOSE(CONTROL!$C$42, 12.6265, 12.6265)* CHOOSE(CONTROL!$C$21, $C$9, 100%, $E$9)</f>
        <v>12.6265</v>
      </c>
      <c r="K332" s="53">
        <f>CHOOSE(CONTROL!$C$42, 12.6565, 12.6565) * CHOOSE(CONTROL!$C$21, $C$9, 100%, $E$9)</f>
        <v>12.656499999999999</v>
      </c>
      <c r="L332" s="14">
        <f>CHOOSE(CONTROL!$C$42, 13.4613, 13.4613) * CHOOSE(CONTROL!$C$21, $C$9, 100%, $E$9)</f>
        <v>13.4613</v>
      </c>
      <c r="M332" s="14">
        <f>CHOOSE(CONTROL!$C$42, 12.5129, 12.5129) * CHOOSE(CONTROL!$C$21, $C$9, 100%, $E$9)</f>
        <v>12.5129</v>
      </c>
      <c r="N332" s="14">
        <f>CHOOSE(CONTROL!$C$42, 12.5291, 12.5291) * CHOOSE(CONTROL!$C$21, $C$9, 100%, $E$9)</f>
        <v>12.5291</v>
      </c>
      <c r="O332" s="14">
        <f>CHOOSE(CONTROL!$C$42, 12.7582, 12.7582) * CHOOSE(CONTROL!$C$21, $C$9, 100%, $E$9)</f>
        <v>12.7582</v>
      </c>
      <c r="P332" s="14">
        <f>CHOOSE(CONTROL!$C$42, 12.5465, 12.5465) * CHOOSE(CONTROL!$C$21, $C$9, 100%, $E$9)</f>
        <v>12.5465</v>
      </c>
      <c r="Q332" s="14">
        <f>CHOOSE(CONTROL!$C$42, 13.3535, 13.3535) * CHOOSE(CONTROL!$C$21, $C$9, 100%, $E$9)</f>
        <v>13.3535</v>
      </c>
      <c r="R332" s="14">
        <f>CHOOSE(CONTROL!$C$42, 13.9739, 13.9739) * CHOOSE(CONTROL!$C$21, $C$9, 100%, $E$9)</f>
        <v>13.9739</v>
      </c>
      <c r="S332" s="14">
        <f>CHOOSE(CONTROL!$C$42, 12.2792, 12.2792) * CHOOSE(CONTROL!$C$21, $C$9, 100%, $E$9)</f>
        <v>12.279199999999999</v>
      </c>
      <c r="T33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32" s="57">
        <f>(1000*CHOOSE(CONTROL!$C$42, 695, 695)*CHOOSE(CONTROL!$C$42, 0.5599, 0.5599)*CHOOSE(CONTROL!$C$42, 31, 31))/1000000</f>
        <v>12.063045499999998</v>
      </c>
      <c r="V332" s="57">
        <f>(1000*CHOOSE(CONTROL!$C$42, 500, 500)*CHOOSE(CONTROL!$C$42, 0.275, 0.275)*CHOOSE(CONTROL!$C$42, 31, 31))/1000000</f>
        <v>4.2625000000000002</v>
      </c>
      <c r="W332" s="57">
        <f>(1000*CHOOSE(CONTROL!$C$42, 0.1146, 0.1146)*CHOOSE(CONTROL!$C$42, 121.5, 121.5)*CHOOSE(CONTROL!$C$42, 31, 31))/1000000</f>
        <v>0.43164089999999994</v>
      </c>
      <c r="X332" s="57">
        <f>(31*0.1790888*245000/1000000)+(31*0.2374*100000/1000000)</f>
        <v>2.0961194359999999</v>
      </c>
      <c r="Y332" s="57"/>
      <c r="Z332" s="14"/>
      <c r="AA332" s="56"/>
      <c r="AB332" s="50">
        <f>(B332*194.205+C332*267.466+D332*133.845+E332*53.484+F332*40+G332*185+H332*0+I332*100+J332*300)/(194.205+267.466+133.845+53.484+0+40+185+100+300)</f>
        <v>12.677411139481947</v>
      </c>
      <c r="AC332" s="45">
        <f>(M332*'RAP TEMPLATE-GAS AVAILABILITY'!O331+N332*'RAP TEMPLATE-GAS AVAILABILITY'!P331+O332*'RAP TEMPLATE-GAS AVAILABILITY'!Q331+P332*'RAP TEMPLATE-GAS AVAILABILITY'!R331)/('RAP TEMPLATE-GAS AVAILABILITY'!O331+'RAP TEMPLATE-GAS AVAILABILITY'!P331+'RAP TEMPLATE-GAS AVAILABILITY'!Q331+'RAP TEMPLATE-GAS AVAILABILITY'!R331)</f>
        <v>12.590289208633093</v>
      </c>
    </row>
    <row r="333" spans="1:29" ht="15.75" x14ac:dyDescent="0.25">
      <c r="A333" s="33">
        <v>51043</v>
      </c>
      <c r="B333" s="14">
        <f>CHOOSE(CONTROL!$C$42, 11.8459, 11.8459) * CHOOSE(CONTROL!$C$21, $C$9, 100%, $E$9)</f>
        <v>11.8459</v>
      </c>
      <c r="C333" s="14">
        <f>CHOOSE(CONTROL!$C$42, 11.8538, 11.8538) * CHOOSE(CONTROL!$C$21, $C$9, 100%, $E$9)</f>
        <v>11.8538</v>
      </c>
      <c r="D333" s="14">
        <f>CHOOSE(CONTROL!$C$42, 12.0514, 12.0514) * CHOOSE(CONTROL!$C$21, $C$9, 100%, $E$9)</f>
        <v>12.051399999999999</v>
      </c>
      <c r="E333" s="14">
        <f>CHOOSE(CONTROL!$C$42, 12.0826, 12.0826) * CHOOSE(CONTROL!$C$21, $C$9, 100%, $E$9)</f>
        <v>12.082599999999999</v>
      </c>
      <c r="F333" s="14">
        <f>CHOOSE(CONTROL!$C$42, 11.8303, 11.8303)*CHOOSE(CONTROL!$C$21, $C$9, 100%, $E$9)</f>
        <v>11.830299999999999</v>
      </c>
      <c r="G333" s="14">
        <f>CHOOSE(CONTROL!$C$42, 11.8466, 11.8466)*CHOOSE(CONTROL!$C$21, $C$9, 100%, $E$9)</f>
        <v>11.8466</v>
      </c>
      <c r="H333" s="14">
        <f>CHOOSE(CONTROL!$C$42, 12.0712, 12.0712) * CHOOSE(CONTROL!$C$21, $C$9, 100%, $E$9)</f>
        <v>12.071199999999999</v>
      </c>
      <c r="I333" s="14">
        <f>CHOOSE(CONTROL!$C$42, 11.8573, 11.8573)* CHOOSE(CONTROL!$C$21, $C$9, 100%, $E$9)</f>
        <v>11.8573</v>
      </c>
      <c r="J333" s="14">
        <f>CHOOSE(CONTROL!$C$42, 11.8233, 11.8233)* CHOOSE(CONTROL!$C$21, $C$9, 100%, $E$9)</f>
        <v>11.8233</v>
      </c>
      <c r="K333" s="53">
        <f>CHOOSE(CONTROL!$C$42, 11.8534, 11.8534) * CHOOSE(CONTROL!$C$21, $C$9, 100%, $E$9)</f>
        <v>11.853400000000001</v>
      </c>
      <c r="L333" s="14">
        <f>CHOOSE(CONTROL!$C$42, 12.6582, 12.6582) * CHOOSE(CONTROL!$C$21, $C$9, 100%, $E$9)</f>
        <v>12.658200000000001</v>
      </c>
      <c r="M333" s="14">
        <f>CHOOSE(CONTROL!$C$42, 11.7178, 11.7178) * CHOOSE(CONTROL!$C$21, $C$9, 100%, $E$9)</f>
        <v>11.7178</v>
      </c>
      <c r="N333" s="14">
        <f>CHOOSE(CONTROL!$C$42, 11.734, 11.734) * CHOOSE(CONTROL!$C$21, $C$9, 100%, $E$9)</f>
        <v>11.734</v>
      </c>
      <c r="O333" s="14">
        <f>CHOOSE(CONTROL!$C$42, 11.9632, 11.9632) * CHOOSE(CONTROL!$C$21, $C$9, 100%, $E$9)</f>
        <v>11.963200000000001</v>
      </c>
      <c r="P333" s="14">
        <f>CHOOSE(CONTROL!$C$42, 11.7515, 11.7515) * CHOOSE(CONTROL!$C$21, $C$9, 100%, $E$9)</f>
        <v>11.7515</v>
      </c>
      <c r="Q333" s="14">
        <f>CHOOSE(CONTROL!$C$42, 12.5585, 12.5585) * CHOOSE(CONTROL!$C$21, $C$9, 100%, $E$9)</f>
        <v>12.5585</v>
      </c>
      <c r="R333" s="14">
        <f>CHOOSE(CONTROL!$C$42, 13.1769, 13.1769) * CHOOSE(CONTROL!$C$21, $C$9, 100%, $E$9)</f>
        <v>13.1769</v>
      </c>
      <c r="S333" s="14">
        <f>CHOOSE(CONTROL!$C$42, 11.4993, 11.4993) * CHOOSE(CONTROL!$C$21, $C$9, 100%, $E$9)</f>
        <v>11.4993</v>
      </c>
      <c r="T33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33" s="57">
        <f>(1000*CHOOSE(CONTROL!$C$42, 695, 695)*CHOOSE(CONTROL!$C$42, 0.5599, 0.5599)*CHOOSE(CONTROL!$C$42, 30, 30))/1000000</f>
        <v>11.673914999999997</v>
      </c>
      <c r="V333" s="57">
        <f>(1000*CHOOSE(CONTROL!$C$42, 500, 500)*CHOOSE(CONTROL!$C$42, 0.275, 0.275)*CHOOSE(CONTROL!$C$42, 30, 30))/1000000</f>
        <v>4.125</v>
      </c>
      <c r="W333" s="57">
        <f>(1000*CHOOSE(CONTROL!$C$42, 0.1146, 0.1146)*CHOOSE(CONTROL!$C$42, 121.5, 121.5)*CHOOSE(CONTROL!$C$42, 30, 30))/1000000</f>
        <v>0.417717</v>
      </c>
      <c r="X333" s="57">
        <f>(30*0.1790888*245000/1000000)+(30*0.2374*100000/1000000)</f>
        <v>2.0285026799999999</v>
      </c>
      <c r="Y333" s="57"/>
      <c r="Z333" s="14"/>
      <c r="AA333" s="56"/>
      <c r="AB333" s="50">
        <f>(B333*194.205+C333*267.466+D333*133.845+E333*53.484+F333*40+G333*185+H333*0+I333*100+J333*300)/(194.205+267.466+133.845+53.484+0+40+185+100+300)</f>
        <v>11.874269930690737</v>
      </c>
      <c r="AC333" s="45">
        <f>(M333*'RAP TEMPLATE-GAS AVAILABILITY'!O332+N333*'RAP TEMPLATE-GAS AVAILABILITY'!P332+O333*'RAP TEMPLATE-GAS AVAILABILITY'!Q332+P333*'RAP TEMPLATE-GAS AVAILABILITY'!R332)/('RAP TEMPLATE-GAS AVAILABILITY'!O332+'RAP TEMPLATE-GAS AVAILABILITY'!P332+'RAP TEMPLATE-GAS AVAILABILITY'!Q332+'RAP TEMPLATE-GAS AVAILABILITY'!R332)</f>
        <v>11.795231654676259</v>
      </c>
    </row>
    <row r="334" spans="1:29" ht="15.75" x14ac:dyDescent="0.25">
      <c r="A334" s="33">
        <v>51074</v>
      </c>
      <c r="B334" s="14">
        <f>CHOOSE(CONTROL!$C$42, 11.6038, 11.6038) * CHOOSE(CONTROL!$C$21, $C$9, 100%, $E$9)</f>
        <v>11.6038</v>
      </c>
      <c r="C334" s="14">
        <f>CHOOSE(CONTROL!$C$42, 11.609, 11.609) * CHOOSE(CONTROL!$C$21, $C$9, 100%, $E$9)</f>
        <v>11.609</v>
      </c>
      <c r="D334" s="14">
        <f>CHOOSE(CONTROL!$C$42, 11.8115, 11.8115) * CHOOSE(CONTROL!$C$21, $C$9, 100%, $E$9)</f>
        <v>11.811500000000001</v>
      </c>
      <c r="E334" s="14">
        <f>CHOOSE(CONTROL!$C$42, 11.8403, 11.8403) * CHOOSE(CONTROL!$C$21, $C$9, 100%, $E$9)</f>
        <v>11.840299999999999</v>
      </c>
      <c r="F334" s="14">
        <f>CHOOSE(CONTROL!$C$42, 11.5901, 11.5901)*CHOOSE(CONTROL!$C$21, $C$9, 100%, $E$9)</f>
        <v>11.5901</v>
      </c>
      <c r="G334" s="14">
        <f>CHOOSE(CONTROL!$C$42, 11.6061, 11.6061)*CHOOSE(CONTROL!$C$21, $C$9, 100%, $E$9)</f>
        <v>11.6061</v>
      </c>
      <c r="H334" s="14">
        <f>CHOOSE(CONTROL!$C$42, 11.8308, 11.8308) * CHOOSE(CONTROL!$C$21, $C$9, 100%, $E$9)</f>
        <v>11.8308</v>
      </c>
      <c r="I334" s="14">
        <f>CHOOSE(CONTROL!$C$42, 11.6169, 11.6169)* CHOOSE(CONTROL!$C$21, $C$9, 100%, $E$9)</f>
        <v>11.616899999999999</v>
      </c>
      <c r="J334" s="14">
        <f>CHOOSE(CONTROL!$C$42, 11.5831, 11.5831)* CHOOSE(CONTROL!$C$21, $C$9, 100%, $E$9)</f>
        <v>11.5831</v>
      </c>
      <c r="K334" s="53">
        <f>CHOOSE(CONTROL!$C$42, 11.613, 11.613) * CHOOSE(CONTROL!$C$21, $C$9, 100%, $E$9)</f>
        <v>11.613</v>
      </c>
      <c r="L334" s="14">
        <f>CHOOSE(CONTROL!$C$42, 12.4178, 12.4178) * CHOOSE(CONTROL!$C$21, $C$9, 100%, $E$9)</f>
        <v>12.4178</v>
      </c>
      <c r="M334" s="14">
        <f>CHOOSE(CONTROL!$C$42, 11.4801, 11.4801) * CHOOSE(CONTROL!$C$21, $C$9, 100%, $E$9)</f>
        <v>11.4801</v>
      </c>
      <c r="N334" s="14">
        <f>CHOOSE(CONTROL!$C$42, 11.4959, 11.4959) * CHOOSE(CONTROL!$C$21, $C$9, 100%, $E$9)</f>
        <v>11.495900000000001</v>
      </c>
      <c r="O334" s="14">
        <f>CHOOSE(CONTROL!$C$42, 11.7252, 11.7252) * CHOOSE(CONTROL!$C$21, $C$9, 100%, $E$9)</f>
        <v>11.725199999999999</v>
      </c>
      <c r="P334" s="14">
        <f>CHOOSE(CONTROL!$C$42, 11.5135, 11.5135) * CHOOSE(CONTROL!$C$21, $C$9, 100%, $E$9)</f>
        <v>11.513500000000001</v>
      </c>
      <c r="Q334" s="14">
        <f>CHOOSE(CONTROL!$C$42, 12.3205, 12.3205) * CHOOSE(CONTROL!$C$21, $C$9, 100%, $E$9)</f>
        <v>12.320499999999999</v>
      </c>
      <c r="R334" s="14">
        <f>CHOOSE(CONTROL!$C$42, 12.9383, 12.9383) * CHOOSE(CONTROL!$C$21, $C$9, 100%, $E$9)</f>
        <v>12.9383</v>
      </c>
      <c r="S334" s="14">
        <f>CHOOSE(CONTROL!$C$42, 11.2659, 11.2659) * CHOOSE(CONTROL!$C$21, $C$9, 100%, $E$9)</f>
        <v>11.2659</v>
      </c>
      <c r="T33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34" s="57">
        <f>(1000*CHOOSE(CONTROL!$C$42, 695, 695)*CHOOSE(CONTROL!$C$42, 0.5599, 0.5599)*CHOOSE(CONTROL!$C$42, 31, 31))/1000000</f>
        <v>12.063045499999998</v>
      </c>
      <c r="V334" s="57">
        <f>(1000*CHOOSE(CONTROL!$C$42, 500, 500)*CHOOSE(CONTROL!$C$42, 0.275, 0.275)*CHOOSE(CONTROL!$C$42, 31, 31))/1000000</f>
        <v>4.2625000000000002</v>
      </c>
      <c r="W334" s="57">
        <f>(1000*CHOOSE(CONTROL!$C$42, 0.1146, 0.1146)*CHOOSE(CONTROL!$C$42, 121.5, 121.5)*CHOOSE(CONTROL!$C$42, 31, 31))/1000000</f>
        <v>0.43164089999999994</v>
      </c>
      <c r="X334" s="57">
        <f>(31*0.1790888*245000/1000000)+(31*0.2374*100000/1000000)</f>
        <v>2.0961194359999999</v>
      </c>
      <c r="Y334" s="57"/>
      <c r="Z334" s="14"/>
      <c r="AA334" s="56"/>
      <c r="AB334" s="50">
        <f>(B334*131.881+C334*277.167+D334*79.08+E334*125.872+F334*40+G334*185+H334*0+I334*100+J334*300)/(131.881+277.167+79.08+125.872+0+40+185+100+300)</f>
        <v>11.638192584665052</v>
      </c>
      <c r="AC334" s="45">
        <f>(M334*'RAP TEMPLATE-GAS AVAILABILITY'!O333+N334*'RAP TEMPLATE-GAS AVAILABILITY'!P333+O334*'RAP TEMPLATE-GAS AVAILABILITY'!Q333+P334*'RAP TEMPLATE-GAS AVAILABILITY'!R333)/('RAP TEMPLATE-GAS AVAILABILITY'!O333+'RAP TEMPLATE-GAS AVAILABILITY'!P333+'RAP TEMPLATE-GAS AVAILABILITY'!Q333+'RAP TEMPLATE-GAS AVAILABILITY'!R333)</f>
        <v>11.557312230215828</v>
      </c>
    </row>
    <row r="335" spans="1:29" ht="15.75" x14ac:dyDescent="0.25">
      <c r="A335" s="33">
        <v>51104</v>
      </c>
      <c r="B335" s="14">
        <f>CHOOSE(CONTROL!$C$42, 11.9089, 11.9089) * CHOOSE(CONTROL!$C$21, $C$9, 100%, $E$9)</f>
        <v>11.908899999999999</v>
      </c>
      <c r="C335" s="14">
        <f>CHOOSE(CONTROL!$C$42, 11.9139, 11.9139) * CHOOSE(CONTROL!$C$21, $C$9, 100%, $E$9)</f>
        <v>11.9139</v>
      </c>
      <c r="D335" s="14">
        <f>CHOOSE(CONTROL!$C$42, 11.977, 11.977) * CHOOSE(CONTROL!$C$21, $C$9, 100%, $E$9)</f>
        <v>11.977</v>
      </c>
      <c r="E335" s="14">
        <f>CHOOSE(CONTROL!$C$42, 12.0108, 12.0108) * CHOOSE(CONTROL!$C$21, $C$9, 100%, $E$9)</f>
        <v>12.0108</v>
      </c>
      <c r="F335" s="14">
        <f>CHOOSE(CONTROL!$C$42, 11.9096, 11.9096)*CHOOSE(CONTROL!$C$21, $C$9, 100%, $E$9)</f>
        <v>11.909599999999999</v>
      </c>
      <c r="G335" s="14">
        <f>CHOOSE(CONTROL!$C$42, 11.9259, 11.9259)*CHOOSE(CONTROL!$C$21, $C$9, 100%, $E$9)</f>
        <v>11.9259</v>
      </c>
      <c r="H335" s="14">
        <f>CHOOSE(CONTROL!$C$42, 12, 12) * CHOOSE(CONTROL!$C$21, $C$9, 100%, $E$9)</f>
        <v>12</v>
      </c>
      <c r="I335" s="14">
        <f>CHOOSE(CONTROL!$C$42, 11.9225, 11.9225)* CHOOSE(CONTROL!$C$21, $C$9, 100%, $E$9)</f>
        <v>11.922499999999999</v>
      </c>
      <c r="J335" s="14">
        <f>CHOOSE(CONTROL!$C$42, 11.9026, 11.9026)* CHOOSE(CONTROL!$C$21, $C$9, 100%, $E$9)</f>
        <v>11.9026</v>
      </c>
      <c r="K335" s="53">
        <f>CHOOSE(CONTROL!$C$42, 11.9186, 11.9186) * CHOOSE(CONTROL!$C$21, $C$9, 100%, $E$9)</f>
        <v>11.9186</v>
      </c>
      <c r="L335" s="14">
        <f>CHOOSE(CONTROL!$C$42, 12.587, 12.587) * CHOOSE(CONTROL!$C$21, $C$9, 100%, $E$9)</f>
        <v>12.587</v>
      </c>
      <c r="M335" s="14">
        <f>CHOOSE(CONTROL!$C$42, 11.7964, 11.7964) * CHOOSE(CONTROL!$C$21, $C$9, 100%, $E$9)</f>
        <v>11.7964</v>
      </c>
      <c r="N335" s="14">
        <f>CHOOSE(CONTROL!$C$42, 11.8125, 11.8125) * CHOOSE(CONTROL!$C$21, $C$9, 100%, $E$9)</f>
        <v>11.8125</v>
      </c>
      <c r="O335" s="14">
        <f>CHOOSE(CONTROL!$C$42, 11.8927, 11.8927) * CHOOSE(CONTROL!$C$21, $C$9, 100%, $E$9)</f>
        <v>11.8927</v>
      </c>
      <c r="P335" s="14">
        <f>CHOOSE(CONTROL!$C$42, 11.816, 11.816) * CHOOSE(CONTROL!$C$21, $C$9, 100%, $E$9)</f>
        <v>11.816000000000001</v>
      </c>
      <c r="Q335" s="14">
        <f>CHOOSE(CONTROL!$C$42, 12.488, 12.488) * CHOOSE(CONTROL!$C$21, $C$9, 100%, $E$9)</f>
        <v>12.488</v>
      </c>
      <c r="R335" s="14">
        <f>CHOOSE(CONTROL!$C$42, 13.1062, 13.1062) * CHOOSE(CONTROL!$C$21, $C$9, 100%, $E$9)</f>
        <v>13.106199999999999</v>
      </c>
      <c r="S335" s="14">
        <f>CHOOSE(CONTROL!$C$42, 11.5626, 11.5626) * CHOOSE(CONTROL!$C$21, $C$9, 100%, $E$9)</f>
        <v>11.5626</v>
      </c>
      <c r="T33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35" s="57">
        <f>(1000*CHOOSE(CONTROL!$C$42, 695, 695)*CHOOSE(CONTROL!$C$42, 0.5599, 0.5599)*CHOOSE(CONTROL!$C$42, 30, 30))/1000000</f>
        <v>11.673914999999997</v>
      </c>
      <c r="V335" s="57">
        <f>(1000*CHOOSE(CONTROL!$C$42, 500, 500)*CHOOSE(CONTROL!$C$42, 0.275, 0.275)*CHOOSE(CONTROL!$C$42, 30, 30))/1000000</f>
        <v>4.125</v>
      </c>
      <c r="W335" s="57">
        <f>(1000*CHOOSE(CONTROL!$C$42, 0.1146, 0.1146)*CHOOSE(CONTROL!$C$42, 121.5, 121.5)*CHOOSE(CONTROL!$C$42, 30, 30))/1000000</f>
        <v>0.417717</v>
      </c>
      <c r="X335" s="57">
        <f>(30*0.1790888*100000/1000000)+(30*0.2374*100000/1000000)</f>
        <v>1.2494664</v>
      </c>
      <c r="Y335" s="57"/>
      <c r="Z335" s="14"/>
      <c r="AA335" s="56"/>
      <c r="AB335" s="50">
        <f>(B335*122.58+C335*297.941+D335*89.177+E335*40.302+F335*40+G335*160+H335*0+I335*100+J335*300)/(122.58+297.941+89.177+40.302+0+40+160+100+300)</f>
        <v>11.920976028260871</v>
      </c>
      <c r="AC335" s="45">
        <f>(M335*'RAP TEMPLATE-GAS AVAILABILITY'!O334+N335*'RAP TEMPLATE-GAS AVAILABILITY'!P334+O335*'RAP TEMPLATE-GAS AVAILABILITY'!Q334+P335*'RAP TEMPLATE-GAS AVAILABILITY'!R334)/('RAP TEMPLATE-GAS AVAILABILITY'!O334+'RAP TEMPLATE-GAS AVAILABILITY'!P334+'RAP TEMPLATE-GAS AVAILABILITY'!Q334+'RAP TEMPLATE-GAS AVAILABILITY'!R334)</f>
        <v>11.843793525179855</v>
      </c>
    </row>
    <row r="336" spans="1:29" ht="15.75" x14ac:dyDescent="0.25">
      <c r="A336" s="33">
        <v>51135</v>
      </c>
      <c r="B336" s="14">
        <f>CHOOSE(CONTROL!$C$42, 12.7207, 12.7207) * CHOOSE(CONTROL!$C$21, $C$9, 100%, $E$9)</f>
        <v>12.720700000000001</v>
      </c>
      <c r="C336" s="14">
        <f>CHOOSE(CONTROL!$C$42, 12.7256, 12.7256) * CHOOSE(CONTROL!$C$21, $C$9, 100%, $E$9)</f>
        <v>12.7256</v>
      </c>
      <c r="D336" s="14">
        <f>CHOOSE(CONTROL!$C$42, 12.7887, 12.7887) * CHOOSE(CONTROL!$C$21, $C$9, 100%, $E$9)</f>
        <v>12.7887</v>
      </c>
      <c r="E336" s="14">
        <f>CHOOSE(CONTROL!$C$42, 12.8225, 12.8225) * CHOOSE(CONTROL!$C$21, $C$9, 100%, $E$9)</f>
        <v>12.8225</v>
      </c>
      <c r="F336" s="14">
        <f>CHOOSE(CONTROL!$C$42, 12.7234, 12.7234)*CHOOSE(CONTROL!$C$21, $C$9, 100%, $E$9)</f>
        <v>12.7234</v>
      </c>
      <c r="G336" s="14">
        <f>CHOOSE(CONTROL!$C$42, 12.7403, 12.7403)*CHOOSE(CONTROL!$C$21, $C$9, 100%, $E$9)</f>
        <v>12.7403</v>
      </c>
      <c r="H336" s="14">
        <f>CHOOSE(CONTROL!$C$42, 12.8117, 12.8117) * CHOOSE(CONTROL!$C$21, $C$9, 100%, $E$9)</f>
        <v>12.8117</v>
      </c>
      <c r="I336" s="14">
        <f>CHOOSE(CONTROL!$C$42, 12.7342, 12.7342)* CHOOSE(CONTROL!$C$21, $C$9, 100%, $E$9)</f>
        <v>12.7342</v>
      </c>
      <c r="J336" s="14">
        <f>CHOOSE(CONTROL!$C$42, 12.7164, 12.7164)* CHOOSE(CONTROL!$C$21, $C$9, 100%, $E$9)</f>
        <v>12.7164</v>
      </c>
      <c r="K336" s="53">
        <f>CHOOSE(CONTROL!$C$42, 12.7303, 12.7303) * CHOOSE(CONTROL!$C$21, $C$9, 100%, $E$9)</f>
        <v>12.7303</v>
      </c>
      <c r="L336" s="14">
        <f>CHOOSE(CONTROL!$C$42, 13.3987, 13.3987) * CHOOSE(CONTROL!$C$21, $C$9, 100%, $E$9)</f>
        <v>13.3987</v>
      </c>
      <c r="M336" s="14">
        <f>CHOOSE(CONTROL!$C$42, 12.6019, 12.6019) * CHOOSE(CONTROL!$C$21, $C$9, 100%, $E$9)</f>
        <v>12.601900000000001</v>
      </c>
      <c r="N336" s="14">
        <f>CHOOSE(CONTROL!$C$42, 12.6186, 12.6186) * CHOOSE(CONTROL!$C$21, $C$9, 100%, $E$9)</f>
        <v>12.618600000000001</v>
      </c>
      <c r="O336" s="14">
        <f>CHOOSE(CONTROL!$C$42, 12.6962, 12.6962) * CHOOSE(CONTROL!$C$21, $C$9, 100%, $E$9)</f>
        <v>12.696199999999999</v>
      </c>
      <c r="P336" s="14">
        <f>CHOOSE(CONTROL!$C$42, 12.6196, 12.6196) * CHOOSE(CONTROL!$C$21, $C$9, 100%, $E$9)</f>
        <v>12.6196</v>
      </c>
      <c r="Q336" s="14">
        <f>CHOOSE(CONTROL!$C$42, 13.2915, 13.2915) * CHOOSE(CONTROL!$C$21, $C$9, 100%, $E$9)</f>
        <v>13.291499999999999</v>
      </c>
      <c r="R336" s="14">
        <f>CHOOSE(CONTROL!$C$42, 13.9118, 13.9118) * CHOOSE(CONTROL!$C$21, $C$9, 100%, $E$9)</f>
        <v>13.911799999999999</v>
      </c>
      <c r="S336" s="14">
        <f>CHOOSE(CONTROL!$C$42, 12.3509, 12.3509) * CHOOSE(CONTROL!$C$21, $C$9, 100%, $E$9)</f>
        <v>12.350899999999999</v>
      </c>
      <c r="T33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36" s="57">
        <f>(1000*CHOOSE(CONTROL!$C$42, 695, 695)*CHOOSE(CONTROL!$C$42, 0.5599, 0.5599)*CHOOSE(CONTROL!$C$42, 31, 31))/1000000</f>
        <v>12.063045499999998</v>
      </c>
      <c r="V336" s="57">
        <f>(1000*CHOOSE(CONTROL!$C$42, 500, 500)*CHOOSE(CONTROL!$C$42, 0.275, 0.275)*CHOOSE(CONTROL!$C$42, 31, 31))/1000000</f>
        <v>4.2625000000000002</v>
      </c>
      <c r="W336" s="57">
        <f>(1000*CHOOSE(CONTROL!$C$42, 0.1146, 0.1146)*CHOOSE(CONTROL!$C$42, 121.5, 121.5)*CHOOSE(CONTROL!$C$42, 31, 31))/1000000</f>
        <v>0.43164089999999994</v>
      </c>
      <c r="X336" s="57">
        <f>(31*0.1790888*100000/1000000)+(31*0.2374*100000/1000000)</f>
        <v>1.2911152800000001</v>
      </c>
      <c r="Y336" s="57"/>
      <c r="Z336" s="14"/>
      <c r="AA336" s="56"/>
      <c r="AB336" s="50">
        <f>(B336*122.58+C336*297.941+D336*89.177+E336*40.302+F336*40+G336*160+H336*0+I336*100+J336*300)/(122.58+297.941+89.177+40.302+0+40+160+100+300)</f>
        <v>12.733683209130435</v>
      </c>
      <c r="AC336" s="45">
        <f>(M336*'RAP TEMPLATE-GAS AVAILABILITY'!O335+N336*'RAP TEMPLATE-GAS AVAILABILITY'!P335+O336*'RAP TEMPLATE-GAS AVAILABILITY'!Q335+P336*'RAP TEMPLATE-GAS AVAILABILITY'!R335)/('RAP TEMPLATE-GAS AVAILABILITY'!O335+'RAP TEMPLATE-GAS AVAILABILITY'!P335+'RAP TEMPLATE-GAS AVAILABILITY'!Q335+'RAP TEMPLATE-GAS AVAILABILITY'!R335)</f>
        <v>12.648148201438849</v>
      </c>
    </row>
    <row r="337" spans="1:29" ht="15.75" x14ac:dyDescent="0.25">
      <c r="A337" s="33">
        <v>51166</v>
      </c>
      <c r="B337" s="14">
        <f>CHOOSE(CONTROL!$C$42, 13.7627, 13.7627) * CHOOSE(CONTROL!$C$21, $C$9, 100%, $E$9)</f>
        <v>13.762700000000001</v>
      </c>
      <c r="C337" s="14">
        <f>CHOOSE(CONTROL!$C$42, 13.7677, 13.7677) * CHOOSE(CONTROL!$C$21, $C$9, 100%, $E$9)</f>
        <v>13.7677</v>
      </c>
      <c r="D337" s="14">
        <f>CHOOSE(CONTROL!$C$42, 13.832, 13.832) * CHOOSE(CONTROL!$C$21, $C$9, 100%, $E$9)</f>
        <v>13.832000000000001</v>
      </c>
      <c r="E337" s="14">
        <f>CHOOSE(CONTROL!$C$42, 13.8657, 13.8657) * CHOOSE(CONTROL!$C$21, $C$9, 100%, $E$9)</f>
        <v>13.8657</v>
      </c>
      <c r="F337" s="14">
        <f>CHOOSE(CONTROL!$C$42, 13.7643, 13.7643)*CHOOSE(CONTROL!$C$21, $C$9, 100%, $E$9)</f>
        <v>13.7643</v>
      </c>
      <c r="G337" s="14">
        <f>CHOOSE(CONTROL!$C$42, 13.7802, 13.7802)*CHOOSE(CONTROL!$C$21, $C$9, 100%, $E$9)</f>
        <v>13.780200000000001</v>
      </c>
      <c r="H337" s="14">
        <f>CHOOSE(CONTROL!$C$42, 13.8549, 13.8549) * CHOOSE(CONTROL!$C$21, $C$9, 100%, $E$9)</f>
        <v>13.854900000000001</v>
      </c>
      <c r="I337" s="14">
        <f>CHOOSE(CONTROL!$C$42, 13.7827, 13.7827)* CHOOSE(CONTROL!$C$21, $C$9, 100%, $E$9)</f>
        <v>13.7827</v>
      </c>
      <c r="J337" s="14">
        <f>CHOOSE(CONTROL!$C$42, 13.7573, 13.7573)* CHOOSE(CONTROL!$C$21, $C$9, 100%, $E$9)</f>
        <v>13.757300000000001</v>
      </c>
      <c r="K337" s="53">
        <f>CHOOSE(CONTROL!$C$42, 13.7788, 13.7788) * CHOOSE(CONTROL!$C$21, $C$9, 100%, $E$9)</f>
        <v>13.7788</v>
      </c>
      <c r="L337" s="14">
        <f>CHOOSE(CONTROL!$C$42, 14.4419, 14.4419) * CHOOSE(CONTROL!$C$21, $C$9, 100%, $E$9)</f>
        <v>14.4419</v>
      </c>
      <c r="M337" s="14">
        <f>CHOOSE(CONTROL!$C$42, 13.6322, 13.6322) * CHOOSE(CONTROL!$C$21, $C$9, 100%, $E$9)</f>
        <v>13.632199999999999</v>
      </c>
      <c r="N337" s="14">
        <f>CHOOSE(CONTROL!$C$42, 13.648, 13.648) * CHOOSE(CONTROL!$C$21, $C$9, 100%, $E$9)</f>
        <v>13.648</v>
      </c>
      <c r="O337" s="14">
        <f>CHOOSE(CONTROL!$C$42, 13.7289, 13.7289) * CHOOSE(CONTROL!$C$21, $C$9, 100%, $E$9)</f>
        <v>13.728899999999999</v>
      </c>
      <c r="P337" s="14">
        <f>CHOOSE(CONTROL!$C$42, 13.6575, 13.6575) * CHOOSE(CONTROL!$C$21, $C$9, 100%, $E$9)</f>
        <v>13.657500000000001</v>
      </c>
      <c r="Q337" s="14">
        <f>CHOOSE(CONTROL!$C$42, 14.3242, 14.3242) * CHOOSE(CONTROL!$C$21, $C$9, 100%, $E$9)</f>
        <v>14.324199999999999</v>
      </c>
      <c r="R337" s="14">
        <f>CHOOSE(CONTROL!$C$42, 14.9471, 14.9471) * CHOOSE(CONTROL!$C$21, $C$9, 100%, $E$9)</f>
        <v>14.947100000000001</v>
      </c>
      <c r="S337" s="14">
        <f>CHOOSE(CONTROL!$C$42, 13.3629, 13.3629) * CHOOSE(CONTROL!$C$21, $C$9, 100%, $E$9)</f>
        <v>13.3629</v>
      </c>
      <c r="T33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37" s="57">
        <f>(1000*CHOOSE(CONTROL!$C$42, 695, 695)*CHOOSE(CONTROL!$C$42, 0.5599, 0.5599)*CHOOSE(CONTROL!$C$42, 31, 31))/1000000</f>
        <v>12.063045499999998</v>
      </c>
      <c r="V337" s="57">
        <f>(1000*CHOOSE(CONTROL!$C$42, 500, 500)*CHOOSE(CONTROL!$C$42, 0.275, 0.275)*CHOOSE(CONTROL!$C$42, 31, 31))/1000000</f>
        <v>4.2625000000000002</v>
      </c>
      <c r="W337" s="57">
        <f>(1000*CHOOSE(CONTROL!$C$42, 0.1146, 0.1146)*CHOOSE(CONTROL!$C$42, 121.5, 121.5)*CHOOSE(CONTROL!$C$42, 31, 31))/1000000</f>
        <v>0.43164089999999994</v>
      </c>
      <c r="X337" s="57">
        <f>(31*0.1790888*100000/1000000)+(31*0.2374*100000/1000000)</f>
        <v>1.2911152800000001</v>
      </c>
      <c r="Y337" s="57"/>
      <c r="Z337" s="14"/>
      <c r="AA337" s="56"/>
      <c r="AB337" s="50">
        <f>(B337*122.58+C337*297.941+D337*89.177+E337*40.302+F337*40+G337*160+H337*0+I337*100+J337*300)/(122.58+297.941+89.177+40.302+0+40+160+100+300)</f>
        <v>13.775799806173914</v>
      </c>
      <c r="AC337" s="45">
        <f>(M337*'RAP TEMPLATE-GAS AVAILABILITY'!O336+N337*'RAP TEMPLATE-GAS AVAILABILITY'!P336+O337*'RAP TEMPLATE-GAS AVAILABILITY'!Q336+P337*'RAP TEMPLATE-GAS AVAILABILITY'!R336)/('RAP TEMPLATE-GAS AVAILABILITY'!O336+'RAP TEMPLATE-GAS AVAILABILITY'!P336+'RAP TEMPLATE-GAS AVAILABILITY'!Q336+'RAP TEMPLATE-GAS AVAILABILITY'!R336)</f>
        <v>13.680577697841727</v>
      </c>
    </row>
    <row r="338" spans="1:29" ht="15.75" x14ac:dyDescent="0.25">
      <c r="A338" s="33">
        <v>51194</v>
      </c>
      <c r="B338" s="14">
        <f>CHOOSE(CONTROL!$C$42, 14.0077, 14.0077) * CHOOSE(CONTROL!$C$21, $C$9, 100%, $E$9)</f>
        <v>14.0077</v>
      </c>
      <c r="C338" s="14">
        <f>CHOOSE(CONTROL!$C$42, 14.0126, 14.0126) * CHOOSE(CONTROL!$C$21, $C$9, 100%, $E$9)</f>
        <v>14.012600000000001</v>
      </c>
      <c r="D338" s="14">
        <f>CHOOSE(CONTROL!$C$42, 14.0769, 14.0769) * CHOOSE(CONTROL!$C$21, $C$9, 100%, $E$9)</f>
        <v>14.0769</v>
      </c>
      <c r="E338" s="14">
        <f>CHOOSE(CONTROL!$C$42, 14.1107, 14.1107) * CHOOSE(CONTROL!$C$21, $C$9, 100%, $E$9)</f>
        <v>14.1107</v>
      </c>
      <c r="F338" s="14">
        <f>CHOOSE(CONTROL!$C$42, 14.0092, 14.0092)*CHOOSE(CONTROL!$C$21, $C$9, 100%, $E$9)</f>
        <v>14.0092</v>
      </c>
      <c r="G338" s="14">
        <f>CHOOSE(CONTROL!$C$42, 14.0252, 14.0252)*CHOOSE(CONTROL!$C$21, $C$9, 100%, $E$9)</f>
        <v>14.0252</v>
      </c>
      <c r="H338" s="14">
        <f>CHOOSE(CONTROL!$C$42, 14.0999, 14.0999) * CHOOSE(CONTROL!$C$21, $C$9, 100%, $E$9)</f>
        <v>14.0999</v>
      </c>
      <c r="I338" s="14">
        <f>CHOOSE(CONTROL!$C$42, 14.0277, 14.0277)* CHOOSE(CONTROL!$C$21, $C$9, 100%, $E$9)</f>
        <v>14.027699999999999</v>
      </c>
      <c r="J338" s="14">
        <f>CHOOSE(CONTROL!$C$42, 14.0022, 14.0022)* CHOOSE(CONTROL!$C$21, $C$9, 100%, $E$9)</f>
        <v>14.0022</v>
      </c>
      <c r="K338" s="53">
        <f>CHOOSE(CONTROL!$C$42, 14.0238, 14.0238) * CHOOSE(CONTROL!$C$21, $C$9, 100%, $E$9)</f>
        <v>14.0238</v>
      </c>
      <c r="L338" s="14">
        <f>CHOOSE(CONTROL!$C$42, 14.6869, 14.6869) * CHOOSE(CONTROL!$C$21, $C$9, 100%, $E$9)</f>
        <v>14.6869</v>
      </c>
      <c r="M338" s="14">
        <f>CHOOSE(CONTROL!$C$42, 13.8748, 13.8748) * CHOOSE(CONTROL!$C$21, $C$9, 100%, $E$9)</f>
        <v>13.8748</v>
      </c>
      <c r="N338" s="14">
        <f>CHOOSE(CONTROL!$C$42, 13.8905, 13.8905) * CHOOSE(CONTROL!$C$21, $C$9, 100%, $E$9)</f>
        <v>13.890499999999999</v>
      </c>
      <c r="O338" s="14">
        <f>CHOOSE(CONTROL!$C$42, 13.9714, 13.9714) * CHOOSE(CONTROL!$C$21, $C$9, 100%, $E$9)</f>
        <v>13.971399999999999</v>
      </c>
      <c r="P338" s="14">
        <f>CHOOSE(CONTROL!$C$42, 13.9, 13.9) * CHOOSE(CONTROL!$C$21, $C$9, 100%, $E$9)</f>
        <v>13.9</v>
      </c>
      <c r="Q338" s="14">
        <f>CHOOSE(CONTROL!$C$42, 14.5667, 14.5667) * CHOOSE(CONTROL!$C$21, $C$9, 100%, $E$9)</f>
        <v>14.566700000000001</v>
      </c>
      <c r="R338" s="14">
        <f>CHOOSE(CONTROL!$C$42, 15.1901, 15.1901) * CHOOSE(CONTROL!$C$21, $C$9, 100%, $E$9)</f>
        <v>15.190099999999999</v>
      </c>
      <c r="S338" s="14">
        <f>CHOOSE(CONTROL!$C$42, 13.6007, 13.6007) * CHOOSE(CONTROL!$C$21, $C$9, 100%, $E$9)</f>
        <v>13.6007</v>
      </c>
      <c r="T33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38" s="57">
        <f>(1000*CHOOSE(CONTROL!$C$42, 695, 695)*CHOOSE(CONTROL!$C$42, 0.5599, 0.5599)*CHOOSE(CONTROL!$C$42, 29, 29))/1000000</f>
        <v>11.284784499999999</v>
      </c>
      <c r="V338" s="57">
        <f>(1000*CHOOSE(CONTROL!$C$42, 500, 500)*CHOOSE(CONTROL!$C$42, 0.275, 0.275)*CHOOSE(CONTROL!$C$42, 29, 29))/1000000</f>
        <v>3.9874999999999998</v>
      </c>
      <c r="W338" s="57">
        <f>(1000*CHOOSE(CONTROL!$C$42, 0.1146, 0.1146)*CHOOSE(CONTROL!$C$42, 121.5, 121.5)*CHOOSE(CONTROL!$C$42, 29, 29))/1000000</f>
        <v>0.40379309999999996</v>
      </c>
      <c r="X338" s="57">
        <f>(29*0.1790888*100000/1000000)+(29*0.2374*100000/1000000)</f>
        <v>1.2078175199999999</v>
      </c>
      <c r="Y338" s="57"/>
      <c r="Z338" s="14"/>
      <c r="AA338" s="56"/>
      <c r="AB338" s="50">
        <f>(B338*122.58+C338*297.941+D338*89.177+E338*40.302+F338*40+G338*160+H338*0+I338*100+J338*300)/(122.58+297.941+89.177+40.302+0+40+160+100+300)</f>
        <v>14.02073657852174</v>
      </c>
      <c r="AC338" s="45">
        <f>(M338*'RAP TEMPLATE-GAS AVAILABILITY'!O337+N338*'RAP TEMPLATE-GAS AVAILABILITY'!P337+O338*'RAP TEMPLATE-GAS AVAILABILITY'!Q337+P338*'RAP TEMPLATE-GAS AVAILABILITY'!R337)/('RAP TEMPLATE-GAS AVAILABILITY'!O337+'RAP TEMPLATE-GAS AVAILABILITY'!P337+'RAP TEMPLATE-GAS AVAILABILITY'!Q337+'RAP TEMPLATE-GAS AVAILABILITY'!R337)</f>
        <v>13.923112230215828</v>
      </c>
    </row>
    <row r="339" spans="1:29" ht="15.75" x14ac:dyDescent="0.25">
      <c r="A339" s="33">
        <v>51226</v>
      </c>
      <c r="B339" s="14">
        <f>CHOOSE(CONTROL!$C$42, 13.6101, 13.6101) * CHOOSE(CONTROL!$C$21, $C$9, 100%, $E$9)</f>
        <v>13.610099999999999</v>
      </c>
      <c r="C339" s="14">
        <f>CHOOSE(CONTROL!$C$42, 13.615, 13.615) * CHOOSE(CONTROL!$C$21, $C$9, 100%, $E$9)</f>
        <v>13.615</v>
      </c>
      <c r="D339" s="14">
        <f>CHOOSE(CONTROL!$C$42, 13.6793, 13.6793) * CHOOSE(CONTROL!$C$21, $C$9, 100%, $E$9)</f>
        <v>13.6793</v>
      </c>
      <c r="E339" s="14">
        <f>CHOOSE(CONTROL!$C$42, 13.7131, 13.7131) * CHOOSE(CONTROL!$C$21, $C$9, 100%, $E$9)</f>
        <v>13.713100000000001</v>
      </c>
      <c r="F339" s="14">
        <f>CHOOSE(CONTROL!$C$42, 13.6113, 13.6113)*CHOOSE(CONTROL!$C$21, $C$9, 100%, $E$9)</f>
        <v>13.6113</v>
      </c>
      <c r="G339" s="14">
        <f>CHOOSE(CONTROL!$C$42, 13.6272, 13.6272)*CHOOSE(CONTROL!$C$21, $C$9, 100%, $E$9)</f>
        <v>13.6272</v>
      </c>
      <c r="H339" s="14">
        <f>CHOOSE(CONTROL!$C$42, 13.7023, 13.7023) * CHOOSE(CONTROL!$C$21, $C$9, 100%, $E$9)</f>
        <v>13.702299999999999</v>
      </c>
      <c r="I339" s="14">
        <f>CHOOSE(CONTROL!$C$42, 13.6301, 13.6301)* CHOOSE(CONTROL!$C$21, $C$9, 100%, $E$9)</f>
        <v>13.630100000000001</v>
      </c>
      <c r="J339" s="14">
        <f>CHOOSE(CONTROL!$C$42, 13.6043, 13.6043)* CHOOSE(CONTROL!$C$21, $C$9, 100%, $E$9)</f>
        <v>13.6043</v>
      </c>
      <c r="K339" s="53">
        <f>CHOOSE(CONTROL!$C$42, 13.6262, 13.6262) * CHOOSE(CONTROL!$C$21, $C$9, 100%, $E$9)</f>
        <v>13.626200000000001</v>
      </c>
      <c r="L339" s="14">
        <f>CHOOSE(CONTROL!$C$42, 14.2893, 14.2893) * CHOOSE(CONTROL!$C$21, $C$9, 100%, $E$9)</f>
        <v>14.289300000000001</v>
      </c>
      <c r="M339" s="14">
        <f>CHOOSE(CONTROL!$C$42, 13.4809, 13.4809) * CHOOSE(CONTROL!$C$21, $C$9, 100%, $E$9)</f>
        <v>13.4809</v>
      </c>
      <c r="N339" s="14">
        <f>CHOOSE(CONTROL!$C$42, 13.4966, 13.4966) * CHOOSE(CONTROL!$C$21, $C$9, 100%, $E$9)</f>
        <v>13.496600000000001</v>
      </c>
      <c r="O339" s="14">
        <f>CHOOSE(CONTROL!$C$42, 13.5778, 13.5778) * CHOOSE(CONTROL!$C$21, $C$9, 100%, $E$9)</f>
        <v>13.5778</v>
      </c>
      <c r="P339" s="14">
        <f>CHOOSE(CONTROL!$C$42, 13.5064, 13.5064) * CHOOSE(CONTROL!$C$21, $C$9, 100%, $E$9)</f>
        <v>13.506399999999999</v>
      </c>
      <c r="Q339" s="14">
        <f>CHOOSE(CONTROL!$C$42, 14.1731, 14.1731) * CHOOSE(CONTROL!$C$21, $C$9, 100%, $E$9)</f>
        <v>14.1731</v>
      </c>
      <c r="R339" s="14">
        <f>CHOOSE(CONTROL!$C$42, 14.7956, 14.7956) * CHOOSE(CONTROL!$C$21, $C$9, 100%, $E$9)</f>
        <v>14.7956</v>
      </c>
      <c r="S339" s="14">
        <f>CHOOSE(CONTROL!$C$42, 13.2146, 13.2146) * CHOOSE(CONTROL!$C$21, $C$9, 100%, $E$9)</f>
        <v>13.214600000000001</v>
      </c>
      <c r="T33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39" s="57">
        <f>(1000*CHOOSE(CONTROL!$C$42, 695, 695)*CHOOSE(CONTROL!$C$42, 0.5599, 0.5599)*CHOOSE(CONTROL!$C$42, 31, 31))/1000000</f>
        <v>12.063045499999998</v>
      </c>
      <c r="V339" s="57">
        <f>(1000*CHOOSE(CONTROL!$C$42, 500, 500)*CHOOSE(CONTROL!$C$42, 0.275, 0.275)*CHOOSE(CONTROL!$C$42, 31, 31))/1000000</f>
        <v>4.2625000000000002</v>
      </c>
      <c r="W339" s="57">
        <f>(1000*CHOOSE(CONTROL!$C$42, 0.1146, 0.1146)*CHOOSE(CONTROL!$C$42, 121.5, 121.5)*CHOOSE(CONTROL!$C$42, 31, 31))/1000000</f>
        <v>0.43164089999999994</v>
      </c>
      <c r="X339" s="57">
        <f>(31*0.1790888*100000/1000000)+(31*0.2374*100000/1000000)</f>
        <v>1.2911152800000001</v>
      </c>
      <c r="Y339" s="57"/>
      <c r="Z339" s="14"/>
      <c r="AA339" s="56"/>
      <c r="AB339" s="50">
        <f>(B339*122.58+C339*297.941+D339*89.177+E339*40.302+F339*40+G339*160+H339*0+I339*100+J339*300)/(122.58+297.941+89.177+40.302+0+40+160+100+300)</f>
        <v>13.622992230695651</v>
      </c>
      <c r="AC339" s="45">
        <f>(M339*'RAP TEMPLATE-GAS AVAILABILITY'!O338+N339*'RAP TEMPLATE-GAS AVAILABILITY'!P338+O339*'RAP TEMPLATE-GAS AVAILABILITY'!Q338+P339*'RAP TEMPLATE-GAS AVAILABILITY'!R338)/('RAP TEMPLATE-GAS AVAILABILITY'!O338+'RAP TEMPLATE-GAS AVAILABILITY'!P338+'RAP TEMPLATE-GAS AVAILABILITY'!Q338+'RAP TEMPLATE-GAS AVAILABILITY'!R338)</f>
        <v>13.529391366906474</v>
      </c>
    </row>
    <row r="340" spans="1:29" ht="15.75" x14ac:dyDescent="0.25">
      <c r="A340" s="33">
        <v>51256</v>
      </c>
      <c r="B340" s="14">
        <f>CHOOSE(CONTROL!$C$42, 13.5705, 13.5705) * CHOOSE(CONTROL!$C$21, $C$9, 100%, $E$9)</f>
        <v>13.570499999999999</v>
      </c>
      <c r="C340" s="14">
        <f>CHOOSE(CONTROL!$C$42, 13.5749, 13.5749) * CHOOSE(CONTROL!$C$21, $C$9, 100%, $E$9)</f>
        <v>13.5749</v>
      </c>
      <c r="D340" s="14">
        <f>CHOOSE(CONTROL!$C$42, 13.7756, 13.7756) * CHOOSE(CONTROL!$C$21, $C$9, 100%, $E$9)</f>
        <v>13.775600000000001</v>
      </c>
      <c r="E340" s="14">
        <f>CHOOSE(CONTROL!$C$42, 13.8074, 13.8074) * CHOOSE(CONTROL!$C$21, $C$9, 100%, $E$9)</f>
        <v>13.807399999999999</v>
      </c>
      <c r="F340" s="14">
        <f>CHOOSE(CONTROL!$C$42, 13.5551, 13.5551)*CHOOSE(CONTROL!$C$21, $C$9, 100%, $E$9)</f>
        <v>13.555099999999999</v>
      </c>
      <c r="G340" s="14">
        <f>CHOOSE(CONTROL!$C$42, 13.5707, 13.5707)*CHOOSE(CONTROL!$C$21, $C$9, 100%, $E$9)</f>
        <v>13.5707</v>
      </c>
      <c r="H340" s="14">
        <f>CHOOSE(CONTROL!$C$42, 13.7972, 13.7972) * CHOOSE(CONTROL!$C$21, $C$9, 100%, $E$9)</f>
        <v>13.7972</v>
      </c>
      <c r="I340" s="14">
        <f>CHOOSE(CONTROL!$C$42, 13.5833, 13.5833)* CHOOSE(CONTROL!$C$21, $C$9, 100%, $E$9)</f>
        <v>13.583299999999999</v>
      </c>
      <c r="J340" s="14">
        <f>CHOOSE(CONTROL!$C$42, 13.5481, 13.5481)* CHOOSE(CONTROL!$C$21, $C$9, 100%, $E$9)</f>
        <v>13.5481</v>
      </c>
      <c r="K340" s="53">
        <f>CHOOSE(CONTROL!$C$42, 13.5794, 13.5794) * CHOOSE(CONTROL!$C$21, $C$9, 100%, $E$9)</f>
        <v>13.5794</v>
      </c>
      <c r="L340" s="14">
        <f>CHOOSE(CONTROL!$C$42, 14.3842, 14.3842) * CHOOSE(CONTROL!$C$21, $C$9, 100%, $E$9)</f>
        <v>14.3842</v>
      </c>
      <c r="M340" s="14">
        <f>CHOOSE(CONTROL!$C$42, 13.4252, 13.4252) * CHOOSE(CONTROL!$C$21, $C$9, 100%, $E$9)</f>
        <v>13.4252</v>
      </c>
      <c r="N340" s="14">
        <f>CHOOSE(CONTROL!$C$42, 13.4407, 13.4407) * CHOOSE(CONTROL!$C$21, $C$9, 100%, $E$9)</f>
        <v>13.4407</v>
      </c>
      <c r="O340" s="14">
        <f>CHOOSE(CONTROL!$C$42, 13.6718, 13.6718) * CHOOSE(CONTROL!$C$21, $C$9, 100%, $E$9)</f>
        <v>13.671799999999999</v>
      </c>
      <c r="P340" s="14">
        <f>CHOOSE(CONTROL!$C$42, 13.4601, 13.4601) * CHOOSE(CONTROL!$C$21, $C$9, 100%, $E$9)</f>
        <v>13.460100000000001</v>
      </c>
      <c r="Q340" s="14">
        <f>CHOOSE(CONTROL!$C$42, 14.2671, 14.2671) * CHOOSE(CONTROL!$C$21, $C$9, 100%, $E$9)</f>
        <v>14.267099999999999</v>
      </c>
      <c r="R340" s="14">
        <f>CHOOSE(CONTROL!$C$42, 14.8897, 14.8897) * CHOOSE(CONTROL!$C$21, $C$9, 100%, $E$9)</f>
        <v>14.889699999999999</v>
      </c>
      <c r="S340" s="14">
        <f>CHOOSE(CONTROL!$C$42, 13.1754, 13.1754) * CHOOSE(CONTROL!$C$21, $C$9, 100%, $E$9)</f>
        <v>13.1754</v>
      </c>
      <c r="T34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40" s="57">
        <f>(1000*CHOOSE(CONTROL!$C$42, 695, 695)*CHOOSE(CONTROL!$C$42, 0.5599, 0.5599)*CHOOSE(CONTROL!$C$42, 30, 30))/1000000</f>
        <v>11.673914999999997</v>
      </c>
      <c r="V340" s="57">
        <f>(1000*CHOOSE(CONTROL!$C$42, 500, 500)*CHOOSE(CONTROL!$C$42, 0.275, 0.275)*CHOOSE(CONTROL!$C$42, 30, 30))/1000000</f>
        <v>4.125</v>
      </c>
      <c r="W340" s="57">
        <f>(1000*CHOOSE(CONTROL!$C$42, 0.1146, 0.1146)*CHOOSE(CONTROL!$C$42, 121.5, 121.5)*CHOOSE(CONTROL!$C$42, 30, 30))/1000000</f>
        <v>0.417717</v>
      </c>
      <c r="X340" s="57">
        <f>(30*0.1790888*245000/1000000)+(30*0.2374*100000/1000000)</f>
        <v>2.0285026799999999</v>
      </c>
      <c r="Y340" s="57"/>
      <c r="Z340" s="14"/>
      <c r="AA340" s="56"/>
      <c r="AB340" s="50">
        <f>(B340*141.293+C340*267.993+D340*115.016+E340*89.698+F340*40+G340*185+H340*0+I340*100+J340*300)/(141.293+267.993+115.016+89.698+0+40+185+100+300)</f>
        <v>13.602783621468927</v>
      </c>
      <c r="AC340" s="45">
        <f>(M340*'RAP TEMPLATE-GAS AVAILABILITY'!O339+N340*'RAP TEMPLATE-GAS AVAILABILITY'!P339+O340*'RAP TEMPLATE-GAS AVAILABILITY'!Q339+P340*'RAP TEMPLATE-GAS AVAILABILITY'!R339)/('RAP TEMPLATE-GAS AVAILABILITY'!O339+'RAP TEMPLATE-GAS AVAILABILITY'!P339+'RAP TEMPLATE-GAS AVAILABILITY'!Q339+'RAP TEMPLATE-GAS AVAILABILITY'!R339)</f>
        <v>13.502979856115108</v>
      </c>
    </row>
    <row r="341" spans="1:29" ht="15.75" x14ac:dyDescent="0.25">
      <c r="A341" s="33">
        <v>51287</v>
      </c>
      <c r="B341" s="14">
        <f>CHOOSE(CONTROL!$C$42, 13.6916, 13.6916) * CHOOSE(CONTROL!$C$21, $C$9, 100%, $E$9)</f>
        <v>13.691599999999999</v>
      </c>
      <c r="C341" s="14">
        <f>CHOOSE(CONTROL!$C$42, 13.6996, 13.6996) * CHOOSE(CONTROL!$C$21, $C$9, 100%, $E$9)</f>
        <v>13.6996</v>
      </c>
      <c r="D341" s="14">
        <f>CHOOSE(CONTROL!$C$42, 13.8971, 13.8971) * CHOOSE(CONTROL!$C$21, $C$9, 100%, $E$9)</f>
        <v>13.8971</v>
      </c>
      <c r="E341" s="14">
        <f>CHOOSE(CONTROL!$C$42, 13.9283, 13.9283) * CHOOSE(CONTROL!$C$21, $C$9, 100%, $E$9)</f>
        <v>13.9283</v>
      </c>
      <c r="F341" s="14">
        <f>CHOOSE(CONTROL!$C$42, 13.6751, 13.6751)*CHOOSE(CONTROL!$C$21, $C$9, 100%, $E$9)</f>
        <v>13.6751</v>
      </c>
      <c r="G341" s="14">
        <f>CHOOSE(CONTROL!$C$42, 13.6911, 13.6911)*CHOOSE(CONTROL!$C$21, $C$9, 100%, $E$9)</f>
        <v>13.6911</v>
      </c>
      <c r="H341" s="14">
        <f>CHOOSE(CONTROL!$C$42, 13.9169, 13.9169) * CHOOSE(CONTROL!$C$21, $C$9, 100%, $E$9)</f>
        <v>13.9169</v>
      </c>
      <c r="I341" s="14">
        <f>CHOOSE(CONTROL!$C$42, 13.703, 13.703)* CHOOSE(CONTROL!$C$21, $C$9, 100%, $E$9)</f>
        <v>13.702999999999999</v>
      </c>
      <c r="J341" s="14">
        <f>CHOOSE(CONTROL!$C$42, 13.6681, 13.6681)* CHOOSE(CONTROL!$C$21, $C$9, 100%, $E$9)</f>
        <v>13.668100000000001</v>
      </c>
      <c r="K341" s="53">
        <f>CHOOSE(CONTROL!$C$42, 13.6991, 13.6991) * CHOOSE(CONTROL!$C$21, $C$9, 100%, $E$9)</f>
        <v>13.6991</v>
      </c>
      <c r="L341" s="14">
        <f>CHOOSE(CONTROL!$C$42, 14.5039, 14.5039) * CHOOSE(CONTROL!$C$21, $C$9, 100%, $E$9)</f>
        <v>14.5039</v>
      </c>
      <c r="M341" s="14">
        <f>CHOOSE(CONTROL!$C$42, 13.544, 13.544) * CHOOSE(CONTROL!$C$21, $C$9, 100%, $E$9)</f>
        <v>13.544</v>
      </c>
      <c r="N341" s="14">
        <f>CHOOSE(CONTROL!$C$42, 13.5599, 13.5599) * CHOOSE(CONTROL!$C$21, $C$9, 100%, $E$9)</f>
        <v>13.559900000000001</v>
      </c>
      <c r="O341" s="14">
        <f>CHOOSE(CONTROL!$C$42, 13.7903, 13.7903) * CHOOSE(CONTROL!$C$21, $C$9, 100%, $E$9)</f>
        <v>13.7903</v>
      </c>
      <c r="P341" s="14">
        <f>CHOOSE(CONTROL!$C$42, 13.5786, 13.5786) * CHOOSE(CONTROL!$C$21, $C$9, 100%, $E$9)</f>
        <v>13.5786</v>
      </c>
      <c r="Q341" s="14">
        <f>CHOOSE(CONTROL!$C$42, 14.3856, 14.3856) * CHOOSE(CONTROL!$C$21, $C$9, 100%, $E$9)</f>
        <v>14.3856</v>
      </c>
      <c r="R341" s="14">
        <f>CHOOSE(CONTROL!$C$42, 15.0086, 15.0086) * CHOOSE(CONTROL!$C$21, $C$9, 100%, $E$9)</f>
        <v>15.008599999999999</v>
      </c>
      <c r="S341" s="14">
        <f>CHOOSE(CONTROL!$C$42, 13.2917, 13.2917) * CHOOSE(CONTROL!$C$21, $C$9, 100%, $E$9)</f>
        <v>13.291700000000001</v>
      </c>
      <c r="T34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41" s="57">
        <f>(1000*CHOOSE(CONTROL!$C$42, 695, 695)*CHOOSE(CONTROL!$C$42, 0.5599, 0.5599)*CHOOSE(CONTROL!$C$42, 31, 31))/1000000</f>
        <v>12.063045499999998</v>
      </c>
      <c r="V341" s="57">
        <f>(1000*CHOOSE(CONTROL!$C$42, 500, 500)*CHOOSE(CONTROL!$C$42, 0.275, 0.275)*CHOOSE(CONTROL!$C$42, 31, 31))/1000000</f>
        <v>4.2625000000000002</v>
      </c>
      <c r="W341" s="57">
        <f>(1000*CHOOSE(CONTROL!$C$42, 0.1146, 0.1146)*CHOOSE(CONTROL!$C$42, 121.5, 121.5)*CHOOSE(CONTROL!$C$42, 31, 31))/1000000</f>
        <v>0.43164089999999994</v>
      </c>
      <c r="X341" s="57">
        <f>(31*0.1790888*245000/1000000)+(31*0.2374*100000/1000000)</f>
        <v>2.0961194359999999</v>
      </c>
      <c r="Y341" s="57"/>
      <c r="Z341" s="14"/>
      <c r="AA341" s="56"/>
      <c r="AB341" s="50">
        <f>(B341*194.205+C341*267.466+D341*133.845+E341*53.484+F341*40+G341*185+H341*0+I341*100+J341*300)/(194.205+267.466+133.845+53.484+0+40+185+100+300)</f>
        <v>13.719576482182102</v>
      </c>
      <c r="AC341" s="45">
        <f>(M341*'RAP TEMPLATE-GAS AVAILABILITY'!O340+N341*'RAP TEMPLATE-GAS AVAILABILITY'!P340+O341*'RAP TEMPLATE-GAS AVAILABILITY'!Q340+P341*'RAP TEMPLATE-GAS AVAILABILITY'!R340)/('RAP TEMPLATE-GAS AVAILABILITY'!O340+'RAP TEMPLATE-GAS AVAILABILITY'!P340+'RAP TEMPLATE-GAS AVAILABILITY'!Q340+'RAP TEMPLATE-GAS AVAILABILITY'!R340)</f>
        <v>13.621744604316548</v>
      </c>
    </row>
    <row r="342" spans="1:29" ht="15.75" x14ac:dyDescent="0.25">
      <c r="A342" s="33">
        <v>51317</v>
      </c>
      <c r="B342" s="14">
        <f>CHOOSE(CONTROL!$C$42, 14.0799, 14.0799) * CHOOSE(CONTROL!$C$21, $C$9, 100%, $E$9)</f>
        <v>14.0799</v>
      </c>
      <c r="C342" s="14">
        <f>CHOOSE(CONTROL!$C$42, 14.0878, 14.0878) * CHOOSE(CONTROL!$C$21, $C$9, 100%, $E$9)</f>
        <v>14.0878</v>
      </c>
      <c r="D342" s="14">
        <f>CHOOSE(CONTROL!$C$42, 14.2854, 14.2854) * CHOOSE(CONTROL!$C$21, $C$9, 100%, $E$9)</f>
        <v>14.285399999999999</v>
      </c>
      <c r="E342" s="14">
        <f>CHOOSE(CONTROL!$C$42, 14.3165, 14.3165) * CHOOSE(CONTROL!$C$21, $C$9, 100%, $E$9)</f>
        <v>14.3165</v>
      </c>
      <c r="F342" s="14">
        <f>CHOOSE(CONTROL!$C$42, 14.0637, 14.0637)*CHOOSE(CONTROL!$C$21, $C$9, 100%, $E$9)</f>
        <v>14.063700000000001</v>
      </c>
      <c r="G342" s="14">
        <f>CHOOSE(CONTROL!$C$42, 14.0799, 14.0799)*CHOOSE(CONTROL!$C$21, $C$9, 100%, $E$9)</f>
        <v>14.0799</v>
      </c>
      <c r="H342" s="14">
        <f>CHOOSE(CONTROL!$C$42, 14.3051, 14.3051) * CHOOSE(CONTROL!$C$21, $C$9, 100%, $E$9)</f>
        <v>14.305099999999999</v>
      </c>
      <c r="I342" s="14">
        <f>CHOOSE(CONTROL!$C$42, 14.0912, 14.0912)* CHOOSE(CONTROL!$C$21, $C$9, 100%, $E$9)</f>
        <v>14.091200000000001</v>
      </c>
      <c r="J342" s="14">
        <f>CHOOSE(CONTROL!$C$42, 14.0567, 14.0567)* CHOOSE(CONTROL!$C$21, $C$9, 100%, $E$9)</f>
        <v>14.056699999999999</v>
      </c>
      <c r="K342" s="53">
        <f>CHOOSE(CONTROL!$C$42, 14.0873, 14.0873) * CHOOSE(CONTROL!$C$21, $C$9, 100%, $E$9)</f>
        <v>14.087300000000001</v>
      </c>
      <c r="L342" s="14">
        <f>CHOOSE(CONTROL!$C$42, 14.8921, 14.8921) * CHOOSE(CONTROL!$C$21, $C$9, 100%, $E$9)</f>
        <v>14.892099999999999</v>
      </c>
      <c r="M342" s="14">
        <f>CHOOSE(CONTROL!$C$42, 13.9287, 13.9287) * CHOOSE(CONTROL!$C$21, $C$9, 100%, $E$9)</f>
        <v>13.928699999999999</v>
      </c>
      <c r="N342" s="14">
        <f>CHOOSE(CONTROL!$C$42, 13.9447, 13.9447) * CHOOSE(CONTROL!$C$21, $C$9, 100%, $E$9)</f>
        <v>13.944699999999999</v>
      </c>
      <c r="O342" s="14">
        <f>CHOOSE(CONTROL!$C$42, 14.1746, 14.1746) * CHOOSE(CONTROL!$C$21, $C$9, 100%, $E$9)</f>
        <v>14.1746</v>
      </c>
      <c r="P342" s="14">
        <f>CHOOSE(CONTROL!$C$42, 13.9629, 13.9629) * CHOOSE(CONTROL!$C$21, $C$9, 100%, $E$9)</f>
        <v>13.962899999999999</v>
      </c>
      <c r="Q342" s="14">
        <f>CHOOSE(CONTROL!$C$42, 14.7699, 14.7699) * CHOOSE(CONTROL!$C$21, $C$9, 100%, $E$9)</f>
        <v>14.7699</v>
      </c>
      <c r="R342" s="14">
        <f>CHOOSE(CONTROL!$C$42, 15.3938, 15.3938) * CHOOSE(CONTROL!$C$21, $C$9, 100%, $E$9)</f>
        <v>15.393800000000001</v>
      </c>
      <c r="S342" s="14">
        <f>CHOOSE(CONTROL!$C$42, 13.6687, 13.6687) * CHOOSE(CONTROL!$C$21, $C$9, 100%, $E$9)</f>
        <v>13.668699999999999</v>
      </c>
      <c r="T34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42" s="57">
        <f>(1000*CHOOSE(CONTROL!$C$42, 695, 695)*CHOOSE(CONTROL!$C$42, 0.5599, 0.5599)*CHOOSE(CONTROL!$C$42, 30, 30))/1000000</f>
        <v>11.673914999999997</v>
      </c>
      <c r="V342" s="57">
        <f>(1000*CHOOSE(CONTROL!$C$42, 500, 500)*CHOOSE(CONTROL!$C$42, 0.275, 0.275)*CHOOSE(CONTROL!$C$42, 30, 30))/1000000</f>
        <v>4.125</v>
      </c>
      <c r="W342" s="57">
        <f>(1000*CHOOSE(CONTROL!$C$42, 0.1146, 0.1146)*CHOOSE(CONTROL!$C$42, 121.5, 121.5)*CHOOSE(CONTROL!$C$42, 30, 30))/1000000</f>
        <v>0.417717</v>
      </c>
      <c r="X342" s="57">
        <f>(30*0.1790888*245000/1000000)+(30*0.2374*100000/1000000)</f>
        <v>2.0285026799999999</v>
      </c>
      <c r="Y342" s="57"/>
      <c r="Z342" s="14"/>
      <c r="AA342" s="56"/>
      <c r="AB342" s="50">
        <f>(B342*194.205+C342*267.466+D342*133.845+E342*53.484+F342*40+G342*185+H342*0+I342*100+J342*300)/(194.205+267.466+133.845+53.484+0+40+185+100+300)</f>
        <v>14.107996109340661</v>
      </c>
      <c r="AC342" s="45">
        <f>(M342*'RAP TEMPLATE-GAS AVAILABILITY'!O341+N342*'RAP TEMPLATE-GAS AVAILABILITY'!P341+O342*'RAP TEMPLATE-GAS AVAILABILITY'!Q341+P342*'RAP TEMPLATE-GAS AVAILABILITY'!R341)/('RAP TEMPLATE-GAS AVAILABILITY'!O341+'RAP TEMPLATE-GAS AVAILABILITY'!P341+'RAP TEMPLATE-GAS AVAILABILITY'!Q341+'RAP TEMPLATE-GAS AVAILABILITY'!R341)</f>
        <v>14.006297841726619</v>
      </c>
    </row>
    <row r="343" spans="1:29" ht="15.75" x14ac:dyDescent="0.25">
      <c r="A343" s="33">
        <v>51348</v>
      </c>
      <c r="B343" s="14">
        <f>CHOOSE(CONTROL!$C$42, 13.8099, 13.8099) * CHOOSE(CONTROL!$C$21, $C$9, 100%, $E$9)</f>
        <v>13.809900000000001</v>
      </c>
      <c r="C343" s="14">
        <f>CHOOSE(CONTROL!$C$42, 13.8178, 13.8178) * CHOOSE(CONTROL!$C$21, $C$9, 100%, $E$9)</f>
        <v>13.8178</v>
      </c>
      <c r="D343" s="14">
        <f>CHOOSE(CONTROL!$C$42, 14.0154, 14.0154) * CHOOSE(CONTROL!$C$21, $C$9, 100%, $E$9)</f>
        <v>14.0154</v>
      </c>
      <c r="E343" s="14">
        <f>CHOOSE(CONTROL!$C$42, 14.0465, 14.0465) * CHOOSE(CONTROL!$C$21, $C$9, 100%, $E$9)</f>
        <v>14.0465</v>
      </c>
      <c r="F343" s="14">
        <f>CHOOSE(CONTROL!$C$42, 13.7941, 13.7941)*CHOOSE(CONTROL!$C$21, $C$9, 100%, $E$9)</f>
        <v>13.7941</v>
      </c>
      <c r="G343" s="14">
        <f>CHOOSE(CONTROL!$C$42, 13.8104, 13.8104)*CHOOSE(CONTROL!$C$21, $C$9, 100%, $E$9)</f>
        <v>13.8104</v>
      </c>
      <c r="H343" s="14">
        <f>CHOOSE(CONTROL!$C$42, 14.0351, 14.0351) * CHOOSE(CONTROL!$C$21, $C$9, 100%, $E$9)</f>
        <v>14.0351</v>
      </c>
      <c r="I343" s="14">
        <f>CHOOSE(CONTROL!$C$42, 13.8212, 13.8212)* CHOOSE(CONTROL!$C$21, $C$9, 100%, $E$9)</f>
        <v>13.821199999999999</v>
      </c>
      <c r="J343" s="14">
        <f>CHOOSE(CONTROL!$C$42, 13.7871, 13.7871)* CHOOSE(CONTROL!$C$21, $C$9, 100%, $E$9)</f>
        <v>13.787100000000001</v>
      </c>
      <c r="K343" s="53">
        <f>CHOOSE(CONTROL!$C$42, 13.8173, 13.8173) * CHOOSE(CONTROL!$C$21, $C$9, 100%, $E$9)</f>
        <v>13.817299999999999</v>
      </c>
      <c r="L343" s="14">
        <f>CHOOSE(CONTROL!$C$42, 14.6221, 14.6221) * CHOOSE(CONTROL!$C$21, $C$9, 100%, $E$9)</f>
        <v>14.6221</v>
      </c>
      <c r="M343" s="14">
        <f>CHOOSE(CONTROL!$C$42, 13.6618, 13.6618) * CHOOSE(CONTROL!$C$21, $C$9, 100%, $E$9)</f>
        <v>13.661799999999999</v>
      </c>
      <c r="N343" s="14">
        <f>CHOOSE(CONTROL!$C$42, 13.6779, 13.6779) * CHOOSE(CONTROL!$C$21, $C$9, 100%, $E$9)</f>
        <v>13.677899999999999</v>
      </c>
      <c r="O343" s="14">
        <f>CHOOSE(CONTROL!$C$42, 13.9073, 13.9073) * CHOOSE(CONTROL!$C$21, $C$9, 100%, $E$9)</f>
        <v>13.907299999999999</v>
      </c>
      <c r="P343" s="14">
        <f>CHOOSE(CONTROL!$C$42, 13.6956, 13.6956) * CHOOSE(CONTROL!$C$21, $C$9, 100%, $E$9)</f>
        <v>13.695600000000001</v>
      </c>
      <c r="Q343" s="14">
        <f>CHOOSE(CONTROL!$C$42, 14.5026, 14.5026) * CHOOSE(CONTROL!$C$21, $C$9, 100%, $E$9)</f>
        <v>14.502599999999999</v>
      </c>
      <c r="R343" s="14">
        <f>CHOOSE(CONTROL!$C$42, 15.1259, 15.1259) * CHOOSE(CONTROL!$C$21, $C$9, 100%, $E$9)</f>
        <v>15.1259</v>
      </c>
      <c r="S343" s="14">
        <f>CHOOSE(CONTROL!$C$42, 13.4065, 13.4065) * CHOOSE(CONTROL!$C$21, $C$9, 100%, $E$9)</f>
        <v>13.406499999999999</v>
      </c>
      <c r="T34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43" s="57">
        <f>(1000*CHOOSE(CONTROL!$C$42, 695, 695)*CHOOSE(CONTROL!$C$42, 0.5599, 0.5599)*CHOOSE(CONTROL!$C$42, 31, 31))/1000000</f>
        <v>12.063045499999998</v>
      </c>
      <c r="V343" s="57">
        <f>(1000*CHOOSE(CONTROL!$C$42, 500, 500)*CHOOSE(CONTROL!$C$42, 0.275, 0.275)*CHOOSE(CONTROL!$C$42, 31, 31))/1000000</f>
        <v>4.2625000000000002</v>
      </c>
      <c r="W343" s="57">
        <f>(1000*CHOOSE(CONTROL!$C$42, 0.1146, 0.1146)*CHOOSE(CONTROL!$C$42, 121.5, 121.5)*CHOOSE(CONTROL!$C$42, 31, 31))/1000000</f>
        <v>0.43164089999999994</v>
      </c>
      <c r="X343" s="57">
        <f>(31*0.1790888*245000/1000000)+(31*0.2374*100000/1000000)</f>
        <v>2.0961194359999999</v>
      </c>
      <c r="Y343" s="57"/>
      <c r="Z343" s="14"/>
      <c r="AA343" s="56"/>
      <c r="AB343" s="50">
        <f>(B343*194.205+C343*267.466+D343*133.845+E343*53.484+F343*40+G343*185+H343*0+I343*100+J343*300)/(194.205+267.466+133.845+53.484+0+40+185+100+300)</f>
        <v>13.838175465698587</v>
      </c>
      <c r="AC343" s="45">
        <f>(M343*'RAP TEMPLATE-GAS AVAILABILITY'!O342+N343*'RAP TEMPLATE-GAS AVAILABILITY'!P342+O343*'RAP TEMPLATE-GAS AVAILABILITY'!Q342+P343*'RAP TEMPLATE-GAS AVAILABILITY'!R342)/('RAP TEMPLATE-GAS AVAILABILITY'!O342+'RAP TEMPLATE-GAS AVAILABILITY'!P342+'RAP TEMPLATE-GAS AVAILABILITY'!Q342+'RAP TEMPLATE-GAS AVAILABILITY'!R342)</f>
        <v>13.739251079136691</v>
      </c>
    </row>
    <row r="344" spans="1:29" ht="15.75" x14ac:dyDescent="0.25">
      <c r="A344" s="33">
        <v>51379</v>
      </c>
      <c r="B344" s="14">
        <f>CHOOSE(CONTROL!$C$42, 13.128, 13.128) * CHOOSE(CONTROL!$C$21, $C$9, 100%, $E$9)</f>
        <v>13.128</v>
      </c>
      <c r="C344" s="14">
        <f>CHOOSE(CONTROL!$C$42, 13.1359, 13.1359) * CHOOSE(CONTROL!$C$21, $C$9, 100%, $E$9)</f>
        <v>13.135899999999999</v>
      </c>
      <c r="D344" s="14">
        <f>CHOOSE(CONTROL!$C$42, 13.3335, 13.3335) * CHOOSE(CONTROL!$C$21, $C$9, 100%, $E$9)</f>
        <v>13.333500000000001</v>
      </c>
      <c r="E344" s="14">
        <f>CHOOSE(CONTROL!$C$42, 13.3646, 13.3646) * CHOOSE(CONTROL!$C$21, $C$9, 100%, $E$9)</f>
        <v>13.364599999999999</v>
      </c>
      <c r="F344" s="14">
        <f>CHOOSE(CONTROL!$C$42, 13.1124, 13.1124)*CHOOSE(CONTROL!$C$21, $C$9, 100%, $E$9)</f>
        <v>13.112399999999999</v>
      </c>
      <c r="G344" s="14">
        <f>CHOOSE(CONTROL!$C$42, 13.1288, 13.1288)*CHOOSE(CONTROL!$C$21, $C$9, 100%, $E$9)</f>
        <v>13.1288</v>
      </c>
      <c r="H344" s="14">
        <f>CHOOSE(CONTROL!$C$42, 13.3533, 13.3533) * CHOOSE(CONTROL!$C$21, $C$9, 100%, $E$9)</f>
        <v>13.353300000000001</v>
      </c>
      <c r="I344" s="14">
        <f>CHOOSE(CONTROL!$C$42, 13.1394, 13.1394)* CHOOSE(CONTROL!$C$21, $C$9, 100%, $E$9)</f>
        <v>13.1394</v>
      </c>
      <c r="J344" s="14">
        <f>CHOOSE(CONTROL!$C$42, 13.1054, 13.1054)* CHOOSE(CONTROL!$C$21, $C$9, 100%, $E$9)</f>
        <v>13.105399999999999</v>
      </c>
      <c r="K344" s="53">
        <f>CHOOSE(CONTROL!$C$42, 13.1355, 13.1355) * CHOOSE(CONTROL!$C$21, $C$9, 100%, $E$9)</f>
        <v>13.1355</v>
      </c>
      <c r="L344" s="14">
        <f>CHOOSE(CONTROL!$C$42, 13.9403, 13.9403) * CHOOSE(CONTROL!$C$21, $C$9, 100%, $E$9)</f>
        <v>13.940300000000001</v>
      </c>
      <c r="M344" s="14">
        <f>CHOOSE(CONTROL!$C$42, 12.987, 12.987) * CHOOSE(CONTROL!$C$21, $C$9, 100%, $E$9)</f>
        <v>12.987</v>
      </c>
      <c r="N344" s="14">
        <f>CHOOSE(CONTROL!$C$42, 13.0032, 13.0032) * CHOOSE(CONTROL!$C$21, $C$9, 100%, $E$9)</f>
        <v>13.0032</v>
      </c>
      <c r="O344" s="14">
        <f>CHOOSE(CONTROL!$C$42, 13.2323, 13.2323) * CHOOSE(CONTROL!$C$21, $C$9, 100%, $E$9)</f>
        <v>13.2323</v>
      </c>
      <c r="P344" s="14">
        <f>CHOOSE(CONTROL!$C$42, 13.0206, 13.0206) * CHOOSE(CONTROL!$C$21, $C$9, 100%, $E$9)</f>
        <v>13.0206</v>
      </c>
      <c r="Q344" s="14">
        <f>CHOOSE(CONTROL!$C$42, 13.8276, 13.8276) * CHOOSE(CONTROL!$C$21, $C$9, 100%, $E$9)</f>
        <v>13.8276</v>
      </c>
      <c r="R344" s="14">
        <f>CHOOSE(CONTROL!$C$42, 14.4492, 14.4492) * CHOOSE(CONTROL!$C$21, $C$9, 100%, $E$9)</f>
        <v>14.449199999999999</v>
      </c>
      <c r="S344" s="14">
        <f>CHOOSE(CONTROL!$C$42, 12.7443, 12.7443) * CHOOSE(CONTROL!$C$21, $C$9, 100%, $E$9)</f>
        <v>12.744300000000001</v>
      </c>
      <c r="T34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44" s="57">
        <f>(1000*CHOOSE(CONTROL!$C$42, 695, 695)*CHOOSE(CONTROL!$C$42, 0.5599, 0.5599)*CHOOSE(CONTROL!$C$42, 31, 31))/1000000</f>
        <v>12.063045499999998</v>
      </c>
      <c r="V344" s="57">
        <f>(1000*CHOOSE(CONTROL!$C$42, 500, 500)*CHOOSE(CONTROL!$C$42, 0.275, 0.275)*CHOOSE(CONTROL!$C$42, 31, 31))/1000000</f>
        <v>4.2625000000000002</v>
      </c>
      <c r="W344" s="57">
        <f>(1000*CHOOSE(CONTROL!$C$42, 0.1146, 0.1146)*CHOOSE(CONTROL!$C$42, 121.5, 121.5)*CHOOSE(CONTROL!$C$42, 31, 31))/1000000</f>
        <v>0.43164089999999994</v>
      </c>
      <c r="X344" s="57">
        <f>(31*0.1790888*245000/1000000)+(31*0.2374*100000/1000000)</f>
        <v>2.0961194359999999</v>
      </c>
      <c r="Y344" s="57"/>
      <c r="Z344" s="14"/>
      <c r="AA344" s="56"/>
      <c r="AB344" s="50">
        <f>(B344*194.205+C344*267.466+D344*133.845+E344*53.484+F344*40+G344*185+H344*0+I344*100+J344*300)/(194.205+267.466+133.845+53.484+0+40+185+100+300)</f>
        <v>13.15638025376766</v>
      </c>
      <c r="AC344" s="45">
        <f>(M344*'RAP TEMPLATE-GAS AVAILABILITY'!O343+N344*'RAP TEMPLATE-GAS AVAILABILITY'!P343+O344*'RAP TEMPLATE-GAS AVAILABILITY'!Q343+P344*'RAP TEMPLATE-GAS AVAILABILITY'!R343)/('RAP TEMPLATE-GAS AVAILABILITY'!O343+'RAP TEMPLATE-GAS AVAILABILITY'!P343+'RAP TEMPLATE-GAS AVAILABILITY'!Q343+'RAP TEMPLATE-GAS AVAILABILITY'!R343)</f>
        <v>13.064389208633093</v>
      </c>
    </row>
    <row r="345" spans="1:29" ht="15.75" x14ac:dyDescent="0.25">
      <c r="A345" s="33">
        <v>51409</v>
      </c>
      <c r="B345" s="14">
        <f>CHOOSE(CONTROL!$C$42, 12.2945, 12.2945) * CHOOSE(CONTROL!$C$21, $C$9, 100%, $E$9)</f>
        <v>12.294499999999999</v>
      </c>
      <c r="C345" s="14">
        <f>CHOOSE(CONTROL!$C$42, 12.3024, 12.3024) * CHOOSE(CONTROL!$C$21, $C$9, 100%, $E$9)</f>
        <v>12.3024</v>
      </c>
      <c r="D345" s="14">
        <f>CHOOSE(CONTROL!$C$42, 12.5, 12.5) * CHOOSE(CONTROL!$C$21, $C$9, 100%, $E$9)</f>
        <v>12.5</v>
      </c>
      <c r="E345" s="14">
        <f>CHOOSE(CONTROL!$C$42, 12.5311, 12.5311) * CHOOSE(CONTROL!$C$21, $C$9, 100%, $E$9)</f>
        <v>12.5311</v>
      </c>
      <c r="F345" s="14">
        <f>CHOOSE(CONTROL!$C$42, 12.2789, 12.2789)*CHOOSE(CONTROL!$C$21, $C$9, 100%, $E$9)</f>
        <v>12.2789</v>
      </c>
      <c r="G345" s="14">
        <f>CHOOSE(CONTROL!$C$42, 12.2952, 12.2952)*CHOOSE(CONTROL!$C$21, $C$9, 100%, $E$9)</f>
        <v>12.295199999999999</v>
      </c>
      <c r="H345" s="14">
        <f>CHOOSE(CONTROL!$C$42, 12.5198, 12.5198) * CHOOSE(CONTROL!$C$21, $C$9, 100%, $E$9)</f>
        <v>12.5198</v>
      </c>
      <c r="I345" s="14">
        <f>CHOOSE(CONTROL!$C$42, 12.3058, 12.3058)* CHOOSE(CONTROL!$C$21, $C$9, 100%, $E$9)</f>
        <v>12.3058</v>
      </c>
      <c r="J345" s="14">
        <f>CHOOSE(CONTROL!$C$42, 12.2719, 12.2719)* CHOOSE(CONTROL!$C$21, $C$9, 100%, $E$9)</f>
        <v>12.2719</v>
      </c>
      <c r="K345" s="53">
        <f>CHOOSE(CONTROL!$C$42, 12.302, 12.302) * CHOOSE(CONTROL!$C$21, $C$9, 100%, $E$9)</f>
        <v>12.302</v>
      </c>
      <c r="L345" s="14">
        <f>CHOOSE(CONTROL!$C$42, 13.1068, 13.1068) * CHOOSE(CONTROL!$C$21, $C$9, 100%, $E$9)</f>
        <v>13.1068</v>
      </c>
      <c r="M345" s="14">
        <f>CHOOSE(CONTROL!$C$42, 12.1618, 12.1618) * CHOOSE(CONTROL!$C$21, $C$9, 100%, $E$9)</f>
        <v>12.161799999999999</v>
      </c>
      <c r="N345" s="14">
        <f>CHOOSE(CONTROL!$C$42, 12.178, 12.178) * CHOOSE(CONTROL!$C$21, $C$9, 100%, $E$9)</f>
        <v>12.178000000000001</v>
      </c>
      <c r="O345" s="14">
        <f>CHOOSE(CONTROL!$C$42, 12.4072, 12.4072) * CHOOSE(CONTROL!$C$21, $C$9, 100%, $E$9)</f>
        <v>12.4072</v>
      </c>
      <c r="P345" s="14">
        <f>CHOOSE(CONTROL!$C$42, 12.1955, 12.1955) * CHOOSE(CONTROL!$C$21, $C$9, 100%, $E$9)</f>
        <v>12.195499999999999</v>
      </c>
      <c r="Q345" s="14">
        <f>CHOOSE(CONTROL!$C$42, 13.0025, 13.0025) * CHOOSE(CONTROL!$C$21, $C$9, 100%, $E$9)</f>
        <v>13.0025</v>
      </c>
      <c r="R345" s="14">
        <f>CHOOSE(CONTROL!$C$42, 13.622, 13.622) * CHOOSE(CONTROL!$C$21, $C$9, 100%, $E$9)</f>
        <v>13.622</v>
      </c>
      <c r="S345" s="14">
        <f>CHOOSE(CONTROL!$C$42, 11.9349, 11.9349) * CHOOSE(CONTROL!$C$21, $C$9, 100%, $E$9)</f>
        <v>11.934900000000001</v>
      </c>
      <c r="T34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45" s="57">
        <f>(1000*CHOOSE(CONTROL!$C$42, 695, 695)*CHOOSE(CONTROL!$C$42, 0.5599, 0.5599)*CHOOSE(CONTROL!$C$42, 30, 30))/1000000</f>
        <v>11.673914999999997</v>
      </c>
      <c r="V345" s="57">
        <f>(1000*CHOOSE(CONTROL!$C$42, 500, 500)*CHOOSE(CONTROL!$C$42, 0.275, 0.275)*CHOOSE(CONTROL!$C$42, 30, 30))/1000000</f>
        <v>4.125</v>
      </c>
      <c r="W345" s="57">
        <f>(1000*CHOOSE(CONTROL!$C$42, 0.1146, 0.1146)*CHOOSE(CONTROL!$C$42, 121.5, 121.5)*CHOOSE(CONTROL!$C$42, 30, 30))/1000000</f>
        <v>0.417717</v>
      </c>
      <c r="X345" s="57">
        <f>(30*0.1790888*245000/1000000)+(30*0.2374*100000/1000000)</f>
        <v>2.0285026799999999</v>
      </c>
      <c r="Y345" s="57"/>
      <c r="Z345" s="14"/>
      <c r="AA345" s="56"/>
      <c r="AB345" s="50">
        <f>(B345*194.205+C345*267.466+D345*133.845+E345*53.484+F345*40+G345*185+H345*0+I345*100+J345*300)/(194.205+267.466+133.845+53.484+0+40+185+100+300)</f>
        <v>12.322857883281005</v>
      </c>
      <c r="AC345" s="45">
        <f>(M345*'RAP TEMPLATE-GAS AVAILABILITY'!O344+N345*'RAP TEMPLATE-GAS AVAILABILITY'!P344+O345*'RAP TEMPLATE-GAS AVAILABILITY'!Q344+P345*'RAP TEMPLATE-GAS AVAILABILITY'!R344)/('RAP TEMPLATE-GAS AVAILABILITY'!O344+'RAP TEMPLATE-GAS AVAILABILITY'!P344+'RAP TEMPLATE-GAS AVAILABILITY'!Q344+'RAP TEMPLATE-GAS AVAILABILITY'!R344)</f>
        <v>12.239231654676258</v>
      </c>
    </row>
    <row r="346" spans="1:29" ht="15.75" x14ac:dyDescent="0.25">
      <c r="A346" s="33">
        <v>51440</v>
      </c>
      <c r="B346" s="14">
        <f>CHOOSE(CONTROL!$C$42, 12.0432, 12.0432) * CHOOSE(CONTROL!$C$21, $C$9, 100%, $E$9)</f>
        <v>12.043200000000001</v>
      </c>
      <c r="C346" s="14">
        <f>CHOOSE(CONTROL!$C$42, 12.0484, 12.0484) * CHOOSE(CONTROL!$C$21, $C$9, 100%, $E$9)</f>
        <v>12.048400000000001</v>
      </c>
      <c r="D346" s="14">
        <f>CHOOSE(CONTROL!$C$42, 12.251, 12.251) * CHOOSE(CONTROL!$C$21, $C$9, 100%, $E$9)</f>
        <v>12.250999999999999</v>
      </c>
      <c r="E346" s="14">
        <f>CHOOSE(CONTROL!$C$42, 12.2798, 12.2798) * CHOOSE(CONTROL!$C$21, $C$9, 100%, $E$9)</f>
        <v>12.2798</v>
      </c>
      <c r="F346" s="14">
        <f>CHOOSE(CONTROL!$C$42, 12.0296, 12.0296)*CHOOSE(CONTROL!$C$21, $C$9, 100%, $E$9)</f>
        <v>12.0296</v>
      </c>
      <c r="G346" s="14">
        <f>CHOOSE(CONTROL!$C$42, 12.0456, 12.0456)*CHOOSE(CONTROL!$C$21, $C$9, 100%, $E$9)</f>
        <v>12.0456</v>
      </c>
      <c r="H346" s="14">
        <f>CHOOSE(CONTROL!$C$42, 12.2702, 12.2702) * CHOOSE(CONTROL!$C$21, $C$9, 100%, $E$9)</f>
        <v>12.270200000000001</v>
      </c>
      <c r="I346" s="14">
        <f>CHOOSE(CONTROL!$C$42, 12.0563, 12.0563)* CHOOSE(CONTROL!$C$21, $C$9, 100%, $E$9)</f>
        <v>12.0563</v>
      </c>
      <c r="J346" s="14">
        <f>CHOOSE(CONTROL!$C$42, 12.0226, 12.0226)* CHOOSE(CONTROL!$C$21, $C$9, 100%, $E$9)</f>
        <v>12.022600000000001</v>
      </c>
      <c r="K346" s="53">
        <f>CHOOSE(CONTROL!$C$42, 12.0524, 12.0524) * CHOOSE(CONTROL!$C$21, $C$9, 100%, $E$9)</f>
        <v>12.0524</v>
      </c>
      <c r="L346" s="14">
        <f>CHOOSE(CONTROL!$C$42, 12.8572, 12.8572) * CHOOSE(CONTROL!$C$21, $C$9, 100%, $E$9)</f>
        <v>12.857200000000001</v>
      </c>
      <c r="M346" s="14">
        <f>CHOOSE(CONTROL!$C$42, 11.9151, 11.9151) * CHOOSE(CONTROL!$C$21, $C$9, 100%, $E$9)</f>
        <v>11.915100000000001</v>
      </c>
      <c r="N346" s="14">
        <f>CHOOSE(CONTROL!$C$42, 11.9309, 11.9309) * CHOOSE(CONTROL!$C$21, $C$9, 100%, $E$9)</f>
        <v>11.930899999999999</v>
      </c>
      <c r="O346" s="14">
        <f>CHOOSE(CONTROL!$C$42, 12.1602, 12.1602) * CHOOSE(CONTROL!$C$21, $C$9, 100%, $E$9)</f>
        <v>12.1602</v>
      </c>
      <c r="P346" s="14">
        <f>CHOOSE(CONTROL!$C$42, 11.9485, 11.9485) * CHOOSE(CONTROL!$C$21, $C$9, 100%, $E$9)</f>
        <v>11.948499999999999</v>
      </c>
      <c r="Q346" s="14">
        <f>CHOOSE(CONTROL!$C$42, 12.7555, 12.7555) * CHOOSE(CONTROL!$C$21, $C$9, 100%, $E$9)</f>
        <v>12.7555</v>
      </c>
      <c r="R346" s="14">
        <f>CHOOSE(CONTROL!$C$42, 13.3744, 13.3744) * CHOOSE(CONTROL!$C$21, $C$9, 100%, $E$9)</f>
        <v>13.3744</v>
      </c>
      <c r="S346" s="14">
        <f>CHOOSE(CONTROL!$C$42, 11.6926, 11.6926) * CHOOSE(CONTROL!$C$21, $C$9, 100%, $E$9)</f>
        <v>11.692600000000001</v>
      </c>
      <c r="T34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46" s="57">
        <f>(1000*CHOOSE(CONTROL!$C$42, 695, 695)*CHOOSE(CONTROL!$C$42, 0.5599, 0.5599)*CHOOSE(CONTROL!$C$42, 31, 31))/1000000</f>
        <v>12.063045499999998</v>
      </c>
      <c r="V346" s="57">
        <f>(1000*CHOOSE(CONTROL!$C$42, 500, 500)*CHOOSE(CONTROL!$C$42, 0.275, 0.275)*CHOOSE(CONTROL!$C$42, 31, 31))/1000000</f>
        <v>4.2625000000000002</v>
      </c>
      <c r="W346" s="57">
        <f>(1000*CHOOSE(CONTROL!$C$42, 0.1146, 0.1146)*CHOOSE(CONTROL!$C$42, 121.5, 121.5)*CHOOSE(CONTROL!$C$42, 31, 31))/1000000</f>
        <v>0.43164089999999994</v>
      </c>
      <c r="X346" s="57">
        <f>(31*0.1790888*245000/1000000)+(31*0.2374*100000/1000000)</f>
        <v>2.0961194359999999</v>
      </c>
      <c r="Y346" s="57"/>
      <c r="Z346" s="14"/>
      <c r="AA346" s="56"/>
      <c r="AB346" s="50">
        <f>(B346*131.881+C346*277.167+D346*79.08+E346*125.872+F346*40+G346*185+H346*0+I346*100+J346*300)/(131.881+277.167+79.08+125.872+0+40+185+100+300)</f>
        <v>12.07765149927361</v>
      </c>
      <c r="AC346" s="45">
        <f>(M346*'RAP TEMPLATE-GAS AVAILABILITY'!O345+N346*'RAP TEMPLATE-GAS AVAILABILITY'!P345+O346*'RAP TEMPLATE-GAS AVAILABILITY'!Q345+P346*'RAP TEMPLATE-GAS AVAILABILITY'!R345)/('RAP TEMPLATE-GAS AVAILABILITY'!O345+'RAP TEMPLATE-GAS AVAILABILITY'!P345+'RAP TEMPLATE-GAS AVAILABILITY'!Q345+'RAP TEMPLATE-GAS AVAILABILITY'!R345)</f>
        <v>11.992312230215829</v>
      </c>
    </row>
    <row r="347" spans="1:29" ht="15.75" x14ac:dyDescent="0.25">
      <c r="A347" s="33">
        <v>51470</v>
      </c>
      <c r="B347" s="14">
        <f>CHOOSE(CONTROL!$C$42, 12.36, 12.36) * CHOOSE(CONTROL!$C$21, $C$9, 100%, $E$9)</f>
        <v>12.36</v>
      </c>
      <c r="C347" s="14">
        <f>CHOOSE(CONTROL!$C$42, 12.3649, 12.3649) * CHOOSE(CONTROL!$C$21, $C$9, 100%, $E$9)</f>
        <v>12.3649</v>
      </c>
      <c r="D347" s="14">
        <f>CHOOSE(CONTROL!$C$42, 12.428, 12.428) * CHOOSE(CONTROL!$C$21, $C$9, 100%, $E$9)</f>
        <v>12.428000000000001</v>
      </c>
      <c r="E347" s="14">
        <f>CHOOSE(CONTROL!$C$42, 12.4618, 12.4618) * CHOOSE(CONTROL!$C$21, $C$9, 100%, $E$9)</f>
        <v>12.4618</v>
      </c>
      <c r="F347" s="14">
        <f>CHOOSE(CONTROL!$C$42, 12.3607, 12.3607)*CHOOSE(CONTROL!$C$21, $C$9, 100%, $E$9)</f>
        <v>12.3607</v>
      </c>
      <c r="G347" s="14">
        <f>CHOOSE(CONTROL!$C$42, 12.377, 12.377)*CHOOSE(CONTROL!$C$21, $C$9, 100%, $E$9)</f>
        <v>12.377000000000001</v>
      </c>
      <c r="H347" s="14">
        <f>CHOOSE(CONTROL!$C$42, 12.451, 12.451) * CHOOSE(CONTROL!$C$21, $C$9, 100%, $E$9)</f>
        <v>12.451000000000001</v>
      </c>
      <c r="I347" s="14">
        <f>CHOOSE(CONTROL!$C$42, 12.3735, 12.3735)* CHOOSE(CONTROL!$C$21, $C$9, 100%, $E$9)</f>
        <v>12.3735</v>
      </c>
      <c r="J347" s="14">
        <f>CHOOSE(CONTROL!$C$42, 12.3537, 12.3537)* CHOOSE(CONTROL!$C$21, $C$9, 100%, $E$9)</f>
        <v>12.3537</v>
      </c>
      <c r="K347" s="53">
        <f>CHOOSE(CONTROL!$C$42, 12.3696, 12.3696) * CHOOSE(CONTROL!$C$21, $C$9, 100%, $E$9)</f>
        <v>12.3696</v>
      </c>
      <c r="L347" s="14">
        <f>CHOOSE(CONTROL!$C$42, 13.038, 13.038) * CHOOSE(CONTROL!$C$21, $C$9, 100%, $E$9)</f>
        <v>13.038</v>
      </c>
      <c r="M347" s="14">
        <f>CHOOSE(CONTROL!$C$42, 12.2428, 12.2428) * CHOOSE(CONTROL!$C$21, $C$9, 100%, $E$9)</f>
        <v>12.242800000000001</v>
      </c>
      <c r="N347" s="14">
        <f>CHOOSE(CONTROL!$C$42, 12.2589, 12.2589) * CHOOSE(CONTROL!$C$21, $C$9, 100%, $E$9)</f>
        <v>12.258900000000001</v>
      </c>
      <c r="O347" s="14">
        <f>CHOOSE(CONTROL!$C$42, 12.3391, 12.3391) * CHOOSE(CONTROL!$C$21, $C$9, 100%, $E$9)</f>
        <v>12.3391</v>
      </c>
      <c r="P347" s="14">
        <f>CHOOSE(CONTROL!$C$42, 12.2625, 12.2625) * CHOOSE(CONTROL!$C$21, $C$9, 100%, $E$9)</f>
        <v>12.262499999999999</v>
      </c>
      <c r="Q347" s="14">
        <f>CHOOSE(CONTROL!$C$42, 12.9344, 12.9344) * CHOOSE(CONTROL!$C$21, $C$9, 100%, $E$9)</f>
        <v>12.9344</v>
      </c>
      <c r="R347" s="14">
        <f>CHOOSE(CONTROL!$C$42, 13.5538, 13.5538) * CHOOSE(CONTROL!$C$21, $C$9, 100%, $E$9)</f>
        <v>13.553800000000001</v>
      </c>
      <c r="S347" s="14">
        <f>CHOOSE(CONTROL!$C$42, 12.0006, 12.0006) * CHOOSE(CONTROL!$C$21, $C$9, 100%, $E$9)</f>
        <v>12.0006</v>
      </c>
      <c r="T34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47" s="57">
        <f>(1000*CHOOSE(CONTROL!$C$42, 695, 695)*CHOOSE(CONTROL!$C$42, 0.5599, 0.5599)*CHOOSE(CONTROL!$C$42, 30, 30))/1000000</f>
        <v>11.673914999999997</v>
      </c>
      <c r="V347" s="57">
        <f>(1000*CHOOSE(CONTROL!$C$42, 500, 500)*CHOOSE(CONTROL!$C$42, 0.275, 0.275)*CHOOSE(CONTROL!$C$42, 30, 30))/1000000</f>
        <v>4.125</v>
      </c>
      <c r="W347" s="57">
        <f>(1000*CHOOSE(CONTROL!$C$42, 0.1146, 0.1146)*CHOOSE(CONTROL!$C$42, 121.5, 121.5)*CHOOSE(CONTROL!$C$42, 30, 30))/1000000</f>
        <v>0.417717</v>
      </c>
      <c r="X347" s="57">
        <f>(30*0.1790888*100000/1000000)+(30*0.2374*100000/1000000)</f>
        <v>1.2494664</v>
      </c>
      <c r="Y347" s="57"/>
      <c r="Z347" s="14"/>
      <c r="AA347" s="56"/>
      <c r="AB347" s="50">
        <f>(B347*122.58+C347*297.941+D347*89.177+E347*40.302+F347*40+G347*160+H347*0+I347*100+J347*300)/(122.58+297.941+89.177+40.302+0+40+160+100+300)</f>
        <v>12.372030165652173</v>
      </c>
      <c r="AC347" s="45">
        <f>(M347*'RAP TEMPLATE-GAS AVAILABILITY'!O346+N347*'RAP TEMPLATE-GAS AVAILABILITY'!P346+O347*'RAP TEMPLATE-GAS AVAILABILITY'!Q346+P347*'RAP TEMPLATE-GAS AVAILABILITY'!R346)/('RAP TEMPLATE-GAS AVAILABILITY'!O346+'RAP TEMPLATE-GAS AVAILABILITY'!P346+'RAP TEMPLATE-GAS AVAILABILITY'!Q346+'RAP TEMPLATE-GAS AVAILABILITY'!R346)</f>
        <v>12.290207913669066</v>
      </c>
    </row>
    <row r="348" spans="1:29" ht="15.75" x14ac:dyDescent="0.25">
      <c r="A348" s="33">
        <v>51501</v>
      </c>
      <c r="B348" s="14">
        <f>CHOOSE(CONTROL!$C$42, 13.2025, 13.2025) * CHOOSE(CONTROL!$C$21, $C$9, 100%, $E$9)</f>
        <v>13.202500000000001</v>
      </c>
      <c r="C348" s="14">
        <f>CHOOSE(CONTROL!$C$42, 13.2074, 13.2074) * CHOOSE(CONTROL!$C$21, $C$9, 100%, $E$9)</f>
        <v>13.2074</v>
      </c>
      <c r="D348" s="14">
        <f>CHOOSE(CONTROL!$C$42, 13.2705, 13.2705) * CHOOSE(CONTROL!$C$21, $C$9, 100%, $E$9)</f>
        <v>13.2705</v>
      </c>
      <c r="E348" s="14">
        <f>CHOOSE(CONTROL!$C$42, 13.3043, 13.3043) * CHOOSE(CONTROL!$C$21, $C$9, 100%, $E$9)</f>
        <v>13.3043</v>
      </c>
      <c r="F348" s="14">
        <f>CHOOSE(CONTROL!$C$42, 13.2052, 13.2052)*CHOOSE(CONTROL!$C$21, $C$9, 100%, $E$9)</f>
        <v>13.2052</v>
      </c>
      <c r="G348" s="14">
        <f>CHOOSE(CONTROL!$C$42, 13.222, 13.222)*CHOOSE(CONTROL!$C$21, $C$9, 100%, $E$9)</f>
        <v>13.222</v>
      </c>
      <c r="H348" s="14">
        <f>CHOOSE(CONTROL!$C$42, 13.2935, 13.2935) * CHOOSE(CONTROL!$C$21, $C$9, 100%, $E$9)</f>
        <v>13.2935</v>
      </c>
      <c r="I348" s="14">
        <f>CHOOSE(CONTROL!$C$42, 13.216, 13.216)* CHOOSE(CONTROL!$C$21, $C$9, 100%, $E$9)</f>
        <v>13.215999999999999</v>
      </c>
      <c r="J348" s="14">
        <f>CHOOSE(CONTROL!$C$42, 13.1982, 13.1982)* CHOOSE(CONTROL!$C$21, $C$9, 100%, $E$9)</f>
        <v>13.1982</v>
      </c>
      <c r="K348" s="53">
        <f>CHOOSE(CONTROL!$C$42, 13.2121, 13.2121) * CHOOSE(CONTROL!$C$21, $C$9, 100%, $E$9)</f>
        <v>13.2121</v>
      </c>
      <c r="L348" s="14">
        <f>CHOOSE(CONTROL!$C$42, 13.8805, 13.8805) * CHOOSE(CONTROL!$C$21, $C$9, 100%, $E$9)</f>
        <v>13.8805</v>
      </c>
      <c r="M348" s="14">
        <f>CHOOSE(CONTROL!$C$42, 13.0788, 13.0788) * CHOOSE(CONTROL!$C$21, $C$9, 100%, $E$9)</f>
        <v>13.078799999999999</v>
      </c>
      <c r="N348" s="14">
        <f>CHOOSE(CONTROL!$C$42, 13.0955, 13.0955) * CHOOSE(CONTROL!$C$21, $C$9, 100%, $E$9)</f>
        <v>13.095499999999999</v>
      </c>
      <c r="O348" s="14">
        <f>CHOOSE(CONTROL!$C$42, 13.1731, 13.1731) * CHOOSE(CONTROL!$C$21, $C$9, 100%, $E$9)</f>
        <v>13.1731</v>
      </c>
      <c r="P348" s="14">
        <f>CHOOSE(CONTROL!$C$42, 13.0965, 13.0965) * CHOOSE(CONTROL!$C$21, $C$9, 100%, $E$9)</f>
        <v>13.096500000000001</v>
      </c>
      <c r="Q348" s="14">
        <f>CHOOSE(CONTROL!$C$42, 13.7684, 13.7684) * CHOOSE(CONTROL!$C$21, $C$9, 100%, $E$9)</f>
        <v>13.7684</v>
      </c>
      <c r="R348" s="14">
        <f>CHOOSE(CONTROL!$C$42, 14.3899, 14.3899) * CHOOSE(CONTROL!$C$21, $C$9, 100%, $E$9)</f>
        <v>14.389900000000001</v>
      </c>
      <c r="S348" s="14">
        <f>CHOOSE(CONTROL!$C$42, 12.8188, 12.8188) * CHOOSE(CONTROL!$C$21, $C$9, 100%, $E$9)</f>
        <v>12.8188</v>
      </c>
      <c r="T34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48" s="57">
        <f>(1000*CHOOSE(CONTROL!$C$42, 695, 695)*CHOOSE(CONTROL!$C$42, 0.5599, 0.5599)*CHOOSE(CONTROL!$C$42, 31, 31))/1000000</f>
        <v>12.063045499999998</v>
      </c>
      <c r="V348" s="57">
        <f>(1000*CHOOSE(CONTROL!$C$42, 500, 500)*CHOOSE(CONTROL!$C$42, 0.275, 0.275)*CHOOSE(CONTROL!$C$42, 31, 31))/1000000</f>
        <v>4.2625000000000002</v>
      </c>
      <c r="W348" s="57">
        <f>(1000*CHOOSE(CONTROL!$C$42, 0.1146, 0.1146)*CHOOSE(CONTROL!$C$42, 121.5, 121.5)*CHOOSE(CONTROL!$C$42, 31, 31))/1000000</f>
        <v>0.43164089999999994</v>
      </c>
      <c r="X348" s="57">
        <f>(31*0.1790888*100000/1000000)+(31*0.2374*100000/1000000)</f>
        <v>1.2911152800000001</v>
      </c>
      <c r="Y348" s="57"/>
      <c r="Z348" s="14"/>
      <c r="AA348" s="56"/>
      <c r="AB348" s="50">
        <f>(B348*122.58+C348*297.941+D348*89.177+E348*40.302+F348*40+G348*160+H348*0+I348*100+J348*300)/(122.58+297.941+89.177+40.302+0+40+160+100+300)</f>
        <v>13.215469296086955</v>
      </c>
      <c r="AC348" s="45">
        <f>(M348*'RAP TEMPLATE-GAS AVAILABILITY'!O347+N348*'RAP TEMPLATE-GAS AVAILABILITY'!P347+O348*'RAP TEMPLATE-GAS AVAILABILITY'!Q347+P348*'RAP TEMPLATE-GAS AVAILABILITY'!R347)/('RAP TEMPLATE-GAS AVAILABILITY'!O347+'RAP TEMPLATE-GAS AVAILABILITY'!P347+'RAP TEMPLATE-GAS AVAILABILITY'!Q347+'RAP TEMPLATE-GAS AVAILABILITY'!R347)</f>
        <v>13.125048201438847</v>
      </c>
    </row>
    <row r="349" spans="1:29" ht="15.75" x14ac:dyDescent="0.25">
      <c r="A349" s="33">
        <v>51532</v>
      </c>
      <c r="B349" s="14">
        <f>CHOOSE(CONTROL!$C$42, 14.284, 14.284) * CHOOSE(CONTROL!$C$21, $C$9, 100%, $E$9)</f>
        <v>14.284000000000001</v>
      </c>
      <c r="C349" s="14">
        <f>CHOOSE(CONTROL!$C$42, 14.2889, 14.2889) * CHOOSE(CONTROL!$C$21, $C$9, 100%, $E$9)</f>
        <v>14.2889</v>
      </c>
      <c r="D349" s="14">
        <f>CHOOSE(CONTROL!$C$42, 14.3532, 14.3532) * CHOOSE(CONTROL!$C$21, $C$9, 100%, $E$9)</f>
        <v>14.353199999999999</v>
      </c>
      <c r="E349" s="14">
        <f>CHOOSE(CONTROL!$C$42, 14.387, 14.387) * CHOOSE(CONTROL!$C$21, $C$9, 100%, $E$9)</f>
        <v>14.387</v>
      </c>
      <c r="F349" s="14">
        <f>CHOOSE(CONTROL!$C$42, 14.2855, 14.2855)*CHOOSE(CONTROL!$C$21, $C$9, 100%, $E$9)</f>
        <v>14.285500000000001</v>
      </c>
      <c r="G349" s="14">
        <f>CHOOSE(CONTROL!$C$42, 14.3014, 14.3014)*CHOOSE(CONTROL!$C$21, $C$9, 100%, $E$9)</f>
        <v>14.301399999999999</v>
      </c>
      <c r="H349" s="14">
        <f>CHOOSE(CONTROL!$C$42, 14.3762, 14.3762) * CHOOSE(CONTROL!$C$21, $C$9, 100%, $E$9)</f>
        <v>14.376200000000001</v>
      </c>
      <c r="I349" s="14">
        <f>CHOOSE(CONTROL!$C$42, 14.304, 14.304)* CHOOSE(CONTROL!$C$21, $C$9, 100%, $E$9)</f>
        <v>14.304</v>
      </c>
      <c r="J349" s="14">
        <f>CHOOSE(CONTROL!$C$42, 14.2785, 14.2785)* CHOOSE(CONTROL!$C$21, $C$9, 100%, $E$9)</f>
        <v>14.278499999999999</v>
      </c>
      <c r="K349" s="53">
        <f>CHOOSE(CONTROL!$C$42, 14.3001, 14.3001) * CHOOSE(CONTROL!$C$21, $C$9, 100%, $E$9)</f>
        <v>14.3001</v>
      </c>
      <c r="L349" s="14">
        <f>CHOOSE(CONTROL!$C$42, 14.9632, 14.9632) * CHOOSE(CONTROL!$C$21, $C$9, 100%, $E$9)</f>
        <v>14.963200000000001</v>
      </c>
      <c r="M349" s="14">
        <f>CHOOSE(CONTROL!$C$42, 14.1482, 14.1482) * CHOOSE(CONTROL!$C$21, $C$9, 100%, $E$9)</f>
        <v>14.148199999999999</v>
      </c>
      <c r="N349" s="14">
        <f>CHOOSE(CONTROL!$C$42, 14.164, 14.164) * CHOOSE(CONTROL!$C$21, $C$9, 100%, $E$9)</f>
        <v>14.164</v>
      </c>
      <c r="O349" s="14">
        <f>CHOOSE(CONTROL!$C$42, 14.2449, 14.2449) * CHOOSE(CONTROL!$C$21, $C$9, 100%, $E$9)</f>
        <v>14.244899999999999</v>
      </c>
      <c r="P349" s="14">
        <f>CHOOSE(CONTROL!$C$42, 14.1735, 14.1735) * CHOOSE(CONTROL!$C$21, $C$9, 100%, $E$9)</f>
        <v>14.173500000000001</v>
      </c>
      <c r="Q349" s="14">
        <f>CHOOSE(CONTROL!$C$42, 14.8402, 14.8402) * CHOOSE(CONTROL!$C$21, $C$9, 100%, $E$9)</f>
        <v>14.840199999999999</v>
      </c>
      <c r="R349" s="14">
        <f>CHOOSE(CONTROL!$C$42, 15.4643, 15.4643) * CHOOSE(CONTROL!$C$21, $C$9, 100%, $E$9)</f>
        <v>15.4643</v>
      </c>
      <c r="S349" s="14">
        <f>CHOOSE(CONTROL!$C$42, 13.869, 13.869) * CHOOSE(CONTROL!$C$21, $C$9, 100%, $E$9)</f>
        <v>13.869</v>
      </c>
      <c r="T34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49" s="57">
        <f>(1000*CHOOSE(CONTROL!$C$42, 695, 695)*CHOOSE(CONTROL!$C$42, 0.5599, 0.5599)*CHOOSE(CONTROL!$C$42, 31, 31))/1000000</f>
        <v>12.063045499999998</v>
      </c>
      <c r="V349" s="57">
        <f>(1000*CHOOSE(CONTROL!$C$42, 500, 500)*CHOOSE(CONTROL!$C$42, 0.275, 0.275)*CHOOSE(CONTROL!$C$42, 31, 31))/1000000</f>
        <v>4.2625000000000002</v>
      </c>
      <c r="W349" s="57">
        <f>(1000*CHOOSE(CONTROL!$C$42, 0.1146, 0.1146)*CHOOSE(CONTROL!$C$42, 121.5, 121.5)*CHOOSE(CONTROL!$C$42, 31, 31))/1000000</f>
        <v>0.43164089999999994</v>
      </c>
      <c r="X349" s="57">
        <f>(31*0.1790888*100000/1000000)+(31*0.2374*100000/1000000)</f>
        <v>1.2911152800000001</v>
      </c>
      <c r="Y349" s="57"/>
      <c r="Z349" s="14"/>
      <c r="AA349" s="56"/>
      <c r="AB349" s="50">
        <f>(B349*122.58+C349*297.941+D349*89.177+E349*40.302+F349*40+G349*160+H349*0+I349*100+J349*300)/(122.58+297.941+89.177+40.302+0+40+160+100+300)</f>
        <v>14.297022665478261</v>
      </c>
      <c r="AC349" s="45">
        <f>(M349*'RAP TEMPLATE-GAS AVAILABILITY'!O348+N349*'RAP TEMPLATE-GAS AVAILABILITY'!P348+O349*'RAP TEMPLATE-GAS AVAILABILITY'!Q348+P349*'RAP TEMPLATE-GAS AVAILABILITY'!R348)/('RAP TEMPLATE-GAS AVAILABILITY'!O348+'RAP TEMPLATE-GAS AVAILABILITY'!P348+'RAP TEMPLATE-GAS AVAILABILITY'!Q348+'RAP TEMPLATE-GAS AVAILABILITY'!R348)</f>
        <v>14.196577697841725</v>
      </c>
    </row>
    <row r="350" spans="1:29" ht="15.75" x14ac:dyDescent="0.25">
      <c r="A350" s="33">
        <v>51560</v>
      </c>
      <c r="B350" s="14">
        <f>CHOOSE(CONTROL!$C$42, 14.5382, 14.5382) * CHOOSE(CONTROL!$C$21, $C$9, 100%, $E$9)</f>
        <v>14.5382</v>
      </c>
      <c r="C350" s="14">
        <f>CHOOSE(CONTROL!$C$42, 14.5432, 14.5432) * CHOOSE(CONTROL!$C$21, $C$9, 100%, $E$9)</f>
        <v>14.543200000000001</v>
      </c>
      <c r="D350" s="14">
        <f>CHOOSE(CONTROL!$C$42, 14.6074, 14.6074) * CHOOSE(CONTROL!$C$21, $C$9, 100%, $E$9)</f>
        <v>14.6074</v>
      </c>
      <c r="E350" s="14">
        <f>CHOOSE(CONTROL!$C$42, 14.6412, 14.6412) * CHOOSE(CONTROL!$C$21, $C$9, 100%, $E$9)</f>
        <v>14.6412</v>
      </c>
      <c r="F350" s="14">
        <f>CHOOSE(CONTROL!$C$42, 14.5398, 14.5398)*CHOOSE(CONTROL!$C$21, $C$9, 100%, $E$9)</f>
        <v>14.5398</v>
      </c>
      <c r="G350" s="14">
        <f>CHOOSE(CONTROL!$C$42, 14.5557, 14.5557)*CHOOSE(CONTROL!$C$21, $C$9, 100%, $E$9)</f>
        <v>14.5557</v>
      </c>
      <c r="H350" s="14">
        <f>CHOOSE(CONTROL!$C$42, 14.6304, 14.6304) * CHOOSE(CONTROL!$C$21, $C$9, 100%, $E$9)</f>
        <v>14.6304</v>
      </c>
      <c r="I350" s="14">
        <f>CHOOSE(CONTROL!$C$42, 14.5582, 14.5582)* CHOOSE(CONTROL!$C$21, $C$9, 100%, $E$9)</f>
        <v>14.558199999999999</v>
      </c>
      <c r="J350" s="14">
        <f>CHOOSE(CONTROL!$C$42, 14.5328, 14.5328)* CHOOSE(CONTROL!$C$21, $C$9, 100%, $E$9)</f>
        <v>14.5328</v>
      </c>
      <c r="K350" s="53">
        <f>CHOOSE(CONTROL!$C$42, 14.5543, 14.5543) * CHOOSE(CONTROL!$C$21, $C$9, 100%, $E$9)</f>
        <v>14.5543</v>
      </c>
      <c r="L350" s="14">
        <f>CHOOSE(CONTROL!$C$42, 15.2174, 15.2174) * CHOOSE(CONTROL!$C$21, $C$9, 100%, $E$9)</f>
        <v>15.2174</v>
      </c>
      <c r="M350" s="14">
        <f>CHOOSE(CONTROL!$C$42, 14.3999, 14.3999) * CHOOSE(CONTROL!$C$21, $C$9, 100%, $E$9)</f>
        <v>14.399900000000001</v>
      </c>
      <c r="N350" s="14">
        <f>CHOOSE(CONTROL!$C$42, 14.4157, 14.4157) * CHOOSE(CONTROL!$C$21, $C$9, 100%, $E$9)</f>
        <v>14.415699999999999</v>
      </c>
      <c r="O350" s="14">
        <f>CHOOSE(CONTROL!$C$42, 14.4966, 14.4966) * CHOOSE(CONTROL!$C$21, $C$9, 100%, $E$9)</f>
        <v>14.496600000000001</v>
      </c>
      <c r="P350" s="14">
        <f>CHOOSE(CONTROL!$C$42, 14.4251, 14.4251) * CHOOSE(CONTROL!$C$21, $C$9, 100%, $E$9)</f>
        <v>14.4251</v>
      </c>
      <c r="Q350" s="14">
        <f>CHOOSE(CONTROL!$C$42, 15.0919, 15.0919) * CHOOSE(CONTROL!$C$21, $C$9, 100%, $E$9)</f>
        <v>15.091900000000001</v>
      </c>
      <c r="R350" s="14">
        <f>CHOOSE(CONTROL!$C$42, 15.7166, 15.7166) * CHOOSE(CONTROL!$C$21, $C$9, 100%, $E$9)</f>
        <v>15.7166</v>
      </c>
      <c r="S350" s="14">
        <f>CHOOSE(CONTROL!$C$42, 14.1159, 14.1159) * CHOOSE(CONTROL!$C$21, $C$9, 100%, $E$9)</f>
        <v>14.1159</v>
      </c>
      <c r="T35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50" s="57">
        <f>(1000*CHOOSE(CONTROL!$C$42, 695, 695)*CHOOSE(CONTROL!$C$42, 0.5599, 0.5599)*CHOOSE(CONTROL!$C$42, 28, 28))/1000000</f>
        <v>10.895653999999999</v>
      </c>
      <c r="V350" s="57">
        <f>(1000*CHOOSE(CONTROL!$C$42, 500, 500)*CHOOSE(CONTROL!$C$42, 0.275, 0.275)*CHOOSE(CONTROL!$C$42, 28, 28))/1000000</f>
        <v>3.85</v>
      </c>
      <c r="W350" s="57">
        <f>(1000*CHOOSE(CONTROL!$C$42, 0.1146, 0.1146)*CHOOSE(CONTROL!$C$42, 121.5, 121.5)*CHOOSE(CONTROL!$C$42, 28, 28))/1000000</f>
        <v>0.38986920000000003</v>
      </c>
      <c r="X350" s="57">
        <f>(28*0.1790888*100000/1000000)+(28*0.2374*100000/1000000)</f>
        <v>1.16616864</v>
      </c>
      <c r="Y350" s="57"/>
      <c r="Z350" s="14"/>
      <c r="AA350" s="56"/>
      <c r="AB350" s="50">
        <f>(B350*122.58+C350*297.941+D350*89.177+E350*40.302+F350*40+G350*160+H350*0+I350*100+J350*300)/(122.58+297.941+89.177+40.302+0+40+160+100+300)</f>
        <v>14.551292051652174</v>
      </c>
      <c r="AC350" s="45">
        <f>(M350*'RAP TEMPLATE-GAS AVAILABILITY'!O349+N350*'RAP TEMPLATE-GAS AVAILABILITY'!P349+O350*'RAP TEMPLATE-GAS AVAILABILITY'!Q349+P350*'RAP TEMPLATE-GAS AVAILABILITY'!R349)/('RAP TEMPLATE-GAS AVAILABILITY'!O349+'RAP TEMPLATE-GAS AVAILABILITY'!P349+'RAP TEMPLATE-GAS AVAILABILITY'!Q349+'RAP TEMPLATE-GAS AVAILABILITY'!R349)</f>
        <v>14.448263309352518</v>
      </c>
    </row>
    <row r="351" spans="1:29" ht="15.75" x14ac:dyDescent="0.25">
      <c r="A351" s="33">
        <v>51591</v>
      </c>
      <c r="B351" s="14">
        <f>CHOOSE(CONTROL!$C$42, 14.1255, 14.1255) * CHOOSE(CONTROL!$C$21, $C$9, 100%, $E$9)</f>
        <v>14.125500000000001</v>
      </c>
      <c r="C351" s="14">
        <f>CHOOSE(CONTROL!$C$42, 14.1305, 14.1305) * CHOOSE(CONTROL!$C$21, $C$9, 100%, $E$9)</f>
        <v>14.1305</v>
      </c>
      <c r="D351" s="14">
        <f>CHOOSE(CONTROL!$C$42, 14.1948, 14.1948) * CHOOSE(CONTROL!$C$21, $C$9, 100%, $E$9)</f>
        <v>14.194800000000001</v>
      </c>
      <c r="E351" s="14">
        <f>CHOOSE(CONTROL!$C$42, 14.2285, 14.2285) * CHOOSE(CONTROL!$C$21, $C$9, 100%, $E$9)</f>
        <v>14.2285</v>
      </c>
      <c r="F351" s="14">
        <f>CHOOSE(CONTROL!$C$42, 14.1268, 14.1268)*CHOOSE(CONTROL!$C$21, $C$9, 100%, $E$9)</f>
        <v>14.126799999999999</v>
      </c>
      <c r="G351" s="14">
        <f>CHOOSE(CONTROL!$C$42, 14.1426, 14.1426)*CHOOSE(CONTROL!$C$21, $C$9, 100%, $E$9)</f>
        <v>14.1426</v>
      </c>
      <c r="H351" s="14">
        <f>CHOOSE(CONTROL!$C$42, 14.2177, 14.2177) * CHOOSE(CONTROL!$C$21, $C$9, 100%, $E$9)</f>
        <v>14.217700000000001</v>
      </c>
      <c r="I351" s="14">
        <f>CHOOSE(CONTROL!$C$42, 14.1455, 14.1455)* CHOOSE(CONTROL!$C$21, $C$9, 100%, $E$9)</f>
        <v>14.1455</v>
      </c>
      <c r="J351" s="14">
        <f>CHOOSE(CONTROL!$C$42, 14.1198, 14.1198)* CHOOSE(CONTROL!$C$21, $C$9, 100%, $E$9)</f>
        <v>14.1198</v>
      </c>
      <c r="K351" s="53">
        <f>CHOOSE(CONTROL!$C$42, 14.1416, 14.1416) * CHOOSE(CONTROL!$C$21, $C$9, 100%, $E$9)</f>
        <v>14.1416</v>
      </c>
      <c r="L351" s="14">
        <f>CHOOSE(CONTROL!$C$42, 14.8047, 14.8047) * CHOOSE(CONTROL!$C$21, $C$9, 100%, $E$9)</f>
        <v>14.8047</v>
      </c>
      <c r="M351" s="14">
        <f>CHOOSE(CONTROL!$C$42, 13.9911, 13.9911) * CHOOSE(CONTROL!$C$21, $C$9, 100%, $E$9)</f>
        <v>13.991099999999999</v>
      </c>
      <c r="N351" s="14">
        <f>CHOOSE(CONTROL!$C$42, 14.0068, 14.0068) * CHOOSE(CONTROL!$C$21, $C$9, 100%, $E$9)</f>
        <v>14.0068</v>
      </c>
      <c r="O351" s="14">
        <f>CHOOSE(CONTROL!$C$42, 14.0881, 14.0881) * CHOOSE(CONTROL!$C$21, $C$9, 100%, $E$9)</f>
        <v>14.088100000000001</v>
      </c>
      <c r="P351" s="14">
        <f>CHOOSE(CONTROL!$C$42, 14.0166, 14.0166) * CHOOSE(CONTROL!$C$21, $C$9, 100%, $E$9)</f>
        <v>14.0166</v>
      </c>
      <c r="Q351" s="14">
        <f>CHOOSE(CONTROL!$C$42, 14.6834, 14.6834) * CHOOSE(CONTROL!$C$21, $C$9, 100%, $E$9)</f>
        <v>14.683400000000001</v>
      </c>
      <c r="R351" s="14">
        <f>CHOOSE(CONTROL!$C$42, 15.3071, 15.3071) * CHOOSE(CONTROL!$C$21, $C$9, 100%, $E$9)</f>
        <v>15.3071</v>
      </c>
      <c r="S351" s="14">
        <f>CHOOSE(CONTROL!$C$42, 13.7152, 13.7152) * CHOOSE(CONTROL!$C$21, $C$9, 100%, $E$9)</f>
        <v>13.715199999999999</v>
      </c>
      <c r="T35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51" s="57">
        <f>(1000*CHOOSE(CONTROL!$C$42, 695, 695)*CHOOSE(CONTROL!$C$42, 0.5599, 0.5599)*CHOOSE(CONTROL!$C$42, 31, 31))/1000000</f>
        <v>12.063045499999998</v>
      </c>
      <c r="V351" s="57">
        <f>(1000*CHOOSE(CONTROL!$C$42, 500, 500)*CHOOSE(CONTROL!$C$42, 0.275, 0.275)*CHOOSE(CONTROL!$C$42, 31, 31))/1000000</f>
        <v>4.2625000000000002</v>
      </c>
      <c r="W351" s="57">
        <f>(1000*CHOOSE(CONTROL!$C$42, 0.1146, 0.1146)*CHOOSE(CONTROL!$C$42, 121.5, 121.5)*CHOOSE(CONTROL!$C$42, 31, 31))/1000000</f>
        <v>0.43164089999999994</v>
      </c>
      <c r="X351" s="57">
        <f>(31*0.1790888*100000/1000000)+(31*0.2374*100000/1000000)</f>
        <v>1.2911152800000001</v>
      </c>
      <c r="Y351" s="57"/>
      <c r="Z351" s="14"/>
      <c r="AA351" s="56"/>
      <c r="AB351" s="50">
        <f>(B351*122.58+C351*297.941+D351*89.177+E351*40.302+F351*40+G351*160+H351*0+I351*100+J351*300)/(122.58+297.941+89.177+40.302+0+40+160+100+300)</f>
        <v>14.138455458347822</v>
      </c>
      <c r="AC351" s="45">
        <f>(M351*'RAP TEMPLATE-GAS AVAILABILITY'!O350+N351*'RAP TEMPLATE-GAS AVAILABILITY'!P350+O351*'RAP TEMPLATE-GAS AVAILABILITY'!Q350+P351*'RAP TEMPLATE-GAS AVAILABILITY'!R350)/('RAP TEMPLATE-GAS AVAILABILITY'!O350+'RAP TEMPLATE-GAS AVAILABILITY'!P350+'RAP TEMPLATE-GAS AVAILABILITY'!Q350+'RAP TEMPLATE-GAS AVAILABILITY'!R350)</f>
        <v>14.039636690647482</v>
      </c>
    </row>
    <row r="352" spans="1:29" ht="15.75" x14ac:dyDescent="0.25">
      <c r="A352" s="33">
        <v>51621</v>
      </c>
      <c r="B352" s="14">
        <f>CHOOSE(CONTROL!$C$42, 14.0844, 14.0844) * CHOOSE(CONTROL!$C$21, $C$9, 100%, $E$9)</f>
        <v>14.0844</v>
      </c>
      <c r="C352" s="14">
        <f>CHOOSE(CONTROL!$C$42, 14.0888, 14.0888) * CHOOSE(CONTROL!$C$21, $C$9, 100%, $E$9)</f>
        <v>14.088800000000001</v>
      </c>
      <c r="D352" s="14">
        <f>CHOOSE(CONTROL!$C$42, 14.2895, 14.2895) * CHOOSE(CONTROL!$C$21, $C$9, 100%, $E$9)</f>
        <v>14.2895</v>
      </c>
      <c r="E352" s="14">
        <f>CHOOSE(CONTROL!$C$42, 14.3213, 14.3213) * CHOOSE(CONTROL!$C$21, $C$9, 100%, $E$9)</f>
        <v>14.321300000000001</v>
      </c>
      <c r="F352" s="14">
        <f>CHOOSE(CONTROL!$C$42, 14.069, 14.069)*CHOOSE(CONTROL!$C$21, $C$9, 100%, $E$9)</f>
        <v>14.069000000000001</v>
      </c>
      <c r="G352" s="14">
        <f>CHOOSE(CONTROL!$C$42, 14.0846, 14.0846)*CHOOSE(CONTROL!$C$21, $C$9, 100%, $E$9)</f>
        <v>14.0846</v>
      </c>
      <c r="H352" s="14">
        <f>CHOOSE(CONTROL!$C$42, 14.3111, 14.3111) * CHOOSE(CONTROL!$C$21, $C$9, 100%, $E$9)</f>
        <v>14.3111</v>
      </c>
      <c r="I352" s="14">
        <f>CHOOSE(CONTROL!$C$42, 14.0972, 14.0972)* CHOOSE(CONTROL!$C$21, $C$9, 100%, $E$9)</f>
        <v>14.097200000000001</v>
      </c>
      <c r="J352" s="14">
        <f>CHOOSE(CONTROL!$C$42, 14.062, 14.062)* CHOOSE(CONTROL!$C$21, $C$9, 100%, $E$9)</f>
        <v>14.061999999999999</v>
      </c>
      <c r="K352" s="53">
        <f>CHOOSE(CONTROL!$C$42, 14.0933, 14.0933) * CHOOSE(CONTROL!$C$21, $C$9, 100%, $E$9)</f>
        <v>14.093299999999999</v>
      </c>
      <c r="L352" s="14">
        <f>CHOOSE(CONTROL!$C$42, 14.8981, 14.8981) * CHOOSE(CONTROL!$C$21, $C$9, 100%, $E$9)</f>
        <v>14.898099999999999</v>
      </c>
      <c r="M352" s="14">
        <f>CHOOSE(CONTROL!$C$42, 13.9339, 13.9339) * CHOOSE(CONTROL!$C$21, $C$9, 100%, $E$9)</f>
        <v>13.9339</v>
      </c>
      <c r="N352" s="14">
        <f>CHOOSE(CONTROL!$C$42, 13.9494, 13.9494) * CHOOSE(CONTROL!$C$21, $C$9, 100%, $E$9)</f>
        <v>13.949400000000001</v>
      </c>
      <c r="O352" s="14">
        <f>CHOOSE(CONTROL!$C$42, 14.1805, 14.1805) * CHOOSE(CONTROL!$C$21, $C$9, 100%, $E$9)</f>
        <v>14.1805</v>
      </c>
      <c r="P352" s="14">
        <f>CHOOSE(CONTROL!$C$42, 13.9688, 13.9688) * CHOOSE(CONTROL!$C$21, $C$9, 100%, $E$9)</f>
        <v>13.9688</v>
      </c>
      <c r="Q352" s="14">
        <f>CHOOSE(CONTROL!$C$42, 14.7758, 14.7758) * CHOOSE(CONTROL!$C$21, $C$9, 100%, $E$9)</f>
        <v>14.7758</v>
      </c>
      <c r="R352" s="14">
        <f>CHOOSE(CONTROL!$C$42, 15.3997, 15.3997) * CHOOSE(CONTROL!$C$21, $C$9, 100%, $E$9)</f>
        <v>15.399699999999999</v>
      </c>
      <c r="S352" s="14">
        <f>CHOOSE(CONTROL!$C$42, 13.6745, 13.6745) * CHOOSE(CONTROL!$C$21, $C$9, 100%, $E$9)</f>
        <v>13.6745</v>
      </c>
      <c r="T35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52" s="57">
        <f>(1000*CHOOSE(CONTROL!$C$42, 695, 695)*CHOOSE(CONTROL!$C$42, 0.5599, 0.5599)*CHOOSE(CONTROL!$C$42, 30, 30))/1000000</f>
        <v>11.673914999999997</v>
      </c>
      <c r="V352" s="57">
        <f>(1000*CHOOSE(CONTROL!$C$42, 500, 500)*CHOOSE(CONTROL!$C$42, 0.275, 0.275)*CHOOSE(CONTROL!$C$42, 30, 30))/1000000</f>
        <v>4.125</v>
      </c>
      <c r="W352" s="57">
        <f>(1000*CHOOSE(CONTROL!$C$42, 0.1146, 0.1146)*CHOOSE(CONTROL!$C$42, 121.5, 121.5)*CHOOSE(CONTROL!$C$42, 30, 30))/1000000</f>
        <v>0.417717</v>
      </c>
      <c r="X352" s="57">
        <f>(30*0.1790888*245000/1000000)+(30*0.2374*100000/1000000)</f>
        <v>2.0285026799999999</v>
      </c>
      <c r="Y352" s="57"/>
      <c r="Z352" s="14"/>
      <c r="AA352" s="56"/>
      <c r="AB352" s="50">
        <f>(B352*141.293+C352*267.993+D352*115.016+E352*89.698+F352*40+G352*185+H352*0+I352*100+J352*300)/(141.293+267.993+115.016+89.698+0+40+185+100+300)</f>
        <v>14.116683621468926</v>
      </c>
      <c r="AC352" s="45">
        <f>(M352*'RAP TEMPLATE-GAS AVAILABILITY'!O351+N352*'RAP TEMPLATE-GAS AVAILABILITY'!P351+O352*'RAP TEMPLATE-GAS AVAILABILITY'!Q351+P352*'RAP TEMPLATE-GAS AVAILABILITY'!R351)/('RAP TEMPLATE-GAS AVAILABILITY'!O351+'RAP TEMPLATE-GAS AVAILABILITY'!P351+'RAP TEMPLATE-GAS AVAILABILITY'!Q351+'RAP TEMPLATE-GAS AVAILABILITY'!R351)</f>
        <v>14.011679856115105</v>
      </c>
    </row>
    <row r="353" spans="1:29" ht="15.75" x14ac:dyDescent="0.25">
      <c r="A353" s="33">
        <v>51652</v>
      </c>
      <c r="B353" s="14">
        <f>CHOOSE(CONTROL!$C$42, 14.2101, 14.2101) * CHOOSE(CONTROL!$C$21, $C$9, 100%, $E$9)</f>
        <v>14.210100000000001</v>
      </c>
      <c r="C353" s="14">
        <f>CHOOSE(CONTROL!$C$42, 14.218, 14.218) * CHOOSE(CONTROL!$C$21, $C$9, 100%, $E$9)</f>
        <v>14.218</v>
      </c>
      <c r="D353" s="14">
        <f>CHOOSE(CONTROL!$C$42, 14.4156, 14.4156) * CHOOSE(CONTROL!$C$21, $C$9, 100%, $E$9)</f>
        <v>14.4156</v>
      </c>
      <c r="E353" s="14">
        <f>CHOOSE(CONTROL!$C$42, 14.4467, 14.4467) * CHOOSE(CONTROL!$C$21, $C$9, 100%, $E$9)</f>
        <v>14.4467</v>
      </c>
      <c r="F353" s="14">
        <f>CHOOSE(CONTROL!$C$42, 14.1935, 14.1935)*CHOOSE(CONTROL!$C$21, $C$9, 100%, $E$9)</f>
        <v>14.1935</v>
      </c>
      <c r="G353" s="14">
        <f>CHOOSE(CONTROL!$C$42, 14.2096, 14.2096)*CHOOSE(CONTROL!$C$21, $C$9, 100%, $E$9)</f>
        <v>14.2096</v>
      </c>
      <c r="H353" s="14">
        <f>CHOOSE(CONTROL!$C$42, 14.4354, 14.4354) * CHOOSE(CONTROL!$C$21, $C$9, 100%, $E$9)</f>
        <v>14.4354</v>
      </c>
      <c r="I353" s="14">
        <f>CHOOSE(CONTROL!$C$42, 14.2215, 14.2215)* CHOOSE(CONTROL!$C$21, $C$9, 100%, $E$9)</f>
        <v>14.221500000000001</v>
      </c>
      <c r="J353" s="14">
        <f>CHOOSE(CONTROL!$C$42, 14.1865, 14.1865)* CHOOSE(CONTROL!$C$21, $C$9, 100%, $E$9)</f>
        <v>14.186500000000001</v>
      </c>
      <c r="K353" s="53">
        <f>CHOOSE(CONTROL!$C$42, 14.2176, 14.2176) * CHOOSE(CONTROL!$C$21, $C$9, 100%, $E$9)</f>
        <v>14.217599999999999</v>
      </c>
      <c r="L353" s="14">
        <f>CHOOSE(CONTROL!$C$42, 15.0224, 15.0224) * CHOOSE(CONTROL!$C$21, $C$9, 100%, $E$9)</f>
        <v>15.022399999999999</v>
      </c>
      <c r="M353" s="14">
        <f>CHOOSE(CONTROL!$C$42, 14.0572, 14.0572) * CHOOSE(CONTROL!$C$21, $C$9, 100%, $E$9)</f>
        <v>14.0572</v>
      </c>
      <c r="N353" s="14">
        <f>CHOOSE(CONTROL!$C$42, 14.0731, 14.0731) * CHOOSE(CONTROL!$C$21, $C$9, 100%, $E$9)</f>
        <v>14.0731</v>
      </c>
      <c r="O353" s="14">
        <f>CHOOSE(CONTROL!$C$42, 14.3035, 14.3035) * CHOOSE(CONTROL!$C$21, $C$9, 100%, $E$9)</f>
        <v>14.3035</v>
      </c>
      <c r="P353" s="14">
        <f>CHOOSE(CONTROL!$C$42, 14.0918, 14.0918) * CHOOSE(CONTROL!$C$21, $C$9, 100%, $E$9)</f>
        <v>14.091799999999999</v>
      </c>
      <c r="Q353" s="14">
        <f>CHOOSE(CONTROL!$C$42, 14.8988, 14.8988) * CHOOSE(CONTROL!$C$21, $C$9, 100%, $E$9)</f>
        <v>14.8988</v>
      </c>
      <c r="R353" s="14">
        <f>CHOOSE(CONTROL!$C$42, 15.5231, 15.5231) * CHOOSE(CONTROL!$C$21, $C$9, 100%, $E$9)</f>
        <v>15.523099999999999</v>
      </c>
      <c r="S353" s="14">
        <f>CHOOSE(CONTROL!$C$42, 13.7952, 13.7952) * CHOOSE(CONTROL!$C$21, $C$9, 100%, $E$9)</f>
        <v>13.795199999999999</v>
      </c>
      <c r="T35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53" s="57">
        <f>(1000*CHOOSE(CONTROL!$C$42, 695, 695)*CHOOSE(CONTROL!$C$42, 0.5599, 0.5599)*CHOOSE(CONTROL!$C$42, 31, 31))/1000000</f>
        <v>12.063045499999998</v>
      </c>
      <c r="V353" s="57">
        <f>(1000*CHOOSE(CONTROL!$C$42, 500, 500)*CHOOSE(CONTROL!$C$42, 0.275, 0.275)*CHOOSE(CONTROL!$C$42, 31, 31))/1000000</f>
        <v>4.2625000000000002</v>
      </c>
      <c r="W353" s="57">
        <f>(1000*CHOOSE(CONTROL!$C$42, 0.1146, 0.1146)*CHOOSE(CONTROL!$C$42, 121.5, 121.5)*CHOOSE(CONTROL!$C$42, 31, 31))/1000000</f>
        <v>0.43164089999999994</v>
      </c>
      <c r="X353" s="57">
        <f>(31*0.1790888*245000/1000000)+(31*0.2374*100000/1000000)</f>
        <v>2.0961194359999999</v>
      </c>
      <c r="Y353" s="57"/>
      <c r="Z353" s="14"/>
      <c r="AA353" s="56"/>
      <c r="AB353" s="50">
        <f>(B353*194.205+C353*267.466+D353*133.845+E353*53.484+F353*40+G353*185+H353*0+I353*100+J353*300)/(194.205+267.466+133.845+53.484+0+40+185+100+300)</f>
        <v>14.238024602276296</v>
      </c>
      <c r="AC353" s="45">
        <f>(M353*'RAP TEMPLATE-GAS AVAILABILITY'!O352+N353*'RAP TEMPLATE-GAS AVAILABILITY'!P352+O353*'RAP TEMPLATE-GAS AVAILABILITY'!Q352+P353*'RAP TEMPLATE-GAS AVAILABILITY'!R352)/('RAP TEMPLATE-GAS AVAILABILITY'!O352+'RAP TEMPLATE-GAS AVAILABILITY'!P352+'RAP TEMPLATE-GAS AVAILABILITY'!Q352+'RAP TEMPLATE-GAS AVAILABILITY'!R352)</f>
        <v>14.134944604316548</v>
      </c>
    </row>
    <row r="354" spans="1:29" ht="15.75" x14ac:dyDescent="0.25">
      <c r="A354" s="33">
        <v>51682</v>
      </c>
      <c r="B354" s="14">
        <f>CHOOSE(CONTROL!$C$42, 14.613, 14.613) * CHOOSE(CONTROL!$C$21, $C$9, 100%, $E$9)</f>
        <v>14.613</v>
      </c>
      <c r="C354" s="14">
        <f>CHOOSE(CONTROL!$C$42, 14.6209, 14.6209) * CHOOSE(CONTROL!$C$21, $C$9, 100%, $E$9)</f>
        <v>14.620900000000001</v>
      </c>
      <c r="D354" s="14">
        <f>CHOOSE(CONTROL!$C$42, 14.8185, 14.8185) * CHOOSE(CONTROL!$C$21, $C$9, 100%, $E$9)</f>
        <v>14.8185</v>
      </c>
      <c r="E354" s="14">
        <f>CHOOSE(CONTROL!$C$42, 14.8497, 14.8497) * CHOOSE(CONTROL!$C$21, $C$9, 100%, $E$9)</f>
        <v>14.8497</v>
      </c>
      <c r="F354" s="14">
        <f>CHOOSE(CONTROL!$C$42, 14.5969, 14.5969)*CHOOSE(CONTROL!$C$21, $C$9, 100%, $E$9)</f>
        <v>14.5969</v>
      </c>
      <c r="G354" s="14">
        <f>CHOOSE(CONTROL!$C$42, 14.6131, 14.6131)*CHOOSE(CONTROL!$C$21, $C$9, 100%, $E$9)</f>
        <v>14.613099999999999</v>
      </c>
      <c r="H354" s="14">
        <f>CHOOSE(CONTROL!$C$42, 14.8383, 14.8383) * CHOOSE(CONTROL!$C$21, $C$9, 100%, $E$9)</f>
        <v>14.8383</v>
      </c>
      <c r="I354" s="14">
        <f>CHOOSE(CONTROL!$C$42, 14.6244, 14.6244)* CHOOSE(CONTROL!$C$21, $C$9, 100%, $E$9)</f>
        <v>14.6244</v>
      </c>
      <c r="J354" s="14">
        <f>CHOOSE(CONTROL!$C$42, 14.5899, 14.5899)* CHOOSE(CONTROL!$C$21, $C$9, 100%, $E$9)</f>
        <v>14.5899</v>
      </c>
      <c r="K354" s="53">
        <f>CHOOSE(CONTROL!$C$42, 14.6205, 14.6205) * CHOOSE(CONTROL!$C$21, $C$9, 100%, $E$9)</f>
        <v>14.6205</v>
      </c>
      <c r="L354" s="14">
        <f>CHOOSE(CONTROL!$C$42, 15.4253, 15.4253) * CHOOSE(CONTROL!$C$21, $C$9, 100%, $E$9)</f>
        <v>15.4253</v>
      </c>
      <c r="M354" s="14">
        <f>CHOOSE(CONTROL!$C$42, 14.4565, 14.4565) * CHOOSE(CONTROL!$C$21, $C$9, 100%, $E$9)</f>
        <v>14.4565</v>
      </c>
      <c r="N354" s="14">
        <f>CHOOSE(CONTROL!$C$42, 14.4725, 14.4725) * CHOOSE(CONTROL!$C$21, $C$9, 100%, $E$9)</f>
        <v>14.4725</v>
      </c>
      <c r="O354" s="14">
        <f>CHOOSE(CONTROL!$C$42, 14.7024, 14.7024) * CHOOSE(CONTROL!$C$21, $C$9, 100%, $E$9)</f>
        <v>14.702400000000001</v>
      </c>
      <c r="P354" s="14">
        <f>CHOOSE(CONTROL!$C$42, 14.4907, 14.4907) * CHOOSE(CONTROL!$C$21, $C$9, 100%, $E$9)</f>
        <v>14.4907</v>
      </c>
      <c r="Q354" s="14">
        <f>CHOOSE(CONTROL!$C$42, 15.2977, 15.2977) * CHOOSE(CONTROL!$C$21, $C$9, 100%, $E$9)</f>
        <v>15.297700000000001</v>
      </c>
      <c r="R354" s="14">
        <f>CHOOSE(CONTROL!$C$42, 15.9229, 15.9229) * CHOOSE(CONTROL!$C$21, $C$9, 100%, $E$9)</f>
        <v>15.9229</v>
      </c>
      <c r="S354" s="14">
        <f>CHOOSE(CONTROL!$C$42, 14.1865, 14.1865) * CHOOSE(CONTROL!$C$21, $C$9, 100%, $E$9)</f>
        <v>14.186500000000001</v>
      </c>
      <c r="T35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54" s="57">
        <f>(1000*CHOOSE(CONTROL!$C$42, 695, 695)*CHOOSE(CONTROL!$C$42, 0.5599, 0.5599)*CHOOSE(CONTROL!$C$42, 30, 30))/1000000</f>
        <v>11.673914999999997</v>
      </c>
      <c r="V354" s="57">
        <f>(1000*CHOOSE(CONTROL!$C$42, 500, 500)*CHOOSE(CONTROL!$C$42, 0.275, 0.275)*CHOOSE(CONTROL!$C$42, 30, 30))/1000000</f>
        <v>4.125</v>
      </c>
      <c r="W354" s="57">
        <f>(1000*CHOOSE(CONTROL!$C$42, 0.1146, 0.1146)*CHOOSE(CONTROL!$C$42, 121.5, 121.5)*CHOOSE(CONTROL!$C$42, 30, 30))/1000000</f>
        <v>0.417717</v>
      </c>
      <c r="X354" s="57">
        <f>(30*0.1790888*245000/1000000)+(30*0.2374*100000/1000000)</f>
        <v>2.0285026799999999</v>
      </c>
      <c r="Y354" s="57"/>
      <c r="Z354" s="14"/>
      <c r="AA354" s="56"/>
      <c r="AB354" s="50">
        <f>(B354*194.205+C354*267.466+D354*133.845+E354*53.484+F354*40+G354*185+H354*0+I354*100+J354*300)/(194.205+267.466+133.845+53.484+0+40+185+100+300)</f>
        <v>14.641149365541603</v>
      </c>
      <c r="AC354" s="45">
        <f>(M354*'RAP TEMPLATE-GAS AVAILABILITY'!O353+N354*'RAP TEMPLATE-GAS AVAILABILITY'!P353+O354*'RAP TEMPLATE-GAS AVAILABILITY'!Q353+P354*'RAP TEMPLATE-GAS AVAILABILITY'!R353)/('RAP TEMPLATE-GAS AVAILABILITY'!O353+'RAP TEMPLATE-GAS AVAILABILITY'!P353+'RAP TEMPLATE-GAS AVAILABILITY'!Q353+'RAP TEMPLATE-GAS AVAILABILITY'!R353)</f>
        <v>14.53409784172662</v>
      </c>
    </row>
    <row r="355" spans="1:29" ht="15.75" x14ac:dyDescent="0.25">
      <c r="A355" s="33">
        <v>51713</v>
      </c>
      <c r="B355" s="14">
        <f>CHOOSE(CONTROL!$C$42, 14.3328, 14.3328) * CHOOSE(CONTROL!$C$21, $C$9, 100%, $E$9)</f>
        <v>14.332800000000001</v>
      </c>
      <c r="C355" s="14">
        <f>CHOOSE(CONTROL!$C$42, 14.3407, 14.3407) * CHOOSE(CONTROL!$C$21, $C$9, 100%, $E$9)</f>
        <v>14.3407</v>
      </c>
      <c r="D355" s="14">
        <f>CHOOSE(CONTROL!$C$42, 14.5383, 14.5383) * CHOOSE(CONTROL!$C$21, $C$9, 100%, $E$9)</f>
        <v>14.5383</v>
      </c>
      <c r="E355" s="14">
        <f>CHOOSE(CONTROL!$C$42, 14.5694, 14.5694) * CHOOSE(CONTROL!$C$21, $C$9, 100%, $E$9)</f>
        <v>14.5694</v>
      </c>
      <c r="F355" s="14">
        <f>CHOOSE(CONTROL!$C$42, 14.317, 14.317)*CHOOSE(CONTROL!$C$21, $C$9, 100%, $E$9)</f>
        <v>14.317</v>
      </c>
      <c r="G355" s="14">
        <f>CHOOSE(CONTROL!$C$42, 14.3333, 14.3333)*CHOOSE(CONTROL!$C$21, $C$9, 100%, $E$9)</f>
        <v>14.333299999999999</v>
      </c>
      <c r="H355" s="14">
        <f>CHOOSE(CONTROL!$C$42, 14.5581, 14.5581) * CHOOSE(CONTROL!$C$21, $C$9, 100%, $E$9)</f>
        <v>14.5581</v>
      </c>
      <c r="I355" s="14">
        <f>CHOOSE(CONTROL!$C$42, 14.3442, 14.3442)* CHOOSE(CONTROL!$C$21, $C$9, 100%, $E$9)</f>
        <v>14.344200000000001</v>
      </c>
      <c r="J355" s="14">
        <f>CHOOSE(CONTROL!$C$42, 14.31, 14.31)* CHOOSE(CONTROL!$C$21, $C$9, 100%, $E$9)</f>
        <v>14.31</v>
      </c>
      <c r="K355" s="53">
        <f>CHOOSE(CONTROL!$C$42, 14.3403, 14.3403) * CHOOSE(CONTROL!$C$21, $C$9, 100%, $E$9)</f>
        <v>14.340299999999999</v>
      </c>
      <c r="L355" s="14">
        <f>CHOOSE(CONTROL!$C$42, 15.1451, 15.1451) * CHOOSE(CONTROL!$C$21, $C$9, 100%, $E$9)</f>
        <v>15.145099999999999</v>
      </c>
      <c r="M355" s="14">
        <f>CHOOSE(CONTROL!$C$42, 14.1795, 14.1795) * CHOOSE(CONTROL!$C$21, $C$9, 100%, $E$9)</f>
        <v>14.179500000000001</v>
      </c>
      <c r="N355" s="14">
        <f>CHOOSE(CONTROL!$C$42, 14.1956, 14.1956) * CHOOSE(CONTROL!$C$21, $C$9, 100%, $E$9)</f>
        <v>14.195600000000001</v>
      </c>
      <c r="O355" s="14">
        <f>CHOOSE(CONTROL!$C$42, 14.425, 14.425) * CHOOSE(CONTROL!$C$21, $C$9, 100%, $E$9)</f>
        <v>14.425000000000001</v>
      </c>
      <c r="P355" s="14">
        <f>CHOOSE(CONTROL!$C$42, 14.2133, 14.2133) * CHOOSE(CONTROL!$C$21, $C$9, 100%, $E$9)</f>
        <v>14.2133</v>
      </c>
      <c r="Q355" s="14">
        <f>CHOOSE(CONTROL!$C$42, 15.0203, 15.0203) * CHOOSE(CONTROL!$C$21, $C$9, 100%, $E$9)</f>
        <v>15.020300000000001</v>
      </c>
      <c r="R355" s="14">
        <f>CHOOSE(CONTROL!$C$42, 15.6448, 15.6448) * CHOOSE(CONTROL!$C$21, $C$9, 100%, $E$9)</f>
        <v>15.6448</v>
      </c>
      <c r="S355" s="14">
        <f>CHOOSE(CONTROL!$C$42, 13.9143, 13.9143) * CHOOSE(CONTROL!$C$21, $C$9, 100%, $E$9)</f>
        <v>13.914300000000001</v>
      </c>
      <c r="T35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55" s="57">
        <f>(1000*CHOOSE(CONTROL!$C$42, 695, 695)*CHOOSE(CONTROL!$C$42, 0.5599, 0.5599)*CHOOSE(CONTROL!$C$42, 31, 31))/1000000</f>
        <v>12.063045499999998</v>
      </c>
      <c r="V355" s="57">
        <f>(1000*CHOOSE(CONTROL!$C$42, 500, 500)*CHOOSE(CONTROL!$C$42, 0.275, 0.275)*CHOOSE(CONTROL!$C$42, 31, 31))/1000000</f>
        <v>4.2625000000000002</v>
      </c>
      <c r="W355" s="57">
        <f>(1000*CHOOSE(CONTROL!$C$42, 0.1146, 0.1146)*CHOOSE(CONTROL!$C$42, 121.5, 121.5)*CHOOSE(CONTROL!$C$42, 31, 31))/1000000</f>
        <v>0.43164089999999994</v>
      </c>
      <c r="X355" s="57">
        <f>(31*0.1790888*245000/1000000)+(31*0.2374*100000/1000000)</f>
        <v>2.0961194359999999</v>
      </c>
      <c r="Y355" s="57"/>
      <c r="Z355" s="14"/>
      <c r="AA355" s="56"/>
      <c r="AB355" s="50">
        <f>(B355*194.205+C355*267.466+D355*133.845+E355*53.484+F355*40+G355*185+H355*0+I355*100+J355*300)/(194.205+267.466+133.845+53.484+0+40+185+100+300)</f>
        <v>14.361083314992154</v>
      </c>
      <c r="AC355" s="45">
        <f>(M355*'RAP TEMPLATE-GAS AVAILABILITY'!O354+N355*'RAP TEMPLATE-GAS AVAILABILITY'!P354+O355*'RAP TEMPLATE-GAS AVAILABILITY'!Q354+P355*'RAP TEMPLATE-GAS AVAILABILITY'!R354)/('RAP TEMPLATE-GAS AVAILABILITY'!O354+'RAP TEMPLATE-GAS AVAILABILITY'!P354+'RAP TEMPLATE-GAS AVAILABILITY'!Q354+'RAP TEMPLATE-GAS AVAILABILITY'!R354)</f>
        <v>14.256951079136691</v>
      </c>
    </row>
    <row r="356" spans="1:29" ht="15.75" x14ac:dyDescent="0.25">
      <c r="A356" s="33">
        <v>51744</v>
      </c>
      <c r="B356" s="14">
        <f>CHOOSE(CONTROL!$C$42, 13.6251, 13.6251) * CHOOSE(CONTROL!$C$21, $C$9, 100%, $E$9)</f>
        <v>13.6251</v>
      </c>
      <c r="C356" s="14">
        <f>CHOOSE(CONTROL!$C$42, 13.633, 13.633) * CHOOSE(CONTROL!$C$21, $C$9, 100%, $E$9)</f>
        <v>13.632999999999999</v>
      </c>
      <c r="D356" s="14">
        <f>CHOOSE(CONTROL!$C$42, 13.8306, 13.8306) * CHOOSE(CONTROL!$C$21, $C$9, 100%, $E$9)</f>
        <v>13.8306</v>
      </c>
      <c r="E356" s="14">
        <f>CHOOSE(CONTROL!$C$42, 13.8617, 13.8617) * CHOOSE(CONTROL!$C$21, $C$9, 100%, $E$9)</f>
        <v>13.861700000000001</v>
      </c>
      <c r="F356" s="14">
        <f>CHOOSE(CONTROL!$C$42, 13.6095, 13.6095)*CHOOSE(CONTROL!$C$21, $C$9, 100%, $E$9)</f>
        <v>13.609500000000001</v>
      </c>
      <c r="G356" s="14">
        <f>CHOOSE(CONTROL!$C$42, 13.6259, 13.6259)*CHOOSE(CONTROL!$C$21, $C$9, 100%, $E$9)</f>
        <v>13.6259</v>
      </c>
      <c r="H356" s="14">
        <f>CHOOSE(CONTROL!$C$42, 13.8504, 13.8504) * CHOOSE(CONTROL!$C$21, $C$9, 100%, $E$9)</f>
        <v>13.8504</v>
      </c>
      <c r="I356" s="14">
        <f>CHOOSE(CONTROL!$C$42, 13.6365, 13.6365)* CHOOSE(CONTROL!$C$21, $C$9, 100%, $E$9)</f>
        <v>13.6365</v>
      </c>
      <c r="J356" s="14">
        <f>CHOOSE(CONTROL!$C$42, 13.6025, 13.6025)* CHOOSE(CONTROL!$C$21, $C$9, 100%, $E$9)</f>
        <v>13.602499999999999</v>
      </c>
      <c r="K356" s="53">
        <f>CHOOSE(CONTROL!$C$42, 13.6326, 13.6326) * CHOOSE(CONTROL!$C$21, $C$9, 100%, $E$9)</f>
        <v>13.6326</v>
      </c>
      <c r="L356" s="14">
        <f>CHOOSE(CONTROL!$C$42, 14.4374, 14.4374) * CHOOSE(CONTROL!$C$21, $C$9, 100%, $E$9)</f>
        <v>14.4374</v>
      </c>
      <c r="M356" s="14">
        <f>CHOOSE(CONTROL!$C$42, 13.4791, 13.4791) * CHOOSE(CONTROL!$C$21, $C$9, 100%, $E$9)</f>
        <v>13.479100000000001</v>
      </c>
      <c r="N356" s="14">
        <f>CHOOSE(CONTROL!$C$42, 13.4953, 13.4953) * CHOOSE(CONTROL!$C$21, $C$9, 100%, $E$9)</f>
        <v>13.4953</v>
      </c>
      <c r="O356" s="14">
        <f>CHOOSE(CONTROL!$C$42, 13.7244, 13.7244) * CHOOSE(CONTROL!$C$21, $C$9, 100%, $E$9)</f>
        <v>13.724399999999999</v>
      </c>
      <c r="P356" s="14">
        <f>CHOOSE(CONTROL!$C$42, 13.5127, 13.5127) * CHOOSE(CONTROL!$C$21, $C$9, 100%, $E$9)</f>
        <v>13.512700000000001</v>
      </c>
      <c r="Q356" s="14">
        <f>CHOOSE(CONTROL!$C$42, 14.3197, 14.3197) * CHOOSE(CONTROL!$C$21, $C$9, 100%, $E$9)</f>
        <v>14.319699999999999</v>
      </c>
      <c r="R356" s="14">
        <f>CHOOSE(CONTROL!$C$42, 14.9425, 14.9425) * CHOOSE(CONTROL!$C$21, $C$9, 100%, $E$9)</f>
        <v>14.942500000000001</v>
      </c>
      <c r="S356" s="14">
        <f>CHOOSE(CONTROL!$C$42, 13.2271, 13.2271) * CHOOSE(CONTROL!$C$21, $C$9, 100%, $E$9)</f>
        <v>13.2271</v>
      </c>
      <c r="T35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56" s="57">
        <f>(1000*CHOOSE(CONTROL!$C$42, 695, 695)*CHOOSE(CONTROL!$C$42, 0.5599, 0.5599)*CHOOSE(CONTROL!$C$42, 31, 31))/1000000</f>
        <v>12.063045499999998</v>
      </c>
      <c r="V356" s="57">
        <f>(1000*CHOOSE(CONTROL!$C$42, 500, 500)*CHOOSE(CONTROL!$C$42, 0.275, 0.275)*CHOOSE(CONTROL!$C$42, 31, 31))/1000000</f>
        <v>4.2625000000000002</v>
      </c>
      <c r="W356" s="57">
        <f>(1000*CHOOSE(CONTROL!$C$42, 0.1146, 0.1146)*CHOOSE(CONTROL!$C$42, 121.5, 121.5)*CHOOSE(CONTROL!$C$42, 31, 31))/1000000</f>
        <v>0.43164089999999994</v>
      </c>
      <c r="X356" s="57">
        <f>(31*0.1790888*245000/1000000)+(31*0.2374*100000/1000000)</f>
        <v>2.0961194359999999</v>
      </c>
      <c r="Y356" s="57"/>
      <c r="Z356" s="14"/>
      <c r="AA356" s="56"/>
      <c r="AB356" s="50">
        <f>(B356*194.205+C356*267.466+D356*133.845+E356*53.484+F356*40+G356*185+H356*0+I356*100+J356*300)/(194.205+267.466+133.845+53.484+0+40+185+100+300)</f>
        <v>13.653480253767658</v>
      </c>
      <c r="AC356" s="45">
        <f>(M356*'RAP TEMPLATE-GAS AVAILABILITY'!O355+N356*'RAP TEMPLATE-GAS AVAILABILITY'!P355+O356*'RAP TEMPLATE-GAS AVAILABILITY'!Q355+P356*'RAP TEMPLATE-GAS AVAILABILITY'!R355)/('RAP TEMPLATE-GAS AVAILABILITY'!O355+'RAP TEMPLATE-GAS AVAILABILITY'!P355+'RAP TEMPLATE-GAS AVAILABILITY'!Q355+'RAP TEMPLATE-GAS AVAILABILITY'!R355)</f>
        <v>13.556489208633094</v>
      </c>
    </row>
    <row r="357" spans="1:29" ht="15.75" x14ac:dyDescent="0.25">
      <c r="A357" s="33">
        <v>51774</v>
      </c>
      <c r="B357" s="14">
        <f>CHOOSE(CONTROL!$C$42, 12.76, 12.76) * CHOOSE(CONTROL!$C$21, $C$9, 100%, $E$9)</f>
        <v>12.76</v>
      </c>
      <c r="C357" s="14">
        <f>CHOOSE(CONTROL!$C$42, 12.7679, 12.7679) * CHOOSE(CONTROL!$C$21, $C$9, 100%, $E$9)</f>
        <v>12.767899999999999</v>
      </c>
      <c r="D357" s="14">
        <f>CHOOSE(CONTROL!$C$42, 12.9655, 12.9655) * CHOOSE(CONTROL!$C$21, $C$9, 100%, $E$9)</f>
        <v>12.9655</v>
      </c>
      <c r="E357" s="14">
        <f>CHOOSE(CONTROL!$C$42, 12.9967, 12.9967) * CHOOSE(CONTROL!$C$21, $C$9, 100%, $E$9)</f>
        <v>12.996700000000001</v>
      </c>
      <c r="F357" s="14">
        <f>CHOOSE(CONTROL!$C$42, 12.7444, 12.7444)*CHOOSE(CONTROL!$C$21, $C$9, 100%, $E$9)</f>
        <v>12.744400000000001</v>
      </c>
      <c r="G357" s="14">
        <f>CHOOSE(CONTROL!$C$42, 12.7607, 12.7607)*CHOOSE(CONTROL!$C$21, $C$9, 100%, $E$9)</f>
        <v>12.7607</v>
      </c>
      <c r="H357" s="14">
        <f>CHOOSE(CONTROL!$C$42, 12.9853, 12.9853) * CHOOSE(CONTROL!$C$21, $C$9, 100%, $E$9)</f>
        <v>12.985300000000001</v>
      </c>
      <c r="I357" s="14">
        <f>CHOOSE(CONTROL!$C$42, 12.7714, 12.7714)* CHOOSE(CONTROL!$C$21, $C$9, 100%, $E$9)</f>
        <v>12.7714</v>
      </c>
      <c r="J357" s="14">
        <f>CHOOSE(CONTROL!$C$42, 12.7374, 12.7374)* CHOOSE(CONTROL!$C$21, $C$9, 100%, $E$9)</f>
        <v>12.737399999999999</v>
      </c>
      <c r="K357" s="53">
        <f>CHOOSE(CONTROL!$C$42, 12.7675, 12.7675) * CHOOSE(CONTROL!$C$21, $C$9, 100%, $E$9)</f>
        <v>12.7675</v>
      </c>
      <c r="L357" s="14">
        <f>CHOOSE(CONTROL!$C$42, 13.5723, 13.5723) * CHOOSE(CONTROL!$C$21, $C$9, 100%, $E$9)</f>
        <v>13.5723</v>
      </c>
      <c r="M357" s="14">
        <f>CHOOSE(CONTROL!$C$42, 12.6227, 12.6227) * CHOOSE(CONTROL!$C$21, $C$9, 100%, $E$9)</f>
        <v>12.6227</v>
      </c>
      <c r="N357" s="14">
        <f>CHOOSE(CONTROL!$C$42, 12.6389, 12.6389) * CHOOSE(CONTROL!$C$21, $C$9, 100%, $E$9)</f>
        <v>12.6389</v>
      </c>
      <c r="O357" s="14">
        <f>CHOOSE(CONTROL!$C$42, 12.8681, 12.8681) * CHOOSE(CONTROL!$C$21, $C$9, 100%, $E$9)</f>
        <v>12.8681</v>
      </c>
      <c r="P357" s="14">
        <f>CHOOSE(CONTROL!$C$42, 12.6564, 12.6564) * CHOOSE(CONTROL!$C$21, $C$9, 100%, $E$9)</f>
        <v>12.6564</v>
      </c>
      <c r="Q357" s="14">
        <f>CHOOSE(CONTROL!$C$42, 13.4634, 13.4634) * CHOOSE(CONTROL!$C$21, $C$9, 100%, $E$9)</f>
        <v>13.4634</v>
      </c>
      <c r="R357" s="14">
        <f>CHOOSE(CONTROL!$C$42, 14.084, 14.084) * CHOOSE(CONTROL!$C$21, $C$9, 100%, $E$9)</f>
        <v>14.084</v>
      </c>
      <c r="S357" s="14">
        <f>CHOOSE(CONTROL!$C$42, 12.387, 12.387) * CHOOSE(CONTROL!$C$21, $C$9, 100%, $E$9)</f>
        <v>12.387</v>
      </c>
      <c r="T35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57" s="57">
        <f>(1000*CHOOSE(CONTROL!$C$42, 695, 695)*CHOOSE(CONTROL!$C$42, 0.5599, 0.5599)*CHOOSE(CONTROL!$C$42, 30, 30))/1000000</f>
        <v>11.673914999999997</v>
      </c>
      <c r="V357" s="57">
        <f>(1000*CHOOSE(CONTROL!$C$42, 500, 500)*CHOOSE(CONTROL!$C$42, 0.275, 0.275)*CHOOSE(CONTROL!$C$42, 30, 30))/1000000</f>
        <v>4.125</v>
      </c>
      <c r="W357" s="57">
        <f>(1000*CHOOSE(CONTROL!$C$42, 0.1146, 0.1146)*CHOOSE(CONTROL!$C$42, 121.5, 121.5)*CHOOSE(CONTROL!$C$42, 30, 30))/1000000</f>
        <v>0.417717</v>
      </c>
      <c r="X357" s="57">
        <f>(30*0.1790888*245000/1000000)+(30*0.2374*100000/1000000)</f>
        <v>2.0285026799999999</v>
      </c>
      <c r="Y357" s="57"/>
      <c r="Z357" s="14"/>
      <c r="AA357" s="56"/>
      <c r="AB357" s="50">
        <f>(B357*194.205+C357*267.466+D357*133.845+E357*53.484+F357*40+G357*185+H357*0+I357*100+J357*300)/(194.205+267.466+133.845+53.484+0+40+185+100+300)</f>
        <v>12.788369930690735</v>
      </c>
      <c r="AC357" s="45">
        <f>(M357*'RAP TEMPLATE-GAS AVAILABILITY'!O356+N357*'RAP TEMPLATE-GAS AVAILABILITY'!P356+O357*'RAP TEMPLATE-GAS AVAILABILITY'!Q356+P357*'RAP TEMPLATE-GAS AVAILABILITY'!R356)/('RAP TEMPLATE-GAS AVAILABILITY'!O356+'RAP TEMPLATE-GAS AVAILABILITY'!P356+'RAP TEMPLATE-GAS AVAILABILITY'!Q356+'RAP TEMPLATE-GAS AVAILABILITY'!R356)</f>
        <v>12.700131654676257</v>
      </c>
    </row>
    <row r="358" spans="1:29" ht="15.75" x14ac:dyDescent="0.25">
      <c r="A358" s="33">
        <v>51805</v>
      </c>
      <c r="B358" s="14">
        <f>CHOOSE(CONTROL!$C$42, 12.4993, 12.4993) * CHOOSE(CONTROL!$C$21, $C$9, 100%, $E$9)</f>
        <v>12.4993</v>
      </c>
      <c r="C358" s="14">
        <f>CHOOSE(CONTROL!$C$42, 12.5045, 12.5045) * CHOOSE(CONTROL!$C$21, $C$9, 100%, $E$9)</f>
        <v>12.5045</v>
      </c>
      <c r="D358" s="14">
        <f>CHOOSE(CONTROL!$C$42, 12.7071, 12.7071) * CHOOSE(CONTROL!$C$21, $C$9, 100%, $E$9)</f>
        <v>12.707100000000001</v>
      </c>
      <c r="E358" s="14">
        <f>CHOOSE(CONTROL!$C$42, 12.7358, 12.7358) * CHOOSE(CONTROL!$C$21, $C$9, 100%, $E$9)</f>
        <v>12.735799999999999</v>
      </c>
      <c r="F358" s="14">
        <f>CHOOSE(CONTROL!$C$42, 12.4857, 12.4857)*CHOOSE(CONTROL!$C$21, $C$9, 100%, $E$9)</f>
        <v>12.4857</v>
      </c>
      <c r="G358" s="14">
        <f>CHOOSE(CONTROL!$C$42, 12.5017, 12.5017)*CHOOSE(CONTROL!$C$21, $C$9, 100%, $E$9)</f>
        <v>12.5017</v>
      </c>
      <c r="H358" s="14">
        <f>CHOOSE(CONTROL!$C$42, 12.7263, 12.7263) * CHOOSE(CONTROL!$C$21, $C$9, 100%, $E$9)</f>
        <v>12.7263</v>
      </c>
      <c r="I358" s="14">
        <f>CHOOSE(CONTROL!$C$42, 12.5124, 12.5124)* CHOOSE(CONTROL!$C$21, $C$9, 100%, $E$9)</f>
        <v>12.5124</v>
      </c>
      <c r="J358" s="14">
        <f>CHOOSE(CONTROL!$C$42, 12.4787, 12.4787)* CHOOSE(CONTROL!$C$21, $C$9, 100%, $E$9)</f>
        <v>12.4787</v>
      </c>
      <c r="K358" s="53">
        <f>CHOOSE(CONTROL!$C$42, 12.5085, 12.5085) * CHOOSE(CONTROL!$C$21, $C$9, 100%, $E$9)</f>
        <v>12.5085</v>
      </c>
      <c r="L358" s="14">
        <f>CHOOSE(CONTROL!$C$42, 13.3133, 13.3133) * CHOOSE(CONTROL!$C$21, $C$9, 100%, $E$9)</f>
        <v>13.3133</v>
      </c>
      <c r="M358" s="14">
        <f>CHOOSE(CONTROL!$C$42, 12.3666, 12.3666) * CHOOSE(CONTROL!$C$21, $C$9, 100%, $E$9)</f>
        <v>12.3666</v>
      </c>
      <c r="N358" s="14">
        <f>CHOOSE(CONTROL!$C$42, 12.3824, 12.3824) * CHOOSE(CONTROL!$C$21, $C$9, 100%, $E$9)</f>
        <v>12.382400000000001</v>
      </c>
      <c r="O358" s="14">
        <f>CHOOSE(CONTROL!$C$42, 12.6117, 12.6117) * CHOOSE(CONTROL!$C$21, $C$9, 100%, $E$9)</f>
        <v>12.611700000000001</v>
      </c>
      <c r="P358" s="14">
        <f>CHOOSE(CONTROL!$C$42, 12.4, 12.4) * CHOOSE(CONTROL!$C$21, $C$9, 100%, $E$9)</f>
        <v>12.4</v>
      </c>
      <c r="Q358" s="14">
        <f>CHOOSE(CONTROL!$C$42, 13.207, 13.207) * CHOOSE(CONTROL!$C$21, $C$9, 100%, $E$9)</f>
        <v>13.207000000000001</v>
      </c>
      <c r="R358" s="14">
        <f>CHOOSE(CONTROL!$C$42, 13.827, 13.827) * CHOOSE(CONTROL!$C$21, $C$9, 100%, $E$9)</f>
        <v>13.827</v>
      </c>
      <c r="S358" s="14">
        <f>CHOOSE(CONTROL!$C$42, 12.1355, 12.1355) * CHOOSE(CONTROL!$C$21, $C$9, 100%, $E$9)</f>
        <v>12.1355</v>
      </c>
      <c r="T35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58" s="57">
        <f>(1000*CHOOSE(CONTROL!$C$42, 695, 695)*CHOOSE(CONTROL!$C$42, 0.5599, 0.5599)*CHOOSE(CONTROL!$C$42, 31, 31))/1000000</f>
        <v>12.063045499999998</v>
      </c>
      <c r="V358" s="57">
        <f>(1000*CHOOSE(CONTROL!$C$42, 500, 500)*CHOOSE(CONTROL!$C$42, 0.275, 0.275)*CHOOSE(CONTROL!$C$42, 31, 31))/1000000</f>
        <v>4.2625000000000002</v>
      </c>
      <c r="W358" s="57">
        <f>(1000*CHOOSE(CONTROL!$C$42, 0.1146, 0.1146)*CHOOSE(CONTROL!$C$42, 121.5, 121.5)*CHOOSE(CONTROL!$C$42, 31, 31))/1000000</f>
        <v>0.43164089999999994</v>
      </c>
      <c r="X358" s="57">
        <f>(31*0.1790888*245000/1000000)+(31*0.2374*100000/1000000)</f>
        <v>2.0961194359999999</v>
      </c>
      <c r="Y358" s="57"/>
      <c r="Z358" s="14"/>
      <c r="AA358" s="56"/>
      <c r="AB358" s="50">
        <f>(B358*131.881+C358*277.167+D358*79.08+E358*125.872+F358*40+G358*185+H358*0+I358*100+J358*300)/(131.881+277.167+79.08+125.872+0+40+185+100+300)</f>
        <v>12.533741340112993</v>
      </c>
      <c r="AC358" s="45">
        <f>(M358*'RAP TEMPLATE-GAS AVAILABILITY'!O357+N358*'RAP TEMPLATE-GAS AVAILABILITY'!P357+O358*'RAP TEMPLATE-GAS AVAILABILITY'!Q357+P358*'RAP TEMPLATE-GAS AVAILABILITY'!R357)/('RAP TEMPLATE-GAS AVAILABILITY'!O357+'RAP TEMPLATE-GAS AVAILABILITY'!P357+'RAP TEMPLATE-GAS AVAILABILITY'!Q357+'RAP TEMPLATE-GAS AVAILABILITY'!R357)</f>
        <v>12.443812230215826</v>
      </c>
    </row>
    <row r="359" spans="1:29" ht="15.75" x14ac:dyDescent="0.25">
      <c r="A359" s="33">
        <v>51835</v>
      </c>
      <c r="B359" s="14">
        <f>CHOOSE(CONTROL!$C$42, 12.8281, 12.8281) * CHOOSE(CONTROL!$C$21, $C$9, 100%, $E$9)</f>
        <v>12.828099999999999</v>
      </c>
      <c r="C359" s="14">
        <f>CHOOSE(CONTROL!$C$42, 12.833, 12.833) * CHOOSE(CONTROL!$C$21, $C$9, 100%, $E$9)</f>
        <v>12.833</v>
      </c>
      <c r="D359" s="14">
        <f>CHOOSE(CONTROL!$C$42, 12.8961, 12.8961) * CHOOSE(CONTROL!$C$21, $C$9, 100%, $E$9)</f>
        <v>12.896100000000001</v>
      </c>
      <c r="E359" s="14">
        <f>CHOOSE(CONTROL!$C$42, 12.9299, 12.9299) * CHOOSE(CONTROL!$C$21, $C$9, 100%, $E$9)</f>
        <v>12.9299</v>
      </c>
      <c r="F359" s="14">
        <f>CHOOSE(CONTROL!$C$42, 12.8288, 12.8288)*CHOOSE(CONTROL!$C$21, $C$9, 100%, $E$9)</f>
        <v>12.828799999999999</v>
      </c>
      <c r="G359" s="14">
        <f>CHOOSE(CONTROL!$C$42, 12.8451, 12.8451)*CHOOSE(CONTROL!$C$21, $C$9, 100%, $E$9)</f>
        <v>12.8451</v>
      </c>
      <c r="H359" s="14">
        <f>CHOOSE(CONTROL!$C$42, 12.9191, 12.9191) * CHOOSE(CONTROL!$C$21, $C$9, 100%, $E$9)</f>
        <v>12.9191</v>
      </c>
      <c r="I359" s="14">
        <f>CHOOSE(CONTROL!$C$42, 12.8416, 12.8416)* CHOOSE(CONTROL!$C$21, $C$9, 100%, $E$9)</f>
        <v>12.8416</v>
      </c>
      <c r="J359" s="14">
        <f>CHOOSE(CONTROL!$C$42, 12.8218, 12.8218)* CHOOSE(CONTROL!$C$21, $C$9, 100%, $E$9)</f>
        <v>12.8218</v>
      </c>
      <c r="K359" s="53">
        <f>CHOOSE(CONTROL!$C$42, 12.8377, 12.8377) * CHOOSE(CONTROL!$C$21, $C$9, 100%, $E$9)</f>
        <v>12.8377</v>
      </c>
      <c r="L359" s="14">
        <f>CHOOSE(CONTROL!$C$42, 13.5061, 13.5061) * CHOOSE(CONTROL!$C$21, $C$9, 100%, $E$9)</f>
        <v>13.5061</v>
      </c>
      <c r="M359" s="14">
        <f>CHOOSE(CONTROL!$C$42, 12.7062, 12.7062) * CHOOSE(CONTROL!$C$21, $C$9, 100%, $E$9)</f>
        <v>12.706200000000001</v>
      </c>
      <c r="N359" s="14">
        <f>CHOOSE(CONTROL!$C$42, 12.7223, 12.7223) * CHOOSE(CONTROL!$C$21, $C$9, 100%, $E$9)</f>
        <v>12.722300000000001</v>
      </c>
      <c r="O359" s="14">
        <f>CHOOSE(CONTROL!$C$42, 12.8025, 12.8025) * CHOOSE(CONTROL!$C$21, $C$9, 100%, $E$9)</f>
        <v>12.8025</v>
      </c>
      <c r="P359" s="14">
        <f>CHOOSE(CONTROL!$C$42, 12.7259, 12.7259) * CHOOSE(CONTROL!$C$21, $C$9, 100%, $E$9)</f>
        <v>12.725899999999999</v>
      </c>
      <c r="Q359" s="14">
        <f>CHOOSE(CONTROL!$C$42, 13.3978, 13.3978) * CHOOSE(CONTROL!$C$21, $C$9, 100%, $E$9)</f>
        <v>13.3978</v>
      </c>
      <c r="R359" s="14">
        <f>CHOOSE(CONTROL!$C$42, 14.0183, 14.0183) * CHOOSE(CONTROL!$C$21, $C$9, 100%, $E$9)</f>
        <v>14.0183</v>
      </c>
      <c r="S359" s="14">
        <f>CHOOSE(CONTROL!$C$42, 12.4552, 12.4552) * CHOOSE(CONTROL!$C$21, $C$9, 100%, $E$9)</f>
        <v>12.4552</v>
      </c>
      <c r="T35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59" s="57">
        <f>(1000*CHOOSE(CONTROL!$C$42, 695, 695)*CHOOSE(CONTROL!$C$42, 0.5599, 0.5599)*CHOOSE(CONTROL!$C$42, 30, 30))/1000000</f>
        <v>11.673914999999997</v>
      </c>
      <c r="V359" s="57">
        <f>(1000*CHOOSE(CONTROL!$C$42, 500, 500)*CHOOSE(CONTROL!$C$42, 0.275, 0.275)*CHOOSE(CONTROL!$C$42, 30, 30))/1000000</f>
        <v>4.125</v>
      </c>
      <c r="W359" s="57">
        <f>(1000*CHOOSE(CONTROL!$C$42, 0.1146, 0.1146)*CHOOSE(CONTROL!$C$42, 121.5, 121.5)*CHOOSE(CONTROL!$C$42, 30, 30))/1000000</f>
        <v>0.417717</v>
      </c>
      <c r="X359" s="57">
        <f>(30*0.1790888*100000/1000000)+(30*0.2374*100000/1000000)</f>
        <v>1.2494664</v>
      </c>
      <c r="Y359" s="57"/>
      <c r="Z359" s="14"/>
      <c r="AA359" s="56"/>
      <c r="AB359" s="50">
        <f>(B359*122.58+C359*297.941+D359*89.177+E359*40.302+F359*40+G359*160+H359*0+I359*100+J359*300)/(122.58+297.941+89.177+40.302+0+40+160+100+300)</f>
        <v>12.840130165652173</v>
      </c>
      <c r="AC359" s="45">
        <f>(M359*'RAP TEMPLATE-GAS AVAILABILITY'!O358+N359*'RAP TEMPLATE-GAS AVAILABILITY'!P358+O359*'RAP TEMPLATE-GAS AVAILABILITY'!Q358+P359*'RAP TEMPLATE-GAS AVAILABILITY'!R358)/('RAP TEMPLATE-GAS AVAILABILITY'!O358+'RAP TEMPLATE-GAS AVAILABILITY'!P358+'RAP TEMPLATE-GAS AVAILABILITY'!Q358+'RAP TEMPLATE-GAS AVAILABILITY'!R358)</f>
        <v>12.753607913669065</v>
      </c>
    </row>
    <row r="360" spans="1:29" ht="15.75" x14ac:dyDescent="0.25">
      <c r="A360" s="33">
        <v>51866</v>
      </c>
      <c r="B360" s="14">
        <f>CHOOSE(CONTROL!$C$42, 13.7025, 13.7025) * CHOOSE(CONTROL!$C$21, $C$9, 100%, $E$9)</f>
        <v>13.702500000000001</v>
      </c>
      <c r="C360" s="14">
        <f>CHOOSE(CONTROL!$C$42, 13.7074, 13.7074) * CHOOSE(CONTROL!$C$21, $C$9, 100%, $E$9)</f>
        <v>13.7074</v>
      </c>
      <c r="D360" s="14">
        <f>CHOOSE(CONTROL!$C$42, 13.7705, 13.7705) * CHOOSE(CONTROL!$C$21, $C$9, 100%, $E$9)</f>
        <v>13.7705</v>
      </c>
      <c r="E360" s="14">
        <f>CHOOSE(CONTROL!$C$42, 13.8043, 13.8043) * CHOOSE(CONTROL!$C$21, $C$9, 100%, $E$9)</f>
        <v>13.8043</v>
      </c>
      <c r="F360" s="14">
        <f>CHOOSE(CONTROL!$C$42, 13.7052, 13.7052)*CHOOSE(CONTROL!$C$21, $C$9, 100%, $E$9)</f>
        <v>13.7052</v>
      </c>
      <c r="G360" s="14">
        <f>CHOOSE(CONTROL!$C$42, 13.722, 13.722)*CHOOSE(CONTROL!$C$21, $C$9, 100%, $E$9)</f>
        <v>13.722</v>
      </c>
      <c r="H360" s="14">
        <f>CHOOSE(CONTROL!$C$42, 13.7935, 13.7935) * CHOOSE(CONTROL!$C$21, $C$9, 100%, $E$9)</f>
        <v>13.7935</v>
      </c>
      <c r="I360" s="14">
        <f>CHOOSE(CONTROL!$C$42, 13.716, 13.716)* CHOOSE(CONTROL!$C$21, $C$9, 100%, $E$9)</f>
        <v>13.715999999999999</v>
      </c>
      <c r="J360" s="14">
        <f>CHOOSE(CONTROL!$C$42, 13.6982, 13.6982)* CHOOSE(CONTROL!$C$21, $C$9, 100%, $E$9)</f>
        <v>13.6982</v>
      </c>
      <c r="K360" s="53">
        <f>CHOOSE(CONTROL!$C$42, 13.7121, 13.7121) * CHOOSE(CONTROL!$C$21, $C$9, 100%, $E$9)</f>
        <v>13.7121</v>
      </c>
      <c r="L360" s="14">
        <f>CHOOSE(CONTROL!$C$42, 14.3805, 14.3805) * CHOOSE(CONTROL!$C$21, $C$9, 100%, $E$9)</f>
        <v>14.3805</v>
      </c>
      <c r="M360" s="14">
        <f>CHOOSE(CONTROL!$C$42, 13.5738, 13.5738) * CHOOSE(CONTROL!$C$21, $C$9, 100%, $E$9)</f>
        <v>13.5738</v>
      </c>
      <c r="N360" s="14">
        <f>CHOOSE(CONTROL!$C$42, 13.5905, 13.5905) * CHOOSE(CONTROL!$C$21, $C$9, 100%, $E$9)</f>
        <v>13.5905</v>
      </c>
      <c r="O360" s="14">
        <f>CHOOSE(CONTROL!$C$42, 13.6681, 13.6681) * CHOOSE(CONTROL!$C$21, $C$9, 100%, $E$9)</f>
        <v>13.668100000000001</v>
      </c>
      <c r="P360" s="14">
        <f>CHOOSE(CONTROL!$C$42, 13.5915, 13.5915) * CHOOSE(CONTROL!$C$21, $C$9, 100%, $E$9)</f>
        <v>13.5915</v>
      </c>
      <c r="Q360" s="14">
        <f>CHOOSE(CONTROL!$C$42, 14.2634, 14.2634) * CHOOSE(CONTROL!$C$21, $C$9, 100%, $E$9)</f>
        <v>14.263400000000001</v>
      </c>
      <c r="R360" s="14">
        <f>CHOOSE(CONTROL!$C$42, 14.8861, 14.8861) * CHOOSE(CONTROL!$C$21, $C$9, 100%, $E$9)</f>
        <v>14.886100000000001</v>
      </c>
      <c r="S360" s="14">
        <f>CHOOSE(CONTROL!$C$42, 13.3043, 13.3043) * CHOOSE(CONTROL!$C$21, $C$9, 100%, $E$9)</f>
        <v>13.3043</v>
      </c>
      <c r="T36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60" s="57">
        <f>(1000*CHOOSE(CONTROL!$C$42, 695, 695)*CHOOSE(CONTROL!$C$42, 0.5599, 0.5599)*CHOOSE(CONTROL!$C$42, 31, 31))/1000000</f>
        <v>12.063045499999998</v>
      </c>
      <c r="V360" s="57">
        <f>(1000*CHOOSE(CONTROL!$C$42, 500, 500)*CHOOSE(CONTROL!$C$42, 0.275, 0.275)*CHOOSE(CONTROL!$C$42, 31, 31))/1000000</f>
        <v>4.2625000000000002</v>
      </c>
      <c r="W360" s="57">
        <f>(1000*CHOOSE(CONTROL!$C$42, 0.1146, 0.1146)*CHOOSE(CONTROL!$C$42, 121.5, 121.5)*CHOOSE(CONTROL!$C$42, 31, 31))/1000000</f>
        <v>0.43164089999999994</v>
      </c>
      <c r="X360" s="57">
        <f>(31*0.1790888*100000/1000000)+(31*0.2374*100000/1000000)</f>
        <v>1.2911152800000001</v>
      </c>
      <c r="Y360" s="57"/>
      <c r="Z360" s="14"/>
      <c r="AA360" s="56"/>
      <c r="AB360" s="50">
        <f>(B360*122.58+C360*297.941+D360*89.177+E360*40.302+F360*40+G360*160+H360*0+I360*100+J360*300)/(122.58+297.941+89.177+40.302+0+40+160+100+300)</f>
        <v>13.715469296086958</v>
      </c>
      <c r="AC360" s="45">
        <f>(M360*'RAP TEMPLATE-GAS AVAILABILITY'!O359+N360*'RAP TEMPLATE-GAS AVAILABILITY'!P359+O360*'RAP TEMPLATE-GAS AVAILABILITY'!Q359+P360*'RAP TEMPLATE-GAS AVAILABILITY'!R359)/('RAP TEMPLATE-GAS AVAILABILITY'!O359+'RAP TEMPLATE-GAS AVAILABILITY'!P359+'RAP TEMPLATE-GAS AVAILABILITY'!Q359+'RAP TEMPLATE-GAS AVAILABILITY'!R359)</f>
        <v>13.620048201438848</v>
      </c>
    </row>
    <row r="361" spans="1:29" ht="15.75" x14ac:dyDescent="0.25">
      <c r="A361" s="33">
        <v>51897</v>
      </c>
      <c r="B361" s="14">
        <f>CHOOSE(CONTROL!$C$42, 14.825, 14.825) * CHOOSE(CONTROL!$C$21, $C$9, 100%, $E$9)</f>
        <v>14.824999999999999</v>
      </c>
      <c r="C361" s="14">
        <f>CHOOSE(CONTROL!$C$42, 14.8299, 14.8299) * CHOOSE(CONTROL!$C$21, $C$9, 100%, $E$9)</f>
        <v>14.8299</v>
      </c>
      <c r="D361" s="14">
        <f>CHOOSE(CONTROL!$C$42, 14.8942, 14.8942) * CHOOSE(CONTROL!$C$21, $C$9, 100%, $E$9)</f>
        <v>14.8942</v>
      </c>
      <c r="E361" s="14">
        <f>CHOOSE(CONTROL!$C$42, 14.928, 14.928) * CHOOSE(CONTROL!$C$21, $C$9, 100%, $E$9)</f>
        <v>14.928000000000001</v>
      </c>
      <c r="F361" s="14">
        <f>CHOOSE(CONTROL!$C$42, 14.8265, 14.8265)*CHOOSE(CONTROL!$C$21, $C$9, 100%, $E$9)</f>
        <v>14.826499999999999</v>
      </c>
      <c r="G361" s="14">
        <f>CHOOSE(CONTROL!$C$42, 14.8424, 14.8424)*CHOOSE(CONTROL!$C$21, $C$9, 100%, $E$9)</f>
        <v>14.8424</v>
      </c>
      <c r="H361" s="14">
        <f>CHOOSE(CONTROL!$C$42, 14.9172, 14.9172) * CHOOSE(CONTROL!$C$21, $C$9, 100%, $E$9)</f>
        <v>14.917199999999999</v>
      </c>
      <c r="I361" s="14">
        <f>CHOOSE(CONTROL!$C$42, 14.845, 14.845)* CHOOSE(CONTROL!$C$21, $C$9, 100%, $E$9)</f>
        <v>14.845000000000001</v>
      </c>
      <c r="J361" s="14">
        <f>CHOOSE(CONTROL!$C$42, 14.8195, 14.8195)* CHOOSE(CONTROL!$C$21, $C$9, 100%, $E$9)</f>
        <v>14.8195</v>
      </c>
      <c r="K361" s="53">
        <f>CHOOSE(CONTROL!$C$42, 14.8411, 14.8411) * CHOOSE(CONTROL!$C$21, $C$9, 100%, $E$9)</f>
        <v>14.841100000000001</v>
      </c>
      <c r="L361" s="14">
        <f>CHOOSE(CONTROL!$C$42, 15.5042, 15.5042) * CHOOSE(CONTROL!$C$21, $C$9, 100%, $E$9)</f>
        <v>15.504200000000001</v>
      </c>
      <c r="M361" s="14">
        <f>CHOOSE(CONTROL!$C$42, 14.6838, 14.6838) * CHOOSE(CONTROL!$C$21, $C$9, 100%, $E$9)</f>
        <v>14.6838</v>
      </c>
      <c r="N361" s="14">
        <f>CHOOSE(CONTROL!$C$42, 14.6995, 14.6995) * CHOOSE(CONTROL!$C$21, $C$9, 100%, $E$9)</f>
        <v>14.6995</v>
      </c>
      <c r="O361" s="14">
        <f>CHOOSE(CONTROL!$C$42, 14.7805, 14.7805) * CHOOSE(CONTROL!$C$21, $C$9, 100%, $E$9)</f>
        <v>14.7805</v>
      </c>
      <c r="P361" s="14">
        <f>CHOOSE(CONTROL!$C$42, 14.709, 14.709) * CHOOSE(CONTROL!$C$21, $C$9, 100%, $E$9)</f>
        <v>14.709</v>
      </c>
      <c r="Q361" s="14">
        <f>CHOOSE(CONTROL!$C$42, 15.3758, 15.3758) * CHOOSE(CONTROL!$C$21, $C$9, 100%, $E$9)</f>
        <v>15.3758</v>
      </c>
      <c r="R361" s="14">
        <f>CHOOSE(CONTROL!$C$42, 16.0012, 16.0012) * CHOOSE(CONTROL!$C$21, $C$9, 100%, $E$9)</f>
        <v>16.001200000000001</v>
      </c>
      <c r="S361" s="14">
        <f>CHOOSE(CONTROL!$C$42, 14.3944, 14.3944) * CHOOSE(CONTROL!$C$21, $C$9, 100%, $E$9)</f>
        <v>14.394399999999999</v>
      </c>
      <c r="T36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61" s="57">
        <f>(1000*CHOOSE(CONTROL!$C$42, 695, 695)*CHOOSE(CONTROL!$C$42, 0.5599, 0.5599)*CHOOSE(CONTROL!$C$42, 31, 31))/1000000</f>
        <v>12.063045499999998</v>
      </c>
      <c r="V361" s="57">
        <f>(1000*CHOOSE(CONTROL!$C$42, 500, 500)*CHOOSE(CONTROL!$C$42, 0.275, 0.275)*CHOOSE(CONTROL!$C$42, 31, 31))/1000000</f>
        <v>4.2625000000000002</v>
      </c>
      <c r="W361" s="57">
        <f>(1000*CHOOSE(CONTROL!$C$42, 0.1146, 0.1146)*CHOOSE(CONTROL!$C$42, 121.5, 121.5)*CHOOSE(CONTROL!$C$42, 31, 31))/1000000</f>
        <v>0.43164089999999994</v>
      </c>
      <c r="X361" s="57">
        <f>(31*0.1790888*100000/1000000)+(31*0.2374*100000/1000000)</f>
        <v>1.2911152800000001</v>
      </c>
      <c r="Y361" s="57"/>
      <c r="Z361" s="14"/>
      <c r="AA361" s="56"/>
      <c r="AB361" s="50">
        <f>(B361*122.58+C361*297.941+D361*89.177+E361*40.302+F361*40+G361*160+H361*0+I361*100+J361*300)/(122.58+297.941+89.177+40.302+0+40+160+100+300)</f>
        <v>14.838022665478258</v>
      </c>
      <c r="AC361" s="45">
        <f>(M361*'RAP TEMPLATE-GAS AVAILABILITY'!O360+N361*'RAP TEMPLATE-GAS AVAILABILITY'!P360+O361*'RAP TEMPLATE-GAS AVAILABILITY'!Q360+P361*'RAP TEMPLATE-GAS AVAILABILITY'!R360)/('RAP TEMPLATE-GAS AVAILABILITY'!O360+'RAP TEMPLATE-GAS AVAILABILITY'!P360+'RAP TEMPLATE-GAS AVAILABILITY'!Q360+'RAP TEMPLATE-GAS AVAILABILITY'!R360)</f>
        <v>14.732157553956835</v>
      </c>
    </row>
    <row r="362" spans="1:29" ht="15.75" x14ac:dyDescent="0.25">
      <c r="A362" s="33">
        <v>51925</v>
      </c>
      <c r="B362" s="14">
        <f>CHOOSE(CONTROL!$C$42, 15.0888, 15.0888) * CHOOSE(CONTROL!$C$21, $C$9, 100%, $E$9)</f>
        <v>15.088800000000001</v>
      </c>
      <c r="C362" s="14">
        <f>CHOOSE(CONTROL!$C$42, 15.0938, 15.0938) * CHOOSE(CONTROL!$C$21, $C$9, 100%, $E$9)</f>
        <v>15.0938</v>
      </c>
      <c r="D362" s="14">
        <f>CHOOSE(CONTROL!$C$42, 15.1581, 15.1581) * CHOOSE(CONTROL!$C$21, $C$9, 100%, $E$9)</f>
        <v>15.158099999999999</v>
      </c>
      <c r="E362" s="14">
        <f>CHOOSE(CONTROL!$C$42, 15.1918, 15.1918) * CHOOSE(CONTROL!$C$21, $C$9, 100%, $E$9)</f>
        <v>15.191800000000001</v>
      </c>
      <c r="F362" s="14">
        <f>CHOOSE(CONTROL!$C$42, 15.0904, 15.0904)*CHOOSE(CONTROL!$C$21, $C$9, 100%, $E$9)</f>
        <v>15.090400000000001</v>
      </c>
      <c r="G362" s="14">
        <f>CHOOSE(CONTROL!$C$42, 15.1063, 15.1063)*CHOOSE(CONTROL!$C$21, $C$9, 100%, $E$9)</f>
        <v>15.106299999999999</v>
      </c>
      <c r="H362" s="14">
        <f>CHOOSE(CONTROL!$C$42, 15.181, 15.181) * CHOOSE(CONTROL!$C$21, $C$9, 100%, $E$9)</f>
        <v>15.180999999999999</v>
      </c>
      <c r="I362" s="14">
        <f>CHOOSE(CONTROL!$C$42, 15.1088, 15.1088)* CHOOSE(CONTROL!$C$21, $C$9, 100%, $E$9)</f>
        <v>15.1088</v>
      </c>
      <c r="J362" s="14">
        <f>CHOOSE(CONTROL!$C$42, 15.0834, 15.0834)* CHOOSE(CONTROL!$C$21, $C$9, 100%, $E$9)</f>
        <v>15.083399999999999</v>
      </c>
      <c r="K362" s="53">
        <f>CHOOSE(CONTROL!$C$42, 15.1049, 15.1049) * CHOOSE(CONTROL!$C$21, $C$9, 100%, $E$9)</f>
        <v>15.104900000000001</v>
      </c>
      <c r="L362" s="14">
        <f>CHOOSE(CONTROL!$C$42, 15.768, 15.768) * CHOOSE(CONTROL!$C$21, $C$9, 100%, $E$9)</f>
        <v>15.768000000000001</v>
      </c>
      <c r="M362" s="14">
        <f>CHOOSE(CONTROL!$C$42, 14.945, 14.945) * CHOOSE(CONTROL!$C$21, $C$9, 100%, $E$9)</f>
        <v>14.945</v>
      </c>
      <c r="N362" s="14">
        <f>CHOOSE(CONTROL!$C$42, 14.9608, 14.9608) * CHOOSE(CONTROL!$C$21, $C$9, 100%, $E$9)</f>
        <v>14.960800000000001</v>
      </c>
      <c r="O362" s="14">
        <f>CHOOSE(CONTROL!$C$42, 15.0417, 15.0417) * CHOOSE(CONTROL!$C$21, $C$9, 100%, $E$9)</f>
        <v>15.041700000000001</v>
      </c>
      <c r="P362" s="14">
        <f>CHOOSE(CONTROL!$C$42, 14.9702, 14.9702) * CHOOSE(CONTROL!$C$21, $C$9, 100%, $E$9)</f>
        <v>14.9702</v>
      </c>
      <c r="Q362" s="14">
        <f>CHOOSE(CONTROL!$C$42, 15.637, 15.637) * CHOOSE(CONTROL!$C$21, $C$9, 100%, $E$9)</f>
        <v>15.637</v>
      </c>
      <c r="R362" s="14">
        <f>CHOOSE(CONTROL!$C$42, 16.263, 16.263) * CHOOSE(CONTROL!$C$21, $C$9, 100%, $E$9)</f>
        <v>16.263000000000002</v>
      </c>
      <c r="S362" s="14">
        <f>CHOOSE(CONTROL!$C$42, 14.6506, 14.6506) * CHOOSE(CONTROL!$C$21, $C$9, 100%, $E$9)</f>
        <v>14.650600000000001</v>
      </c>
      <c r="T36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62" s="57">
        <f>(1000*CHOOSE(CONTROL!$C$42, 695, 695)*CHOOSE(CONTROL!$C$42, 0.5599, 0.5599)*CHOOSE(CONTROL!$C$42, 28, 28))/1000000</f>
        <v>10.895653999999999</v>
      </c>
      <c r="V362" s="57">
        <f>(1000*CHOOSE(CONTROL!$C$42, 500, 500)*CHOOSE(CONTROL!$C$42, 0.275, 0.275)*CHOOSE(CONTROL!$C$42, 28, 28))/1000000</f>
        <v>3.85</v>
      </c>
      <c r="W362" s="57">
        <f>(1000*CHOOSE(CONTROL!$C$42, 0.1146, 0.1146)*CHOOSE(CONTROL!$C$42, 121.5, 121.5)*CHOOSE(CONTROL!$C$42, 28, 28))/1000000</f>
        <v>0.38986920000000003</v>
      </c>
      <c r="X362" s="57">
        <f>(28*0.1790888*100000/1000000)+(28*0.2374*100000/1000000)</f>
        <v>1.16616864</v>
      </c>
      <c r="Y362" s="57"/>
      <c r="Z362" s="14"/>
      <c r="AA362" s="56"/>
      <c r="AB362" s="50">
        <f>(B362*122.58+C362*297.941+D362*89.177+E362*40.302+F362*40+G362*160+H362*0+I362*100+J362*300)/(122.58+297.941+89.177+40.302+0+40+160+100+300)</f>
        <v>15.101899806173913</v>
      </c>
      <c r="AC362" s="45">
        <f>(M362*'RAP TEMPLATE-GAS AVAILABILITY'!O361+N362*'RAP TEMPLATE-GAS AVAILABILITY'!P361+O362*'RAP TEMPLATE-GAS AVAILABILITY'!Q361+P362*'RAP TEMPLATE-GAS AVAILABILITY'!R361)/('RAP TEMPLATE-GAS AVAILABILITY'!O361+'RAP TEMPLATE-GAS AVAILABILITY'!P361+'RAP TEMPLATE-GAS AVAILABILITY'!Q361+'RAP TEMPLATE-GAS AVAILABILITY'!R361)</f>
        <v>14.993363309352519</v>
      </c>
    </row>
    <row r="363" spans="1:29" ht="15.75" x14ac:dyDescent="0.25">
      <c r="A363" s="33">
        <v>51956</v>
      </c>
      <c r="B363" s="14">
        <f>CHOOSE(CONTROL!$C$42, 14.6605, 14.6605) * CHOOSE(CONTROL!$C$21, $C$9, 100%, $E$9)</f>
        <v>14.660500000000001</v>
      </c>
      <c r="C363" s="14">
        <f>CHOOSE(CONTROL!$C$42, 14.6655, 14.6655) * CHOOSE(CONTROL!$C$21, $C$9, 100%, $E$9)</f>
        <v>14.6655</v>
      </c>
      <c r="D363" s="14">
        <f>CHOOSE(CONTROL!$C$42, 14.7298, 14.7298) * CHOOSE(CONTROL!$C$21, $C$9, 100%, $E$9)</f>
        <v>14.729799999999999</v>
      </c>
      <c r="E363" s="14">
        <f>CHOOSE(CONTROL!$C$42, 14.7635, 14.7635) * CHOOSE(CONTROL!$C$21, $C$9, 100%, $E$9)</f>
        <v>14.763500000000001</v>
      </c>
      <c r="F363" s="14">
        <f>CHOOSE(CONTROL!$C$42, 14.6618, 14.6618)*CHOOSE(CONTROL!$C$21, $C$9, 100%, $E$9)</f>
        <v>14.661799999999999</v>
      </c>
      <c r="G363" s="14">
        <f>CHOOSE(CONTROL!$C$42, 14.6776, 14.6776)*CHOOSE(CONTROL!$C$21, $C$9, 100%, $E$9)</f>
        <v>14.6776</v>
      </c>
      <c r="H363" s="14">
        <f>CHOOSE(CONTROL!$C$42, 14.7527, 14.7527) * CHOOSE(CONTROL!$C$21, $C$9, 100%, $E$9)</f>
        <v>14.752700000000001</v>
      </c>
      <c r="I363" s="14">
        <f>CHOOSE(CONTROL!$C$42, 14.6805, 14.6805)* CHOOSE(CONTROL!$C$21, $C$9, 100%, $E$9)</f>
        <v>14.6805</v>
      </c>
      <c r="J363" s="14">
        <f>CHOOSE(CONTROL!$C$42, 14.6548, 14.6548)* CHOOSE(CONTROL!$C$21, $C$9, 100%, $E$9)</f>
        <v>14.6548</v>
      </c>
      <c r="K363" s="53">
        <f>CHOOSE(CONTROL!$C$42, 14.6766, 14.6766) * CHOOSE(CONTROL!$C$21, $C$9, 100%, $E$9)</f>
        <v>14.676600000000001</v>
      </c>
      <c r="L363" s="14">
        <f>CHOOSE(CONTROL!$C$42, 15.3397, 15.3397) * CHOOSE(CONTROL!$C$21, $C$9, 100%, $E$9)</f>
        <v>15.339700000000001</v>
      </c>
      <c r="M363" s="14">
        <f>CHOOSE(CONTROL!$C$42, 14.5207, 14.5207) * CHOOSE(CONTROL!$C$21, $C$9, 100%, $E$9)</f>
        <v>14.5207</v>
      </c>
      <c r="N363" s="14">
        <f>CHOOSE(CONTROL!$C$42, 14.5364, 14.5364) * CHOOSE(CONTROL!$C$21, $C$9, 100%, $E$9)</f>
        <v>14.5364</v>
      </c>
      <c r="O363" s="14">
        <f>CHOOSE(CONTROL!$C$42, 14.6177, 14.6177) * CHOOSE(CONTROL!$C$21, $C$9, 100%, $E$9)</f>
        <v>14.617699999999999</v>
      </c>
      <c r="P363" s="14">
        <f>CHOOSE(CONTROL!$C$42, 14.5462, 14.5462) * CHOOSE(CONTROL!$C$21, $C$9, 100%, $E$9)</f>
        <v>14.546200000000001</v>
      </c>
      <c r="Q363" s="14">
        <f>CHOOSE(CONTROL!$C$42, 15.213, 15.213) * CHOOSE(CONTROL!$C$21, $C$9, 100%, $E$9)</f>
        <v>15.212999999999999</v>
      </c>
      <c r="R363" s="14">
        <f>CHOOSE(CONTROL!$C$42, 15.838, 15.838) * CHOOSE(CONTROL!$C$21, $C$9, 100%, $E$9)</f>
        <v>15.837999999999999</v>
      </c>
      <c r="S363" s="14">
        <f>CHOOSE(CONTROL!$C$42, 14.2347, 14.2347) * CHOOSE(CONTROL!$C$21, $C$9, 100%, $E$9)</f>
        <v>14.2347</v>
      </c>
      <c r="T36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63" s="57">
        <f>(1000*CHOOSE(CONTROL!$C$42, 695, 695)*CHOOSE(CONTROL!$C$42, 0.5599, 0.5599)*CHOOSE(CONTROL!$C$42, 31, 31))/1000000</f>
        <v>12.063045499999998</v>
      </c>
      <c r="V363" s="57">
        <f>(1000*CHOOSE(CONTROL!$C$42, 500, 500)*CHOOSE(CONTROL!$C$42, 0.275, 0.275)*CHOOSE(CONTROL!$C$42, 31, 31))/1000000</f>
        <v>4.2625000000000002</v>
      </c>
      <c r="W363" s="57">
        <f>(1000*CHOOSE(CONTROL!$C$42, 0.1146, 0.1146)*CHOOSE(CONTROL!$C$42, 121.5, 121.5)*CHOOSE(CONTROL!$C$42, 31, 31))/1000000</f>
        <v>0.43164089999999994</v>
      </c>
      <c r="X363" s="57">
        <f>(31*0.1790888*100000/1000000)+(31*0.2374*100000/1000000)</f>
        <v>1.2911152800000001</v>
      </c>
      <c r="Y363" s="57"/>
      <c r="Z363" s="14"/>
      <c r="AA363" s="56"/>
      <c r="AB363" s="50">
        <f>(B363*122.58+C363*297.941+D363*89.177+E363*40.302+F363*40+G363*160+H363*0+I363*100+J363*300)/(122.58+297.941+89.177+40.302+0+40+160+100+300)</f>
        <v>14.673455458347822</v>
      </c>
      <c r="AC363" s="45">
        <f>(M363*'RAP TEMPLATE-GAS AVAILABILITY'!O362+N363*'RAP TEMPLATE-GAS AVAILABILITY'!P362+O363*'RAP TEMPLATE-GAS AVAILABILITY'!Q362+P363*'RAP TEMPLATE-GAS AVAILABILITY'!R362)/('RAP TEMPLATE-GAS AVAILABILITY'!O362+'RAP TEMPLATE-GAS AVAILABILITY'!P362+'RAP TEMPLATE-GAS AVAILABILITY'!Q362+'RAP TEMPLATE-GAS AVAILABILITY'!R362)</f>
        <v>14.569236690647482</v>
      </c>
    </row>
    <row r="364" spans="1:29" ht="15.75" x14ac:dyDescent="0.25">
      <c r="A364" s="33">
        <v>51986</v>
      </c>
      <c r="B364" s="14">
        <f>CHOOSE(CONTROL!$C$42, 14.6178, 14.6178) * CHOOSE(CONTROL!$C$21, $C$9, 100%, $E$9)</f>
        <v>14.617800000000001</v>
      </c>
      <c r="C364" s="14">
        <f>CHOOSE(CONTROL!$C$42, 14.6222, 14.6222) * CHOOSE(CONTROL!$C$21, $C$9, 100%, $E$9)</f>
        <v>14.622199999999999</v>
      </c>
      <c r="D364" s="14">
        <f>CHOOSE(CONTROL!$C$42, 14.8229, 14.8229) * CHOOSE(CONTROL!$C$21, $C$9, 100%, $E$9)</f>
        <v>14.822900000000001</v>
      </c>
      <c r="E364" s="14">
        <f>CHOOSE(CONTROL!$C$42, 14.8547, 14.8547) * CHOOSE(CONTROL!$C$21, $C$9, 100%, $E$9)</f>
        <v>14.854699999999999</v>
      </c>
      <c r="F364" s="14">
        <f>CHOOSE(CONTROL!$C$42, 14.6024, 14.6024)*CHOOSE(CONTROL!$C$21, $C$9, 100%, $E$9)</f>
        <v>14.602399999999999</v>
      </c>
      <c r="G364" s="14">
        <f>CHOOSE(CONTROL!$C$42, 14.618, 14.618)*CHOOSE(CONTROL!$C$21, $C$9, 100%, $E$9)</f>
        <v>14.618</v>
      </c>
      <c r="H364" s="14">
        <f>CHOOSE(CONTROL!$C$42, 14.8445, 14.8445) * CHOOSE(CONTROL!$C$21, $C$9, 100%, $E$9)</f>
        <v>14.8445</v>
      </c>
      <c r="I364" s="14">
        <f>CHOOSE(CONTROL!$C$42, 14.6306, 14.6306)* CHOOSE(CONTROL!$C$21, $C$9, 100%, $E$9)</f>
        <v>14.630599999999999</v>
      </c>
      <c r="J364" s="14">
        <f>CHOOSE(CONTROL!$C$42, 14.5954, 14.5954)* CHOOSE(CONTROL!$C$21, $C$9, 100%, $E$9)</f>
        <v>14.5954</v>
      </c>
      <c r="K364" s="53">
        <f>CHOOSE(CONTROL!$C$42, 14.6267, 14.6267) * CHOOSE(CONTROL!$C$21, $C$9, 100%, $E$9)</f>
        <v>14.6267</v>
      </c>
      <c r="L364" s="14">
        <f>CHOOSE(CONTROL!$C$42, 15.4315, 15.4315) * CHOOSE(CONTROL!$C$21, $C$9, 100%, $E$9)</f>
        <v>15.4315</v>
      </c>
      <c r="M364" s="14">
        <f>CHOOSE(CONTROL!$C$42, 14.4619, 14.4619) * CHOOSE(CONTROL!$C$21, $C$9, 100%, $E$9)</f>
        <v>14.4619</v>
      </c>
      <c r="N364" s="14">
        <f>CHOOSE(CONTROL!$C$42, 14.4774, 14.4774) * CHOOSE(CONTROL!$C$21, $C$9, 100%, $E$9)</f>
        <v>14.477399999999999</v>
      </c>
      <c r="O364" s="14">
        <f>CHOOSE(CONTROL!$C$42, 14.7085, 14.7085) * CHOOSE(CONTROL!$C$21, $C$9, 100%, $E$9)</f>
        <v>14.708500000000001</v>
      </c>
      <c r="P364" s="14">
        <f>CHOOSE(CONTROL!$C$42, 14.4968, 14.4968) * CHOOSE(CONTROL!$C$21, $C$9, 100%, $E$9)</f>
        <v>14.4968</v>
      </c>
      <c r="Q364" s="14">
        <f>CHOOSE(CONTROL!$C$42, 15.3038, 15.3038) * CHOOSE(CONTROL!$C$21, $C$9, 100%, $E$9)</f>
        <v>15.303800000000001</v>
      </c>
      <c r="R364" s="14">
        <f>CHOOSE(CONTROL!$C$42, 15.9291, 15.9291) * CHOOSE(CONTROL!$C$21, $C$9, 100%, $E$9)</f>
        <v>15.9291</v>
      </c>
      <c r="S364" s="14">
        <f>CHOOSE(CONTROL!$C$42, 14.1925, 14.1925) * CHOOSE(CONTROL!$C$21, $C$9, 100%, $E$9)</f>
        <v>14.192500000000001</v>
      </c>
      <c r="T36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64" s="57">
        <f>(1000*CHOOSE(CONTROL!$C$42, 695, 695)*CHOOSE(CONTROL!$C$42, 0.5599, 0.5599)*CHOOSE(CONTROL!$C$42, 30, 30))/1000000</f>
        <v>11.673914999999997</v>
      </c>
      <c r="V364" s="57">
        <f>(1000*CHOOSE(CONTROL!$C$42, 500, 500)*CHOOSE(CONTROL!$C$42, 0.275, 0.275)*CHOOSE(CONTROL!$C$42, 30, 30))/1000000</f>
        <v>4.125</v>
      </c>
      <c r="W364" s="57">
        <f>(1000*CHOOSE(CONTROL!$C$42, 0.1146, 0.1146)*CHOOSE(CONTROL!$C$42, 121.5, 121.5)*CHOOSE(CONTROL!$C$42, 30, 30))/1000000</f>
        <v>0.417717</v>
      </c>
      <c r="X364" s="57">
        <f>(30*0.1790888*245000/1000000)+(30*0.2374*100000/1000000)</f>
        <v>2.0285026799999999</v>
      </c>
      <c r="Y364" s="57"/>
      <c r="Z364" s="14"/>
      <c r="AA364" s="56"/>
      <c r="AB364" s="50">
        <f>(B364*141.293+C364*267.993+D364*115.016+E364*89.698+F364*40+G364*185+H364*0+I364*100+J364*300)/(141.293+267.993+115.016+89.698+0+40+185+100+300)</f>
        <v>14.650083621468927</v>
      </c>
      <c r="AC364" s="45">
        <f>(M364*'RAP TEMPLATE-GAS AVAILABILITY'!O363+N364*'RAP TEMPLATE-GAS AVAILABILITY'!P363+O364*'RAP TEMPLATE-GAS AVAILABILITY'!Q363+P364*'RAP TEMPLATE-GAS AVAILABILITY'!R363)/('RAP TEMPLATE-GAS AVAILABILITY'!O363+'RAP TEMPLATE-GAS AVAILABILITY'!P363+'RAP TEMPLATE-GAS AVAILABILITY'!Q363+'RAP TEMPLATE-GAS AVAILABILITY'!R363)</f>
        <v>14.539679856115107</v>
      </c>
    </row>
    <row r="365" spans="1:29" ht="15.75" x14ac:dyDescent="0.25">
      <c r="A365" s="33">
        <v>52017</v>
      </c>
      <c r="B365" s="14">
        <f>CHOOSE(CONTROL!$C$42, 14.7482, 14.7482) * CHOOSE(CONTROL!$C$21, $C$9, 100%, $E$9)</f>
        <v>14.748200000000001</v>
      </c>
      <c r="C365" s="14">
        <f>CHOOSE(CONTROL!$C$42, 14.7561, 14.7561) * CHOOSE(CONTROL!$C$21, $C$9, 100%, $E$9)</f>
        <v>14.7561</v>
      </c>
      <c r="D365" s="14">
        <f>CHOOSE(CONTROL!$C$42, 14.9537, 14.9537) * CHOOSE(CONTROL!$C$21, $C$9, 100%, $E$9)</f>
        <v>14.9537</v>
      </c>
      <c r="E365" s="14">
        <f>CHOOSE(CONTROL!$C$42, 14.9848, 14.9848) * CHOOSE(CONTROL!$C$21, $C$9, 100%, $E$9)</f>
        <v>14.9848</v>
      </c>
      <c r="F365" s="14">
        <f>CHOOSE(CONTROL!$C$42, 14.7316, 14.7316)*CHOOSE(CONTROL!$C$21, $C$9, 100%, $E$9)</f>
        <v>14.7316</v>
      </c>
      <c r="G365" s="14">
        <f>CHOOSE(CONTROL!$C$42, 14.7477, 14.7477)*CHOOSE(CONTROL!$C$21, $C$9, 100%, $E$9)</f>
        <v>14.7477</v>
      </c>
      <c r="H365" s="14">
        <f>CHOOSE(CONTROL!$C$42, 14.9735, 14.9735) * CHOOSE(CONTROL!$C$21, $C$9, 100%, $E$9)</f>
        <v>14.9735</v>
      </c>
      <c r="I365" s="14">
        <f>CHOOSE(CONTROL!$C$42, 14.7596, 14.7596)* CHOOSE(CONTROL!$C$21, $C$9, 100%, $E$9)</f>
        <v>14.759600000000001</v>
      </c>
      <c r="J365" s="14">
        <f>CHOOSE(CONTROL!$C$42, 14.7246, 14.7246)* CHOOSE(CONTROL!$C$21, $C$9, 100%, $E$9)</f>
        <v>14.724600000000001</v>
      </c>
      <c r="K365" s="53">
        <f>CHOOSE(CONTROL!$C$42, 14.7557, 14.7557) * CHOOSE(CONTROL!$C$21, $C$9, 100%, $E$9)</f>
        <v>14.755699999999999</v>
      </c>
      <c r="L365" s="14">
        <f>CHOOSE(CONTROL!$C$42, 15.5605, 15.5605) * CHOOSE(CONTROL!$C$21, $C$9, 100%, $E$9)</f>
        <v>15.560499999999999</v>
      </c>
      <c r="M365" s="14">
        <f>CHOOSE(CONTROL!$C$42, 14.5898, 14.5898) * CHOOSE(CONTROL!$C$21, $C$9, 100%, $E$9)</f>
        <v>14.5898</v>
      </c>
      <c r="N365" s="14">
        <f>CHOOSE(CONTROL!$C$42, 14.6058, 14.6058) * CHOOSE(CONTROL!$C$21, $C$9, 100%, $E$9)</f>
        <v>14.6058</v>
      </c>
      <c r="O365" s="14">
        <f>CHOOSE(CONTROL!$C$42, 14.8362, 14.8362) * CHOOSE(CONTROL!$C$21, $C$9, 100%, $E$9)</f>
        <v>14.8362</v>
      </c>
      <c r="P365" s="14">
        <f>CHOOSE(CONTROL!$C$42, 14.6245, 14.6245) * CHOOSE(CONTROL!$C$21, $C$9, 100%, $E$9)</f>
        <v>14.624499999999999</v>
      </c>
      <c r="Q365" s="14">
        <f>CHOOSE(CONTROL!$C$42, 15.4315, 15.4315) * CHOOSE(CONTROL!$C$21, $C$9, 100%, $E$9)</f>
        <v>15.4315</v>
      </c>
      <c r="R365" s="14">
        <f>CHOOSE(CONTROL!$C$42, 16.0571, 16.0571) * CHOOSE(CONTROL!$C$21, $C$9, 100%, $E$9)</f>
        <v>16.057099999999998</v>
      </c>
      <c r="S365" s="14">
        <f>CHOOSE(CONTROL!$C$42, 14.3177, 14.3177) * CHOOSE(CONTROL!$C$21, $C$9, 100%, $E$9)</f>
        <v>14.3177</v>
      </c>
      <c r="T36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65" s="57">
        <f>(1000*CHOOSE(CONTROL!$C$42, 695, 695)*CHOOSE(CONTROL!$C$42, 0.5599, 0.5599)*CHOOSE(CONTROL!$C$42, 31, 31))/1000000</f>
        <v>12.063045499999998</v>
      </c>
      <c r="V365" s="57">
        <f>(1000*CHOOSE(CONTROL!$C$42, 500, 500)*CHOOSE(CONTROL!$C$42, 0.275, 0.275)*CHOOSE(CONTROL!$C$42, 31, 31))/1000000</f>
        <v>4.2625000000000002</v>
      </c>
      <c r="W365" s="57">
        <f>(1000*CHOOSE(CONTROL!$C$42, 0.1146, 0.1146)*CHOOSE(CONTROL!$C$42, 121.5, 121.5)*CHOOSE(CONTROL!$C$42, 31, 31))/1000000</f>
        <v>0.43164089999999994</v>
      </c>
      <c r="X365" s="57">
        <f>(31*0.1790888*245000/1000000)+(31*0.2374*100000/1000000)</f>
        <v>2.0961194359999999</v>
      </c>
      <c r="Y365" s="57"/>
      <c r="Z365" s="14"/>
      <c r="AA365" s="56"/>
      <c r="AB365" s="50">
        <f>(B365*194.205+C365*267.466+D365*133.845+E365*53.484+F365*40+G365*185+H365*0+I365*100+J365*300)/(194.205+267.466+133.845+53.484+0+40+185+100+300)</f>
        <v>14.776124602276298</v>
      </c>
      <c r="AC365" s="45">
        <f>(M365*'RAP TEMPLATE-GAS AVAILABILITY'!O364+N365*'RAP TEMPLATE-GAS AVAILABILITY'!P364+O365*'RAP TEMPLATE-GAS AVAILABILITY'!Q364+P365*'RAP TEMPLATE-GAS AVAILABILITY'!R364)/('RAP TEMPLATE-GAS AVAILABILITY'!O364+'RAP TEMPLATE-GAS AVAILABILITY'!P364+'RAP TEMPLATE-GAS AVAILABILITY'!Q364+'RAP TEMPLATE-GAS AVAILABILITY'!R364)</f>
        <v>14.667610071942445</v>
      </c>
    </row>
    <row r="366" spans="1:29" ht="15.75" x14ac:dyDescent="0.25">
      <c r="A366" s="33">
        <v>52047</v>
      </c>
      <c r="B366" s="14">
        <f>CHOOSE(CONTROL!$C$42, 15.1664, 15.1664) * CHOOSE(CONTROL!$C$21, $C$9, 100%, $E$9)</f>
        <v>15.166399999999999</v>
      </c>
      <c r="C366" s="14">
        <f>CHOOSE(CONTROL!$C$42, 15.1743, 15.1743) * CHOOSE(CONTROL!$C$21, $C$9, 100%, $E$9)</f>
        <v>15.174300000000001</v>
      </c>
      <c r="D366" s="14">
        <f>CHOOSE(CONTROL!$C$42, 15.3719, 15.3719) * CHOOSE(CONTROL!$C$21, $C$9, 100%, $E$9)</f>
        <v>15.3719</v>
      </c>
      <c r="E366" s="14">
        <f>CHOOSE(CONTROL!$C$42, 15.403, 15.403) * CHOOSE(CONTROL!$C$21, $C$9, 100%, $E$9)</f>
        <v>15.403</v>
      </c>
      <c r="F366" s="14">
        <f>CHOOSE(CONTROL!$C$42, 15.1502, 15.1502)*CHOOSE(CONTROL!$C$21, $C$9, 100%, $E$9)</f>
        <v>15.1502</v>
      </c>
      <c r="G366" s="14">
        <f>CHOOSE(CONTROL!$C$42, 15.1664, 15.1664)*CHOOSE(CONTROL!$C$21, $C$9, 100%, $E$9)</f>
        <v>15.166399999999999</v>
      </c>
      <c r="H366" s="14">
        <f>CHOOSE(CONTROL!$C$42, 15.3917, 15.3917) * CHOOSE(CONTROL!$C$21, $C$9, 100%, $E$9)</f>
        <v>15.3917</v>
      </c>
      <c r="I366" s="14">
        <f>CHOOSE(CONTROL!$C$42, 15.1778, 15.1778)* CHOOSE(CONTROL!$C$21, $C$9, 100%, $E$9)</f>
        <v>15.1778</v>
      </c>
      <c r="J366" s="14">
        <f>CHOOSE(CONTROL!$C$42, 15.1432, 15.1432)* CHOOSE(CONTROL!$C$21, $C$9, 100%, $E$9)</f>
        <v>15.1432</v>
      </c>
      <c r="K366" s="53">
        <f>CHOOSE(CONTROL!$C$42, 15.1739, 15.1739) * CHOOSE(CONTROL!$C$21, $C$9, 100%, $E$9)</f>
        <v>15.1739</v>
      </c>
      <c r="L366" s="14">
        <f>CHOOSE(CONTROL!$C$42, 15.9787, 15.9787) * CHOOSE(CONTROL!$C$21, $C$9, 100%, $E$9)</f>
        <v>15.9787</v>
      </c>
      <c r="M366" s="14">
        <f>CHOOSE(CONTROL!$C$42, 15.0042, 15.0042) * CHOOSE(CONTROL!$C$21, $C$9, 100%, $E$9)</f>
        <v>15.004200000000001</v>
      </c>
      <c r="N366" s="14">
        <f>CHOOSE(CONTROL!$C$42, 15.0203, 15.0203) * CHOOSE(CONTROL!$C$21, $C$9, 100%, $E$9)</f>
        <v>15.020300000000001</v>
      </c>
      <c r="O366" s="14">
        <f>CHOOSE(CONTROL!$C$42, 15.2502, 15.2502) * CHOOSE(CONTROL!$C$21, $C$9, 100%, $E$9)</f>
        <v>15.2502</v>
      </c>
      <c r="P366" s="14">
        <f>CHOOSE(CONTROL!$C$42, 15.0385, 15.0385) * CHOOSE(CONTROL!$C$21, $C$9, 100%, $E$9)</f>
        <v>15.038500000000001</v>
      </c>
      <c r="Q366" s="14">
        <f>CHOOSE(CONTROL!$C$42, 15.8455, 15.8455) * CHOOSE(CONTROL!$C$21, $C$9, 100%, $E$9)</f>
        <v>15.845499999999999</v>
      </c>
      <c r="R366" s="14">
        <f>CHOOSE(CONTROL!$C$42, 16.4721, 16.4721) * CHOOSE(CONTROL!$C$21, $C$9, 100%, $E$9)</f>
        <v>16.472100000000001</v>
      </c>
      <c r="S366" s="14">
        <f>CHOOSE(CONTROL!$C$42, 14.7238, 14.7238) * CHOOSE(CONTROL!$C$21, $C$9, 100%, $E$9)</f>
        <v>14.723800000000001</v>
      </c>
      <c r="T36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66" s="57">
        <f>(1000*CHOOSE(CONTROL!$C$42, 695, 695)*CHOOSE(CONTROL!$C$42, 0.5599, 0.5599)*CHOOSE(CONTROL!$C$42, 30, 30))/1000000</f>
        <v>11.673914999999997</v>
      </c>
      <c r="V366" s="57">
        <f>(1000*CHOOSE(CONTROL!$C$42, 500, 500)*CHOOSE(CONTROL!$C$42, 0.275, 0.275)*CHOOSE(CONTROL!$C$42, 30, 30))/1000000</f>
        <v>4.125</v>
      </c>
      <c r="W366" s="57">
        <f>(1000*CHOOSE(CONTROL!$C$42, 0.1146, 0.1146)*CHOOSE(CONTROL!$C$42, 121.5, 121.5)*CHOOSE(CONTROL!$C$42, 30, 30))/1000000</f>
        <v>0.417717</v>
      </c>
      <c r="X366" s="57">
        <f>(30*0.1790888*245000/1000000)+(30*0.2374*100000/1000000)</f>
        <v>2.0285026799999999</v>
      </c>
      <c r="Y366" s="57"/>
      <c r="Z366" s="14"/>
      <c r="AA366" s="56"/>
      <c r="AB366" s="50">
        <f>(B366*194.205+C366*267.466+D366*133.845+E366*53.484+F366*40+G366*185+H366*0+I366*100+J366*300)/(194.205+267.466+133.845+53.484+0+40+185+100+300)</f>
        <v>15.194503958634224</v>
      </c>
      <c r="AC366" s="45">
        <f>(M366*'RAP TEMPLATE-GAS AVAILABILITY'!O365+N366*'RAP TEMPLATE-GAS AVAILABILITY'!P365+O366*'RAP TEMPLATE-GAS AVAILABILITY'!Q365+P366*'RAP TEMPLATE-GAS AVAILABILITY'!R365)/('RAP TEMPLATE-GAS AVAILABILITY'!O365+'RAP TEMPLATE-GAS AVAILABILITY'!P365+'RAP TEMPLATE-GAS AVAILABILITY'!Q365+'RAP TEMPLATE-GAS AVAILABILITY'!R365)</f>
        <v>15.081863309352519</v>
      </c>
    </row>
    <row r="367" spans="1:29" ht="15.75" x14ac:dyDescent="0.25">
      <c r="A367" s="33">
        <v>52078</v>
      </c>
      <c r="B367" s="14">
        <f>CHOOSE(CONTROL!$C$42, 14.8755, 14.8755) * CHOOSE(CONTROL!$C$21, $C$9, 100%, $E$9)</f>
        <v>14.875500000000001</v>
      </c>
      <c r="C367" s="14">
        <f>CHOOSE(CONTROL!$C$42, 14.8834, 14.8834) * CHOOSE(CONTROL!$C$21, $C$9, 100%, $E$9)</f>
        <v>14.8834</v>
      </c>
      <c r="D367" s="14">
        <f>CHOOSE(CONTROL!$C$42, 15.081, 15.081) * CHOOSE(CONTROL!$C$21, $C$9, 100%, $E$9)</f>
        <v>15.081</v>
      </c>
      <c r="E367" s="14">
        <f>CHOOSE(CONTROL!$C$42, 15.1122, 15.1122) * CHOOSE(CONTROL!$C$21, $C$9, 100%, $E$9)</f>
        <v>15.1122</v>
      </c>
      <c r="F367" s="14">
        <f>CHOOSE(CONTROL!$C$42, 14.8598, 14.8598)*CHOOSE(CONTROL!$C$21, $C$9, 100%, $E$9)</f>
        <v>14.8598</v>
      </c>
      <c r="G367" s="14">
        <f>CHOOSE(CONTROL!$C$42, 14.8761, 14.8761)*CHOOSE(CONTROL!$C$21, $C$9, 100%, $E$9)</f>
        <v>14.876099999999999</v>
      </c>
      <c r="H367" s="14">
        <f>CHOOSE(CONTROL!$C$42, 15.1008, 15.1008) * CHOOSE(CONTROL!$C$21, $C$9, 100%, $E$9)</f>
        <v>15.1008</v>
      </c>
      <c r="I367" s="14">
        <f>CHOOSE(CONTROL!$C$42, 14.8869, 14.8869)* CHOOSE(CONTROL!$C$21, $C$9, 100%, $E$9)</f>
        <v>14.886900000000001</v>
      </c>
      <c r="J367" s="14">
        <f>CHOOSE(CONTROL!$C$42, 14.8528, 14.8528)* CHOOSE(CONTROL!$C$21, $C$9, 100%, $E$9)</f>
        <v>14.8528</v>
      </c>
      <c r="K367" s="53">
        <f>CHOOSE(CONTROL!$C$42, 14.883, 14.883) * CHOOSE(CONTROL!$C$21, $C$9, 100%, $E$9)</f>
        <v>14.882999999999999</v>
      </c>
      <c r="L367" s="14">
        <f>CHOOSE(CONTROL!$C$42, 15.6878, 15.6878) * CHOOSE(CONTROL!$C$21, $C$9, 100%, $E$9)</f>
        <v>15.687799999999999</v>
      </c>
      <c r="M367" s="14">
        <f>CHOOSE(CONTROL!$C$42, 14.7167, 14.7167) * CHOOSE(CONTROL!$C$21, $C$9, 100%, $E$9)</f>
        <v>14.716699999999999</v>
      </c>
      <c r="N367" s="14">
        <f>CHOOSE(CONTROL!$C$42, 14.7329, 14.7329) * CHOOSE(CONTROL!$C$21, $C$9, 100%, $E$9)</f>
        <v>14.732900000000001</v>
      </c>
      <c r="O367" s="14">
        <f>CHOOSE(CONTROL!$C$42, 14.9622, 14.9622) * CHOOSE(CONTROL!$C$21, $C$9, 100%, $E$9)</f>
        <v>14.962199999999999</v>
      </c>
      <c r="P367" s="14">
        <f>CHOOSE(CONTROL!$C$42, 14.7505, 14.7505) * CHOOSE(CONTROL!$C$21, $C$9, 100%, $E$9)</f>
        <v>14.750500000000001</v>
      </c>
      <c r="Q367" s="14">
        <f>CHOOSE(CONTROL!$C$42, 15.5575, 15.5575) * CHOOSE(CONTROL!$C$21, $C$9, 100%, $E$9)</f>
        <v>15.557499999999999</v>
      </c>
      <c r="R367" s="14">
        <f>CHOOSE(CONTROL!$C$42, 16.1834, 16.1834) * CHOOSE(CONTROL!$C$21, $C$9, 100%, $E$9)</f>
        <v>16.183399999999999</v>
      </c>
      <c r="S367" s="14">
        <f>CHOOSE(CONTROL!$C$42, 14.4414, 14.4414) * CHOOSE(CONTROL!$C$21, $C$9, 100%, $E$9)</f>
        <v>14.4414</v>
      </c>
      <c r="T36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67" s="57">
        <f>(1000*CHOOSE(CONTROL!$C$42, 695, 695)*CHOOSE(CONTROL!$C$42, 0.5599, 0.5599)*CHOOSE(CONTROL!$C$42, 31, 31))/1000000</f>
        <v>12.063045499999998</v>
      </c>
      <c r="V367" s="57">
        <f>(1000*CHOOSE(CONTROL!$C$42, 500, 500)*CHOOSE(CONTROL!$C$42, 0.275, 0.275)*CHOOSE(CONTROL!$C$42, 31, 31))/1000000</f>
        <v>4.2625000000000002</v>
      </c>
      <c r="W367" s="57">
        <f>(1000*CHOOSE(CONTROL!$C$42, 0.1146, 0.1146)*CHOOSE(CONTROL!$C$42, 121.5, 121.5)*CHOOSE(CONTROL!$C$42, 31, 31))/1000000</f>
        <v>0.43164089999999994</v>
      </c>
      <c r="X367" s="57">
        <f>(31*0.1790888*245000/1000000)+(31*0.2374*100000/1000000)</f>
        <v>2.0961194359999999</v>
      </c>
      <c r="Y367" s="57"/>
      <c r="Z367" s="14"/>
      <c r="AA367" s="56"/>
      <c r="AB367" s="50">
        <f>(B367*194.205+C367*267.466+D367*133.845+E367*53.484+F367*40+G367*185+H367*0+I367*100+J367*300)/(194.205+267.466+133.845+53.484+0+40+185+100+300)</f>
        <v>14.903828721899528</v>
      </c>
      <c r="AC367" s="45">
        <f>(M367*'RAP TEMPLATE-GAS AVAILABILITY'!O366+N367*'RAP TEMPLATE-GAS AVAILABILITY'!P366+O367*'RAP TEMPLATE-GAS AVAILABILITY'!Q366+P367*'RAP TEMPLATE-GAS AVAILABILITY'!R366)/('RAP TEMPLATE-GAS AVAILABILITY'!O366+'RAP TEMPLATE-GAS AVAILABILITY'!P366+'RAP TEMPLATE-GAS AVAILABILITY'!Q366+'RAP TEMPLATE-GAS AVAILABILITY'!R366)</f>
        <v>14.794174100719424</v>
      </c>
    </row>
    <row r="368" spans="1:29" ht="15.75" x14ac:dyDescent="0.25">
      <c r="A368" s="33">
        <v>52109</v>
      </c>
      <c r="B368" s="14">
        <f>CHOOSE(CONTROL!$C$42, 14.141, 14.141) * CHOOSE(CONTROL!$C$21, $C$9, 100%, $E$9)</f>
        <v>14.141</v>
      </c>
      <c r="C368" s="14">
        <f>CHOOSE(CONTROL!$C$42, 14.1489, 14.1489) * CHOOSE(CONTROL!$C$21, $C$9, 100%, $E$9)</f>
        <v>14.148899999999999</v>
      </c>
      <c r="D368" s="14">
        <f>CHOOSE(CONTROL!$C$42, 14.3465, 14.3465) * CHOOSE(CONTROL!$C$21, $C$9, 100%, $E$9)</f>
        <v>14.346500000000001</v>
      </c>
      <c r="E368" s="14">
        <f>CHOOSE(CONTROL!$C$42, 14.3777, 14.3777) * CHOOSE(CONTROL!$C$21, $C$9, 100%, $E$9)</f>
        <v>14.377700000000001</v>
      </c>
      <c r="F368" s="14">
        <f>CHOOSE(CONTROL!$C$42, 14.1255, 14.1255)*CHOOSE(CONTROL!$C$21, $C$9, 100%, $E$9)</f>
        <v>14.125500000000001</v>
      </c>
      <c r="G368" s="14">
        <f>CHOOSE(CONTROL!$C$42, 14.1418, 14.1418)*CHOOSE(CONTROL!$C$21, $C$9, 100%, $E$9)</f>
        <v>14.1418</v>
      </c>
      <c r="H368" s="14">
        <f>CHOOSE(CONTROL!$C$42, 14.3663, 14.3663) * CHOOSE(CONTROL!$C$21, $C$9, 100%, $E$9)</f>
        <v>14.366300000000001</v>
      </c>
      <c r="I368" s="14">
        <f>CHOOSE(CONTROL!$C$42, 14.1524, 14.1524)* CHOOSE(CONTROL!$C$21, $C$9, 100%, $E$9)</f>
        <v>14.1524</v>
      </c>
      <c r="J368" s="14">
        <f>CHOOSE(CONTROL!$C$42, 14.1185, 14.1185)* CHOOSE(CONTROL!$C$21, $C$9, 100%, $E$9)</f>
        <v>14.118499999999999</v>
      </c>
      <c r="K368" s="53">
        <f>CHOOSE(CONTROL!$C$42, 14.1485, 14.1485) * CHOOSE(CONTROL!$C$21, $C$9, 100%, $E$9)</f>
        <v>14.1485</v>
      </c>
      <c r="L368" s="14">
        <f>CHOOSE(CONTROL!$C$42, 14.9533, 14.9533) * CHOOSE(CONTROL!$C$21, $C$9, 100%, $E$9)</f>
        <v>14.9533</v>
      </c>
      <c r="M368" s="14">
        <f>CHOOSE(CONTROL!$C$42, 13.9898, 13.9898) * CHOOSE(CONTROL!$C$21, $C$9, 100%, $E$9)</f>
        <v>13.989800000000001</v>
      </c>
      <c r="N368" s="14">
        <f>CHOOSE(CONTROL!$C$42, 14.006, 14.006) * CHOOSE(CONTROL!$C$21, $C$9, 100%, $E$9)</f>
        <v>14.006</v>
      </c>
      <c r="O368" s="14">
        <f>CHOOSE(CONTROL!$C$42, 14.2351, 14.2351) * CHOOSE(CONTROL!$C$21, $C$9, 100%, $E$9)</f>
        <v>14.235099999999999</v>
      </c>
      <c r="P368" s="14">
        <f>CHOOSE(CONTROL!$C$42, 14.0234, 14.0234) * CHOOSE(CONTROL!$C$21, $C$9, 100%, $E$9)</f>
        <v>14.023400000000001</v>
      </c>
      <c r="Q368" s="14">
        <f>CHOOSE(CONTROL!$C$42, 14.8304, 14.8304) * CHOOSE(CONTROL!$C$21, $C$9, 100%, $E$9)</f>
        <v>14.830399999999999</v>
      </c>
      <c r="R368" s="14">
        <f>CHOOSE(CONTROL!$C$42, 15.4545, 15.4545) * CHOOSE(CONTROL!$C$21, $C$9, 100%, $E$9)</f>
        <v>15.454499999999999</v>
      </c>
      <c r="S368" s="14">
        <f>CHOOSE(CONTROL!$C$42, 13.7281, 13.7281) * CHOOSE(CONTROL!$C$21, $C$9, 100%, $E$9)</f>
        <v>13.7281</v>
      </c>
      <c r="T36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68" s="57">
        <f>(1000*CHOOSE(CONTROL!$C$42, 695, 695)*CHOOSE(CONTROL!$C$42, 0.5599, 0.5599)*CHOOSE(CONTROL!$C$42, 31, 31))/1000000</f>
        <v>12.063045499999998</v>
      </c>
      <c r="V368" s="57">
        <f>(1000*CHOOSE(CONTROL!$C$42, 500, 500)*CHOOSE(CONTROL!$C$42, 0.275, 0.275)*CHOOSE(CONTROL!$C$42, 31, 31))/1000000</f>
        <v>4.2625000000000002</v>
      </c>
      <c r="W368" s="57">
        <f>(1000*CHOOSE(CONTROL!$C$42, 0.1146, 0.1146)*CHOOSE(CONTROL!$C$42, 121.5, 121.5)*CHOOSE(CONTROL!$C$42, 31, 31))/1000000</f>
        <v>0.43164089999999994</v>
      </c>
      <c r="X368" s="57">
        <f>(31*0.1790888*245000/1000000)+(31*0.2374*100000/1000000)</f>
        <v>2.0961194359999999</v>
      </c>
      <c r="Y368" s="57"/>
      <c r="Z368" s="14"/>
      <c r="AA368" s="56"/>
      <c r="AB368" s="50">
        <f>(B368*194.205+C368*267.466+D368*133.845+E368*53.484+F368*40+G368*185+H368*0+I368*100+J368*300)/(194.205+267.466+133.845+53.484+0+40+185+100+300)</f>
        <v>14.169411139481948</v>
      </c>
      <c r="AC368" s="45">
        <f>(M368*'RAP TEMPLATE-GAS AVAILABILITY'!O367+N368*'RAP TEMPLATE-GAS AVAILABILITY'!P367+O368*'RAP TEMPLATE-GAS AVAILABILITY'!Q367+P368*'RAP TEMPLATE-GAS AVAILABILITY'!R367)/('RAP TEMPLATE-GAS AVAILABILITY'!O367+'RAP TEMPLATE-GAS AVAILABILITY'!P367+'RAP TEMPLATE-GAS AVAILABILITY'!Q367+'RAP TEMPLATE-GAS AVAILABILITY'!R367)</f>
        <v>14.067189208633094</v>
      </c>
    </row>
    <row r="369" spans="1:29" ht="15.75" x14ac:dyDescent="0.25">
      <c r="A369" s="33">
        <v>52139</v>
      </c>
      <c r="B369" s="14">
        <f>CHOOSE(CONTROL!$C$42, 13.2432, 13.2432) * CHOOSE(CONTROL!$C$21, $C$9, 100%, $E$9)</f>
        <v>13.2432</v>
      </c>
      <c r="C369" s="14">
        <f>CHOOSE(CONTROL!$C$42, 13.2511, 13.2511) * CHOOSE(CONTROL!$C$21, $C$9, 100%, $E$9)</f>
        <v>13.251099999999999</v>
      </c>
      <c r="D369" s="14">
        <f>CHOOSE(CONTROL!$C$42, 13.4487, 13.4487) * CHOOSE(CONTROL!$C$21, $C$9, 100%, $E$9)</f>
        <v>13.448700000000001</v>
      </c>
      <c r="E369" s="14">
        <f>CHOOSE(CONTROL!$C$42, 13.4798, 13.4798) * CHOOSE(CONTROL!$C$21, $C$9, 100%, $E$9)</f>
        <v>13.479799999999999</v>
      </c>
      <c r="F369" s="14">
        <f>CHOOSE(CONTROL!$C$42, 13.2276, 13.2276)*CHOOSE(CONTROL!$C$21, $C$9, 100%, $E$9)</f>
        <v>13.227600000000001</v>
      </c>
      <c r="G369" s="14">
        <f>CHOOSE(CONTROL!$C$42, 13.2439, 13.2439)*CHOOSE(CONTROL!$C$21, $C$9, 100%, $E$9)</f>
        <v>13.2439</v>
      </c>
      <c r="H369" s="14">
        <f>CHOOSE(CONTROL!$C$42, 13.4685, 13.4685) * CHOOSE(CONTROL!$C$21, $C$9, 100%, $E$9)</f>
        <v>13.468500000000001</v>
      </c>
      <c r="I369" s="14">
        <f>CHOOSE(CONTROL!$C$42, 13.2546, 13.2546)* CHOOSE(CONTROL!$C$21, $C$9, 100%, $E$9)</f>
        <v>13.2546</v>
      </c>
      <c r="J369" s="14">
        <f>CHOOSE(CONTROL!$C$42, 13.2206, 13.2206)* CHOOSE(CONTROL!$C$21, $C$9, 100%, $E$9)</f>
        <v>13.220599999999999</v>
      </c>
      <c r="K369" s="53">
        <f>CHOOSE(CONTROL!$C$42, 13.2507, 13.2507) * CHOOSE(CONTROL!$C$21, $C$9, 100%, $E$9)</f>
        <v>13.2507</v>
      </c>
      <c r="L369" s="14">
        <f>CHOOSE(CONTROL!$C$42, 14.0555, 14.0555) * CHOOSE(CONTROL!$C$21, $C$9, 100%, $E$9)</f>
        <v>14.0555</v>
      </c>
      <c r="M369" s="14">
        <f>CHOOSE(CONTROL!$C$42, 13.101, 13.101) * CHOOSE(CONTROL!$C$21, $C$9, 100%, $E$9)</f>
        <v>13.101000000000001</v>
      </c>
      <c r="N369" s="14">
        <f>CHOOSE(CONTROL!$C$42, 13.1172, 13.1172) * CHOOSE(CONTROL!$C$21, $C$9, 100%, $E$9)</f>
        <v>13.1172</v>
      </c>
      <c r="O369" s="14">
        <f>CHOOSE(CONTROL!$C$42, 13.3464, 13.3464) * CHOOSE(CONTROL!$C$21, $C$9, 100%, $E$9)</f>
        <v>13.346399999999999</v>
      </c>
      <c r="P369" s="14">
        <f>CHOOSE(CONTROL!$C$42, 13.1347, 13.1347) * CHOOSE(CONTROL!$C$21, $C$9, 100%, $E$9)</f>
        <v>13.1347</v>
      </c>
      <c r="Q369" s="14">
        <f>CHOOSE(CONTROL!$C$42, 13.9417, 13.9417) * CHOOSE(CONTROL!$C$21, $C$9, 100%, $E$9)</f>
        <v>13.941700000000001</v>
      </c>
      <c r="R369" s="14">
        <f>CHOOSE(CONTROL!$C$42, 14.5635, 14.5635) * CHOOSE(CONTROL!$C$21, $C$9, 100%, $E$9)</f>
        <v>14.563499999999999</v>
      </c>
      <c r="S369" s="14">
        <f>CHOOSE(CONTROL!$C$42, 12.8562, 12.8562) * CHOOSE(CONTROL!$C$21, $C$9, 100%, $E$9)</f>
        <v>12.856199999999999</v>
      </c>
      <c r="T36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69" s="57">
        <f>(1000*CHOOSE(CONTROL!$C$42, 695, 695)*CHOOSE(CONTROL!$C$42, 0.5599, 0.5599)*CHOOSE(CONTROL!$C$42, 30, 30))/1000000</f>
        <v>11.673914999999997</v>
      </c>
      <c r="V369" s="57">
        <f>(1000*CHOOSE(CONTROL!$C$42, 500, 500)*CHOOSE(CONTROL!$C$42, 0.275, 0.275)*CHOOSE(CONTROL!$C$42, 30, 30))/1000000</f>
        <v>4.125</v>
      </c>
      <c r="W369" s="57">
        <f>(1000*CHOOSE(CONTROL!$C$42, 0.1146, 0.1146)*CHOOSE(CONTROL!$C$42, 121.5, 121.5)*CHOOSE(CONTROL!$C$42, 30, 30))/1000000</f>
        <v>0.417717</v>
      </c>
      <c r="X369" s="57">
        <f>(30*0.1790888*245000/1000000)+(30*0.2374*100000/1000000)</f>
        <v>2.0285026799999999</v>
      </c>
      <c r="Y369" s="57"/>
      <c r="Z369" s="14"/>
      <c r="AA369" s="56"/>
      <c r="AB369" s="50">
        <f>(B369*194.205+C369*267.466+D369*133.845+E369*53.484+F369*40+G369*185+H369*0+I369*100+J369*300)/(194.205+267.466+133.845+53.484+0+40+185+100+300)</f>
        <v>13.271565732574567</v>
      </c>
      <c r="AC369" s="45">
        <f>(M369*'RAP TEMPLATE-GAS AVAILABILITY'!O368+N369*'RAP TEMPLATE-GAS AVAILABILITY'!P368+O369*'RAP TEMPLATE-GAS AVAILABILITY'!Q368+P369*'RAP TEMPLATE-GAS AVAILABILITY'!R368)/('RAP TEMPLATE-GAS AVAILABILITY'!O368+'RAP TEMPLATE-GAS AVAILABILITY'!P368+'RAP TEMPLATE-GAS AVAILABILITY'!Q368+'RAP TEMPLATE-GAS AVAILABILITY'!R368)</f>
        <v>13.17843165467626</v>
      </c>
    </row>
    <row r="370" spans="1:29" ht="15.75" x14ac:dyDescent="0.25">
      <c r="A370" s="33">
        <v>52170</v>
      </c>
      <c r="B370" s="14">
        <f>CHOOSE(CONTROL!$C$42, 12.9727, 12.9727) * CHOOSE(CONTROL!$C$21, $C$9, 100%, $E$9)</f>
        <v>12.9727</v>
      </c>
      <c r="C370" s="14">
        <f>CHOOSE(CONTROL!$C$42, 12.9779, 12.9779) * CHOOSE(CONTROL!$C$21, $C$9, 100%, $E$9)</f>
        <v>12.9779</v>
      </c>
      <c r="D370" s="14">
        <f>CHOOSE(CONTROL!$C$42, 13.1804, 13.1804) * CHOOSE(CONTROL!$C$21, $C$9, 100%, $E$9)</f>
        <v>13.180400000000001</v>
      </c>
      <c r="E370" s="14">
        <f>CHOOSE(CONTROL!$C$42, 13.2092, 13.2092) * CHOOSE(CONTROL!$C$21, $C$9, 100%, $E$9)</f>
        <v>13.209199999999999</v>
      </c>
      <c r="F370" s="14">
        <f>CHOOSE(CONTROL!$C$42, 12.959, 12.959)*CHOOSE(CONTROL!$C$21, $C$9, 100%, $E$9)</f>
        <v>12.959</v>
      </c>
      <c r="G370" s="14">
        <f>CHOOSE(CONTROL!$C$42, 12.975, 12.975)*CHOOSE(CONTROL!$C$21, $C$9, 100%, $E$9)</f>
        <v>12.975</v>
      </c>
      <c r="H370" s="14">
        <f>CHOOSE(CONTROL!$C$42, 13.1997, 13.1997) * CHOOSE(CONTROL!$C$21, $C$9, 100%, $E$9)</f>
        <v>13.1997</v>
      </c>
      <c r="I370" s="14">
        <f>CHOOSE(CONTROL!$C$42, 12.9858, 12.9858)* CHOOSE(CONTROL!$C$21, $C$9, 100%, $E$9)</f>
        <v>12.985799999999999</v>
      </c>
      <c r="J370" s="14">
        <f>CHOOSE(CONTROL!$C$42, 12.952, 12.952)* CHOOSE(CONTROL!$C$21, $C$9, 100%, $E$9)</f>
        <v>12.952</v>
      </c>
      <c r="K370" s="53">
        <f>CHOOSE(CONTROL!$C$42, 12.9819, 12.9819) * CHOOSE(CONTROL!$C$21, $C$9, 100%, $E$9)</f>
        <v>12.9819</v>
      </c>
      <c r="L370" s="14">
        <f>CHOOSE(CONTROL!$C$42, 13.7867, 13.7867) * CHOOSE(CONTROL!$C$21, $C$9, 100%, $E$9)</f>
        <v>13.7867</v>
      </c>
      <c r="M370" s="14">
        <f>CHOOSE(CONTROL!$C$42, 12.8351, 12.8351) * CHOOSE(CONTROL!$C$21, $C$9, 100%, $E$9)</f>
        <v>12.835100000000001</v>
      </c>
      <c r="N370" s="14">
        <f>CHOOSE(CONTROL!$C$42, 12.851, 12.851) * CHOOSE(CONTROL!$C$21, $C$9, 100%, $E$9)</f>
        <v>12.851000000000001</v>
      </c>
      <c r="O370" s="14">
        <f>CHOOSE(CONTROL!$C$42, 13.0803, 13.0803) * CHOOSE(CONTROL!$C$21, $C$9, 100%, $E$9)</f>
        <v>13.080299999999999</v>
      </c>
      <c r="P370" s="14">
        <f>CHOOSE(CONTROL!$C$42, 12.8686, 12.8686) * CHOOSE(CONTROL!$C$21, $C$9, 100%, $E$9)</f>
        <v>12.868600000000001</v>
      </c>
      <c r="Q370" s="14">
        <f>CHOOSE(CONTROL!$C$42, 13.6756, 13.6756) * CHOOSE(CONTROL!$C$21, $C$9, 100%, $E$9)</f>
        <v>13.675599999999999</v>
      </c>
      <c r="R370" s="14">
        <f>CHOOSE(CONTROL!$C$42, 14.2968, 14.2968) * CHOOSE(CONTROL!$C$21, $C$9, 100%, $E$9)</f>
        <v>14.296799999999999</v>
      </c>
      <c r="S370" s="14">
        <f>CHOOSE(CONTROL!$C$42, 12.5952, 12.5952) * CHOOSE(CONTROL!$C$21, $C$9, 100%, $E$9)</f>
        <v>12.5952</v>
      </c>
      <c r="T37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70" s="57">
        <f>(1000*CHOOSE(CONTROL!$C$42, 695, 695)*CHOOSE(CONTROL!$C$42, 0.5599, 0.5599)*CHOOSE(CONTROL!$C$42, 31, 31))/1000000</f>
        <v>12.063045499999998</v>
      </c>
      <c r="V370" s="57">
        <f>(1000*CHOOSE(CONTROL!$C$42, 500, 500)*CHOOSE(CONTROL!$C$42, 0.275, 0.275)*CHOOSE(CONTROL!$C$42, 31, 31))/1000000</f>
        <v>4.2625000000000002</v>
      </c>
      <c r="W370" s="57">
        <f>(1000*CHOOSE(CONTROL!$C$42, 0.1146, 0.1146)*CHOOSE(CONTROL!$C$42, 121.5, 121.5)*CHOOSE(CONTROL!$C$42, 31, 31))/1000000</f>
        <v>0.43164089999999994</v>
      </c>
      <c r="X370" s="57">
        <f>(31*0.1790888*245000/1000000)+(31*0.2374*100000/1000000)</f>
        <v>2.0961194359999999</v>
      </c>
      <c r="Y370" s="57"/>
      <c r="Z370" s="14"/>
      <c r="AA370" s="56"/>
      <c r="AB370" s="50">
        <f>(B370*131.881+C370*277.167+D370*79.08+E370*125.872+F370*40+G370*185+H370*0+I370*100+J370*300)/(131.881+277.167+79.08+125.872+0+40+185+100+300)</f>
        <v>13.007092584665052</v>
      </c>
      <c r="AC370" s="45">
        <f>(M370*'RAP TEMPLATE-GAS AVAILABILITY'!O369+N370*'RAP TEMPLATE-GAS AVAILABILITY'!P369+O370*'RAP TEMPLATE-GAS AVAILABILITY'!Q369+P370*'RAP TEMPLATE-GAS AVAILABILITY'!R369)/('RAP TEMPLATE-GAS AVAILABILITY'!O369+'RAP TEMPLATE-GAS AVAILABILITY'!P369+'RAP TEMPLATE-GAS AVAILABILITY'!Q369+'RAP TEMPLATE-GAS AVAILABILITY'!R369)</f>
        <v>12.912377697841729</v>
      </c>
    </row>
    <row r="371" spans="1:29" ht="15.75" x14ac:dyDescent="0.25">
      <c r="A371" s="33">
        <v>52200</v>
      </c>
      <c r="B371" s="14">
        <f>CHOOSE(CONTROL!$C$42, 13.3139, 13.3139) * CHOOSE(CONTROL!$C$21, $C$9, 100%, $E$9)</f>
        <v>13.3139</v>
      </c>
      <c r="C371" s="14">
        <f>CHOOSE(CONTROL!$C$42, 13.3189, 13.3189) * CHOOSE(CONTROL!$C$21, $C$9, 100%, $E$9)</f>
        <v>13.318899999999999</v>
      </c>
      <c r="D371" s="14">
        <f>CHOOSE(CONTROL!$C$42, 13.3819, 13.3819) * CHOOSE(CONTROL!$C$21, $C$9, 100%, $E$9)</f>
        <v>13.3819</v>
      </c>
      <c r="E371" s="14">
        <f>CHOOSE(CONTROL!$C$42, 13.4157, 13.4157) * CHOOSE(CONTROL!$C$21, $C$9, 100%, $E$9)</f>
        <v>13.415699999999999</v>
      </c>
      <c r="F371" s="14">
        <f>CHOOSE(CONTROL!$C$42, 13.3146, 13.3146)*CHOOSE(CONTROL!$C$21, $C$9, 100%, $E$9)</f>
        <v>13.3146</v>
      </c>
      <c r="G371" s="14">
        <f>CHOOSE(CONTROL!$C$42, 13.3309, 13.3309)*CHOOSE(CONTROL!$C$21, $C$9, 100%, $E$9)</f>
        <v>13.3309</v>
      </c>
      <c r="H371" s="14">
        <f>CHOOSE(CONTROL!$C$42, 13.4049, 13.4049) * CHOOSE(CONTROL!$C$21, $C$9, 100%, $E$9)</f>
        <v>13.4049</v>
      </c>
      <c r="I371" s="14">
        <f>CHOOSE(CONTROL!$C$42, 13.3275, 13.3275)* CHOOSE(CONTROL!$C$21, $C$9, 100%, $E$9)</f>
        <v>13.327500000000001</v>
      </c>
      <c r="J371" s="14">
        <f>CHOOSE(CONTROL!$C$42, 13.3076, 13.3076)* CHOOSE(CONTROL!$C$21, $C$9, 100%, $E$9)</f>
        <v>13.307600000000001</v>
      </c>
      <c r="K371" s="53">
        <f>CHOOSE(CONTROL!$C$42, 13.3236, 13.3236) * CHOOSE(CONTROL!$C$21, $C$9, 100%, $E$9)</f>
        <v>13.323600000000001</v>
      </c>
      <c r="L371" s="14">
        <f>CHOOSE(CONTROL!$C$42, 13.9919, 13.9919) * CHOOSE(CONTROL!$C$21, $C$9, 100%, $E$9)</f>
        <v>13.991899999999999</v>
      </c>
      <c r="M371" s="14">
        <f>CHOOSE(CONTROL!$C$42, 13.1871, 13.1871) * CHOOSE(CONTROL!$C$21, $C$9, 100%, $E$9)</f>
        <v>13.187099999999999</v>
      </c>
      <c r="N371" s="14">
        <f>CHOOSE(CONTROL!$C$42, 13.2033, 13.2033) * CHOOSE(CONTROL!$C$21, $C$9, 100%, $E$9)</f>
        <v>13.2033</v>
      </c>
      <c r="O371" s="14">
        <f>CHOOSE(CONTROL!$C$42, 13.2835, 13.2835) * CHOOSE(CONTROL!$C$21, $C$9, 100%, $E$9)</f>
        <v>13.2835</v>
      </c>
      <c r="P371" s="14">
        <f>CHOOSE(CONTROL!$C$42, 13.2068, 13.2068) * CHOOSE(CONTROL!$C$21, $C$9, 100%, $E$9)</f>
        <v>13.206799999999999</v>
      </c>
      <c r="Q371" s="14">
        <f>CHOOSE(CONTROL!$C$42, 13.8788, 13.8788) * CHOOSE(CONTROL!$C$21, $C$9, 100%, $E$9)</f>
        <v>13.8788</v>
      </c>
      <c r="R371" s="14">
        <f>CHOOSE(CONTROL!$C$42, 14.5005, 14.5005) * CHOOSE(CONTROL!$C$21, $C$9, 100%, $E$9)</f>
        <v>14.500500000000001</v>
      </c>
      <c r="S371" s="14">
        <f>CHOOSE(CONTROL!$C$42, 12.927, 12.927) * CHOOSE(CONTROL!$C$21, $C$9, 100%, $E$9)</f>
        <v>12.927</v>
      </c>
      <c r="T37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71" s="57">
        <f>(1000*CHOOSE(CONTROL!$C$42, 695, 695)*CHOOSE(CONTROL!$C$42, 0.5599, 0.5599)*CHOOSE(CONTROL!$C$42, 30, 30))/1000000</f>
        <v>11.673914999999997</v>
      </c>
      <c r="V371" s="57">
        <f>(1000*CHOOSE(CONTROL!$C$42, 500, 500)*CHOOSE(CONTROL!$C$42, 0.275, 0.275)*CHOOSE(CONTROL!$C$42, 30, 30))/1000000</f>
        <v>4.125</v>
      </c>
      <c r="W371" s="57">
        <f>(1000*CHOOSE(CONTROL!$C$42, 0.1146, 0.1146)*CHOOSE(CONTROL!$C$42, 121.5, 121.5)*CHOOSE(CONTROL!$C$42, 30, 30))/1000000</f>
        <v>0.417717</v>
      </c>
      <c r="X371" s="57">
        <f>(30*0.1790888*100000/1000000)+(30*0.2374*100000/1000000)</f>
        <v>1.2494664</v>
      </c>
      <c r="Y371" s="57"/>
      <c r="Z371" s="14"/>
      <c r="AA371" s="56"/>
      <c r="AB371" s="50">
        <f>(B371*122.58+C371*297.941+D371*89.177+E371*40.302+F371*40+G371*160+H371*0+I371*100+J371*300)/(122.58+297.941+89.177+40.302+0+40+160+100+300)</f>
        <v>13.325964769217391</v>
      </c>
      <c r="AC371" s="45">
        <f>(M371*'RAP TEMPLATE-GAS AVAILABILITY'!O370+N371*'RAP TEMPLATE-GAS AVAILABILITY'!P370+O371*'RAP TEMPLATE-GAS AVAILABILITY'!Q370+P371*'RAP TEMPLATE-GAS AVAILABILITY'!R370)/('RAP TEMPLATE-GAS AVAILABILITY'!O370+'RAP TEMPLATE-GAS AVAILABILITY'!P370+'RAP TEMPLATE-GAS AVAILABILITY'!Q370+'RAP TEMPLATE-GAS AVAILABILITY'!R370)</f>
        <v>13.234558992805756</v>
      </c>
    </row>
    <row r="372" spans="1:29" ht="15.75" x14ac:dyDescent="0.25">
      <c r="A372" s="33">
        <v>52231</v>
      </c>
      <c r="B372" s="14">
        <f>CHOOSE(CONTROL!$C$42, 14.2214, 14.2214) * CHOOSE(CONTROL!$C$21, $C$9, 100%, $E$9)</f>
        <v>14.221399999999999</v>
      </c>
      <c r="C372" s="14">
        <f>CHOOSE(CONTROL!$C$42, 14.2264, 14.2264) * CHOOSE(CONTROL!$C$21, $C$9, 100%, $E$9)</f>
        <v>14.2264</v>
      </c>
      <c r="D372" s="14">
        <f>CHOOSE(CONTROL!$C$42, 14.2895, 14.2895) * CHOOSE(CONTROL!$C$21, $C$9, 100%, $E$9)</f>
        <v>14.2895</v>
      </c>
      <c r="E372" s="14">
        <f>CHOOSE(CONTROL!$C$42, 14.3233, 14.3233) * CHOOSE(CONTROL!$C$21, $C$9, 100%, $E$9)</f>
        <v>14.3233</v>
      </c>
      <c r="F372" s="14">
        <f>CHOOSE(CONTROL!$C$42, 14.2242, 14.2242)*CHOOSE(CONTROL!$C$21, $C$9, 100%, $E$9)</f>
        <v>14.2242</v>
      </c>
      <c r="G372" s="14">
        <f>CHOOSE(CONTROL!$C$42, 14.241, 14.241)*CHOOSE(CONTROL!$C$21, $C$9, 100%, $E$9)</f>
        <v>14.241</v>
      </c>
      <c r="H372" s="14">
        <f>CHOOSE(CONTROL!$C$42, 14.3124, 14.3124) * CHOOSE(CONTROL!$C$21, $C$9, 100%, $E$9)</f>
        <v>14.3124</v>
      </c>
      <c r="I372" s="14">
        <f>CHOOSE(CONTROL!$C$42, 14.235, 14.235)* CHOOSE(CONTROL!$C$21, $C$9, 100%, $E$9)</f>
        <v>14.234999999999999</v>
      </c>
      <c r="J372" s="14">
        <f>CHOOSE(CONTROL!$C$42, 14.2172, 14.2172)* CHOOSE(CONTROL!$C$21, $C$9, 100%, $E$9)</f>
        <v>14.2172</v>
      </c>
      <c r="K372" s="53">
        <f>CHOOSE(CONTROL!$C$42, 14.2311, 14.2311) * CHOOSE(CONTROL!$C$21, $C$9, 100%, $E$9)</f>
        <v>14.2311</v>
      </c>
      <c r="L372" s="14">
        <f>CHOOSE(CONTROL!$C$42, 14.8994, 14.8994) * CHOOSE(CONTROL!$C$21, $C$9, 100%, $E$9)</f>
        <v>14.8994</v>
      </c>
      <c r="M372" s="14">
        <f>CHOOSE(CONTROL!$C$42, 14.0875, 14.0875) * CHOOSE(CONTROL!$C$21, $C$9, 100%, $E$9)</f>
        <v>14.0875</v>
      </c>
      <c r="N372" s="14">
        <f>CHOOSE(CONTROL!$C$42, 14.1042, 14.1042) * CHOOSE(CONTROL!$C$21, $C$9, 100%, $E$9)</f>
        <v>14.104200000000001</v>
      </c>
      <c r="O372" s="14">
        <f>CHOOSE(CONTROL!$C$42, 14.1818, 14.1818) * CHOOSE(CONTROL!$C$21, $C$9, 100%, $E$9)</f>
        <v>14.181800000000001</v>
      </c>
      <c r="P372" s="14">
        <f>CHOOSE(CONTROL!$C$42, 14.1052, 14.1052) * CHOOSE(CONTROL!$C$21, $C$9, 100%, $E$9)</f>
        <v>14.1052</v>
      </c>
      <c r="Q372" s="14">
        <f>CHOOSE(CONTROL!$C$42, 14.7771, 14.7771) * CHOOSE(CONTROL!$C$21, $C$9, 100%, $E$9)</f>
        <v>14.777100000000001</v>
      </c>
      <c r="R372" s="14">
        <f>CHOOSE(CONTROL!$C$42, 15.4011, 15.4011) * CHOOSE(CONTROL!$C$21, $C$9, 100%, $E$9)</f>
        <v>15.4011</v>
      </c>
      <c r="S372" s="14">
        <f>CHOOSE(CONTROL!$C$42, 13.8083, 13.8083) * CHOOSE(CONTROL!$C$21, $C$9, 100%, $E$9)</f>
        <v>13.808299999999999</v>
      </c>
      <c r="T37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72" s="57">
        <f>(1000*CHOOSE(CONTROL!$C$42, 695, 695)*CHOOSE(CONTROL!$C$42, 0.5599, 0.5599)*CHOOSE(CONTROL!$C$42, 31, 31))/1000000</f>
        <v>12.063045499999998</v>
      </c>
      <c r="V372" s="57">
        <f>(1000*CHOOSE(CONTROL!$C$42, 500, 500)*CHOOSE(CONTROL!$C$42, 0.275, 0.275)*CHOOSE(CONTROL!$C$42, 31, 31))/1000000</f>
        <v>4.2625000000000002</v>
      </c>
      <c r="W372" s="57">
        <f>(1000*CHOOSE(CONTROL!$C$42, 0.1146, 0.1146)*CHOOSE(CONTROL!$C$42, 121.5, 121.5)*CHOOSE(CONTROL!$C$42, 31, 31))/1000000</f>
        <v>0.43164089999999994</v>
      </c>
      <c r="X372" s="57">
        <f>(31*0.1790888*100000/1000000)+(31*0.2374*100000/1000000)</f>
        <v>1.2911152800000001</v>
      </c>
      <c r="Y372" s="57"/>
      <c r="Z372" s="14"/>
      <c r="AA372" s="56"/>
      <c r="AB372" s="50">
        <f>(B372*122.58+C372*297.941+D372*89.177+E372*40.302+F372*40+G372*160+H372*0+I372*100+J372*300)/(122.58+297.941+89.177+40.302+0+40+160+100+300)</f>
        <v>14.234458636956521</v>
      </c>
      <c r="AC372" s="45">
        <f>(M372*'RAP TEMPLATE-GAS AVAILABILITY'!O371+N372*'RAP TEMPLATE-GAS AVAILABILITY'!P371+O372*'RAP TEMPLATE-GAS AVAILABILITY'!Q371+P372*'RAP TEMPLATE-GAS AVAILABILITY'!R371)/('RAP TEMPLATE-GAS AVAILABILITY'!O371+'RAP TEMPLATE-GAS AVAILABILITY'!P371+'RAP TEMPLATE-GAS AVAILABILITY'!Q371+'RAP TEMPLATE-GAS AVAILABILITY'!R371)</f>
        <v>14.133748201438848</v>
      </c>
    </row>
    <row r="373" spans="1:29" ht="15.75" x14ac:dyDescent="0.25">
      <c r="A373" s="33">
        <v>52262</v>
      </c>
      <c r="B373" s="14">
        <f>CHOOSE(CONTROL!$C$42, 15.3865, 15.3865) * CHOOSE(CONTROL!$C$21, $C$9, 100%, $E$9)</f>
        <v>15.3865</v>
      </c>
      <c r="C373" s="14">
        <f>CHOOSE(CONTROL!$C$42, 15.3914, 15.3914) * CHOOSE(CONTROL!$C$21, $C$9, 100%, $E$9)</f>
        <v>15.391400000000001</v>
      </c>
      <c r="D373" s="14">
        <f>CHOOSE(CONTROL!$C$42, 15.4557, 15.4557) * CHOOSE(CONTROL!$C$21, $C$9, 100%, $E$9)</f>
        <v>15.4557</v>
      </c>
      <c r="E373" s="14">
        <f>CHOOSE(CONTROL!$C$42, 15.4895, 15.4895) * CHOOSE(CONTROL!$C$21, $C$9, 100%, $E$9)</f>
        <v>15.4895</v>
      </c>
      <c r="F373" s="14">
        <f>CHOOSE(CONTROL!$C$42, 15.388, 15.388)*CHOOSE(CONTROL!$C$21, $C$9, 100%, $E$9)</f>
        <v>15.388</v>
      </c>
      <c r="G373" s="14">
        <f>CHOOSE(CONTROL!$C$42, 15.4039, 15.4039)*CHOOSE(CONTROL!$C$21, $C$9, 100%, $E$9)</f>
        <v>15.4039</v>
      </c>
      <c r="H373" s="14">
        <f>CHOOSE(CONTROL!$C$42, 15.4787, 15.4787) * CHOOSE(CONTROL!$C$21, $C$9, 100%, $E$9)</f>
        <v>15.4787</v>
      </c>
      <c r="I373" s="14">
        <f>CHOOSE(CONTROL!$C$42, 15.4064, 15.4064)* CHOOSE(CONTROL!$C$21, $C$9, 100%, $E$9)</f>
        <v>15.4064</v>
      </c>
      <c r="J373" s="14">
        <f>CHOOSE(CONTROL!$C$42, 15.381, 15.381)* CHOOSE(CONTROL!$C$21, $C$9, 100%, $E$9)</f>
        <v>15.381</v>
      </c>
      <c r="K373" s="53">
        <f>CHOOSE(CONTROL!$C$42, 15.4025, 15.4025) * CHOOSE(CONTROL!$C$21, $C$9, 100%, $E$9)</f>
        <v>15.4025</v>
      </c>
      <c r="L373" s="14">
        <f>CHOOSE(CONTROL!$C$42, 16.0657, 16.0657) * CHOOSE(CONTROL!$C$21, $C$9, 100%, $E$9)</f>
        <v>16.0657</v>
      </c>
      <c r="M373" s="14">
        <f>CHOOSE(CONTROL!$C$42, 15.2396, 15.2396) * CHOOSE(CONTROL!$C$21, $C$9, 100%, $E$9)</f>
        <v>15.239599999999999</v>
      </c>
      <c r="N373" s="14">
        <f>CHOOSE(CONTROL!$C$42, 15.2553, 15.2553) * CHOOSE(CONTROL!$C$21, $C$9, 100%, $E$9)</f>
        <v>15.2553</v>
      </c>
      <c r="O373" s="14">
        <f>CHOOSE(CONTROL!$C$42, 15.3363, 15.3363) * CHOOSE(CONTROL!$C$21, $C$9, 100%, $E$9)</f>
        <v>15.3363</v>
      </c>
      <c r="P373" s="14">
        <f>CHOOSE(CONTROL!$C$42, 15.2648, 15.2648) * CHOOSE(CONTROL!$C$21, $C$9, 100%, $E$9)</f>
        <v>15.264799999999999</v>
      </c>
      <c r="Q373" s="14">
        <f>CHOOSE(CONTROL!$C$42, 15.9316, 15.9316) * CHOOSE(CONTROL!$C$21, $C$9, 100%, $E$9)</f>
        <v>15.9316</v>
      </c>
      <c r="R373" s="14">
        <f>CHOOSE(CONTROL!$C$42, 16.5584, 16.5584) * CHOOSE(CONTROL!$C$21, $C$9, 100%, $E$9)</f>
        <v>16.558399999999999</v>
      </c>
      <c r="S373" s="14">
        <f>CHOOSE(CONTROL!$C$42, 14.9397, 14.9397) * CHOOSE(CONTROL!$C$21, $C$9, 100%, $E$9)</f>
        <v>14.9397</v>
      </c>
      <c r="T37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73" s="57">
        <f>(1000*CHOOSE(CONTROL!$C$42, 695, 695)*CHOOSE(CONTROL!$C$42, 0.5599, 0.5599)*CHOOSE(CONTROL!$C$42, 31, 31))/1000000</f>
        <v>12.063045499999998</v>
      </c>
      <c r="V373" s="57">
        <f>(1000*CHOOSE(CONTROL!$C$42, 500, 500)*CHOOSE(CONTROL!$C$42, 0.275, 0.275)*CHOOSE(CONTROL!$C$42, 31, 31))/1000000</f>
        <v>4.2625000000000002</v>
      </c>
      <c r="W373" s="57">
        <f>(1000*CHOOSE(CONTROL!$C$42, 0.1146, 0.1146)*CHOOSE(CONTROL!$C$42, 121.5, 121.5)*CHOOSE(CONTROL!$C$42, 31, 31))/1000000</f>
        <v>0.43164089999999994</v>
      </c>
      <c r="X373" s="57">
        <f>(31*0.1790888*100000/1000000)+(31*0.2374*100000/1000000)</f>
        <v>1.2911152800000001</v>
      </c>
      <c r="Y373" s="57"/>
      <c r="Z373" s="14"/>
      <c r="AA373" s="56"/>
      <c r="AB373" s="50">
        <f>(B373*122.58+C373*297.941+D373*89.177+E373*40.302+F373*40+G373*160+H373*0+I373*100+J373*300)/(122.58+297.941+89.177+40.302+0+40+160+100+300)</f>
        <v>15.399513969826085</v>
      </c>
      <c r="AC373" s="45">
        <f>(M373*'RAP TEMPLATE-GAS AVAILABILITY'!O372+N373*'RAP TEMPLATE-GAS AVAILABILITY'!P372+O373*'RAP TEMPLATE-GAS AVAILABILITY'!Q372+P373*'RAP TEMPLATE-GAS AVAILABILITY'!R372)/('RAP TEMPLATE-GAS AVAILABILITY'!O372+'RAP TEMPLATE-GAS AVAILABILITY'!P372+'RAP TEMPLATE-GAS AVAILABILITY'!Q372+'RAP TEMPLATE-GAS AVAILABILITY'!R372)</f>
        <v>15.287957553956833</v>
      </c>
    </row>
    <row r="374" spans="1:29" ht="15.75" x14ac:dyDescent="0.25">
      <c r="A374" s="33">
        <v>52290</v>
      </c>
      <c r="B374" s="14">
        <f>CHOOSE(CONTROL!$C$42, 15.6603, 15.6603) * CHOOSE(CONTROL!$C$21, $C$9, 100%, $E$9)</f>
        <v>15.660299999999999</v>
      </c>
      <c r="C374" s="14">
        <f>CHOOSE(CONTROL!$C$42, 15.6653, 15.6653) * CHOOSE(CONTROL!$C$21, $C$9, 100%, $E$9)</f>
        <v>15.6653</v>
      </c>
      <c r="D374" s="14">
        <f>CHOOSE(CONTROL!$C$42, 15.7295, 15.7295) * CHOOSE(CONTROL!$C$21, $C$9, 100%, $E$9)</f>
        <v>15.7295</v>
      </c>
      <c r="E374" s="14">
        <f>CHOOSE(CONTROL!$C$42, 15.7633, 15.7633) * CHOOSE(CONTROL!$C$21, $C$9, 100%, $E$9)</f>
        <v>15.763299999999999</v>
      </c>
      <c r="F374" s="14">
        <f>CHOOSE(CONTROL!$C$42, 15.6619, 15.6619)*CHOOSE(CONTROL!$C$21, $C$9, 100%, $E$9)</f>
        <v>15.661899999999999</v>
      </c>
      <c r="G374" s="14">
        <f>CHOOSE(CONTROL!$C$42, 15.6778, 15.6778)*CHOOSE(CONTROL!$C$21, $C$9, 100%, $E$9)</f>
        <v>15.6778</v>
      </c>
      <c r="H374" s="14">
        <f>CHOOSE(CONTROL!$C$42, 15.7525, 15.7525) * CHOOSE(CONTROL!$C$21, $C$9, 100%, $E$9)</f>
        <v>15.7525</v>
      </c>
      <c r="I374" s="14">
        <f>CHOOSE(CONTROL!$C$42, 15.6803, 15.6803)* CHOOSE(CONTROL!$C$21, $C$9, 100%, $E$9)</f>
        <v>15.680300000000001</v>
      </c>
      <c r="J374" s="14">
        <f>CHOOSE(CONTROL!$C$42, 15.6549, 15.6549)* CHOOSE(CONTROL!$C$21, $C$9, 100%, $E$9)</f>
        <v>15.6549</v>
      </c>
      <c r="K374" s="53">
        <f>CHOOSE(CONTROL!$C$42, 15.6764, 15.6764) * CHOOSE(CONTROL!$C$21, $C$9, 100%, $E$9)</f>
        <v>15.676399999999999</v>
      </c>
      <c r="L374" s="14">
        <f>CHOOSE(CONTROL!$C$42, 16.3395, 16.3395) * CHOOSE(CONTROL!$C$21, $C$9, 100%, $E$9)</f>
        <v>16.339500000000001</v>
      </c>
      <c r="M374" s="14">
        <f>CHOOSE(CONTROL!$C$42, 15.5107, 15.5107) * CHOOSE(CONTROL!$C$21, $C$9, 100%, $E$9)</f>
        <v>15.5107</v>
      </c>
      <c r="N374" s="14">
        <f>CHOOSE(CONTROL!$C$42, 15.5265, 15.5265) * CHOOSE(CONTROL!$C$21, $C$9, 100%, $E$9)</f>
        <v>15.5265</v>
      </c>
      <c r="O374" s="14">
        <f>CHOOSE(CONTROL!$C$42, 15.6074, 15.6074) * CHOOSE(CONTROL!$C$21, $C$9, 100%, $E$9)</f>
        <v>15.6074</v>
      </c>
      <c r="P374" s="14">
        <f>CHOOSE(CONTROL!$C$42, 15.5359, 15.5359) * CHOOSE(CONTROL!$C$21, $C$9, 100%, $E$9)</f>
        <v>15.5359</v>
      </c>
      <c r="Q374" s="14">
        <f>CHOOSE(CONTROL!$C$42, 16.2027, 16.2027) * CHOOSE(CONTROL!$C$21, $C$9, 100%, $E$9)</f>
        <v>16.2027</v>
      </c>
      <c r="R374" s="14">
        <f>CHOOSE(CONTROL!$C$42, 16.8302, 16.8302) * CHOOSE(CONTROL!$C$21, $C$9, 100%, $E$9)</f>
        <v>16.830200000000001</v>
      </c>
      <c r="S374" s="14">
        <f>CHOOSE(CONTROL!$C$42, 15.2056, 15.2056) * CHOOSE(CONTROL!$C$21, $C$9, 100%, $E$9)</f>
        <v>15.2056</v>
      </c>
      <c r="T37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74" s="57">
        <f>(1000*CHOOSE(CONTROL!$C$42, 695, 695)*CHOOSE(CONTROL!$C$42, 0.5599, 0.5599)*CHOOSE(CONTROL!$C$42, 28, 28))/1000000</f>
        <v>10.895653999999999</v>
      </c>
      <c r="V374" s="57">
        <f>(1000*CHOOSE(CONTROL!$C$42, 500, 500)*CHOOSE(CONTROL!$C$42, 0.275, 0.275)*CHOOSE(CONTROL!$C$42, 28, 28))/1000000</f>
        <v>3.85</v>
      </c>
      <c r="W374" s="57">
        <f>(1000*CHOOSE(CONTROL!$C$42, 0.1146, 0.1146)*CHOOSE(CONTROL!$C$42, 121.5, 121.5)*CHOOSE(CONTROL!$C$42, 28, 28))/1000000</f>
        <v>0.38986920000000003</v>
      </c>
      <c r="X374" s="57">
        <f>(28*0.1790888*100000/1000000)+(28*0.2374*100000/1000000)</f>
        <v>1.16616864</v>
      </c>
      <c r="Y374" s="57"/>
      <c r="Z374" s="14"/>
      <c r="AA374" s="56"/>
      <c r="AB374" s="50">
        <f>(B374*122.58+C374*297.941+D374*89.177+E374*40.302+F374*40+G374*160+H374*0+I374*100+J374*300)/(122.58+297.941+89.177+40.302+0+40+160+100+300)</f>
        <v>15.673392051652174</v>
      </c>
      <c r="AC374" s="45">
        <f>(M374*'RAP TEMPLATE-GAS AVAILABILITY'!O373+N374*'RAP TEMPLATE-GAS AVAILABILITY'!P373+O374*'RAP TEMPLATE-GAS AVAILABILITY'!Q373+P374*'RAP TEMPLATE-GAS AVAILABILITY'!R373)/('RAP TEMPLATE-GAS AVAILABILITY'!O373+'RAP TEMPLATE-GAS AVAILABILITY'!P373+'RAP TEMPLATE-GAS AVAILABILITY'!Q373+'RAP TEMPLATE-GAS AVAILABILITY'!R373)</f>
        <v>15.559063309352519</v>
      </c>
    </row>
    <row r="375" spans="1:29" ht="15.75" x14ac:dyDescent="0.25">
      <c r="A375" s="33">
        <v>52321</v>
      </c>
      <c r="B375" s="14">
        <f>CHOOSE(CONTROL!$C$42, 15.2158, 15.2158) * CHOOSE(CONTROL!$C$21, $C$9, 100%, $E$9)</f>
        <v>15.2158</v>
      </c>
      <c r="C375" s="14">
        <f>CHOOSE(CONTROL!$C$42, 15.2207, 15.2207) * CHOOSE(CONTROL!$C$21, $C$9, 100%, $E$9)</f>
        <v>15.220700000000001</v>
      </c>
      <c r="D375" s="14">
        <f>CHOOSE(CONTROL!$C$42, 15.285, 15.285) * CHOOSE(CONTROL!$C$21, $C$9, 100%, $E$9)</f>
        <v>15.285</v>
      </c>
      <c r="E375" s="14">
        <f>CHOOSE(CONTROL!$C$42, 15.3188, 15.3188) * CHOOSE(CONTROL!$C$21, $C$9, 100%, $E$9)</f>
        <v>15.3188</v>
      </c>
      <c r="F375" s="14">
        <f>CHOOSE(CONTROL!$C$42, 15.217, 15.217)*CHOOSE(CONTROL!$C$21, $C$9, 100%, $E$9)</f>
        <v>15.217000000000001</v>
      </c>
      <c r="G375" s="14">
        <f>CHOOSE(CONTROL!$C$42, 15.2329, 15.2329)*CHOOSE(CONTROL!$C$21, $C$9, 100%, $E$9)</f>
        <v>15.232900000000001</v>
      </c>
      <c r="H375" s="14">
        <f>CHOOSE(CONTROL!$C$42, 15.308, 15.308) * CHOOSE(CONTROL!$C$21, $C$9, 100%, $E$9)</f>
        <v>15.308</v>
      </c>
      <c r="I375" s="14">
        <f>CHOOSE(CONTROL!$C$42, 15.2358, 15.2358)* CHOOSE(CONTROL!$C$21, $C$9, 100%, $E$9)</f>
        <v>15.235799999999999</v>
      </c>
      <c r="J375" s="14">
        <f>CHOOSE(CONTROL!$C$42, 15.21, 15.21)* CHOOSE(CONTROL!$C$21, $C$9, 100%, $E$9)</f>
        <v>15.21</v>
      </c>
      <c r="K375" s="53">
        <f>CHOOSE(CONTROL!$C$42, 15.2319, 15.2319) * CHOOSE(CONTROL!$C$21, $C$9, 100%, $E$9)</f>
        <v>15.2319</v>
      </c>
      <c r="L375" s="14">
        <f>CHOOSE(CONTROL!$C$42, 15.895, 15.895) * CHOOSE(CONTROL!$C$21, $C$9, 100%, $E$9)</f>
        <v>15.895</v>
      </c>
      <c r="M375" s="14">
        <f>CHOOSE(CONTROL!$C$42, 15.0704, 15.0704) * CHOOSE(CONTROL!$C$21, $C$9, 100%, $E$9)</f>
        <v>15.070399999999999</v>
      </c>
      <c r="N375" s="14">
        <f>CHOOSE(CONTROL!$C$42, 15.0861, 15.0861) * CHOOSE(CONTROL!$C$21, $C$9, 100%, $E$9)</f>
        <v>15.0861</v>
      </c>
      <c r="O375" s="14">
        <f>CHOOSE(CONTROL!$C$42, 15.1673, 15.1673) * CHOOSE(CONTROL!$C$21, $C$9, 100%, $E$9)</f>
        <v>15.167299999999999</v>
      </c>
      <c r="P375" s="14">
        <f>CHOOSE(CONTROL!$C$42, 15.0959, 15.0959) * CHOOSE(CONTROL!$C$21, $C$9, 100%, $E$9)</f>
        <v>15.0959</v>
      </c>
      <c r="Q375" s="14">
        <f>CHOOSE(CONTROL!$C$42, 15.7626, 15.7626) * CHOOSE(CONTROL!$C$21, $C$9, 100%, $E$9)</f>
        <v>15.762600000000001</v>
      </c>
      <c r="R375" s="14">
        <f>CHOOSE(CONTROL!$C$42, 16.389, 16.389) * CHOOSE(CONTROL!$C$21, $C$9, 100%, $E$9)</f>
        <v>16.388999999999999</v>
      </c>
      <c r="S375" s="14">
        <f>CHOOSE(CONTROL!$C$42, 14.7739, 14.7739) * CHOOSE(CONTROL!$C$21, $C$9, 100%, $E$9)</f>
        <v>14.773899999999999</v>
      </c>
      <c r="T37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75" s="57">
        <f>(1000*CHOOSE(CONTROL!$C$42, 695, 695)*CHOOSE(CONTROL!$C$42, 0.5599, 0.5599)*CHOOSE(CONTROL!$C$42, 31, 31))/1000000</f>
        <v>12.063045499999998</v>
      </c>
      <c r="V375" s="57">
        <f>(1000*CHOOSE(CONTROL!$C$42, 500, 500)*CHOOSE(CONTROL!$C$42, 0.275, 0.275)*CHOOSE(CONTROL!$C$42, 31, 31))/1000000</f>
        <v>4.2625000000000002</v>
      </c>
      <c r="W375" s="57">
        <f>(1000*CHOOSE(CONTROL!$C$42, 0.1146, 0.1146)*CHOOSE(CONTROL!$C$42, 121.5, 121.5)*CHOOSE(CONTROL!$C$42, 31, 31))/1000000</f>
        <v>0.43164089999999994</v>
      </c>
      <c r="X375" s="57">
        <f>(31*0.1790888*100000/1000000)+(31*0.2374*100000/1000000)</f>
        <v>1.2911152800000001</v>
      </c>
      <c r="Y375" s="57"/>
      <c r="Z375" s="14"/>
      <c r="AA375" s="56"/>
      <c r="AB375" s="50">
        <f>(B375*122.58+C375*297.941+D375*89.177+E375*40.302+F375*40+G375*160+H375*0+I375*100+J375*300)/(122.58+297.941+89.177+40.302+0+40+160+100+300)</f>
        <v>15.228692230695653</v>
      </c>
      <c r="AC375" s="45">
        <f>(M375*'RAP TEMPLATE-GAS AVAILABILITY'!O374+N375*'RAP TEMPLATE-GAS AVAILABILITY'!P374+O375*'RAP TEMPLATE-GAS AVAILABILITY'!Q374+P375*'RAP TEMPLATE-GAS AVAILABILITY'!R374)/('RAP TEMPLATE-GAS AVAILABILITY'!O374+'RAP TEMPLATE-GAS AVAILABILITY'!P374+'RAP TEMPLATE-GAS AVAILABILITY'!Q374+'RAP TEMPLATE-GAS AVAILABILITY'!R374)</f>
        <v>15.118891366906473</v>
      </c>
    </row>
    <row r="376" spans="1:29" ht="15.75" x14ac:dyDescent="0.25">
      <c r="A376" s="33">
        <v>52351</v>
      </c>
      <c r="B376" s="14">
        <f>CHOOSE(CONTROL!$C$42, 15.1714, 15.1714) * CHOOSE(CONTROL!$C$21, $C$9, 100%, $E$9)</f>
        <v>15.1714</v>
      </c>
      <c r="C376" s="14">
        <f>CHOOSE(CONTROL!$C$42, 15.1758, 15.1758) * CHOOSE(CONTROL!$C$21, $C$9, 100%, $E$9)</f>
        <v>15.175800000000001</v>
      </c>
      <c r="D376" s="14">
        <f>CHOOSE(CONTROL!$C$42, 15.3765, 15.3765) * CHOOSE(CONTROL!$C$21, $C$9, 100%, $E$9)</f>
        <v>15.3765</v>
      </c>
      <c r="E376" s="14">
        <f>CHOOSE(CONTROL!$C$42, 15.4083, 15.4083) * CHOOSE(CONTROL!$C$21, $C$9, 100%, $E$9)</f>
        <v>15.408300000000001</v>
      </c>
      <c r="F376" s="14">
        <f>CHOOSE(CONTROL!$C$42, 15.156, 15.156)*CHOOSE(CONTROL!$C$21, $C$9, 100%, $E$9)</f>
        <v>15.156000000000001</v>
      </c>
      <c r="G376" s="14">
        <f>CHOOSE(CONTROL!$C$42, 15.1716, 15.1716)*CHOOSE(CONTROL!$C$21, $C$9, 100%, $E$9)</f>
        <v>15.1716</v>
      </c>
      <c r="H376" s="14">
        <f>CHOOSE(CONTROL!$C$42, 15.3981, 15.3981) * CHOOSE(CONTROL!$C$21, $C$9, 100%, $E$9)</f>
        <v>15.398099999999999</v>
      </c>
      <c r="I376" s="14">
        <f>CHOOSE(CONTROL!$C$42, 15.1842, 15.1842)* CHOOSE(CONTROL!$C$21, $C$9, 100%, $E$9)</f>
        <v>15.184200000000001</v>
      </c>
      <c r="J376" s="14">
        <f>CHOOSE(CONTROL!$C$42, 15.149, 15.149)* CHOOSE(CONTROL!$C$21, $C$9, 100%, $E$9)</f>
        <v>15.148999999999999</v>
      </c>
      <c r="K376" s="53">
        <f>CHOOSE(CONTROL!$C$42, 15.1803, 15.1803) * CHOOSE(CONTROL!$C$21, $C$9, 100%, $E$9)</f>
        <v>15.180300000000001</v>
      </c>
      <c r="L376" s="14">
        <f>CHOOSE(CONTROL!$C$42, 15.9851, 15.9851) * CHOOSE(CONTROL!$C$21, $C$9, 100%, $E$9)</f>
        <v>15.985099999999999</v>
      </c>
      <c r="M376" s="14">
        <f>CHOOSE(CONTROL!$C$42, 15.0099, 15.0099) * CHOOSE(CONTROL!$C$21, $C$9, 100%, $E$9)</f>
        <v>15.0099</v>
      </c>
      <c r="N376" s="14">
        <f>CHOOSE(CONTROL!$C$42, 15.0254, 15.0254) * CHOOSE(CONTROL!$C$21, $C$9, 100%, $E$9)</f>
        <v>15.025399999999999</v>
      </c>
      <c r="O376" s="14">
        <f>CHOOSE(CONTROL!$C$42, 15.2565, 15.2565) * CHOOSE(CONTROL!$C$21, $C$9, 100%, $E$9)</f>
        <v>15.256500000000001</v>
      </c>
      <c r="P376" s="14">
        <f>CHOOSE(CONTROL!$C$42, 15.0448, 15.0448) * CHOOSE(CONTROL!$C$21, $C$9, 100%, $E$9)</f>
        <v>15.0448</v>
      </c>
      <c r="Q376" s="14">
        <f>CHOOSE(CONTROL!$C$42, 15.8518, 15.8518) * CHOOSE(CONTROL!$C$21, $C$9, 100%, $E$9)</f>
        <v>15.851800000000001</v>
      </c>
      <c r="R376" s="14">
        <f>CHOOSE(CONTROL!$C$42, 16.4784, 16.4784) * CHOOSE(CONTROL!$C$21, $C$9, 100%, $E$9)</f>
        <v>16.478400000000001</v>
      </c>
      <c r="S376" s="14">
        <f>CHOOSE(CONTROL!$C$42, 14.7301, 14.7301) * CHOOSE(CONTROL!$C$21, $C$9, 100%, $E$9)</f>
        <v>14.7301</v>
      </c>
      <c r="T37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76" s="57">
        <f>(1000*CHOOSE(CONTROL!$C$42, 695, 695)*CHOOSE(CONTROL!$C$42, 0.5599, 0.5599)*CHOOSE(CONTROL!$C$42, 30, 30))/1000000</f>
        <v>11.673914999999997</v>
      </c>
      <c r="V376" s="57">
        <f>(1000*CHOOSE(CONTROL!$C$42, 500, 500)*CHOOSE(CONTROL!$C$42, 0.275, 0.275)*CHOOSE(CONTROL!$C$42, 30, 30))/1000000</f>
        <v>4.125</v>
      </c>
      <c r="W376" s="57">
        <f>(1000*CHOOSE(CONTROL!$C$42, 0.1146, 0.1146)*CHOOSE(CONTROL!$C$42, 121.5, 121.5)*CHOOSE(CONTROL!$C$42, 30, 30))/1000000</f>
        <v>0.417717</v>
      </c>
      <c r="X376" s="57">
        <f>(30*0.1790888*245000/1000000)+(30*0.2374*100000/1000000)</f>
        <v>2.0285026799999999</v>
      </c>
      <c r="Y376" s="57"/>
      <c r="Z376" s="14"/>
      <c r="AA376" s="56"/>
      <c r="AB376" s="50">
        <f>(B376*141.293+C376*267.993+D376*115.016+E376*89.698+F376*40+G376*185+H376*0+I376*100+J376*300)/(141.293+267.993+115.016+89.698+0+40+185+100+300)</f>
        <v>15.203683621468926</v>
      </c>
      <c r="AC376" s="45">
        <f>(M376*'RAP TEMPLATE-GAS AVAILABILITY'!O375+N376*'RAP TEMPLATE-GAS AVAILABILITY'!P375+O376*'RAP TEMPLATE-GAS AVAILABILITY'!Q375+P376*'RAP TEMPLATE-GAS AVAILABILITY'!R375)/('RAP TEMPLATE-GAS AVAILABILITY'!O375+'RAP TEMPLATE-GAS AVAILABILITY'!P375+'RAP TEMPLATE-GAS AVAILABILITY'!Q375+'RAP TEMPLATE-GAS AVAILABILITY'!R375)</f>
        <v>15.087679856115107</v>
      </c>
    </row>
    <row r="377" spans="1:29" ht="15.75" x14ac:dyDescent="0.25">
      <c r="A377" s="33">
        <v>52382</v>
      </c>
      <c r="B377" s="14">
        <f>CHOOSE(CONTROL!$C$42, 15.3067, 15.3067) * CHOOSE(CONTROL!$C$21, $C$9, 100%, $E$9)</f>
        <v>15.306699999999999</v>
      </c>
      <c r="C377" s="14">
        <f>CHOOSE(CONTROL!$C$42, 15.3146, 15.3146) * CHOOSE(CONTROL!$C$21, $C$9, 100%, $E$9)</f>
        <v>15.3146</v>
      </c>
      <c r="D377" s="14">
        <f>CHOOSE(CONTROL!$C$42, 15.5122, 15.5122) * CHOOSE(CONTROL!$C$21, $C$9, 100%, $E$9)</f>
        <v>15.5122</v>
      </c>
      <c r="E377" s="14">
        <f>CHOOSE(CONTROL!$C$42, 15.5433, 15.5433) * CHOOSE(CONTROL!$C$21, $C$9, 100%, $E$9)</f>
        <v>15.5433</v>
      </c>
      <c r="F377" s="14">
        <f>CHOOSE(CONTROL!$C$42, 15.2901, 15.2901)*CHOOSE(CONTROL!$C$21, $C$9, 100%, $E$9)</f>
        <v>15.290100000000001</v>
      </c>
      <c r="G377" s="14">
        <f>CHOOSE(CONTROL!$C$42, 15.3062, 15.3062)*CHOOSE(CONTROL!$C$21, $C$9, 100%, $E$9)</f>
        <v>15.3062</v>
      </c>
      <c r="H377" s="14">
        <f>CHOOSE(CONTROL!$C$42, 15.5319, 15.5319) * CHOOSE(CONTROL!$C$21, $C$9, 100%, $E$9)</f>
        <v>15.5319</v>
      </c>
      <c r="I377" s="14">
        <f>CHOOSE(CONTROL!$C$42, 15.318, 15.318)* CHOOSE(CONTROL!$C$21, $C$9, 100%, $E$9)</f>
        <v>15.318</v>
      </c>
      <c r="J377" s="14">
        <f>CHOOSE(CONTROL!$C$42, 15.2831, 15.2831)* CHOOSE(CONTROL!$C$21, $C$9, 100%, $E$9)</f>
        <v>15.283099999999999</v>
      </c>
      <c r="K377" s="53">
        <f>CHOOSE(CONTROL!$C$42, 15.3141, 15.3141) * CHOOSE(CONTROL!$C$21, $C$9, 100%, $E$9)</f>
        <v>15.3141</v>
      </c>
      <c r="L377" s="14">
        <f>CHOOSE(CONTROL!$C$42, 16.1189, 16.1189) * CHOOSE(CONTROL!$C$21, $C$9, 100%, $E$9)</f>
        <v>16.1189</v>
      </c>
      <c r="M377" s="14">
        <f>CHOOSE(CONTROL!$C$42, 15.1427, 15.1427) * CHOOSE(CONTROL!$C$21, $C$9, 100%, $E$9)</f>
        <v>15.1427</v>
      </c>
      <c r="N377" s="14">
        <f>CHOOSE(CONTROL!$C$42, 15.1586, 15.1586) * CHOOSE(CONTROL!$C$21, $C$9, 100%, $E$9)</f>
        <v>15.1586</v>
      </c>
      <c r="O377" s="14">
        <f>CHOOSE(CONTROL!$C$42, 15.389, 15.389) * CHOOSE(CONTROL!$C$21, $C$9, 100%, $E$9)</f>
        <v>15.388999999999999</v>
      </c>
      <c r="P377" s="14">
        <f>CHOOSE(CONTROL!$C$42, 15.1773, 15.1773) * CHOOSE(CONTROL!$C$21, $C$9, 100%, $E$9)</f>
        <v>15.177300000000001</v>
      </c>
      <c r="Q377" s="14">
        <f>CHOOSE(CONTROL!$C$42, 15.9843, 15.9843) * CHOOSE(CONTROL!$C$21, $C$9, 100%, $E$9)</f>
        <v>15.984299999999999</v>
      </c>
      <c r="R377" s="14">
        <f>CHOOSE(CONTROL!$C$42, 16.6113, 16.6113) * CHOOSE(CONTROL!$C$21, $C$9, 100%, $E$9)</f>
        <v>16.6113</v>
      </c>
      <c r="S377" s="14">
        <f>CHOOSE(CONTROL!$C$42, 14.8601, 14.8601) * CHOOSE(CONTROL!$C$21, $C$9, 100%, $E$9)</f>
        <v>14.860099999999999</v>
      </c>
      <c r="T37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77" s="57">
        <f>(1000*CHOOSE(CONTROL!$C$42, 695, 695)*CHOOSE(CONTROL!$C$42, 0.5599, 0.5599)*CHOOSE(CONTROL!$C$42, 31, 31))/1000000</f>
        <v>12.063045499999998</v>
      </c>
      <c r="V377" s="57">
        <f>(1000*CHOOSE(CONTROL!$C$42, 500, 500)*CHOOSE(CONTROL!$C$42, 0.275, 0.275)*CHOOSE(CONTROL!$C$42, 31, 31))/1000000</f>
        <v>4.2625000000000002</v>
      </c>
      <c r="W377" s="57">
        <f>(1000*CHOOSE(CONTROL!$C$42, 0.1146, 0.1146)*CHOOSE(CONTROL!$C$42, 121.5, 121.5)*CHOOSE(CONTROL!$C$42, 31, 31))/1000000</f>
        <v>0.43164089999999994</v>
      </c>
      <c r="X377" s="57">
        <f>(31*0.1790888*245000/1000000)+(31*0.2374*100000/1000000)</f>
        <v>2.0961194359999999</v>
      </c>
      <c r="Y377" s="57"/>
      <c r="Z377" s="14"/>
      <c r="AA377" s="56"/>
      <c r="AB377" s="50">
        <f>(B377*194.205+C377*267.466+D377*133.845+E377*53.484+F377*40+G377*185+H377*0+I377*100+J377*300)/(194.205+267.466+133.845+53.484+0+40+185+100+300)</f>
        <v>15.334616752982731</v>
      </c>
      <c r="AC377" s="45">
        <f>(M377*'RAP TEMPLATE-GAS AVAILABILITY'!O376+N377*'RAP TEMPLATE-GAS AVAILABILITY'!P376+O377*'RAP TEMPLATE-GAS AVAILABILITY'!Q376+P377*'RAP TEMPLATE-GAS AVAILABILITY'!R376)/('RAP TEMPLATE-GAS AVAILABILITY'!O376+'RAP TEMPLATE-GAS AVAILABILITY'!P376+'RAP TEMPLATE-GAS AVAILABILITY'!Q376+'RAP TEMPLATE-GAS AVAILABILITY'!R376)</f>
        <v>15.220444604316546</v>
      </c>
    </row>
    <row r="378" spans="1:29" ht="15.75" x14ac:dyDescent="0.25">
      <c r="A378" s="33">
        <v>52412</v>
      </c>
      <c r="B378" s="14">
        <f>CHOOSE(CONTROL!$C$42, 15.7407, 15.7407) * CHOOSE(CONTROL!$C$21, $C$9, 100%, $E$9)</f>
        <v>15.7407</v>
      </c>
      <c r="C378" s="14">
        <f>CHOOSE(CONTROL!$C$42, 15.7486, 15.7486) * CHOOSE(CONTROL!$C$21, $C$9, 100%, $E$9)</f>
        <v>15.7486</v>
      </c>
      <c r="D378" s="14">
        <f>CHOOSE(CONTROL!$C$42, 15.9462, 15.9462) * CHOOSE(CONTROL!$C$21, $C$9, 100%, $E$9)</f>
        <v>15.946199999999999</v>
      </c>
      <c r="E378" s="14">
        <f>CHOOSE(CONTROL!$C$42, 15.9773, 15.9773) * CHOOSE(CONTROL!$C$21, $C$9, 100%, $E$9)</f>
        <v>15.9773</v>
      </c>
      <c r="F378" s="14">
        <f>CHOOSE(CONTROL!$C$42, 15.7245, 15.7245)*CHOOSE(CONTROL!$C$21, $C$9, 100%, $E$9)</f>
        <v>15.724500000000001</v>
      </c>
      <c r="G378" s="14">
        <f>CHOOSE(CONTROL!$C$42, 15.7407, 15.7407)*CHOOSE(CONTROL!$C$21, $C$9, 100%, $E$9)</f>
        <v>15.7407</v>
      </c>
      <c r="H378" s="14">
        <f>CHOOSE(CONTROL!$C$42, 15.966, 15.966) * CHOOSE(CONTROL!$C$21, $C$9, 100%, $E$9)</f>
        <v>15.965999999999999</v>
      </c>
      <c r="I378" s="14">
        <f>CHOOSE(CONTROL!$C$42, 15.7521, 15.7521)* CHOOSE(CONTROL!$C$21, $C$9, 100%, $E$9)</f>
        <v>15.7521</v>
      </c>
      <c r="J378" s="14">
        <f>CHOOSE(CONTROL!$C$42, 15.7175, 15.7175)* CHOOSE(CONTROL!$C$21, $C$9, 100%, $E$9)</f>
        <v>15.717499999999999</v>
      </c>
      <c r="K378" s="53">
        <f>CHOOSE(CONTROL!$C$42, 15.7482, 15.7482) * CHOOSE(CONTROL!$C$21, $C$9, 100%, $E$9)</f>
        <v>15.748200000000001</v>
      </c>
      <c r="L378" s="14">
        <f>CHOOSE(CONTROL!$C$42, 16.553, 16.553) * CHOOSE(CONTROL!$C$21, $C$9, 100%, $E$9)</f>
        <v>16.553000000000001</v>
      </c>
      <c r="M378" s="14">
        <f>CHOOSE(CONTROL!$C$42, 15.5728, 15.5728) * CHOOSE(CONTROL!$C$21, $C$9, 100%, $E$9)</f>
        <v>15.572800000000001</v>
      </c>
      <c r="N378" s="14">
        <f>CHOOSE(CONTROL!$C$42, 15.5888, 15.5888) * CHOOSE(CONTROL!$C$21, $C$9, 100%, $E$9)</f>
        <v>15.588800000000001</v>
      </c>
      <c r="O378" s="14">
        <f>CHOOSE(CONTROL!$C$42, 15.8187, 15.8187) * CHOOSE(CONTROL!$C$21, $C$9, 100%, $E$9)</f>
        <v>15.8187</v>
      </c>
      <c r="P378" s="14">
        <f>CHOOSE(CONTROL!$C$42, 15.607, 15.607) * CHOOSE(CONTROL!$C$21, $C$9, 100%, $E$9)</f>
        <v>15.606999999999999</v>
      </c>
      <c r="Q378" s="14">
        <f>CHOOSE(CONTROL!$C$42, 16.414, 16.414) * CHOOSE(CONTROL!$C$21, $C$9, 100%, $E$9)</f>
        <v>16.414000000000001</v>
      </c>
      <c r="R378" s="14">
        <f>CHOOSE(CONTROL!$C$42, 17.042, 17.042) * CHOOSE(CONTROL!$C$21, $C$9, 100%, $E$9)</f>
        <v>17.042000000000002</v>
      </c>
      <c r="S378" s="14">
        <f>CHOOSE(CONTROL!$C$42, 15.2816, 15.2816) * CHOOSE(CONTROL!$C$21, $C$9, 100%, $E$9)</f>
        <v>15.281599999999999</v>
      </c>
      <c r="T37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78" s="57">
        <f>(1000*CHOOSE(CONTROL!$C$42, 695, 695)*CHOOSE(CONTROL!$C$42, 0.5599, 0.5599)*CHOOSE(CONTROL!$C$42, 30, 30))/1000000</f>
        <v>11.673914999999997</v>
      </c>
      <c r="V378" s="57">
        <f>(1000*CHOOSE(CONTROL!$C$42, 500, 500)*CHOOSE(CONTROL!$C$42, 0.275, 0.275)*CHOOSE(CONTROL!$C$42, 30, 30))/1000000</f>
        <v>4.125</v>
      </c>
      <c r="W378" s="57">
        <f>(1000*CHOOSE(CONTROL!$C$42, 0.1146, 0.1146)*CHOOSE(CONTROL!$C$42, 121.5, 121.5)*CHOOSE(CONTROL!$C$42, 30, 30))/1000000</f>
        <v>0.417717</v>
      </c>
      <c r="X378" s="57">
        <f>(30*0.1790888*245000/1000000)+(30*0.2374*100000/1000000)</f>
        <v>2.0285026799999999</v>
      </c>
      <c r="Y378" s="57"/>
      <c r="Z378" s="14"/>
      <c r="AA378" s="56"/>
      <c r="AB378" s="50">
        <f>(B378*194.205+C378*267.466+D378*133.845+E378*53.484+F378*40+G378*185+H378*0+I378*100+J378*300)/(194.205+267.466+133.845+53.484+0+40+185+100+300)</f>
        <v>15.768803958634223</v>
      </c>
      <c r="AC378" s="45">
        <f>(M378*'RAP TEMPLATE-GAS AVAILABILITY'!O377+N378*'RAP TEMPLATE-GAS AVAILABILITY'!P377+O378*'RAP TEMPLATE-GAS AVAILABILITY'!Q377+P378*'RAP TEMPLATE-GAS AVAILABILITY'!R377)/('RAP TEMPLATE-GAS AVAILABILITY'!O377+'RAP TEMPLATE-GAS AVAILABILITY'!P377+'RAP TEMPLATE-GAS AVAILABILITY'!Q377+'RAP TEMPLATE-GAS AVAILABILITY'!R377)</f>
        <v>15.650397841726619</v>
      </c>
    </row>
    <row r="379" spans="1:29" ht="15.75" x14ac:dyDescent="0.25">
      <c r="A379" s="33">
        <v>52443</v>
      </c>
      <c r="B379" s="14">
        <f>CHOOSE(CONTROL!$C$42, 15.4388, 15.4388) * CHOOSE(CONTROL!$C$21, $C$9, 100%, $E$9)</f>
        <v>15.438800000000001</v>
      </c>
      <c r="C379" s="14">
        <f>CHOOSE(CONTROL!$C$42, 15.4468, 15.4468) * CHOOSE(CONTROL!$C$21, $C$9, 100%, $E$9)</f>
        <v>15.4468</v>
      </c>
      <c r="D379" s="14">
        <f>CHOOSE(CONTROL!$C$42, 15.6443, 15.6443) * CHOOSE(CONTROL!$C$21, $C$9, 100%, $E$9)</f>
        <v>15.644299999999999</v>
      </c>
      <c r="E379" s="14">
        <f>CHOOSE(CONTROL!$C$42, 15.6755, 15.6755) * CHOOSE(CONTROL!$C$21, $C$9, 100%, $E$9)</f>
        <v>15.6755</v>
      </c>
      <c r="F379" s="14">
        <f>CHOOSE(CONTROL!$C$42, 15.4231, 15.4231)*CHOOSE(CONTROL!$C$21, $C$9, 100%, $E$9)</f>
        <v>15.4231</v>
      </c>
      <c r="G379" s="14">
        <f>CHOOSE(CONTROL!$C$42, 15.4394, 15.4394)*CHOOSE(CONTROL!$C$21, $C$9, 100%, $E$9)</f>
        <v>15.439399999999999</v>
      </c>
      <c r="H379" s="14">
        <f>CHOOSE(CONTROL!$C$42, 15.6641, 15.6641) * CHOOSE(CONTROL!$C$21, $C$9, 100%, $E$9)</f>
        <v>15.664099999999999</v>
      </c>
      <c r="I379" s="14">
        <f>CHOOSE(CONTROL!$C$42, 15.4502, 15.4502)* CHOOSE(CONTROL!$C$21, $C$9, 100%, $E$9)</f>
        <v>15.450200000000001</v>
      </c>
      <c r="J379" s="14">
        <f>CHOOSE(CONTROL!$C$42, 15.4161, 15.4161)* CHOOSE(CONTROL!$C$21, $C$9, 100%, $E$9)</f>
        <v>15.4161</v>
      </c>
      <c r="K379" s="53">
        <f>CHOOSE(CONTROL!$C$42, 15.4463, 15.4463) * CHOOSE(CONTROL!$C$21, $C$9, 100%, $E$9)</f>
        <v>15.446300000000001</v>
      </c>
      <c r="L379" s="14">
        <f>CHOOSE(CONTROL!$C$42, 16.2511, 16.2511) * CHOOSE(CONTROL!$C$21, $C$9, 100%, $E$9)</f>
        <v>16.251100000000001</v>
      </c>
      <c r="M379" s="14">
        <f>CHOOSE(CONTROL!$C$42, 15.2743, 15.2743) * CHOOSE(CONTROL!$C$21, $C$9, 100%, $E$9)</f>
        <v>15.2743</v>
      </c>
      <c r="N379" s="14">
        <f>CHOOSE(CONTROL!$C$42, 15.2905, 15.2905) * CHOOSE(CONTROL!$C$21, $C$9, 100%, $E$9)</f>
        <v>15.2905</v>
      </c>
      <c r="O379" s="14">
        <f>CHOOSE(CONTROL!$C$42, 15.5199, 15.5199) * CHOOSE(CONTROL!$C$21, $C$9, 100%, $E$9)</f>
        <v>15.5199</v>
      </c>
      <c r="P379" s="14">
        <f>CHOOSE(CONTROL!$C$42, 15.3081, 15.3081) * CHOOSE(CONTROL!$C$21, $C$9, 100%, $E$9)</f>
        <v>15.3081</v>
      </c>
      <c r="Q379" s="14">
        <f>CHOOSE(CONTROL!$C$42, 16.1152, 16.1152) * CHOOSE(CONTROL!$C$21, $C$9, 100%, $E$9)</f>
        <v>16.115200000000002</v>
      </c>
      <c r="R379" s="14">
        <f>CHOOSE(CONTROL!$C$42, 16.7424, 16.7424) * CHOOSE(CONTROL!$C$21, $C$9, 100%, $E$9)</f>
        <v>16.7424</v>
      </c>
      <c r="S379" s="14">
        <f>CHOOSE(CONTROL!$C$42, 14.9884, 14.9884) * CHOOSE(CONTROL!$C$21, $C$9, 100%, $E$9)</f>
        <v>14.9884</v>
      </c>
      <c r="T37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79" s="57">
        <f>(1000*CHOOSE(CONTROL!$C$42, 695, 695)*CHOOSE(CONTROL!$C$42, 0.5599, 0.5599)*CHOOSE(CONTROL!$C$42, 31, 31))/1000000</f>
        <v>12.063045499999998</v>
      </c>
      <c r="V379" s="57">
        <f>(1000*CHOOSE(CONTROL!$C$42, 500, 500)*CHOOSE(CONTROL!$C$42, 0.275, 0.275)*CHOOSE(CONTROL!$C$42, 31, 31))/1000000</f>
        <v>4.2625000000000002</v>
      </c>
      <c r="W379" s="57">
        <f>(1000*CHOOSE(CONTROL!$C$42, 0.1146, 0.1146)*CHOOSE(CONTROL!$C$42, 121.5, 121.5)*CHOOSE(CONTROL!$C$42, 31, 31))/1000000</f>
        <v>0.43164089999999994</v>
      </c>
      <c r="X379" s="57">
        <f>(31*0.1790888*245000/1000000)+(31*0.2374*100000/1000000)</f>
        <v>2.0961194359999999</v>
      </c>
      <c r="Y379" s="57"/>
      <c r="Z379" s="14"/>
      <c r="AA379" s="56"/>
      <c r="AB379" s="50">
        <f>(B379*194.205+C379*267.466+D379*133.845+E379*53.484+F379*40+G379*185+H379*0+I379*100+J379*300)/(194.205+267.466+133.845+53.484+0+40+185+100+300)</f>
        <v>15.46714971609105</v>
      </c>
      <c r="AC379" s="45">
        <f>(M379*'RAP TEMPLATE-GAS AVAILABILITY'!O378+N379*'RAP TEMPLATE-GAS AVAILABILITY'!P378+O379*'RAP TEMPLATE-GAS AVAILABILITY'!Q378+P379*'RAP TEMPLATE-GAS AVAILABILITY'!R378)/('RAP TEMPLATE-GAS AVAILABILITY'!O378+'RAP TEMPLATE-GAS AVAILABILITY'!P378+'RAP TEMPLATE-GAS AVAILABILITY'!Q378+'RAP TEMPLATE-GAS AVAILABILITY'!R378)</f>
        <v>15.351802158273379</v>
      </c>
    </row>
    <row r="380" spans="1:29" ht="15.75" x14ac:dyDescent="0.25">
      <c r="A380" s="33">
        <v>52474</v>
      </c>
      <c r="B380" s="14">
        <f>CHOOSE(CONTROL!$C$42, 14.6765, 14.6765) * CHOOSE(CONTROL!$C$21, $C$9, 100%, $E$9)</f>
        <v>14.676500000000001</v>
      </c>
      <c r="C380" s="14">
        <f>CHOOSE(CONTROL!$C$42, 14.6844, 14.6844) * CHOOSE(CONTROL!$C$21, $C$9, 100%, $E$9)</f>
        <v>14.6844</v>
      </c>
      <c r="D380" s="14">
        <f>CHOOSE(CONTROL!$C$42, 14.882, 14.882) * CHOOSE(CONTROL!$C$21, $C$9, 100%, $E$9)</f>
        <v>14.882</v>
      </c>
      <c r="E380" s="14">
        <f>CHOOSE(CONTROL!$C$42, 14.9131, 14.9131) * CHOOSE(CONTROL!$C$21, $C$9, 100%, $E$9)</f>
        <v>14.9131</v>
      </c>
      <c r="F380" s="14">
        <f>CHOOSE(CONTROL!$C$42, 14.6609, 14.6609)*CHOOSE(CONTROL!$C$21, $C$9, 100%, $E$9)</f>
        <v>14.6609</v>
      </c>
      <c r="G380" s="14">
        <f>CHOOSE(CONTROL!$C$42, 14.6773, 14.6773)*CHOOSE(CONTROL!$C$21, $C$9, 100%, $E$9)</f>
        <v>14.677300000000001</v>
      </c>
      <c r="H380" s="14">
        <f>CHOOSE(CONTROL!$C$42, 14.9018, 14.9018) * CHOOSE(CONTROL!$C$21, $C$9, 100%, $E$9)</f>
        <v>14.9018</v>
      </c>
      <c r="I380" s="14">
        <f>CHOOSE(CONTROL!$C$42, 14.6879, 14.6879)* CHOOSE(CONTROL!$C$21, $C$9, 100%, $E$9)</f>
        <v>14.687900000000001</v>
      </c>
      <c r="J380" s="14">
        <f>CHOOSE(CONTROL!$C$42, 14.6539, 14.6539)* CHOOSE(CONTROL!$C$21, $C$9, 100%, $E$9)</f>
        <v>14.6539</v>
      </c>
      <c r="K380" s="53">
        <f>CHOOSE(CONTROL!$C$42, 14.684, 14.684) * CHOOSE(CONTROL!$C$21, $C$9, 100%, $E$9)</f>
        <v>14.683999999999999</v>
      </c>
      <c r="L380" s="14">
        <f>CHOOSE(CONTROL!$C$42, 15.4888, 15.4888) * CHOOSE(CONTROL!$C$21, $C$9, 100%, $E$9)</f>
        <v>15.488799999999999</v>
      </c>
      <c r="M380" s="14">
        <f>CHOOSE(CONTROL!$C$42, 14.5199, 14.5199) * CHOOSE(CONTROL!$C$21, $C$9, 100%, $E$9)</f>
        <v>14.5199</v>
      </c>
      <c r="N380" s="14">
        <f>CHOOSE(CONTROL!$C$42, 14.5361, 14.5361) * CHOOSE(CONTROL!$C$21, $C$9, 100%, $E$9)</f>
        <v>14.536099999999999</v>
      </c>
      <c r="O380" s="14">
        <f>CHOOSE(CONTROL!$C$42, 14.7652, 14.7652) * CHOOSE(CONTROL!$C$21, $C$9, 100%, $E$9)</f>
        <v>14.7652</v>
      </c>
      <c r="P380" s="14">
        <f>CHOOSE(CONTROL!$C$42, 14.5535, 14.5535) * CHOOSE(CONTROL!$C$21, $C$9, 100%, $E$9)</f>
        <v>14.5535</v>
      </c>
      <c r="Q380" s="14">
        <f>CHOOSE(CONTROL!$C$42, 15.3605, 15.3605) * CHOOSE(CONTROL!$C$21, $C$9, 100%, $E$9)</f>
        <v>15.3605</v>
      </c>
      <c r="R380" s="14">
        <f>CHOOSE(CONTROL!$C$42, 15.9859, 15.9859) * CHOOSE(CONTROL!$C$21, $C$9, 100%, $E$9)</f>
        <v>15.985900000000001</v>
      </c>
      <c r="S380" s="14">
        <f>CHOOSE(CONTROL!$C$42, 14.2481, 14.2481) * CHOOSE(CONTROL!$C$21, $C$9, 100%, $E$9)</f>
        <v>14.248100000000001</v>
      </c>
      <c r="T38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80" s="57">
        <f>(1000*CHOOSE(CONTROL!$C$42, 695, 695)*CHOOSE(CONTROL!$C$42, 0.5599, 0.5599)*CHOOSE(CONTROL!$C$42, 31, 31))/1000000</f>
        <v>12.063045499999998</v>
      </c>
      <c r="V380" s="57">
        <f>(1000*CHOOSE(CONTROL!$C$42, 500, 500)*CHOOSE(CONTROL!$C$42, 0.275, 0.275)*CHOOSE(CONTROL!$C$42, 31, 31))/1000000</f>
        <v>4.2625000000000002</v>
      </c>
      <c r="W380" s="57">
        <f>(1000*CHOOSE(CONTROL!$C$42, 0.1146, 0.1146)*CHOOSE(CONTROL!$C$42, 121.5, 121.5)*CHOOSE(CONTROL!$C$42, 31, 31))/1000000</f>
        <v>0.43164089999999994</v>
      </c>
      <c r="X380" s="57">
        <f>(31*0.1790888*245000/1000000)+(31*0.2374*100000/1000000)</f>
        <v>2.0961194359999999</v>
      </c>
      <c r="Y380" s="57"/>
      <c r="Z380" s="14"/>
      <c r="AA380" s="56"/>
      <c r="AB380" s="50">
        <f>(B380*194.205+C380*267.466+D380*133.845+E380*53.484+F380*40+G380*185+H380*0+I380*100+J380*300)/(194.205+267.466+133.845+53.484+0+40+185+100+300)</f>
        <v>14.70488025376766</v>
      </c>
      <c r="AC380" s="45">
        <f>(M380*'RAP TEMPLATE-GAS AVAILABILITY'!O379+N380*'RAP TEMPLATE-GAS AVAILABILITY'!P379+O380*'RAP TEMPLATE-GAS AVAILABILITY'!Q379+P380*'RAP TEMPLATE-GAS AVAILABILITY'!R379)/('RAP TEMPLATE-GAS AVAILABILITY'!O379+'RAP TEMPLATE-GAS AVAILABILITY'!P379+'RAP TEMPLATE-GAS AVAILABILITY'!Q379+'RAP TEMPLATE-GAS AVAILABILITY'!R379)</f>
        <v>14.597289208633093</v>
      </c>
    </row>
    <row r="381" spans="1:29" ht="15.75" x14ac:dyDescent="0.25">
      <c r="A381" s="33">
        <v>52504</v>
      </c>
      <c r="B381" s="14">
        <f>CHOOSE(CONTROL!$C$42, 13.7447, 13.7447) * CHOOSE(CONTROL!$C$21, $C$9, 100%, $E$9)</f>
        <v>13.7447</v>
      </c>
      <c r="C381" s="14">
        <f>CHOOSE(CONTROL!$C$42, 13.7526, 13.7526) * CHOOSE(CONTROL!$C$21, $C$9, 100%, $E$9)</f>
        <v>13.752599999999999</v>
      </c>
      <c r="D381" s="14">
        <f>CHOOSE(CONTROL!$C$42, 13.9502, 13.9502) * CHOOSE(CONTROL!$C$21, $C$9, 100%, $E$9)</f>
        <v>13.950200000000001</v>
      </c>
      <c r="E381" s="14">
        <f>CHOOSE(CONTROL!$C$42, 13.9813, 13.9813) * CHOOSE(CONTROL!$C$21, $C$9, 100%, $E$9)</f>
        <v>13.981299999999999</v>
      </c>
      <c r="F381" s="14">
        <f>CHOOSE(CONTROL!$C$42, 13.7291, 13.7291)*CHOOSE(CONTROL!$C$21, $C$9, 100%, $E$9)</f>
        <v>13.729100000000001</v>
      </c>
      <c r="G381" s="14">
        <f>CHOOSE(CONTROL!$C$42, 13.7454, 13.7454)*CHOOSE(CONTROL!$C$21, $C$9, 100%, $E$9)</f>
        <v>13.7454</v>
      </c>
      <c r="H381" s="14">
        <f>CHOOSE(CONTROL!$C$42, 13.97, 13.97) * CHOOSE(CONTROL!$C$21, $C$9, 100%, $E$9)</f>
        <v>13.97</v>
      </c>
      <c r="I381" s="14">
        <f>CHOOSE(CONTROL!$C$42, 13.756, 13.756)* CHOOSE(CONTROL!$C$21, $C$9, 100%, $E$9)</f>
        <v>13.756</v>
      </c>
      <c r="J381" s="14">
        <f>CHOOSE(CONTROL!$C$42, 13.7221, 13.7221)* CHOOSE(CONTROL!$C$21, $C$9, 100%, $E$9)</f>
        <v>13.722099999999999</v>
      </c>
      <c r="K381" s="53">
        <f>CHOOSE(CONTROL!$C$42, 13.7522, 13.7522) * CHOOSE(CONTROL!$C$21, $C$9, 100%, $E$9)</f>
        <v>13.7522</v>
      </c>
      <c r="L381" s="14">
        <f>CHOOSE(CONTROL!$C$42, 14.557, 14.557) * CHOOSE(CONTROL!$C$21, $C$9, 100%, $E$9)</f>
        <v>14.557</v>
      </c>
      <c r="M381" s="14">
        <f>CHOOSE(CONTROL!$C$42, 13.5974, 13.5974) * CHOOSE(CONTROL!$C$21, $C$9, 100%, $E$9)</f>
        <v>13.5974</v>
      </c>
      <c r="N381" s="14">
        <f>CHOOSE(CONTROL!$C$42, 13.6136, 13.6136) * CHOOSE(CONTROL!$C$21, $C$9, 100%, $E$9)</f>
        <v>13.6136</v>
      </c>
      <c r="O381" s="14">
        <f>CHOOSE(CONTROL!$C$42, 13.8428, 13.8428) * CHOOSE(CONTROL!$C$21, $C$9, 100%, $E$9)</f>
        <v>13.8428</v>
      </c>
      <c r="P381" s="14">
        <f>CHOOSE(CONTROL!$C$42, 13.6311, 13.6311) * CHOOSE(CONTROL!$C$21, $C$9, 100%, $E$9)</f>
        <v>13.6311</v>
      </c>
      <c r="Q381" s="14">
        <f>CHOOSE(CONTROL!$C$42, 14.4381, 14.4381) * CHOOSE(CONTROL!$C$21, $C$9, 100%, $E$9)</f>
        <v>14.4381</v>
      </c>
      <c r="R381" s="14">
        <f>CHOOSE(CONTROL!$C$42, 15.0612, 15.0612) * CHOOSE(CONTROL!$C$21, $C$9, 100%, $E$9)</f>
        <v>15.061199999999999</v>
      </c>
      <c r="S381" s="14">
        <f>CHOOSE(CONTROL!$C$42, 13.3432, 13.3432) * CHOOSE(CONTROL!$C$21, $C$9, 100%, $E$9)</f>
        <v>13.3432</v>
      </c>
      <c r="T38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81" s="57">
        <f>(1000*CHOOSE(CONTROL!$C$42, 695, 695)*CHOOSE(CONTROL!$C$42, 0.5599, 0.5599)*CHOOSE(CONTROL!$C$42, 30, 30))/1000000</f>
        <v>11.673914999999997</v>
      </c>
      <c r="V381" s="57">
        <f>(1000*CHOOSE(CONTROL!$C$42, 500, 500)*CHOOSE(CONTROL!$C$42, 0.275, 0.275)*CHOOSE(CONTROL!$C$42, 30, 30))/1000000</f>
        <v>4.125</v>
      </c>
      <c r="W381" s="57">
        <f>(1000*CHOOSE(CONTROL!$C$42, 0.1146, 0.1146)*CHOOSE(CONTROL!$C$42, 121.5, 121.5)*CHOOSE(CONTROL!$C$42, 30, 30))/1000000</f>
        <v>0.417717</v>
      </c>
      <c r="X381" s="57">
        <f>(30*0.1790888*245000/1000000)+(30*0.2374*100000/1000000)</f>
        <v>2.0285026799999999</v>
      </c>
      <c r="Y381" s="57"/>
      <c r="Z381" s="14"/>
      <c r="AA381" s="56"/>
      <c r="AB381" s="50">
        <f>(B381*194.205+C381*267.466+D381*133.845+E381*53.484+F381*40+G381*185+H381*0+I381*100+J381*300)/(194.205+267.466+133.845+53.484+0+40+185+100+300)</f>
        <v>13.773057883281004</v>
      </c>
      <c r="AC381" s="45">
        <f>(M381*'RAP TEMPLATE-GAS AVAILABILITY'!O380+N381*'RAP TEMPLATE-GAS AVAILABILITY'!P380+O381*'RAP TEMPLATE-GAS AVAILABILITY'!Q380+P381*'RAP TEMPLATE-GAS AVAILABILITY'!R380)/('RAP TEMPLATE-GAS AVAILABILITY'!O380+'RAP TEMPLATE-GAS AVAILABILITY'!P380+'RAP TEMPLATE-GAS AVAILABILITY'!Q380+'RAP TEMPLATE-GAS AVAILABILITY'!R380)</f>
        <v>13.674831654676259</v>
      </c>
    </row>
    <row r="382" spans="1:29" ht="15.75" x14ac:dyDescent="0.25">
      <c r="A382" s="33">
        <v>52535</v>
      </c>
      <c r="B382" s="14">
        <f>CHOOSE(CONTROL!$C$42, 13.464, 13.464) * CHOOSE(CONTROL!$C$21, $C$9, 100%, $E$9)</f>
        <v>13.464</v>
      </c>
      <c r="C382" s="14">
        <f>CHOOSE(CONTROL!$C$42, 13.4692, 13.4692) * CHOOSE(CONTROL!$C$21, $C$9, 100%, $E$9)</f>
        <v>13.469200000000001</v>
      </c>
      <c r="D382" s="14">
        <f>CHOOSE(CONTROL!$C$42, 13.6717, 13.6717) * CHOOSE(CONTROL!$C$21, $C$9, 100%, $E$9)</f>
        <v>13.6717</v>
      </c>
      <c r="E382" s="14">
        <f>CHOOSE(CONTROL!$C$42, 13.7005, 13.7005) * CHOOSE(CONTROL!$C$21, $C$9, 100%, $E$9)</f>
        <v>13.7005</v>
      </c>
      <c r="F382" s="14">
        <f>CHOOSE(CONTROL!$C$42, 13.4503, 13.4503)*CHOOSE(CONTROL!$C$21, $C$9, 100%, $E$9)</f>
        <v>13.4503</v>
      </c>
      <c r="G382" s="14">
        <f>CHOOSE(CONTROL!$C$42, 13.4663, 13.4663)*CHOOSE(CONTROL!$C$21, $C$9, 100%, $E$9)</f>
        <v>13.4663</v>
      </c>
      <c r="H382" s="14">
        <f>CHOOSE(CONTROL!$C$42, 13.691, 13.691) * CHOOSE(CONTROL!$C$21, $C$9, 100%, $E$9)</f>
        <v>13.691000000000001</v>
      </c>
      <c r="I382" s="14">
        <f>CHOOSE(CONTROL!$C$42, 13.4771, 13.4771)* CHOOSE(CONTROL!$C$21, $C$9, 100%, $E$9)</f>
        <v>13.4771</v>
      </c>
      <c r="J382" s="14">
        <f>CHOOSE(CONTROL!$C$42, 13.4433, 13.4433)* CHOOSE(CONTROL!$C$21, $C$9, 100%, $E$9)</f>
        <v>13.443300000000001</v>
      </c>
      <c r="K382" s="53">
        <f>CHOOSE(CONTROL!$C$42, 13.4732, 13.4732) * CHOOSE(CONTROL!$C$21, $C$9, 100%, $E$9)</f>
        <v>13.4732</v>
      </c>
      <c r="L382" s="14">
        <f>CHOOSE(CONTROL!$C$42, 14.278, 14.278) * CHOOSE(CONTROL!$C$21, $C$9, 100%, $E$9)</f>
        <v>14.278</v>
      </c>
      <c r="M382" s="14">
        <f>CHOOSE(CONTROL!$C$42, 13.3215, 13.3215) * CHOOSE(CONTROL!$C$21, $C$9, 100%, $E$9)</f>
        <v>13.3215</v>
      </c>
      <c r="N382" s="14">
        <f>CHOOSE(CONTROL!$C$42, 13.3373, 13.3373) * CHOOSE(CONTROL!$C$21, $C$9, 100%, $E$9)</f>
        <v>13.337300000000001</v>
      </c>
      <c r="O382" s="14">
        <f>CHOOSE(CONTROL!$C$42, 13.5666, 13.5666) * CHOOSE(CONTROL!$C$21, $C$9, 100%, $E$9)</f>
        <v>13.566599999999999</v>
      </c>
      <c r="P382" s="14">
        <f>CHOOSE(CONTROL!$C$42, 13.3549, 13.3549) * CHOOSE(CONTROL!$C$21, $C$9, 100%, $E$9)</f>
        <v>13.354900000000001</v>
      </c>
      <c r="Q382" s="14">
        <f>CHOOSE(CONTROL!$C$42, 14.1619, 14.1619) * CHOOSE(CONTROL!$C$21, $C$9, 100%, $E$9)</f>
        <v>14.161899999999999</v>
      </c>
      <c r="R382" s="14">
        <f>CHOOSE(CONTROL!$C$42, 14.7844, 14.7844) * CHOOSE(CONTROL!$C$21, $C$9, 100%, $E$9)</f>
        <v>14.7844</v>
      </c>
      <c r="S382" s="14">
        <f>CHOOSE(CONTROL!$C$42, 13.0723, 13.0723) * CHOOSE(CONTROL!$C$21, $C$9, 100%, $E$9)</f>
        <v>13.0723</v>
      </c>
      <c r="T38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82" s="57">
        <f>(1000*CHOOSE(CONTROL!$C$42, 695, 695)*CHOOSE(CONTROL!$C$42, 0.5599, 0.5599)*CHOOSE(CONTROL!$C$42, 31, 31))/1000000</f>
        <v>12.063045499999998</v>
      </c>
      <c r="V382" s="57">
        <f>(1000*CHOOSE(CONTROL!$C$42, 500, 500)*CHOOSE(CONTROL!$C$42, 0.275, 0.275)*CHOOSE(CONTROL!$C$42, 31, 31))/1000000</f>
        <v>4.2625000000000002</v>
      </c>
      <c r="W382" s="57">
        <f>(1000*CHOOSE(CONTROL!$C$42, 0.1146, 0.1146)*CHOOSE(CONTROL!$C$42, 121.5, 121.5)*CHOOSE(CONTROL!$C$42, 31, 31))/1000000</f>
        <v>0.43164089999999994</v>
      </c>
      <c r="X382" s="57">
        <f>(31*0.1790888*245000/1000000)+(31*0.2374*100000/1000000)</f>
        <v>2.0961194359999999</v>
      </c>
      <c r="Y382" s="57"/>
      <c r="Z382" s="14"/>
      <c r="AA382" s="56"/>
      <c r="AB382" s="50">
        <f>(B382*131.881+C382*277.167+D382*79.08+E382*125.872+F382*40+G382*185+H382*0+I382*100+J382*300)/(131.881+277.167+79.08+125.872+0+40+185+100+300)</f>
        <v>13.498392584665055</v>
      </c>
      <c r="AC382" s="45">
        <f>(M382*'RAP TEMPLATE-GAS AVAILABILITY'!O381+N382*'RAP TEMPLATE-GAS AVAILABILITY'!P381+O382*'RAP TEMPLATE-GAS AVAILABILITY'!Q381+P382*'RAP TEMPLATE-GAS AVAILABILITY'!R381)/('RAP TEMPLATE-GAS AVAILABILITY'!O381+'RAP TEMPLATE-GAS AVAILABILITY'!P381+'RAP TEMPLATE-GAS AVAILABILITY'!Q381+'RAP TEMPLATE-GAS AVAILABILITY'!R381)</f>
        <v>13.39871223021583</v>
      </c>
    </row>
    <row r="383" spans="1:29" ht="15.75" x14ac:dyDescent="0.25">
      <c r="A383" s="33">
        <v>52565</v>
      </c>
      <c r="B383" s="14">
        <f>CHOOSE(CONTROL!$C$42, 13.8182, 13.8182) * CHOOSE(CONTROL!$C$21, $C$9, 100%, $E$9)</f>
        <v>13.818199999999999</v>
      </c>
      <c r="C383" s="14">
        <f>CHOOSE(CONTROL!$C$42, 13.8231, 13.8231) * CHOOSE(CONTROL!$C$21, $C$9, 100%, $E$9)</f>
        <v>13.8231</v>
      </c>
      <c r="D383" s="14">
        <f>CHOOSE(CONTROL!$C$42, 13.8862, 13.8862) * CHOOSE(CONTROL!$C$21, $C$9, 100%, $E$9)</f>
        <v>13.886200000000001</v>
      </c>
      <c r="E383" s="14">
        <f>CHOOSE(CONTROL!$C$42, 13.92, 13.92) * CHOOSE(CONTROL!$C$21, $C$9, 100%, $E$9)</f>
        <v>13.92</v>
      </c>
      <c r="F383" s="14">
        <f>CHOOSE(CONTROL!$C$42, 13.8189, 13.8189)*CHOOSE(CONTROL!$C$21, $C$9, 100%, $E$9)</f>
        <v>13.818899999999999</v>
      </c>
      <c r="G383" s="14">
        <f>CHOOSE(CONTROL!$C$42, 13.8351, 13.8351)*CHOOSE(CONTROL!$C$21, $C$9, 100%, $E$9)</f>
        <v>13.835100000000001</v>
      </c>
      <c r="H383" s="14">
        <f>CHOOSE(CONTROL!$C$42, 13.9092, 13.9092) * CHOOSE(CONTROL!$C$21, $C$9, 100%, $E$9)</f>
        <v>13.9092</v>
      </c>
      <c r="I383" s="14">
        <f>CHOOSE(CONTROL!$C$42, 13.8317, 13.8317)* CHOOSE(CONTROL!$C$21, $C$9, 100%, $E$9)</f>
        <v>13.8317</v>
      </c>
      <c r="J383" s="14">
        <f>CHOOSE(CONTROL!$C$42, 13.8119, 13.8119)* CHOOSE(CONTROL!$C$21, $C$9, 100%, $E$9)</f>
        <v>13.8119</v>
      </c>
      <c r="K383" s="53">
        <f>CHOOSE(CONTROL!$C$42, 13.8278, 13.8278) * CHOOSE(CONTROL!$C$21, $C$9, 100%, $E$9)</f>
        <v>13.8278</v>
      </c>
      <c r="L383" s="14">
        <f>CHOOSE(CONTROL!$C$42, 14.4962, 14.4962) * CHOOSE(CONTROL!$C$21, $C$9, 100%, $E$9)</f>
        <v>14.4962</v>
      </c>
      <c r="M383" s="14">
        <f>CHOOSE(CONTROL!$C$42, 13.6863, 13.6863) * CHOOSE(CONTROL!$C$21, $C$9, 100%, $E$9)</f>
        <v>13.686299999999999</v>
      </c>
      <c r="N383" s="14">
        <f>CHOOSE(CONTROL!$C$42, 13.7024, 13.7024) * CHOOSE(CONTROL!$C$21, $C$9, 100%, $E$9)</f>
        <v>13.702400000000001</v>
      </c>
      <c r="O383" s="14">
        <f>CHOOSE(CONTROL!$C$42, 13.7826, 13.7826) * CHOOSE(CONTROL!$C$21, $C$9, 100%, $E$9)</f>
        <v>13.7826</v>
      </c>
      <c r="P383" s="14">
        <f>CHOOSE(CONTROL!$C$42, 13.706, 13.706) * CHOOSE(CONTROL!$C$21, $C$9, 100%, $E$9)</f>
        <v>13.706</v>
      </c>
      <c r="Q383" s="14">
        <f>CHOOSE(CONTROL!$C$42, 14.3779, 14.3779) * CHOOSE(CONTROL!$C$21, $C$9, 100%, $E$9)</f>
        <v>14.3779</v>
      </c>
      <c r="R383" s="14">
        <f>CHOOSE(CONTROL!$C$42, 15.0009, 15.0009) * CHOOSE(CONTROL!$C$21, $C$9, 100%, $E$9)</f>
        <v>15.0009</v>
      </c>
      <c r="S383" s="14">
        <f>CHOOSE(CONTROL!$C$42, 13.4167, 13.4167) * CHOOSE(CONTROL!$C$21, $C$9, 100%, $E$9)</f>
        <v>13.416700000000001</v>
      </c>
      <c r="T38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83" s="57">
        <f>(1000*CHOOSE(CONTROL!$C$42, 695, 695)*CHOOSE(CONTROL!$C$42, 0.5599, 0.5599)*CHOOSE(CONTROL!$C$42, 30, 30))/1000000</f>
        <v>11.673914999999997</v>
      </c>
      <c r="V383" s="57">
        <f>(1000*CHOOSE(CONTROL!$C$42, 500, 500)*CHOOSE(CONTROL!$C$42, 0.275, 0.275)*CHOOSE(CONTROL!$C$42, 30, 30))/1000000</f>
        <v>4.125</v>
      </c>
      <c r="W383" s="57">
        <f>(1000*CHOOSE(CONTROL!$C$42, 0.1146, 0.1146)*CHOOSE(CONTROL!$C$42, 121.5, 121.5)*CHOOSE(CONTROL!$C$42, 30, 30))/1000000</f>
        <v>0.417717</v>
      </c>
      <c r="X383" s="57">
        <f>(30*0.1790888*100000/1000000)+(30*0.2374*100000/1000000)</f>
        <v>1.2494664</v>
      </c>
      <c r="Y383" s="57"/>
      <c r="Z383" s="14"/>
      <c r="AA383" s="56"/>
      <c r="AB383" s="50">
        <f>(B383*122.58+C383*297.941+D383*89.177+E383*40.302+F383*40+G383*160+H383*0+I383*100+J383*300)/(122.58+297.941+89.177+40.302+0+40+160+100+300)</f>
        <v>13.830216252608697</v>
      </c>
      <c r="AC383" s="45">
        <f>(M383*'RAP TEMPLATE-GAS AVAILABILITY'!O382+N383*'RAP TEMPLATE-GAS AVAILABILITY'!P382+O383*'RAP TEMPLATE-GAS AVAILABILITY'!Q382+P383*'RAP TEMPLATE-GAS AVAILABILITY'!R382)/('RAP TEMPLATE-GAS AVAILABILITY'!O382+'RAP TEMPLATE-GAS AVAILABILITY'!P382+'RAP TEMPLATE-GAS AVAILABILITY'!Q382+'RAP TEMPLATE-GAS AVAILABILITY'!R382)</f>
        <v>13.733707913669065</v>
      </c>
    </row>
    <row r="384" spans="1:29" ht="15.75" x14ac:dyDescent="0.25">
      <c r="A384" s="33">
        <v>52596</v>
      </c>
      <c r="B384" s="14">
        <f>CHOOSE(CONTROL!$C$42, 14.7601, 14.7601) * CHOOSE(CONTROL!$C$21, $C$9, 100%, $E$9)</f>
        <v>14.7601</v>
      </c>
      <c r="C384" s="14">
        <f>CHOOSE(CONTROL!$C$42, 14.765, 14.765) * CHOOSE(CONTROL!$C$21, $C$9, 100%, $E$9)</f>
        <v>14.765000000000001</v>
      </c>
      <c r="D384" s="14">
        <f>CHOOSE(CONTROL!$C$42, 14.8281, 14.8281) * CHOOSE(CONTROL!$C$21, $C$9, 100%, $E$9)</f>
        <v>14.828099999999999</v>
      </c>
      <c r="E384" s="14">
        <f>CHOOSE(CONTROL!$C$42, 14.8619, 14.8619) * CHOOSE(CONTROL!$C$21, $C$9, 100%, $E$9)</f>
        <v>14.8619</v>
      </c>
      <c r="F384" s="14">
        <f>CHOOSE(CONTROL!$C$42, 14.7628, 14.7628)*CHOOSE(CONTROL!$C$21, $C$9, 100%, $E$9)</f>
        <v>14.7628</v>
      </c>
      <c r="G384" s="14">
        <f>CHOOSE(CONTROL!$C$42, 14.7796, 14.7796)*CHOOSE(CONTROL!$C$21, $C$9, 100%, $E$9)</f>
        <v>14.7796</v>
      </c>
      <c r="H384" s="14">
        <f>CHOOSE(CONTROL!$C$42, 14.8511, 14.8511) * CHOOSE(CONTROL!$C$21, $C$9, 100%, $E$9)</f>
        <v>14.851100000000001</v>
      </c>
      <c r="I384" s="14">
        <f>CHOOSE(CONTROL!$C$42, 14.7736, 14.7736)* CHOOSE(CONTROL!$C$21, $C$9, 100%, $E$9)</f>
        <v>14.7736</v>
      </c>
      <c r="J384" s="14">
        <f>CHOOSE(CONTROL!$C$42, 14.7558, 14.7558)* CHOOSE(CONTROL!$C$21, $C$9, 100%, $E$9)</f>
        <v>14.755800000000001</v>
      </c>
      <c r="K384" s="53">
        <f>CHOOSE(CONTROL!$C$42, 14.7697, 14.7697) * CHOOSE(CONTROL!$C$21, $C$9, 100%, $E$9)</f>
        <v>14.7697</v>
      </c>
      <c r="L384" s="14">
        <f>CHOOSE(CONTROL!$C$42, 15.4381, 15.4381) * CHOOSE(CONTROL!$C$21, $C$9, 100%, $E$9)</f>
        <v>15.4381</v>
      </c>
      <c r="M384" s="14">
        <f>CHOOSE(CONTROL!$C$42, 14.6207, 14.6207) * CHOOSE(CONTROL!$C$21, $C$9, 100%, $E$9)</f>
        <v>14.620699999999999</v>
      </c>
      <c r="N384" s="14">
        <f>CHOOSE(CONTROL!$C$42, 14.6374, 14.6374) * CHOOSE(CONTROL!$C$21, $C$9, 100%, $E$9)</f>
        <v>14.6374</v>
      </c>
      <c r="O384" s="14">
        <f>CHOOSE(CONTROL!$C$42, 14.715, 14.715) * CHOOSE(CONTROL!$C$21, $C$9, 100%, $E$9)</f>
        <v>14.715</v>
      </c>
      <c r="P384" s="14">
        <f>CHOOSE(CONTROL!$C$42, 14.6384, 14.6384) * CHOOSE(CONTROL!$C$21, $C$9, 100%, $E$9)</f>
        <v>14.638400000000001</v>
      </c>
      <c r="Q384" s="14">
        <f>CHOOSE(CONTROL!$C$42, 15.3103, 15.3103) * CHOOSE(CONTROL!$C$21, $C$9, 100%, $E$9)</f>
        <v>15.3103</v>
      </c>
      <c r="R384" s="14">
        <f>CHOOSE(CONTROL!$C$42, 15.9356, 15.9356) * CHOOSE(CONTROL!$C$21, $C$9, 100%, $E$9)</f>
        <v>15.935600000000001</v>
      </c>
      <c r="S384" s="14">
        <f>CHOOSE(CONTROL!$C$42, 14.3314, 14.3314) * CHOOSE(CONTROL!$C$21, $C$9, 100%, $E$9)</f>
        <v>14.3314</v>
      </c>
      <c r="T38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84" s="57">
        <f>(1000*CHOOSE(CONTROL!$C$42, 695, 695)*CHOOSE(CONTROL!$C$42, 0.5599, 0.5599)*CHOOSE(CONTROL!$C$42, 31, 31))/1000000</f>
        <v>12.063045499999998</v>
      </c>
      <c r="V384" s="57">
        <f>(1000*CHOOSE(CONTROL!$C$42, 500, 500)*CHOOSE(CONTROL!$C$42, 0.275, 0.275)*CHOOSE(CONTROL!$C$42, 31, 31))/1000000</f>
        <v>4.2625000000000002</v>
      </c>
      <c r="W384" s="57">
        <f>(1000*CHOOSE(CONTROL!$C$42, 0.1146, 0.1146)*CHOOSE(CONTROL!$C$42, 121.5, 121.5)*CHOOSE(CONTROL!$C$42, 31, 31))/1000000</f>
        <v>0.43164089999999994</v>
      </c>
      <c r="X384" s="57">
        <f>(31*0.1790888*100000/1000000)+(31*0.2374*100000/1000000)</f>
        <v>1.2911152800000001</v>
      </c>
      <c r="Y384" s="57"/>
      <c r="Z384" s="14"/>
      <c r="AA384" s="56"/>
      <c r="AB384" s="50">
        <f>(B384*122.58+C384*297.941+D384*89.177+E384*40.302+F384*40+G384*160+H384*0+I384*100+J384*300)/(122.58+297.941+89.177+40.302+0+40+160+100+300)</f>
        <v>14.773069296086955</v>
      </c>
      <c r="AC384" s="45">
        <f>(M384*'RAP TEMPLATE-GAS AVAILABILITY'!O383+N384*'RAP TEMPLATE-GAS AVAILABILITY'!P383+O384*'RAP TEMPLATE-GAS AVAILABILITY'!Q383+P384*'RAP TEMPLATE-GAS AVAILABILITY'!R383)/('RAP TEMPLATE-GAS AVAILABILITY'!O383+'RAP TEMPLATE-GAS AVAILABILITY'!P383+'RAP TEMPLATE-GAS AVAILABILITY'!Q383+'RAP TEMPLATE-GAS AVAILABILITY'!R383)</f>
        <v>14.666948201438849</v>
      </c>
    </row>
    <row r="385" spans="1:29" ht="15.75" x14ac:dyDescent="0.25">
      <c r="A385" s="33">
        <v>52627</v>
      </c>
      <c r="B385" s="14">
        <f>CHOOSE(CONTROL!$C$42, 15.9692, 15.9692) * CHOOSE(CONTROL!$C$21, $C$9, 100%, $E$9)</f>
        <v>15.969200000000001</v>
      </c>
      <c r="C385" s="14">
        <f>CHOOSE(CONTROL!$C$42, 15.9742, 15.9742) * CHOOSE(CONTROL!$C$21, $C$9, 100%, $E$9)</f>
        <v>15.9742</v>
      </c>
      <c r="D385" s="14">
        <f>CHOOSE(CONTROL!$C$42, 16.0384, 16.0384) * CHOOSE(CONTROL!$C$21, $C$9, 100%, $E$9)</f>
        <v>16.038399999999999</v>
      </c>
      <c r="E385" s="14">
        <f>CHOOSE(CONTROL!$C$42, 16.0722, 16.0722) * CHOOSE(CONTROL!$C$21, $C$9, 100%, $E$9)</f>
        <v>16.072199999999999</v>
      </c>
      <c r="F385" s="14">
        <f>CHOOSE(CONTROL!$C$42, 15.9707, 15.9707)*CHOOSE(CONTROL!$C$21, $C$9, 100%, $E$9)</f>
        <v>15.970700000000001</v>
      </c>
      <c r="G385" s="14">
        <f>CHOOSE(CONTROL!$C$42, 15.9866, 15.9866)*CHOOSE(CONTROL!$C$21, $C$9, 100%, $E$9)</f>
        <v>15.986599999999999</v>
      </c>
      <c r="H385" s="14">
        <f>CHOOSE(CONTROL!$C$42, 16.0614, 16.0614) * CHOOSE(CONTROL!$C$21, $C$9, 100%, $E$9)</f>
        <v>16.061399999999999</v>
      </c>
      <c r="I385" s="14">
        <f>CHOOSE(CONTROL!$C$42, 15.9892, 15.9892)* CHOOSE(CONTROL!$C$21, $C$9, 100%, $E$9)</f>
        <v>15.9892</v>
      </c>
      <c r="J385" s="14">
        <f>CHOOSE(CONTROL!$C$42, 15.9637, 15.9637)* CHOOSE(CONTROL!$C$21, $C$9, 100%, $E$9)</f>
        <v>15.963699999999999</v>
      </c>
      <c r="K385" s="53">
        <f>CHOOSE(CONTROL!$C$42, 15.9853, 15.9853) * CHOOSE(CONTROL!$C$21, $C$9, 100%, $E$9)</f>
        <v>15.985300000000001</v>
      </c>
      <c r="L385" s="14">
        <f>CHOOSE(CONTROL!$C$42, 16.6484, 16.6484) * CHOOSE(CONTROL!$C$21, $C$9, 100%, $E$9)</f>
        <v>16.648399999999999</v>
      </c>
      <c r="M385" s="14">
        <f>CHOOSE(CONTROL!$C$42, 15.8165, 15.8165) * CHOOSE(CONTROL!$C$21, $C$9, 100%, $E$9)</f>
        <v>15.8165</v>
      </c>
      <c r="N385" s="14">
        <f>CHOOSE(CONTROL!$C$42, 15.8322, 15.8322) * CHOOSE(CONTROL!$C$21, $C$9, 100%, $E$9)</f>
        <v>15.8322</v>
      </c>
      <c r="O385" s="14">
        <f>CHOOSE(CONTROL!$C$42, 15.9132, 15.9132) * CHOOSE(CONTROL!$C$21, $C$9, 100%, $E$9)</f>
        <v>15.9132</v>
      </c>
      <c r="P385" s="14">
        <f>CHOOSE(CONTROL!$C$42, 15.8417, 15.8417) * CHOOSE(CONTROL!$C$21, $C$9, 100%, $E$9)</f>
        <v>15.841699999999999</v>
      </c>
      <c r="Q385" s="14">
        <f>CHOOSE(CONTROL!$C$42, 16.5085, 16.5085) * CHOOSE(CONTROL!$C$21, $C$9, 100%, $E$9)</f>
        <v>16.508500000000002</v>
      </c>
      <c r="R385" s="14">
        <f>CHOOSE(CONTROL!$C$42, 17.1367, 17.1367) * CHOOSE(CONTROL!$C$21, $C$9, 100%, $E$9)</f>
        <v>17.136700000000001</v>
      </c>
      <c r="S385" s="14">
        <f>CHOOSE(CONTROL!$C$42, 15.5056, 15.5056) * CHOOSE(CONTROL!$C$21, $C$9, 100%, $E$9)</f>
        <v>15.505599999999999</v>
      </c>
      <c r="T38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85" s="57">
        <f>(1000*CHOOSE(CONTROL!$C$42, 695, 695)*CHOOSE(CONTROL!$C$42, 0.5599, 0.5599)*CHOOSE(CONTROL!$C$42, 31, 31))/1000000</f>
        <v>12.063045499999998</v>
      </c>
      <c r="V385" s="57">
        <f>(1000*CHOOSE(CONTROL!$C$42, 500, 500)*CHOOSE(CONTROL!$C$42, 0.275, 0.275)*CHOOSE(CONTROL!$C$42, 31, 31))/1000000</f>
        <v>4.2625000000000002</v>
      </c>
      <c r="W385" s="57">
        <f>(1000*CHOOSE(CONTROL!$C$42, 0.1146, 0.1146)*CHOOSE(CONTROL!$C$42, 121.5, 121.5)*CHOOSE(CONTROL!$C$42, 31, 31))/1000000</f>
        <v>0.43164089999999994</v>
      </c>
      <c r="X385" s="57">
        <f>(31*0.1790888*100000/1000000)+(31*0.2374*100000/1000000)</f>
        <v>1.2911152800000001</v>
      </c>
      <c r="Y385" s="57"/>
      <c r="Z385" s="14"/>
      <c r="AA385" s="56"/>
      <c r="AB385" s="50">
        <f>(B385*122.58+C385*297.941+D385*89.177+E385*40.302+F385*40+G385*160+H385*0+I385*100+J385*300)/(122.58+297.941+89.177+40.302+0+40+160+100+300)</f>
        <v>15.982248573391303</v>
      </c>
      <c r="AC385" s="45">
        <f>(M385*'RAP TEMPLATE-GAS AVAILABILITY'!O384+N385*'RAP TEMPLATE-GAS AVAILABILITY'!P384+O385*'RAP TEMPLATE-GAS AVAILABILITY'!Q384+P385*'RAP TEMPLATE-GAS AVAILABILITY'!R384)/('RAP TEMPLATE-GAS AVAILABILITY'!O384+'RAP TEMPLATE-GAS AVAILABILITY'!P384+'RAP TEMPLATE-GAS AVAILABILITY'!Q384+'RAP TEMPLATE-GAS AVAILABILITY'!R384)</f>
        <v>15.864857553956833</v>
      </c>
    </row>
    <row r="386" spans="1:29" ht="15.75" x14ac:dyDescent="0.25">
      <c r="A386" s="33">
        <v>52655</v>
      </c>
      <c r="B386" s="14">
        <f>CHOOSE(CONTROL!$C$42, 16.2534, 16.2534) * CHOOSE(CONTROL!$C$21, $C$9, 100%, $E$9)</f>
        <v>16.253399999999999</v>
      </c>
      <c r="C386" s="14">
        <f>CHOOSE(CONTROL!$C$42, 16.2584, 16.2584) * CHOOSE(CONTROL!$C$21, $C$9, 100%, $E$9)</f>
        <v>16.258400000000002</v>
      </c>
      <c r="D386" s="14">
        <f>CHOOSE(CONTROL!$C$42, 16.3227, 16.3227) * CHOOSE(CONTROL!$C$21, $C$9, 100%, $E$9)</f>
        <v>16.322700000000001</v>
      </c>
      <c r="E386" s="14">
        <f>CHOOSE(CONTROL!$C$42, 16.3564, 16.3564) * CHOOSE(CONTROL!$C$21, $C$9, 100%, $E$9)</f>
        <v>16.356400000000001</v>
      </c>
      <c r="F386" s="14">
        <f>CHOOSE(CONTROL!$C$42, 16.255, 16.255)*CHOOSE(CONTROL!$C$21, $C$9, 100%, $E$9)</f>
        <v>16.254999999999999</v>
      </c>
      <c r="G386" s="14">
        <f>CHOOSE(CONTROL!$C$42, 16.2709, 16.2709)*CHOOSE(CONTROL!$C$21, $C$9, 100%, $E$9)</f>
        <v>16.270900000000001</v>
      </c>
      <c r="H386" s="14">
        <f>CHOOSE(CONTROL!$C$42, 16.3456, 16.3456) * CHOOSE(CONTROL!$C$21, $C$9, 100%, $E$9)</f>
        <v>16.345600000000001</v>
      </c>
      <c r="I386" s="14">
        <f>CHOOSE(CONTROL!$C$42, 16.2734, 16.2734)* CHOOSE(CONTROL!$C$21, $C$9, 100%, $E$9)</f>
        <v>16.273399999999999</v>
      </c>
      <c r="J386" s="14">
        <f>CHOOSE(CONTROL!$C$42, 16.248, 16.248)* CHOOSE(CONTROL!$C$21, $C$9, 100%, $E$9)</f>
        <v>16.248000000000001</v>
      </c>
      <c r="K386" s="53">
        <f>CHOOSE(CONTROL!$C$42, 16.2695, 16.2695) * CHOOSE(CONTROL!$C$21, $C$9, 100%, $E$9)</f>
        <v>16.269500000000001</v>
      </c>
      <c r="L386" s="14">
        <f>CHOOSE(CONTROL!$C$42, 16.9326, 16.9326) * CHOOSE(CONTROL!$C$21, $C$9, 100%, $E$9)</f>
        <v>16.932600000000001</v>
      </c>
      <c r="M386" s="14">
        <f>CHOOSE(CONTROL!$C$42, 16.0979, 16.0979) * CHOOSE(CONTROL!$C$21, $C$9, 100%, $E$9)</f>
        <v>16.097899999999999</v>
      </c>
      <c r="N386" s="14">
        <f>CHOOSE(CONTROL!$C$42, 16.1136, 16.1136) * CHOOSE(CONTROL!$C$21, $C$9, 100%, $E$9)</f>
        <v>16.113600000000002</v>
      </c>
      <c r="O386" s="14">
        <f>CHOOSE(CONTROL!$C$42, 16.1945, 16.1945) * CHOOSE(CONTROL!$C$21, $C$9, 100%, $E$9)</f>
        <v>16.194500000000001</v>
      </c>
      <c r="P386" s="14">
        <f>CHOOSE(CONTROL!$C$42, 16.1231, 16.1231) * CHOOSE(CONTROL!$C$21, $C$9, 100%, $E$9)</f>
        <v>16.123100000000001</v>
      </c>
      <c r="Q386" s="14">
        <f>CHOOSE(CONTROL!$C$42, 16.7898, 16.7898) * CHOOSE(CONTROL!$C$21, $C$9, 100%, $E$9)</f>
        <v>16.7898</v>
      </c>
      <c r="R386" s="14">
        <f>CHOOSE(CONTROL!$C$42, 17.4188, 17.4188) * CHOOSE(CONTROL!$C$21, $C$9, 100%, $E$9)</f>
        <v>17.418800000000001</v>
      </c>
      <c r="S386" s="14">
        <f>CHOOSE(CONTROL!$C$42, 15.7816, 15.7816) * CHOOSE(CONTROL!$C$21, $C$9, 100%, $E$9)</f>
        <v>15.781599999999999</v>
      </c>
      <c r="T386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386" s="57">
        <f>(1000*CHOOSE(CONTROL!$C$42, 695, 695)*CHOOSE(CONTROL!$C$42, 0.5599, 0.5599)*CHOOSE(CONTROL!$C$42, 29, 29))/1000000</f>
        <v>11.284784499999999</v>
      </c>
      <c r="V386" s="57">
        <f>(1000*CHOOSE(CONTROL!$C$42, 500, 500)*CHOOSE(CONTROL!$C$42, 0.275, 0.275)*CHOOSE(CONTROL!$C$42, 29, 29))/1000000</f>
        <v>3.9874999999999998</v>
      </c>
      <c r="W386" s="57">
        <f>(1000*CHOOSE(CONTROL!$C$42, 0.1146, 0.1146)*CHOOSE(CONTROL!$C$42, 121.5, 121.5)*CHOOSE(CONTROL!$C$42, 29, 29))/1000000</f>
        <v>0.40379309999999996</v>
      </c>
      <c r="X386" s="57">
        <f>(29*0.1790888*100000/1000000)+(29*0.2374*100000/1000000)</f>
        <v>1.2078175199999999</v>
      </c>
      <c r="Y386" s="57"/>
      <c r="Z386" s="14"/>
      <c r="AA386" s="56"/>
      <c r="AB386" s="50">
        <f>(B386*122.58+C386*297.941+D386*89.177+E386*40.302+F386*40+G386*160+H386*0+I386*100+J386*300)/(122.58+297.941+89.177+40.302+0+40+160+100+300)</f>
        <v>16.266499806173915</v>
      </c>
      <c r="AC386" s="45">
        <f>(M386*'RAP TEMPLATE-GAS AVAILABILITY'!O385+N386*'RAP TEMPLATE-GAS AVAILABILITY'!P385+O386*'RAP TEMPLATE-GAS AVAILABILITY'!Q385+P386*'RAP TEMPLATE-GAS AVAILABILITY'!R385)/('RAP TEMPLATE-GAS AVAILABILITY'!O385+'RAP TEMPLATE-GAS AVAILABILITY'!P385+'RAP TEMPLATE-GAS AVAILABILITY'!Q385+'RAP TEMPLATE-GAS AVAILABILITY'!R385)</f>
        <v>16.146212230215827</v>
      </c>
    </row>
    <row r="387" spans="1:29" ht="15.75" x14ac:dyDescent="0.25">
      <c r="A387" s="33">
        <v>52687</v>
      </c>
      <c r="B387" s="14">
        <f>CHOOSE(CONTROL!$C$42, 15.7921, 15.7921) * CHOOSE(CONTROL!$C$21, $C$9, 100%, $E$9)</f>
        <v>15.7921</v>
      </c>
      <c r="C387" s="14">
        <f>CHOOSE(CONTROL!$C$42, 15.797, 15.797) * CHOOSE(CONTROL!$C$21, $C$9, 100%, $E$9)</f>
        <v>15.797000000000001</v>
      </c>
      <c r="D387" s="14">
        <f>CHOOSE(CONTROL!$C$42, 15.8613, 15.8613) * CHOOSE(CONTROL!$C$21, $C$9, 100%, $E$9)</f>
        <v>15.8613</v>
      </c>
      <c r="E387" s="14">
        <f>CHOOSE(CONTROL!$C$42, 15.8951, 15.8951) * CHOOSE(CONTROL!$C$21, $C$9, 100%, $E$9)</f>
        <v>15.895099999999999</v>
      </c>
      <c r="F387" s="14">
        <f>CHOOSE(CONTROL!$C$42, 15.7933, 15.7933)*CHOOSE(CONTROL!$C$21, $C$9, 100%, $E$9)</f>
        <v>15.7933</v>
      </c>
      <c r="G387" s="14">
        <f>CHOOSE(CONTROL!$C$42, 15.8092, 15.8092)*CHOOSE(CONTROL!$C$21, $C$9, 100%, $E$9)</f>
        <v>15.809200000000001</v>
      </c>
      <c r="H387" s="14">
        <f>CHOOSE(CONTROL!$C$42, 15.8843, 15.8843) * CHOOSE(CONTROL!$C$21, $C$9, 100%, $E$9)</f>
        <v>15.8843</v>
      </c>
      <c r="I387" s="14">
        <f>CHOOSE(CONTROL!$C$42, 15.8121, 15.8121)* CHOOSE(CONTROL!$C$21, $C$9, 100%, $E$9)</f>
        <v>15.812099999999999</v>
      </c>
      <c r="J387" s="14">
        <f>CHOOSE(CONTROL!$C$42, 15.7863, 15.7863)* CHOOSE(CONTROL!$C$21, $C$9, 100%, $E$9)</f>
        <v>15.786300000000001</v>
      </c>
      <c r="K387" s="53">
        <f>CHOOSE(CONTROL!$C$42, 15.8082, 15.8082) * CHOOSE(CONTROL!$C$21, $C$9, 100%, $E$9)</f>
        <v>15.808199999999999</v>
      </c>
      <c r="L387" s="14">
        <f>CHOOSE(CONTROL!$C$42, 16.4713, 16.4713) * CHOOSE(CONTROL!$C$21, $C$9, 100%, $E$9)</f>
        <v>16.471299999999999</v>
      </c>
      <c r="M387" s="14">
        <f>CHOOSE(CONTROL!$C$42, 15.6408, 15.6408) * CHOOSE(CONTROL!$C$21, $C$9, 100%, $E$9)</f>
        <v>15.6408</v>
      </c>
      <c r="N387" s="14">
        <f>CHOOSE(CONTROL!$C$42, 15.6565, 15.6565) * CHOOSE(CONTROL!$C$21, $C$9, 100%, $E$9)</f>
        <v>15.656499999999999</v>
      </c>
      <c r="O387" s="14">
        <f>CHOOSE(CONTROL!$C$42, 15.7378, 15.7378) * CHOOSE(CONTROL!$C$21, $C$9, 100%, $E$9)</f>
        <v>15.7378</v>
      </c>
      <c r="P387" s="14">
        <f>CHOOSE(CONTROL!$C$42, 15.6663, 15.6663) * CHOOSE(CONTROL!$C$21, $C$9, 100%, $E$9)</f>
        <v>15.6663</v>
      </c>
      <c r="Q387" s="14">
        <f>CHOOSE(CONTROL!$C$42, 16.3331, 16.3331) * CHOOSE(CONTROL!$C$21, $C$9, 100%, $E$9)</f>
        <v>16.333100000000002</v>
      </c>
      <c r="R387" s="14">
        <f>CHOOSE(CONTROL!$C$42, 16.9609, 16.9609) * CHOOSE(CONTROL!$C$21, $C$9, 100%, $E$9)</f>
        <v>16.960899999999999</v>
      </c>
      <c r="S387" s="14">
        <f>CHOOSE(CONTROL!$C$42, 15.3335, 15.3335) * CHOOSE(CONTROL!$C$21, $C$9, 100%, $E$9)</f>
        <v>15.333500000000001</v>
      </c>
      <c r="T38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87" s="57">
        <f>(1000*CHOOSE(CONTROL!$C$42, 695, 695)*CHOOSE(CONTROL!$C$42, 0.5599, 0.5599)*CHOOSE(CONTROL!$C$42, 31, 31))/1000000</f>
        <v>12.063045499999998</v>
      </c>
      <c r="V387" s="57">
        <f>(1000*CHOOSE(CONTROL!$C$42, 500, 500)*CHOOSE(CONTROL!$C$42, 0.275, 0.275)*CHOOSE(CONTROL!$C$42, 31, 31))/1000000</f>
        <v>4.2625000000000002</v>
      </c>
      <c r="W387" s="57">
        <f>(1000*CHOOSE(CONTROL!$C$42, 0.1146, 0.1146)*CHOOSE(CONTROL!$C$42, 121.5, 121.5)*CHOOSE(CONTROL!$C$42, 31, 31))/1000000</f>
        <v>0.43164089999999994</v>
      </c>
      <c r="X387" s="57">
        <f>(31*0.1790888*100000/1000000)+(31*0.2374*100000/1000000)</f>
        <v>1.2911152800000001</v>
      </c>
      <c r="Y387" s="57"/>
      <c r="Z387" s="14"/>
      <c r="AA387" s="56"/>
      <c r="AB387" s="50">
        <f>(B387*122.58+C387*297.941+D387*89.177+E387*40.302+F387*40+G387*160+H387*0+I387*100+J387*300)/(122.58+297.941+89.177+40.302+0+40+160+100+300)</f>
        <v>15.804992230695653</v>
      </c>
      <c r="AC387" s="45">
        <f>(M387*'RAP TEMPLATE-GAS AVAILABILITY'!O386+N387*'RAP TEMPLATE-GAS AVAILABILITY'!P386+O387*'RAP TEMPLATE-GAS AVAILABILITY'!Q386+P387*'RAP TEMPLATE-GAS AVAILABILITY'!R386)/('RAP TEMPLATE-GAS AVAILABILITY'!O386+'RAP TEMPLATE-GAS AVAILABILITY'!P386+'RAP TEMPLATE-GAS AVAILABILITY'!Q386+'RAP TEMPLATE-GAS AVAILABILITY'!R386)</f>
        <v>15.68933669064748</v>
      </c>
    </row>
    <row r="388" spans="1:29" ht="15.75" x14ac:dyDescent="0.25">
      <c r="A388" s="33">
        <v>52717</v>
      </c>
      <c r="B388" s="14">
        <f>CHOOSE(CONTROL!$C$42, 15.746, 15.746) * CHOOSE(CONTROL!$C$21, $C$9, 100%, $E$9)</f>
        <v>15.746</v>
      </c>
      <c r="C388" s="14">
        <f>CHOOSE(CONTROL!$C$42, 15.7503, 15.7503) * CHOOSE(CONTROL!$C$21, $C$9, 100%, $E$9)</f>
        <v>15.750299999999999</v>
      </c>
      <c r="D388" s="14">
        <f>CHOOSE(CONTROL!$C$42, 15.9511, 15.9511) * CHOOSE(CONTROL!$C$21, $C$9, 100%, $E$9)</f>
        <v>15.9511</v>
      </c>
      <c r="E388" s="14">
        <f>CHOOSE(CONTROL!$C$42, 15.9829, 15.9829) * CHOOSE(CONTROL!$C$21, $C$9, 100%, $E$9)</f>
        <v>15.982900000000001</v>
      </c>
      <c r="F388" s="14">
        <f>CHOOSE(CONTROL!$C$42, 15.7305, 15.7305)*CHOOSE(CONTROL!$C$21, $C$9, 100%, $E$9)</f>
        <v>15.730499999999999</v>
      </c>
      <c r="G388" s="14">
        <f>CHOOSE(CONTROL!$C$42, 15.7462, 15.7462)*CHOOSE(CONTROL!$C$21, $C$9, 100%, $E$9)</f>
        <v>15.7462</v>
      </c>
      <c r="H388" s="14">
        <f>CHOOSE(CONTROL!$C$42, 15.9726, 15.9726) * CHOOSE(CONTROL!$C$21, $C$9, 100%, $E$9)</f>
        <v>15.9726</v>
      </c>
      <c r="I388" s="14">
        <f>CHOOSE(CONTROL!$C$42, 15.7587, 15.7587)* CHOOSE(CONTROL!$C$21, $C$9, 100%, $E$9)</f>
        <v>15.758699999999999</v>
      </c>
      <c r="J388" s="14">
        <f>CHOOSE(CONTROL!$C$42, 15.7235, 15.7235)* CHOOSE(CONTROL!$C$21, $C$9, 100%, $E$9)</f>
        <v>15.7235</v>
      </c>
      <c r="K388" s="53">
        <f>CHOOSE(CONTROL!$C$42, 15.7548, 15.7548) * CHOOSE(CONTROL!$C$21, $C$9, 100%, $E$9)</f>
        <v>15.754799999999999</v>
      </c>
      <c r="L388" s="14">
        <f>CHOOSE(CONTROL!$C$42, 16.5596, 16.5596) * CHOOSE(CONTROL!$C$21, $C$9, 100%, $E$9)</f>
        <v>16.5596</v>
      </c>
      <c r="M388" s="14">
        <f>CHOOSE(CONTROL!$C$42, 15.5787, 15.5787) * CHOOSE(CONTROL!$C$21, $C$9, 100%, $E$9)</f>
        <v>15.5787</v>
      </c>
      <c r="N388" s="14">
        <f>CHOOSE(CONTROL!$C$42, 15.5942, 15.5942) * CHOOSE(CONTROL!$C$21, $C$9, 100%, $E$9)</f>
        <v>15.594200000000001</v>
      </c>
      <c r="O388" s="14">
        <f>CHOOSE(CONTROL!$C$42, 15.8253, 15.8253) * CHOOSE(CONTROL!$C$21, $C$9, 100%, $E$9)</f>
        <v>15.8253</v>
      </c>
      <c r="P388" s="14">
        <f>CHOOSE(CONTROL!$C$42, 15.6136, 15.6136) * CHOOSE(CONTROL!$C$21, $C$9, 100%, $E$9)</f>
        <v>15.6136</v>
      </c>
      <c r="Q388" s="14">
        <f>CHOOSE(CONTROL!$C$42, 16.4206, 16.4206) * CHOOSE(CONTROL!$C$21, $C$9, 100%, $E$9)</f>
        <v>16.4206</v>
      </c>
      <c r="R388" s="14">
        <f>CHOOSE(CONTROL!$C$42, 17.0486, 17.0486) * CHOOSE(CONTROL!$C$21, $C$9, 100%, $E$9)</f>
        <v>17.0486</v>
      </c>
      <c r="S388" s="14">
        <f>CHOOSE(CONTROL!$C$42, 15.288, 15.288) * CHOOSE(CONTROL!$C$21, $C$9, 100%, $E$9)</f>
        <v>15.288</v>
      </c>
      <c r="T38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388" s="57">
        <f>(1000*CHOOSE(CONTROL!$C$42, 695, 695)*CHOOSE(CONTROL!$C$42, 0.5599, 0.5599)*CHOOSE(CONTROL!$C$42, 30, 30))/1000000</f>
        <v>11.673914999999997</v>
      </c>
      <c r="V388" s="57">
        <f>(1000*CHOOSE(CONTROL!$C$42, 500, 500)*CHOOSE(CONTROL!$C$42, 0.275, 0.275)*CHOOSE(CONTROL!$C$42, 30, 30))/1000000</f>
        <v>4.125</v>
      </c>
      <c r="W388" s="57">
        <f>(1000*CHOOSE(CONTROL!$C$42, 0.1146, 0.1146)*CHOOSE(CONTROL!$C$42, 121.5, 121.5)*CHOOSE(CONTROL!$C$42, 30, 30))/1000000</f>
        <v>0.417717</v>
      </c>
      <c r="X388" s="57">
        <f>(30*0.1790888*245000/1000000)+(30*0.2374*100000/1000000)</f>
        <v>2.0285026799999999</v>
      </c>
      <c r="Y388" s="57"/>
      <c r="Z388" s="14"/>
      <c r="AA388" s="56"/>
      <c r="AB388" s="50">
        <f>(B388*141.293+C388*267.993+D388*115.016+E388*89.698+F388*40+G388*185+H388*0+I388*100+J388*300)/(141.293+267.993+115.016+89.698+0+40+185+100+300)</f>
        <v>15.778226479176753</v>
      </c>
      <c r="AC388" s="45">
        <f>(M388*'RAP TEMPLATE-GAS AVAILABILITY'!O387+N388*'RAP TEMPLATE-GAS AVAILABILITY'!P387+O388*'RAP TEMPLATE-GAS AVAILABILITY'!Q387+P388*'RAP TEMPLATE-GAS AVAILABILITY'!R387)/('RAP TEMPLATE-GAS AVAILABILITY'!O387+'RAP TEMPLATE-GAS AVAILABILITY'!P387+'RAP TEMPLATE-GAS AVAILABILITY'!Q387+'RAP TEMPLATE-GAS AVAILABILITY'!R387)</f>
        <v>15.656479856115109</v>
      </c>
    </row>
    <row r="389" spans="1:29" ht="15.75" x14ac:dyDescent="0.25">
      <c r="A389" s="33">
        <v>52748</v>
      </c>
      <c r="B389" s="14">
        <f>CHOOSE(CONTROL!$C$42, 15.8863, 15.8863) * CHOOSE(CONTROL!$C$21, $C$9, 100%, $E$9)</f>
        <v>15.8863</v>
      </c>
      <c r="C389" s="14">
        <f>CHOOSE(CONTROL!$C$42, 15.8942, 15.8942) * CHOOSE(CONTROL!$C$21, $C$9, 100%, $E$9)</f>
        <v>15.8942</v>
      </c>
      <c r="D389" s="14">
        <f>CHOOSE(CONTROL!$C$42, 16.0918, 16.0918) * CHOOSE(CONTROL!$C$21, $C$9, 100%, $E$9)</f>
        <v>16.091799999999999</v>
      </c>
      <c r="E389" s="14">
        <f>CHOOSE(CONTROL!$C$42, 16.1229, 16.1229) * CHOOSE(CONTROL!$C$21, $C$9, 100%, $E$9)</f>
        <v>16.122900000000001</v>
      </c>
      <c r="F389" s="14">
        <f>CHOOSE(CONTROL!$C$42, 15.8697, 15.8697)*CHOOSE(CONTROL!$C$21, $C$9, 100%, $E$9)</f>
        <v>15.8697</v>
      </c>
      <c r="G389" s="14">
        <f>CHOOSE(CONTROL!$C$42, 15.8858, 15.8858)*CHOOSE(CONTROL!$C$21, $C$9, 100%, $E$9)</f>
        <v>15.8858</v>
      </c>
      <c r="H389" s="14">
        <f>CHOOSE(CONTROL!$C$42, 16.1116, 16.1116) * CHOOSE(CONTROL!$C$21, $C$9, 100%, $E$9)</f>
        <v>16.111599999999999</v>
      </c>
      <c r="I389" s="14">
        <f>CHOOSE(CONTROL!$C$42, 15.8977, 15.8977)* CHOOSE(CONTROL!$C$21, $C$9, 100%, $E$9)</f>
        <v>15.8977</v>
      </c>
      <c r="J389" s="14">
        <f>CHOOSE(CONTROL!$C$42, 15.8627, 15.8627)* CHOOSE(CONTROL!$C$21, $C$9, 100%, $E$9)</f>
        <v>15.8627</v>
      </c>
      <c r="K389" s="53">
        <f>CHOOSE(CONTROL!$C$42, 15.8938, 15.8938) * CHOOSE(CONTROL!$C$21, $C$9, 100%, $E$9)</f>
        <v>15.893800000000001</v>
      </c>
      <c r="L389" s="14">
        <f>CHOOSE(CONTROL!$C$42, 16.6986, 16.6986) * CHOOSE(CONTROL!$C$21, $C$9, 100%, $E$9)</f>
        <v>16.698599999999999</v>
      </c>
      <c r="M389" s="14">
        <f>CHOOSE(CONTROL!$C$42, 15.7165, 15.7165) * CHOOSE(CONTROL!$C$21, $C$9, 100%, $E$9)</f>
        <v>15.7165</v>
      </c>
      <c r="N389" s="14">
        <f>CHOOSE(CONTROL!$C$42, 15.7324, 15.7324) * CHOOSE(CONTROL!$C$21, $C$9, 100%, $E$9)</f>
        <v>15.7324</v>
      </c>
      <c r="O389" s="14">
        <f>CHOOSE(CONTROL!$C$42, 15.9628, 15.9628) * CHOOSE(CONTROL!$C$21, $C$9, 100%, $E$9)</f>
        <v>15.9628</v>
      </c>
      <c r="P389" s="14">
        <f>CHOOSE(CONTROL!$C$42, 15.7511, 15.7511) * CHOOSE(CONTROL!$C$21, $C$9, 100%, $E$9)</f>
        <v>15.751099999999999</v>
      </c>
      <c r="Q389" s="14">
        <f>CHOOSE(CONTROL!$C$42, 16.5581, 16.5581) * CHOOSE(CONTROL!$C$21, $C$9, 100%, $E$9)</f>
        <v>16.5581</v>
      </c>
      <c r="R389" s="14">
        <f>CHOOSE(CONTROL!$C$42, 17.1865, 17.1865) * CHOOSE(CONTROL!$C$21, $C$9, 100%, $E$9)</f>
        <v>17.186499999999999</v>
      </c>
      <c r="S389" s="14">
        <f>CHOOSE(CONTROL!$C$42, 15.4229, 15.4229) * CHOOSE(CONTROL!$C$21, $C$9, 100%, $E$9)</f>
        <v>15.4229</v>
      </c>
      <c r="T38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389" s="57">
        <f>(1000*CHOOSE(CONTROL!$C$42, 695, 695)*CHOOSE(CONTROL!$C$42, 0.5599, 0.5599)*CHOOSE(CONTROL!$C$42, 31, 31))/1000000</f>
        <v>12.063045499999998</v>
      </c>
      <c r="V389" s="57">
        <f>(1000*CHOOSE(CONTROL!$C$42, 500, 500)*CHOOSE(CONTROL!$C$42, 0.275, 0.275)*CHOOSE(CONTROL!$C$42, 31, 31))/1000000</f>
        <v>4.2625000000000002</v>
      </c>
      <c r="W389" s="57">
        <f>(1000*CHOOSE(CONTROL!$C$42, 0.1146, 0.1146)*CHOOSE(CONTROL!$C$42, 121.5, 121.5)*CHOOSE(CONTROL!$C$42, 31, 31))/1000000</f>
        <v>0.43164089999999994</v>
      </c>
      <c r="X389" s="57">
        <f>(31*0.1790888*245000/1000000)+(31*0.2374*100000/1000000)</f>
        <v>2.0961194359999999</v>
      </c>
      <c r="Y389" s="57"/>
      <c r="Z389" s="14"/>
      <c r="AA389" s="56"/>
      <c r="AB389" s="50">
        <f>(B389*194.205+C389*267.466+D389*133.845+E389*53.484+F389*40+G389*185+H389*0+I389*100+J389*300)/(194.205+267.466+133.845+53.484+0+40+185+100+300)</f>
        <v>15.914224602276295</v>
      </c>
      <c r="AC389" s="45">
        <f>(M389*'RAP TEMPLATE-GAS AVAILABILITY'!O388+N389*'RAP TEMPLATE-GAS AVAILABILITY'!P388+O389*'RAP TEMPLATE-GAS AVAILABILITY'!Q388+P389*'RAP TEMPLATE-GAS AVAILABILITY'!R388)/('RAP TEMPLATE-GAS AVAILABILITY'!O388+'RAP TEMPLATE-GAS AVAILABILITY'!P388+'RAP TEMPLATE-GAS AVAILABILITY'!Q388+'RAP TEMPLATE-GAS AVAILABILITY'!R388)</f>
        <v>15.794244604316546</v>
      </c>
    </row>
    <row r="390" spans="1:29" ht="15.75" x14ac:dyDescent="0.25">
      <c r="A390" s="33">
        <v>52778</v>
      </c>
      <c r="B390" s="14">
        <f>CHOOSE(CONTROL!$C$42, 16.3368, 16.3368) * CHOOSE(CONTROL!$C$21, $C$9, 100%, $E$9)</f>
        <v>16.3368</v>
      </c>
      <c r="C390" s="14">
        <f>CHOOSE(CONTROL!$C$42, 16.3447, 16.3447) * CHOOSE(CONTROL!$C$21, $C$9, 100%, $E$9)</f>
        <v>16.3447</v>
      </c>
      <c r="D390" s="14">
        <f>CHOOSE(CONTROL!$C$42, 16.5423, 16.5423) * CHOOSE(CONTROL!$C$21, $C$9, 100%, $E$9)</f>
        <v>16.542300000000001</v>
      </c>
      <c r="E390" s="14">
        <f>CHOOSE(CONTROL!$C$42, 16.5734, 16.5734) * CHOOSE(CONTROL!$C$21, $C$9, 100%, $E$9)</f>
        <v>16.573399999999999</v>
      </c>
      <c r="F390" s="14">
        <f>CHOOSE(CONTROL!$C$42, 16.3206, 16.3206)*CHOOSE(CONTROL!$C$21, $C$9, 100%, $E$9)</f>
        <v>16.320599999999999</v>
      </c>
      <c r="G390" s="14">
        <f>CHOOSE(CONTROL!$C$42, 16.3368, 16.3368)*CHOOSE(CONTROL!$C$21, $C$9, 100%, $E$9)</f>
        <v>16.3368</v>
      </c>
      <c r="H390" s="14">
        <f>CHOOSE(CONTROL!$C$42, 16.5621, 16.5621) * CHOOSE(CONTROL!$C$21, $C$9, 100%, $E$9)</f>
        <v>16.562100000000001</v>
      </c>
      <c r="I390" s="14">
        <f>CHOOSE(CONTROL!$C$42, 16.3482, 16.3482)* CHOOSE(CONTROL!$C$21, $C$9, 100%, $E$9)</f>
        <v>16.348199999999999</v>
      </c>
      <c r="J390" s="14">
        <f>CHOOSE(CONTROL!$C$42, 16.3136, 16.3136)* CHOOSE(CONTROL!$C$21, $C$9, 100%, $E$9)</f>
        <v>16.313600000000001</v>
      </c>
      <c r="K390" s="53">
        <f>CHOOSE(CONTROL!$C$42, 16.3443, 16.3443) * CHOOSE(CONTROL!$C$21, $C$9, 100%, $E$9)</f>
        <v>16.3443</v>
      </c>
      <c r="L390" s="14">
        <f>CHOOSE(CONTROL!$C$42, 17.1491, 17.1491) * CHOOSE(CONTROL!$C$21, $C$9, 100%, $E$9)</f>
        <v>17.149100000000001</v>
      </c>
      <c r="M390" s="14">
        <f>CHOOSE(CONTROL!$C$42, 16.1628, 16.1628) * CHOOSE(CONTROL!$C$21, $C$9, 100%, $E$9)</f>
        <v>16.162800000000001</v>
      </c>
      <c r="N390" s="14">
        <f>CHOOSE(CONTROL!$C$42, 16.1788, 16.1788) * CHOOSE(CONTROL!$C$21, $C$9, 100%, $E$9)</f>
        <v>16.178799999999999</v>
      </c>
      <c r="O390" s="14">
        <f>CHOOSE(CONTROL!$C$42, 16.4087, 16.4087) * CHOOSE(CONTROL!$C$21, $C$9, 100%, $E$9)</f>
        <v>16.4087</v>
      </c>
      <c r="P390" s="14">
        <f>CHOOSE(CONTROL!$C$42, 16.197, 16.197) * CHOOSE(CONTROL!$C$21, $C$9, 100%, $E$9)</f>
        <v>16.196999999999999</v>
      </c>
      <c r="Q390" s="14">
        <f>CHOOSE(CONTROL!$C$42, 17.004, 17.004) * CHOOSE(CONTROL!$C$21, $C$9, 100%, $E$9)</f>
        <v>17.004000000000001</v>
      </c>
      <c r="R390" s="14">
        <f>CHOOSE(CONTROL!$C$42, 17.6336, 17.6336) * CHOOSE(CONTROL!$C$21, $C$9, 100%, $E$9)</f>
        <v>17.633600000000001</v>
      </c>
      <c r="S390" s="14">
        <f>CHOOSE(CONTROL!$C$42, 15.8604, 15.8604) * CHOOSE(CONTROL!$C$21, $C$9, 100%, $E$9)</f>
        <v>15.8604</v>
      </c>
      <c r="T39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390" s="57">
        <f>(1000*CHOOSE(CONTROL!$C$42, 695, 695)*CHOOSE(CONTROL!$C$42, 0.5599, 0.5599)*CHOOSE(CONTROL!$C$42, 30, 30))/1000000</f>
        <v>11.673914999999997</v>
      </c>
      <c r="V390" s="57">
        <f>(1000*CHOOSE(CONTROL!$C$42, 500, 500)*CHOOSE(CONTROL!$C$42, 0.275, 0.275)*CHOOSE(CONTROL!$C$42, 30, 30))/1000000</f>
        <v>4.125</v>
      </c>
      <c r="W390" s="57">
        <f>(1000*CHOOSE(CONTROL!$C$42, 0.1146, 0.1146)*CHOOSE(CONTROL!$C$42, 121.5, 121.5)*CHOOSE(CONTROL!$C$42, 30, 30))/1000000</f>
        <v>0.417717</v>
      </c>
      <c r="X390" s="57">
        <f>(30*0.1790888*245000/1000000)+(30*0.2374*100000/1000000)</f>
        <v>2.0285026799999999</v>
      </c>
      <c r="Y390" s="57"/>
      <c r="Z390" s="14"/>
      <c r="AA390" s="56"/>
      <c r="AB390" s="50">
        <f>(B390*194.205+C390*267.466+D390*133.845+E390*53.484+F390*40+G390*185+H390*0+I390*100+J390*300)/(194.205+267.466+133.845+53.484+0+40+185+100+300)</f>
        <v>16.364903958634226</v>
      </c>
      <c r="AC390" s="45">
        <f>(M390*'RAP TEMPLATE-GAS AVAILABILITY'!O389+N390*'RAP TEMPLATE-GAS AVAILABILITY'!P389+O390*'RAP TEMPLATE-GAS AVAILABILITY'!Q389+P390*'RAP TEMPLATE-GAS AVAILABILITY'!R389)/('RAP TEMPLATE-GAS AVAILABILITY'!O389+'RAP TEMPLATE-GAS AVAILABILITY'!P389+'RAP TEMPLATE-GAS AVAILABILITY'!Q389+'RAP TEMPLATE-GAS AVAILABILITY'!R389)</f>
        <v>16.240397841726619</v>
      </c>
    </row>
    <row r="391" spans="1:29" ht="15.75" x14ac:dyDescent="0.25">
      <c r="A391" s="33">
        <v>52809</v>
      </c>
      <c r="B391" s="14">
        <f>CHOOSE(CONTROL!$C$42, 16.0235, 16.0235) * CHOOSE(CONTROL!$C$21, $C$9, 100%, $E$9)</f>
        <v>16.023499999999999</v>
      </c>
      <c r="C391" s="14">
        <f>CHOOSE(CONTROL!$C$42, 16.0314, 16.0314) * CHOOSE(CONTROL!$C$21, $C$9, 100%, $E$9)</f>
        <v>16.031400000000001</v>
      </c>
      <c r="D391" s="14">
        <f>CHOOSE(CONTROL!$C$42, 16.229, 16.229) * CHOOSE(CONTROL!$C$21, $C$9, 100%, $E$9)</f>
        <v>16.228999999999999</v>
      </c>
      <c r="E391" s="14">
        <f>CHOOSE(CONTROL!$C$42, 16.2601, 16.2601) * CHOOSE(CONTROL!$C$21, $C$9, 100%, $E$9)</f>
        <v>16.260100000000001</v>
      </c>
      <c r="F391" s="14">
        <f>CHOOSE(CONTROL!$C$42, 16.0077, 16.0077)*CHOOSE(CONTROL!$C$21, $C$9, 100%, $E$9)</f>
        <v>16.0077</v>
      </c>
      <c r="G391" s="14">
        <f>CHOOSE(CONTROL!$C$42, 16.024, 16.024)*CHOOSE(CONTROL!$C$21, $C$9, 100%, $E$9)</f>
        <v>16.024000000000001</v>
      </c>
      <c r="H391" s="14">
        <f>CHOOSE(CONTROL!$C$42, 16.2487, 16.2487) * CHOOSE(CONTROL!$C$21, $C$9, 100%, $E$9)</f>
        <v>16.248699999999999</v>
      </c>
      <c r="I391" s="14">
        <f>CHOOSE(CONTROL!$C$42, 16.0348, 16.0348)* CHOOSE(CONTROL!$C$21, $C$9, 100%, $E$9)</f>
        <v>16.034800000000001</v>
      </c>
      <c r="J391" s="14">
        <f>CHOOSE(CONTROL!$C$42, 16.0007, 16.0007)* CHOOSE(CONTROL!$C$21, $C$9, 100%, $E$9)</f>
        <v>16.000699999999998</v>
      </c>
      <c r="K391" s="53">
        <f>CHOOSE(CONTROL!$C$42, 16.0309, 16.0309) * CHOOSE(CONTROL!$C$21, $C$9, 100%, $E$9)</f>
        <v>16.030899999999999</v>
      </c>
      <c r="L391" s="14">
        <f>CHOOSE(CONTROL!$C$42, 16.8357, 16.8357) * CHOOSE(CONTROL!$C$21, $C$9, 100%, $E$9)</f>
        <v>16.835699999999999</v>
      </c>
      <c r="M391" s="14">
        <f>CHOOSE(CONTROL!$C$42, 15.8531, 15.8531) * CHOOSE(CONTROL!$C$21, $C$9, 100%, $E$9)</f>
        <v>15.8531</v>
      </c>
      <c r="N391" s="14">
        <f>CHOOSE(CONTROL!$C$42, 15.8692, 15.8692) * CHOOSE(CONTROL!$C$21, $C$9, 100%, $E$9)</f>
        <v>15.869199999999999</v>
      </c>
      <c r="O391" s="14">
        <f>CHOOSE(CONTROL!$C$42, 16.0986, 16.0986) * CHOOSE(CONTROL!$C$21, $C$9, 100%, $E$9)</f>
        <v>16.098600000000001</v>
      </c>
      <c r="P391" s="14">
        <f>CHOOSE(CONTROL!$C$42, 15.8869, 15.8869) * CHOOSE(CONTROL!$C$21, $C$9, 100%, $E$9)</f>
        <v>15.886900000000001</v>
      </c>
      <c r="Q391" s="14">
        <f>CHOOSE(CONTROL!$C$42, 16.6939, 16.6939) * CHOOSE(CONTROL!$C$21, $C$9, 100%, $E$9)</f>
        <v>16.693899999999999</v>
      </c>
      <c r="R391" s="14">
        <f>CHOOSE(CONTROL!$C$42, 17.3226, 17.3226) * CHOOSE(CONTROL!$C$21, $C$9, 100%, $E$9)</f>
        <v>17.322600000000001</v>
      </c>
      <c r="S391" s="14">
        <f>CHOOSE(CONTROL!$C$42, 15.5561, 15.5561) * CHOOSE(CONTROL!$C$21, $C$9, 100%, $E$9)</f>
        <v>15.556100000000001</v>
      </c>
      <c r="T39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391" s="57">
        <f>(1000*CHOOSE(CONTROL!$C$42, 695, 695)*CHOOSE(CONTROL!$C$42, 0.5599, 0.5599)*CHOOSE(CONTROL!$C$42, 31, 31))/1000000</f>
        <v>12.063045499999998</v>
      </c>
      <c r="V391" s="57">
        <f>(1000*CHOOSE(CONTROL!$C$42, 500, 500)*CHOOSE(CONTROL!$C$42, 0.275, 0.275)*CHOOSE(CONTROL!$C$42, 31, 31))/1000000</f>
        <v>4.2625000000000002</v>
      </c>
      <c r="W391" s="57">
        <f>(1000*CHOOSE(CONTROL!$C$42, 0.1146, 0.1146)*CHOOSE(CONTROL!$C$42, 121.5, 121.5)*CHOOSE(CONTROL!$C$42, 31, 31))/1000000</f>
        <v>0.43164089999999994</v>
      </c>
      <c r="X391" s="57">
        <f>(31*0.1790888*245000/1000000)+(31*0.2374*100000/1000000)</f>
        <v>2.0961194359999999</v>
      </c>
      <c r="Y391" s="57"/>
      <c r="Z391" s="14"/>
      <c r="AA391" s="56"/>
      <c r="AB391" s="50">
        <f>(B391*194.205+C391*267.466+D391*133.845+E391*53.484+F391*40+G391*185+H391*0+I391*100+J391*300)/(194.205+267.466+133.845+53.484+0+40+185+100+300)</f>
        <v>16.051775465698586</v>
      </c>
      <c r="AC391" s="45">
        <f>(M391*'RAP TEMPLATE-GAS AVAILABILITY'!O390+N391*'RAP TEMPLATE-GAS AVAILABILITY'!P390+O391*'RAP TEMPLATE-GAS AVAILABILITY'!Q390+P391*'RAP TEMPLATE-GAS AVAILABILITY'!R390)/('RAP TEMPLATE-GAS AVAILABILITY'!O390+'RAP TEMPLATE-GAS AVAILABILITY'!P390+'RAP TEMPLATE-GAS AVAILABILITY'!Q390+'RAP TEMPLATE-GAS AVAILABILITY'!R390)</f>
        <v>15.930551079136691</v>
      </c>
    </row>
    <row r="392" spans="1:29" ht="15.75" x14ac:dyDescent="0.25">
      <c r="A392" s="33">
        <v>52840</v>
      </c>
      <c r="B392" s="14">
        <f>CHOOSE(CONTROL!$C$42, 15.2323, 15.2323) * CHOOSE(CONTROL!$C$21, $C$9, 100%, $E$9)</f>
        <v>15.2323</v>
      </c>
      <c r="C392" s="14">
        <f>CHOOSE(CONTROL!$C$42, 15.2402, 15.2402) * CHOOSE(CONTROL!$C$21, $C$9, 100%, $E$9)</f>
        <v>15.2402</v>
      </c>
      <c r="D392" s="14">
        <f>CHOOSE(CONTROL!$C$42, 15.4378, 15.4378) * CHOOSE(CONTROL!$C$21, $C$9, 100%, $E$9)</f>
        <v>15.437799999999999</v>
      </c>
      <c r="E392" s="14">
        <f>CHOOSE(CONTROL!$C$42, 15.4689, 15.4689) * CHOOSE(CONTROL!$C$21, $C$9, 100%, $E$9)</f>
        <v>15.4689</v>
      </c>
      <c r="F392" s="14">
        <f>CHOOSE(CONTROL!$C$42, 15.2167, 15.2167)*CHOOSE(CONTROL!$C$21, $C$9, 100%, $E$9)</f>
        <v>15.216699999999999</v>
      </c>
      <c r="G392" s="14">
        <f>CHOOSE(CONTROL!$C$42, 15.2331, 15.2331)*CHOOSE(CONTROL!$C$21, $C$9, 100%, $E$9)</f>
        <v>15.2331</v>
      </c>
      <c r="H392" s="14">
        <f>CHOOSE(CONTROL!$C$42, 15.4575, 15.4575) * CHOOSE(CONTROL!$C$21, $C$9, 100%, $E$9)</f>
        <v>15.4575</v>
      </c>
      <c r="I392" s="14">
        <f>CHOOSE(CONTROL!$C$42, 15.2436, 15.2436)* CHOOSE(CONTROL!$C$21, $C$9, 100%, $E$9)</f>
        <v>15.243600000000001</v>
      </c>
      <c r="J392" s="14">
        <f>CHOOSE(CONTROL!$C$42, 15.2097, 15.2097)* CHOOSE(CONTROL!$C$21, $C$9, 100%, $E$9)</f>
        <v>15.2097</v>
      </c>
      <c r="K392" s="53">
        <f>CHOOSE(CONTROL!$C$42, 15.2397, 15.2397) * CHOOSE(CONTROL!$C$21, $C$9, 100%, $E$9)</f>
        <v>15.239699999999999</v>
      </c>
      <c r="L392" s="14">
        <f>CHOOSE(CONTROL!$C$42, 16.0445, 16.0445) * CHOOSE(CONTROL!$C$21, $C$9, 100%, $E$9)</f>
        <v>16.044499999999999</v>
      </c>
      <c r="M392" s="14">
        <f>CHOOSE(CONTROL!$C$42, 15.07, 15.07) * CHOOSE(CONTROL!$C$21, $C$9, 100%, $E$9)</f>
        <v>15.07</v>
      </c>
      <c r="N392" s="14">
        <f>CHOOSE(CONTROL!$C$42, 15.0862, 15.0862) * CHOOSE(CONTROL!$C$21, $C$9, 100%, $E$9)</f>
        <v>15.0862</v>
      </c>
      <c r="O392" s="14">
        <f>CHOOSE(CONTROL!$C$42, 15.3154, 15.3154) * CHOOSE(CONTROL!$C$21, $C$9, 100%, $E$9)</f>
        <v>15.3154</v>
      </c>
      <c r="P392" s="14">
        <f>CHOOSE(CONTROL!$C$42, 15.1037, 15.1037) * CHOOSE(CONTROL!$C$21, $C$9, 100%, $E$9)</f>
        <v>15.1037</v>
      </c>
      <c r="Q392" s="14">
        <f>CHOOSE(CONTROL!$C$42, 15.9107, 15.9107) * CHOOSE(CONTROL!$C$21, $C$9, 100%, $E$9)</f>
        <v>15.9107</v>
      </c>
      <c r="R392" s="14">
        <f>CHOOSE(CONTROL!$C$42, 16.5374, 16.5374) * CHOOSE(CONTROL!$C$21, $C$9, 100%, $E$9)</f>
        <v>16.537400000000002</v>
      </c>
      <c r="S392" s="14">
        <f>CHOOSE(CONTROL!$C$42, 14.7878, 14.7878) * CHOOSE(CONTROL!$C$21, $C$9, 100%, $E$9)</f>
        <v>14.787800000000001</v>
      </c>
      <c r="T39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392" s="57">
        <f>(1000*CHOOSE(CONTROL!$C$42, 695, 695)*CHOOSE(CONTROL!$C$42, 0.5599, 0.5599)*CHOOSE(CONTROL!$C$42, 31, 31))/1000000</f>
        <v>12.063045499999998</v>
      </c>
      <c r="V392" s="57">
        <f>(1000*CHOOSE(CONTROL!$C$42, 500, 500)*CHOOSE(CONTROL!$C$42, 0.275, 0.275)*CHOOSE(CONTROL!$C$42, 31, 31))/1000000</f>
        <v>4.2625000000000002</v>
      </c>
      <c r="W392" s="57">
        <f>(1000*CHOOSE(CONTROL!$C$42, 0.1146, 0.1146)*CHOOSE(CONTROL!$C$42, 121.5, 121.5)*CHOOSE(CONTROL!$C$42, 31, 31))/1000000</f>
        <v>0.43164089999999994</v>
      </c>
      <c r="X392" s="57">
        <f>(31*0.1790888*245000/1000000)+(31*0.2374*100000/1000000)</f>
        <v>2.0961194359999999</v>
      </c>
      <c r="Y392" s="57"/>
      <c r="Z392" s="14"/>
      <c r="AA392" s="56"/>
      <c r="AB392" s="50">
        <f>(B392*194.205+C392*267.466+D392*133.845+E392*53.484+F392*40+G392*185+H392*0+I392*100+J392*300)/(194.205+267.466+133.845+53.484+0+40+185+100+300)</f>
        <v>15.260672404474096</v>
      </c>
      <c r="AC392" s="45">
        <f>(M392*'RAP TEMPLATE-GAS AVAILABILITY'!O391+N392*'RAP TEMPLATE-GAS AVAILABILITY'!P391+O392*'RAP TEMPLATE-GAS AVAILABILITY'!Q391+P392*'RAP TEMPLATE-GAS AVAILABILITY'!R391)/('RAP TEMPLATE-GAS AVAILABILITY'!O391+'RAP TEMPLATE-GAS AVAILABILITY'!P391+'RAP TEMPLATE-GAS AVAILABILITY'!Q391+'RAP TEMPLATE-GAS AVAILABILITY'!R391)</f>
        <v>15.147431654676259</v>
      </c>
    </row>
    <row r="393" spans="1:29" ht="15.75" x14ac:dyDescent="0.25">
      <c r="A393" s="33">
        <v>52870</v>
      </c>
      <c r="B393" s="14">
        <f>CHOOSE(CONTROL!$C$42, 14.2652, 14.2652) * CHOOSE(CONTROL!$C$21, $C$9, 100%, $E$9)</f>
        <v>14.2652</v>
      </c>
      <c r="C393" s="14">
        <f>CHOOSE(CONTROL!$C$42, 14.2731, 14.2731) * CHOOSE(CONTROL!$C$21, $C$9, 100%, $E$9)</f>
        <v>14.273099999999999</v>
      </c>
      <c r="D393" s="14">
        <f>CHOOSE(CONTROL!$C$42, 14.4707, 14.4707) * CHOOSE(CONTROL!$C$21, $C$9, 100%, $E$9)</f>
        <v>14.470700000000001</v>
      </c>
      <c r="E393" s="14">
        <f>CHOOSE(CONTROL!$C$42, 14.5018, 14.5018) * CHOOSE(CONTROL!$C$21, $C$9, 100%, $E$9)</f>
        <v>14.501799999999999</v>
      </c>
      <c r="F393" s="14">
        <f>CHOOSE(CONTROL!$C$42, 14.2495, 14.2495)*CHOOSE(CONTROL!$C$21, $C$9, 100%, $E$9)</f>
        <v>14.249499999999999</v>
      </c>
      <c r="G393" s="14">
        <f>CHOOSE(CONTROL!$C$42, 14.2659, 14.2659)*CHOOSE(CONTROL!$C$21, $C$9, 100%, $E$9)</f>
        <v>14.2659</v>
      </c>
      <c r="H393" s="14">
        <f>CHOOSE(CONTROL!$C$42, 14.4904, 14.4904) * CHOOSE(CONTROL!$C$21, $C$9, 100%, $E$9)</f>
        <v>14.490399999999999</v>
      </c>
      <c r="I393" s="14">
        <f>CHOOSE(CONTROL!$C$42, 14.2765, 14.2765)* CHOOSE(CONTROL!$C$21, $C$9, 100%, $E$9)</f>
        <v>14.2765</v>
      </c>
      <c r="J393" s="14">
        <f>CHOOSE(CONTROL!$C$42, 14.2425, 14.2425)* CHOOSE(CONTROL!$C$21, $C$9, 100%, $E$9)</f>
        <v>14.2425</v>
      </c>
      <c r="K393" s="53">
        <f>CHOOSE(CONTROL!$C$42, 14.2726, 14.2726) * CHOOSE(CONTROL!$C$21, $C$9, 100%, $E$9)</f>
        <v>14.272600000000001</v>
      </c>
      <c r="L393" s="14">
        <f>CHOOSE(CONTROL!$C$42, 15.0774, 15.0774) * CHOOSE(CONTROL!$C$21, $C$9, 100%, $E$9)</f>
        <v>15.077400000000001</v>
      </c>
      <c r="M393" s="14">
        <f>CHOOSE(CONTROL!$C$42, 14.1126, 14.1126) * CHOOSE(CONTROL!$C$21, $C$9, 100%, $E$9)</f>
        <v>14.1126</v>
      </c>
      <c r="N393" s="14">
        <f>CHOOSE(CONTROL!$C$42, 14.1288, 14.1288) * CHOOSE(CONTROL!$C$21, $C$9, 100%, $E$9)</f>
        <v>14.1288</v>
      </c>
      <c r="O393" s="14">
        <f>CHOOSE(CONTROL!$C$42, 14.358, 14.358) * CHOOSE(CONTROL!$C$21, $C$9, 100%, $E$9)</f>
        <v>14.358000000000001</v>
      </c>
      <c r="P393" s="14">
        <f>CHOOSE(CONTROL!$C$42, 14.1463, 14.1463) * CHOOSE(CONTROL!$C$21, $C$9, 100%, $E$9)</f>
        <v>14.1463</v>
      </c>
      <c r="Q393" s="14">
        <f>CHOOSE(CONTROL!$C$42, 14.9533, 14.9533) * CHOOSE(CONTROL!$C$21, $C$9, 100%, $E$9)</f>
        <v>14.9533</v>
      </c>
      <c r="R393" s="14">
        <f>CHOOSE(CONTROL!$C$42, 15.5777, 15.5777) * CHOOSE(CONTROL!$C$21, $C$9, 100%, $E$9)</f>
        <v>15.5777</v>
      </c>
      <c r="S393" s="14">
        <f>CHOOSE(CONTROL!$C$42, 13.8487, 13.8487) * CHOOSE(CONTROL!$C$21, $C$9, 100%, $E$9)</f>
        <v>13.848699999999999</v>
      </c>
      <c r="T39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393" s="57">
        <f>(1000*CHOOSE(CONTROL!$C$42, 695, 695)*CHOOSE(CONTROL!$C$42, 0.5599, 0.5599)*CHOOSE(CONTROL!$C$42, 30, 30))/1000000</f>
        <v>11.673914999999997</v>
      </c>
      <c r="V393" s="57">
        <f>(1000*CHOOSE(CONTROL!$C$42, 500, 500)*CHOOSE(CONTROL!$C$42, 0.275, 0.275)*CHOOSE(CONTROL!$C$42, 30, 30))/1000000</f>
        <v>4.125</v>
      </c>
      <c r="W393" s="57">
        <f>(1000*CHOOSE(CONTROL!$C$42, 0.1146, 0.1146)*CHOOSE(CONTROL!$C$42, 121.5, 121.5)*CHOOSE(CONTROL!$C$42, 30, 30))/1000000</f>
        <v>0.417717</v>
      </c>
      <c r="X393" s="57">
        <f>(30*0.1790888*245000/1000000)+(30*0.2374*100000/1000000)</f>
        <v>2.0285026799999999</v>
      </c>
      <c r="Y393" s="57"/>
      <c r="Z393" s="14"/>
      <c r="AA393" s="56"/>
      <c r="AB393" s="50">
        <f>(B393*194.205+C393*267.466+D393*133.845+E393*53.484+F393*40+G393*185+H393*0+I393*100+J393*300)/(194.205+267.466+133.845+53.484+0+40+185+100+300)</f>
        <v>14.293531195682887</v>
      </c>
      <c r="AC393" s="45">
        <f>(M393*'RAP TEMPLATE-GAS AVAILABILITY'!O392+N393*'RAP TEMPLATE-GAS AVAILABILITY'!P392+O393*'RAP TEMPLATE-GAS AVAILABILITY'!Q392+P393*'RAP TEMPLATE-GAS AVAILABILITY'!R392)/('RAP TEMPLATE-GAS AVAILABILITY'!O392+'RAP TEMPLATE-GAS AVAILABILITY'!P392+'RAP TEMPLATE-GAS AVAILABILITY'!Q392+'RAP TEMPLATE-GAS AVAILABILITY'!R392)</f>
        <v>14.190031654676259</v>
      </c>
    </row>
    <row r="394" spans="1:29" ht="15.75" x14ac:dyDescent="0.25">
      <c r="A394" s="33">
        <v>52901</v>
      </c>
      <c r="B394" s="14">
        <f>CHOOSE(CONTROL!$C$42, 13.9739, 13.9739) * CHOOSE(CONTROL!$C$21, $C$9, 100%, $E$9)</f>
        <v>13.9739</v>
      </c>
      <c r="C394" s="14">
        <f>CHOOSE(CONTROL!$C$42, 13.9791, 13.9791) * CHOOSE(CONTROL!$C$21, $C$9, 100%, $E$9)</f>
        <v>13.979100000000001</v>
      </c>
      <c r="D394" s="14">
        <f>CHOOSE(CONTROL!$C$42, 14.1816, 14.1816) * CHOOSE(CONTROL!$C$21, $C$9, 100%, $E$9)</f>
        <v>14.1816</v>
      </c>
      <c r="E394" s="14">
        <f>CHOOSE(CONTROL!$C$42, 14.2104, 14.2104) * CHOOSE(CONTROL!$C$21, $C$9, 100%, $E$9)</f>
        <v>14.2104</v>
      </c>
      <c r="F394" s="14">
        <f>CHOOSE(CONTROL!$C$42, 13.9602, 13.9602)*CHOOSE(CONTROL!$C$21, $C$9, 100%, $E$9)</f>
        <v>13.9602</v>
      </c>
      <c r="G394" s="14">
        <f>CHOOSE(CONTROL!$C$42, 13.9762, 13.9762)*CHOOSE(CONTROL!$C$21, $C$9, 100%, $E$9)</f>
        <v>13.9762</v>
      </c>
      <c r="H394" s="14">
        <f>CHOOSE(CONTROL!$C$42, 14.2009, 14.2009) * CHOOSE(CONTROL!$C$21, $C$9, 100%, $E$9)</f>
        <v>14.200900000000001</v>
      </c>
      <c r="I394" s="14">
        <f>CHOOSE(CONTROL!$C$42, 13.987, 13.987)* CHOOSE(CONTROL!$C$21, $C$9, 100%, $E$9)</f>
        <v>13.987</v>
      </c>
      <c r="J394" s="14">
        <f>CHOOSE(CONTROL!$C$42, 13.9532, 13.9532)* CHOOSE(CONTROL!$C$21, $C$9, 100%, $E$9)</f>
        <v>13.953200000000001</v>
      </c>
      <c r="K394" s="53">
        <f>CHOOSE(CONTROL!$C$42, 13.9831, 13.9831) * CHOOSE(CONTROL!$C$21, $C$9, 100%, $E$9)</f>
        <v>13.9831</v>
      </c>
      <c r="L394" s="14">
        <f>CHOOSE(CONTROL!$C$42, 14.7879, 14.7879) * CHOOSE(CONTROL!$C$21, $C$9, 100%, $E$9)</f>
        <v>14.7879</v>
      </c>
      <c r="M394" s="14">
        <f>CHOOSE(CONTROL!$C$42, 13.8263, 13.8263) * CHOOSE(CONTROL!$C$21, $C$9, 100%, $E$9)</f>
        <v>13.8263</v>
      </c>
      <c r="N394" s="14">
        <f>CHOOSE(CONTROL!$C$42, 13.8421, 13.8421) * CHOOSE(CONTROL!$C$21, $C$9, 100%, $E$9)</f>
        <v>13.8421</v>
      </c>
      <c r="O394" s="14">
        <f>CHOOSE(CONTROL!$C$42, 14.0714, 14.0714) * CHOOSE(CONTROL!$C$21, $C$9, 100%, $E$9)</f>
        <v>14.071400000000001</v>
      </c>
      <c r="P394" s="14">
        <f>CHOOSE(CONTROL!$C$42, 13.8597, 13.8597) * CHOOSE(CONTROL!$C$21, $C$9, 100%, $E$9)</f>
        <v>13.8597</v>
      </c>
      <c r="Q394" s="14">
        <f>CHOOSE(CONTROL!$C$42, 14.6667, 14.6667) * CHOOSE(CONTROL!$C$21, $C$9, 100%, $E$9)</f>
        <v>14.666700000000001</v>
      </c>
      <c r="R394" s="14">
        <f>CHOOSE(CONTROL!$C$42, 15.2904, 15.2904) * CHOOSE(CONTROL!$C$21, $C$9, 100%, $E$9)</f>
        <v>15.2904</v>
      </c>
      <c r="S394" s="14">
        <f>CHOOSE(CONTROL!$C$42, 13.5675, 13.5675) * CHOOSE(CONTROL!$C$21, $C$9, 100%, $E$9)</f>
        <v>13.567500000000001</v>
      </c>
      <c r="T39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394" s="57">
        <f>(1000*CHOOSE(CONTROL!$C$42, 695, 695)*CHOOSE(CONTROL!$C$42, 0.5599, 0.5599)*CHOOSE(CONTROL!$C$42, 31, 31))/1000000</f>
        <v>12.063045499999998</v>
      </c>
      <c r="V394" s="57">
        <f>(1000*CHOOSE(CONTROL!$C$42, 500, 500)*CHOOSE(CONTROL!$C$42, 0.275, 0.275)*CHOOSE(CONTROL!$C$42, 31, 31))/1000000</f>
        <v>4.2625000000000002</v>
      </c>
      <c r="W394" s="57">
        <f>(1000*CHOOSE(CONTROL!$C$42, 0.1146, 0.1146)*CHOOSE(CONTROL!$C$42, 121.5, 121.5)*CHOOSE(CONTROL!$C$42, 31, 31))/1000000</f>
        <v>0.43164089999999994</v>
      </c>
      <c r="X394" s="57">
        <f>(31*0.1790888*245000/1000000)+(31*0.2374*100000/1000000)</f>
        <v>2.0961194359999999</v>
      </c>
      <c r="Y394" s="57"/>
      <c r="Z394" s="14"/>
      <c r="AA394" s="56"/>
      <c r="AB394" s="50">
        <f>(B394*131.881+C394*277.167+D394*79.08+E394*125.872+F394*40+G394*185+H394*0+I394*100+J394*300)/(131.881+277.167+79.08+125.872+0+40+185+100+300)</f>
        <v>14.008292584665051</v>
      </c>
      <c r="AC394" s="45">
        <f>(M394*'RAP TEMPLATE-GAS AVAILABILITY'!O393+N394*'RAP TEMPLATE-GAS AVAILABILITY'!P393+O394*'RAP TEMPLATE-GAS AVAILABILITY'!Q393+P394*'RAP TEMPLATE-GAS AVAILABILITY'!R393)/('RAP TEMPLATE-GAS AVAILABILITY'!O393+'RAP TEMPLATE-GAS AVAILABILITY'!P393+'RAP TEMPLATE-GAS AVAILABILITY'!Q393+'RAP TEMPLATE-GAS AVAILABILITY'!R393)</f>
        <v>13.903512230215826</v>
      </c>
    </row>
    <row r="395" spans="1:29" ht="15.75" x14ac:dyDescent="0.25">
      <c r="A395" s="33">
        <v>52931</v>
      </c>
      <c r="B395" s="14">
        <f>CHOOSE(CONTROL!$C$42, 14.3415, 14.3415) * CHOOSE(CONTROL!$C$21, $C$9, 100%, $E$9)</f>
        <v>14.3415</v>
      </c>
      <c r="C395" s="14">
        <f>CHOOSE(CONTROL!$C$42, 14.3465, 14.3465) * CHOOSE(CONTROL!$C$21, $C$9, 100%, $E$9)</f>
        <v>14.346500000000001</v>
      </c>
      <c r="D395" s="14">
        <f>CHOOSE(CONTROL!$C$42, 14.4095, 14.4095) * CHOOSE(CONTROL!$C$21, $C$9, 100%, $E$9)</f>
        <v>14.4095</v>
      </c>
      <c r="E395" s="14">
        <f>CHOOSE(CONTROL!$C$42, 14.4433, 14.4433) * CHOOSE(CONTROL!$C$21, $C$9, 100%, $E$9)</f>
        <v>14.443300000000001</v>
      </c>
      <c r="F395" s="14">
        <f>CHOOSE(CONTROL!$C$42, 14.3422, 14.3422)*CHOOSE(CONTROL!$C$21, $C$9, 100%, $E$9)</f>
        <v>14.3422</v>
      </c>
      <c r="G395" s="14">
        <f>CHOOSE(CONTROL!$C$42, 14.3585, 14.3585)*CHOOSE(CONTROL!$C$21, $C$9, 100%, $E$9)</f>
        <v>14.358499999999999</v>
      </c>
      <c r="H395" s="14">
        <f>CHOOSE(CONTROL!$C$42, 14.4325, 14.4325) * CHOOSE(CONTROL!$C$21, $C$9, 100%, $E$9)</f>
        <v>14.432499999999999</v>
      </c>
      <c r="I395" s="14">
        <f>CHOOSE(CONTROL!$C$42, 14.355, 14.355)* CHOOSE(CONTROL!$C$21, $C$9, 100%, $E$9)</f>
        <v>14.355</v>
      </c>
      <c r="J395" s="14">
        <f>CHOOSE(CONTROL!$C$42, 14.3352, 14.3352)* CHOOSE(CONTROL!$C$21, $C$9, 100%, $E$9)</f>
        <v>14.3352</v>
      </c>
      <c r="K395" s="53">
        <f>CHOOSE(CONTROL!$C$42, 14.3512, 14.3512) * CHOOSE(CONTROL!$C$21, $C$9, 100%, $E$9)</f>
        <v>14.3512</v>
      </c>
      <c r="L395" s="14">
        <f>CHOOSE(CONTROL!$C$42, 15.0195, 15.0195) * CHOOSE(CONTROL!$C$21, $C$9, 100%, $E$9)</f>
        <v>15.019500000000001</v>
      </c>
      <c r="M395" s="14">
        <f>CHOOSE(CONTROL!$C$42, 14.2044, 14.2044) * CHOOSE(CONTROL!$C$21, $C$9, 100%, $E$9)</f>
        <v>14.2044</v>
      </c>
      <c r="N395" s="14">
        <f>CHOOSE(CONTROL!$C$42, 14.2205, 14.2205) * CHOOSE(CONTROL!$C$21, $C$9, 100%, $E$9)</f>
        <v>14.220499999999999</v>
      </c>
      <c r="O395" s="14">
        <f>CHOOSE(CONTROL!$C$42, 14.3007, 14.3007) * CHOOSE(CONTROL!$C$21, $C$9, 100%, $E$9)</f>
        <v>14.300700000000001</v>
      </c>
      <c r="P395" s="14">
        <f>CHOOSE(CONTROL!$C$42, 14.224, 14.224) * CHOOSE(CONTROL!$C$21, $C$9, 100%, $E$9)</f>
        <v>14.224</v>
      </c>
      <c r="Q395" s="14">
        <f>CHOOSE(CONTROL!$C$42, 14.896, 14.896) * CHOOSE(CONTROL!$C$21, $C$9, 100%, $E$9)</f>
        <v>14.896000000000001</v>
      </c>
      <c r="R395" s="14">
        <f>CHOOSE(CONTROL!$C$42, 15.5202, 15.5202) * CHOOSE(CONTROL!$C$21, $C$9, 100%, $E$9)</f>
        <v>15.520200000000001</v>
      </c>
      <c r="S395" s="14">
        <f>CHOOSE(CONTROL!$C$42, 13.9249, 13.9249) * CHOOSE(CONTROL!$C$21, $C$9, 100%, $E$9)</f>
        <v>13.924899999999999</v>
      </c>
      <c r="T39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395" s="57">
        <f>(1000*CHOOSE(CONTROL!$C$42, 695, 695)*CHOOSE(CONTROL!$C$42, 0.5599, 0.5599)*CHOOSE(CONTROL!$C$42, 30, 30))/1000000</f>
        <v>11.673914999999997</v>
      </c>
      <c r="V395" s="57">
        <f>(1000*CHOOSE(CONTROL!$C$42, 500, 500)*CHOOSE(CONTROL!$C$42, 0.275, 0.275)*CHOOSE(CONTROL!$C$42, 30, 30))/1000000</f>
        <v>4.125</v>
      </c>
      <c r="W395" s="57">
        <f>(1000*CHOOSE(CONTROL!$C$42, 0.1146, 0.1146)*CHOOSE(CONTROL!$C$42, 121.5, 121.5)*CHOOSE(CONTROL!$C$42, 30, 30))/1000000</f>
        <v>0.417717</v>
      </c>
      <c r="X395" s="57">
        <f>(30*0.1790888*100000/1000000)+(30*0.2374*100000/1000000)</f>
        <v>1.2494664</v>
      </c>
      <c r="Y395" s="57"/>
      <c r="Z395" s="14"/>
      <c r="AA395" s="56"/>
      <c r="AB395" s="50">
        <f>(B395*122.58+C395*297.941+D395*89.177+E395*40.302+F395*40+G395*160+H395*0+I395*100+J395*300)/(122.58+297.941+89.177+40.302+0+40+160+100+300)</f>
        <v>14.353556073565219</v>
      </c>
      <c r="AC395" s="45">
        <f>(M395*'RAP TEMPLATE-GAS AVAILABILITY'!O394+N395*'RAP TEMPLATE-GAS AVAILABILITY'!P394+O395*'RAP TEMPLATE-GAS AVAILABILITY'!Q394+P395*'RAP TEMPLATE-GAS AVAILABILITY'!R394)/('RAP TEMPLATE-GAS AVAILABILITY'!O394+'RAP TEMPLATE-GAS AVAILABILITY'!P394+'RAP TEMPLATE-GAS AVAILABILITY'!Q394+'RAP TEMPLATE-GAS AVAILABILITY'!R394)</f>
        <v>14.251793525179854</v>
      </c>
    </row>
    <row r="396" spans="1:29" ht="15.75" x14ac:dyDescent="0.25">
      <c r="A396" s="33">
        <v>52962</v>
      </c>
      <c r="B396" s="14">
        <f>CHOOSE(CONTROL!$C$42, 15.3191, 15.3191) * CHOOSE(CONTROL!$C$21, $C$9, 100%, $E$9)</f>
        <v>15.319100000000001</v>
      </c>
      <c r="C396" s="14">
        <f>CHOOSE(CONTROL!$C$42, 15.324, 15.324) * CHOOSE(CONTROL!$C$21, $C$9, 100%, $E$9)</f>
        <v>15.324</v>
      </c>
      <c r="D396" s="14">
        <f>CHOOSE(CONTROL!$C$42, 15.3871, 15.3871) * CHOOSE(CONTROL!$C$21, $C$9, 100%, $E$9)</f>
        <v>15.3871</v>
      </c>
      <c r="E396" s="14">
        <f>CHOOSE(CONTROL!$C$42, 15.4209, 15.4209) * CHOOSE(CONTROL!$C$21, $C$9, 100%, $E$9)</f>
        <v>15.4209</v>
      </c>
      <c r="F396" s="14">
        <f>CHOOSE(CONTROL!$C$42, 15.3218, 15.3218)*CHOOSE(CONTROL!$C$21, $C$9, 100%, $E$9)</f>
        <v>15.3218</v>
      </c>
      <c r="G396" s="14">
        <f>CHOOSE(CONTROL!$C$42, 15.3387, 15.3387)*CHOOSE(CONTROL!$C$21, $C$9, 100%, $E$9)</f>
        <v>15.338699999999999</v>
      </c>
      <c r="H396" s="14">
        <f>CHOOSE(CONTROL!$C$42, 15.4101, 15.4101) * CHOOSE(CONTROL!$C$21, $C$9, 100%, $E$9)</f>
        <v>15.4101</v>
      </c>
      <c r="I396" s="14">
        <f>CHOOSE(CONTROL!$C$42, 15.3326, 15.3326)* CHOOSE(CONTROL!$C$21, $C$9, 100%, $E$9)</f>
        <v>15.332599999999999</v>
      </c>
      <c r="J396" s="14">
        <f>CHOOSE(CONTROL!$C$42, 15.3148, 15.3148)* CHOOSE(CONTROL!$C$21, $C$9, 100%, $E$9)</f>
        <v>15.3148</v>
      </c>
      <c r="K396" s="53">
        <f>CHOOSE(CONTROL!$C$42, 15.3287, 15.3287) * CHOOSE(CONTROL!$C$21, $C$9, 100%, $E$9)</f>
        <v>15.3287</v>
      </c>
      <c r="L396" s="14">
        <f>CHOOSE(CONTROL!$C$42, 15.9971, 15.9971) * CHOOSE(CONTROL!$C$21, $C$9, 100%, $E$9)</f>
        <v>15.9971</v>
      </c>
      <c r="M396" s="14">
        <f>CHOOSE(CONTROL!$C$42, 15.1741, 15.1741) * CHOOSE(CONTROL!$C$21, $C$9, 100%, $E$9)</f>
        <v>15.174099999999999</v>
      </c>
      <c r="N396" s="14">
        <f>CHOOSE(CONTROL!$C$42, 15.1908, 15.1908) * CHOOSE(CONTROL!$C$21, $C$9, 100%, $E$9)</f>
        <v>15.190799999999999</v>
      </c>
      <c r="O396" s="14">
        <f>CHOOSE(CONTROL!$C$42, 15.2684, 15.2684) * CHOOSE(CONTROL!$C$21, $C$9, 100%, $E$9)</f>
        <v>15.2684</v>
      </c>
      <c r="P396" s="14">
        <f>CHOOSE(CONTROL!$C$42, 15.1918, 15.1918) * CHOOSE(CONTROL!$C$21, $C$9, 100%, $E$9)</f>
        <v>15.191800000000001</v>
      </c>
      <c r="Q396" s="14">
        <f>CHOOSE(CONTROL!$C$42, 15.8637, 15.8637) * CHOOSE(CONTROL!$C$21, $C$9, 100%, $E$9)</f>
        <v>15.8637</v>
      </c>
      <c r="R396" s="14">
        <f>CHOOSE(CONTROL!$C$42, 16.4904, 16.4904) * CHOOSE(CONTROL!$C$21, $C$9, 100%, $E$9)</f>
        <v>16.490400000000001</v>
      </c>
      <c r="S396" s="14">
        <f>CHOOSE(CONTROL!$C$42, 14.8742, 14.8742) * CHOOSE(CONTROL!$C$21, $C$9, 100%, $E$9)</f>
        <v>14.8742</v>
      </c>
      <c r="T39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396" s="57">
        <f>(1000*CHOOSE(CONTROL!$C$42, 695, 695)*CHOOSE(CONTROL!$C$42, 0.5599, 0.5599)*CHOOSE(CONTROL!$C$42, 31, 31))/1000000</f>
        <v>12.063045499999998</v>
      </c>
      <c r="V396" s="57">
        <f>(1000*CHOOSE(CONTROL!$C$42, 500, 500)*CHOOSE(CONTROL!$C$42, 0.275, 0.275)*CHOOSE(CONTROL!$C$42, 31, 31))/1000000</f>
        <v>4.2625000000000002</v>
      </c>
      <c r="W396" s="57">
        <f>(1000*CHOOSE(CONTROL!$C$42, 0.1146, 0.1146)*CHOOSE(CONTROL!$C$42, 121.5, 121.5)*CHOOSE(CONTROL!$C$42, 31, 31))/1000000</f>
        <v>0.43164089999999994</v>
      </c>
      <c r="X396" s="57">
        <f>(31*0.1790888*100000/1000000)+(31*0.2374*100000/1000000)</f>
        <v>1.2911152800000001</v>
      </c>
      <c r="Y396" s="57"/>
      <c r="Z396" s="14"/>
      <c r="AA396" s="56"/>
      <c r="AB396" s="50">
        <f>(B396*122.58+C396*297.941+D396*89.177+E396*40.302+F396*40+G396*160+H396*0+I396*100+J396*300)/(122.58+297.941+89.177+40.302+0+40+160+100+300)</f>
        <v>15.332083209130436</v>
      </c>
      <c r="AC396" s="45">
        <f>(M396*'RAP TEMPLATE-GAS AVAILABILITY'!O395+N396*'RAP TEMPLATE-GAS AVAILABILITY'!P395+O396*'RAP TEMPLATE-GAS AVAILABILITY'!Q395+P396*'RAP TEMPLATE-GAS AVAILABILITY'!R395)/('RAP TEMPLATE-GAS AVAILABILITY'!O395+'RAP TEMPLATE-GAS AVAILABILITY'!P395+'RAP TEMPLATE-GAS AVAILABILITY'!Q395+'RAP TEMPLATE-GAS AVAILABILITY'!R395)</f>
        <v>15.220348201438849</v>
      </c>
    </row>
    <row r="397" spans="1:29" ht="15.75" x14ac:dyDescent="0.25">
      <c r="A397" s="33">
        <v>52993</v>
      </c>
      <c r="B397" s="14">
        <f>CHOOSE(CONTROL!$C$42, 16.574, 16.574) * CHOOSE(CONTROL!$C$21, $C$9, 100%, $E$9)</f>
        <v>16.574000000000002</v>
      </c>
      <c r="C397" s="14">
        <f>CHOOSE(CONTROL!$C$42, 16.579, 16.579) * CHOOSE(CONTROL!$C$21, $C$9, 100%, $E$9)</f>
        <v>16.579000000000001</v>
      </c>
      <c r="D397" s="14">
        <f>CHOOSE(CONTROL!$C$42, 16.6433, 16.6433) * CHOOSE(CONTROL!$C$21, $C$9, 100%, $E$9)</f>
        <v>16.6433</v>
      </c>
      <c r="E397" s="14">
        <f>CHOOSE(CONTROL!$C$42, 16.6771, 16.6771) * CHOOSE(CONTROL!$C$21, $C$9, 100%, $E$9)</f>
        <v>16.677099999999999</v>
      </c>
      <c r="F397" s="14">
        <f>CHOOSE(CONTROL!$C$42, 16.5756, 16.5756)*CHOOSE(CONTROL!$C$21, $C$9, 100%, $E$9)</f>
        <v>16.575600000000001</v>
      </c>
      <c r="G397" s="14">
        <f>CHOOSE(CONTROL!$C$42, 16.5915, 16.5915)*CHOOSE(CONTROL!$C$21, $C$9, 100%, $E$9)</f>
        <v>16.5915</v>
      </c>
      <c r="H397" s="14">
        <f>CHOOSE(CONTROL!$C$42, 16.6662, 16.6662) * CHOOSE(CONTROL!$C$21, $C$9, 100%, $E$9)</f>
        <v>16.6662</v>
      </c>
      <c r="I397" s="14">
        <f>CHOOSE(CONTROL!$C$42, 16.594, 16.594)* CHOOSE(CONTROL!$C$21, $C$9, 100%, $E$9)</f>
        <v>16.594000000000001</v>
      </c>
      <c r="J397" s="14">
        <f>CHOOSE(CONTROL!$C$42, 16.5686, 16.5686)* CHOOSE(CONTROL!$C$21, $C$9, 100%, $E$9)</f>
        <v>16.5686</v>
      </c>
      <c r="K397" s="53">
        <f>CHOOSE(CONTROL!$C$42, 16.5901, 16.5901) * CHOOSE(CONTROL!$C$21, $C$9, 100%, $E$9)</f>
        <v>16.5901</v>
      </c>
      <c r="L397" s="14">
        <f>CHOOSE(CONTROL!$C$42, 17.2532, 17.2532) * CHOOSE(CONTROL!$C$21, $C$9, 100%, $E$9)</f>
        <v>17.2532</v>
      </c>
      <c r="M397" s="14">
        <f>CHOOSE(CONTROL!$C$42, 16.4152, 16.4152) * CHOOSE(CONTROL!$C$21, $C$9, 100%, $E$9)</f>
        <v>16.415199999999999</v>
      </c>
      <c r="N397" s="14">
        <f>CHOOSE(CONTROL!$C$42, 16.4309, 16.4309) * CHOOSE(CONTROL!$C$21, $C$9, 100%, $E$9)</f>
        <v>16.430900000000001</v>
      </c>
      <c r="O397" s="14">
        <f>CHOOSE(CONTROL!$C$42, 16.5119, 16.5119) * CHOOSE(CONTROL!$C$21, $C$9, 100%, $E$9)</f>
        <v>16.511900000000001</v>
      </c>
      <c r="P397" s="14">
        <f>CHOOSE(CONTROL!$C$42, 16.4404, 16.4404) * CHOOSE(CONTROL!$C$21, $C$9, 100%, $E$9)</f>
        <v>16.4404</v>
      </c>
      <c r="Q397" s="14">
        <f>CHOOSE(CONTROL!$C$42, 17.1072, 17.1072) * CHOOSE(CONTROL!$C$21, $C$9, 100%, $E$9)</f>
        <v>17.107199999999999</v>
      </c>
      <c r="R397" s="14">
        <f>CHOOSE(CONTROL!$C$42, 17.737, 17.737) * CHOOSE(CONTROL!$C$21, $C$9, 100%, $E$9)</f>
        <v>17.736999999999998</v>
      </c>
      <c r="S397" s="14">
        <f>CHOOSE(CONTROL!$C$42, 16.0929, 16.0929) * CHOOSE(CONTROL!$C$21, $C$9, 100%, $E$9)</f>
        <v>16.0929</v>
      </c>
      <c r="T39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397" s="57">
        <f>(1000*CHOOSE(CONTROL!$C$42, 695, 695)*CHOOSE(CONTROL!$C$42, 0.5599, 0.5599)*CHOOSE(CONTROL!$C$42, 31, 31))/1000000</f>
        <v>12.063045499999998</v>
      </c>
      <c r="V397" s="57">
        <f>(1000*CHOOSE(CONTROL!$C$42, 500, 500)*CHOOSE(CONTROL!$C$42, 0.275, 0.275)*CHOOSE(CONTROL!$C$42, 31, 31))/1000000</f>
        <v>4.2625000000000002</v>
      </c>
      <c r="W397" s="57">
        <f>(1000*CHOOSE(CONTROL!$C$42, 0.1146, 0.1146)*CHOOSE(CONTROL!$C$42, 121.5, 121.5)*CHOOSE(CONTROL!$C$42, 31, 31))/1000000</f>
        <v>0.43164089999999994</v>
      </c>
      <c r="X397" s="57">
        <f>(31*0.1790888*100000/1000000)+(31*0.2374*100000/1000000)</f>
        <v>1.2911152800000001</v>
      </c>
      <c r="Y397" s="57"/>
      <c r="Z397" s="14"/>
      <c r="AA397" s="56"/>
      <c r="AB397" s="50">
        <f>(B397*122.58+C397*297.941+D397*89.177+E397*40.302+F397*40+G397*160+H397*0+I397*100+J397*300)/(122.58+297.941+89.177+40.302+0+40+160+100+300)</f>
        <v>16.58710331069565</v>
      </c>
      <c r="AC397" s="45">
        <f>(M397*'RAP TEMPLATE-GAS AVAILABILITY'!O396+N397*'RAP TEMPLATE-GAS AVAILABILITY'!P396+O397*'RAP TEMPLATE-GAS AVAILABILITY'!Q396+P397*'RAP TEMPLATE-GAS AVAILABILITY'!R396)/('RAP TEMPLATE-GAS AVAILABILITY'!O396+'RAP TEMPLATE-GAS AVAILABILITY'!P396+'RAP TEMPLATE-GAS AVAILABILITY'!Q396+'RAP TEMPLATE-GAS AVAILABILITY'!R396)</f>
        <v>16.463557553956836</v>
      </c>
    </row>
    <row r="398" spans="1:29" ht="15.75" x14ac:dyDescent="0.25">
      <c r="A398" s="33">
        <v>53021</v>
      </c>
      <c r="B398" s="14">
        <f>CHOOSE(CONTROL!$C$42, 16.869, 16.869) * CHOOSE(CONTROL!$C$21, $C$9, 100%, $E$9)</f>
        <v>16.869</v>
      </c>
      <c r="C398" s="14">
        <f>CHOOSE(CONTROL!$C$42, 16.874, 16.874) * CHOOSE(CONTROL!$C$21, $C$9, 100%, $E$9)</f>
        <v>16.873999999999999</v>
      </c>
      <c r="D398" s="14">
        <f>CHOOSE(CONTROL!$C$42, 16.9383, 16.9383) * CHOOSE(CONTROL!$C$21, $C$9, 100%, $E$9)</f>
        <v>16.938300000000002</v>
      </c>
      <c r="E398" s="14">
        <f>CHOOSE(CONTROL!$C$42, 16.972, 16.972) * CHOOSE(CONTROL!$C$21, $C$9, 100%, $E$9)</f>
        <v>16.972000000000001</v>
      </c>
      <c r="F398" s="14">
        <f>CHOOSE(CONTROL!$C$42, 16.8706, 16.8706)*CHOOSE(CONTROL!$C$21, $C$9, 100%, $E$9)</f>
        <v>16.8706</v>
      </c>
      <c r="G398" s="14">
        <f>CHOOSE(CONTROL!$C$42, 16.8865, 16.8865)*CHOOSE(CONTROL!$C$21, $C$9, 100%, $E$9)</f>
        <v>16.886500000000002</v>
      </c>
      <c r="H398" s="14">
        <f>CHOOSE(CONTROL!$C$42, 16.9612, 16.9612) * CHOOSE(CONTROL!$C$21, $C$9, 100%, $E$9)</f>
        <v>16.961200000000002</v>
      </c>
      <c r="I398" s="14">
        <f>CHOOSE(CONTROL!$C$42, 16.889, 16.889)* CHOOSE(CONTROL!$C$21, $C$9, 100%, $E$9)</f>
        <v>16.888999999999999</v>
      </c>
      <c r="J398" s="14">
        <f>CHOOSE(CONTROL!$C$42, 16.8636, 16.8636)* CHOOSE(CONTROL!$C$21, $C$9, 100%, $E$9)</f>
        <v>16.863600000000002</v>
      </c>
      <c r="K398" s="53">
        <f>CHOOSE(CONTROL!$C$42, 16.8851, 16.8851) * CHOOSE(CONTROL!$C$21, $C$9, 100%, $E$9)</f>
        <v>16.885100000000001</v>
      </c>
      <c r="L398" s="14">
        <f>CHOOSE(CONTROL!$C$42, 17.5482, 17.5482) * CHOOSE(CONTROL!$C$21, $C$9, 100%, $E$9)</f>
        <v>17.548200000000001</v>
      </c>
      <c r="M398" s="14">
        <f>CHOOSE(CONTROL!$C$42, 16.7072, 16.7072) * CHOOSE(CONTROL!$C$21, $C$9, 100%, $E$9)</f>
        <v>16.7072</v>
      </c>
      <c r="N398" s="14">
        <f>CHOOSE(CONTROL!$C$42, 16.723, 16.723) * CHOOSE(CONTROL!$C$21, $C$9, 100%, $E$9)</f>
        <v>16.722999999999999</v>
      </c>
      <c r="O398" s="14">
        <f>CHOOSE(CONTROL!$C$42, 16.8039, 16.8039) * CHOOSE(CONTROL!$C$21, $C$9, 100%, $E$9)</f>
        <v>16.803899999999999</v>
      </c>
      <c r="P398" s="14">
        <f>CHOOSE(CONTROL!$C$42, 16.7324, 16.7324) * CHOOSE(CONTROL!$C$21, $C$9, 100%, $E$9)</f>
        <v>16.732399999999998</v>
      </c>
      <c r="Q398" s="14">
        <f>CHOOSE(CONTROL!$C$42, 17.3992, 17.3992) * CHOOSE(CONTROL!$C$21, $C$9, 100%, $E$9)</f>
        <v>17.3992</v>
      </c>
      <c r="R398" s="14">
        <f>CHOOSE(CONTROL!$C$42, 18.0297, 18.0297) * CHOOSE(CONTROL!$C$21, $C$9, 100%, $E$9)</f>
        <v>18.029699999999998</v>
      </c>
      <c r="S398" s="14">
        <f>CHOOSE(CONTROL!$C$42, 16.3794, 16.3794) * CHOOSE(CONTROL!$C$21, $C$9, 100%, $E$9)</f>
        <v>16.3794</v>
      </c>
      <c r="T39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398" s="57">
        <f>(1000*CHOOSE(CONTROL!$C$42, 695, 695)*CHOOSE(CONTROL!$C$42, 0.5599, 0.5599)*CHOOSE(CONTROL!$C$42, 28, 28))/1000000</f>
        <v>10.895653999999999</v>
      </c>
      <c r="V398" s="57">
        <f>(1000*CHOOSE(CONTROL!$C$42, 500, 500)*CHOOSE(CONTROL!$C$42, 0.275, 0.275)*CHOOSE(CONTROL!$C$42, 28, 28))/1000000</f>
        <v>3.85</v>
      </c>
      <c r="W398" s="57">
        <f>(1000*CHOOSE(CONTROL!$C$42, 0.1146, 0.1146)*CHOOSE(CONTROL!$C$42, 121.5, 121.5)*CHOOSE(CONTROL!$C$42, 28, 28))/1000000</f>
        <v>0.38986920000000003</v>
      </c>
      <c r="X398" s="57">
        <f>(28*0.1790888*100000/1000000)+(28*0.2374*100000/1000000)</f>
        <v>1.16616864</v>
      </c>
      <c r="Y398" s="57"/>
      <c r="Z398" s="14"/>
      <c r="AA398" s="56"/>
      <c r="AB398" s="50">
        <f>(B398*122.58+C398*297.941+D398*89.177+E398*40.302+F398*40+G398*160+H398*0+I398*100+J398*300)/(122.58+297.941+89.177+40.302+0+40+160+100+300)</f>
        <v>16.882099806173912</v>
      </c>
      <c r="AC398" s="45">
        <f>(M398*'RAP TEMPLATE-GAS AVAILABILITY'!O397+N398*'RAP TEMPLATE-GAS AVAILABILITY'!P397+O398*'RAP TEMPLATE-GAS AVAILABILITY'!Q397+P398*'RAP TEMPLATE-GAS AVAILABILITY'!R397)/('RAP TEMPLATE-GAS AVAILABILITY'!O397+'RAP TEMPLATE-GAS AVAILABILITY'!P397+'RAP TEMPLATE-GAS AVAILABILITY'!Q397+'RAP TEMPLATE-GAS AVAILABILITY'!R397)</f>
        <v>16.755563309352514</v>
      </c>
    </row>
    <row r="399" spans="1:29" ht="15.75" x14ac:dyDescent="0.25">
      <c r="A399" s="33">
        <v>53052</v>
      </c>
      <c r="B399" s="14">
        <f>CHOOSE(CONTROL!$C$42, 16.3902, 16.3902) * CHOOSE(CONTROL!$C$21, $C$9, 100%, $E$9)</f>
        <v>16.3902</v>
      </c>
      <c r="C399" s="14">
        <f>CHOOSE(CONTROL!$C$42, 16.3951, 16.3951) * CHOOSE(CONTROL!$C$21, $C$9, 100%, $E$9)</f>
        <v>16.395099999999999</v>
      </c>
      <c r="D399" s="14">
        <f>CHOOSE(CONTROL!$C$42, 16.4594, 16.4594) * CHOOSE(CONTROL!$C$21, $C$9, 100%, $E$9)</f>
        <v>16.459399999999999</v>
      </c>
      <c r="E399" s="14">
        <f>CHOOSE(CONTROL!$C$42, 16.4932, 16.4932) * CHOOSE(CONTROL!$C$21, $C$9, 100%, $E$9)</f>
        <v>16.493200000000002</v>
      </c>
      <c r="F399" s="14">
        <f>CHOOSE(CONTROL!$C$42, 16.3914, 16.3914)*CHOOSE(CONTROL!$C$21, $C$9, 100%, $E$9)</f>
        <v>16.391400000000001</v>
      </c>
      <c r="G399" s="14">
        <f>CHOOSE(CONTROL!$C$42, 16.4073, 16.4073)*CHOOSE(CONTROL!$C$21, $C$9, 100%, $E$9)</f>
        <v>16.407299999999999</v>
      </c>
      <c r="H399" s="14">
        <f>CHOOSE(CONTROL!$C$42, 16.4824, 16.4824) * CHOOSE(CONTROL!$C$21, $C$9, 100%, $E$9)</f>
        <v>16.482399999999998</v>
      </c>
      <c r="I399" s="14">
        <f>CHOOSE(CONTROL!$C$42, 16.4102, 16.4102)* CHOOSE(CONTROL!$C$21, $C$9, 100%, $E$9)</f>
        <v>16.4102</v>
      </c>
      <c r="J399" s="14">
        <f>CHOOSE(CONTROL!$C$42, 16.3844, 16.3844)* CHOOSE(CONTROL!$C$21, $C$9, 100%, $E$9)</f>
        <v>16.384399999999999</v>
      </c>
      <c r="K399" s="53">
        <f>CHOOSE(CONTROL!$C$42, 16.4063, 16.4063) * CHOOSE(CONTROL!$C$21, $C$9, 100%, $E$9)</f>
        <v>16.406300000000002</v>
      </c>
      <c r="L399" s="14">
        <f>CHOOSE(CONTROL!$C$42, 17.0694, 17.0694) * CHOOSE(CONTROL!$C$21, $C$9, 100%, $E$9)</f>
        <v>17.069400000000002</v>
      </c>
      <c r="M399" s="14">
        <f>CHOOSE(CONTROL!$C$42, 16.2329, 16.2329) * CHOOSE(CONTROL!$C$21, $C$9, 100%, $E$9)</f>
        <v>16.232900000000001</v>
      </c>
      <c r="N399" s="14">
        <f>CHOOSE(CONTROL!$C$42, 16.2486, 16.2486) * CHOOSE(CONTROL!$C$21, $C$9, 100%, $E$9)</f>
        <v>16.2486</v>
      </c>
      <c r="O399" s="14">
        <f>CHOOSE(CONTROL!$C$42, 16.3299, 16.3299) * CHOOSE(CONTROL!$C$21, $C$9, 100%, $E$9)</f>
        <v>16.329899999999999</v>
      </c>
      <c r="P399" s="14">
        <f>CHOOSE(CONTROL!$C$42, 16.2584, 16.2584) * CHOOSE(CONTROL!$C$21, $C$9, 100%, $E$9)</f>
        <v>16.258400000000002</v>
      </c>
      <c r="Q399" s="14">
        <f>CHOOSE(CONTROL!$C$42, 16.9252, 16.9252) * CHOOSE(CONTROL!$C$21, $C$9, 100%, $E$9)</f>
        <v>16.9252</v>
      </c>
      <c r="R399" s="14">
        <f>CHOOSE(CONTROL!$C$42, 17.5545, 17.5545) * CHOOSE(CONTROL!$C$21, $C$9, 100%, $E$9)</f>
        <v>17.554500000000001</v>
      </c>
      <c r="S399" s="14">
        <f>CHOOSE(CONTROL!$C$42, 15.9144, 15.9144) * CHOOSE(CONTROL!$C$21, $C$9, 100%, $E$9)</f>
        <v>15.914400000000001</v>
      </c>
      <c r="T39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399" s="57">
        <f>(1000*CHOOSE(CONTROL!$C$42, 695, 695)*CHOOSE(CONTROL!$C$42, 0.5599, 0.5599)*CHOOSE(CONTROL!$C$42, 31, 31))/1000000</f>
        <v>12.063045499999998</v>
      </c>
      <c r="V399" s="57">
        <f>(1000*CHOOSE(CONTROL!$C$42, 500, 500)*CHOOSE(CONTROL!$C$42, 0.275, 0.275)*CHOOSE(CONTROL!$C$42, 31, 31))/1000000</f>
        <v>4.2625000000000002</v>
      </c>
      <c r="W399" s="57">
        <f>(1000*CHOOSE(CONTROL!$C$42, 0.1146, 0.1146)*CHOOSE(CONTROL!$C$42, 121.5, 121.5)*CHOOSE(CONTROL!$C$42, 31, 31))/1000000</f>
        <v>0.43164089999999994</v>
      </c>
      <c r="X399" s="57">
        <f>(31*0.1790888*100000/1000000)+(31*0.2374*100000/1000000)</f>
        <v>1.2911152800000001</v>
      </c>
      <c r="Y399" s="57"/>
      <c r="Z399" s="14"/>
      <c r="AA399" s="56"/>
      <c r="AB399" s="50">
        <f>(B399*122.58+C399*297.941+D399*89.177+E399*40.302+F399*40+G399*160+H399*0+I399*100+J399*300)/(122.58+297.941+89.177+40.302+0+40+160+100+300)</f>
        <v>16.403092230695652</v>
      </c>
      <c r="AC399" s="45">
        <f>(M399*'RAP TEMPLATE-GAS AVAILABILITY'!O398+N399*'RAP TEMPLATE-GAS AVAILABILITY'!P398+O399*'RAP TEMPLATE-GAS AVAILABILITY'!Q398+P399*'RAP TEMPLATE-GAS AVAILABILITY'!R398)/('RAP TEMPLATE-GAS AVAILABILITY'!O398+'RAP TEMPLATE-GAS AVAILABILITY'!P398+'RAP TEMPLATE-GAS AVAILABILITY'!Q398+'RAP TEMPLATE-GAS AVAILABILITY'!R398)</f>
        <v>16.281436690647482</v>
      </c>
    </row>
    <row r="400" spans="1:29" ht="15.75" x14ac:dyDescent="0.25">
      <c r="A400" s="33">
        <v>53082</v>
      </c>
      <c r="B400" s="14">
        <f>CHOOSE(CONTROL!$C$42, 16.3423, 16.3423) * CHOOSE(CONTROL!$C$21, $C$9, 100%, $E$9)</f>
        <v>16.342300000000002</v>
      </c>
      <c r="C400" s="14">
        <f>CHOOSE(CONTROL!$C$42, 16.3467, 16.3467) * CHOOSE(CONTROL!$C$21, $C$9, 100%, $E$9)</f>
        <v>16.346699999999998</v>
      </c>
      <c r="D400" s="14">
        <f>CHOOSE(CONTROL!$C$42, 16.5474, 16.5474) * CHOOSE(CONTROL!$C$21, $C$9, 100%, $E$9)</f>
        <v>16.5474</v>
      </c>
      <c r="E400" s="14">
        <f>CHOOSE(CONTROL!$C$42, 16.5792, 16.5792) * CHOOSE(CONTROL!$C$21, $C$9, 100%, $E$9)</f>
        <v>16.5792</v>
      </c>
      <c r="F400" s="14">
        <f>CHOOSE(CONTROL!$C$42, 16.3269, 16.3269)*CHOOSE(CONTROL!$C$21, $C$9, 100%, $E$9)</f>
        <v>16.326899999999998</v>
      </c>
      <c r="G400" s="14">
        <f>CHOOSE(CONTROL!$C$42, 16.3425, 16.3425)*CHOOSE(CONTROL!$C$21, $C$9, 100%, $E$9)</f>
        <v>16.342500000000001</v>
      </c>
      <c r="H400" s="14">
        <f>CHOOSE(CONTROL!$C$42, 16.569, 16.569) * CHOOSE(CONTROL!$C$21, $C$9, 100%, $E$9)</f>
        <v>16.568999999999999</v>
      </c>
      <c r="I400" s="14">
        <f>CHOOSE(CONTROL!$C$42, 16.3551, 16.3551)* CHOOSE(CONTROL!$C$21, $C$9, 100%, $E$9)</f>
        <v>16.3551</v>
      </c>
      <c r="J400" s="14">
        <f>CHOOSE(CONTROL!$C$42, 16.3199, 16.3199)* CHOOSE(CONTROL!$C$21, $C$9, 100%, $E$9)</f>
        <v>16.319900000000001</v>
      </c>
      <c r="K400" s="53">
        <f>CHOOSE(CONTROL!$C$42, 16.3512, 16.3512) * CHOOSE(CONTROL!$C$21, $C$9, 100%, $E$9)</f>
        <v>16.351199999999999</v>
      </c>
      <c r="L400" s="14">
        <f>CHOOSE(CONTROL!$C$42, 17.156, 17.156) * CHOOSE(CONTROL!$C$21, $C$9, 100%, $E$9)</f>
        <v>17.155999999999999</v>
      </c>
      <c r="M400" s="14">
        <f>CHOOSE(CONTROL!$C$42, 16.169, 16.169) * CHOOSE(CONTROL!$C$21, $C$9, 100%, $E$9)</f>
        <v>16.169</v>
      </c>
      <c r="N400" s="14">
        <f>CHOOSE(CONTROL!$C$42, 16.1845, 16.1845) * CHOOSE(CONTROL!$C$21, $C$9, 100%, $E$9)</f>
        <v>16.1845</v>
      </c>
      <c r="O400" s="14">
        <f>CHOOSE(CONTROL!$C$42, 16.4156, 16.4156) * CHOOSE(CONTROL!$C$21, $C$9, 100%, $E$9)</f>
        <v>16.415600000000001</v>
      </c>
      <c r="P400" s="14">
        <f>CHOOSE(CONTROL!$C$42, 16.2039, 16.2039) * CHOOSE(CONTROL!$C$21, $C$9, 100%, $E$9)</f>
        <v>16.203900000000001</v>
      </c>
      <c r="Q400" s="14">
        <f>CHOOSE(CONTROL!$C$42, 17.0109, 17.0109) * CHOOSE(CONTROL!$C$21, $C$9, 100%, $E$9)</f>
        <v>17.010899999999999</v>
      </c>
      <c r="R400" s="14">
        <f>CHOOSE(CONTROL!$C$42, 17.6404, 17.6404) * CHOOSE(CONTROL!$C$21, $C$9, 100%, $E$9)</f>
        <v>17.6404</v>
      </c>
      <c r="S400" s="14">
        <f>CHOOSE(CONTROL!$C$42, 15.8671, 15.8671) * CHOOSE(CONTROL!$C$21, $C$9, 100%, $E$9)</f>
        <v>15.867100000000001</v>
      </c>
      <c r="T40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00" s="57">
        <f>(1000*CHOOSE(CONTROL!$C$42, 695, 695)*CHOOSE(CONTROL!$C$42, 0.5599, 0.5599)*CHOOSE(CONTROL!$C$42, 30, 30))/1000000</f>
        <v>11.673914999999997</v>
      </c>
      <c r="V400" s="57">
        <f>(1000*CHOOSE(CONTROL!$C$42, 500, 500)*CHOOSE(CONTROL!$C$42, 0.275, 0.275)*CHOOSE(CONTROL!$C$42, 30, 30))/1000000</f>
        <v>4.125</v>
      </c>
      <c r="W400" s="57">
        <f>(1000*CHOOSE(CONTROL!$C$42, 0.1146, 0.1146)*CHOOSE(CONTROL!$C$42, 121.5, 121.5)*CHOOSE(CONTROL!$C$42, 30, 30))/1000000</f>
        <v>0.417717</v>
      </c>
      <c r="X400" s="57">
        <f>(30*0.1790888*245000/1000000)+(30*0.2374*100000/1000000)</f>
        <v>2.0285026799999999</v>
      </c>
      <c r="Y400" s="57"/>
      <c r="Z400" s="14"/>
      <c r="AA400" s="56"/>
      <c r="AB400" s="50">
        <f>(B400*141.293+C400*267.993+D400*115.016+E400*89.698+F400*40+G400*185+H400*0+I400*100+J400*300)/(141.293+267.993+115.016+89.698+0+40+185+100+300)</f>
        <v>16.374583621468926</v>
      </c>
      <c r="AC400" s="45">
        <f>(M400*'RAP TEMPLATE-GAS AVAILABILITY'!O399+N400*'RAP TEMPLATE-GAS AVAILABILITY'!P399+O400*'RAP TEMPLATE-GAS AVAILABILITY'!Q399+P400*'RAP TEMPLATE-GAS AVAILABILITY'!R399)/('RAP TEMPLATE-GAS AVAILABILITY'!O399+'RAP TEMPLATE-GAS AVAILABILITY'!P399+'RAP TEMPLATE-GAS AVAILABILITY'!Q399+'RAP TEMPLATE-GAS AVAILABILITY'!R399)</f>
        <v>16.246779856115108</v>
      </c>
    </row>
    <row r="401" spans="1:29" ht="15.75" x14ac:dyDescent="0.25">
      <c r="A401" s="33">
        <v>53113</v>
      </c>
      <c r="B401" s="14">
        <f>CHOOSE(CONTROL!$C$42, 16.4879, 16.4879) * CHOOSE(CONTROL!$C$21, $C$9, 100%, $E$9)</f>
        <v>16.4879</v>
      </c>
      <c r="C401" s="14">
        <f>CHOOSE(CONTROL!$C$42, 16.4958, 16.4958) * CHOOSE(CONTROL!$C$21, $C$9, 100%, $E$9)</f>
        <v>16.495799999999999</v>
      </c>
      <c r="D401" s="14">
        <f>CHOOSE(CONTROL!$C$42, 16.6934, 16.6934) * CHOOSE(CONTROL!$C$21, $C$9, 100%, $E$9)</f>
        <v>16.6934</v>
      </c>
      <c r="E401" s="14">
        <f>CHOOSE(CONTROL!$C$42, 16.7245, 16.7245) * CHOOSE(CONTROL!$C$21, $C$9, 100%, $E$9)</f>
        <v>16.724499999999999</v>
      </c>
      <c r="F401" s="14">
        <f>CHOOSE(CONTROL!$C$42, 16.4713, 16.4713)*CHOOSE(CONTROL!$C$21, $C$9, 100%, $E$9)</f>
        <v>16.471299999999999</v>
      </c>
      <c r="G401" s="14">
        <f>CHOOSE(CONTROL!$C$42, 16.4874, 16.4874)*CHOOSE(CONTROL!$C$21, $C$9, 100%, $E$9)</f>
        <v>16.487400000000001</v>
      </c>
      <c r="H401" s="14">
        <f>CHOOSE(CONTROL!$C$42, 16.7132, 16.7132) * CHOOSE(CONTROL!$C$21, $C$9, 100%, $E$9)</f>
        <v>16.713200000000001</v>
      </c>
      <c r="I401" s="14">
        <f>CHOOSE(CONTROL!$C$42, 16.4993, 16.4993)* CHOOSE(CONTROL!$C$21, $C$9, 100%, $E$9)</f>
        <v>16.499300000000002</v>
      </c>
      <c r="J401" s="14">
        <f>CHOOSE(CONTROL!$C$42, 16.4643, 16.4643)* CHOOSE(CONTROL!$C$21, $C$9, 100%, $E$9)</f>
        <v>16.464300000000001</v>
      </c>
      <c r="K401" s="53">
        <f>CHOOSE(CONTROL!$C$42, 16.4954, 16.4954) * CHOOSE(CONTROL!$C$21, $C$9, 100%, $E$9)</f>
        <v>16.4954</v>
      </c>
      <c r="L401" s="14">
        <f>CHOOSE(CONTROL!$C$42, 17.3002, 17.3002) * CHOOSE(CONTROL!$C$21, $C$9, 100%, $E$9)</f>
        <v>17.3002</v>
      </c>
      <c r="M401" s="14">
        <f>CHOOSE(CONTROL!$C$42, 16.312, 16.312) * CHOOSE(CONTROL!$C$21, $C$9, 100%, $E$9)</f>
        <v>16.312000000000001</v>
      </c>
      <c r="N401" s="14">
        <f>CHOOSE(CONTROL!$C$42, 16.3279, 16.3279) * CHOOSE(CONTROL!$C$21, $C$9, 100%, $E$9)</f>
        <v>16.3279</v>
      </c>
      <c r="O401" s="14">
        <f>CHOOSE(CONTROL!$C$42, 16.5583, 16.5583) * CHOOSE(CONTROL!$C$21, $C$9, 100%, $E$9)</f>
        <v>16.558299999999999</v>
      </c>
      <c r="P401" s="14">
        <f>CHOOSE(CONTROL!$C$42, 16.3466, 16.3466) * CHOOSE(CONTROL!$C$21, $C$9, 100%, $E$9)</f>
        <v>16.346599999999999</v>
      </c>
      <c r="Q401" s="14">
        <f>CHOOSE(CONTROL!$C$42, 17.1536, 17.1536) * CHOOSE(CONTROL!$C$21, $C$9, 100%, $E$9)</f>
        <v>17.153600000000001</v>
      </c>
      <c r="R401" s="14">
        <f>CHOOSE(CONTROL!$C$42, 17.7835, 17.7835) * CHOOSE(CONTROL!$C$21, $C$9, 100%, $E$9)</f>
        <v>17.7835</v>
      </c>
      <c r="S401" s="14">
        <f>CHOOSE(CONTROL!$C$42, 16.0071, 16.0071) * CHOOSE(CONTROL!$C$21, $C$9, 100%, $E$9)</f>
        <v>16.007100000000001</v>
      </c>
      <c r="T40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01" s="57">
        <f>(1000*CHOOSE(CONTROL!$C$42, 695, 695)*CHOOSE(CONTROL!$C$42, 0.5599, 0.5599)*CHOOSE(CONTROL!$C$42, 31, 31))/1000000</f>
        <v>12.063045499999998</v>
      </c>
      <c r="V401" s="57">
        <f>(1000*CHOOSE(CONTROL!$C$42, 500, 500)*CHOOSE(CONTROL!$C$42, 0.275, 0.275)*CHOOSE(CONTROL!$C$42, 31, 31))/1000000</f>
        <v>4.2625000000000002</v>
      </c>
      <c r="W401" s="57">
        <f>(1000*CHOOSE(CONTROL!$C$42, 0.1146, 0.1146)*CHOOSE(CONTROL!$C$42, 121.5, 121.5)*CHOOSE(CONTROL!$C$42, 31, 31))/1000000</f>
        <v>0.43164089999999994</v>
      </c>
      <c r="X401" s="57">
        <f>(31*0.1790888*245000/1000000)+(31*0.2374*100000/1000000)</f>
        <v>2.0961194359999999</v>
      </c>
      <c r="Y401" s="57"/>
      <c r="Z401" s="14"/>
      <c r="AA401" s="56"/>
      <c r="AB401" s="50">
        <f>(B401*194.205+C401*267.466+D401*133.845+E401*53.484+F401*40+G401*185+H401*0+I401*100+J401*300)/(194.205+267.466+133.845+53.484+0+40+185+100+300)</f>
        <v>16.515824602276297</v>
      </c>
      <c r="AC401" s="45">
        <f>(M401*'RAP TEMPLATE-GAS AVAILABILITY'!O400+N401*'RAP TEMPLATE-GAS AVAILABILITY'!P400+O401*'RAP TEMPLATE-GAS AVAILABILITY'!Q400+P401*'RAP TEMPLATE-GAS AVAILABILITY'!R400)/('RAP TEMPLATE-GAS AVAILABILITY'!O400+'RAP TEMPLATE-GAS AVAILABILITY'!P400+'RAP TEMPLATE-GAS AVAILABILITY'!Q400+'RAP TEMPLATE-GAS AVAILABILITY'!R400)</f>
        <v>16.389744604316547</v>
      </c>
    </row>
    <row r="402" spans="1:29" ht="15.75" x14ac:dyDescent="0.25">
      <c r="A402" s="33">
        <v>53143</v>
      </c>
      <c r="B402" s="14">
        <f>CHOOSE(CONTROL!$C$42, 16.9554, 16.9554) * CHOOSE(CONTROL!$C$21, $C$9, 100%, $E$9)</f>
        <v>16.955400000000001</v>
      </c>
      <c r="C402" s="14">
        <f>CHOOSE(CONTROL!$C$42, 16.9634, 16.9634) * CHOOSE(CONTROL!$C$21, $C$9, 100%, $E$9)</f>
        <v>16.9634</v>
      </c>
      <c r="D402" s="14">
        <f>CHOOSE(CONTROL!$C$42, 17.1609, 17.1609) * CHOOSE(CONTROL!$C$21, $C$9, 100%, $E$9)</f>
        <v>17.160900000000002</v>
      </c>
      <c r="E402" s="14">
        <f>CHOOSE(CONTROL!$C$42, 17.1921, 17.1921) * CHOOSE(CONTROL!$C$21, $C$9, 100%, $E$9)</f>
        <v>17.1921</v>
      </c>
      <c r="F402" s="14">
        <f>CHOOSE(CONTROL!$C$42, 16.9393, 16.9393)*CHOOSE(CONTROL!$C$21, $C$9, 100%, $E$9)</f>
        <v>16.939299999999999</v>
      </c>
      <c r="G402" s="14">
        <f>CHOOSE(CONTROL!$C$42, 16.9555, 16.9555)*CHOOSE(CONTROL!$C$21, $C$9, 100%, $E$9)</f>
        <v>16.955500000000001</v>
      </c>
      <c r="H402" s="14">
        <f>CHOOSE(CONTROL!$C$42, 17.1807, 17.1807) * CHOOSE(CONTROL!$C$21, $C$9, 100%, $E$9)</f>
        <v>17.180700000000002</v>
      </c>
      <c r="I402" s="14">
        <f>CHOOSE(CONTROL!$C$42, 16.9668, 16.9668)* CHOOSE(CONTROL!$C$21, $C$9, 100%, $E$9)</f>
        <v>16.966799999999999</v>
      </c>
      <c r="J402" s="14">
        <f>CHOOSE(CONTROL!$C$42, 16.9323, 16.9323)* CHOOSE(CONTROL!$C$21, $C$9, 100%, $E$9)</f>
        <v>16.932300000000001</v>
      </c>
      <c r="K402" s="53">
        <f>CHOOSE(CONTROL!$C$42, 16.9629, 16.9629) * CHOOSE(CONTROL!$C$21, $C$9, 100%, $E$9)</f>
        <v>16.962900000000001</v>
      </c>
      <c r="L402" s="14">
        <f>CHOOSE(CONTROL!$C$42, 17.7677, 17.7677) * CHOOSE(CONTROL!$C$21, $C$9, 100%, $E$9)</f>
        <v>17.767700000000001</v>
      </c>
      <c r="M402" s="14">
        <f>CHOOSE(CONTROL!$C$42, 16.7752, 16.7752) * CHOOSE(CONTROL!$C$21, $C$9, 100%, $E$9)</f>
        <v>16.775200000000002</v>
      </c>
      <c r="N402" s="14">
        <f>CHOOSE(CONTROL!$C$42, 16.7913, 16.7913) * CHOOSE(CONTROL!$C$21, $C$9, 100%, $E$9)</f>
        <v>16.7913</v>
      </c>
      <c r="O402" s="14">
        <f>CHOOSE(CONTROL!$C$42, 17.0212, 17.0212) * CHOOSE(CONTROL!$C$21, $C$9, 100%, $E$9)</f>
        <v>17.0212</v>
      </c>
      <c r="P402" s="14">
        <f>CHOOSE(CONTROL!$C$42, 16.8095, 16.8095) * CHOOSE(CONTROL!$C$21, $C$9, 100%, $E$9)</f>
        <v>16.8095</v>
      </c>
      <c r="Q402" s="14">
        <f>CHOOSE(CONTROL!$C$42, 17.6165, 17.6165) * CHOOSE(CONTROL!$C$21, $C$9, 100%, $E$9)</f>
        <v>17.616499999999998</v>
      </c>
      <c r="R402" s="14">
        <f>CHOOSE(CONTROL!$C$42, 18.2475, 18.2475) * CHOOSE(CONTROL!$C$21, $C$9, 100%, $E$9)</f>
        <v>18.247499999999999</v>
      </c>
      <c r="S402" s="14">
        <f>CHOOSE(CONTROL!$C$42, 16.4612, 16.4612) * CHOOSE(CONTROL!$C$21, $C$9, 100%, $E$9)</f>
        <v>16.461200000000002</v>
      </c>
      <c r="T40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02" s="57">
        <f>(1000*CHOOSE(CONTROL!$C$42, 695, 695)*CHOOSE(CONTROL!$C$42, 0.5599, 0.5599)*CHOOSE(CONTROL!$C$42, 30, 30))/1000000</f>
        <v>11.673914999999997</v>
      </c>
      <c r="V402" s="57">
        <f>(1000*CHOOSE(CONTROL!$C$42, 500, 500)*CHOOSE(CONTROL!$C$42, 0.275, 0.275)*CHOOSE(CONTROL!$C$42, 30, 30))/1000000</f>
        <v>4.125</v>
      </c>
      <c r="W402" s="57">
        <f>(1000*CHOOSE(CONTROL!$C$42, 0.1146, 0.1146)*CHOOSE(CONTROL!$C$42, 121.5, 121.5)*CHOOSE(CONTROL!$C$42, 30, 30))/1000000</f>
        <v>0.417717</v>
      </c>
      <c r="X402" s="57">
        <f>(30*0.1790888*245000/1000000)+(30*0.2374*100000/1000000)</f>
        <v>2.0285026799999999</v>
      </c>
      <c r="Y402" s="57"/>
      <c r="Z402" s="14"/>
      <c r="AA402" s="56"/>
      <c r="AB402" s="50">
        <f>(B402*194.205+C402*267.466+D402*133.845+E402*53.484+F402*40+G402*185+H402*0+I402*100+J402*300)/(194.205+267.466+133.845+53.484+0+40+185+100+300)</f>
        <v>16.983570359733122</v>
      </c>
      <c r="AC402" s="45">
        <f>(M402*'RAP TEMPLATE-GAS AVAILABILITY'!O401+N402*'RAP TEMPLATE-GAS AVAILABILITY'!P401+O402*'RAP TEMPLATE-GAS AVAILABILITY'!Q401+P402*'RAP TEMPLATE-GAS AVAILABILITY'!R401)/('RAP TEMPLATE-GAS AVAILABILITY'!O401+'RAP TEMPLATE-GAS AVAILABILITY'!P401+'RAP TEMPLATE-GAS AVAILABILITY'!Q401+'RAP TEMPLATE-GAS AVAILABILITY'!R401)</f>
        <v>16.852863309352522</v>
      </c>
    </row>
    <row r="403" spans="1:29" ht="15.75" x14ac:dyDescent="0.25">
      <c r="A403" s="33">
        <v>53174</v>
      </c>
      <c r="B403" s="14">
        <f>CHOOSE(CONTROL!$C$42, 16.6303, 16.6303) * CHOOSE(CONTROL!$C$21, $C$9, 100%, $E$9)</f>
        <v>16.630299999999998</v>
      </c>
      <c r="C403" s="14">
        <f>CHOOSE(CONTROL!$C$42, 16.6382, 16.6382) * CHOOSE(CONTROL!$C$21, $C$9, 100%, $E$9)</f>
        <v>16.638200000000001</v>
      </c>
      <c r="D403" s="14">
        <f>CHOOSE(CONTROL!$C$42, 16.8358, 16.8358) * CHOOSE(CONTROL!$C$21, $C$9, 100%, $E$9)</f>
        <v>16.835799999999999</v>
      </c>
      <c r="E403" s="14">
        <f>CHOOSE(CONTROL!$C$42, 16.8669, 16.8669) * CHOOSE(CONTROL!$C$21, $C$9, 100%, $E$9)</f>
        <v>16.866900000000001</v>
      </c>
      <c r="F403" s="14">
        <f>CHOOSE(CONTROL!$C$42, 16.6145, 16.6145)*CHOOSE(CONTROL!$C$21, $C$9, 100%, $E$9)</f>
        <v>16.6145</v>
      </c>
      <c r="G403" s="14">
        <f>CHOOSE(CONTROL!$C$42, 16.6308, 16.6308)*CHOOSE(CONTROL!$C$21, $C$9, 100%, $E$9)</f>
        <v>16.630800000000001</v>
      </c>
      <c r="H403" s="14">
        <f>CHOOSE(CONTROL!$C$42, 16.8555, 16.8555) * CHOOSE(CONTROL!$C$21, $C$9, 100%, $E$9)</f>
        <v>16.855499999999999</v>
      </c>
      <c r="I403" s="14">
        <f>CHOOSE(CONTROL!$C$42, 16.6416, 16.6416)* CHOOSE(CONTROL!$C$21, $C$9, 100%, $E$9)</f>
        <v>16.6416</v>
      </c>
      <c r="J403" s="14">
        <f>CHOOSE(CONTROL!$C$42, 16.6075, 16.6075)* CHOOSE(CONTROL!$C$21, $C$9, 100%, $E$9)</f>
        <v>16.607500000000002</v>
      </c>
      <c r="K403" s="53">
        <f>CHOOSE(CONTROL!$C$42, 16.6377, 16.6377) * CHOOSE(CONTROL!$C$21, $C$9, 100%, $E$9)</f>
        <v>16.637699999999999</v>
      </c>
      <c r="L403" s="14">
        <f>CHOOSE(CONTROL!$C$42, 17.4425, 17.4425) * CHOOSE(CONTROL!$C$21, $C$9, 100%, $E$9)</f>
        <v>17.442499999999999</v>
      </c>
      <c r="M403" s="14">
        <f>CHOOSE(CONTROL!$C$42, 16.4537, 16.4537) * CHOOSE(CONTROL!$C$21, $C$9, 100%, $E$9)</f>
        <v>16.453700000000001</v>
      </c>
      <c r="N403" s="14">
        <f>CHOOSE(CONTROL!$C$42, 16.4699, 16.4699) * CHOOSE(CONTROL!$C$21, $C$9, 100%, $E$9)</f>
        <v>16.469899999999999</v>
      </c>
      <c r="O403" s="14">
        <f>CHOOSE(CONTROL!$C$42, 16.6993, 16.6993) * CHOOSE(CONTROL!$C$21, $C$9, 100%, $E$9)</f>
        <v>16.699300000000001</v>
      </c>
      <c r="P403" s="14">
        <f>CHOOSE(CONTROL!$C$42, 16.4876, 16.4876) * CHOOSE(CONTROL!$C$21, $C$9, 100%, $E$9)</f>
        <v>16.4876</v>
      </c>
      <c r="Q403" s="14">
        <f>CHOOSE(CONTROL!$C$42, 17.2946, 17.2946) * CHOOSE(CONTROL!$C$21, $C$9, 100%, $E$9)</f>
        <v>17.294599999999999</v>
      </c>
      <c r="R403" s="14">
        <f>CHOOSE(CONTROL!$C$42, 17.9248, 17.9248) * CHOOSE(CONTROL!$C$21, $C$9, 100%, $E$9)</f>
        <v>17.924800000000001</v>
      </c>
      <c r="S403" s="14">
        <f>CHOOSE(CONTROL!$C$42, 16.1454, 16.1454) * CHOOSE(CONTROL!$C$21, $C$9, 100%, $E$9)</f>
        <v>16.145399999999999</v>
      </c>
      <c r="T40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03" s="57">
        <f>(1000*CHOOSE(CONTROL!$C$42, 695, 695)*CHOOSE(CONTROL!$C$42, 0.5599, 0.5599)*CHOOSE(CONTROL!$C$42, 31, 31))/1000000</f>
        <v>12.063045499999998</v>
      </c>
      <c r="V403" s="57">
        <f>(1000*CHOOSE(CONTROL!$C$42, 500, 500)*CHOOSE(CONTROL!$C$42, 0.275, 0.275)*CHOOSE(CONTROL!$C$42, 31, 31))/1000000</f>
        <v>4.2625000000000002</v>
      </c>
      <c r="W403" s="57">
        <f>(1000*CHOOSE(CONTROL!$C$42, 0.1146, 0.1146)*CHOOSE(CONTROL!$C$42, 121.5, 121.5)*CHOOSE(CONTROL!$C$42, 31, 31))/1000000</f>
        <v>0.43164089999999994</v>
      </c>
      <c r="X403" s="57">
        <f>(31*0.1790888*245000/1000000)+(31*0.2374*100000/1000000)</f>
        <v>2.0961194359999999</v>
      </c>
      <c r="Y403" s="57"/>
      <c r="Z403" s="14"/>
      <c r="AA403" s="56"/>
      <c r="AB403" s="50">
        <f>(B403*194.205+C403*267.466+D403*133.845+E403*53.484+F403*40+G403*185+H403*0+I403*100+J403*300)/(194.205+267.466+133.845+53.484+0+40+185+100+300)</f>
        <v>16.65857546569859</v>
      </c>
      <c r="AC403" s="45">
        <f>(M403*'RAP TEMPLATE-GAS AVAILABILITY'!O402+N403*'RAP TEMPLATE-GAS AVAILABILITY'!P402+O403*'RAP TEMPLATE-GAS AVAILABILITY'!Q402+P403*'RAP TEMPLATE-GAS AVAILABILITY'!R402)/('RAP TEMPLATE-GAS AVAILABILITY'!O402+'RAP TEMPLATE-GAS AVAILABILITY'!P402+'RAP TEMPLATE-GAS AVAILABILITY'!Q402+'RAP TEMPLATE-GAS AVAILABILITY'!R402)</f>
        <v>16.53121654676259</v>
      </c>
    </row>
    <row r="404" spans="1:29" ht="15.75" x14ac:dyDescent="0.25">
      <c r="A404" s="33">
        <v>53205</v>
      </c>
      <c r="B404" s="14">
        <f>CHOOSE(CONTROL!$C$42, 15.8091, 15.8091) * CHOOSE(CONTROL!$C$21, $C$9, 100%, $E$9)</f>
        <v>15.809100000000001</v>
      </c>
      <c r="C404" s="14">
        <f>CHOOSE(CONTROL!$C$42, 15.817, 15.817) * CHOOSE(CONTROL!$C$21, $C$9, 100%, $E$9)</f>
        <v>15.817</v>
      </c>
      <c r="D404" s="14">
        <f>CHOOSE(CONTROL!$C$42, 16.0146, 16.0146) * CHOOSE(CONTROL!$C$21, $C$9, 100%, $E$9)</f>
        <v>16.014600000000002</v>
      </c>
      <c r="E404" s="14">
        <f>CHOOSE(CONTROL!$C$42, 16.0457, 16.0457) * CHOOSE(CONTROL!$C$21, $C$9, 100%, $E$9)</f>
        <v>16.0457</v>
      </c>
      <c r="F404" s="14">
        <f>CHOOSE(CONTROL!$C$42, 15.7935, 15.7935)*CHOOSE(CONTROL!$C$21, $C$9, 100%, $E$9)</f>
        <v>15.7935</v>
      </c>
      <c r="G404" s="14">
        <f>CHOOSE(CONTROL!$C$42, 15.8099, 15.8099)*CHOOSE(CONTROL!$C$21, $C$9, 100%, $E$9)</f>
        <v>15.809900000000001</v>
      </c>
      <c r="H404" s="14">
        <f>CHOOSE(CONTROL!$C$42, 16.0344, 16.0344) * CHOOSE(CONTROL!$C$21, $C$9, 100%, $E$9)</f>
        <v>16.034400000000002</v>
      </c>
      <c r="I404" s="14">
        <f>CHOOSE(CONTROL!$C$42, 15.8204, 15.8204)* CHOOSE(CONTROL!$C$21, $C$9, 100%, $E$9)</f>
        <v>15.820399999999999</v>
      </c>
      <c r="J404" s="14">
        <f>CHOOSE(CONTROL!$C$42, 15.7865, 15.7865)* CHOOSE(CONTROL!$C$21, $C$9, 100%, $E$9)</f>
        <v>15.7865</v>
      </c>
      <c r="K404" s="53">
        <f>CHOOSE(CONTROL!$C$42, 15.8166, 15.8166) * CHOOSE(CONTROL!$C$21, $C$9, 100%, $E$9)</f>
        <v>15.816599999999999</v>
      </c>
      <c r="L404" s="14">
        <f>CHOOSE(CONTROL!$C$42, 16.6214, 16.6214) * CHOOSE(CONTROL!$C$21, $C$9, 100%, $E$9)</f>
        <v>16.621400000000001</v>
      </c>
      <c r="M404" s="14">
        <f>CHOOSE(CONTROL!$C$42, 15.641, 15.641) * CHOOSE(CONTROL!$C$21, $C$9, 100%, $E$9)</f>
        <v>15.641</v>
      </c>
      <c r="N404" s="14">
        <f>CHOOSE(CONTROL!$C$42, 15.6572, 15.6572) * CHOOSE(CONTROL!$C$21, $C$9, 100%, $E$9)</f>
        <v>15.6572</v>
      </c>
      <c r="O404" s="14">
        <f>CHOOSE(CONTROL!$C$42, 15.8864, 15.8864) * CHOOSE(CONTROL!$C$21, $C$9, 100%, $E$9)</f>
        <v>15.8864</v>
      </c>
      <c r="P404" s="14">
        <f>CHOOSE(CONTROL!$C$42, 15.6747, 15.6747) * CHOOSE(CONTROL!$C$21, $C$9, 100%, $E$9)</f>
        <v>15.6747</v>
      </c>
      <c r="Q404" s="14">
        <f>CHOOSE(CONTROL!$C$42, 16.4817, 16.4817) * CHOOSE(CONTROL!$C$21, $C$9, 100%, $E$9)</f>
        <v>16.4817</v>
      </c>
      <c r="R404" s="14">
        <f>CHOOSE(CONTROL!$C$42, 17.1099, 17.1099) * CHOOSE(CONTROL!$C$21, $C$9, 100%, $E$9)</f>
        <v>17.1099</v>
      </c>
      <c r="S404" s="14">
        <f>CHOOSE(CONTROL!$C$42, 15.3479, 15.3479) * CHOOSE(CONTROL!$C$21, $C$9, 100%, $E$9)</f>
        <v>15.347899999999999</v>
      </c>
      <c r="T40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04" s="57">
        <f>(1000*CHOOSE(CONTROL!$C$42, 695, 695)*CHOOSE(CONTROL!$C$42, 0.5599, 0.5599)*CHOOSE(CONTROL!$C$42, 31, 31))/1000000</f>
        <v>12.063045499999998</v>
      </c>
      <c r="V404" s="57">
        <f>(1000*CHOOSE(CONTROL!$C$42, 500, 500)*CHOOSE(CONTROL!$C$42, 0.275, 0.275)*CHOOSE(CONTROL!$C$42, 31, 31))/1000000</f>
        <v>4.2625000000000002</v>
      </c>
      <c r="W404" s="57">
        <f>(1000*CHOOSE(CONTROL!$C$42, 0.1146, 0.1146)*CHOOSE(CONTROL!$C$42, 121.5, 121.5)*CHOOSE(CONTROL!$C$42, 31, 31))/1000000</f>
        <v>0.43164089999999994</v>
      </c>
      <c r="X404" s="57">
        <f>(31*0.1790888*245000/1000000)+(31*0.2374*100000/1000000)</f>
        <v>2.0961194359999999</v>
      </c>
      <c r="Y404" s="57"/>
      <c r="Z404" s="14"/>
      <c r="AA404" s="56"/>
      <c r="AB404" s="50">
        <f>(B404*194.205+C404*267.466+D404*133.845+E404*53.484+F404*40+G404*185+H404*0+I404*100+J404*300)/(194.205+267.466+133.845+53.484+0+40+185+100+300)</f>
        <v>15.837472404474099</v>
      </c>
      <c r="AC404" s="45">
        <f>(M404*'RAP TEMPLATE-GAS AVAILABILITY'!O403+N404*'RAP TEMPLATE-GAS AVAILABILITY'!P403+O404*'RAP TEMPLATE-GAS AVAILABILITY'!Q403+P404*'RAP TEMPLATE-GAS AVAILABILITY'!R403)/('RAP TEMPLATE-GAS AVAILABILITY'!O403+'RAP TEMPLATE-GAS AVAILABILITY'!P403+'RAP TEMPLATE-GAS AVAILABILITY'!Q403+'RAP TEMPLATE-GAS AVAILABILITY'!R403)</f>
        <v>15.718431654676259</v>
      </c>
    </row>
    <row r="405" spans="1:29" ht="15.75" x14ac:dyDescent="0.25">
      <c r="A405" s="33">
        <v>53235</v>
      </c>
      <c r="B405" s="14">
        <f>CHOOSE(CONTROL!$C$42, 14.8054, 14.8054) * CHOOSE(CONTROL!$C$21, $C$9, 100%, $E$9)</f>
        <v>14.805400000000001</v>
      </c>
      <c r="C405" s="14">
        <f>CHOOSE(CONTROL!$C$42, 14.8133, 14.8133) * CHOOSE(CONTROL!$C$21, $C$9, 100%, $E$9)</f>
        <v>14.8133</v>
      </c>
      <c r="D405" s="14">
        <f>CHOOSE(CONTROL!$C$42, 15.0109, 15.0109) * CHOOSE(CONTROL!$C$21, $C$9, 100%, $E$9)</f>
        <v>15.010899999999999</v>
      </c>
      <c r="E405" s="14">
        <f>CHOOSE(CONTROL!$C$42, 15.042, 15.042) * CHOOSE(CONTROL!$C$21, $C$9, 100%, $E$9)</f>
        <v>15.042</v>
      </c>
      <c r="F405" s="14">
        <f>CHOOSE(CONTROL!$C$42, 14.7897, 14.7897)*CHOOSE(CONTROL!$C$21, $C$9, 100%, $E$9)</f>
        <v>14.7897</v>
      </c>
      <c r="G405" s="14">
        <f>CHOOSE(CONTROL!$C$42, 14.8061, 14.8061)*CHOOSE(CONTROL!$C$21, $C$9, 100%, $E$9)</f>
        <v>14.806100000000001</v>
      </c>
      <c r="H405" s="14">
        <f>CHOOSE(CONTROL!$C$42, 15.0306, 15.0306) * CHOOSE(CONTROL!$C$21, $C$9, 100%, $E$9)</f>
        <v>15.0306</v>
      </c>
      <c r="I405" s="14">
        <f>CHOOSE(CONTROL!$C$42, 14.8167, 14.8167)* CHOOSE(CONTROL!$C$21, $C$9, 100%, $E$9)</f>
        <v>14.816700000000001</v>
      </c>
      <c r="J405" s="14">
        <f>CHOOSE(CONTROL!$C$42, 14.7827, 14.7827)* CHOOSE(CONTROL!$C$21, $C$9, 100%, $E$9)</f>
        <v>14.7827</v>
      </c>
      <c r="K405" s="53">
        <f>CHOOSE(CONTROL!$C$42, 14.8128, 14.8128) * CHOOSE(CONTROL!$C$21, $C$9, 100%, $E$9)</f>
        <v>14.812799999999999</v>
      </c>
      <c r="L405" s="14">
        <f>CHOOSE(CONTROL!$C$42, 15.6176, 15.6176) * CHOOSE(CONTROL!$C$21, $C$9, 100%, $E$9)</f>
        <v>15.617599999999999</v>
      </c>
      <c r="M405" s="14">
        <f>CHOOSE(CONTROL!$C$42, 14.6474, 14.6474) * CHOOSE(CONTROL!$C$21, $C$9, 100%, $E$9)</f>
        <v>14.647399999999999</v>
      </c>
      <c r="N405" s="14">
        <f>CHOOSE(CONTROL!$C$42, 14.6635, 14.6635) * CHOOSE(CONTROL!$C$21, $C$9, 100%, $E$9)</f>
        <v>14.663500000000001</v>
      </c>
      <c r="O405" s="14">
        <f>CHOOSE(CONTROL!$C$42, 14.8928, 14.8928) * CHOOSE(CONTROL!$C$21, $C$9, 100%, $E$9)</f>
        <v>14.892799999999999</v>
      </c>
      <c r="P405" s="14">
        <f>CHOOSE(CONTROL!$C$42, 14.6811, 14.6811) * CHOOSE(CONTROL!$C$21, $C$9, 100%, $E$9)</f>
        <v>14.681100000000001</v>
      </c>
      <c r="Q405" s="14">
        <f>CHOOSE(CONTROL!$C$42, 15.4881, 15.4881) * CHOOSE(CONTROL!$C$21, $C$9, 100%, $E$9)</f>
        <v>15.488099999999999</v>
      </c>
      <c r="R405" s="14">
        <f>CHOOSE(CONTROL!$C$42, 16.1138, 16.1138) * CHOOSE(CONTROL!$C$21, $C$9, 100%, $E$9)</f>
        <v>16.113800000000001</v>
      </c>
      <c r="S405" s="14">
        <f>CHOOSE(CONTROL!$C$42, 14.3732, 14.3732) * CHOOSE(CONTROL!$C$21, $C$9, 100%, $E$9)</f>
        <v>14.373200000000001</v>
      </c>
      <c r="T40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05" s="57">
        <f>(1000*CHOOSE(CONTROL!$C$42, 695, 695)*CHOOSE(CONTROL!$C$42, 0.5599, 0.5599)*CHOOSE(CONTROL!$C$42, 30, 30))/1000000</f>
        <v>11.673914999999997</v>
      </c>
      <c r="V405" s="57">
        <f>(1000*CHOOSE(CONTROL!$C$42, 500, 500)*CHOOSE(CONTROL!$C$42, 0.275, 0.275)*CHOOSE(CONTROL!$C$42, 30, 30))/1000000</f>
        <v>4.125</v>
      </c>
      <c r="W405" s="57">
        <f>(1000*CHOOSE(CONTROL!$C$42, 0.1146, 0.1146)*CHOOSE(CONTROL!$C$42, 121.5, 121.5)*CHOOSE(CONTROL!$C$42, 30, 30))/1000000</f>
        <v>0.417717</v>
      </c>
      <c r="X405" s="57">
        <f>(30*0.1790888*245000/1000000)+(30*0.2374*100000/1000000)</f>
        <v>2.0285026799999999</v>
      </c>
      <c r="Y405" s="57"/>
      <c r="Z405" s="14"/>
      <c r="AA405" s="56"/>
      <c r="AB405" s="50">
        <f>(B405*194.205+C405*267.466+D405*133.845+E405*53.484+F405*40+G405*185+H405*0+I405*100+J405*300)/(194.205+267.466+133.845+53.484+0+40+185+100+300)</f>
        <v>14.833731195682889</v>
      </c>
      <c r="AC405" s="45">
        <f>(M405*'RAP TEMPLATE-GAS AVAILABILITY'!O404+N405*'RAP TEMPLATE-GAS AVAILABILITY'!P404+O405*'RAP TEMPLATE-GAS AVAILABILITY'!Q404+P405*'RAP TEMPLATE-GAS AVAILABILITY'!R404)/('RAP TEMPLATE-GAS AVAILABILITY'!O404+'RAP TEMPLATE-GAS AVAILABILITY'!P404+'RAP TEMPLATE-GAS AVAILABILITY'!Q404+'RAP TEMPLATE-GAS AVAILABILITY'!R404)</f>
        <v>14.724808633093526</v>
      </c>
    </row>
    <row r="406" spans="1:29" ht="15.75" x14ac:dyDescent="0.25">
      <c r="A406" s="33">
        <v>53266</v>
      </c>
      <c r="B406" s="14">
        <f>CHOOSE(CONTROL!$C$42, 14.5031, 14.5031) * CHOOSE(CONTROL!$C$21, $C$9, 100%, $E$9)</f>
        <v>14.5031</v>
      </c>
      <c r="C406" s="14">
        <f>CHOOSE(CONTROL!$C$42, 14.5083, 14.5083) * CHOOSE(CONTROL!$C$21, $C$9, 100%, $E$9)</f>
        <v>14.5083</v>
      </c>
      <c r="D406" s="14">
        <f>CHOOSE(CONTROL!$C$42, 14.7109, 14.7109) * CHOOSE(CONTROL!$C$21, $C$9, 100%, $E$9)</f>
        <v>14.710900000000001</v>
      </c>
      <c r="E406" s="14">
        <f>CHOOSE(CONTROL!$C$42, 14.7397, 14.7397) * CHOOSE(CONTROL!$C$21, $C$9, 100%, $E$9)</f>
        <v>14.739699999999999</v>
      </c>
      <c r="F406" s="14">
        <f>CHOOSE(CONTROL!$C$42, 14.4895, 14.4895)*CHOOSE(CONTROL!$C$21, $C$9, 100%, $E$9)</f>
        <v>14.4895</v>
      </c>
      <c r="G406" s="14">
        <f>CHOOSE(CONTROL!$C$42, 14.5055, 14.5055)*CHOOSE(CONTROL!$C$21, $C$9, 100%, $E$9)</f>
        <v>14.5055</v>
      </c>
      <c r="H406" s="14">
        <f>CHOOSE(CONTROL!$C$42, 14.7301, 14.7301) * CHOOSE(CONTROL!$C$21, $C$9, 100%, $E$9)</f>
        <v>14.7301</v>
      </c>
      <c r="I406" s="14">
        <f>CHOOSE(CONTROL!$C$42, 14.5162, 14.5162)* CHOOSE(CONTROL!$C$21, $C$9, 100%, $E$9)</f>
        <v>14.5162</v>
      </c>
      <c r="J406" s="14">
        <f>CHOOSE(CONTROL!$C$42, 14.4825, 14.4825)* CHOOSE(CONTROL!$C$21, $C$9, 100%, $E$9)</f>
        <v>14.4825</v>
      </c>
      <c r="K406" s="53">
        <f>CHOOSE(CONTROL!$C$42, 14.5123, 14.5123) * CHOOSE(CONTROL!$C$21, $C$9, 100%, $E$9)</f>
        <v>14.5123</v>
      </c>
      <c r="L406" s="14">
        <f>CHOOSE(CONTROL!$C$42, 15.3171, 15.3171) * CHOOSE(CONTROL!$C$21, $C$9, 100%, $E$9)</f>
        <v>15.3171</v>
      </c>
      <c r="M406" s="14">
        <f>CHOOSE(CONTROL!$C$42, 14.3501, 14.3501) * CHOOSE(CONTROL!$C$21, $C$9, 100%, $E$9)</f>
        <v>14.350099999999999</v>
      </c>
      <c r="N406" s="14">
        <f>CHOOSE(CONTROL!$C$42, 14.366, 14.366) * CHOOSE(CONTROL!$C$21, $C$9, 100%, $E$9)</f>
        <v>14.366</v>
      </c>
      <c r="O406" s="14">
        <f>CHOOSE(CONTROL!$C$42, 14.5953, 14.5953) * CHOOSE(CONTROL!$C$21, $C$9, 100%, $E$9)</f>
        <v>14.5953</v>
      </c>
      <c r="P406" s="14">
        <f>CHOOSE(CONTROL!$C$42, 14.3836, 14.3836) * CHOOSE(CONTROL!$C$21, $C$9, 100%, $E$9)</f>
        <v>14.383599999999999</v>
      </c>
      <c r="Q406" s="14">
        <f>CHOOSE(CONTROL!$C$42, 15.1906, 15.1906) * CHOOSE(CONTROL!$C$21, $C$9, 100%, $E$9)</f>
        <v>15.1906</v>
      </c>
      <c r="R406" s="14">
        <f>CHOOSE(CONTROL!$C$42, 15.8156, 15.8156) * CHOOSE(CONTROL!$C$21, $C$9, 100%, $E$9)</f>
        <v>15.8156</v>
      </c>
      <c r="S406" s="14">
        <f>CHOOSE(CONTROL!$C$42, 14.0814, 14.0814) * CHOOSE(CONTROL!$C$21, $C$9, 100%, $E$9)</f>
        <v>14.0814</v>
      </c>
      <c r="T40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06" s="57">
        <f>(1000*CHOOSE(CONTROL!$C$42, 695, 695)*CHOOSE(CONTROL!$C$42, 0.5599, 0.5599)*CHOOSE(CONTROL!$C$42, 31, 31))/1000000</f>
        <v>12.063045499999998</v>
      </c>
      <c r="V406" s="57">
        <f>(1000*CHOOSE(CONTROL!$C$42, 500, 500)*CHOOSE(CONTROL!$C$42, 0.275, 0.275)*CHOOSE(CONTROL!$C$42, 31, 31))/1000000</f>
        <v>4.2625000000000002</v>
      </c>
      <c r="W406" s="57">
        <f>(1000*CHOOSE(CONTROL!$C$42, 0.1146, 0.1146)*CHOOSE(CONTROL!$C$42, 121.5, 121.5)*CHOOSE(CONTROL!$C$42, 31, 31))/1000000</f>
        <v>0.43164089999999994</v>
      </c>
      <c r="X406" s="57">
        <f>(31*0.1790888*245000/1000000)+(31*0.2374*100000/1000000)</f>
        <v>2.0961194359999999</v>
      </c>
      <c r="Y406" s="57"/>
      <c r="Z406" s="14"/>
      <c r="AA406" s="56"/>
      <c r="AB406" s="50">
        <f>(B406*131.881+C406*277.167+D406*79.08+E406*125.872+F406*40+G406*185+H406*0+I406*100+J406*300)/(131.881+277.167+79.08+125.872+0+40+185+100+300)</f>
        <v>14.537551499273608</v>
      </c>
      <c r="AC406" s="45">
        <f>(M406*'RAP TEMPLATE-GAS AVAILABILITY'!O405+N406*'RAP TEMPLATE-GAS AVAILABILITY'!P405+O406*'RAP TEMPLATE-GAS AVAILABILITY'!Q405+P406*'RAP TEMPLATE-GAS AVAILABILITY'!R405)/('RAP TEMPLATE-GAS AVAILABILITY'!O405+'RAP TEMPLATE-GAS AVAILABILITY'!P405+'RAP TEMPLATE-GAS AVAILABILITY'!Q405+'RAP TEMPLATE-GAS AVAILABILITY'!R405)</f>
        <v>14.427377697841727</v>
      </c>
    </row>
    <row r="407" spans="1:29" ht="15.75" x14ac:dyDescent="0.25">
      <c r="A407" s="33">
        <v>53296</v>
      </c>
      <c r="B407" s="14">
        <f>CHOOSE(CONTROL!$C$42, 14.8847, 14.8847) * CHOOSE(CONTROL!$C$21, $C$9, 100%, $E$9)</f>
        <v>14.8847</v>
      </c>
      <c r="C407" s="14">
        <f>CHOOSE(CONTROL!$C$42, 14.8896, 14.8896) * CHOOSE(CONTROL!$C$21, $C$9, 100%, $E$9)</f>
        <v>14.8896</v>
      </c>
      <c r="D407" s="14">
        <f>CHOOSE(CONTROL!$C$42, 14.9527, 14.9527) * CHOOSE(CONTROL!$C$21, $C$9, 100%, $E$9)</f>
        <v>14.9527</v>
      </c>
      <c r="E407" s="14">
        <f>CHOOSE(CONTROL!$C$42, 14.9865, 14.9865) * CHOOSE(CONTROL!$C$21, $C$9, 100%, $E$9)</f>
        <v>14.986499999999999</v>
      </c>
      <c r="F407" s="14">
        <f>CHOOSE(CONTROL!$C$42, 14.8854, 14.8854)*CHOOSE(CONTROL!$C$21, $C$9, 100%, $E$9)</f>
        <v>14.885400000000001</v>
      </c>
      <c r="G407" s="14">
        <f>CHOOSE(CONTROL!$C$42, 14.9017, 14.9017)*CHOOSE(CONTROL!$C$21, $C$9, 100%, $E$9)</f>
        <v>14.9017</v>
      </c>
      <c r="H407" s="14">
        <f>CHOOSE(CONTROL!$C$42, 14.9757, 14.9757) * CHOOSE(CONTROL!$C$21, $C$9, 100%, $E$9)</f>
        <v>14.9757</v>
      </c>
      <c r="I407" s="14">
        <f>CHOOSE(CONTROL!$C$42, 14.8982, 14.8982)* CHOOSE(CONTROL!$C$21, $C$9, 100%, $E$9)</f>
        <v>14.898199999999999</v>
      </c>
      <c r="J407" s="14">
        <f>CHOOSE(CONTROL!$C$42, 14.8784, 14.8784)* CHOOSE(CONTROL!$C$21, $C$9, 100%, $E$9)</f>
        <v>14.878399999999999</v>
      </c>
      <c r="K407" s="53">
        <f>CHOOSE(CONTROL!$C$42, 14.8943, 14.8943) * CHOOSE(CONTROL!$C$21, $C$9, 100%, $E$9)</f>
        <v>14.894299999999999</v>
      </c>
      <c r="L407" s="14">
        <f>CHOOSE(CONTROL!$C$42, 15.5627, 15.5627) * CHOOSE(CONTROL!$C$21, $C$9, 100%, $E$9)</f>
        <v>15.5627</v>
      </c>
      <c r="M407" s="14">
        <f>CHOOSE(CONTROL!$C$42, 14.742, 14.742) * CHOOSE(CONTROL!$C$21, $C$9, 100%, $E$9)</f>
        <v>14.742000000000001</v>
      </c>
      <c r="N407" s="14">
        <f>CHOOSE(CONTROL!$C$42, 14.7582, 14.7582) * CHOOSE(CONTROL!$C$21, $C$9, 100%, $E$9)</f>
        <v>14.7582</v>
      </c>
      <c r="O407" s="14">
        <f>CHOOSE(CONTROL!$C$42, 14.8384, 14.8384) * CHOOSE(CONTROL!$C$21, $C$9, 100%, $E$9)</f>
        <v>14.8384</v>
      </c>
      <c r="P407" s="14">
        <f>CHOOSE(CONTROL!$C$42, 14.7617, 14.7617) * CHOOSE(CONTROL!$C$21, $C$9, 100%, $E$9)</f>
        <v>14.761699999999999</v>
      </c>
      <c r="Q407" s="14">
        <f>CHOOSE(CONTROL!$C$42, 15.4337, 15.4337) * CHOOSE(CONTROL!$C$21, $C$9, 100%, $E$9)</f>
        <v>15.4337</v>
      </c>
      <c r="R407" s="14">
        <f>CHOOSE(CONTROL!$C$42, 16.0593, 16.0593) * CHOOSE(CONTROL!$C$21, $C$9, 100%, $E$9)</f>
        <v>16.0593</v>
      </c>
      <c r="S407" s="14">
        <f>CHOOSE(CONTROL!$C$42, 14.4524, 14.4524) * CHOOSE(CONTROL!$C$21, $C$9, 100%, $E$9)</f>
        <v>14.452400000000001</v>
      </c>
      <c r="T40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07" s="57">
        <f>(1000*CHOOSE(CONTROL!$C$42, 695, 695)*CHOOSE(CONTROL!$C$42, 0.5599, 0.5599)*CHOOSE(CONTROL!$C$42, 30, 30))/1000000</f>
        <v>11.673914999999997</v>
      </c>
      <c r="V407" s="57">
        <f>(1000*CHOOSE(CONTROL!$C$42, 500, 500)*CHOOSE(CONTROL!$C$42, 0.275, 0.275)*CHOOSE(CONTROL!$C$42, 30, 30))/1000000</f>
        <v>4.125</v>
      </c>
      <c r="W407" s="57">
        <f>(1000*CHOOSE(CONTROL!$C$42, 0.1146, 0.1146)*CHOOSE(CONTROL!$C$42, 121.5, 121.5)*CHOOSE(CONTROL!$C$42, 30, 30))/1000000</f>
        <v>0.417717</v>
      </c>
      <c r="X407" s="57">
        <f>(30*0.1790888*100000/1000000)+(30*0.2374*100000/1000000)</f>
        <v>1.2494664</v>
      </c>
      <c r="Y407" s="57"/>
      <c r="Z407" s="14"/>
      <c r="AA407" s="56"/>
      <c r="AB407" s="50">
        <f>(B407*122.58+C407*297.941+D407*89.177+E407*40.302+F407*40+G407*160+H407*0+I407*100+J407*300)/(122.58+297.941+89.177+40.302+0+40+160+100+300)</f>
        <v>14.896730165652173</v>
      </c>
      <c r="AC407" s="45">
        <f>(M407*'RAP TEMPLATE-GAS AVAILABILITY'!O406+N407*'RAP TEMPLATE-GAS AVAILABILITY'!P406+O407*'RAP TEMPLATE-GAS AVAILABILITY'!Q406+P407*'RAP TEMPLATE-GAS AVAILABILITY'!R406)/('RAP TEMPLATE-GAS AVAILABILITY'!O406+'RAP TEMPLATE-GAS AVAILABILITY'!P406+'RAP TEMPLATE-GAS AVAILABILITY'!Q406+'RAP TEMPLATE-GAS AVAILABILITY'!R406)</f>
        <v>14.789458992805757</v>
      </c>
    </row>
    <row r="408" spans="1:29" ht="15.75" x14ac:dyDescent="0.25">
      <c r="A408" s="33">
        <v>53327</v>
      </c>
      <c r="B408" s="14">
        <f>CHOOSE(CONTROL!$C$42, 15.8993, 15.8993) * CHOOSE(CONTROL!$C$21, $C$9, 100%, $E$9)</f>
        <v>15.8993</v>
      </c>
      <c r="C408" s="14">
        <f>CHOOSE(CONTROL!$C$42, 15.9042, 15.9042) * CHOOSE(CONTROL!$C$21, $C$9, 100%, $E$9)</f>
        <v>15.904199999999999</v>
      </c>
      <c r="D408" s="14">
        <f>CHOOSE(CONTROL!$C$42, 15.9673, 15.9673) * CHOOSE(CONTROL!$C$21, $C$9, 100%, $E$9)</f>
        <v>15.9673</v>
      </c>
      <c r="E408" s="14">
        <f>CHOOSE(CONTROL!$C$42, 16.0011, 16.0011) * CHOOSE(CONTROL!$C$21, $C$9, 100%, $E$9)</f>
        <v>16.001100000000001</v>
      </c>
      <c r="F408" s="14">
        <f>CHOOSE(CONTROL!$C$42, 15.902, 15.902)*CHOOSE(CONTROL!$C$21, $C$9, 100%, $E$9)</f>
        <v>15.901999999999999</v>
      </c>
      <c r="G408" s="14">
        <f>CHOOSE(CONTROL!$C$42, 15.9189, 15.9189)*CHOOSE(CONTROL!$C$21, $C$9, 100%, $E$9)</f>
        <v>15.918900000000001</v>
      </c>
      <c r="H408" s="14">
        <f>CHOOSE(CONTROL!$C$42, 15.9903, 15.9903) * CHOOSE(CONTROL!$C$21, $C$9, 100%, $E$9)</f>
        <v>15.9903</v>
      </c>
      <c r="I408" s="14">
        <f>CHOOSE(CONTROL!$C$42, 15.9128, 15.9128)* CHOOSE(CONTROL!$C$21, $C$9, 100%, $E$9)</f>
        <v>15.912800000000001</v>
      </c>
      <c r="J408" s="14">
        <f>CHOOSE(CONTROL!$C$42, 15.895, 15.895)* CHOOSE(CONTROL!$C$21, $C$9, 100%, $E$9)</f>
        <v>15.895</v>
      </c>
      <c r="K408" s="53">
        <f>CHOOSE(CONTROL!$C$42, 15.9089, 15.9089) * CHOOSE(CONTROL!$C$21, $C$9, 100%, $E$9)</f>
        <v>15.908899999999999</v>
      </c>
      <c r="L408" s="14">
        <f>CHOOSE(CONTROL!$C$42, 16.5773, 16.5773) * CHOOSE(CONTROL!$C$21, $C$9, 100%, $E$9)</f>
        <v>16.577300000000001</v>
      </c>
      <c r="M408" s="14">
        <f>CHOOSE(CONTROL!$C$42, 15.7485, 15.7485) * CHOOSE(CONTROL!$C$21, $C$9, 100%, $E$9)</f>
        <v>15.7485</v>
      </c>
      <c r="N408" s="14">
        <f>CHOOSE(CONTROL!$C$42, 15.7651, 15.7651) * CHOOSE(CONTROL!$C$21, $C$9, 100%, $E$9)</f>
        <v>15.7651</v>
      </c>
      <c r="O408" s="14">
        <f>CHOOSE(CONTROL!$C$42, 15.8428, 15.8428) * CHOOSE(CONTROL!$C$21, $C$9, 100%, $E$9)</f>
        <v>15.8428</v>
      </c>
      <c r="P408" s="14">
        <f>CHOOSE(CONTROL!$C$42, 15.7661, 15.7661) * CHOOSE(CONTROL!$C$21, $C$9, 100%, $E$9)</f>
        <v>15.7661</v>
      </c>
      <c r="Q408" s="14">
        <f>CHOOSE(CONTROL!$C$42, 16.4381, 16.4381) * CHOOSE(CONTROL!$C$21, $C$9, 100%, $E$9)</f>
        <v>16.438099999999999</v>
      </c>
      <c r="R408" s="14">
        <f>CHOOSE(CONTROL!$C$42, 17.0661, 17.0661) * CHOOSE(CONTROL!$C$21, $C$9, 100%, $E$9)</f>
        <v>17.066099999999999</v>
      </c>
      <c r="S408" s="14">
        <f>CHOOSE(CONTROL!$C$42, 15.4377, 15.4377) * CHOOSE(CONTROL!$C$21, $C$9, 100%, $E$9)</f>
        <v>15.4377</v>
      </c>
      <c r="T40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08" s="57">
        <f>(1000*CHOOSE(CONTROL!$C$42, 695, 695)*CHOOSE(CONTROL!$C$42, 0.5599, 0.5599)*CHOOSE(CONTROL!$C$42, 31, 31))/1000000</f>
        <v>12.063045499999998</v>
      </c>
      <c r="V408" s="57">
        <f>(1000*CHOOSE(CONTROL!$C$42, 500, 500)*CHOOSE(CONTROL!$C$42, 0.275, 0.275)*CHOOSE(CONTROL!$C$42, 31, 31))/1000000</f>
        <v>4.2625000000000002</v>
      </c>
      <c r="W408" s="57">
        <f>(1000*CHOOSE(CONTROL!$C$42, 0.1146, 0.1146)*CHOOSE(CONTROL!$C$42, 121.5, 121.5)*CHOOSE(CONTROL!$C$42, 31, 31))/1000000</f>
        <v>0.43164089999999994</v>
      </c>
      <c r="X408" s="57">
        <f>(31*0.1790888*100000/1000000)+(31*0.2374*100000/1000000)</f>
        <v>1.2911152800000001</v>
      </c>
      <c r="Y408" s="57"/>
      <c r="Z408" s="14"/>
      <c r="AA408" s="56"/>
      <c r="AB408" s="50">
        <f>(B408*122.58+C408*297.941+D408*89.177+E408*40.302+F408*40+G408*160+H408*0+I408*100+J408*300)/(122.58+297.941+89.177+40.302+0+40+160+100+300)</f>
        <v>15.912283209130432</v>
      </c>
      <c r="AC408" s="45">
        <f>(M408*'RAP TEMPLATE-GAS AVAILABILITY'!O407+N408*'RAP TEMPLATE-GAS AVAILABILITY'!P407+O408*'RAP TEMPLATE-GAS AVAILABILITY'!Q407+P408*'RAP TEMPLATE-GAS AVAILABILITY'!R407)/('RAP TEMPLATE-GAS AVAILABILITY'!O407+'RAP TEMPLATE-GAS AVAILABILITY'!P407+'RAP TEMPLATE-GAS AVAILABILITY'!Q407+'RAP TEMPLATE-GAS AVAILABILITY'!R407)</f>
        <v>15.794728057553955</v>
      </c>
    </row>
    <row r="409" spans="1:29" ht="15.75" x14ac:dyDescent="0.25">
      <c r="A409" s="33">
        <v>53358</v>
      </c>
      <c r="B409" s="14">
        <f>CHOOSE(CONTROL!$C$42, 17.2018, 17.2018) * CHOOSE(CONTROL!$C$21, $C$9, 100%, $E$9)</f>
        <v>17.201799999999999</v>
      </c>
      <c r="C409" s="14">
        <f>CHOOSE(CONTROL!$C$42, 17.2067, 17.2067) * CHOOSE(CONTROL!$C$21, $C$9, 100%, $E$9)</f>
        <v>17.206700000000001</v>
      </c>
      <c r="D409" s="14">
        <f>CHOOSE(CONTROL!$C$42, 17.271, 17.271) * CHOOSE(CONTROL!$C$21, $C$9, 100%, $E$9)</f>
        <v>17.271000000000001</v>
      </c>
      <c r="E409" s="14">
        <f>CHOOSE(CONTROL!$C$42, 17.3048, 17.3048) * CHOOSE(CONTROL!$C$21, $C$9, 100%, $E$9)</f>
        <v>17.3048</v>
      </c>
      <c r="F409" s="14">
        <f>CHOOSE(CONTROL!$C$42, 17.2033, 17.2033)*CHOOSE(CONTROL!$C$21, $C$9, 100%, $E$9)</f>
        <v>17.203299999999999</v>
      </c>
      <c r="G409" s="14">
        <f>CHOOSE(CONTROL!$C$42, 17.2192, 17.2192)*CHOOSE(CONTROL!$C$21, $C$9, 100%, $E$9)</f>
        <v>17.219200000000001</v>
      </c>
      <c r="H409" s="14">
        <f>CHOOSE(CONTROL!$C$42, 17.294, 17.294) * CHOOSE(CONTROL!$C$21, $C$9, 100%, $E$9)</f>
        <v>17.294</v>
      </c>
      <c r="I409" s="14">
        <f>CHOOSE(CONTROL!$C$42, 17.2218, 17.2218)* CHOOSE(CONTROL!$C$21, $C$9, 100%, $E$9)</f>
        <v>17.221800000000002</v>
      </c>
      <c r="J409" s="14">
        <f>CHOOSE(CONTROL!$C$42, 17.1963, 17.1963)* CHOOSE(CONTROL!$C$21, $C$9, 100%, $E$9)</f>
        <v>17.196300000000001</v>
      </c>
      <c r="K409" s="53">
        <f>CHOOSE(CONTROL!$C$42, 17.2179, 17.2179) * CHOOSE(CONTROL!$C$21, $C$9, 100%, $E$9)</f>
        <v>17.2179</v>
      </c>
      <c r="L409" s="14">
        <f>CHOOSE(CONTROL!$C$42, 17.881, 17.881) * CHOOSE(CONTROL!$C$21, $C$9, 100%, $E$9)</f>
        <v>17.881</v>
      </c>
      <c r="M409" s="14">
        <f>CHOOSE(CONTROL!$C$42, 17.0366, 17.0366) * CHOOSE(CONTROL!$C$21, $C$9, 100%, $E$9)</f>
        <v>17.0366</v>
      </c>
      <c r="N409" s="14">
        <f>CHOOSE(CONTROL!$C$42, 17.0523, 17.0523) * CHOOSE(CONTROL!$C$21, $C$9, 100%, $E$9)</f>
        <v>17.052299999999999</v>
      </c>
      <c r="O409" s="14">
        <f>CHOOSE(CONTROL!$C$42, 17.1333, 17.1333) * CHOOSE(CONTROL!$C$21, $C$9, 100%, $E$9)</f>
        <v>17.133299999999998</v>
      </c>
      <c r="P409" s="14">
        <f>CHOOSE(CONTROL!$C$42, 17.0618, 17.0618) * CHOOSE(CONTROL!$C$21, $C$9, 100%, $E$9)</f>
        <v>17.061800000000002</v>
      </c>
      <c r="Q409" s="14">
        <f>CHOOSE(CONTROL!$C$42, 17.7286, 17.7286) * CHOOSE(CONTROL!$C$21, $C$9, 100%, $E$9)</f>
        <v>17.7286</v>
      </c>
      <c r="R409" s="14">
        <f>CHOOSE(CONTROL!$C$42, 18.3599, 18.3599) * CHOOSE(CONTROL!$C$21, $C$9, 100%, $E$9)</f>
        <v>18.3599</v>
      </c>
      <c r="S409" s="14">
        <f>CHOOSE(CONTROL!$C$42, 16.7025, 16.7025) * CHOOSE(CONTROL!$C$21, $C$9, 100%, $E$9)</f>
        <v>16.702500000000001</v>
      </c>
      <c r="T40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09" s="57">
        <f>(1000*CHOOSE(CONTROL!$C$42, 695, 695)*CHOOSE(CONTROL!$C$42, 0.5599, 0.5599)*CHOOSE(CONTROL!$C$42, 31, 31))/1000000</f>
        <v>12.063045499999998</v>
      </c>
      <c r="V409" s="57">
        <f>(1000*CHOOSE(CONTROL!$C$42, 500, 500)*CHOOSE(CONTROL!$C$42, 0.275, 0.275)*CHOOSE(CONTROL!$C$42, 31, 31))/1000000</f>
        <v>4.2625000000000002</v>
      </c>
      <c r="W409" s="57">
        <f>(1000*CHOOSE(CONTROL!$C$42, 0.1146, 0.1146)*CHOOSE(CONTROL!$C$42, 121.5, 121.5)*CHOOSE(CONTROL!$C$42, 31, 31))/1000000</f>
        <v>0.43164089999999994</v>
      </c>
      <c r="X409" s="57">
        <f>(31*0.1790888*100000/1000000)+(31*0.2374*100000/1000000)</f>
        <v>1.2911152800000001</v>
      </c>
      <c r="Y409" s="57"/>
      <c r="Z409" s="14"/>
      <c r="AA409" s="56"/>
      <c r="AB409" s="50">
        <f>(B409*122.58+C409*297.941+D409*89.177+E409*40.302+F409*40+G409*160+H409*0+I409*100+J409*300)/(122.58+297.941+89.177+40.302+0+40+160+100+300)</f>
        <v>17.214822665478263</v>
      </c>
      <c r="AC409" s="45">
        <f>(M409*'RAP TEMPLATE-GAS AVAILABILITY'!O408+N409*'RAP TEMPLATE-GAS AVAILABILITY'!P408+O409*'RAP TEMPLATE-GAS AVAILABILITY'!Q408+P409*'RAP TEMPLATE-GAS AVAILABILITY'!R408)/('RAP TEMPLATE-GAS AVAILABILITY'!O408+'RAP TEMPLATE-GAS AVAILABILITY'!P408+'RAP TEMPLATE-GAS AVAILABILITY'!Q408+'RAP TEMPLATE-GAS AVAILABILITY'!R408)</f>
        <v>17.084957553956833</v>
      </c>
    </row>
    <row r="410" spans="1:29" ht="15.75" x14ac:dyDescent="0.25">
      <c r="A410" s="33">
        <v>53386</v>
      </c>
      <c r="B410" s="14">
        <f>CHOOSE(CONTROL!$C$42, 17.508, 17.508) * CHOOSE(CONTROL!$C$21, $C$9, 100%, $E$9)</f>
        <v>17.507999999999999</v>
      </c>
      <c r="C410" s="14">
        <f>CHOOSE(CONTROL!$C$42, 17.5129, 17.5129) * CHOOSE(CONTROL!$C$21, $C$9, 100%, $E$9)</f>
        <v>17.512899999999998</v>
      </c>
      <c r="D410" s="14">
        <f>CHOOSE(CONTROL!$C$42, 17.5772, 17.5772) * CHOOSE(CONTROL!$C$21, $C$9, 100%, $E$9)</f>
        <v>17.577200000000001</v>
      </c>
      <c r="E410" s="14">
        <f>CHOOSE(CONTROL!$C$42, 17.611, 17.611) * CHOOSE(CONTROL!$C$21, $C$9, 100%, $E$9)</f>
        <v>17.611000000000001</v>
      </c>
      <c r="F410" s="14">
        <f>CHOOSE(CONTROL!$C$42, 17.5095, 17.5095)*CHOOSE(CONTROL!$C$21, $C$9, 100%, $E$9)</f>
        <v>17.509499999999999</v>
      </c>
      <c r="G410" s="14">
        <f>CHOOSE(CONTROL!$C$42, 17.5255, 17.5255)*CHOOSE(CONTROL!$C$21, $C$9, 100%, $E$9)</f>
        <v>17.525500000000001</v>
      </c>
      <c r="H410" s="14">
        <f>CHOOSE(CONTROL!$C$42, 17.6002, 17.6002) * CHOOSE(CONTROL!$C$21, $C$9, 100%, $E$9)</f>
        <v>17.600200000000001</v>
      </c>
      <c r="I410" s="14">
        <f>CHOOSE(CONTROL!$C$42, 17.5279, 17.5279)* CHOOSE(CONTROL!$C$21, $C$9, 100%, $E$9)</f>
        <v>17.527899999999999</v>
      </c>
      <c r="J410" s="14">
        <f>CHOOSE(CONTROL!$C$42, 17.5025, 17.5025)* CHOOSE(CONTROL!$C$21, $C$9, 100%, $E$9)</f>
        <v>17.502500000000001</v>
      </c>
      <c r="K410" s="53">
        <f>CHOOSE(CONTROL!$C$42, 17.524, 17.524) * CHOOSE(CONTROL!$C$21, $C$9, 100%, $E$9)</f>
        <v>17.524000000000001</v>
      </c>
      <c r="L410" s="14">
        <f>CHOOSE(CONTROL!$C$42, 18.1872, 18.1872) * CHOOSE(CONTROL!$C$21, $C$9, 100%, $E$9)</f>
        <v>18.187200000000001</v>
      </c>
      <c r="M410" s="14">
        <f>CHOOSE(CONTROL!$C$42, 17.3397, 17.3397) * CHOOSE(CONTROL!$C$21, $C$9, 100%, $E$9)</f>
        <v>17.339700000000001</v>
      </c>
      <c r="N410" s="14">
        <f>CHOOSE(CONTROL!$C$42, 17.3555, 17.3555) * CHOOSE(CONTROL!$C$21, $C$9, 100%, $E$9)</f>
        <v>17.355499999999999</v>
      </c>
      <c r="O410" s="14">
        <f>CHOOSE(CONTROL!$C$42, 17.4364, 17.4364) * CHOOSE(CONTROL!$C$21, $C$9, 100%, $E$9)</f>
        <v>17.436399999999999</v>
      </c>
      <c r="P410" s="14">
        <f>CHOOSE(CONTROL!$C$42, 17.3649, 17.3649) * CHOOSE(CONTROL!$C$21, $C$9, 100%, $E$9)</f>
        <v>17.364899999999999</v>
      </c>
      <c r="Q410" s="14">
        <f>CHOOSE(CONTROL!$C$42, 18.0317, 18.0317) * CHOOSE(CONTROL!$C$21, $C$9, 100%, $E$9)</f>
        <v>18.031700000000001</v>
      </c>
      <c r="R410" s="14">
        <f>CHOOSE(CONTROL!$C$42, 18.6637, 18.6637) * CHOOSE(CONTROL!$C$21, $C$9, 100%, $E$9)</f>
        <v>18.663699999999999</v>
      </c>
      <c r="S410" s="14">
        <f>CHOOSE(CONTROL!$C$42, 16.9998, 16.9998) * CHOOSE(CONTROL!$C$21, $C$9, 100%, $E$9)</f>
        <v>16.9998</v>
      </c>
      <c r="T41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10" s="57">
        <f>(1000*CHOOSE(CONTROL!$C$42, 695, 695)*CHOOSE(CONTROL!$C$42, 0.5599, 0.5599)*CHOOSE(CONTROL!$C$42, 28, 28))/1000000</f>
        <v>10.895653999999999</v>
      </c>
      <c r="V410" s="57">
        <f>(1000*CHOOSE(CONTROL!$C$42, 500, 500)*CHOOSE(CONTROL!$C$42, 0.275, 0.275)*CHOOSE(CONTROL!$C$42, 28, 28))/1000000</f>
        <v>3.85</v>
      </c>
      <c r="W410" s="57">
        <f>(1000*CHOOSE(CONTROL!$C$42, 0.1146, 0.1146)*CHOOSE(CONTROL!$C$42, 121.5, 121.5)*CHOOSE(CONTROL!$C$42, 28, 28))/1000000</f>
        <v>0.38986920000000003</v>
      </c>
      <c r="X410" s="57">
        <f>(28*0.1790888*100000/1000000)+(28*0.2374*100000/1000000)</f>
        <v>1.16616864</v>
      </c>
      <c r="Y410" s="57"/>
      <c r="Z410" s="14"/>
      <c r="AA410" s="56"/>
      <c r="AB410" s="50">
        <f>(B410*122.58+C410*297.941+D410*89.177+E410*40.302+F410*40+G410*160+H410*0+I410*100+J410*300)/(122.58+297.941+89.177+40.302+0+40+160+100+300)</f>
        <v>17.521027882869564</v>
      </c>
      <c r="AC410" s="45">
        <f>(M410*'RAP TEMPLATE-GAS AVAILABILITY'!O409+N410*'RAP TEMPLATE-GAS AVAILABILITY'!P409+O410*'RAP TEMPLATE-GAS AVAILABILITY'!Q409+P410*'RAP TEMPLATE-GAS AVAILABILITY'!R409)/('RAP TEMPLATE-GAS AVAILABILITY'!O409+'RAP TEMPLATE-GAS AVAILABILITY'!P409+'RAP TEMPLATE-GAS AVAILABILITY'!Q409+'RAP TEMPLATE-GAS AVAILABILITY'!R409)</f>
        <v>17.388063309352518</v>
      </c>
    </row>
    <row r="411" spans="1:29" ht="15.75" x14ac:dyDescent="0.25">
      <c r="A411" s="33">
        <v>53417</v>
      </c>
      <c r="B411" s="14">
        <f>CHOOSE(CONTROL!$C$42, 17.011, 17.011) * CHOOSE(CONTROL!$C$21, $C$9, 100%, $E$9)</f>
        <v>17.010999999999999</v>
      </c>
      <c r="C411" s="14">
        <f>CHOOSE(CONTROL!$C$42, 17.0159, 17.0159) * CHOOSE(CONTROL!$C$21, $C$9, 100%, $E$9)</f>
        <v>17.015899999999998</v>
      </c>
      <c r="D411" s="14">
        <f>CHOOSE(CONTROL!$C$42, 17.0802, 17.0802) * CHOOSE(CONTROL!$C$21, $C$9, 100%, $E$9)</f>
        <v>17.080200000000001</v>
      </c>
      <c r="E411" s="14">
        <f>CHOOSE(CONTROL!$C$42, 17.114, 17.114) * CHOOSE(CONTROL!$C$21, $C$9, 100%, $E$9)</f>
        <v>17.114000000000001</v>
      </c>
      <c r="F411" s="14">
        <f>CHOOSE(CONTROL!$C$42, 17.0122, 17.0122)*CHOOSE(CONTROL!$C$21, $C$9, 100%, $E$9)</f>
        <v>17.0122</v>
      </c>
      <c r="G411" s="14">
        <f>CHOOSE(CONTROL!$C$42, 17.0281, 17.0281)*CHOOSE(CONTROL!$C$21, $C$9, 100%, $E$9)</f>
        <v>17.028099999999998</v>
      </c>
      <c r="H411" s="14">
        <f>CHOOSE(CONTROL!$C$42, 17.1032, 17.1032) * CHOOSE(CONTROL!$C$21, $C$9, 100%, $E$9)</f>
        <v>17.103200000000001</v>
      </c>
      <c r="I411" s="14">
        <f>CHOOSE(CONTROL!$C$42, 17.031, 17.031)* CHOOSE(CONTROL!$C$21, $C$9, 100%, $E$9)</f>
        <v>17.030999999999999</v>
      </c>
      <c r="J411" s="14">
        <f>CHOOSE(CONTROL!$C$42, 17.0052, 17.0052)* CHOOSE(CONTROL!$C$21, $C$9, 100%, $E$9)</f>
        <v>17.005199999999999</v>
      </c>
      <c r="K411" s="53">
        <f>CHOOSE(CONTROL!$C$42, 17.0271, 17.0271) * CHOOSE(CONTROL!$C$21, $C$9, 100%, $E$9)</f>
        <v>17.027100000000001</v>
      </c>
      <c r="L411" s="14">
        <f>CHOOSE(CONTROL!$C$42, 17.6902, 17.6902) * CHOOSE(CONTROL!$C$21, $C$9, 100%, $E$9)</f>
        <v>17.690200000000001</v>
      </c>
      <c r="M411" s="14">
        <f>CHOOSE(CONTROL!$C$42, 16.8474, 16.8474) * CHOOSE(CONTROL!$C$21, $C$9, 100%, $E$9)</f>
        <v>16.8474</v>
      </c>
      <c r="N411" s="14">
        <f>CHOOSE(CONTROL!$C$42, 16.8631, 16.8631) * CHOOSE(CONTROL!$C$21, $C$9, 100%, $E$9)</f>
        <v>16.863099999999999</v>
      </c>
      <c r="O411" s="14">
        <f>CHOOSE(CONTROL!$C$42, 16.9444, 16.9444) * CHOOSE(CONTROL!$C$21, $C$9, 100%, $E$9)</f>
        <v>16.944400000000002</v>
      </c>
      <c r="P411" s="14">
        <f>CHOOSE(CONTROL!$C$42, 16.8729, 16.8729) * CHOOSE(CONTROL!$C$21, $C$9, 100%, $E$9)</f>
        <v>16.872900000000001</v>
      </c>
      <c r="Q411" s="14">
        <f>CHOOSE(CONTROL!$C$42, 17.5397, 17.5397) * CHOOSE(CONTROL!$C$21, $C$9, 100%, $E$9)</f>
        <v>17.5397</v>
      </c>
      <c r="R411" s="14">
        <f>CHOOSE(CONTROL!$C$42, 18.1706, 18.1706) * CHOOSE(CONTROL!$C$21, $C$9, 100%, $E$9)</f>
        <v>18.1706</v>
      </c>
      <c r="S411" s="14">
        <f>CHOOSE(CONTROL!$C$42, 16.5172, 16.5172) * CHOOSE(CONTROL!$C$21, $C$9, 100%, $E$9)</f>
        <v>16.517199999999999</v>
      </c>
      <c r="T41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11" s="57">
        <f>(1000*CHOOSE(CONTROL!$C$42, 695, 695)*CHOOSE(CONTROL!$C$42, 0.5599, 0.5599)*CHOOSE(CONTROL!$C$42, 31, 31))/1000000</f>
        <v>12.063045499999998</v>
      </c>
      <c r="V411" s="57">
        <f>(1000*CHOOSE(CONTROL!$C$42, 500, 500)*CHOOSE(CONTROL!$C$42, 0.275, 0.275)*CHOOSE(CONTROL!$C$42, 31, 31))/1000000</f>
        <v>4.2625000000000002</v>
      </c>
      <c r="W411" s="57">
        <f>(1000*CHOOSE(CONTROL!$C$42, 0.1146, 0.1146)*CHOOSE(CONTROL!$C$42, 121.5, 121.5)*CHOOSE(CONTROL!$C$42, 31, 31))/1000000</f>
        <v>0.43164089999999994</v>
      </c>
      <c r="X411" s="57">
        <f>(31*0.1790888*100000/1000000)+(31*0.2374*100000/1000000)</f>
        <v>1.2911152800000001</v>
      </c>
      <c r="Y411" s="57"/>
      <c r="Z411" s="14"/>
      <c r="AA411" s="56"/>
      <c r="AB411" s="50">
        <f>(B411*122.58+C411*297.941+D411*89.177+E411*40.302+F411*40+G411*160+H411*0+I411*100+J411*300)/(122.58+297.941+89.177+40.302+0+40+160+100+300)</f>
        <v>17.023892230695651</v>
      </c>
      <c r="AC411" s="45">
        <f>(M411*'RAP TEMPLATE-GAS AVAILABILITY'!O410+N411*'RAP TEMPLATE-GAS AVAILABILITY'!P410+O411*'RAP TEMPLATE-GAS AVAILABILITY'!Q410+P411*'RAP TEMPLATE-GAS AVAILABILITY'!R410)/('RAP TEMPLATE-GAS AVAILABILITY'!O410+'RAP TEMPLATE-GAS AVAILABILITY'!P410+'RAP TEMPLATE-GAS AVAILABILITY'!Q410+'RAP TEMPLATE-GAS AVAILABILITY'!R410)</f>
        <v>16.895936690647485</v>
      </c>
    </row>
    <row r="412" spans="1:29" ht="15.75" x14ac:dyDescent="0.25">
      <c r="A412" s="33">
        <v>53447</v>
      </c>
      <c r="B412" s="14">
        <f>CHOOSE(CONTROL!$C$42, 16.9612, 16.9612) * CHOOSE(CONTROL!$C$21, $C$9, 100%, $E$9)</f>
        <v>16.961200000000002</v>
      </c>
      <c r="C412" s="14">
        <f>CHOOSE(CONTROL!$C$42, 16.9656, 16.9656) * CHOOSE(CONTROL!$C$21, $C$9, 100%, $E$9)</f>
        <v>16.965599999999998</v>
      </c>
      <c r="D412" s="14">
        <f>CHOOSE(CONTROL!$C$42, 17.1663, 17.1663) * CHOOSE(CONTROL!$C$21, $C$9, 100%, $E$9)</f>
        <v>17.1663</v>
      </c>
      <c r="E412" s="14">
        <f>CHOOSE(CONTROL!$C$42, 17.1981, 17.1981) * CHOOSE(CONTROL!$C$21, $C$9, 100%, $E$9)</f>
        <v>17.1981</v>
      </c>
      <c r="F412" s="14">
        <f>CHOOSE(CONTROL!$C$42, 16.9458, 16.9458)*CHOOSE(CONTROL!$C$21, $C$9, 100%, $E$9)</f>
        <v>16.945799999999998</v>
      </c>
      <c r="G412" s="14">
        <f>CHOOSE(CONTROL!$C$42, 16.9614, 16.9614)*CHOOSE(CONTROL!$C$21, $C$9, 100%, $E$9)</f>
        <v>16.961400000000001</v>
      </c>
      <c r="H412" s="14">
        <f>CHOOSE(CONTROL!$C$42, 17.1879, 17.1879) * CHOOSE(CONTROL!$C$21, $C$9, 100%, $E$9)</f>
        <v>17.187899999999999</v>
      </c>
      <c r="I412" s="14">
        <f>CHOOSE(CONTROL!$C$42, 16.974, 16.974)* CHOOSE(CONTROL!$C$21, $C$9, 100%, $E$9)</f>
        <v>16.974</v>
      </c>
      <c r="J412" s="14">
        <f>CHOOSE(CONTROL!$C$42, 16.9388, 16.9388)* CHOOSE(CONTROL!$C$21, $C$9, 100%, $E$9)</f>
        <v>16.938800000000001</v>
      </c>
      <c r="K412" s="53">
        <f>CHOOSE(CONTROL!$C$42, 16.9701, 16.9701) * CHOOSE(CONTROL!$C$21, $C$9, 100%, $E$9)</f>
        <v>16.970099999999999</v>
      </c>
      <c r="L412" s="14">
        <f>CHOOSE(CONTROL!$C$42, 17.7749, 17.7749) * CHOOSE(CONTROL!$C$21, $C$9, 100%, $E$9)</f>
        <v>17.774899999999999</v>
      </c>
      <c r="M412" s="14">
        <f>CHOOSE(CONTROL!$C$42, 16.7817, 16.7817) * CHOOSE(CONTROL!$C$21, $C$9, 100%, $E$9)</f>
        <v>16.781700000000001</v>
      </c>
      <c r="N412" s="14">
        <f>CHOOSE(CONTROL!$C$42, 16.7972, 16.7972) * CHOOSE(CONTROL!$C$21, $C$9, 100%, $E$9)</f>
        <v>16.7972</v>
      </c>
      <c r="O412" s="14">
        <f>CHOOSE(CONTROL!$C$42, 17.0283, 17.0283) * CHOOSE(CONTROL!$C$21, $C$9, 100%, $E$9)</f>
        <v>17.028300000000002</v>
      </c>
      <c r="P412" s="14">
        <f>CHOOSE(CONTROL!$C$42, 16.8165, 16.8165) * CHOOSE(CONTROL!$C$21, $C$9, 100%, $E$9)</f>
        <v>16.816500000000001</v>
      </c>
      <c r="Q412" s="14">
        <f>CHOOSE(CONTROL!$C$42, 17.6236, 17.6236) * CHOOSE(CONTROL!$C$21, $C$9, 100%, $E$9)</f>
        <v>17.6236</v>
      </c>
      <c r="R412" s="14">
        <f>CHOOSE(CONTROL!$C$42, 18.2546, 18.2546) * CHOOSE(CONTROL!$C$21, $C$9, 100%, $E$9)</f>
        <v>18.2546</v>
      </c>
      <c r="S412" s="14">
        <f>CHOOSE(CONTROL!$C$42, 16.4681, 16.4681) * CHOOSE(CONTROL!$C$21, $C$9, 100%, $E$9)</f>
        <v>16.4681</v>
      </c>
      <c r="T41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12" s="57">
        <f>(1000*CHOOSE(CONTROL!$C$42, 695, 695)*CHOOSE(CONTROL!$C$42, 0.5599, 0.5599)*CHOOSE(CONTROL!$C$42, 30, 30))/1000000</f>
        <v>11.673914999999997</v>
      </c>
      <c r="V412" s="57">
        <f>(1000*CHOOSE(CONTROL!$C$42, 500, 500)*CHOOSE(CONTROL!$C$42, 0.275, 0.275)*CHOOSE(CONTROL!$C$42, 30, 30))/1000000</f>
        <v>4.125</v>
      </c>
      <c r="W412" s="57">
        <f>(1000*CHOOSE(CONTROL!$C$42, 0.1146, 0.1146)*CHOOSE(CONTROL!$C$42, 121.5, 121.5)*CHOOSE(CONTROL!$C$42, 30, 30))/1000000</f>
        <v>0.417717</v>
      </c>
      <c r="X412" s="57">
        <f>(30*0.1790888*245000/1000000)+(30*0.2374*100000/1000000)</f>
        <v>2.0285026799999999</v>
      </c>
      <c r="Y412" s="57"/>
      <c r="Z412" s="14"/>
      <c r="AA412" s="56"/>
      <c r="AB412" s="50">
        <f>(B412*141.293+C412*267.993+D412*115.016+E412*89.698+F412*40+G412*185+H412*0+I412*100+J412*300)/(141.293+267.993+115.016+89.698+0+40+185+100+300)</f>
        <v>16.993483621468926</v>
      </c>
      <c r="AC412" s="45">
        <f>(M412*'RAP TEMPLATE-GAS AVAILABILITY'!O411+N412*'RAP TEMPLATE-GAS AVAILABILITY'!P411+O412*'RAP TEMPLATE-GAS AVAILABILITY'!Q411+P412*'RAP TEMPLATE-GAS AVAILABILITY'!R411)/('RAP TEMPLATE-GAS AVAILABILITY'!O411+'RAP TEMPLATE-GAS AVAILABILITY'!P411+'RAP TEMPLATE-GAS AVAILABILITY'!Q411+'RAP TEMPLATE-GAS AVAILABILITY'!R411)</f>
        <v>16.859465467625899</v>
      </c>
    </row>
    <row r="413" spans="1:29" ht="15.75" x14ac:dyDescent="0.25">
      <c r="A413" s="33">
        <v>53478</v>
      </c>
      <c r="B413" s="14">
        <f>CHOOSE(CONTROL!$C$42, 17.1123, 17.1123) * CHOOSE(CONTROL!$C$21, $C$9, 100%, $E$9)</f>
        <v>17.112300000000001</v>
      </c>
      <c r="C413" s="14">
        <f>CHOOSE(CONTROL!$C$42, 17.1202, 17.1202) * CHOOSE(CONTROL!$C$21, $C$9, 100%, $E$9)</f>
        <v>17.120200000000001</v>
      </c>
      <c r="D413" s="14">
        <f>CHOOSE(CONTROL!$C$42, 17.3178, 17.3178) * CHOOSE(CONTROL!$C$21, $C$9, 100%, $E$9)</f>
        <v>17.317799999999998</v>
      </c>
      <c r="E413" s="14">
        <f>CHOOSE(CONTROL!$C$42, 17.3489, 17.3489) * CHOOSE(CONTROL!$C$21, $C$9, 100%, $E$9)</f>
        <v>17.3489</v>
      </c>
      <c r="F413" s="14">
        <f>CHOOSE(CONTROL!$C$42, 17.0957, 17.0957)*CHOOSE(CONTROL!$C$21, $C$9, 100%, $E$9)</f>
        <v>17.095700000000001</v>
      </c>
      <c r="G413" s="14">
        <f>CHOOSE(CONTROL!$C$42, 17.1118, 17.1118)*CHOOSE(CONTROL!$C$21, $C$9, 100%, $E$9)</f>
        <v>17.111799999999999</v>
      </c>
      <c r="H413" s="14">
        <f>CHOOSE(CONTROL!$C$42, 17.3376, 17.3376) * CHOOSE(CONTROL!$C$21, $C$9, 100%, $E$9)</f>
        <v>17.337599999999998</v>
      </c>
      <c r="I413" s="14">
        <f>CHOOSE(CONTROL!$C$42, 17.1236, 17.1236)* CHOOSE(CONTROL!$C$21, $C$9, 100%, $E$9)</f>
        <v>17.1236</v>
      </c>
      <c r="J413" s="14">
        <f>CHOOSE(CONTROL!$C$42, 17.0887, 17.0887)* CHOOSE(CONTROL!$C$21, $C$9, 100%, $E$9)</f>
        <v>17.088699999999999</v>
      </c>
      <c r="K413" s="53">
        <f>CHOOSE(CONTROL!$C$42, 17.1198, 17.1198) * CHOOSE(CONTROL!$C$21, $C$9, 100%, $E$9)</f>
        <v>17.119800000000001</v>
      </c>
      <c r="L413" s="14">
        <f>CHOOSE(CONTROL!$C$42, 17.9246, 17.9246) * CHOOSE(CONTROL!$C$21, $C$9, 100%, $E$9)</f>
        <v>17.924600000000002</v>
      </c>
      <c r="M413" s="14">
        <f>CHOOSE(CONTROL!$C$42, 16.9301, 16.9301) * CHOOSE(CONTROL!$C$21, $C$9, 100%, $E$9)</f>
        <v>16.930099999999999</v>
      </c>
      <c r="N413" s="14">
        <f>CHOOSE(CONTROL!$C$42, 16.946, 16.946) * CHOOSE(CONTROL!$C$21, $C$9, 100%, $E$9)</f>
        <v>16.946000000000002</v>
      </c>
      <c r="O413" s="14">
        <f>CHOOSE(CONTROL!$C$42, 17.1764, 17.1764) * CHOOSE(CONTROL!$C$21, $C$9, 100%, $E$9)</f>
        <v>17.176400000000001</v>
      </c>
      <c r="P413" s="14">
        <f>CHOOSE(CONTROL!$C$42, 16.9647, 16.9647) * CHOOSE(CONTROL!$C$21, $C$9, 100%, $E$9)</f>
        <v>16.964700000000001</v>
      </c>
      <c r="Q413" s="14">
        <f>CHOOSE(CONTROL!$C$42, 17.7717, 17.7717) * CHOOSE(CONTROL!$C$21, $C$9, 100%, $E$9)</f>
        <v>17.771699999999999</v>
      </c>
      <c r="R413" s="14">
        <f>CHOOSE(CONTROL!$C$42, 18.4031, 18.4031) * CHOOSE(CONTROL!$C$21, $C$9, 100%, $E$9)</f>
        <v>18.403099999999998</v>
      </c>
      <c r="S413" s="14">
        <f>CHOOSE(CONTROL!$C$42, 16.6135, 16.6135) * CHOOSE(CONTROL!$C$21, $C$9, 100%, $E$9)</f>
        <v>16.613499999999998</v>
      </c>
      <c r="T41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13" s="57">
        <f>(1000*CHOOSE(CONTROL!$C$42, 695, 695)*CHOOSE(CONTROL!$C$42, 0.5599, 0.5599)*CHOOSE(CONTROL!$C$42, 31, 31))/1000000</f>
        <v>12.063045499999998</v>
      </c>
      <c r="V413" s="57">
        <f>(1000*CHOOSE(CONTROL!$C$42, 500, 500)*CHOOSE(CONTROL!$C$42, 0.275, 0.275)*CHOOSE(CONTROL!$C$42, 31, 31))/1000000</f>
        <v>4.2625000000000002</v>
      </c>
      <c r="W413" s="57">
        <f>(1000*CHOOSE(CONTROL!$C$42, 0.1146, 0.1146)*CHOOSE(CONTROL!$C$42, 121.5, 121.5)*CHOOSE(CONTROL!$C$42, 31, 31))/1000000</f>
        <v>0.43164089999999994</v>
      </c>
      <c r="X413" s="57">
        <f>(31*0.1790888*245000/1000000)+(31*0.2374*100000/1000000)</f>
        <v>2.0961194359999999</v>
      </c>
      <c r="Y413" s="57"/>
      <c r="Z413" s="14"/>
      <c r="AA413" s="56"/>
      <c r="AB413" s="50">
        <f>(B413*194.205+C413*267.466+D413*133.845+E413*53.484+F413*40+G413*185+H413*0+I413*100+J413*300)/(194.205+267.466+133.845+53.484+0+40+185+100+300)</f>
        <v>17.140216752982735</v>
      </c>
      <c r="AC413" s="45">
        <f>(M413*'RAP TEMPLATE-GAS AVAILABILITY'!O412+N413*'RAP TEMPLATE-GAS AVAILABILITY'!P412+O413*'RAP TEMPLATE-GAS AVAILABILITY'!Q412+P413*'RAP TEMPLATE-GAS AVAILABILITY'!R412)/('RAP TEMPLATE-GAS AVAILABILITY'!O412+'RAP TEMPLATE-GAS AVAILABILITY'!P412+'RAP TEMPLATE-GAS AVAILABILITY'!Q412+'RAP TEMPLATE-GAS AVAILABILITY'!R412)</f>
        <v>17.007844604316546</v>
      </c>
    </row>
    <row r="414" spans="1:29" ht="15.75" x14ac:dyDescent="0.25">
      <c r="A414" s="33">
        <v>53508</v>
      </c>
      <c r="B414" s="14">
        <f>CHOOSE(CONTROL!$C$42, 17.5975, 17.5975) * CHOOSE(CONTROL!$C$21, $C$9, 100%, $E$9)</f>
        <v>17.5975</v>
      </c>
      <c r="C414" s="14">
        <f>CHOOSE(CONTROL!$C$42, 17.6055, 17.6055) * CHOOSE(CONTROL!$C$21, $C$9, 100%, $E$9)</f>
        <v>17.605499999999999</v>
      </c>
      <c r="D414" s="14">
        <f>CHOOSE(CONTROL!$C$42, 17.803, 17.803) * CHOOSE(CONTROL!$C$21, $C$9, 100%, $E$9)</f>
        <v>17.803000000000001</v>
      </c>
      <c r="E414" s="14">
        <f>CHOOSE(CONTROL!$C$42, 17.8342, 17.8342) * CHOOSE(CONTROL!$C$21, $C$9, 100%, $E$9)</f>
        <v>17.834199999999999</v>
      </c>
      <c r="F414" s="14">
        <f>CHOOSE(CONTROL!$C$42, 17.5814, 17.5814)*CHOOSE(CONTROL!$C$21, $C$9, 100%, $E$9)</f>
        <v>17.581399999999999</v>
      </c>
      <c r="G414" s="14">
        <f>CHOOSE(CONTROL!$C$42, 17.5976, 17.5976)*CHOOSE(CONTROL!$C$21, $C$9, 100%, $E$9)</f>
        <v>17.5976</v>
      </c>
      <c r="H414" s="14">
        <f>CHOOSE(CONTROL!$C$42, 17.8228, 17.8228) * CHOOSE(CONTROL!$C$21, $C$9, 100%, $E$9)</f>
        <v>17.822800000000001</v>
      </c>
      <c r="I414" s="14">
        <f>CHOOSE(CONTROL!$C$42, 17.6089, 17.6089)* CHOOSE(CONTROL!$C$21, $C$9, 100%, $E$9)</f>
        <v>17.608899999999998</v>
      </c>
      <c r="J414" s="14">
        <f>CHOOSE(CONTROL!$C$42, 17.5744, 17.5744)* CHOOSE(CONTROL!$C$21, $C$9, 100%, $E$9)</f>
        <v>17.574400000000001</v>
      </c>
      <c r="K414" s="53">
        <f>CHOOSE(CONTROL!$C$42, 17.605, 17.605) * CHOOSE(CONTROL!$C$21, $C$9, 100%, $E$9)</f>
        <v>17.605</v>
      </c>
      <c r="L414" s="14">
        <f>CHOOSE(CONTROL!$C$42, 18.4098, 18.4098) * CHOOSE(CONTROL!$C$21, $C$9, 100%, $E$9)</f>
        <v>18.409800000000001</v>
      </c>
      <c r="M414" s="14">
        <f>CHOOSE(CONTROL!$C$42, 17.4108, 17.4108) * CHOOSE(CONTROL!$C$21, $C$9, 100%, $E$9)</f>
        <v>17.410799999999998</v>
      </c>
      <c r="N414" s="14">
        <f>CHOOSE(CONTROL!$C$42, 17.4269, 17.4269) * CHOOSE(CONTROL!$C$21, $C$9, 100%, $E$9)</f>
        <v>17.4269</v>
      </c>
      <c r="O414" s="14">
        <f>CHOOSE(CONTROL!$C$42, 17.6568, 17.6568) * CHOOSE(CONTROL!$C$21, $C$9, 100%, $E$9)</f>
        <v>17.6568</v>
      </c>
      <c r="P414" s="14">
        <f>CHOOSE(CONTROL!$C$42, 17.4451, 17.4451) * CHOOSE(CONTROL!$C$21, $C$9, 100%, $E$9)</f>
        <v>17.4451</v>
      </c>
      <c r="Q414" s="14">
        <f>CHOOSE(CONTROL!$C$42, 18.2521, 18.2521) * CHOOSE(CONTROL!$C$21, $C$9, 100%, $E$9)</f>
        <v>18.252099999999999</v>
      </c>
      <c r="R414" s="14">
        <f>CHOOSE(CONTROL!$C$42, 18.8847, 18.8847) * CHOOSE(CONTROL!$C$21, $C$9, 100%, $E$9)</f>
        <v>18.884699999999999</v>
      </c>
      <c r="S414" s="14">
        <f>CHOOSE(CONTROL!$C$42, 17.0847, 17.0847) * CHOOSE(CONTROL!$C$21, $C$9, 100%, $E$9)</f>
        <v>17.084700000000002</v>
      </c>
      <c r="T41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14" s="57">
        <f>(1000*CHOOSE(CONTROL!$C$42, 695, 695)*CHOOSE(CONTROL!$C$42, 0.5599, 0.5599)*CHOOSE(CONTROL!$C$42, 30, 30))/1000000</f>
        <v>11.673914999999997</v>
      </c>
      <c r="V414" s="57">
        <f>(1000*CHOOSE(CONTROL!$C$42, 500, 500)*CHOOSE(CONTROL!$C$42, 0.275, 0.275)*CHOOSE(CONTROL!$C$42, 30, 30))/1000000</f>
        <v>4.125</v>
      </c>
      <c r="W414" s="57">
        <f>(1000*CHOOSE(CONTROL!$C$42, 0.1146, 0.1146)*CHOOSE(CONTROL!$C$42, 121.5, 121.5)*CHOOSE(CONTROL!$C$42, 30, 30))/1000000</f>
        <v>0.417717</v>
      </c>
      <c r="X414" s="57">
        <f>(30*0.1790888*245000/1000000)+(30*0.2374*100000/1000000)</f>
        <v>2.0285026799999999</v>
      </c>
      <c r="Y414" s="57"/>
      <c r="Z414" s="14"/>
      <c r="AA414" s="56"/>
      <c r="AB414" s="50">
        <f>(B414*194.205+C414*267.466+D414*133.845+E414*53.484+F414*40+G414*185+H414*0+I414*100+J414*300)/(194.205+267.466+133.845+53.484+0+40+185+100+300)</f>
        <v>17.625670359733125</v>
      </c>
      <c r="AC414" s="45">
        <f>(M414*'RAP TEMPLATE-GAS AVAILABILITY'!O413+N414*'RAP TEMPLATE-GAS AVAILABILITY'!P413+O414*'RAP TEMPLATE-GAS AVAILABILITY'!Q413+P414*'RAP TEMPLATE-GAS AVAILABILITY'!R413)/('RAP TEMPLATE-GAS AVAILABILITY'!O413+'RAP TEMPLATE-GAS AVAILABILITY'!P413+'RAP TEMPLATE-GAS AVAILABILITY'!Q413+'RAP TEMPLATE-GAS AVAILABILITY'!R413)</f>
        <v>17.488463309352518</v>
      </c>
    </row>
    <row r="415" spans="1:29" ht="15.75" x14ac:dyDescent="0.25">
      <c r="A415" s="33">
        <v>53539</v>
      </c>
      <c r="B415" s="14">
        <f>CHOOSE(CONTROL!$C$42, 17.26, 17.26) * CHOOSE(CONTROL!$C$21, $C$9, 100%, $E$9)</f>
        <v>17.260000000000002</v>
      </c>
      <c r="C415" s="14">
        <f>CHOOSE(CONTROL!$C$42, 17.268, 17.268) * CHOOSE(CONTROL!$C$21, $C$9, 100%, $E$9)</f>
        <v>17.268000000000001</v>
      </c>
      <c r="D415" s="14">
        <f>CHOOSE(CONTROL!$C$42, 17.4655, 17.4655) * CHOOSE(CONTROL!$C$21, $C$9, 100%, $E$9)</f>
        <v>17.465499999999999</v>
      </c>
      <c r="E415" s="14">
        <f>CHOOSE(CONTROL!$C$42, 17.4967, 17.4967) * CHOOSE(CONTROL!$C$21, $C$9, 100%, $E$9)</f>
        <v>17.496700000000001</v>
      </c>
      <c r="F415" s="14">
        <f>CHOOSE(CONTROL!$C$42, 17.2443, 17.2443)*CHOOSE(CONTROL!$C$21, $C$9, 100%, $E$9)</f>
        <v>17.244299999999999</v>
      </c>
      <c r="G415" s="14">
        <f>CHOOSE(CONTROL!$C$42, 17.2606, 17.2606)*CHOOSE(CONTROL!$C$21, $C$9, 100%, $E$9)</f>
        <v>17.2606</v>
      </c>
      <c r="H415" s="14">
        <f>CHOOSE(CONTROL!$C$42, 17.4853, 17.4853) * CHOOSE(CONTROL!$C$21, $C$9, 100%, $E$9)</f>
        <v>17.485299999999999</v>
      </c>
      <c r="I415" s="14">
        <f>CHOOSE(CONTROL!$C$42, 17.2714, 17.2714)* CHOOSE(CONTROL!$C$21, $C$9, 100%, $E$9)</f>
        <v>17.2714</v>
      </c>
      <c r="J415" s="14">
        <f>CHOOSE(CONTROL!$C$42, 17.2373, 17.2373)* CHOOSE(CONTROL!$C$21, $C$9, 100%, $E$9)</f>
        <v>17.237300000000001</v>
      </c>
      <c r="K415" s="53">
        <f>CHOOSE(CONTROL!$C$42, 17.2675, 17.2675) * CHOOSE(CONTROL!$C$21, $C$9, 100%, $E$9)</f>
        <v>17.267499999999998</v>
      </c>
      <c r="L415" s="14">
        <f>CHOOSE(CONTROL!$C$42, 18.0723, 18.0723) * CHOOSE(CONTROL!$C$21, $C$9, 100%, $E$9)</f>
        <v>18.072299999999998</v>
      </c>
      <c r="M415" s="14">
        <f>CHOOSE(CONTROL!$C$42, 17.0772, 17.0772) * CHOOSE(CONTROL!$C$21, $C$9, 100%, $E$9)</f>
        <v>17.077200000000001</v>
      </c>
      <c r="N415" s="14">
        <f>CHOOSE(CONTROL!$C$42, 17.0933, 17.0933) * CHOOSE(CONTROL!$C$21, $C$9, 100%, $E$9)</f>
        <v>17.093299999999999</v>
      </c>
      <c r="O415" s="14">
        <f>CHOOSE(CONTROL!$C$42, 17.3227, 17.3227) * CHOOSE(CONTROL!$C$21, $C$9, 100%, $E$9)</f>
        <v>17.322700000000001</v>
      </c>
      <c r="P415" s="14">
        <f>CHOOSE(CONTROL!$C$42, 17.111, 17.111) * CHOOSE(CONTROL!$C$21, $C$9, 100%, $E$9)</f>
        <v>17.111000000000001</v>
      </c>
      <c r="Q415" s="14">
        <f>CHOOSE(CONTROL!$C$42, 17.918, 17.918) * CHOOSE(CONTROL!$C$21, $C$9, 100%, $E$9)</f>
        <v>17.917999999999999</v>
      </c>
      <c r="R415" s="14">
        <f>CHOOSE(CONTROL!$C$42, 18.5498, 18.5498) * CHOOSE(CONTROL!$C$21, $C$9, 100%, $E$9)</f>
        <v>18.549800000000001</v>
      </c>
      <c r="S415" s="14">
        <f>CHOOSE(CONTROL!$C$42, 16.757, 16.757) * CHOOSE(CONTROL!$C$21, $C$9, 100%, $E$9)</f>
        <v>16.757000000000001</v>
      </c>
      <c r="T41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15" s="57">
        <f>(1000*CHOOSE(CONTROL!$C$42, 695, 695)*CHOOSE(CONTROL!$C$42, 0.5599, 0.5599)*CHOOSE(CONTROL!$C$42, 31, 31))/1000000</f>
        <v>12.063045499999998</v>
      </c>
      <c r="V415" s="57">
        <f>(1000*CHOOSE(CONTROL!$C$42, 500, 500)*CHOOSE(CONTROL!$C$42, 0.275, 0.275)*CHOOSE(CONTROL!$C$42, 31, 31))/1000000</f>
        <v>4.2625000000000002</v>
      </c>
      <c r="W415" s="57">
        <f>(1000*CHOOSE(CONTROL!$C$42, 0.1146, 0.1146)*CHOOSE(CONTROL!$C$42, 121.5, 121.5)*CHOOSE(CONTROL!$C$42, 31, 31))/1000000</f>
        <v>0.43164089999999994</v>
      </c>
      <c r="X415" s="57">
        <f>(31*0.1790888*245000/1000000)+(31*0.2374*100000/1000000)</f>
        <v>2.0961194359999999</v>
      </c>
      <c r="Y415" s="57"/>
      <c r="Z415" s="14"/>
      <c r="AA415" s="56"/>
      <c r="AB415" s="50">
        <f>(B415*194.205+C415*267.466+D415*133.845+E415*53.484+F415*40+G415*185+H415*0+I415*100+J415*300)/(194.205+267.466+133.845+53.484+0+40+185+100+300)</f>
        <v>17.288349716091052</v>
      </c>
      <c r="AC415" s="45">
        <f>(M415*'RAP TEMPLATE-GAS AVAILABILITY'!O414+N415*'RAP TEMPLATE-GAS AVAILABILITY'!P414+O415*'RAP TEMPLATE-GAS AVAILABILITY'!Q414+P415*'RAP TEMPLATE-GAS AVAILABILITY'!R414)/('RAP TEMPLATE-GAS AVAILABILITY'!O414+'RAP TEMPLATE-GAS AVAILABILITY'!P414+'RAP TEMPLATE-GAS AVAILABILITY'!Q414+'RAP TEMPLATE-GAS AVAILABILITY'!R414)</f>
        <v>17.154651079136691</v>
      </c>
    </row>
    <row r="416" spans="1:29" ht="15.75" x14ac:dyDescent="0.25">
      <c r="A416" s="33">
        <v>53570</v>
      </c>
      <c r="B416" s="14">
        <f>CHOOSE(CONTROL!$C$42, 16.4077, 16.4077) * CHOOSE(CONTROL!$C$21, $C$9, 100%, $E$9)</f>
        <v>16.407699999999998</v>
      </c>
      <c r="C416" s="14">
        <f>CHOOSE(CONTROL!$C$42, 16.4157, 16.4157) * CHOOSE(CONTROL!$C$21, $C$9, 100%, $E$9)</f>
        <v>16.415700000000001</v>
      </c>
      <c r="D416" s="14">
        <f>CHOOSE(CONTROL!$C$42, 16.6132, 16.6132) * CHOOSE(CONTROL!$C$21, $C$9, 100%, $E$9)</f>
        <v>16.613199999999999</v>
      </c>
      <c r="E416" s="14">
        <f>CHOOSE(CONTROL!$C$42, 16.6444, 16.6444) * CHOOSE(CONTROL!$C$21, $C$9, 100%, $E$9)</f>
        <v>16.644400000000001</v>
      </c>
      <c r="F416" s="14">
        <f>CHOOSE(CONTROL!$C$42, 16.3922, 16.3922)*CHOOSE(CONTROL!$C$21, $C$9, 100%, $E$9)</f>
        <v>16.392199999999999</v>
      </c>
      <c r="G416" s="14">
        <f>CHOOSE(CONTROL!$C$42, 16.4085, 16.4085)*CHOOSE(CONTROL!$C$21, $C$9, 100%, $E$9)</f>
        <v>16.4085</v>
      </c>
      <c r="H416" s="14">
        <f>CHOOSE(CONTROL!$C$42, 16.633, 16.633) * CHOOSE(CONTROL!$C$21, $C$9, 100%, $E$9)</f>
        <v>16.632999999999999</v>
      </c>
      <c r="I416" s="14">
        <f>CHOOSE(CONTROL!$C$42, 16.4191, 16.4191)* CHOOSE(CONTROL!$C$21, $C$9, 100%, $E$9)</f>
        <v>16.4191</v>
      </c>
      <c r="J416" s="14">
        <f>CHOOSE(CONTROL!$C$42, 16.3852, 16.3852)* CHOOSE(CONTROL!$C$21, $C$9, 100%, $E$9)</f>
        <v>16.385200000000001</v>
      </c>
      <c r="K416" s="53">
        <f>CHOOSE(CONTROL!$C$42, 16.4152, 16.4152) * CHOOSE(CONTROL!$C$21, $C$9, 100%, $E$9)</f>
        <v>16.415199999999999</v>
      </c>
      <c r="L416" s="14">
        <f>CHOOSE(CONTROL!$C$42, 17.22, 17.22) * CHOOSE(CONTROL!$C$21, $C$9, 100%, $E$9)</f>
        <v>17.22</v>
      </c>
      <c r="M416" s="14">
        <f>CHOOSE(CONTROL!$C$42, 16.2337, 16.2337) * CHOOSE(CONTROL!$C$21, $C$9, 100%, $E$9)</f>
        <v>16.233699999999999</v>
      </c>
      <c r="N416" s="14">
        <f>CHOOSE(CONTROL!$C$42, 16.2499, 16.2499) * CHOOSE(CONTROL!$C$21, $C$9, 100%, $E$9)</f>
        <v>16.2499</v>
      </c>
      <c r="O416" s="14">
        <f>CHOOSE(CONTROL!$C$42, 16.479, 16.479) * CHOOSE(CONTROL!$C$21, $C$9, 100%, $E$9)</f>
        <v>16.478999999999999</v>
      </c>
      <c r="P416" s="14">
        <f>CHOOSE(CONTROL!$C$42, 16.2673, 16.2673) * CHOOSE(CONTROL!$C$21, $C$9, 100%, $E$9)</f>
        <v>16.267299999999999</v>
      </c>
      <c r="Q416" s="14">
        <f>CHOOSE(CONTROL!$C$42, 17.0743, 17.0743) * CHOOSE(CONTROL!$C$21, $C$9, 100%, $E$9)</f>
        <v>17.074300000000001</v>
      </c>
      <c r="R416" s="14">
        <f>CHOOSE(CONTROL!$C$42, 17.704, 17.704) * CHOOSE(CONTROL!$C$21, $C$9, 100%, $E$9)</f>
        <v>17.704000000000001</v>
      </c>
      <c r="S416" s="14">
        <f>CHOOSE(CONTROL!$C$42, 15.9293, 15.9293) * CHOOSE(CONTROL!$C$21, $C$9, 100%, $E$9)</f>
        <v>15.9293</v>
      </c>
      <c r="T41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16" s="57">
        <f>(1000*CHOOSE(CONTROL!$C$42, 695, 695)*CHOOSE(CONTROL!$C$42, 0.5599, 0.5599)*CHOOSE(CONTROL!$C$42, 31, 31))/1000000</f>
        <v>12.063045499999998</v>
      </c>
      <c r="V416" s="57">
        <f>(1000*CHOOSE(CONTROL!$C$42, 500, 500)*CHOOSE(CONTROL!$C$42, 0.275, 0.275)*CHOOSE(CONTROL!$C$42, 31, 31))/1000000</f>
        <v>4.2625000000000002</v>
      </c>
      <c r="W416" s="57">
        <f>(1000*CHOOSE(CONTROL!$C$42, 0.1146, 0.1146)*CHOOSE(CONTROL!$C$42, 121.5, 121.5)*CHOOSE(CONTROL!$C$42, 31, 31))/1000000</f>
        <v>0.43164089999999994</v>
      </c>
      <c r="X416" s="57">
        <f>(31*0.1790888*245000/1000000)+(31*0.2374*100000/1000000)</f>
        <v>2.0961194359999999</v>
      </c>
      <c r="Y416" s="57"/>
      <c r="Z416" s="14"/>
      <c r="AA416" s="56"/>
      <c r="AB416" s="50">
        <f>(B416*194.205+C416*267.466+D416*133.845+E416*53.484+F416*40+G416*185+H416*0+I416*100+J416*300)/(194.205+267.466+133.845+53.484+0+40+185+100+300)</f>
        <v>16.436132133673471</v>
      </c>
      <c r="AC416" s="45">
        <f>(M416*'RAP TEMPLATE-GAS AVAILABILITY'!O415+N416*'RAP TEMPLATE-GAS AVAILABILITY'!P415+O416*'RAP TEMPLATE-GAS AVAILABILITY'!Q415+P416*'RAP TEMPLATE-GAS AVAILABILITY'!R415)/('RAP TEMPLATE-GAS AVAILABILITY'!O415+'RAP TEMPLATE-GAS AVAILABILITY'!P415+'RAP TEMPLATE-GAS AVAILABILITY'!Q415+'RAP TEMPLATE-GAS AVAILABILITY'!R415)</f>
        <v>16.311089208633092</v>
      </c>
    </row>
    <row r="417" spans="1:29" ht="15.75" x14ac:dyDescent="0.25">
      <c r="A417" s="33">
        <v>53600</v>
      </c>
      <c r="B417" s="14">
        <f>CHOOSE(CONTROL!$C$42, 15.366, 15.366) * CHOOSE(CONTROL!$C$21, $C$9, 100%, $E$9)</f>
        <v>15.366</v>
      </c>
      <c r="C417" s="14">
        <f>CHOOSE(CONTROL!$C$42, 15.3739, 15.3739) * CHOOSE(CONTROL!$C$21, $C$9, 100%, $E$9)</f>
        <v>15.373900000000001</v>
      </c>
      <c r="D417" s="14">
        <f>CHOOSE(CONTROL!$C$42, 15.5715, 15.5715) * CHOOSE(CONTROL!$C$21, $C$9, 100%, $E$9)</f>
        <v>15.5715</v>
      </c>
      <c r="E417" s="14">
        <f>CHOOSE(CONTROL!$C$42, 15.6027, 15.6027) * CHOOSE(CONTROL!$C$21, $C$9, 100%, $E$9)</f>
        <v>15.6027</v>
      </c>
      <c r="F417" s="14">
        <f>CHOOSE(CONTROL!$C$42, 15.3504, 15.3504)*CHOOSE(CONTROL!$C$21, $C$9, 100%, $E$9)</f>
        <v>15.3504</v>
      </c>
      <c r="G417" s="14">
        <f>CHOOSE(CONTROL!$C$42, 15.3667, 15.3667)*CHOOSE(CONTROL!$C$21, $C$9, 100%, $E$9)</f>
        <v>15.3667</v>
      </c>
      <c r="H417" s="14">
        <f>CHOOSE(CONTROL!$C$42, 15.5913, 15.5913) * CHOOSE(CONTROL!$C$21, $C$9, 100%, $E$9)</f>
        <v>15.5913</v>
      </c>
      <c r="I417" s="14">
        <f>CHOOSE(CONTROL!$C$42, 15.3774, 15.3774)* CHOOSE(CONTROL!$C$21, $C$9, 100%, $E$9)</f>
        <v>15.3774</v>
      </c>
      <c r="J417" s="14">
        <f>CHOOSE(CONTROL!$C$42, 15.3434, 15.3434)* CHOOSE(CONTROL!$C$21, $C$9, 100%, $E$9)</f>
        <v>15.343400000000001</v>
      </c>
      <c r="K417" s="53">
        <f>CHOOSE(CONTROL!$C$42, 15.3735, 15.3735) * CHOOSE(CONTROL!$C$21, $C$9, 100%, $E$9)</f>
        <v>15.3735</v>
      </c>
      <c r="L417" s="14">
        <f>CHOOSE(CONTROL!$C$42, 16.1783, 16.1783) * CHOOSE(CONTROL!$C$21, $C$9, 100%, $E$9)</f>
        <v>16.1783</v>
      </c>
      <c r="M417" s="14">
        <f>CHOOSE(CONTROL!$C$42, 15.2024, 15.2024) * CHOOSE(CONTROL!$C$21, $C$9, 100%, $E$9)</f>
        <v>15.202400000000001</v>
      </c>
      <c r="N417" s="14">
        <f>CHOOSE(CONTROL!$C$42, 15.2185, 15.2185) * CHOOSE(CONTROL!$C$21, $C$9, 100%, $E$9)</f>
        <v>15.218500000000001</v>
      </c>
      <c r="O417" s="14">
        <f>CHOOSE(CONTROL!$C$42, 15.4478, 15.4478) * CHOOSE(CONTROL!$C$21, $C$9, 100%, $E$9)</f>
        <v>15.447800000000001</v>
      </c>
      <c r="P417" s="14">
        <f>CHOOSE(CONTROL!$C$42, 15.2361, 15.2361) * CHOOSE(CONTROL!$C$21, $C$9, 100%, $E$9)</f>
        <v>15.2361</v>
      </c>
      <c r="Q417" s="14">
        <f>CHOOSE(CONTROL!$C$42, 16.0431, 16.0431) * CHOOSE(CONTROL!$C$21, $C$9, 100%, $E$9)</f>
        <v>16.043099999999999</v>
      </c>
      <c r="R417" s="14">
        <f>CHOOSE(CONTROL!$C$42, 16.6702, 16.6702) * CHOOSE(CONTROL!$C$21, $C$9, 100%, $E$9)</f>
        <v>16.670200000000001</v>
      </c>
      <c r="S417" s="14">
        <f>CHOOSE(CONTROL!$C$42, 14.9177, 14.9177) * CHOOSE(CONTROL!$C$21, $C$9, 100%, $E$9)</f>
        <v>14.9177</v>
      </c>
      <c r="T41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17" s="57">
        <f>(1000*CHOOSE(CONTROL!$C$42, 695, 695)*CHOOSE(CONTROL!$C$42, 0.5599, 0.5599)*CHOOSE(CONTROL!$C$42, 30, 30))/1000000</f>
        <v>11.673914999999997</v>
      </c>
      <c r="V417" s="57">
        <f>(1000*CHOOSE(CONTROL!$C$42, 500, 500)*CHOOSE(CONTROL!$C$42, 0.275, 0.275)*CHOOSE(CONTROL!$C$42, 30, 30))/1000000</f>
        <v>4.125</v>
      </c>
      <c r="W417" s="57">
        <f>(1000*CHOOSE(CONTROL!$C$42, 0.1146, 0.1146)*CHOOSE(CONTROL!$C$42, 121.5, 121.5)*CHOOSE(CONTROL!$C$42, 30, 30))/1000000</f>
        <v>0.417717</v>
      </c>
      <c r="X417" s="57">
        <f>(30*0.1790888*245000/1000000)+(30*0.2374*100000/1000000)</f>
        <v>2.0285026799999999</v>
      </c>
      <c r="Y417" s="57"/>
      <c r="Z417" s="14"/>
      <c r="AA417" s="56"/>
      <c r="AB417" s="50">
        <f>(B417*194.205+C417*267.466+D417*133.845+E417*53.484+F417*40+G417*185+H417*0+I417*100+J417*300)/(194.205+267.466+133.845+53.484+0+40+185+100+300)</f>
        <v>15.394369930690736</v>
      </c>
      <c r="AC417" s="45">
        <f>(M417*'RAP TEMPLATE-GAS AVAILABILITY'!O416+N417*'RAP TEMPLATE-GAS AVAILABILITY'!P416+O417*'RAP TEMPLATE-GAS AVAILABILITY'!Q416+P417*'RAP TEMPLATE-GAS AVAILABILITY'!R416)/('RAP TEMPLATE-GAS AVAILABILITY'!O416+'RAP TEMPLATE-GAS AVAILABILITY'!P416+'RAP TEMPLATE-GAS AVAILABILITY'!Q416+'RAP TEMPLATE-GAS AVAILABILITY'!R416)</f>
        <v>15.279808633093525</v>
      </c>
    </row>
    <row r="418" spans="1:29" ht="15.75" x14ac:dyDescent="0.25">
      <c r="A418" s="33">
        <v>53631</v>
      </c>
      <c r="B418" s="14">
        <f>CHOOSE(CONTROL!$C$42, 15.0524, 15.0524) * CHOOSE(CONTROL!$C$21, $C$9, 100%, $E$9)</f>
        <v>15.0524</v>
      </c>
      <c r="C418" s="14">
        <f>CHOOSE(CONTROL!$C$42, 15.0576, 15.0576) * CHOOSE(CONTROL!$C$21, $C$9, 100%, $E$9)</f>
        <v>15.057600000000001</v>
      </c>
      <c r="D418" s="14">
        <f>CHOOSE(CONTROL!$C$42, 15.2601, 15.2601) * CHOOSE(CONTROL!$C$21, $C$9, 100%, $E$9)</f>
        <v>15.2601</v>
      </c>
      <c r="E418" s="14">
        <f>CHOOSE(CONTROL!$C$42, 15.2889, 15.2889) * CHOOSE(CONTROL!$C$21, $C$9, 100%, $E$9)</f>
        <v>15.2889</v>
      </c>
      <c r="F418" s="14">
        <f>CHOOSE(CONTROL!$C$42, 15.0387, 15.0387)*CHOOSE(CONTROL!$C$21, $C$9, 100%, $E$9)</f>
        <v>15.0387</v>
      </c>
      <c r="G418" s="14">
        <f>CHOOSE(CONTROL!$C$42, 15.0548, 15.0548)*CHOOSE(CONTROL!$C$21, $C$9, 100%, $E$9)</f>
        <v>15.0548</v>
      </c>
      <c r="H418" s="14">
        <f>CHOOSE(CONTROL!$C$42, 15.2794, 15.2794) * CHOOSE(CONTROL!$C$21, $C$9, 100%, $E$9)</f>
        <v>15.279400000000001</v>
      </c>
      <c r="I418" s="14">
        <f>CHOOSE(CONTROL!$C$42, 15.0655, 15.0655)* CHOOSE(CONTROL!$C$21, $C$9, 100%, $E$9)</f>
        <v>15.0655</v>
      </c>
      <c r="J418" s="14">
        <f>CHOOSE(CONTROL!$C$42, 15.0317, 15.0317)* CHOOSE(CONTROL!$C$21, $C$9, 100%, $E$9)</f>
        <v>15.031700000000001</v>
      </c>
      <c r="K418" s="53">
        <f>CHOOSE(CONTROL!$C$42, 15.0616, 15.0616) * CHOOSE(CONTROL!$C$21, $C$9, 100%, $E$9)</f>
        <v>15.0616</v>
      </c>
      <c r="L418" s="14">
        <f>CHOOSE(CONTROL!$C$42, 15.8664, 15.8664) * CHOOSE(CONTROL!$C$21, $C$9, 100%, $E$9)</f>
        <v>15.866400000000001</v>
      </c>
      <c r="M418" s="14">
        <f>CHOOSE(CONTROL!$C$42, 14.8939, 14.8939) * CHOOSE(CONTROL!$C$21, $C$9, 100%, $E$9)</f>
        <v>14.8939</v>
      </c>
      <c r="N418" s="14">
        <f>CHOOSE(CONTROL!$C$42, 14.9097, 14.9097) * CHOOSE(CONTROL!$C$21, $C$9, 100%, $E$9)</f>
        <v>14.909700000000001</v>
      </c>
      <c r="O418" s="14">
        <f>CHOOSE(CONTROL!$C$42, 15.139, 15.139) * CHOOSE(CONTROL!$C$21, $C$9, 100%, $E$9)</f>
        <v>15.138999999999999</v>
      </c>
      <c r="P418" s="14">
        <f>CHOOSE(CONTROL!$C$42, 14.9273, 14.9273) * CHOOSE(CONTROL!$C$21, $C$9, 100%, $E$9)</f>
        <v>14.927300000000001</v>
      </c>
      <c r="Q418" s="14">
        <f>CHOOSE(CONTROL!$C$42, 15.7343, 15.7343) * CHOOSE(CONTROL!$C$21, $C$9, 100%, $E$9)</f>
        <v>15.734299999999999</v>
      </c>
      <c r="R418" s="14">
        <f>CHOOSE(CONTROL!$C$42, 16.3607, 16.3607) * CHOOSE(CONTROL!$C$21, $C$9, 100%, $E$9)</f>
        <v>16.360700000000001</v>
      </c>
      <c r="S418" s="14">
        <f>CHOOSE(CONTROL!$C$42, 14.6148, 14.6148) * CHOOSE(CONTROL!$C$21, $C$9, 100%, $E$9)</f>
        <v>14.614800000000001</v>
      </c>
      <c r="T41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18" s="57">
        <f>(1000*CHOOSE(CONTROL!$C$42, 695, 695)*CHOOSE(CONTROL!$C$42, 0.5599, 0.5599)*CHOOSE(CONTROL!$C$42, 31, 31))/1000000</f>
        <v>12.063045499999998</v>
      </c>
      <c r="V418" s="57">
        <f>(1000*CHOOSE(CONTROL!$C$42, 500, 500)*CHOOSE(CONTROL!$C$42, 0.275, 0.275)*CHOOSE(CONTROL!$C$42, 31, 31))/1000000</f>
        <v>4.2625000000000002</v>
      </c>
      <c r="W418" s="57">
        <f>(1000*CHOOSE(CONTROL!$C$42, 0.1146, 0.1146)*CHOOSE(CONTROL!$C$42, 121.5, 121.5)*CHOOSE(CONTROL!$C$42, 31, 31))/1000000</f>
        <v>0.43164089999999994</v>
      </c>
      <c r="X418" s="57">
        <f>(31*0.1790888*245000/1000000)+(31*0.2374*100000/1000000)</f>
        <v>2.0961194359999999</v>
      </c>
      <c r="Y418" s="57"/>
      <c r="Z418" s="14"/>
      <c r="AA418" s="56"/>
      <c r="AB418" s="50">
        <f>(B418*131.881+C418*277.167+D418*79.08+E418*125.872+F418*40+G418*185+H418*0+I418*100+J418*300)/(131.881+277.167+79.08+125.872+0+40+185+100+300)</f>
        <v>15.086807516061338</v>
      </c>
      <c r="AC418" s="45">
        <f>(M418*'RAP TEMPLATE-GAS AVAILABILITY'!O417+N418*'RAP TEMPLATE-GAS AVAILABILITY'!P417+O418*'RAP TEMPLATE-GAS AVAILABILITY'!Q417+P418*'RAP TEMPLATE-GAS AVAILABILITY'!R417)/('RAP TEMPLATE-GAS AVAILABILITY'!O417+'RAP TEMPLATE-GAS AVAILABILITY'!P417+'RAP TEMPLATE-GAS AVAILABILITY'!Q417+'RAP TEMPLATE-GAS AVAILABILITY'!R417)</f>
        <v>14.971112230215825</v>
      </c>
    </row>
    <row r="419" spans="1:29" ht="15.75" x14ac:dyDescent="0.25">
      <c r="A419" s="33">
        <v>53661</v>
      </c>
      <c r="B419" s="14">
        <f>CHOOSE(CONTROL!$C$42, 15.4484, 15.4484) * CHOOSE(CONTROL!$C$21, $C$9, 100%, $E$9)</f>
        <v>15.448399999999999</v>
      </c>
      <c r="C419" s="14">
        <f>CHOOSE(CONTROL!$C$42, 15.4534, 15.4534) * CHOOSE(CONTROL!$C$21, $C$9, 100%, $E$9)</f>
        <v>15.4534</v>
      </c>
      <c r="D419" s="14">
        <f>CHOOSE(CONTROL!$C$42, 15.5164, 15.5164) * CHOOSE(CONTROL!$C$21, $C$9, 100%, $E$9)</f>
        <v>15.516400000000001</v>
      </c>
      <c r="E419" s="14">
        <f>CHOOSE(CONTROL!$C$42, 15.5502, 15.5502) * CHOOSE(CONTROL!$C$21, $C$9, 100%, $E$9)</f>
        <v>15.5502</v>
      </c>
      <c r="F419" s="14">
        <f>CHOOSE(CONTROL!$C$42, 15.4491, 15.4491)*CHOOSE(CONTROL!$C$21, $C$9, 100%, $E$9)</f>
        <v>15.4491</v>
      </c>
      <c r="G419" s="14">
        <f>CHOOSE(CONTROL!$C$42, 15.4654, 15.4654)*CHOOSE(CONTROL!$C$21, $C$9, 100%, $E$9)</f>
        <v>15.465400000000001</v>
      </c>
      <c r="H419" s="14">
        <f>CHOOSE(CONTROL!$C$42, 15.5394, 15.5394) * CHOOSE(CONTROL!$C$21, $C$9, 100%, $E$9)</f>
        <v>15.539400000000001</v>
      </c>
      <c r="I419" s="14">
        <f>CHOOSE(CONTROL!$C$42, 15.462, 15.462)* CHOOSE(CONTROL!$C$21, $C$9, 100%, $E$9)</f>
        <v>15.462</v>
      </c>
      <c r="J419" s="14">
        <f>CHOOSE(CONTROL!$C$42, 15.4421, 15.4421)* CHOOSE(CONTROL!$C$21, $C$9, 100%, $E$9)</f>
        <v>15.4421</v>
      </c>
      <c r="K419" s="53">
        <f>CHOOSE(CONTROL!$C$42, 15.4581, 15.4581) * CHOOSE(CONTROL!$C$21, $C$9, 100%, $E$9)</f>
        <v>15.4581</v>
      </c>
      <c r="L419" s="14">
        <f>CHOOSE(CONTROL!$C$42, 16.1264, 16.1264) * CHOOSE(CONTROL!$C$21, $C$9, 100%, $E$9)</f>
        <v>16.1264</v>
      </c>
      <c r="M419" s="14">
        <f>CHOOSE(CONTROL!$C$42, 15.3001, 15.3001) * CHOOSE(CONTROL!$C$21, $C$9, 100%, $E$9)</f>
        <v>15.3001</v>
      </c>
      <c r="N419" s="14">
        <f>CHOOSE(CONTROL!$C$42, 15.3162, 15.3162) * CHOOSE(CONTROL!$C$21, $C$9, 100%, $E$9)</f>
        <v>15.3162</v>
      </c>
      <c r="O419" s="14">
        <f>CHOOSE(CONTROL!$C$42, 15.3964, 15.3964) * CHOOSE(CONTROL!$C$21, $C$9, 100%, $E$9)</f>
        <v>15.3964</v>
      </c>
      <c r="P419" s="14">
        <f>CHOOSE(CONTROL!$C$42, 15.3198, 15.3198) * CHOOSE(CONTROL!$C$21, $C$9, 100%, $E$9)</f>
        <v>15.319800000000001</v>
      </c>
      <c r="Q419" s="14">
        <f>CHOOSE(CONTROL!$C$42, 15.9917, 15.9917) * CHOOSE(CONTROL!$C$21, $C$9, 100%, $E$9)</f>
        <v>15.9917</v>
      </c>
      <c r="R419" s="14">
        <f>CHOOSE(CONTROL!$C$42, 16.6187, 16.6187) * CHOOSE(CONTROL!$C$21, $C$9, 100%, $E$9)</f>
        <v>16.6187</v>
      </c>
      <c r="S419" s="14">
        <f>CHOOSE(CONTROL!$C$42, 14.9998, 14.9998) * CHOOSE(CONTROL!$C$21, $C$9, 100%, $E$9)</f>
        <v>14.9998</v>
      </c>
      <c r="T41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19" s="57">
        <f>(1000*CHOOSE(CONTROL!$C$42, 695, 695)*CHOOSE(CONTROL!$C$42, 0.5599, 0.5599)*CHOOSE(CONTROL!$C$42, 30, 30))/1000000</f>
        <v>11.673914999999997</v>
      </c>
      <c r="V419" s="57">
        <f>(1000*CHOOSE(CONTROL!$C$42, 500, 500)*CHOOSE(CONTROL!$C$42, 0.275, 0.275)*CHOOSE(CONTROL!$C$42, 30, 30))/1000000</f>
        <v>4.125</v>
      </c>
      <c r="W419" s="57">
        <f>(1000*CHOOSE(CONTROL!$C$42, 0.1146, 0.1146)*CHOOSE(CONTROL!$C$42, 121.5, 121.5)*CHOOSE(CONTROL!$C$42, 30, 30))/1000000</f>
        <v>0.417717</v>
      </c>
      <c r="X419" s="57">
        <f>(30*0.1790888*100000/1000000)+(30*0.2374*100000/1000000)</f>
        <v>1.2494664</v>
      </c>
      <c r="Y419" s="57"/>
      <c r="Z419" s="14"/>
      <c r="AA419" s="56"/>
      <c r="AB419" s="50">
        <f>(B419*122.58+C419*297.941+D419*89.177+E419*40.302+F419*40+G419*160+H419*0+I419*100+J419*300)/(122.58+297.941+89.177+40.302+0+40+160+100+300)</f>
        <v>15.460464769217392</v>
      </c>
      <c r="AC419" s="45">
        <f>(M419*'RAP TEMPLATE-GAS AVAILABILITY'!O418+N419*'RAP TEMPLATE-GAS AVAILABILITY'!P418+O419*'RAP TEMPLATE-GAS AVAILABILITY'!Q418+P419*'RAP TEMPLATE-GAS AVAILABILITY'!R418)/('RAP TEMPLATE-GAS AVAILABILITY'!O418+'RAP TEMPLATE-GAS AVAILABILITY'!P418+'RAP TEMPLATE-GAS AVAILABILITY'!Q418+'RAP TEMPLATE-GAS AVAILABILITY'!R418)</f>
        <v>15.347507913669064</v>
      </c>
    </row>
    <row r="420" spans="1:29" ht="15.75" x14ac:dyDescent="0.25">
      <c r="A420" s="33">
        <v>53692</v>
      </c>
      <c r="B420" s="14">
        <f>CHOOSE(CONTROL!$C$42, 16.5015, 16.5015) * CHOOSE(CONTROL!$C$21, $C$9, 100%, $E$9)</f>
        <v>16.5015</v>
      </c>
      <c r="C420" s="14">
        <f>CHOOSE(CONTROL!$C$42, 16.5064, 16.5064) * CHOOSE(CONTROL!$C$21, $C$9, 100%, $E$9)</f>
        <v>16.506399999999999</v>
      </c>
      <c r="D420" s="14">
        <f>CHOOSE(CONTROL!$C$42, 16.5695, 16.5695) * CHOOSE(CONTROL!$C$21, $C$9, 100%, $E$9)</f>
        <v>16.569500000000001</v>
      </c>
      <c r="E420" s="14">
        <f>CHOOSE(CONTROL!$C$42, 16.6033, 16.6033) * CHOOSE(CONTROL!$C$21, $C$9, 100%, $E$9)</f>
        <v>16.603300000000001</v>
      </c>
      <c r="F420" s="14">
        <f>CHOOSE(CONTROL!$C$42, 16.5042, 16.5042)*CHOOSE(CONTROL!$C$21, $C$9, 100%, $E$9)</f>
        <v>16.504200000000001</v>
      </c>
      <c r="G420" s="14">
        <f>CHOOSE(CONTROL!$C$42, 16.521, 16.521)*CHOOSE(CONTROL!$C$21, $C$9, 100%, $E$9)</f>
        <v>16.521000000000001</v>
      </c>
      <c r="H420" s="14">
        <f>CHOOSE(CONTROL!$C$42, 16.5925, 16.5925) * CHOOSE(CONTROL!$C$21, $C$9, 100%, $E$9)</f>
        <v>16.592500000000001</v>
      </c>
      <c r="I420" s="14">
        <f>CHOOSE(CONTROL!$C$42, 16.515, 16.515)* CHOOSE(CONTROL!$C$21, $C$9, 100%, $E$9)</f>
        <v>16.515000000000001</v>
      </c>
      <c r="J420" s="14">
        <f>CHOOSE(CONTROL!$C$42, 16.4972, 16.4972)* CHOOSE(CONTROL!$C$21, $C$9, 100%, $E$9)</f>
        <v>16.497199999999999</v>
      </c>
      <c r="K420" s="53">
        <f>CHOOSE(CONTROL!$C$42, 16.5111, 16.5111) * CHOOSE(CONTROL!$C$21, $C$9, 100%, $E$9)</f>
        <v>16.511099999999999</v>
      </c>
      <c r="L420" s="14">
        <f>CHOOSE(CONTROL!$C$42, 17.1795, 17.1795) * CHOOSE(CONTROL!$C$21, $C$9, 100%, $E$9)</f>
        <v>17.179500000000001</v>
      </c>
      <c r="M420" s="14">
        <f>CHOOSE(CONTROL!$C$42, 16.3446, 16.3446) * CHOOSE(CONTROL!$C$21, $C$9, 100%, $E$9)</f>
        <v>16.3446</v>
      </c>
      <c r="N420" s="14">
        <f>CHOOSE(CONTROL!$C$42, 16.3612, 16.3612) * CHOOSE(CONTROL!$C$21, $C$9, 100%, $E$9)</f>
        <v>16.3612</v>
      </c>
      <c r="O420" s="14">
        <f>CHOOSE(CONTROL!$C$42, 16.4389, 16.4389) * CHOOSE(CONTROL!$C$21, $C$9, 100%, $E$9)</f>
        <v>16.4389</v>
      </c>
      <c r="P420" s="14">
        <f>CHOOSE(CONTROL!$C$42, 16.3622, 16.3622) * CHOOSE(CONTROL!$C$21, $C$9, 100%, $E$9)</f>
        <v>16.362200000000001</v>
      </c>
      <c r="Q420" s="14">
        <f>CHOOSE(CONTROL!$C$42, 17.0342, 17.0342) * CHOOSE(CONTROL!$C$21, $C$9, 100%, $E$9)</f>
        <v>17.034199999999998</v>
      </c>
      <c r="R420" s="14">
        <f>CHOOSE(CONTROL!$C$42, 17.6637, 17.6637) * CHOOSE(CONTROL!$C$21, $C$9, 100%, $E$9)</f>
        <v>17.663699999999999</v>
      </c>
      <c r="S420" s="14">
        <f>CHOOSE(CONTROL!$C$42, 16.0224, 16.0224) * CHOOSE(CONTROL!$C$21, $C$9, 100%, $E$9)</f>
        <v>16.022400000000001</v>
      </c>
      <c r="T42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20" s="57">
        <f>(1000*CHOOSE(CONTROL!$C$42, 695, 695)*CHOOSE(CONTROL!$C$42, 0.5599, 0.5599)*CHOOSE(CONTROL!$C$42, 31, 31))/1000000</f>
        <v>12.063045499999998</v>
      </c>
      <c r="V420" s="57">
        <f>(1000*CHOOSE(CONTROL!$C$42, 500, 500)*CHOOSE(CONTROL!$C$42, 0.275, 0.275)*CHOOSE(CONTROL!$C$42, 31, 31))/1000000</f>
        <v>4.2625000000000002</v>
      </c>
      <c r="W420" s="57">
        <f>(1000*CHOOSE(CONTROL!$C$42, 0.1146, 0.1146)*CHOOSE(CONTROL!$C$42, 121.5, 121.5)*CHOOSE(CONTROL!$C$42, 31, 31))/1000000</f>
        <v>0.43164089999999994</v>
      </c>
      <c r="X420" s="57">
        <f>(31*0.1790888*100000/1000000)+(31*0.2374*100000/1000000)</f>
        <v>1.2911152800000001</v>
      </c>
      <c r="Y420" s="57"/>
      <c r="Z420" s="14"/>
      <c r="AA420" s="56"/>
      <c r="AB420" s="50">
        <f>(B420*122.58+C420*297.941+D420*89.177+E420*40.302+F420*40+G420*160+H420*0+I420*100+J420*300)/(122.58+297.941+89.177+40.302+0+40+160+100+300)</f>
        <v>16.514469296086958</v>
      </c>
      <c r="AC420" s="45">
        <f>(M420*'RAP TEMPLATE-GAS AVAILABILITY'!O419+N420*'RAP TEMPLATE-GAS AVAILABILITY'!P419+O420*'RAP TEMPLATE-GAS AVAILABILITY'!Q419+P420*'RAP TEMPLATE-GAS AVAILABILITY'!R419)/('RAP TEMPLATE-GAS AVAILABILITY'!O419+'RAP TEMPLATE-GAS AVAILABILITY'!P419+'RAP TEMPLATE-GAS AVAILABILITY'!Q419+'RAP TEMPLATE-GAS AVAILABILITY'!R419)</f>
        <v>16.390828057553961</v>
      </c>
    </row>
    <row r="421" spans="1:29" ht="15.75" x14ac:dyDescent="0.25">
      <c r="A421" s="33">
        <v>53723</v>
      </c>
      <c r="B421" s="14">
        <f>CHOOSE(CONTROL!$C$42, 17.8533, 17.8533) * CHOOSE(CONTROL!$C$21, $C$9, 100%, $E$9)</f>
        <v>17.853300000000001</v>
      </c>
      <c r="C421" s="14">
        <f>CHOOSE(CONTROL!$C$42, 17.8583, 17.8583) * CHOOSE(CONTROL!$C$21, $C$9, 100%, $E$9)</f>
        <v>17.8583</v>
      </c>
      <c r="D421" s="14">
        <f>CHOOSE(CONTROL!$C$42, 17.9225, 17.9225) * CHOOSE(CONTROL!$C$21, $C$9, 100%, $E$9)</f>
        <v>17.922499999999999</v>
      </c>
      <c r="E421" s="14">
        <f>CHOOSE(CONTROL!$C$42, 17.9563, 17.9563) * CHOOSE(CONTROL!$C$21, $C$9, 100%, $E$9)</f>
        <v>17.956299999999999</v>
      </c>
      <c r="F421" s="14">
        <f>CHOOSE(CONTROL!$C$42, 17.8548, 17.8548)*CHOOSE(CONTROL!$C$21, $C$9, 100%, $E$9)</f>
        <v>17.854800000000001</v>
      </c>
      <c r="G421" s="14">
        <f>CHOOSE(CONTROL!$C$42, 17.8707, 17.8707)*CHOOSE(CONTROL!$C$21, $C$9, 100%, $E$9)</f>
        <v>17.870699999999999</v>
      </c>
      <c r="H421" s="14">
        <f>CHOOSE(CONTROL!$C$42, 17.9455, 17.9455) * CHOOSE(CONTROL!$C$21, $C$9, 100%, $E$9)</f>
        <v>17.945499999999999</v>
      </c>
      <c r="I421" s="14">
        <f>CHOOSE(CONTROL!$C$42, 17.8733, 17.8733)* CHOOSE(CONTROL!$C$21, $C$9, 100%, $E$9)</f>
        <v>17.8733</v>
      </c>
      <c r="J421" s="14">
        <f>CHOOSE(CONTROL!$C$42, 17.8478, 17.8478)* CHOOSE(CONTROL!$C$21, $C$9, 100%, $E$9)</f>
        <v>17.847799999999999</v>
      </c>
      <c r="K421" s="53">
        <f>CHOOSE(CONTROL!$C$42, 17.8694, 17.8694) * CHOOSE(CONTROL!$C$21, $C$9, 100%, $E$9)</f>
        <v>17.869399999999999</v>
      </c>
      <c r="L421" s="14">
        <f>CHOOSE(CONTROL!$C$42, 18.5325, 18.5325) * CHOOSE(CONTROL!$C$21, $C$9, 100%, $E$9)</f>
        <v>18.532499999999999</v>
      </c>
      <c r="M421" s="14">
        <f>CHOOSE(CONTROL!$C$42, 17.6815, 17.6815) * CHOOSE(CONTROL!$C$21, $C$9, 100%, $E$9)</f>
        <v>17.6815</v>
      </c>
      <c r="N421" s="14">
        <f>CHOOSE(CONTROL!$C$42, 17.6973, 17.6973) * CHOOSE(CONTROL!$C$21, $C$9, 100%, $E$9)</f>
        <v>17.697299999999998</v>
      </c>
      <c r="O421" s="14">
        <f>CHOOSE(CONTROL!$C$42, 17.7782, 17.7782) * CHOOSE(CONTROL!$C$21, $C$9, 100%, $E$9)</f>
        <v>17.778199999999998</v>
      </c>
      <c r="P421" s="14">
        <f>CHOOSE(CONTROL!$C$42, 17.7068, 17.7068) * CHOOSE(CONTROL!$C$21, $C$9, 100%, $E$9)</f>
        <v>17.706800000000001</v>
      </c>
      <c r="Q421" s="14">
        <f>CHOOSE(CONTROL!$C$42, 18.3735, 18.3735) * CHOOSE(CONTROL!$C$21, $C$9, 100%, $E$9)</f>
        <v>18.3735</v>
      </c>
      <c r="R421" s="14">
        <f>CHOOSE(CONTROL!$C$42, 19.0065, 19.0065) * CHOOSE(CONTROL!$C$21, $C$9, 100%, $E$9)</f>
        <v>19.006499999999999</v>
      </c>
      <c r="S421" s="14">
        <f>CHOOSE(CONTROL!$C$42, 17.3352, 17.3352) * CHOOSE(CONTROL!$C$21, $C$9, 100%, $E$9)</f>
        <v>17.3352</v>
      </c>
      <c r="T42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21" s="57">
        <f>(1000*CHOOSE(CONTROL!$C$42, 695, 695)*CHOOSE(CONTROL!$C$42, 0.5599, 0.5599)*CHOOSE(CONTROL!$C$42, 31, 31))/1000000</f>
        <v>12.063045499999998</v>
      </c>
      <c r="V421" s="57">
        <f>(1000*CHOOSE(CONTROL!$C$42, 500, 500)*CHOOSE(CONTROL!$C$42, 0.275, 0.275)*CHOOSE(CONTROL!$C$42, 31, 31))/1000000</f>
        <v>4.2625000000000002</v>
      </c>
      <c r="W421" s="57">
        <f>(1000*CHOOSE(CONTROL!$C$42, 0.1146, 0.1146)*CHOOSE(CONTROL!$C$42, 121.5, 121.5)*CHOOSE(CONTROL!$C$42, 31, 31))/1000000</f>
        <v>0.43164089999999994</v>
      </c>
      <c r="X421" s="57">
        <f>(31*0.1790888*100000/1000000)+(31*0.2374*100000/1000000)</f>
        <v>1.2911152800000001</v>
      </c>
      <c r="Y421" s="57"/>
      <c r="Z421" s="14"/>
      <c r="AA421" s="56"/>
      <c r="AB421" s="50">
        <f>(B421*122.58+C421*297.941+D421*89.177+E421*40.302+F421*40+G421*160+H421*0+I421*100+J421*300)/(122.58+297.941+89.177+40.302+0+40+160+100+300)</f>
        <v>17.866348573391306</v>
      </c>
      <c r="AC421" s="45">
        <f>(M421*'RAP TEMPLATE-GAS AVAILABILITY'!O420+N421*'RAP TEMPLATE-GAS AVAILABILITY'!P420+O421*'RAP TEMPLATE-GAS AVAILABILITY'!Q420+P421*'RAP TEMPLATE-GAS AVAILABILITY'!R420)/('RAP TEMPLATE-GAS AVAILABILITY'!O420+'RAP TEMPLATE-GAS AVAILABILITY'!P420+'RAP TEMPLATE-GAS AVAILABILITY'!Q420+'RAP TEMPLATE-GAS AVAILABILITY'!R420)</f>
        <v>17.729877697841726</v>
      </c>
    </row>
    <row r="422" spans="1:29" ht="15.75" x14ac:dyDescent="0.25">
      <c r="A422" s="33">
        <v>53751</v>
      </c>
      <c r="B422" s="14">
        <f>CHOOSE(CONTROL!$C$42, 18.1711, 18.1711) * CHOOSE(CONTROL!$C$21, $C$9, 100%, $E$9)</f>
        <v>18.171099999999999</v>
      </c>
      <c r="C422" s="14">
        <f>CHOOSE(CONTROL!$C$42, 18.176, 18.176) * CHOOSE(CONTROL!$C$21, $C$9, 100%, $E$9)</f>
        <v>18.175999999999998</v>
      </c>
      <c r="D422" s="14">
        <f>CHOOSE(CONTROL!$C$42, 18.2403, 18.2403) * CHOOSE(CONTROL!$C$21, $C$9, 100%, $E$9)</f>
        <v>18.240300000000001</v>
      </c>
      <c r="E422" s="14">
        <f>CHOOSE(CONTROL!$C$42, 18.2741, 18.2741) * CHOOSE(CONTROL!$C$21, $C$9, 100%, $E$9)</f>
        <v>18.274100000000001</v>
      </c>
      <c r="F422" s="14">
        <f>CHOOSE(CONTROL!$C$42, 18.1726, 18.1726)*CHOOSE(CONTROL!$C$21, $C$9, 100%, $E$9)</f>
        <v>18.172599999999999</v>
      </c>
      <c r="G422" s="14">
        <f>CHOOSE(CONTROL!$C$42, 18.1886, 18.1886)*CHOOSE(CONTROL!$C$21, $C$9, 100%, $E$9)</f>
        <v>18.188600000000001</v>
      </c>
      <c r="H422" s="14">
        <f>CHOOSE(CONTROL!$C$42, 18.2633, 18.2633) * CHOOSE(CONTROL!$C$21, $C$9, 100%, $E$9)</f>
        <v>18.263300000000001</v>
      </c>
      <c r="I422" s="14">
        <f>CHOOSE(CONTROL!$C$42, 18.191, 18.191)* CHOOSE(CONTROL!$C$21, $C$9, 100%, $E$9)</f>
        <v>18.190999999999999</v>
      </c>
      <c r="J422" s="14">
        <f>CHOOSE(CONTROL!$C$42, 18.1656, 18.1656)* CHOOSE(CONTROL!$C$21, $C$9, 100%, $E$9)</f>
        <v>18.165600000000001</v>
      </c>
      <c r="K422" s="53">
        <f>CHOOSE(CONTROL!$C$42, 18.1872, 18.1872) * CHOOSE(CONTROL!$C$21, $C$9, 100%, $E$9)</f>
        <v>18.187200000000001</v>
      </c>
      <c r="L422" s="14">
        <f>CHOOSE(CONTROL!$C$42, 18.8503, 18.8503) * CHOOSE(CONTROL!$C$21, $C$9, 100%, $E$9)</f>
        <v>18.850300000000001</v>
      </c>
      <c r="M422" s="14">
        <f>CHOOSE(CONTROL!$C$42, 17.9961, 17.9961) * CHOOSE(CONTROL!$C$21, $C$9, 100%, $E$9)</f>
        <v>17.996099999999998</v>
      </c>
      <c r="N422" s="14">
        <f>CHOOSE(CONTROL!$C$42, 18.0119, 18.0119) * CHOOSE(CONTROL!$C$21, $C$9, 100%, $E$9)</f>
        <v>18.011900000000001</v>
      </c>
      <c r="O422" s="14">
        <f>CHOOSE(CONTROL!$C$42, 18.0928, 18.0928) * CHOOSE(CONTROL!$C$21, $C$9, 100%, $E$9)</f>
        <v>18.0928</v>
      </c>
      <c r="P422" s="14">
        <f>CHOOSE(CONTROL!$C$42, 18.0213, 18.0213) * CHOOSE(CONTROL!$C$21, $C$9, 100%, $E$9)</f>
        <v>18.0213</v>
      </c>
      <c r="Q422" s="14">
        <f>CHOOSE(CONTROL!$C$42, 18.6881, 18.6881) * CHOOSE(CONTROL!$C$21, $C$9, 100%, $E$9)</f>
        <v>18.688099999999999</v>
      </c>
      <c r="R422" s="14">
        <f>CHOOSE(CONTROL!$C$42, 19.3218, 19.3218) * CHOOSE(CONTROL!$C$21, $C$9, 100%, $E$9)</f>
        <v>19.3218</v>
      </c>
      <c r="S422" s="14">
        <f>CHOOSE(CONTROL!$C$42, 17.6438, 17.6438) * CHOOSE(CONTROL!$C$21, $C$9, 100%, $E$9)</f>
        <v>17.643799999999999</v>
      </c>
      <c r="T42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22" s="57">
        <f>(1000*CHOOSE(CONTROL!$C$42, 695, 695)*CHOOSE(CONTROL!$C$42, 0.5599, 0.5599)*CHOOSE(CONTROL!$C$42, 28, 28))/1000000</f>
        <v>10.895653999999999</v>
      </c>
      <c r="V422" s="57">
        <f>(1000*CHOOSE(CONTROL!$C$42, 500, 500)*CHOOSE(CONTROL!$C$42, 0.275, 0.275)*CHOOSE(CONTROL!$C$42, 28, 28))/1000000</f>
        <v>3.85</v>
      </c>
      <c r="W422" s="57">
        <f>(1000*CHOOSE(CONTROL!$C$42, 0.1146, 0.1146)*CHOOSE(CONTROL!$C$42, 121.5, 121.5)*CHOOSE(CONTROL!$C$42, 28, 28))/1000000</f>
        <v>0.38986920000000003</v>
      </c>
      <c r="X422" s="57">
        <f>(28*0.1790888*100000/1000000)+(28*0.2374*100000/1000000)</f>
        <v>1.16616864</v>
      </c>
      <c r="Y422" s="57"/>
      <c r="Z422" s="14"/>
      <c r="AA422" s="56"/>
      <c r="AB422" s="50">
        <f>(B422*122.58+C422*297.941+D422*89.177+E422*40.302+F422*40+G422*160+H422*0+I422*100+J422*300)/(122.58+297.941+89.177+40.302+0+40+160+100+300)</f>
        <v>18.184127882869564</v>
      </c>
      <c r="AC422" s="45">
        <f>(M422*'RAP TEMPLATE-GAS AVAILABILITY'!O421+N422*'RAP TEMPLATE-GAS AVAILABILITY'!P421+O422*'RAP TEMPLATE-GAS AVAILABILITY'!Q421+P422*'RAP TEMPLATE-GAS AVAILABILITY'!R421)/('RAP TEMPLATE-GAS AVAILABILITY'!O421+'RAP TEMPLATE-GAS AVAILABILITY'!P421+'RAP TEMPLATE-GAS AVAILABILITY'!Q421+'RAP TEMPLATE-GAS AVAILABILITY'!R421)</f>
        <v>18.044463309352516</v>
      </c>
    </row>
    <row r="423" spans="1:29" ht="15.75" x14ac:dyDescent="0.25">
      <c r="A423" s="33">
        <v>53782</v>
      </c>
      <c r="B423" s="14">
        <f>CHOOSE(CONTROL!$C$42, 17.6553, 17.6553) * CHOOSE(CONTROL!$C$21, $C$9, 100%, $E$9)</f>
        <v>17.6553</v>
      </c>
      <c r="C423" s="14">
        <f>CHOOSE(CONTROL!$C$42, 17.6602, 17.6602) * CHOOSE(CONTROL!$C$21, $C$9, 100%, $E$9)</f>
        <v>17.6602</v>
      </c>
      <c r="D423" s="14">
        <f>CHOOSE(CONTROL!$C$42, 17.7245, 17.7245) * CHOOSE(CONTROL!$C$21, $C$9, 100%, $E$9)</f>
        <v>17.724499999999999</v>
      </c>
      <c r="E423" s="14">
        <f>CHOOSE(CONTROL!$C$42, 17.7583, 17.7583) * CHOOSE(CONTROL!$C$21, $C$9, 100%, $E$9)</f>
        <v>17.758299999999998</v>
      </c>
      <c r="F423" s="14">
        <f>CHOOSE(CONTROL!$C$42, 17.6565, 17.6565)*CHOOSE(CONTROL!$C$21, $C$9, 100%, $E$9)</f>
        <v>17.656500000000001</v>
      </c>
      <c r="G423" s="14">
        <f>CHOOSE(CONTROL!$C$42, 17.6724, 17.6724)*CHOOSE(CONTROL!$C$21, $C$9, 100%, $E$9)</f>
        <v>17.6724</v>
      </c>
      <c r="H423" s="14">
        <f>CHOOSE(CONTROL!$C$42, 17.7475, 17.7475) * CHOOSE(CONTROL!$C$21, $C$9, 100%, $E$9)</f>
        <v>17.747499999999999</v>
      </c>
      <c r="I423" s="14">
        <f>CHOOSE(CONTROL!$C$42, 17.6752, 17.6752)* CHOOSE(CONTROL!$C$21, $C$9, 100%, $E$9)</f>
        <v>17.6752</v>
      </c>
      <c r="J423" s="14">
        <f>CHOOSE(CONTROL!$C$42, 17.6495, 17.6495)* CHOOSE(CONTROL!$C$21, $C$9, 100%, $E$9)</f>
        <v>17.6495</v>
      </c>
      <c r="K423" s="53">
        <f>CHOOSE(CONTROL!$C$42, 17.6714, 17.6714) * CHOOSE(CONTROL!$C$21, $C$9, 100%, $E$9)</f>
        <v>17.671399999999998</v>
      </c>
      <c r="L423" s="14">
        <f>CHOOSE(CONTROL!$C$42, 18.3345, 18.3345) * CHOOSE(CONTROL!$C$21, $C$9, 100%, $E$9)</f>
        <v>18.334499999999998</v>
      </c>
      <c r="M423" s="14">
        <f>CHOOSE(CONTROL!$C$42, 17.4852, 17.4852) * CHOOSE(CONTROL!$C$21, $C$9, 100%, $E$9)</f>
        <v>17.485199999999999</v>
      </c>
      <c r="N423" s="14">
        <f>CHOOSE(CONTROL!$C$42, 17.5009, 17.5009) * CHOOSE(CONTROL!$C$21, $C$9, 100%, $E$9)</f>
        <v>17.500900000000001</v>
      </c>
      <c r="O423" s="14">
        <f>CHOOSE(CONTROL!$C$42, 17.5822, 17.5822) * CHOOSE(CONTROL!$C$21, $C$9, 100%, $E$9)</f>
        <v>17.5822</v>
      </c>
      <c r="P423" s="14">
        <f>CHOOSE(CONTROL!$C$42, 17.5107, 17.5107) * CHOOSE(CONTROL!$C$21, $C$9, 100%, $E$9)</f>
        <v>17.5107</v>
      </c>
      <c r="Q423" s="14">
        <f>CHOOSE(CONTROL!$C$42, 18.1775, 18.1775) * CHOOSE(CONTROL!$C$21, $C$9, 100%, $E$9)</f>
        <v>18.177499999999998</v>
      </c>
      <c r="R423" s="14">
        <f>CHOOSE(CONTROL!$C$42, 18.8099, 18.8099) * CHOOSE(CONTROL!$C$21, $C$9, 100%, $E$9)</f>
        <v>18.809899999999999</v>
      </c>
      <c r="S423" s="14">
        <f>CHOOSE(CONTROL!$C$42, 17.1429, 17.1429) * CHOOSE(CONTROL!$C$21, $C$9, 100%, $E$9)</f>
        <v>17.142900000000001</v>
      </c>
      <c r="T42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23" s="57">
        <f>(1000*CHOOSE(CONTROL!$C$42, 695, 695)*CHOOSE(CONTROL!$C$42, 0.5599, 0.5599)*CHOOSE(CONTROL!$C$42, 31, 31))/1000000</f>
        <v>12.063045499999998</v>
      </c>
      <c r="V423" s="57">
        <f>(1000*CHOOSE(CONTROL!$C$42, 500, 500)*CHOOSE(CONTROL!$C$42, 0.275, 0.275)*CHOOSE(CONTROL!$C$42, 31, 31))/1000000</f>
        <v>4.2625000000000002</v>
      </c>
      <c r="W423" s="57">
        <f>(1000*CHOOSE(CONTROL!$C$42, 0.1146, 0.1146)*CHOOSE(CONTROL!$C$42, 121.5, 121.5)*CHOOSE(CONTROL!$C$42, 31, 31))/1000000</f>
        <v>0.43164089999999994</v>
      </c>
      <c r="X423" s="57">
        <f>(31*0.1790888*100000/1000000)+(31*0.2374*100000/1000000)</f>
        <v>1.2911152800000001</v>
      </c>
      <c r="Y423" s="57"/>
      <c r="Z423" s="14"/>
      <c r="AA423" s="56"/>
      <c r="AB423" s="50">
        <f>(B423*122.58+C423*297.941+D423*89.177+E423*40.302+F423*40+G423*160+H423*0+I423*100+J423*300)/(122.58+297.941+89.177+40.302+0+40+160+100+300)</f>
        <v>17.668183535043479</v>
      </c>
      <c r="AC423" s="45">
        <f>(M423*'RAP TEMPLATE-GAS AVAILABILITY'!O422+N423*'RAP TEMPLATE-GAS AVAILABILITY'!P422+O423*'RAP TEMPLATE-GAS AVAILABILITY'!Q422+P423*'RAP TEMPLATE-GAS AVAILABILITY'!R422)/('RAP TEMPLATE-GAS AVAILABILITY'!O422+'RAP TEMPLATE-GAS AVAILABILITY'!P422+'RAP TEMPLATE-GAS AVAILABILITY'!Q422+'RAP TEMPLATE-GAS AVAILABILITY'!R422)</f>
        <v>17.533736690647483</v>
      </c>
    </row>
    <row r="424" spans="1:29" ht="15.75" x14ac:dyDescent="0.25">
      <c r="A424" s="33">
        <v>53812</v>
      </c>
      <c r="B424" s="14">
        <f>CHOOSE(CONTROL!$C$42, 17.6036, 17.6036) * CHOOSE(CONTROL!$C$21, $C$9, 100%, $E$9)</f>
        <v>17.6036</v>
      </c>
      <c r="C424" s="14">
        <f>CHOOSE(CONTROL!$C$42, 17.608, 17.608) * CHOOSE(CONTROL!$C$21, $C$9, 100%, $E$9)</f>
        <v>17.608000000000001</v>
      </c>
      <c r="D424" s="14">
        <f>CHOOSE(CONTROL!$C$42, 17.8087, 17.8087) * CHOOSE(CONTROL!$C$21, $C$9, 100%, $E$9)</f>
        <v>17.808700000000002</v>
      </c>
      <c r="E424" s="14">
        <f>CHOOSE(CONTROL!$C$42, 17.8405, 17.8405) * CHOOSE(CONTROL!$C$21, $C$9, 100%, $E$9)</f>
        <v>17.840499999999999</v>
      </c>
      <c r="F424" s="14">
        <f>CHOOSE(CONTROL!$C$42, 17.5882, 17.5882)*CHOOSE(CONTROL!$C$21, $C$9, 100%, $E$9)</f>
        <v>17.588200000000001</v>
      </c>
      <c r="G424" s="14">
        <f>CHOOSE(CONTROL!$C$42, 17.6038, 17.6038)*CHOOSE(CONTROL!$C$21, $C$9, 100%, $E$9)</f>
        <v>17.6038</v>
      </c>
      <c r="H424" s="14">
        <f>CHOOSE(CONTROL!$C$42, 17.8303, 17.8303) * CHOOSE(CONTROL!$C$21, $C$9, 100%, $E$9)</f>
        <v>17.830300000000001</v>
      </c>
      <c r="I424" s="14">
        <f>CHOOSE(CONTROL!$C$42, 17.6163, 17.6163)* CHOOSE(CONTROL!$C$21, $C$9, 100%, $E$9)</f>
        <v>17.616299999999999</v>
      </c>
      <c r="J424" s="14">
        <f>CHOOSE(CONTROL!$C$42, 17.5812, 17.5812)* CHOOSE(CONTROL!$C$21, $C$9, 100%, $E$9)</f>
        <v>17.581199999999999</v>
      </c>
      <c r="K424" s="53">
        <f>CHOOSE(CONTROL!$C$42, 17.6125, 17.6125) * CHOOSE(CONTROL!$C$21, $C$9, 100%, $E$9)</f>
        <v>17.612500000000001</v>
      </c>
      <c r="L424" s="14">
        <f>CHOOSE(CONTROL!$C$42, 18.4173, 18.4173) * CHOOSE(CONTROL!$C$21, $C$9, 100%, $E$9)</f>
        <v>18.417300000000001</v>
      </c>
      <c r="M424" s="14">
        <f>CHOOSE(CONTROL!$C$42, 17.4176, 17.4176) * CHOOSE(CONTROL!$C$21, $C$9, 100%, $E$9)</f>
        <v>17.4176</v>
      </c>
      <c r="N424" s="14">
        <f>CHOOSE(CONTROL!$C$42, 17.433, 17.433) * CHOOSE(CONTROL!$C$21, $C$9, 100%, $E$9)</f>
        <v>17.433</v>
      </c>
      <c r="O424" s="14">
        <f>CHOOSE(CONTROL!$C$42, 17.6641, 17.6641) * CHOOSE(CONTROL!$C$21, $C$9, 100%, $E$9)</f>
        <v>17.664100000000001</v>
      </c>
      <c r="P424" s="14">
        <f>CHOOSE(CONTROL!$C$42, 17.4524, 17.4524) * CHOOSE(CONTROL!$C$21, $C$9, 100%, $E$9)</f>
        <v>17.452400000000001</v>
      </c>
      <c r="Q424" s="14">
        <f>CHOOSE(CONTROL!$C$42, 18.2594, 18.2594) * CHOOSE(CONTROL!$C$21, $C$9, 100%, $E$9)</f>
        <v>18.259399999999999</v>
      </c>
      <c r="R424" s="14">
        <f>CHOOSE(CONTROL!$C$42, 18.8921, 18.8921) * CHOOSE(CONTROL!$C$21, $C$9, 100%, $E$9)</f>
        <v>18.892099999999999</v>
      </c>
      <c r="S424" s="14">
        <f>CHOOSE(CONTROL!$C$42, 17.0919, 17.0919) * CHOOSE(CONTROL!$C$21, $C$9, 100%, $E$9)</f>
        <v>17.091899999999999</v>
      </c>
      <c r="T42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24" s="57">
        <f>(1000*CHOOSE(CONTROL!$C$42, 695, 695)*CHOOSE(CONTROL!$C$42, 0.5599, 0.5599)*CHOOSE(CONTROL!$C$42, 30, 30))/1000000</f>
        <v>11.673914999999997</v>
      </c>
      <c r="V424" s="57">
        <f>(1000*CHOOSE(CONTROL!$C$42, 500, 500)*CHOOSE(CONTROL!$C$42, 0.275, 0.275)*CHOOSE(CONTROL!$C$42, 30, 30))/1000000</f>
        <v>4.125</v>
      </c>
      <c r="W424" s="57">
        <f>(1000*CHOOSE(CONTROL!$C$42, 0.1146, 0.1146)*CHOOSE(CONTROL!$C$42, 121.5, 121.5)*CHOOSE(CONTROL!$C$42, 30, 30))/1000000</f>
        <v>0.417717</v>
      </c>
      <c r="X424" s="57">
        <f>(30*0.1790888*245000/1000000)+(30*0.2374*100000/1000000)</f>
        <v>2.0285026799999999</v>
      </c>
      <c r="Y424" s="57"/>
      <c r="Z424" s="14"/>
      <c r="AA424" s="56"/>
      <c r="AB424" s="50">
        <f>(B424*141.293+C424*267.993+D424*115.016+E424*89.698+F424*40+G424*185+H424*0+I424*100+J424*300)/(141.293+267.993+115.016+89.698+0+40+185+100+300)</f>
        <v>17.63587555044391</v>
      </c>
      <c r="AC424" s="45">
        <f>(M424*'RAP TEMPLATE-GAS AVAILABILITY'!O423+N424*'RAP TEMPLATE-GAS AVAILABILITY'!P423+O424*'RAP TEMPLATE-GAS AVAILABILITY'!Q423+P424*'RAP TEMPLATE-GAS AVAILABILITY'!R423)/('RAP TEMPLATE-GAS AVAILABILITY'!O423+'RAP TEMPLATE-GAS AVAILABILITY'!P423+'RAP TEMPLATE-GAS AVAILABILITY'!Q423+'RAP TEMPLATE-GAS AVAILABILITY'!R423)</f>
        <v>17.495314388489209</v>
      </c>
    </row>
    <row r="425" spans="1:29" ht="15.75" x14ac:dyDescent="0.25">
      <c r="A425" s="33">
        <v>53843</v>
      </c>
      <c r="B425" s="14">
        <f>CHOOSE(CONTROL!$C$42, 17.7603, 17.7603) * CHOOSE(CONTROL!$C$21, $C$9, 100%, $E$9)</f>
        <v>17.760300000000001</v>
      </c>
      <c r="C425" s="14">
        <f>CHOOSE(CONTROL!$C$42, 17.7682, 17.7682) * CHOOSE(CONTROL!$C$21, $C$9, 100%, $E$9)</f>
        <v>17.7682</v>
      </c>
      <c r="D425" s="14">
        <f>CHOOSE(CONTROL!$C$42, 17.9658, 17.9658) * CHOOSE(CONTROL!$C$21, $C$9, 100%, $E$9)</f>
        <v>17.965800000000002</v>
      </c>
      <c r="E425" s="14">
        <f>CHOOSE(CONTROL!$C$42, 17.997, 17.997) * CHOOSE(CONTROL!$C$21, $C$9, 100%, $E$9)</f>
        <v>17.997</v>
      </c>
      <c r="F425" s="14">
        <f>CHOOSE(CONTROL!$C$42, 17.7437, 17.7437)*CHOOSE(CONTROL!$C$21, $C$9, 100%, $E$9)</f>
        <v>17.7437</v>
      </c>
      <c r="G425" s="14">
        <f>CHOOSE(CONTROL!$C$42, 17.7598, 17.7598)*CHOOSE(CONTROL!$C$21, $C$9, 100%, $E$9)</f>
        <v>17.759799999999998</v>
      </c>
      <c r="H425" s="14">
        <f>CHOOSE(CONTROL!$C$42, 17.9856, 17.9856) * CHOOSE(CONTROL!$C$21, $C$9, 100%, $E$9)</f>
        <v>17.985600000000002</v>
      </c>
      <c r="I425" s="14">
        <f>CHOOSE(CONTROL!$C$42, 17.7717, 17.7717)* CHOOSE(CONTROL!$C$21, $C$9, 100%, $E$9)</f>
        <v>17.771699999999999</v>
      </c>
      <c r="J425" s="14">
        <f>CHOOSE(CONTROL!$C$42, 17.7367, 17.7367)* CHOOSE(CONTROL!$C$21, $C$9, 100%, $E$9)</f>
        <v>17.736699999999999</v>
      </c>
      <c r="K425" s="53">
        <f>CHOOSE(CONTROL!$C$42, 17.7678, 17.7678) * CHOOSE(CONTROL!$C$21, $C$9, 100%, $E$9)</f>
        <v>17.767800000000001</v>
      </c>
      <c r="L425" s="14">
        <f>CHOOSE(CONTROL!$C$42, 18.5726, 18.5726) * CHOOSE(CONTROL!$C$21, $C$9, 100%, $E$9)</f>
        <v>18.572600000000001</v>
      </c>
      <c r="M425" s="14">
        <f>CHOOSE(CONTROL!$C$42, 17.5716, 17.5716) * CHOOSE(CONTROL!$C$21, $C$9, 100%, $E$9)</f>
        <v>17.5716</v>
      </c>
      <c r="N425" s="14">
        <f>CHOOSE(CONTROL!$C$42, 17.5875, 17.5875) * CHOOSE(CONTROL!$C$21, $C$9, 100%, $E$9)</f>
        <v>17.587499999999999</v>
      </c>
      <c r="O425" s="14">
        <f>CHOOSE(CONTROL!$C$42, 17.8179, 17.8179) * CHOOSE(CONTROL!$C$21, $C$9, 100%, $E$9)</f>
        <v>17.817900000000002</v>
      </c>
      <c r="P425" s="14">
        <f>CHOOSE(CONTROL!$C$42, 17.6062, 17.6062) * CHOOSE(CONTROL!$C$21, $C$9, 100%, $E$9)</f>
        <v>17.606200000000001</v>
      </c>
      <c r="Q425" s="14">
        <f>CHOOSE(CONTROL!$C$42, 18.4132, 18.4132) * CHOOSE(CONTROL!$C$21, $C$9, 100%, $E$9)</f>
        <v>18.4132</v>
      </c>
      <c r="R425" s="14">
        <f>CHOOSE(CONTROL!$C$42, 19.0462, 19.0462) * CHOOSE(CONTROL!$C$21, $C$9, 100%, $E$9)</f>
        <v>19.046199999999999</v>
      </c>
      <c r="S425" s="14">
        <f>CHOOSE(CONTROL!$C$42, 17.2428, 17.2428) * CHOOSE(CONTROL!$C$21, $C$9, 100%, $E$9)</f>
        <v>17.242799999999999</v>
      </c>
      <c r="T42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25" s="57">
        <f>(1000*CHOOSE(CONTROL!$C$42, 695, 695)*CHOOSE(CONTROL!$C$42, 0.5599, 0.5599)*CHOOSE(CONTROL!$C$42, 31, 31))/1000000</f>
        <v>12.063045499999998</v>
      </c>
      <c r="V425" s="57">
        <f>(1000*CHOOSE(CONTROL!$C$42, 500, 500)*CHOOSE(CONTROL!$C$42, 0.275, 0.275)*CHOOSE(CONTROL!$C$42, 31, 31))/1000000</f>
        <v>4.2625000000000002</v>
      </c>
      <c r="W425" s="57">
        <f>(1000*CHOOSE(CONTROL!$C$42, 0.1146, 0.1146)*CHOOSE(CONTROL!$C$42, 121.5, 121.5)*CHOOSE(CONTROL!$C$42, 31, 31))/1000000</f>
        <v>0.43164089999999994</v>
      </c>
      <c r="X425" s="57">
        <f>(31*0.1790888*245000/1000000)+(31*0.2374*100000/1000000)</f>
        <v>2.0961194359999999</v>
      </c>
      <c r="Y425" s="57"/>
      <c r="Z425" s="14"/>
      <c r="AA425" s="56"/>
      <c r="AB425" s="50">
        <f>(B425*194.205+C425*267.466+D425*133.845+E425*53.484+F425*40+G425*185+H425*0+I425*100+J425*300)/(194.205+267.466+133.845+53.484+0+40+185+100+300)</f>
        <v>17.788228800392464</v>
      </c>
      <c r="AC425" s="45">
        <f>(M425*'RAP TEMPLATE-GAS AVAILABILITY'!O424+N425*'RAP TEMPLATE-GAS AVAILABILITY'!P424+O425*'RAP TEMPLATE-GAS AVAILABILITY'!Q424+P425*'RAP TEMPLATE-GAS AVAILABILITY'!R424)/('RAP TEMPLATE-GAS AVAILABILITY'!O424+'RAP TEMPLATE-GAS AVAILABILITY'!P424+'RAP TEMPLATE-GAS AVAILABILITY'!Q424+'RAP TEMPLATE-GAS AVAILABILITY'!R424)</f>
        <v>17.64934460431655</v>
      </c>
    </row>
    <row r="426" spans="1:29" ht="15.75" x14ac:dyDescent="0.25">
      <c r="A426" s="33">
        <v>53873</v>
      </c>
      <c r="B426" s="14">
        <f>CHOOSE(CONTROL!$C$42, 18.264, 18.264) * CHOOSE(CONTROL!$C$21, $C$9, 100%, $E$9)</f>
        <v>18.263999999999999</v>
      </c>
      <c r="C426" s="14">
        <f>CHOOSE(CONTROL!$C$42, 18.2719, 18.2719) * CHOOSE(CONTROL!$C$21, $C$9, 100%, $E$9)</f>
        <v>18.271899999999999</v>
      </c>
      <c r="D426" s="14">
        <f>CHOOSE(CONTROL!$C$42, 18.4695, 18.4695) * CHOOSE(CONTROL!$C$21, $C$9, 100%, $E$9)</f>
        <v>18.4695</v>
      </c>
      <c r="E426" s="14">
        <f>CHOOSE(CONTROL!$C$42, 18.5006, 18.5006) * CHOOSE(CONTROL!$C$21, $C$9, 100%, $E$9)</f>
        <v>18.500599999999999</v>
      </c>
      <c r="F426" s="14">
        <f>CHOOSE(CONTROL!$C$42, 18.2478, 18.2478)*CHOOSE(CONTROL!$C$21, $C$9, 100%, $E$9)</f>
        <v>18.247800000000002</v>
      </c>
      <c r="G426" s="14">
        <f>CHOOSE(CONTROL!$C$42, 18.264, 18.264)*CHOOSE(CONTROL!$C$21, $C$9, 100%, $E$9)</f>
        <v>18.263999999999999</v>
      </c>
      <c r="H426" s="14">
        <f>CHOOSE(CONTROL!$C$42, 18.4892, 18.4892) * CHOOSE(CONTROL!$C$21, $C$9, 100%, $E$9)</f>
        <v>18.4892</v>
      </c>
      <c r="I426" s="14">
        <f>CHOOSE(CONTROL!$C$42, 18.2753, 18.2753)* CHOOSE(CONTROL!$C$21, $C$9, 100%, $E$9)</f>
        <v>18.275300000000001</v>
      </c>
      <c r="J426" s="14">
        <f>CHOOSE(CONTROL!$C$42, 18.2408, 18.2408)* CHOOSE(CONTROL!$C$21, $C$9, 100%, $E$9)</f>
        <v>18.2408</v>
      </c>
      <c r="K426" s="53">
        <f>CHOOSE(CONTROL!$C$42, 18.2714, 18.2714) * CHOOSE(CONTROL!$C$21, $C$9, 100%, $E$9)</f>
        <v>18.2714</v>
      </c>
      <c r="L426" s="14">
        <f>CHOOSE(CONTROL!$C$42, 19.0762, 19.0762) * CHOOSE(CONTROL!$C$21, $C$9, 100%, $E$9)</f>
        <v>19.0762</v>
      </c>
      <c r="M426" s="14">
        <f>CHOOSE(CONTROL!$C$42, 18.0705, 18.0705) * CHOOSE(CONTROL!$C$21, $C$9, 100%, $E$9)</f>
        <v>18.070499999999999</v>
      </c>
      <c r="N426" s="14">
        <f>CHOOSE(CONTROL!$C$42, 18.0866, 18.0866) * CHOOSE(CONTROL!$C$21, $C$9, 100%, $E$9)</f>
        <v>18.086600000000001</v>
      </c>
      <c r="O426" s="14">
        <f>CHOOSE(CONTROL!$C$42, 18.3165, 18.3165) * CHOOSE(CONTROL!$C$21, $C$9, 100%, $E$9)</f>
        <v>18.316500000000001</v>
      </c>
      <c r="P426" s="14">
        <f>CHOOSE(CONTROL!$C$42, 18.1048, 18.1048) * CHOOSE(CONTROL!$C$21, $C$9, 100%, $E$9)</f>
        <v>18.104800000000001</v>
      </c>
      <c r="Q426" s="14">
        <f>CHOOSE(CONTROL!$C$42, 18.9118, 18.9118) * CHOOSE(CONTROL!$C$21, $C$9, 100%, $E$9)</f>
        <v>18.911799999999999</v>
      </c>
      <c r="R426" s="14">
        <f>CHOOSE(CONTROL!$C$42, 19.546, 19.546) * CHOOSE(CONTROL!$C$21, $C$9, 100%, $E$9)</f>
        <v>19.545999999999999</v>
      </c>
      <c r="S426" s="14">
        <f>CHOOSE(CONTROL!$C$42, 17.7319, 17.7319) * CHOOSE(CONTROL!$C$21, $C$9, 100%, $E$9)</f>
        <v>17.7319</v>
      </c>
      <c r="T42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26" s="57">
        <f>(1000*CHOOSE(CONTROL!$C$42, 695, 695)*CHOOSE(CONTROL!$C$42, 0.5599, 0.5599)*CHOOSE(CONTROL!$C$42, 30, 30))/1000000</f>
        <v>11.673914999999997</v>
      </c>
      <c r="V426" s="57">
        <f>(1000*CHOOSE(CONTROL!$C$42, 500, 500)*CHOOSE(CONTROL!$C$42, 0.275, 0.275)*CHOOSE(CONTROL!$C$42, 30, 30))/1000000</f>
        <v>4.125</v>
      </c>
      <c r="W426" s="57">
        <f>(1000*CHOOSE(CONTROL!$C$42, 0.1146, 0.1146)*CHOOSE(CONTROL!$C$42, 121.5, 121.5)*CHOOSE(CONTROL!$C$42, 30, 30))/1000000</f>
        <v>0.417717</v>
      </c>
      <c r="X426" s="57">
        <f>(30*0.1790888*245000/1000000)+(30*0.2374*100000/1000000)</f>
        <v>2.0285026799999999</v>
      </c>
      <c r="Y426" s="57"/>
      <c r="Z426" s="14"/>
      <c r="AA426" s="56"/>
      <c r="AB426" s="50">
        <f>(B426*194.205+C426*267.466+D426*133.845+E426*53.484+F426*40+G426*185+H426*0+I426*100+J426*300)/(194.205+267.466+133.845+53.484+0+40+185+100+300)</f>
        <v>18.292096109340658</v>
      </c>
      <c r="AC426" s="45">
        <f>(M426*'RAP TEMPLATE-GAS AVAILABILITY'!O425+N426*'RAP TEMPLATE-GAS AVAILABILITY'!P425+O426*'RAP TEMPLATE-GAS AVAILABILITY'!Q425+P426*'RAP TEMPLATE-GAS AVAILABILITY'!R425)/('RAP TEMPLATE-GAS AVAILABILITY'!O425+'RAP TEMPLATE-GAS AVAILABILITY'!P425+'RAP TEMPLATE-GAS AVAILABILITY'!Q425+'RAP TEMPLATE-GAS AVAILABILITY'!R425)</f>
        <v>18.148163309352519</v>
      </c>
    </row>
    <row r="427" spans="1:29" ht="15.75" x14ac:dyDescent="0.25">
      <c r="A427" s="33">
        <v>53904</v>
      </c>
      <c r="B427" s="14">
        <f>CHOOSE(CONTROL!$C$42, 17.9137, 17.9137) * CHOOSE(CONTROL!$C$21, $C$9, 100%, $E$9)</f>
        <v>17.913699999999999</v>
      </c>
      <c r="C427" s="14">
        <f>CHOOSE(CONTROL!$C$42, 17.9216, 17.9216) * CHOOSE(CONTROL!$C$21, $C$9, 100%, $E$9)</f>
        <v>17.921600000000002</v>
      </c>
      <c r="D427" s="14">
        <f>CHOOSE(CONTROL!$C$42, 18.1192, 18.1192) * CHOOSE(CONTROL!$C$21, $C$9, 100%, $E$9)</f>
        <v>18.119199999999999</v>
      </c>
      <c r="E427" s="14">
        <f>CHOOSE(CONTROL!$C$42, 18.1503, 18.1503) * CHOOSE(CONTROL!$C$21, $C$9, 100%, $E$9)</f>
        <v>18.150300000000001</v>
      </c>
      <c r="F427" s="14">
        <f>CHOOSE(CONTROL!$C$42, 17.8979, 17.8979)*CHOOSE(CONTROL!$C$21, $C$9, 100%, $E$9)</f>
        <v>17.8979</v>
      </c>
      <c r="G427" s="14">
        <f>CHOOSE(CONTROL!$C$42, 17.9142, 17.9142)*CHOOSE(CONTROL!$C$21, $C$9, 100%, $E$9)</f>
        <v>17.914200000000001</v>
      </c>
      <c r="H427" s="14">
        <f>CHOOSE(CONTROL!$C$42, 18.1389, 18.1389) * CHOOSE(CONTROL!$C$21, $C$9, 100%, $E$9)</f>
        <v>18.1389</v>
      </c>
      <c r="I427" s="14">
        <f>CHOOSE(CONTROL!$C$42, 17.925, 17.925)* CHOOSE(CONTROL!$C$21, $C$9, 100%, $E$9)</f>
        <v>17.925000000000001</v>
      </c>
      <c r="J427" s="14">
        <f>CHOOSE(CONTROL!$C$42, 17.8909, 17.8909)* CHOOSE(CONTROL!$C$21, $C$9, 100%, $E$9)</f>
        <v>17.890899999999998</v>
      </c>
      <c r="K427" s="53">
        <f>CHOOSE(CONTROL!$C$42, 17.9211, 17.9211) * CHOOSE(CONTROL!$C$21, $C$9, 100%, $E$9)</f>
        <v>17.921099999999999</v>
      </c>
      <c r="L427" s="14">
        <f>CHOOSE(CONTROL!$C$42, 18.7259, 18.7259) * CHOOSE(CONTROL!$C$21, $C$9, 100%, $E$9)</f>
        <v>18.725899999999999</v>
      </c>
      <c r="M427" s="14">
        <f>CHOOSE(CONTROL!$C$42, 17.7242, 17.7242) * CHOOSE(CONTROL!$C$21, $C$9, 100%, $E$9)</f>
        <v>17.7242</v>
      </c>
      <c r="N427" s="14">
        <f>CHOOSE(CONTROL!$C$42, 17.7403, 17.7403) * CHOOSE(CONTROL!$C$21, $C$9, 100%, $E$9)</f>
        <v>17.740300000000001</v>
      </c>
      <c r="O427" s="14">
        <f>CHOOSE(CONTROL!$C$42, 17.9697, 17.9697) * CHOOSE(CONTROL!$C$21, $C$9, 100%, $E$9)</f>
        <v>17.9697</v>
      </c>
      <c r="P427" s="14">
        <f>CHOOSE(CONTROL!$C$42, 17.758, 17.758) * CHOOSE(CONTROL!$C$21, $C$9, 100%, $E$9)</f>
        <v>17.757999999999999</v>
      </c>
      <c r="Q427" s="14">
        <f>CHOOSE(CONTROL!$C$42, 18.565, 18.565) * CHOOSE(CONTROL!$C$21, $C$9, 100%, $E$9)</f>
        <v>18.565000000000001</v>
      </c>
      <c r="R427" s="14">
        <f>CHOOSE(CONTROL!$C$42, 19.1984, 19.1984) * CHOOSE(CONTROL!$C$21, $C$9, 100%, $E$9)</f>
        <v>19.198399999999999</v>
      </c>
      <c r="S427" s="14">
        <f>CHOOSE(CONTROL!$C$42, 17.3917, 17.3917) * CHOOSE(CONTROL!$C$21, $C$9, 100%, $E$9)</f>
        <v>17.3917</v>
      </c>
      <c r="T42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27" s="57">
        <f>(1000*CHOOSE(CONTROL!$C$42, 695, 695)*CHOOSE(CONTROL!$C$42, 0.5599, 0.5599)*CHOOSE(CONTROL!$C$42, 31, 31))/1000000</f>
        <v>12.063045499999998</v>
      </c>
      <c r="V427" s="57">
        <f>(1000*CHOOSE(CONTROL!$C$42, 500, 500)*CHOOSE(CONTROL!$C$42, 0.275, 0.275)*CHOOSE(CONTROL!$C$42, 31, 31))/1000000</f>
        <v>4.2625000000000002</v>
      </c>
      <c r="W427" s="57">
        <f>(1000*CHOOSE(CONTROL!$C$42, 0.1146, 0.1146)*CHOOSE(CONTROL!$C$42, 121.5, 121.5)*CHOOSE(CONTROL!$C$42, 31, 31))/1000000</f>
        <v>0.43164089999999994</v>
      </c>
      <c r="X427" s="57">
        <f>(31*0.1790888*245000/1000000)+(31*0.2374*100000/1000000)</f>
        <v>2.0961194359999999</v>
      </c>
      <c r="Y427" s="57"/>
      <c r="Z427" s="14"/>
      <c r="AA427" s="56"/>
      <c r="AB427" s="50">
        <f>(B427*194.205+C427*267.466+D427*133.845+E427*53.484+F427*40+G427*185+H427*0+I427*100+J427*300)/(194.205+267.466+133.845+53.484+0+40+185+100+300)</f>
        <v>17.941975465698583</v>
      </c>
      <c r="AC427" s="45">
        <f>(M427*'RAP TEMPLATE-GAS AVAILABILITY'!O426+N427*'RAP TEMPLATE-GAS AVAILABILITY'!P426+O427*'RAP TEMPLATE-GAS AVAILABILITY'!Q426+P427*'RAP TEMPLATE-GAS AVAILABILITY'!R426)/('RAP TEMPLATE-GAS AVAILABILITY'!O426+'RAP TEMPLATE-GAS AVAILABILITY'!P426+'RAP TEMPLATE-GAS AVAILABILITY'!Q426+'RAP TEMPLATE-GAS AVAILABILITY'!R426)</f>
        <v>17.80165107913669</v>
      </c>
    </row>
    <row r="428" spans="1:29" ht="15.75" x14ac:dyDescent="0.25">
      <c r="A428" s="33">
        <v>53935</v>
      </c>
      <c r="B428" s="14">
        <f>CHOOSE(CONTROL!$C$42, 17.0291, 17.0291) * CHOOSE(CONTROL!$C$21, $C$9, 100%, $E$9)</f>
        <v>17.0291</v>
      </c>
      <c r="C428" s="14">
        <f>CHOOSE(CONTROL!$C$42, 17.037, 17.037) * CHOOSE(CONTROL!$C$21, $C$9, 100%, $E$9)</f>
        <v>17.036999999999999</v>
      </c>
      <c r="D428" s="14">
        <f>CHOOSE(CONTROL!$C$42, 17.2346, 17.2346) * CHOOSE(CONTROL!$C$21, $C$9, 100%, $E$9)</f>
        <v>17.2346</v>
      </c>
      <c r="E428" s="14">
        <f>CHOOSE(CONTROL!$C$42, 17.2657, 17.2657) * CHOOSE(CONTROL!$C$21, $C$9, 100%, $E$9)</f>
        <v>17.265699999999999</v>
      </c>
      <c r="F428" s="14">
        <f>CHOOSE(CONTROL!$C$42, 17.0135, 17.0135)*CHOOSE(CONTROL!$C$21, $C$9, 100%, $E$9)</f>
        <v>17.013500000000001</v>
      </c>
      <c r="G428" s="14">
        <f>CHOOSE(CONTROL!$C$42, 17.0299, 17.0299)*CHOOSE(CONTROL!$C$21, $C$9, 100%, $E$9)</f>
        <v>17.029900000000001</v>
      </c>
      <c r="H428" s="14">
        <f>CHOOSE(CONTROL!$C$42, 17.2544, 17.2544) * CHOOSE(CONTROL!$C$21, $C$9, 100%, $E$9)</f>
        <v>17.2544</v>
      </c>
      <c r="I428" s="14">
        <f>CHOOSE(CONTROL!$C$42, 17.0405, 17.0405)* CHOOSE(CONTROL!$C$21, $C$9, 100%, $E$9)</f>
        <v>17.040500000000002</v>
      </c>
      <c r="J428" s="14">
        <f>CHOOSE(CONTROL!$C$42, 17.0065, 17.0065)* CHOOSE(CONTROL!$C$21, $C$9, 100%, $E$9)</f>
        <v>17.006499999999999</v>
      </c>
      <c r="K428" s="53">
        <f>CHOOSE(CONTROL!$C$42, 17.0366, 17.0366) * CHOOSE(CONTROL!$C$21, $C$9, 100%, $E$9)</f>
        <v>17.0366</v>
      </c>
      <c r="L428" s="14">
        <f>CHOOSE(CONTROL!$C$42, 17.8414, 17.8414) * CHOOSE(CONTROL!$C$21, $C$9, 100%, $E$9)</f>
        <v>17.8414</v>
      </c>
      <c r="M428" s="14">
        <f>CHOOSE(CONTROL!$C$42, 16.8487, 16.8487) * CHOOSE(CONTROL!$C$21, $C$9, 100%, $E$9)</f>
        <v>16.848700000000001</v>
      </c>
      <c r="N428" s="14">
        <f>CHOOSE(CONTROL!$C$42, 16.8649, 16.8649) * CHOOSE(CONTROL!$C$21, $C$9, 100%, $E$9)</f>
        <v>16.864899999999999</v>
      </c>
      <c r="O428" s="14">
        <f>CHOOSE(CONTROL!$C$42, 17.0941, 17.0941) * CHOOSE(CONTROL!$C$21, $C$9, 100%, $E$9)</f>
        <v>17.094100000000001</v>
      </c>
      <c r="P428" s="14">
        <f>CHOOSE(CONTROL!$C$42, 16.8824, 16.8824) * CHOOSE(CONTROL!$C$21, $C$9, 100%, $E$9)</f>
        <v>16.882400000000001</v>
      </c>
      <c r="Q428" s="14">
        <f>CHOOSE(CONTROL!$C$42, 17.6894, 17.6894) * CHOOSE(CONTROL!$C$21, $C$9, 100%, $E$9)</f>
        <v>17.689399999999999</v>
      </c>
      <c r="R428" s="14">
        <f>CHOOSE(CONTROL!$C$42, 18.3206, 18.3206) * CHOOSE(CONTROL!$C$21, $C$9, 100%, $E$9)</f>
        <v>18.320599999999999</v>
      </c>
      <c r="S428" s="14">
        <f>CHOOSE(CONTROL!$C$42, 16.5327, 16.5327) * CHOOSE(CONTROL!$C$21, $C$9, 100%, $E$9)</f>
        <v>16.532699999999998</v>
      </c>
      <c r="T42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28" s="57">
        <f>(1000*CHOOSE(CONTROL!$C$42, 695, 695)*CHOOSE(CONTROL!$C$42, 0.5599, 0.5599)*CHOOSE(CONTROL!$C$42, 31, 31))/1000000</f>
        <v>12.063045499999998</v>
      </c>
      <c r="V428" s="57">
        <f>(1000*CHOOSE(CONTROL!$C$42, 500, 500)*CHOOSE(CONTROL!$C$42, 0.275, 0.275)*CHOOSE(CONTROL!$C$42, 31, 31))/1000000</f>
        <v>4.2625000000000002</v>
      </c>
      <c r="W428" s="57">
        <f>(1000*CHOOSE(CONTROL!$C$42, 0.1146, 0.1146)*CHOOSE(CONTROL!$C$42, 121.5, 121.5)*CHOOSE(CONTROL!$C$42, 31, 31))/1000000</f>
        <v>0.43164089999999994</v>
      </c>
      <c r="X428" s="57">
        <f>(31*0.1790888*245000/1000000)+(31*0.2374*100000/1000000)</f>
        <v>2.0961194359999999</v>
      </c>
      <c r="Y428" s="57"/>
      <c r="Z428" s="14"/>
      <c r="AA428" s="56"/>
      <c r="AB428" s="50">
        <f>(B428*194.205+C428*267.466+D428*133.845+E428*53.484+F428*40+G428*185+H428*0+I428*100+J428*300)/(194.205+267.466+133.845+53.484+0+40+185+100+300)</f>
        <v>17.057480253767665</v>
      </c>
      <c r="AC428" s="45">
        <f>(M428*'RAP TEMPLATE-GAS AVAILABILITY'!O427+N428*'RAP TEMPLATE-GAS AVAILABILITY'!P427+O428*'RAP TEMPLATE-GAS AVAILABILITY'!Q427+P428*'RAP TEMPLATE-GAS AVAILABILITY'!R427)/('RAP TEMPLATE-GAS AVAILABILITY'!O427+'RAP TEMPLATE-GAS AVAILABILITY'!P427+'RAP TEMPLATE-GAS AVAILABILITY'!Q427+'RAP TEMPLATE-GAS AVAILABILITY'!R427)</f>
        <v>16.926131654676258</v>
      </c>
    </row>
    <row r="429" spans="1:29" ht="15.75" x14ac:dyDescent="0.25">
      <c r="A429" s="33">
        <v>53965</v>
      </c>
      <c r="B429" s="14">
        <f>CHOOSE(CONTROL!$C$42, 15.9479, 15.9479) * CHOOSE(CONTROL!$C$21, $C$9, 100%, $E$9)</f>
        <v>15.947900000000001</v>
      </c>
      <c r="C429" s="14">
        <f>CHOOSE(CONTROL!$C$42, 15.9558, 15.9558) * CHOOSE(CONTROL!$C$21, $C$9, 100%, $E$9)</f>
        <v>15.9558</v>
      </c>
      <c r="D429" s="14">
        <f>CHOOSE(CONTROL!$C$42, 16.1534, 16.1534) * CHOOSE(CONTROL!$C$21, $C$9, 100%, $E$9)</f>
        <v>16.153400000000001</v>
      </c>
      <c r="E429" s="14">
        <f>CHOOSE(CONTROL!$C$42, 16.1846, 16.1846) * CHOOSE(CONTROL!$C$21, $C$9, 100%, $E$9)</f>
        <v>16.1846</v>
      </c>
      <c r="F429" s="14">
        <f>CHOOSE(CONTROL!$C$42, 15.9323, 15.9323)*CHOOSE(CONTROL!$C$21, $C$9, 100%, $E$9)</f>
        <v>15.9323</v>
      </c>
      <c r="G429" s="14">
        <f>CHOOSE(CONTROL!$C$42, 15.9486, 15.9486)*CHOOSE(CONTROL!$C$21, $C$9, 100%, $E$9)</f>
        <v>15.948600000000001</v>
      </c>
      <c r="H429" s="14">
        <f>CHOOSE(CONTROL!$C$42, 16.1732, 16.1732) * CHOOSE(CONTROL!$C$21, $C$9, 100%, $E$9)</f>
        <v>16.173200000000001</v>
      </c>
      <c r="I429" s="14">
        <f>CHOOSE(CONTROL!$C$42, 15.9593, 15.9593)* CHOOSE(CONTROL!$C$21, $C$9, 100%, $E$9)</f>
        <v>15.959300000000001</v>
      </c>
      <c r="J429" s="14">
        <f>CHOOSE(CONTROL!$C$42, 15.9253, 15.9253)* CHOOSE(CONTROL!$C$21, $C$9, 100%, $E$9)</f>
        <v>15.9253</v>
      </c>
      <c r="K429" s="53">
        <f>CHOOSE(CONTROL!$C$42, 15.9554, 15.9554) * CHOOSE(CONTROL!$C$21, $C$9, 100%, $E$9)</f>
        <v>15.955399999999999</v>
      </c>
      <c r="L429" s="14">
        <f>CHOOSE(CONTROL!$C$42, 16.7602, 16.7602) * CHOOSE(CONTROL!$C$21, $C$9, 100%, $E$9)</f>
        <v>16.760200000000001</v>
      </c>
      <c r="M429" s="14">
        <f>CHOOSE(CONTROL!$C$42, 15.7784, 15.7784) * CHOOSE(CONTROL!$C$21, $C$9, 100%, $E$9)</f>
        <v>15.7784</v>
      </c>
      <c r="N429" s="14">
        <f>CHOOSE(CONTROL!$C$42, 15.7946, 15.7946) * CHOOSE(CONTROL!$C$21, $C$9, 100%, $E$9)</f>
        <v>15.794600000000001</v>
      </c>
      <c r="O429" s="14">
        <f>CHOOSE(CONTROL!$C$42, 16.0238, 16.0238) * CHOOSE(CONTROL!$C$21, $C$9, 100%, $E$9)</f>
        <v>16.023800000000001</v>
      </c>
      <c r="P429" s="14">
        <f>CHOOSE(CONTROL!$C$42, 15.8121, 15.8121) * CHOOSE(CONTROL!$C$21, $C$9, 100%, $E$9)</f>
        <v>15.812099999999999</v>
      </c>
      <c r="Q429" s="14">
        <f>CHOOSE(CONTROL!$C$42, 16.6191, 16.6191) * CHOOSE(CONTROL!$C$21, $C$9, 100%, $E$9)</f>
        <v>16.6191</v>
      </c>
      <c r="R429" s="14">
        <f>CHOOSE(CONTROL!$C$42, 17.2476, 17.2476) * CHOOSE(CONTROL!$C$21, $C$9, 100%, $E$9)</f>
        <v>17.247599999999998</v>
      </c>
      <c r="S429" s="14">
        <f>CHOOSE(CONTROL!$C$42, 15.4828, 15.4828) * CHOOSE(CONTROL!$C$21, $C$9, 100%, $E$9)</f>
        <v>15.482799999999999</v>
      </c>
      <c r="T42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29" s="57">
        <f>(1000*CHOOSE(CONTROL!$C$42, 695, 695)*CHOOSE(CONTROL!$C$42, 0.5599, 0.5599)*CHOOSE(CONTROL!$C$42, 30, 30))/1000000</f>
        <v>11.673914999999997</v>
      </c>
      <c r="V429" s="57">
        <f>(1000*CHOOSE(CONTROL!$C$42, 500, 500)*CHOOSE(CONTROL!$C$42, 0.275, 0.275)*CHOOSE(CONTROL!$C$42, 30, 30))/1000000</f>
        <v>4.125</v>
      </c>
      <c r="W429" s="57">
        <f>(1000*CHOOSE(CONTROL!$C$42, 0.1146, 0.1146)*CHOOSE(CONTROL!$C$42, 121.5, 121.5)*CHOOSE(CONTROL!$C$42, 30, 30))/1000000</f>
        <v>0.417717</v>
      </c>
      <c r="X429" s="57">
        <f>(30*0.1790888*245000/1000000)+(30*0.2374*100000/1000000)</f>
        <v>2.0285026799999999</v>
      </c>
      <c r="Y429" s="57"/>
      <c r="Z429" s="14"/>
      <c r="AA429" s="56"/>
      <c r="AB429" s="50">
        <f>(B429*194.205+C429*267.466+D429*133.845+E429*53.484+F429*40+G429*185+H429*0+I429*100+J429*300)/(194.205+267.466+133.845+53.484+0+40+185+100+300)</f>
        <v>15.976269930690739</v>
      </c>
      <c r="AC429" s="45">
        <f>(M429*'RAP TEMPLATE-GAS AVAILABILITY'!O428+N429*'RAP TEMPLATE-GAS AVAILABILITY'!P428+O429*'RAP TEMPLATE-GAS AVAILABILITY'!Q428+P429*'RAP TEMPLATE-GAS AVAILABILITY'!R428)/('RAP TEMPLATE-GAS AVAILABILITY'!O428+'RAP TEMPLATE-GAS AVAILABILITY'!P428+'RAP TEMPLATE-GAS AVAILABILITY'!Q428+'RAP TEMPLATE-GAS AVAILABILITY'!R428)</f>
        <v>15.855831654676257</v>
      </c>
    </row>
    <row r="430" spans="1:29" ht="15.75" x14ac:dyDescent="0.25">
      <c r="A430" s="33">
        <v>53996</v>
      </c>
      <c r="B430" s="14">
        <f>CHOOSE(CONTROL!$C$42, 15.6225, 15.6225) * CHOOSE(CONTROL!$C$21, $C$9, 100%, $E$9)</f>
        <v>15.6225</v>
      </c>
      <c r="C430" s="14">
        <f>CHOOSE(CONTROL!$C$42, 15.6277, 15.6277) * CHOOSE(CONTROL!$C$21, $C$9, 100%, $E$9)</f>
        <v>15.627700000000001</v>
      </c>
      <c r="D430" s="14">
        <f>CHOOSE(CONTROL!$C$42, 15.8302, 15.8302) * CHOOSE(CONTROL!$C$21, $C$9, 100%, $E$9)</f>
        <v>15.8302</v>
      </c>
      <c r="E430" s="14">
        <f>CHOOSE(CONTROL!$C$42, 15.859, 15.859) * CHOOSE(CONTROL!$C$21, $C$9, 100%, $E$9)</f>
        <v>15.859</v>
      </c>
      <c r="F430" s="14">
        <f>CHOOSE(CONTROL!$C$42, 15.6088, 15.6088)*CHOOSE(CONTROL!$C$21, $C$9, 100%, $E$9)</f>
        <v>15.6088</v>
      </c>
      <c r="G430" s="14">
        <f>CHOOSE(CONTROL!$C$42, 15.6248, 15.6248)*CHOOSE(CONTROL!$C$21, $C$9, 100%, $E$9)</f>
        <v>15.6248</v>
      </c>
      <c r="H430" s="14">
        <f>CHOOSE(CONTROL!$C$42, 15.8495, 15.8495) * CHOOSE(CONTROL!$C$21, $C$9, 100%, $E$9)</f>
        <v>15.849500000000001</v>
      </c>
      <c r="I430" s="14">
        <f>CHOOSE(CONTROL!$C$42, 15.6356, 15.6356)* CHOOSE(CONTROL!$C$21, $C$9, 100%, $E$9)</f>
        <v>15.6356</v>
      </c>
      <c r="J430" s="14">
        <f>CHOOSE(CONTROL!$C$42, 15.6018, 15.6018)* CHOOSE(CONTROL!$C$21, $C$9, 100%, $E$9)</f>
        <v>15.601800000000001</v>
      </c>
      <c r="K430" s="53">
        <f>CHOOSE(CONTROL!$C$42, 15.6317, 15.6317) * CHOOSE(CONTROL!$C$21, $C$9, 100%, $E$9)</f>
        <v>15.6317</v>
      </c>
      <c r="L430" s="14">
        <f>CHOOSE(CONTROL!$C$42, 16.4365, 16.4365) * CHOOSE(CONTROL!$C$21, $C$9, 100%, $E$9)</f>
        <v>16.436499999999999</v>
      </c>
      <c r="M430" s="14">
        <f>CHOOSE(CONTROL!$C$42, 15.4582, 15.4582) * CHOOSE(CONTROL!$C$21, $C$9, 100%, $E$9)</f>
        <v>15.4582</v>
      </c>
      <c r="N430" s="14">
        <f>CHOOSE(CONTROL!$C$42, 15.4741, 15.4741) * CHOOSE(CONTROL!$C$21, $C$9, 100%, $E$9)</f>
        <v>15.4741</v>
      </c>
      <c r="O430" s="14">
        <f>CHOOSE(CONTROL!$C$42, 15.7034, 15.7034) * CHOOSE(CONTROL!$C$21, $C$9, 100%, $E$9)</f>
        <v>15.7034</v>
      </c>
      <c r="P430" s="14">
        <f>CHOOSE(CONTROL!$C$42, 15.4917, 15.4917) * CHOOSE(CONTROL!$C$21, $C$9, 100%, $E$9)</f>
        <v>15.4917</v>
      </c>
      <c r="Q430" s="14">
        <f>CHOOSE(CONTROL!$C$42, 16.2987, 16.2987) * CHOOSE(CONTROL!$C$21, $C$9, 100%, $E$9)</f>
        <v>16.2987</v>
      </c>
      <c r="R430" s="14">
        <f>CHOOSE(CONTROL!$C$42, 16.9264, 16.9264) * CHOOSE(CONTROL!$C$21, $C$9, 100%, $E$9)</f>
        <v>16.926400000000001</v>
      </c>
      <c r="S430" s="14">
        <f>CHOOSE(CONTROL!$C$42, 15.1684, 15.1684) * CHOOSE(CONTROL!$C$21, $C$9, 100%, $E$9)</f>
        <v>15.1684</v>
      </c>
      <c r="T43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30" s="57">
        <f>(1000*CHOOSE(CONTROL!$C$42, 695, 695)*CHOOSE(CONTROL!$C$42, 0.5599, 0.5599)*CHOOSE(CONTROL!$C$42, 31, 31))/1000000</f>
        <v>12.063045499999998</v>
      </c>
      <c r="V430" s="57">
        <f>(1000*CHOOSE(CONTROL!$C$42, 500, 500)*CHOOSE(CONTROL!$C$42, 0.275, 0.275)*CHOOSE(CONTROL!$C$42, 31, 31))/1000000</f>
        <v>4.2625000000000002</v>
      </c>
      <c r="W430" s="57">
        <f>(1000*CHOOSE(CONTROL!$C$42, 0.1146, 0.1146)*CHOOSE(CONTROL!$C$42, 121.5, 121.5)*CHOOSE(CONTROL!$C$42, 31, 31))/1000000</f>
        <v>0.43164089999999994</v>
      </c>
      <c r="X430" s="57">
        <f>(31*0.1790888*245000/1000000)+(31*0.2374*100000/1000000)</f>
        <v>2.0961194359999999</v>
      </c>
      <c r="Y430" s="57"/>
      <c r="Z430" s="14"/>
      <c r="AA430" s="56"/>
      <c r="AB430" s="50">
        <f>(B430*131.881+C430*277.167+D430*79.08+E430*125.872+F430*40+G430*185+H430*0+I430*100+J430*300)/(131.881+277.167+79.08+125.872+0+40+185+100+300)</f>
        <v>15.656892584665053</v>
      </c>
      <c r="AC430" s="45">
        <f>(M430*'RAP TEMPLATE-GAS AVAILABILITY'!O429+N430*'RAP TEMPLATE-GAS AVAILABILITY'!P429+O430*'RAP TEMPLATE-GAS AVAILABILITY'!Q429+P430*'RAP TEMPLATE-GAS AVAILABILITY'!R429)/('RAP TEMPLATE-GAS AVAILABILITY'!O429+'RAP TEMPLATE-GAS AVAILABILITY'!P429+'RAP TEMPLATE-GAS AVAILABILITY'!Q429+'RAP TEMPLATE-GAS AVAILABILITY'!R429)</f>
        <v>15.535477697841726</v>
      </c>
    </row>
    <row r="431" spans="1:29" ht="15.75" x14ac:dyDescent="0.25">
      <c r="A431" s="33">
        <v>54026</v>
      </c>
      <c r="B431" s="14">
        <f>CHOOSE(CONTROL!$C$42, 16.0335, 16.0335) * CHOOSE(CONTROL!$C$21, $C$9, 100%, $E$9)</f>
        <v>16.0335</v>
      </c>
      <c r="C431" s="14">
        <f>CHOOSE(CONTROL!$C$42, 16.0385, 16.0385) * CHOOSE(CONTROL!$C$21, $C$9, 100%, $E$9)</f>
        <v>16.038499999999999</v>
      </c>
      <c r="D431" s="14">
        <f>CHOOSE(CONTROL!$C$42, 16.1015, 16.1015) * CHOOSE(CONTROL!$C$21, $C$9, 100%, $E$9)</f>
        <v>16.101500000000001</v>
      </c>
      <c r="E431" s="14">
        <f>CHOOSE(CONTROL!$C$42, 16.1353, 16.1353) * CHOOSE(CONTROL!$C$21, $C$9, 100%, $E$9)</f>
        <v>16.135300000000001</v>
      </c>
      <c r="F431" s="14">
        <f>CHOOSE(CONTROL!$C$42, 16.0342, 16.0342)*CHOOSE(CONTROL!$C$21, $C$9, 100%, $E$9)</f>
        <v>16.034199999999998</v>
      </c>
      <c r="G431" s="14">
        <f>CHOOSE(CONTROL!$C$42, 16.0505, 16.0505)*CHOOSE(CONTROL!$C$21, $C$9, 100%, $E$9)</f>
        <v>16.0505</v>
      </c>
      <c r="H431" s="14">
        <f>CHOOSE(CONTROL!$C$42, 16.1245, 16.1245) * CHOOSE(CONTROL!$C$21, $C$9, 100%, $E$9)</f>
        <v>16.124500000000001</v>
      </c>
      <c r="I431" s="14">
        <f>CHOOSE(CONTROL!$C$42, 16.0471, 16.0471)* CHOOSE(CONTROL!$C$21, $C$9, 100%, $E$9)</f>
        <v>16.0471</v>
      </c>
      <c r="J431" s="14">
        <f>CHOOSE(CONTROL!$C$42, 16.0272, 16.0272)* CHOOSE(CONTROL!$C$21, $C$9, 100%, $E$9)</f>
        <v>16.027200000000001</v>
      </c>
      <c r="K431" s="53">
        <f>CHOOSE(CONTROL!$C$42, 16.0432, 16.0432) * CHOOSE(CONTROL!$C$21, $C$9, 100%, $E$9)</f>
        <v>16.043199999999999</v>
      </c>
      <c r="L431" s="14">
        <f>CHOOSE(CONTROL!$C$42, 16.7115, 16.7115) * CHOOSE(CONTROL!$C$21, $C$9, 100%, $E$9)</f>
        <v>16.711500000000001</v>
      </c>
      <c r="M431" s="14">
        <f>CHOOSE(CONTROL!$C$42, 15.8793, 15.8793) * CHOOSE(CONTROL!$C$21, $C$9, 100%, $E$9)</f>
        <v>15.879300000000001</v>
      </c>
      <c r="N431" s="14">
        <f>CHOOSE(CONTROL!$C$42, 15.8954, 15.8954) * CHOOSE(CONTROL!$C$21, $C$9, 100%, $E$9)</f>
        <v>15.8954</v>
      </c>
      <c r="O431" s="14">
        <f>CHOOSE(CONTROL!$C$42, 15.9756, 15.9756) * CHOOSE(CONTROL!$C$21, $C$9, 100%, $E$9)</f>
        <v>15.9756</v>
      </c>
      <c r="P431" s="14">
        <f>CHOOSE(CONTROL!$C$42, 15.899, 15.899) * CHOOSE(CONTROL!$C$21, $C$9, 100%, $E$9)</f>
        <v>15.898999999999999</v>
      </c>
      <c r="Q431" s="14">
        <f>CHOOSE(CONTROL!$C$42, 16.5709, 16.5709) * CHOOSE(CONTROL!$C$21, $C$9, 100%, $E$9)</f>
        <v>16.570900000000002</v>
      </c>
      <c r="R431" s="14">
        <f>CHOOSE(CONTROL!$C$42, 17.1993, 17.1993) * CHOOSE(CONTROL!$C$21, $C$9, 100%, $E$9)</f>
        <v>17.199300000000001</v>
      </c>
      <c r="S431" s="14">
        <f>CHOOSE(CONTROL!$C$42, 15.568, 15.568) * CHOOSE(CONTROL!$C$21, $C$9, 100%, $E$9)</f>
        <v>15.568</v>
      </c>
      <c r="T43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31" s="57">
        <f>(1000*CHOOSE(CONTROL!$C$42, 695, 695)*CHOOSE(CONTROL!$C$42, 0.5599, 0.5599)*CHOOSE(CONTROL!$C$42, 30, 30))/1000000</f>
        <v>11.673914999999997</v>
      </c>
      <c r="V431" s="57">
        <f>(1000*CHOOSE(CONTROL!$C$42, 500, 500)*CHOOSE(CONTROL!$C$42, 0.275, 0.275)*CHOOSE(CONTROL!$C$42, 30, 30))/1000000</f>
        <v>4.125</v>
      </c>
      <c r="W431" s="57">
        <f>(1000*CHOOSE(CONTROL!$C$42, 0.1146, 0.1146)*CHOOSE(CONTROL!$C$42, 121.5, 121.5)*CHOOSE(CONTROL!$C$42, 30, 30))/1000000</f>
        <v>0.417717</v>
      </c>
      <c r="X431" s="57">
        <f>(30*0.1790888*100000/1000000)+(30*0.2374*100000/1000000)</f>
        <v>1.2494664</v>
      </c>
      <c r="Y431" s="57"/>
      <c r="Z431" s="14"/>
      <c r="AA431" s="56"/>
      <c r="AB431" s="50">
        <f>(B431*122.58+C431*297.941+D431*89.177+E431*40.302+F431*40+G431*160+H431*0+I431*100+J431*300)/(122.58+297.941+89.177+40.302+0+40+160+100+300)</f>
        <v>16.045564769217389</v>
      </c>
      <c r="AC431" s="45">
        <f>(M431*'RAP TEMPLATE-GAS AVAILABILITY'!O430+N431*'RAP TEMPLATE-GAS AVAILABILITY'!P430+O431*'RAP TEMPLATE-GAS AVAILABILITY'!Q430+P431*'RAP TEMPLATE-GAS AVAILABILITY'!R430)/('RAP TEMPLATE-GAS AVAILABILITY'!O430+'RAP TEMPLATE-GAS AVAILABILITY'!P430+'RAP TEMPLATE-GAS AVAILABILITY'!Q430+'RAP TEMPLATE-GAS AVAILABILITY'!R430)</f>
        <v>15.926707913669064</v>
      </c>
    </row>
    <row r="432" spans="1:29" ht="15.75" x14ac:dyDescent="0.25">
      <c r="A432" s="33">
        <v>54057</v>
      </c>
      <c r="B432" s="14">
        <f>CHOOSE(CONTROL!$C$42, 17.1265, 17.1265) * CHOOSE(CONTROL!$C$21, $C$9, 100%, $E$9)</f>
        <v>17.1265</v>
      </c>
      <c r="C432" s="14">
        <f>CHOOSE(CONTROL!$C$42, 17.1314, 17.1314) * CHOOSE(CONTROL!$C$21, $C$9, 100%, $E$9)</f>
        <v>17.131399999999999</v>
      </c>
      <c r="D432" s="14">
        <f>CHOOSE(CONTROL!$C$42, 17.1945, 17.1945) * CHOOSE(CONTROL!$C$21, $C$9, 100%, $E$9)</f>
        <v>17.194500000000001</v>
      </c>
      <c r="E432" s="14">
        <f>CHOOSE(CONTROL!$C$42, 17.2283, 17.2283) * CHOOSE(CONTROL!$C$21, $C$9, 100%, $E$9)</f>
        <v>17.228300000000001</v>
      </c>
      <c r="F432" s="14">
        <f>CHOOSE(CONTROL!$C$42, 17.1292, 17.1292)*CHOOSE(CONTROL!$C$21, $C$9, 100%, $E$9)</f>
        <v>17.129200000000001</v>
      </c>
      <c r="G432" s="14">
        <f>CHOOSE(CONTROL!$C$42, 17.146, 17.146)*CHOOSE(CONTROL!$C$21, $C$9, 100%, $E$9)</f>
        <v>17.146000000000001</v>
      </c>
      <c r="H432" s="14">
        <f>CHOOSE(CONTROL!$C$42, 17.2175, 17.2175) * CHOOSE(CONTROL!$C$21, $C$9, 100%, $E$9)</f>
        <v>17.217500000000001</v>
      </c>
      <c r="I432" s="14">
        <f>CHOOSE(CONTROL!$C$42, 17.14, 17.14)* CHOOSE(CONTROL!$C$21, $C$9, 100%, $E$9)</f>
        <v>17.14</v>
      </c>
      <c r="J432" s="14">
        <f>CHOOSE(CONTROL!$C$42, 17.1222, 17.1222)* CHOOSE(CONTROL!$C$21, $C$9, 100%, $E$9)</f>
        <v>17.122199999999999</v>
      </c>
      <c r="K432" s="53">
        <f>CHOOSE(CONTROL!$C$42, 17.1361, 17.1361) * CHOOSE(CONTROL!$C$21, $C$9, 100%, $E$9)</f>
        <v>17.136099999999999</v>
      </c>
      <c r="L432" s="14">
        <f>CHOOSE(CONTROL!$C$42, 17.8045, 17.8045) * CHOOSE(CONTROL!$C$21, $C$9, 100%, $E$9)</f>
        <v>17.804500000000001</v>
      </c>
      <c r="M432" s="14">
        <f>CHOOSE(CONTROL!$C$42, 16.9632, 16.9632) * CHOOSE(CONTROL!$C$21, $C$9, 100%, $E$9)</f>
        <v>16.963200000000001</v>
      </c>
      <c r="N432" s="14">
        <f>CHOOSE(CONTROL!$C$42, 16.9799, 16.9799) * CHOOSE(CONTROL!$C$21, $C$9, 100%, $E$9)</f>
        <v>16.979900000000001</v>
      </c>
      <c r="O432" s="14">
        <f>CHOOSE(CONTROL!$C$42, 17.0575, 17.0575) * CHOOSE(CONTROL!$C$21, $C$9, 100%, $E$9)</f>
        <v>17.057500000000001</v>
      </c>
      <c r="P432" s="14">
        <f>CHOOSE(CONTROL!$C$42, 16.9809, 16.9809) * CHOOSE(CONTROL!$C$21, $C$9, 100%, $E$9)</f>
        <v>16.980899999999998</v>
      </c>
      <c r="Q432" s="14">
        <f>CHOOSE(CONTROL!$C$42, 17.6528, 17.6528) * CHOOSE(CONTROL!$C$21, $C$9, 100%, $E$9)</f>
        <v>17.652799999999999</v>
      </c>
      <c r="R432" s="14">
        <f>CHOOSE(CONTROL!$C$42, 18.284, 18.284) * CHOOSE(CONTROL!$C$21, $C$9, 100%, $E$9)</f>
        <v>18.283999999999999</v>
      </c>
      <c r="S432" s="14">
        <f>CHOOSE(CONTROL!$C$42, 16.6294, 16.6294) * CHOOSE(CONTROL!$C$21, $C$9, 100%, $E$9)</f>
        <v>16.6294</v>
      </c>
      <c r="T43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32" s="57">
        <f>(1000*CHOOSE(CONTROL!$C$42, 695, 695)*CHOOSE(CONTROL!$C$42, 0.5599, 0.5599)*CHOOSE(CONTROL!$C$42, 31, 31))/1000000</f>
        <v>12.063045499999998</v>
      </c>
      <c r="V432" s="57">
        <f>(1000*CHOOSE(CONTROL!$C$42, 500, 500)*CHOOSE(CONTROL!$C$42, 0.275, 0.275)*CHOOSE(CONTROL!$C$42, 31, 31))/1000000</f>
        <v>4.2625000000000002</v>
      </c>
      <c r="W432" s="57">
        <f>(1000*CHOOSE(CONTROL!$C$42, 0.1146, 0.1146)*CHOOSE(CONTROL!$C$42, 121.5, 121.5)*CHOOSE(CONTROL!$C$42, 31, 31))/1000000</f>
        <v>0.43164089999999994</v>
      </c>
      <c r="X432" s="57">
        <f>(31*0.1790888*100000/1000000)+(31*0.2374*100000/1000000)</f>
        <v>1.2911152800000001</v>
      </c>
      <c r="Y432" s="57"/>
      <c r="Z432" s="14"/>
      <c r="AA432" s="56"/>
      <c r="AB432" s="50">
        <f>(B432*122.58+C432*297.941+D432*89.177+E432*40.302+F432*40+G432*160+H432*0+I432*100+J432*300)/(122.58+297.941+89.177+40.302+0+40+160+100+300)</f>
        <v>17.139469296086958</v>
      </c>
      <c r="AC432" s="45">
        <f>(M432*'RAP TEMPLATE-GAS AVAILABILITY'!O431+N432*'RAP TEMPLATE-GAS AVAILABILITY'!P431+O432*'RAP TEMPLATE-GAS AVAILABILITY'!Q431+P432*'RAP TEMPLATE-GAS AVAILABILITY'!R431)/('RAP TEMPLATE-GAS AVAILABILITY'!O431+'RAP TEMPLATE-GAS AVAILABILITY'!P431+'RAP TEMPLATE-GAS AVAILABILITY'!Q431+'RAP TEMPLATE-GAS AVAILABILITY'!R431)</f>
        <v>17.00944820143885</v>
      </c>
    </row>
    <row r="433" spans="1:29" ht="15.75" x14ac:dyDescent="0.25">
      <c r="A433" s="33">
        <v>54088</v>
      </c>
      <c r="B433" s="14">
        <f>CHOOSE(CONTROL!$C$42, 18.5295, 18.5295) * CHOOSE(CONTROL!$C$21, $C$9, 100%, $E$9)</f>
        <v>18.529499999999999</v>
      </c>
      <c r="C433" s="14">
        <f>CHOOSE(CONTROL!$C$42, 18.5345, 18.5345) * CHOOSE(CONTROL!$C$21, $C$9, 100%, $E$9)</f>
        <v>18.534500000000001</v>
      </c>
      <c r="D433" s="14">
        <f>CHOOSE(CONTROL!$C$42, 18.5987, 18.5987) * CHOOSE(CONTROL!$C$21, $C$9, 100%, $E$9)</f>
        <v>18.598700000000001</v>
      </c>
      <c r="E433" s="14">
        <f>CHOOSE(CONTROL!$C$42, 18.6325, 18.6325) * CHOOSE(CONTROL!$C$21, $C$9, 100%, $E$9)</f>
        <v>18.6325</v>
      </c>
      <c r="F433" s="14">
        <f>CHOOSE(CONTROL!$C$42, 18.531, 18.531)*CHOOSE(CONTROL!$C$21, $C$9, 100%, $E$9)</f>
        <v>18.530999999999999</v>
      </c>
      <c r="G433" s="14">
        <f>CHOOSE(CONTROL!$C$42, 18.5469, 18.5469)*CHOOSE(CONTROL!$C$21, $C$9, 100%, $E$9)</f>
        <v>18.546900000000001</v>
      </c>
      <c r="H433" s="14">
        <f>CHOOSE(CONTROL!$C$42, 18.6217, 18.6217) * CHOOSE(CONTROL!$C$21, $C$9, 100%, $E$9)</f>
        <v>18.621700000000001</v>
      </c>
      <c r="I433" s="14">
        <f>CHOOSE(CONTROL!$C$42, 18.5495, 18.5495)* CHOOSE(CONTROL!$C$21, $C$9, 100%, $E$9)</f>
        <v>18.549499999999998</v>
      </c>
      <c r="J433" s="14">
        <f>CHOOSE(CONTROL!$C$42, 18.524, 18.524)* CHOOSE(CONTROL!$C$21, $C$9, 100%, $E$9)</f>
        <v>18.524000000000001</v>
      </c>
      <c r="K433" s="53">
        <f>CHOOSE(CONTROL!$C$42, 18.5456, 18.5456) * CHOOSE(CONTROL!$C$21, $C$9, 100%, $E$9)</f>
        <v>18.5456</v>
      </c>
      <c r="L433" s="14">
        <f>CHOOSE(CONTROL!$C$42, 19.2087, 19.2087) * CHOOSE(CONTROL!$C$21, $C$9, 100%, $E$9)</f>
        <v>19.2087</v>
      </c>
      <c r="M433" s="14">
        <f>CHOOSE(CONTROL!$C$42, 18.3509, 18.3509) * CHOOSE(CONTROL!$C$21, $C$9, 100%, $E$9)</f>
        <v>18.350899999999999</v>
      </c>
      <c r="N433" s="14">
        <f>CHOOSE(CONTROL!$C$42, 18.3667, 18.3667) * CHOOSE(CONTROL!$C$21, $C$9, 100%, $E$9)</f>
        <v>18.366700000000002</v>
      </c>
      <c r="O433" s="14">
        <f>CHOOSE(CONTROL!$C$42, 18.4476, 18.4476) * CHOOSE(CONTROL!$C$21, $C$9, 100%, $E$9)</f>
        <v>18.447600000000001</v>
      </c>
      <c r="P433" s="14">
        <f>CHOOSE(CONTROL!$C$42, 18.3762, 18.3762) * CHOOSE(CONTROL!$C$21, $C$9, 100%, $E$9)</f>
        <v>18.376200000000001</v>
      </c>
      <c r="Q433" s="14">
        <f>CHOOSE(CONTROL!$C$42, 19.0429, 19.0429) * CHOOSE(CONTROL!$C$21, $C$9, 100%, $E$9)</f>
        <v>19.042899999999999</v>
      </c>
      <c r="R433" s="14">
        <f>CHOOSE(CONTROL!$C$42, 19.6775, 19.6775) * CHOOSE(CONTROL!$C$21, $C$9, 100%, $E$9)</f>
        <v>19.677499999999998</v>
      </c>
      <c r="S433" s="14">
        <f>CHOOSE(CONTROL!$C$42, 17.9919, 17.9919) * CHOOSE(CONTROL!$C$21, $C$9, 100%, $E$9)</f>
        <v>17.991900000000001</v>
      </c>
      <c r="T43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33" s="57">
        <f>(1000*CHOOSE(CONTROL!$C$42, 695, 695)*CHOOSE(CONTROL!$C$42, 0.5599, 0.5599)*CHOOSE(CONTROL!$C$42, 31, 31))/1000000</f>
        <v>12.063045499999998</v>
      </c>
      <c r="V433" s="57">
        <f>(1000*CHOOSE(CONTROL!$C$42, 500, 500)*CHOOSE(CONTROL!$C$42, 0.275, 0.275)*CHOOSE(CONTROL!$C$42, 31, 31))/1000000</f>
        <v>4.2625000000000002</v>
      </c>
      <c r="W433" s="57">
        <f>(1000*CHOOSE(CONTROL!$C$42, 0.1146, 0.1146)*CHOOSE(CONTROL!$C$42, 121.5, 121.5)*CHOOSE(CONTROL!$C$42, 31, 31))/1000000</f>
        <v>0.43164089999999994</v>
      </c>
      <c r="X433" s="57">
        <f>(31*0.1790888*100000/1000000)+(31*0.2374*100000/1000000)</f>
        <v>1.2911152800000001</v>
      </c>
      <c r="Y433" s="57"/>
      <c r="Z433" s="14"/>
      <c r="AA433" s="56"/>
      <c r="AB433" s="50">
        <f>(B433*122.58+C433*297.941+D433*89.177+E433*40.302+F433*40+G433*160+H433*0+I433*100+J433*300)/(122.58+297.941+89.177+40.302+0+40+160+100+300)</f>
        <v>18.542548573391304</v>
      </c>
      <c r="AC433" s="45">
        <f>(M433*'RAP TEMPLATE-GAS AVAILABILITY'!O432+N433*'RAP TEMPLATE-GAS AVAILABILITY'!P432+O433*'RAP TEMPLATE-GAS AVAILABILITY'!Q432+P433*'RAP TEMPLATE-GAS AVAILABILITY'!R432)/('RAP TEMPLATE-GAS AVAILABILITY'!O432+'RAP TEMPLATE-GAS AVAILABILITY'!P432+'RAP TEMPLATE-GAS AVAILABILITY'!Q432+'RAP TEMPLATE-GAS AVAILABILITY'!R432)</f>
        <v>18.399277697841729</v>
      </c>
    </row>
    <row r="434" spans="1:29" ht="15.75" x14ac:dyDescent="0.25">
      <c r="A434" s="33">
        <v>54116</v>
      </c>
      <c r="B434" s="14">
        <f>CHOOSE(CONTROL!$C$42, 18.8593, 18.8593) * CHOOSE(CONTROL!$C$21, $C$9, 100%, $E$9)</f>
        <v>18.859300000000001</v>
      </c>
      <c r="C434" s="14">
        <f>CHOOSE(CONTROL!$C$42, 18.8643, 18.8643) * CHOOSE(CONTROL!$C$21, $C$9, 100%, $E$9)</f>
        <v>18.8643</v>
      </c>
      <c r="D434" s="14">
        <f>CHOOSE(CONTROL!$C$42, 18.9285, 18.9285) * CHOOSE(CONTROL!$C$21, $C$9, 100%, $E$9)</f>
        <v>18.9285</v>
      </c>
      <c r="E434" s="14">
        <f>CHOOSE(CONTROL!$C$42, 18.9623, 18.9623) * CHOOSE(CONTROL!$C$21, $C$9, 100%, $E$9)</f>
        <v>18.962299999999999</v>
      </c>
      <c r="F434" s="14">
        <f>CHOOSE(CONTROL!$C$42, 18.8609, 18.8609)*CHOOSE(CONTROL!$C$21, $C$9, 100%, $E$9)</f>
        <v>18.860900000000001</v>
      </c>
      <c r="G434" s="14">
        <f>CHOOSE(CONTROL!$C$42, 18.8768, 18.8768)*CHOOSE(CONTROL!$C$21, $C$9, 100%, $E$9)</f>
        <v>18.876799999999999</v>
      </c>
      <c r="H434" s="14">
        <f>CHOOSE(CONTROL!$C$42, 18.9515, 18.9515) * CHOOSE(CONTROL!$C$21, $C$9, 100%, $E$9)</f>
        <v>18.951499999999999</v>
      </c>
      <c r="I434" s="14">
        <f>CHOOSE(CONTROL!$C$42, 18.8793, 18.8793)* CHOOSE(CONTROL!$C$21, $C$9, 100%, $E$9)</f>
        <v>18.879300000000001</v>
      </c>
      <c r="J434" s="14">
        <f>CHOOSE(CONTROL!$C$42, 18.8539, 18.8539)* CHOOSE(CONTROL!$C$21, $C$9, 100%, $E$9)</f>
        <v>18.853899999999999</v>
      </c>
      <c r="K434" s="53">
        <f>CHOOSE(CONTROL!$C$42, 18.8754, 18.8754) * CHOOSE(CONTROL!$C$21, $C$9, 100%, $E$9)</f>
        <v>18.875399999999999</v>
      </c>
      <c r="L434" s="14">
        <f>CHOOSE(CONTROL!$C$42, 19.5385, 19.5385) * CHOOSE(CONTROL!$C$21, $C$9, 100%, $E$9)</f>
        <v>19.538499999999999</v>
      </c>
      <c r="M434" s="14">
        <f>CHOOSE(CONTROL!$C$42, 18.6774, 18.6774) * CHOOSE(CONTROL!$C$21, $C$9, 100%, $E$9)</f>
        <v>18.677399999999999</v>
      </c>
      <c r="N434" s="14">
        <f>CHOOSE(CONTROL!$C$42, 18.6932, 18.6932) * CHOOSE(CONTROL!$C$21, $C$9, 100%, $E$9)</f>
        <v>18.693200000000001</v>
      </c>
      <c r="O434" s="14">
        <f>CHOOSE(CONTROL!$C$42, 18.7741, 18.7741) * CHOOSE(CONTROL!$C$21, $C$9, 100%, $E$9)</f>
        <v>18.774100000000001</v>
      </c>
      <c r="P434" s="14">
        <f>CHOOSE(CONTROL!$C$42, 18.7026, 18.7026) * CHOOSE(CONTROL!$C$21, $C$9, 100%, $E$9)</f>
        <v>18.7026</v>
      </c>
      <c r="Q434" s="14">
        <f>CHOOSE(CONTROL!$C$42, 19.3694, 19.3694) * CHOOSE(CONTROL!$C$21, $C$9, 100%, $E$9)</f>
        <v>19.369399999999999</v>
      </c>
      <c r="R434" s="14">
        <f>CHOOSE(CONTROL!$C$42, 20.0048, 20.0048) * CHOOSE(CONTROL!$C$21, $C$9, 100%, $E$9)</f>
        <v>20.004799999999999</v>
      </c>
      <c r="S434" s="14">
        <f>CHOOSE(CONTROL!$C$42, 18.3121, 18.3121) * CHOOSE(CONTROL!$C$21, $C$9, 100%, $E$9)</f>
        <v>18.312100000000001</v>
      </c>
      <c r="T434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434" s="57">
        <f>(1000*CHOOSE(CONTROL!$C$42, 695, 695)*CHOOSE(CONTROL!$C$42, 0.5599, 0.5599)*CHOOSE(CONTROL!$C$42, 29, 29))/1000000</f>
        <v>11.284784499999999</v>
      </c>
      <c r="V434" s="57">
        <f>(1000*CHOOSE(CONTROL!$C$42, 500, 500)*CHOOSE(CONTROL!$C$42, 0.275, 0.275)*CHOOSE(CONTROL!$C$42, 29, 29))/1000000</f>
        <v>3.9874999999999998</v>
      </c>
      <c r="W434" s="57">
        <f>(1000*CHOOSE(CONTROL!$C$42, 0.1146, 0.1146)*CHOOSE(CONTROL!$C$42, 121.5, 121.5)*CHOOSE(CONTROL!$C$42, 29, 29))/1000000</f>
        <v>0.40379309999999996</v>
      </c>
      <c r="X434" s="57">
        <f>(29*0.1790888*100000/1000000)+(29*0.2374*100000/1000000)</f>
        <v>1.2078175199999999</v>
      </c>
      <c r="Y434" s="57"/>
      <c r="Z434" s="14"/>
      <c r="AA434" s="56"/>
      <c r="AB434" s="50">
        <f>(B434*122.58+C434*297.941+D434*89.177+E434*40.302+F434*40+G434*160+H434*0+I434*100+J434*300)/(122.58+297.941+89.177+40.302+0+40+160+100+300)</f>
        <v>18.872392051652177</v>
      </c>
      <c r="AC434" s="45">
        <f>(M434*'RAP TEMPLATE-GAS AVAILABILITY'!O433+N434*'RAP TEMPLATE-GAS AVAILABILITY'!P433+O434*'RAP TEMPLATE-GAS AVAILABILITY'!Q433+P434*'RAP TEMPLATE-GAS AVAILABILITY'!R433)/('RAP TEMPLATE-GAS AVAILABILITY'!O433+'RAP TEMPLATE-GAS AVAILABILITY'!P433+'RAP TEMPLATE-GAS AVAILABILITY'!Q433+'RAP TEMPLATE-GAS AVAILABILITY'!R433)</f>
        <v>18.725763309352519</v>
      </c>
    </row>
    <row r="435" spans="1:29" ht="15.75" x14ac:dyDescent="0.25">
      <c r="A435" s="33">
        <v>54148</v>
      </c>
      <c r="B435" s="14">
        <f>CHOOSE(CONTROL!$C$42, 18.324, 18.324) * CHOOSE(CONTROL!$C$21, $C$9, 100%, $E$9)</f>
        <v>18.324000000000002</v>
      </c>
      <c r="C435" s="14">
        <f>CHOOSE(CONTROL!$C$42, 18.3289, 18.3289) * CHOOSE(CONTROL!$C$21, $C$9, 100%, $E$9)</f>
        <v>18.328900000000001</v>
      </c>
      <c r="D435" s="14">
        <f>CHOOSE(CONTROL!$C$42, 18.3932, 18.3932) * CHOOSE(CONTROL!$C$21, $C$9, 100%, $E$9)</f>
        <v>18.3932</v>
      </c>
      <c r="E435" s="14">
        <f>CHOOSE(CONTROL!$C$42, 18.427, 18.427) * CHOOSE(CONTROL!$C$21, $C$9, 100%, $E$9)</f>
        <v>18.427</v>
      </c>
      <c r="F435" s="14">
        <f>CHOOSE(CONTROL!$C$42, 18.3252, 18.3252)*CHOOSE(CONTROL!$C$21, $C$9, 100%, $E$9)</f>
        <v>18.325199999999999</v>
      </c>
      <c r="G435" s="14">
        <f>CHOOSE(CONTROL!$C$42, 18.3411, 18.3411)*CHOOSE(CONTROL!$C$21, $C$9, 100%, $E$9)</f>
        <v>18.341100000000001</v>
      </c>
      <c r="H435" s="14">
        <f>CHOOSE(CONTROL!$C$42, 18.4162, 18.4162) * CHOOSE(CONTROL!$C$21, $C$9, 100%, $E$9)</f>
        <v>18.4162</v>
      </c>
      <c r="I435" s="14">
        <f>CHOOSE(CONTROL!$C$42, 18.3439, 18.3439)* CHOOSE(CONTROL!$C$21, $C$9, 100%, $E$9)</f>
        <v>18.343900000000001</v>
      </c>
      <c r="J435" s="14">
        <f>CHOOSE(CONTROL!$C$42, 18.3182, 18.3182)* CHOOSE(CONTROL!$C$21, $C$9, 100%, $E$9)</f>
        <v>18.318200000000001</v>
      </c>
      <c r="K435" s="53">
        <f>CHOOSE(CONTROL!$C$42, 18.3401, 18.3401) * CHOOSE(CONTROL!$C$21, $C$9, 100%, $E$9)</f>
        <v>18.3401</v>
      </c>
      <c r="L435" s="14">
        <f>CHOOSE(CONTROL!$C$42, 19.0032, 19.0032) * CHOOSE(CONTROL!$C$21, $C$9, 100%, $E$9)</f>
        <v>19.0032</v>
      </c>
      <c r="M435" s="14">
        <f>CHOOSE(CONTROL!$C$42, 18.1472, 18.1472) * CHOOSE(CONTROL!$C$21, $C$9, 100%, $E$9)</f>
        <v>18.147200000000002</v>
      </c>
      <c r="N435" s="14">
        <f>CHOOSE(CONTROL!$C$42, 18.1629, 18.1629) * CHOOSE(CONTROL!$C$21, $C$9, 100%, $E$9)</f>
        <v>18.1629</v>
      </c>
      <c r="O435" s="14">
        <f>CHOOSE(CONTROL!$C$42, 18.2441, 18.2441) * CHOOSE(CONTROL!$C$21, $C$9, 100%, $E$9)</f>
        <v>18.2441</v>
      </c>
      <c r="P435" s="14">
        <f>CHOOSE(CONTROL!$C$42, 18.1727, 18.1727) * CHOOSE(CONTROL!$C$21, $C$9, 100%, $E$9)</f>
        <v>18.172699999999999</v>
      </c>
      <c r="Q435" s="14">
        <f>CHOOSE(CONTROL!$C$42, 18.8394, 18.8394) * CHOOSE(CONTROL!$C$21, $C$9, 100%, $E$9)</f>
        <v>18.839400000000001</v>
      </c>
      <c r="R435" s="14">
        <f>CHOOSE(CONTROL!$C$42, 19.4735, 19.4735) * CHOOSE(CONTROL!$C$21, $C$9, 100%, $E$9)</f>
        <v>19.473500000000001</v>
      </c>
      <c r="S435" s="14">
        <f>CHOOSE(CONTROL!$C$42, 17.7923, 17.7923) * CHOOSE(CONTROL!$C$21, $C$9, 100%, $E$9)</f>
        <v>17.792300000000001</v>
      </c>
      <c r="T43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35" s="57">
        <f>(1000*CHOOSE(CONTROL!$C$42, 695, 695)*CHOOSE(CONTROL!$C$42, 0.5599, 0.5599)*CHOOSE(CONTROL!$C$42, 31, 31))/1000000</f>
        <v>12.063045499999998</v>
      </c>
      <c r="V435" s="57">
        <f>(1000*CHOOSE(CONTROL!$C$42, 500, 500)*CHOOSE(CONTROL!$C$42, 0.275, 0.275)*CHOOSE(CONTROL!$C$42, 31, 31))/1000000</f>
        <v>4.2625000000000002</v>
      </c>
      <c r="W435" s="57">
        <f>(1000*CHOOSE(CONTROL!$C$42, 0.1146, 0.1146)*CHOOSE(CONTROL!$C$42, 121.5, 121.5)*CHOOSE(CONTROL!$C$42, 31, 31))/1000000</f>
        <v>0.43164089999999994</v>
      </c>
      <c r="X435" s="57">
        <f>(31*0.1790888*100000/1000000)+(31*0.2374*100000/1000000)</f>
        <v>1.2911152800000001</v>
      </c>
      <c r="Y435" s="57"/>
      <c r="Z435" s="14"/>
      <c r="AA435" s="56"/>
      <c r="AB435" s="50">
        <f>(B435*122.58+C435*297.941+D435*89.177+E435*40.302+F435*40+G435*160+H435*0+I435*100+J435*300)/(122.58+297.941+89.177+40.302+0+40+160+100+300)</f>
        <v>18.336883535043476</v>
      </c>
      <c r="AC435" s="45">
        <f>(M435*'RAP TEMPLATE-GAS AVAILABILITY'!O434+N435*'RAP TEMPLATE-GAS AVAILABILITY'!P434+O435*'RAP TEMPLATE-GAS AVAILABILITY'!Q434+P435*'RAP TEMPLATE-GAS AVAILABILITY'!R434)/('RAP TEMPLATE-GAS AVAILABILITY'!O434+'RAP TEMPLATE-GAS AVAILABILITY'!P434+'RAP TEMPLATE-GAS AVAILABILITY'!Q434+'RAP TEMPLATE-GAS AVAILABILITY'!R434)</f>
        <v>18.195691366906477</v>
      </c>
    </row>
    <row r="436" spans="1:29" ht="15.75" x14ac:dyDescent="0.25">
      <c r="A436" s="33">
        <v>54178</v>
      </c>
      <c r="B436" s="14">
        <f>CHOOSE(CONTROL!$C$42, 18.2703, 18.2703) * CHOOSE(CONTROL!$C$21, $C$9, 100%, $E$9)</f>
        <v>18.270299999999999</v>
      </c>
      <c r="C436" s="14">
        <f>CHOOSE(CONTROL!$C$42, 18.2747, 18.2747) * CHOOSE(CONTROL!$C$21, $C$9, 100%, $E$9)</f>
        <v>18.274699999999999</v>
      </c>
      <c r="D436" s="14">
        <f>CHOOSE(CONTROL!$C$42, 18.4754, 18.4754) * CHOOSE(CONTROL!$C$21, $C$9, 100%, $E$9)</f>
        <v>18.4754</v>
      </c>
      <c r="E436" s="14">
        <f>CHOOSE(CONTROL!$C$42, 18.5072, 18.5072) * CHOOSE(CONTROL!$C$21, $C$9, 100%, $E$9)</f>
        <v>18.507200000000001</v>
      </c>
      <c r="F436" s="14">
        <f>CHOOSE(CONTROL!$C$42, 18.2549, 18.2549)*CHOOSE(CONTROL!$C$21, $C$9, 100%, $E$9)</f>
        <v>18.254899999999999</v>
      </c>
      <c r="G436" s="14">
        <f>CHOOSE(CONTROL!$C$42, 18.2705, 18.2705)*CHOOSE(CONTROL!$C$21, $C$9, 100%, $E$9)</f>
        <v>18.270499999999998</v>
      </c>
      <c r="H436" s="14">
        <f>CHOOSE(CONTROL!$C$42, 18.4969, 18.4969) * CHOOSE(CONTROL!$C$21, $C$9, 100%, $E$9)</f>
        <v>18.4969</v>
      </c>
      <c r="I436" s="14">
        <f>CHOOSE(CONTROL!$C$42, 18.283, 18.283)* CHOOSE(CONTROL!$C$21, $C$9, 100%, $E$9)</f>
        <v>18.283000000000001</v>
      </c>
      <c r="J436" s="14">
        <f>CHOOSE(CONTROL!$C$42, 18.2479, 18.2479)* CHOOSE(CONTROL!$C$21, $C$9, 100%, $E$9)</f>
        <v>18.247900000000001</v>
      </c>
      <c r="K436" s="53">
        <f>CHOOSE(CONTROL!$C$42, 18.2792, 18.2792) * CHOOSE(CONTROL!$C$21, $C$9, 100%, $E$9)</f>
        <v>18.279199999999999</v>
      </c>
      <c r="L436" s="14">
        <f>CHOOSE(CONTROL!$C$42, 19.0839, 19.0839) * CHOOSE(CONTROL!$C$21, $C$9, 100%, $E$9)</f>
        <v>19.0839</v>
      </c>
      <c r="M436" s="14">
        <f>CHOOSE(CONTROL!$C$42, 18.0775, 18.0775) * CHOOSE(CONTROL!$C$21, $C$9, 100%, $E$9)</f>
        <v>18.077500000000001</v>
      </c>
      <c r="N436" s="14">
        <f>CHOOSE(CONTROL!$C$42, 18.093, 18.093) * CHOOSE(CONTROL!$C$21, $C$9, 100%, $E$9)</f>
        <v>18.093</v>
      </c>
      <c r="O436" s="14">
        <f>CHOOSE(CONTROL!$C$42, 18.3241, 18.3241) * CHOOSE(CONTROL!$C$21, $C$9, 100%, $E$9)</f>
        <v>18.324100000000001</v>
      </c>
      <c r="P436" s="14">
        <f>CHOOSE(CONTROL!$C$42, 18.1124, 18.1124) * CHOOSE(CONTROL!$C$21, $C$9, 100%, $E$9)</f>
        <v>18.112400000000001</v>
      </c>
      <c r="Q436" s="14">
        <f>CHOOSE(CONTROL!$C$42, 18.9194, 18.9194) * CHOOSE(CONTROL!$C$21, $C$9, 100%, $E$9)</f>
        <v>18.9194</v>
      </c>
      <c r="R436" s="14">
        <f>CHOOSE(CONTROL!$C$42, 19.5537, 19.5537) * CHOOSE(CONTROL!$C$21, $C$9, 100%, $E$9)</f>
        <v>19.553699999999999</v>
      </c>
      <c r="S436" s="14">
        <f>CHOOSE(CONTROL!$C$42, 17.7394, 17.7394) * CHOOSE(CONTROL!$C$21, $C$9, 100%, $E$9)</f>
        <v>17.7394</v>
      </c>
      <c r="T43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36" s="57">
        <f>(1000*CHOOSE(CONTROL!$C$42, 695, 695)*CHOOSE(CONTROL!$C$42, 0.5599, 0.5599)*CHOOSE(CONTROL!$C$42, 30, 30))/1000000</f>
        <v>11.673914999999997</v>
      </c>
      <c r="V436" s="57">
        <f>(1000*CHOOSE(CONTROL!$C$42, 500, 500)*CHOOSE(CONTROL!$C$42, 0.275, 0.275)*CHOOSE(CONTROL!$C$42, 30, 30))/1000000</f>
        <v>4.125</v>
      </c>
      <c r="W436" s="57">
        <f>(1000*CHOOSE(CONTROL!$C$42, 0.1146, 0.1146)*CHOOSE(CONTROL!$C$42, 121.5, 121.5)*CHOOSE(CONTROL!$C$42, 30, 30))/1000000</f>
        <v>0.417717</v>
      </c>
      <c r="X436" s="57">
        <f>(30*0.1790888*245000/1000000)+(30*0.2374*100000/1000000)</f>
        <v>2.0285026799999999</v>
      </c>
      <c r="Y436" s="57"/>
      <c r="Z436" s="14"/>
      <c r="AA436" s="56"/>
      <c r="AB436" s="50">
        <f>(B436*141.293+C436*267.993+D436*115.016+E436*89.698+F436*40+G436*185+H436*0+I436*100+J436*300)/(141.293+267.993+115.016+89.698+0+40+185+100+300)</f>
        <v>18.302575550443908</v>
      </c>
      <c r="AC436" s="45">
        <f>(M436*'RAP TEMPLATE-GAS AVAILABILITY'!O435+N436*'RAP TEMPLATE-GAS AVAILABILITY'!P435+O436*'RAP TEMPLATE-GAS AVAILABILITY'!Q435+P436*'RAP TEMPLATE-GAS AVAILABILITY'!R435)/('RAP TEMPLATE-GAS AVAILABILITY'!O435+'RAP TEMPLATE-GAS AVAILABILITY'!P435+'RAP TEMPLATE-GAS AVAILABILITY'!Q435+'RAP TEMPLATE-GAS AVAILABILITY'!R435)</f>
        <v>18.155279856115108</v>
      </c>
    </row>
    <row r="437" spans="1:29" ht="15.75" x14ac:dyDescent="0.25">
      <c r="A437" s="33">
        <v>54209</v>
      </c>
      <c r="B437" s="14">
        <f>CHOOSE(CONTROL!$C$42, 18.4329, 18.4329) * CHOOSE(CONTROL!$C$21, $C$9, 100%, $E$9)</f>
        <v>18.4329</v>
      </c>
      <c r="C437" s="14">
        <f>CHOOSE(CONTROL!$C$42, 18.4408, 18.4408) * CHOOSE(CONTROL!$C$21, $C$9, 100%, $E$9)</f>
        <v>18.440799999999999</v>
      </c>
      <c r="D437" s="14">
        <f>CHOOSE(CONTROL!$C$42, 18.6384, 18.6384) * CHOOSE(CONTROL!$C$21, $C$9, 100%, $E$9)</f>
        <v>18.638400000000001</v>
      </c>
      <c r="E437" s="14">
        <f>CHOOSE(CONTROL!$C$42, 18.6695, 18.6695) * CHOOSE(CONTROL!$C$21, $C$9, 100%, $E$9)</f>
        <v>18.669499999999999</v>
      </c>
      <c r="F437" s="14">
        <f>CHOOSE(CONTROL!$C$42, 18.4163, 18.4163)*CHOOSE(CONTROL!$C$21, $C$9, 100%, $E$9)</f>
        <v>18.4163</v>
      </c>
      <c r="G437" s="14">
        <f>CHOOSE(CONTROL!$C$42, 18.4324, 18.4324)*CHOOSE(CONTROL!$C$21, $C$9, 100%, $E$9)</f>
        <v>18.432400000000001</v>
      </c>
      <c r="H437" s="14">
        <f>CHOOSE(CONTROL!$C$42, 18.6582, 18.6582) * CHOOSE(CONTROL!$C$21, $C$9, 100%, $E$9)</f>
        <v>18.658200000000001</v>
      </c>
      <c r="I437" s="14">
        <f>CHOOSE(CONTROL!$C$42, 18.4443, 18.4443)* CHOOSE(CONTROL!$C$21, $C$9, 100%, $E$9)</f>
        <v>18.444299999999998</v>
      </c>
      <c r="J437" s="14">
        <f>CHOOSE(CONTROL!$C$42, 18.4093, 18.4093)* CHOOSE(CONTROL!$C$21, $C$9, 100%, $E$9)</f>
        <v>18.409300000000002</v>
      </c>
      <c r="K437" s="53">
        <f>CHOOSE(CONTROL!$C$42, 18.4404, 18.4404) * CHOOSE(CONTROL!$C$21, $C$9, 100%, $E$9)</f>
        <v>18.4404</v>
      </c>
      <c r="L437" s="14">
        <f>CHOOSE(CONTROL!$C$42, 19.2452, 19.2452) * CHOOSE(CONTROL!$C$21, $C$9, 100%, $E$9)</f>
        <v>19.245200000000001</v>
      </c>
      <c r="M437" s="14">
        <f>CHOOSE(CONTROL!$C$42, 18.2374, 18.2374) * CHOOSE(CONTROL!$C$21, $C$9, 100%, $E$9)</f>
        <v>18.237400000000001</v>
      </c>
      <c r="N437" s="14">
        <f>CHOOSE(CONTROL!$C$42, 18.2533, 18.2533) * CHOOSE(CONTROL!$C$21, $C$9, 100%, $E$9)</f>
        <v>18.253299999999999</v>
      </c>
      <c r="O437" s="14">
        <f>CHOOSE(CONTROL!$C$42, 18.4837, 18.4837) * CHOOSE(CONTROL!$C$21, $C$9, 100%, $E$9)</f>
        <v>18.483699999999999</v>
      </c>
      <c r="P437" s="14">
        <f>CHOOSE(CONTROL!$C$42, 18.272, 18.272) * CHOOSE(CONTROL!$C$21, $C$9, 100%, $E$9)</f>
        <v>18.271999999999998</v>
      </c>
      <c r="Q437" s="14">
        <f>CHOOSE(CONTROL!$C$42, 19.079, 19.079) * CHOOSE(CONTROL!$C$21, $C$9, 100%, $E$9)</f>
        <v>19.079000000000001</v>
      </c>
      <c r="R437" s="14">
        <f>CHOOSE(CONTROL!$C$42, 19.7137, 19.7137) * CHOOSE(CONTROL!$C$21, $C$9, 100%, $E$9)</f>
        <v>19.713699999999999</v>
      </c>
      <c r="S437" s="14">
        <f>CHOOSE(CONTROL!$C$42, 17.8959, 17.8959) * CHOOSE(CONTROL!$C$21, $C$9, 100%, $E$9)</f>
        <v>17.895900000000001</v>
      </c>
      <c r="T43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37" s="57">
        <f>(1000*CHOOSE(CONTROL!$C$42, 695, 695)*CHOOSE(CONTROL!$C$42, 0.5599, 0.5599)*CHOOSE(CONTROL!$C$42, 31, 31))/1000000</f>
        <v>12.063045499999998</v>
      </c>
      <c r="V437" s="57">
        <f>(1000*CHOOSE(CONTROL!$C$42, 500, 500)*CHOOSE(CONTROL!$C$42, 0.275, 0.275)*CHOOSE(CONTROL!$C$42, 31, 31))/1000000</f>
        <v>4.2625000000000002</v>
      </c>
      <c r="W437" s="57">
        <f>(1000*CHOOSE(CONTROL!$C$42, 0.1146, 0.1146)*CHOOSE(CONTROL!$C$42, 121.5, 121.5)*CHOOSE(CONTROL!$C$42, 31, 31))/1000000</f>
        <v>0.43164089999999994</v>
      </c>
      <c r="X437" s="57">
        <f>(31*0.1790888*245000/1000000)+(31*0.2374*100000/1000000)</f>
        <v>2.0961194359999999</v>
      </c>
      <c r="Y437" s="57"/>
      <c r="Z437" s="14"/>
      <c r="AA437" s="56"/>
      <c r="AB437" s="50">
        <f>(B437*194.205+C437*267.466+D437*133.845+E437*53.484+F437*40+G437*185+H437*0+I437*100+J437*300)/(194.205+267.466+133.845+53.484+0+40+185+100+300)</f>
        <v>18.460824602276297</v>
      </c>
      <c r="AC437" s="45">
        <f>(M437*'RAP TEMPLATE-GAS AVAILABILITY'!O436+N437*'RAP TEMPLATE-GAS AVAILABILITY'!P436+O437*'RAP TEMPLATE-GAS AVAILABILITY'!Q436+P437*'RAP TEMPLATE-GAS AVAILABILITY'!R436)/('RAP TEMPLATE-GAS AVAILABILITY'!O436+'RAP TEMPLATE-GAS AVAILABILITY'!P436+'RAP TEMPLATE-GAS AVAILABILITY'!Q436+'RAP TEMPLATE-GAS AVAILABILITY'!R436)</f>
        <v>18.315144604316547</v>
      </c>
    </row>
    <row r="438" spans="1:29" ht="15.75" x14ac:dyDescent="0.25">
      <c r="A438" s="33">
        <v>54239</v>
      </c>
      <c r="B438" s="14">
        <f>CHOOSE(CONTROL!$C$42, 18.9556, 18.9556) * CHOOSE(CONTROL!$C$21, $C$9, 100%, $E$9)</f>
        <v>18.9556</v>
      </c>
      <c r="C438" s="14">
        <f>CHOOSE(CONTROL!$C$42, 18.9635, 18.9635) * CHOOSE(CONTROL!$C$21, $C$9, 100%, $E$9)</f>
        <v>18.9635</v>
      </c>
      <c r="D438" s="14">
        <f>CHOOSE(CONTROL!$C$42, 19.1611, 19.1611) * CHOOSE(CONTROL!$C$21, $C$9, 100%, $E$9)</f>
        <v>19.161100000000001</v>
      </c>
      <c r="E438" s="14">
        <f>CHOOSE(CONTROL!$C$42, 19.1923, 19.1923) * CHOOSE(CONTROL!$C$21, $C$9, 100%, $E$9)</f>
        <v>19.192299999999999</v>
      </c>
      <c r="F438" s="14">
        <f>CHOOSE(CONTROL!$C$42, 18.9394, 18.9394)*CHOOSE(CONTROL!$C$21, $C$9, 100%, $E$9)</f>
        <v>18.939399999999999</v>
      </c>
      <c r="G438" s="14">
        <f>CHOOSE(CONTROL!$C$42, 18.9556, 18.9556)*CHOOSE(CONTROL!$C$21, $C$9, 100%, $E$9)</f>
        <v>18.9556</v>
      </c>
      <c r="H438" s="14">
        <f>CHOOSE(CONTROL!$C$42, 19.1809, 19.1809) * CHOOSE(CONTROL!$C$21, $C$9, 100%, $E$9)</f>
        <v>19.180900000000001</v>
      </c>
      <c r="I438" s="14">
        <f>CHOOSE(CONTROL!$C$42, 18.967, 18.967)* CHOOSE(CONTROL!$C$21, $C$9, 100%, $E$9)</f>
        <v>18.966999999999999</v>
      </c>
      <c r="J438" s="14">
        <f>CHOOSE(CONTROL!$C$42, 18.9324, 18.9324)* CHOOSE(CONTROL!$C$21, $C$9, 100%, $E$9)</f>
        <v>18.932400000000001</v>
      </c>
      <c r="K438" s="53">
        <f>CHOOSE(CONTROL!$C$42, 18.9631, 18.9631) * CHOOSE(CONTROL!$C$21, $C$9, 100%, $E$9)</f>
        <v>18.963100000000001</v>
      </c>
      <c r="L438" s="14">
        <f>CHOOSE(CONTROL!$C$42, 19.7679, 19.7679) * CHOOSE(CONTROL!$C$21, $C$9, 100%, $E$9)</f>
        <v>19.767900000000001</v>
      </c>
      <c r="M438" s="14">
        <f>CHOOSE(CONTROL!$C$42, 18.7552, 18.7552) * CHOOSE(CONTROL!$C$21, $C$9, 100%, $E$9)</f>
        <v>18.755199999999999</v>
      </c>
      <c r="N438" s="14">
        <f>CHOOSE(CONTROL!$C$42, 18.7712, 18.7712) * CHOOSE(CONTROL!$C$21, $C$9, 100%, $E$9)</f>
        <v>18.7712</v>
      </c>
      <c r="O438" s="14">
        <f>CHOOSE(CONTROL!$C$42, 19.0011, 19.0011) * CHOOSE(CONTROL!$C$21, $C$9, 100%, $E$9)</f>
        <v>19.001100000000001</v>
      </c>
      <c r="P438" s="14">
        <f>CHOOSE(CONTROL!$C$42, 18.7894, 18.7894) * CHOOSE(CONTROL!$C$21, $C$9, 100%, $E$9)</f>
        <v>18.789400000000001</v>
      </c>
      <c r="Q438" s="14">
        <f>CHOOSE(CONTROL!$C$42, 19.5964, 19.5964) * CHOOSE(CONTROL!$C$21, $C$9, 100%, $E$9)</f>
        <v>19.596399999999999</v>
      </c>
      <c r="R438" s="14">
        <f>CHOOSE(CONTROL!$C$42, 20.2324, 20.2324) * CHOOSE(CONTROL!$C$21, $C$9, 100%, $E$9)</f>
        <v>20.232399999999998</v>
      </c>
      <c r="S438" s="14">
        <f>CHOOSE(CONTROL!$C$42, 18.4036, 18.4036) * CHOOSE(CONTROL!$C$21, $C$9, 100%, $E$9)</f>
        <v>18.403600000000001</v>
      </c>
      <c r="T43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38" s="57">
        <f>(1000*CHOOSE(CONTROL!$C$42, 695, 695)*CHOOSE(CONTROL!$C$42, 0.5599, 0.5599)*CHOOSE(CONTROL!$C$42, 30, 30))/1000000</f>
        <v>11.673914999999997</v>
      </c>
      <c r="V438" s="57">
        <f>(1000*CHOOSE(CONTROL!$C$42, 500, 500)*CHOOSE(CONTROL!$C$42, 0.275, 0.275)*CHOOSE(CONTROL!$C$42, 30, 30))/1000000</f>
        <v>4.125</v>
      </c>
      <c r="W438" s="57">
        <f>(1000*CHOOSE(CONTROL!$C$42, 0.1146, 0.1146)*CHOOSE(CONTROL!$C$42, 121.5, 121.5)*CHOOSE(CONTROL!$C$42, 30, 30))/1000000</f>
        <v>0.417717</v>
      </c>
      <c r="X438" s="57">
        <f>(30*0.1790888*245000/1000000)+(30*0.2374*100000/1000000)</f>
        <v>2.0285026799999999</v>
      </c>
      <c r="Y438" s="57"/>
      <c r="Z438" s="14"/>
      <c r="AA438" s="56"/>
      <c r="AB438" s="50">
        <f>(B438*194.205+C438*267.466+D438*133.845+E438*53.484+F438*40+G438*185+H438*0+I438*100+J438*300)/(194.205+267.466+133.845+53.484+0+40+185+100+300)</f>
        <v>18.983708156750396</v>
      </c>
      <c r="AC438" s="45">
        <f>(M438*'RAP TEMPLATE-GAS AVAILABILITY'!O437+N438*'RAP TEMPLATE-GAS AVAILABILITY'!P437+O438*'RAP TEMPLATE-GAS AVAILABILITY'!Q437+P438*'RAP TEMPLATE-GAS AVAILABILITY'!R437)/('RAP TEMPLATE-GAS AVAILABILITY'!O437+'RAP TEMPLATE-GAS AVAILABILITY'!P437+'RAP TEMPLATE-GAS AVAILABILITY'!Q437+'RAP TEMPLATE-GAS AVAILABILITY'!R437)</f>
        <v>18.83279784172662</v>
      </c>
    </row>
    <row r="439" spans="1:29" ht="15.75" x14ac:dyDescent="0.25">
      <c r="A439" s="33">
        <v>54270</v>
      </c>
      <c r="B439" s="14">
        <f>CHOOSE(CONTROL!$C$42, 18.5921, 18.5921) * CHOOSE(CONTROL!$C$21, $C$9, 100%, $E$9)</f>
        <v>18.592099999999999</v>
      </c>
      <c r="C439" s="14">
        <f>CHOOSE(CONTROL!$C$42, 18.6, 18.6) * CHOOSE(CONTROL!$C$21, $C$9, 100%, $E$9)</f>
        <v>18.600000000000001</v>
      </c>
      <c r="D439" s="14">
        <f>CHOOSE(CONTROL!$C$42, 18.7976, 18.7976) * CHOOSE(CONTROL!$C$21, $C$9, 100%, $E$9)</f>
        <v>18.797599999999999</v>
      </c>
      <c r="E439" s="14">
        <f>CHOOSE(CONTROL!$C$42, 18.8287, 18.8287) * CHOOSE(CONTROL!$C$21, $C$9, 100%, $E$9)</f>
        <v>18.828700000000001</v>
      </c>
      <c r="F439" s="14">
        <f>CHOOSE(CONTROL!$C$42, 18.5763, 18.5763)*CHOOSE(CONTROL!$C$21, $C$9, 100%, $E$9)</f>
        <v>18.5763</v>
      </c>
      <c r="G439" s="14">
        <f>CHOOSE(CONTROL!$C$42, 18.5926, 18.5926)*CHOOSE(CONTROL!$C$21, $C$9, 100%, $E$9)</f>
        <v>18.592600000000001</v>
      </c>
      <c r="H439" s="14">
        <f>CHOOSE(CONTROL!$C$42, 18.8173, 18.8173) * CHOOSE(CONTROL!$C$21, $C$9, 100%, $E$9)</f>
        <v>18.817299999999999</v>
      </c>
      <c r="I439" s="14">
        <f>CHOOSE(CONTROL!$C$42, 18.6034, 18.6034)* CHOOSE(CONTROL!$C$21, $C$9, 100%, $E$9)</f>
        <v>18.603400000000001</v>
      </c>
      <c r="J439" s="14">
        <f>CHOOSE(CONTROL!$C$42, 18.5693, 18.5693)* CHOOSE(CONTROL!$C$21, $C$9, 100%, $E$9)</f>
        <v>18.569299999999998</v>
      </c>
      <c r="K439" s="53">
        <f>CHOOSE(CONTROL!$C$42, 18.5995, 18.5995) * CHOOSE(CONTROL!$C$21, $C$9, 100%, $E$9)</f>
        <v>18.599499999999999</v>
      </c>
      <c r="L439" s="14">
        <f>CHOOSE(CONTROL!$C$42, 19.4043, 19.4043) * CHOOSE(CONTROL!$C$21, $C$9, 100%, $E$9)</f>
        <v>19.404299999999999</v>
      </c>
      <c r="M439" s="14">
        <f>CHOOSE(CONTROL!$C$42, 18.3958, 18.3958) * CHOOSE(CONTROL!$C$21, $C$9, 100%, $E$9)</f>
        <v>18.395800000000001</v>
      </c>
      <c r="N439" s="14">
        <f>CHOOSE(CONTROL!$C$42, 18.4119, 18.4119) * CHOOSE(CONTROL!$C$21, $C$9, 100%, $E$9)</f>
        <v>18.411899999999999</v>
      </c>
      <c r="O439" s="14">
        <f>CHOOSE(CONTROL!$C$42, 18.6413, 18.6413) * CHOOSE(CONTROL!$C$21, $C$9, 100%, $E$9)</f>
        <v>18.641300000000001</v>
      </c>
      <c r="P439" s="14">
        <f>CHOOSE(CONTROL!$C$42, 18.4296, 18.4296) * CHOOSE(CONTROL!$C$21, $C$9, 100%, $E$9)</f>
        <v>18.429600000000001</v>
      </c>
      <c r="Q439" s="14">
        <f>CHOOSE(CONTROL!$C$42, 19.2366, 19.2366) * CHOOSE(CONTROL!$C$21, $C$9, 100%, $E$9)</f>
        <v>19.236599999999999</v>
      </c>
      <c r="R439" s="14">
        <f>CHOOSE(CONTROL!$C$42, 19.8717, 19.8717) * CHOOSE(CONTROL!$C$21, $C$9, 100%, $E$9)</f>
        <v>19.871700000000001</v>
      </c>
      <c r="S439" s="14">
        <f>CHOOSE(CONTROL!$C$42, 18.0505, 18.0505) * CHOOSE(CONTROL!$C$21, $C$9, 100%, $E$9)</f>
        <v>18.0505</v>
      </c>
      <c r="T43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39" s="57">
        <f>(1000*CHOOSE(CONTROL!$C$42, 695, 695)*CHOOSE(CONTROL!$C$42, 0.5599, 0.5599)*CHOOSE(CONTROL!$C$42, 31, 31))/1000000</f>
        <v>12.063045499999998</v>
      </c>
      <c r="V439" s="57">
        <f>(1000*CHOOSE(CONTROL!$C$42, 500, 500)*CHOOSE(CONTROL!$C$42, 0.275, 0.275)*CHOOSE(CONTROL!$C$42, 31, 31))/1000000</f>
        <v>4.2625000000000002</v>
      </c>
      <c r="W439" s="57">
        <f>(1000*CHOOSE(CONTROL!$C$42, 0.1146, 0.1146)*CHOOSE(CONTROL!$C$42, 121.5, 121.5)*CHOOSE(CONTROL!$C$42, 31, 31))/1000000</f>
        <v>0.43164089999999994</v>
      </c>
      <c r="X439" s="57">
        <f>(31*0.1790888*245000/1000000)+(31*0.2374*100000/1000000)</f>
        <v>2.0961194359999999</v>
      </c>
      <c r="Y439" s="57"/>
      <c r="Z439" s="14"/>
      <c r="AA439" s="56"/>
      <c r="AB439" s="50">
        <f>(B439*194.205+C439*267.466+D439*133.845+E439*53.484+F439*40+G439*185+H439*0+I439*100+J439*300)/(194.205+267.466+133.845+53.484+0+40+185+100+300)</f>
        <v>18.62037546569859</v>
      </c>
      <c r="AC439" s="45">
        <f>(M439*'RAP TEMPLATE-GAS AVAILABILITY'!O438+N439*'RAP TEMPLATE-GAS AVAILABILITY'!P438+O439*'RAP TEMPLATE-GAS AVAILABILITY'!Q438+P439*'RAP TEMPLATE-GAS AVAILABILITY'!R438)/('RAP TEMPLATE-GAS AVAILABILITY'!O438+'RAP TEMPLATE-GAS AVAILABILITY'!P438+'RAP TEMPLATE-GAS AVAILABILITY'!Q438+'RAP TEMPLATE-GAS AVAILABILITY'!R438)</f>
        <v>18.473251079136691</v>
      </c>
    </row>
    <row r="440" spans="1:29" ht="15.75" x14ac:dyDescent="0.25">
      <c r="A440" s="33">
        <v>54301</v>
      </c>
      <c r="B440" s="14">
        <f>CHOOSE(CONTROL!$C$42, 17.674, 17.674) * CHOOSE(CONTROL!$C$21, $C$9, 100%, $E$9)</f>
        <v>17.673999999999999</v>
      </c>
      <c r="C440" s="14">
        <f>CHOOSE(CONTROL!$C$42, 17.6819, 17.6819) * CHOOSE(CONTROL!$C$21, $C$9, 100%, $E$9)</f>
        <v>17.681899999999999</v>
      </c>
      <c r="D440" s="14">
        <f>CHOOSE(CONTROL!$C$42, 17.8795, 17.8795) * CHOOSE(CONTROL!$C$21, $C$9, 100%, $E$9)</f>
        <v>17.8795</v>
      </c>
      <c r="E440" s="14">
        <f>CHOOSE(CONTROL!$C$42, 17.9106, 17.9106) * CHOOSE(CONTROL!$C$21, $C$9, 100%, $E$9)</f>
        <v>17.910599999999999</v>
      </c>
      <c r="F440" s="14">
        <f>CHOOSE(CONTROL!$C$42, 17.6584, 17.6584)*CHOOSE(CONTROL!$C$21, $C$9, 100%, $E$9)</f>
        <v>17.6584</v>
      </c>
      <c r="G440" s="14">
        <f>CHOOSE(CONTROL!$C$42, 17.6748, 17.6748)*CHOOSE(CONTROL!$C$21, $C$9, 100%, $E$9)</f>
        <v>17.674800000000001</v>
      </c>
      <c r="H440" s="14">
        <f>CHOOSE(CONTROL!$C$42, 17.8992, 17.8992) * CHOOSE(CONTROL!$C$21, $C$9, 100%, $E$9)</f>
        <v>17.8992</v>
      </c>
      <c r="I440" s="14">
        <f>CHOOSE(CONTROL!$C$42, 17.6853, 17.6853)* CHOOSE(CONTROL!$C$21, $C$9, 100%, $E$9)</f>
        <v>17.685300000000002</v>
      </c>
      <c r="J440" s="14">
        <f>CHOOSE(CONTROL!$C$42, 17.6514, 17.6514)* CHOOSE(CONTROL!$C$21, $C$9, 100%, $E$9)</f>
        <v>17.651399999999999</v>
      </c>
      <c r="K440" s="53">
        <f>CHOOSE(CONTROL!$C$42, 17.6815, 17.6815) * CHOOSE(CONTROL!$C$21, $C$9, 100%, $E$9)</f>
        <v>17.6815</v>
      </c>
      <c r="L440" s="14">
        <f>CHOOSE(CONTROL!$C$42, 18.4862, 18.4862) * CHOOSE(CONTROL!$C$21, $C$9, 100%, $E$9)</f>
        <v>18.4862</v>
      </c>
      <c r="M440" s="14">
        <f>CHOOSE(CONTROL!$C$42, 17.4871, 17.4871) * CHOOSE(CONTROL!$C$21, $C$9, 100%, $E$9)</f>
        <v>17.487100000000002</v>
      </c>
      <c r="N440" s="14">
        <f>CHOOSE(CONTROL!$C$42, 17.5033, 17.5033) * CHOOSE(CONTROL!$C$21, $C$9, 100%, $E$9)</f>
        <v>17.503299999999999</v>
      </c>
      <c r="O440" s="14">
        <f>CHOOSE(CONTROL!$C$42, 17.7324, 17.7324) * CHOOSE(CONTROL!$C$21, $C$9, 100%, $E$9)</f>
        <v>17.732399999999998</v>
      </c>
      <c r="P440" s="14">
        <f>CHOOSE(CONTROL!$C$42, 17.5207, 17.5207) * CHOOSE(CONTROL!$C$21, $C$9, 100%, $E$9)</f>
        <v>17.520700000000001</v>
      </c>
      <c r="Q440" s="14">
        <f>CHOOSE(CONTROL!$C$42, 18.3277, 18.3277) * CHOOSE(CONTROL!$C$21, $C$9, 100%, $E$9)</f>
        <v>18.3277</v>
      </c>
      <c r="R440" s="14">
        <f>CHOOSE(CONTROL!$C$42, 18.9606, 18.9606) * CHOOSE(CONTROL!$C$21, $C$9, 100%, $E$9)</f>
        <v>18.960599999999999</v>
      </c>
      <c r="S440" s="14">
        <f>CHOOSE(CONTROL!$C$42, 17.159, 17.159) * CHOOSE(CONTROL!$C$21, $C$9, 100%, $E$9)</f>
        <v>17.158999999999999</v>
      </c>
      <c r="T44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40" s="57">
        <f>(1000*CHOOSE(CONTROL!$C$42, 695, 695)*CHOOSE(CONTROL!$C$42, 0.5599, 0.5599)*CHOOSE(CONTROL!$C$42, 31, 31))/1000000</f>
        <v>12.063045499999998</v>
      </c>
      <c r="V440" s="57">
        <f>(1000*CHOOSE(CONTROL!$C$42, 500, 500)*CHOOSE(CONTROL!$C$42, 0.275, 0.275)*CHOOSE(CONTROL!$C$42, 31, 31))/1000000</f>
        <v>4.2625000000000002</v>
      </c>
      <c r="W440" s="57">
        <f>(1000*CHOOSE(CONTROL!$C$42, 0.1146, 0.1146)*CHOOSE(CONTROL!$C$42, 121.5, 121.5)*CHOOSE(CONTROL!$C$42, 31, 31))/1000000</f>
        <v>0.43164089999999994</v>
      </c>
      <c r="X440" s="57">
        <f>(31*0.1790888*245000/1000000)+(31*0.2374*100000/1000000)</f>
        <v>2.0961194359999999</v>
      </c>
      <c r="Y440" s="57"/>
      <c r="Z440" s="14"/>
      <c r="AA440" s="56"/>
      <c r="AB440" s="50">
        <f>(B440*194.205+C440*267.466+D440*133.845+E440*53.484+F440*40+G440*185+H440*0+I440*100+J440*300)/(194.205+267.466+133.845+53.484+0+40+185+100+300)</f>
        <v>17.702372404474097</v>
      </c>
      <c r="AC440" s="45">
        <f>(M440*'RAP TEMPLATE-GAS AVAILABILITY'!O439+N440*'RAP TEMPLATE-GAS AVAILABILITY'!P439+O440*'RAP TEMPLATE-GAS AVAILABILITY'!Q439+P440*'RAP TEMPLATE-GAS AVAILABILITY'!R439)/('RAP TEMPLATE-GAS AVAILABILITY'!O439+'RAP TEMPLATE-GAS AVAILABILITY'!P439+'RAP TEMPLATE-GAS AVAILABILITY'!Q439+'RAP TEMPLATE-GAS AVAILABILITY'!R439)</f>
        <v>17.564489208633095</v>
      </c>
    </row>
    <row r="441" spans="1:29" ht="15.75" x14ac:dyDescent="0.25">
      <c r="A441" s="33">
        <v>54331</v>
      </c>
      <c r="B441" s="14">
        <f>CHOOSE(CONTROL!$C$42, 16.5519, 16.5519) * CHOOSE(CONTROL!$C$21, $C$9, 100%, $E$9)</f>
        <v>16.5519</v>
      </c>
      <c r="C441" s="14">
        <f>CHOOSE(CONTROL!$C$42, 16.5598, 16.5598) * CHOOSE(CONTROL!$C$21, $C$9, 100%, $E$9)</f>
        <v>16.559799999999999</v>
      </c>
      <c r="D441" s="14">
        <f>CHOOSE(CONTROL!$C$42, 16.7574, 16.7574) * CHOOSE(CONTROL!$C$21, $C$9, 100%, $E$9)</f>
        <v>16.757400000000001</v>
      </c>
      <c r="E441" s="14">
        <f>CHOOSE(CONTROL!$C$42, 16.7885, 16.7885) * CHOOSE(CONTROL!$C$21, $C$9, 100%, $E$9)</f>
        <v>16.788499999999999</v>
      </c>
      <c r="F441" s="14">
        <f>CHOOSE(CONTROL!$C$42, 16.5362, 16.5362)*CHOOSE(CONTROL!$C$21, $C$9, 100%, $E$9)</f>
        <v>16.536200000000001</v>
      </c>
      <c r="G441" s="14">
        <f>CHOOSE(CONTROL!$C$42, 16.5526, 16.5526)*CHOOSE(CONTROL!$C$21, $C$9, 100%, $E$9)</f>
        <v>16.552600000000002</v>
      </c>
      <c r="H441" s="14">
        <f>CHOOSE(CONTROL!$C$42, 16.7771, 16.7771) * CHOOSE(CONTROL!$C$21, $C$9, 100%, $E$9)</f>
        <v>16.777100000000001</v>
      </c>
      <c r="I441" s="14">
        <f>CHOOSE(CONTROL!$C$42, 16.5632, 16.5632)* CHOOSE(CONTROL!$C$21, $C$9, 100%, $E$9)</f>
        <v>16.563199999999998</v>
      </c>
      <c r="J441" s="14">
        <f>CHOOSE(CONTROL!$C$42, 16.5292, 16.5292)* CHOOSE(CONTROL!$C$21, $C$9, 100%, $E$9)</f>
        <v>16.529199999999999</v>
      </c>
      <c r="K441" s="53">
        <f>CHOOSE(CONTROL!$C$42, 16.5593, 16.5593) * CHOOSE(CONTROL!$C$21, $C$9, 100%, $E$9)</f>
        <v>16.5593</v>
      </c>
      <c r="L441" s="14">
        <f>CHOOSE(CONTROL!$C$42, 17.3641, 17.3641) * CHOOSE(CONTROL!$C$21, $C$9, 100%, $E$9)</f>
        <v>17.364100000000001</v>
      </c>
      <c r="M441" s="14">
        <f>CHOOSE(CONTROL!$C$42, 16.3762, 16.3762) * CHOOSE(CONTROL!$C$21, $C$9, 100%, $E$9)</f>
        <v>16.376200000000001</v>
      </c>
      <c r="N441" s="14">
        <f>CHOOSE(CONTROL!$C$42, 16.3924, 16.3924) * CHOOSE(CONTROL!$C$21, $C$9, 100%, $E$9)</f>
        <v>16.392399999999999</v>
      </c>
      <c r="O441" s="14">
        <f>CHOOSE(CONTROL!$C$42, 16.6216, 16.6216) * CHOOSE(CONTROL!$C$21, $C$9, 100%, $E$9)</f>
        <v>16.621600000000001</v>
      </c>
      <c r="P441" s="14">
        <f>CHOOSE(CONTROL!$C$42, 16.4099, 16.4099) * CHOOSE(CONTROL!$C$21, $C$9, 100%, $E$9)</f>
        <v>16.4099</v>
      </c>
      <c r="Q441" s="14">
        <f>CHOOSE(CONTROL!$C$42, 17.2169, 17.2169) * CHOOSE(CONTROL!$C$21, $C$9, 100%, $E$9)</f>
        <v>17.216899999999999</v>
      </c>
      <c r="R441" s="14">
        <f>CHOOSE(CONTROL!$C$42, 17.847, 17.847) * CHOOSE(CONTROL!$C$21, $C$9, 100%, $E$9)</f>
        <v>17.847000000000001</v>
      </c>
      <c r="S441" s="14">
        <f>CHOOSE(CONTROL!$C$42, 16.0693, 16.0693) * CHOOSE(CONTROL!$C$21, $C$9, 100%, $E$9)</f>
        <v>16.069299999999998</v>
      </c>
      <c r="T44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41" s="57">
        <f>(1000*CHOOSE(CONTROL!$C$42, 695, 695)*CHOOSE(CONTROL!$C$42, 0.5599, 0.5599)*CHOOSE(CONTROL!$C$42, 30, 30))/1000000</f>
        <v>11.673914999999997</v>
      </c>
      <c r="V441" s="57">
        <f>(1000*CHOOSE(CONTROL!$C$42, 500, 500)*CHOOSE(CONTROL!$C$42, 0.275, 0.275)*CHOOSE(CONTROL!$C$42, 30, 30))/1000000</f>
        <v>4.125</v>
      </c>
      <c r="W441" s="57">
        <f>(1000*CHOOSE(CONTROL!$C$42, 0.1146, 0.1146)*CHOOSE(CONTROL!$C$42, 121.5, 121.5)*CHOOSE(CONTROL!$C$42, 30, 30))/1000000</f>
        <v>0.417717</v>
      </c>
      <c r="X441" s="57">
        <f>(30*0.1790888*245000/1000000)+(30*0.2374*100000/1000000)</f>
        <v>2.0285026799999999</v>
      </c>
      <c r="Y441" s="57"/>
      <c r="Z441" s="14"/>
      <c r="AA441" s="56"/>
      <c r="AB441" s="50">
        <f>(B441*194.205+C441*267.466+D441*133.845+E441*53.484+F441*40+G441*185+H441*0+I441*100+J441*300)/(194.205+267.466+133.845+53.484+0+40+185+100+300)</f>
        <v>16.580231195682885</v>
      </c>
      <c r="AC441" s="45">
        <f>(M441*'RAP TEMPLATE-GAS AVAILABILITY'!O440+N441*'RAP TEMPLATE-GAS AVAILABILITY'!P440+O441*'RAP TEMPLATE-GAS AVAILABILITY'!Q440+P441*'RAP TEMPLATE-GAS AVAILABILITY'!R440)/('RAP TEMPLATE-GAS AVAILABILITY'!O440+'RAP TEMPLATE-GAS AVAILABILITY'!P440+'RAP TEMPLATE-GAS AVAILABILITY'!Q440+'RAP TEMPLATE-GAS AVAILABILITY'!R440)</f>
        <v>16.453631654676258</v>
      </c>
    </row>
    <row r="442" spans="1:29" ht="15.75" x14ac:dyDescent="0.25">
      <c r="A442" s="33">
        <v>54362</v>
      </c>
      <c r="B442" s="14">
        <f>CHOOSE(CONTROL!$C$42, 16.2141, 16.2141) * CHOOSE(CONTROL!$C$21, $C$9, 100%, $E$9)</f>
        <v>16.214099999999998</v>
      </c>
      <c r="C442" s="14">
        <f>CHOOSE(CONTROL!$C$42, 16.2193, 16.2193) * CHOOSE(CONTROL!$C$21, $C$9, 100%, $E$9)</f>
        <v>16.2193</v>
      </c>
      <c r="D442" s="14">
        <f>CHOOSE(CONTROL!$C$42, 16.4219, 16.4219) * CHOOSE(CONTROL!$C$21, $C$9, 100%, $E$9)</f>
        <v>16.421900000000001</v>
      </c>
      <c r="E442" s="14">
        <f>CHOOSE(CONTROL!$C$42, 16.4507, 16.4507) * CHOOSE(CONTROL!$C$21, $C$9, 100%, $E$9)</f>
        <v>16.450700000000001</v>
      </c>
      <c r="F442" s="14">
        <f>CHOOSE(CONTROL!$C$42, 16.2005, 16.2005)*CHOOSE(CONTROL!$C$21, $C$9, 100%, $E$9)</f>
        <v>16.200500000000002</v>
      </c>
      <c r="G442" s="14">
        <f>CHOOSE(CONTROL!$C$42, 16.2165, 16.2165)*CHOOSE(CONTROL!$C$21, $C$9, 100%, $E$9)</f>
        <v>16.2165</v>
      </c>
      <c r="H442" s="14">
        <f>CHOOSE(CONTROL!$C$42, 16.4412, 16.4412) * CHOOSE(CONTROL!$C$21, $C$9, 100%, $E$9)</f>
        <v>16.441199999999998</v>
      </c>
      <c r="I442" s="14">
        <f>CHOOSE(CONTROL!$C$42, 16.2273, 16.2273)* CHOOSE(CONTROL!$C$21, $C$9, 100%, $E$9)</f>
        <v>16.2273</v>
      </c>
      <c r="J442" s="14">
        <f>CHOOSE(CONTROL!$C$42, 16.1935, 16.1935)* CHOOSE(CONTROL!$C$21, $C$9, 100%, $E$9)</f>
        <v>16.1935</v>
      </c>
      <c r="K442" s="53">
        <f>CHOOSE(CONTROL!$C$42, 16.2234, 16.2234) * CHOOSE(CONTROL!$C$21, $C$9, 100%, $E$9)</f>
        <v>16.223400000000002</v>
      </c>
      <c r="L442" s="14">
        <f>CHOOSE(CONTROL!$C$42, 17.0282, 17.0282) * CHOOSE(CONTROL!$C$21, $C$9, 100%, $E$9)</f>
        <v>17.028199999999998</v>
      </c>
      <c r="M442" s="14">
        <f>CHOOSE(CONTROL!$C$42, 16.0439, 16.0439) * CHOOSE(CONTROL!$C$21, $C$9, 100%, $E$9)</f>
        <v>16.043900000000001</v>
      </c>
      <c r="N442" s="14">
        <f>CHOOSE(CONTROL!$C$42, 16.0598, 16.0598) * CHOOSE(CONTROL!$C$21, $C$9, 100%, $E$9)</f>
        <v>16.059799999999999</v>
      </c>
      <c r="O442" s="14">
        <f>CHOOSE(CONTROL!$C$42, 16.2891, 16.2891) * CHOOSE(CONTROL!$C$21, $C$9, 100%, $E$9)</f>
        <v>16.289100000000001</v>
      </c>
      <c r="P442" s="14">
        <f>CHOOSE(CONTROL!$C$42, 16.0774, 16.0774) * CHOOSE(CONTROL!$C$21, $C$9, 100%, $E$9)</f>
        <v>16.077400000000001</v>
      </c>
      <c r="Q442" s="14">
        <f>CHOOSE(CONTROL!$C$42, 16.8844, 16.8844) * CHOOSE(CONTROL!$C$21, $C$9, 100%, $E$9)</f>
        <v>16.884399999999999</v>
      </c>
      <c r="R442" s="14">
        <f>CHOOSE(CONTROL!$C$42, 17.5136, 17.5136) * CHOOSE(CONTROL!$C$21, $C$9, 100%, $E$9)</f>
        <v>17.5136</v>
      </c>
      <c r="S442" s="14">
        <f>CHOOSE(CONTROL!$C$42, 15.743, 15.743) * CHOOSE(CONTROL!$C$21, $C$9, 100%, $E$9)</f>
        <v>15.743</v>
      </c>
      <c r="T44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42" s="57">
        <f>(1000*CHOOSE(CONTROL!$C$42, 695, 695)*CHOOSE(CONTROL!$C$42, 0.5599, 0.5599)*CHOOSE(CONTROL!$C$42, 31, 31))/1000000</f>
        <v>12.063045499999998</v>
      </c>
      <c r="V442" s="57">
        <f>(1000*CHOOSE(CONTROL!$C$42, 500, 500)*CHOOSE(CONTROL!$C$42, 0.275, 0.275)*CHOOSE(CONTROL!$C$42, 31, 31))/1000000</f>
        <v>4.2625000000000002</v>
      </c>
      <c r="W442" s="57">
        <f>(1000*CHOOSE(CONTROL!$C$42, 0.1146, 0.1146)*CHOOSE(CONTROL!$C$42, 121.5, 121.5)*CHOOSE(CONTROL!$C$42, 31, 31))/1000000</f>
        <v>0.43164089999999994</v>
      </c>
      <c r="X442" s="57">
        <f>(31*0.1790888*245000/1000000)+(31*0.2374*100000/1000000)</f>
        <v>2.0961194359999999</v>
      </c>
      <c r="Y442" s="57"/>
      <c r="Z442" s="14"/>
      <c r="AA442" s="56"/>
      <c r="AB442" s="50">
        <f>(B442*131.881+C442*277.167+D442*79.08+E442*125.872+F442*40+G442*185+H442*0+I442*100+J442*300)/(131.881+277.167+79.08+125.872+0+40+185+100+300)</f>
        <v>16.248559570298628</v>
      </c>
      <c r="AC442" s="45">
        <f>(M442*'RAP TEMPLATE-GAS AVAILABILITY'!O441+N442*'RAP TEMPLATE-GAS AVAILABILITY'!P441+O442*'RAP TEMPLATE-GAS AVAILABILITY'!Q441+P442*'RAP TEMPLATE-GAS AVAILABILITY'!R441)/('RAP TEMPLATE-GAS AVAILABILITY'!O441+'RAP TEMPLATE-GAS AVAILABILITY'!P441+'RAP TEMPLATE-GAS AVAILABILITY'!Q441+'RAP TEMPLATE-GAS AVAILABILITY'!R441)</f>
        <v>16.121177697841727</v>
      </c>
    </row>
    <row r="443" spans="1:29" ht="15.75" x14ac:dyDescent="0.25">
      <c r="A443" s="33">
        <v>54392</v>
      </c>
      <c r="B443" s="14">
        <f>CHOOSE(CONTROL!$C$42, 16.6408, 16.6408) * CHOOSE(CONTROL!$C$21, $C$9, 100%, $E$9)</f>
        <v>16.640799999999999</v>
      </c>
      <c r="C443" s="14">
        <f>CHOOSE(CONTROL!$C$42, 16.6457, 16.6457) * CHOOSE(CONTROL!$C$21, $C$9, 100%, $E$9)</f>
        <v>16.645700000000001</v>
      </c>
      <c r="D443" s="14">
        <f>CHOOSE(CONTROL!$C$42, 16.7088, 16.7088) * CHOOSE(CONTROL!$C$21, $C$9, 100%, $E$9)</f>
        <v>16.7088</v>
      </c>
      <c r="E443" s="14">
        <f>CHOOSE(CONTROL!$C$42, 16.7426, 16.7426) * CHOOSE(CONTROL!$C$21, $C$9, 100%, $E$9)</f>
        <v>16.742599999999999</v>
      </c>
      <c r="F443" s="14">
        <f>CHOOSE(CONTROL!$C$42, 16.6415, 16.6415)*CHOOSE(CONTROL!$C$21, $C$9, 100%, $E$9)</f>
        <v>16.641500000000001</v>
      </c>
      <c r="G443" s="14">
        <f>CHOOSE(CONTROL!$C$42, 16.6578, 16.6578)*CHOOSE(CONTROL!$C$21, $C$9, 100%, $E$9)</f>
        <v>16.657800000000002</v>
      </c>
      <c r="H443" s="14">
        <f>CHOOSE(CONTROL!$C$42, 16.7318, 16.7318) * CHOOSE(CONTROL!$C$21, $C$9, 100%, $E$9)</f>
        <v>16.7318</v>
      </c>
      <c r="I443" s="14">
        <f>CHOOSE(CONTROL!$C$42, 16.6543, 16.6543)* CHOOSE(CONTROL!$C$21, $C$9, 100%, $E$9)</f>
        <v>16.654299999999999</v>
      </c>
      <c r="J443" s="14">
        <f>CHOOSE(CONTROL!$C$42, 16.6345, 16.6345)* CHOOSE(CONTROL!$C$21, $C$9, 100%, $E$9)</f>
        <v>16.634499999999999</v>
      </c>
      <c r="K443" s="53">
        <f>CHOOSE(CONTROL!$C$42, 16.6504, 16.6504) * CHOOSE(CONTROL!$C$21, $C$9, 100%, $E$9)</f>
        <v>16.650400000000001</v>
      </c>
      <c r="L443" s="14">
        <f>CHOOSE(CONTROL!$C$42, 17.3188, 17.3188) * CHOOSE(CONTROL!$C$21, $C$9, 100%, $E$9)</f>
        <v>17.3188</v>
      </c>
      <c r="M443" s="14">
        <f>CHOOSE(CONTROL!$C$42, 16.4804, 16.4804) * CHOOSE(CONTROL!$C$21, $C$9, 100%, $E$9)</f>
        <v>16.480399999999999</v>
      </c>
      <c r="N443" s="14">
        <f>CHOOSE(CONTROL!$C$42, 16.4966, 16.4966) * CHOOSE(CONTROL!$C$21, $C$9, 100%, $E$9)</f>
        <v>16.496600000000001</v>
      </c>
      <c r="O443" s="14">
        <f>CHOOSE(CONTROL!$C$42, 16.5768, 16.5768) * CHOOSE(CONTROL!$C$21, $C$9, 100%, $E$9)</f>
        <v>16.576799999999999</v>
      </c>
      <c r="P443" s="14">
        <f>CHOOSE(CONTROL!$C$42, 16.5001, 16.5001) * CHOOSE(CONTROL!$C$21, $C$9, 100%, $E$9)</f>
        <v>16.5001</v>
      </c>
      <c r="Q443" s="14">
        <f>CHOOSE(CONTROL!$C$42, 17.1721, 17.1721) * CHOOSE(CONTROL!$C$21, $C$9, 100%, $E$9)</f>
        <v>17.1721</v>
      </c>
      <c r="R443" s="14">
        <f>CHOOSE(CONTROL!$C$42, 17.802, 17.802) * CHOOSE(CONTROL!$C$21, $C$9, 100%, $E$9)</f>
        <v>17.802</v>
      </c>
      <c r="S443" s="14">
        <f>CHOOSE(CONTROL!$C$42, 16.1577, 16.1577) * CHOOSE(CONTROL!$C$21, $C$9, 100%, $E$9)</f>
        <v>16.157699999999998</v>
      </c>
      <c r="T44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43" s="57">
        <f>(1000*CHOOSE(CONTROL!$C$42, 695, 695)*CHOOSE(CONTROL!$C$42, 0.5599, 0.5599)*CHOOSE(CONTROL!$C$42, 30, 30))/1000000</f>
        <v>11.673914999999997</v>
      </c>
      <c r="V443" s="57">
        <f>(1000*CHOOSE(CONTROL!$C$42, 500, 500)*CHOOSE(CONTROL!$C$42, 0.275, 0.275)*CHOOSE(CONTROL!$C$42, 30, 30))/1000000</f>
        <v>4.125</v>
      </c>
      <c r="W443" s="57">
        <f>(1000*CHOOSE(CONTROL!$C$42, 0.1146, 0.1146)*CHOOSE(CONTROL!$C$42, 121.5, 121.5)*CHOOSE(CONTROL!$C$42, 30, 30))/1000000</f>
        <v>0.417717</v>
      </c>
      <c r="X443" s="57">
        <f>(30*0.1790888*100000/1000000)+(30*0.2374*100000/1000000)</f>
        <v>1.2494664</v>
      </c>
      <c r="Y443" s="57"/>
      <c r="Z443" s="14"/>
      <c r="AA443" s="56"/>
      <c r="AB443" s="50">
        <f>(B443*122.58+C443*297.941+D443*89.177+E443*40.302+F443*40+G443*160+H443*0+I443*100+J443*300)/(122.58+297.941+89.177+40.302+0+40+160+100+300)</f>
        <v>16.652830165652173</v>
      </c>
      <c r="AC443" s="45">
        <f>(M443*'RAP TEMPLATE-GAS AVAILABILITY'!O442+N443*'RAP TEMPLATE-GAS AVAILABILITY'!P442+O443*'RAP TEMPLATE-GAS AVAILABILITY'!Q442+P443*'RAP TEMPLATE-GAS AVAILABILITY'!R442)/('RAP TEMPLATE-GAS AVAILABILITY'!O442+'RAP TEMPLATE-GAS AVAILABILITY'!P442+'RAP TEMPLATE-GAS AVAILABILITY'!Q442+'RAP TEMPLATE-GAS AVAILABILITY'!R442)</f>
        <v>16.527858992805754</v>
      </c>
    </row>
    <row r="444" spans="1:29" ht="15.75" x14ac:dyDescent="0.25">
      <c r="A444" s="33">
        <v>54423</v>
      </c>
      <c r="B444" s="14">
        <f>CHOOSE(CONTROL!$C$42, 17.7751, 17.7751) * CHOOSE(CONTROL!$C$21, $C$9, 100%, $E$9)</f>
        <v>17.775099999999998</v>
      </c>
      <c r="C444" s="14">
        <f>CHOOSE(CONTROL!$C$42, 17.7801, 17.7801) * CHOOSE(CONTROL!$C$21, $C$9, 100%, $E$9)</f>
        <v>17.780100000000001</v>
      </c>
      <c r="D444" s="14">
        <f>CHOOSE(CONTROL!$C$42, 17.8432, 17.8432) * CHOOSE(CONTROL!$C$21, $C$9, 100%, $E$9)</f>
        <v>17.8432</v>
      </c>
      <c r="E444" s="14">
        <f>CHOOSE(CONTROL!$C$42, 17.8769, 17.8769) * CHOOSE(CONTROL!$C$21, $C$9, 100%, $E$9)</f>
        <v>17.876899999999999</v>
      </c>
      <c r="F444" s="14">
        <f>CHOOSE(CONTROL!$C$42, 17.7779, 17.7779)*CHOOSE(CONTROL!$C$21, $C$9, 100%, $E$9)</f>
        <v>17.777899999999999</v>
      </c>
      <c r="G444" s="14">
        <f>CHOOSE(CONTROL!$C$42, 17.7947, 17.7947)*CHOOSE(CONTROL!$C$21, $C$9, 100%, $E$9)</f>
        <v>17.794699999999999</v>
      </c>
      <c r="H444" s="14">
        <f>CHOOSE(CONTROL!$C$42, 17.8661, 17.8661) * CHOOSE(CONTROL!$C$21, $C$9, 100%, $E$9)</f>
        <v>17.866099999999999</v>
      </c>
      <c r="I444" s="14">
        <f>CHOOSE(CONTROL!$C$42, 17.7887, 17.7887)* CHOOSE(CONTROL!$C$21, $C$9, 100%, $E$9)</f>
        <v>17.788699999999999</v>
      </c>
      <c r="J444" s="14">
        <f>CHOOSE(CONTROL!$C$42, 17.7709, 17.7709)* CHOOSE(CONTROL!$C$21, $C$9, 100%, $E$9)</f>
        <v>17.770900000000001</v>
      </c>
      <c r="K444" s="53">
        <f>CHOOSE(CONTROL!$C$42, 17.7848, 17.7848) * CHOOSE(CONTROL!$C$21, $C$9, 100%, $E$9)</f>
        <v>17.784800000000001</v>
      </c>
      <c r="L444" s="14">
        <f>CHOOSE(CONTROL!$C$42, 18.4531, 18.4531) * CHOOSE(CONTROL!$C$21, $C$9, 100%, $E$9)</f>
        <v>18.453099999999999</v>
      </c>
      <c r="M444" s="14">
        <f>CHOOSE(CONTROL!$C$42, 17.6054, 17.6054) * CHOOSE(CONTROL!$C$21, $C$9, 100%, $E$9)</f>
        <v>17.605399999999999</v>
      </c>
      <c r="N444" s="14">
        <f>CHOOSE(CONTROL!$C$42, 17.622, 17.622) * CHOOSE(CONTROL!$C$21, $C$9, 100%, $E$9)</f>
        <v>17.622</v>
      </c>
      <c r="O444" s="14">
        <f>CHOOSE(CONTROL!$C$42, 17.6997, 17.6997) * CHOOSE(CONTROL!$C$21, $C$9, 100%, $E$9)</f>
        <v>17.6997</v>
      </c>
      <c r="P444" s="14">
        <f>CHOOSE(CONTROL!$C$42, 17.623, 17.623) * CHOOSE(CONTROL!$C$21, $C$9, 100%, $E$9)</f>
        <v>17.623000000000001</v>
      </c>
      <c r="Q444" s="14">
        <f>CHOOSE(CONTROL!$C$42, 18.295, 18.295) * CHOOSE(CONTROL!$C$21, $C$9, 100%, $E$9)</f>
        <v>18.295000000000002</v>
      </c>
      <c r="R444" s="14">
        <f>CHOOSE(CONTROL!$C$42, 18.9277, 18.9277) * CHOOSE(CONTROL!$C$21, $C$9, 100%, $E$9)</f>
        <v>18.927700000000002</v>
      </c>
      <c r="S444" s="14">
        <f>CHOOSE(CONTROL!$C$42, 17.2593, 17.2593) * CHOOSE(CONTROL!$C$21, $C$9, 100%, $E$9)</f>
        <v>17.2593</v>
      </c>
      <c r="T44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44" s="57">
        <f>(1000*CHOOSE(CONTROL!$C$42, 695, 695)*CHOOSE(CONTROL!$C$42, 0.5599, 0.5599)*CHOOSE(CONTROL!$C$42, 31, 31))/1000000</f>
        <v>12.063045499999998</v>
      </c>
      <c r="V444" s="57">
        <f>(1000*CHOOSE(CONTROL!$C$42, 500, 500)*CHOOSE(CONTROL!$C$42, 0.275, 0.275)*CHOOSE(CONTROL!$C$42, 31, 31))/1000000</f>
        <v>4.2625000000000002</v>
      </c>
      <c r="W444" s="57">
        <f>(1000*CHOOSE(CONTROL!$C$42, 0.1146, 0.1146)*CHOOSE(CONTROL!$C$42, 121.5, 121.5)*CHOOSE(CONTROL!$C$42, 31, 31))/1000000</f>
        <v>0.43164089999999994</v>
      </c>
      <c r="X444" s="57">
        <f>(31*0.1790888*100000/1000000)+(31*0.2374*100000/1000000)</f>
        <v>1.2911152800000001</v>
      </c>
      <c r="Y444" s="57"/>
      <c r="Z444" s="14"/>
      <c r="AA444" s="56"/>
      <c r="AB444" s="50">
        <f>(B444*122.58+C444*297.941+D444*89.177+E444*40.302+F444*40+G444*160+H444*0+I444*100+J444*300)/(122.58+297.941+89.177+40.302+0+40+160+100+300)</f>
        <v>17.788155132434785</v>
      </c>
      <c r="AC444" s="45">
        <f>(M444*'RAP TEMPLATE-GAS AVAILABILITY'!O443+N444*'RAP TEMPLATE-GAS AVAILABILITY'!P443+O444*'RAP TEMPLATE-GAS AVAILABILITY'!Q443+P444*'RAP TEMPLATE-GAS AVAILABILITY'!R443)/('RAP TEMPLATE-GAS AVAILABILITY'!O443+'RAP TEMPLATE-GAS AVAILABILITY'!P443+'RAP TEMPLATE-GAS AVAILABILITY'!Q443+'RAP TEMPLATE-GAS AVAILABILITY'!R443)</f>
        <v>17.651628057553957</v>
      </c>
    </row>
    <row r="445" spans="1:29" ht="15.75" x14ac:dyDescent="0.25">
      <c r="A445" s="33">
        <v>54454</v>
      </c>
      <c r="B445" s="14">
        <f>CHOOSE(CONTROL!$C$42, 19.2313, 19.2313) * CHOOSE(CONTROL!$C$21, $C$9, 100%, $E$9)</f>
        <v>19.231300000000001</v>
      </c>
      <c r="C445" s="14">
        <f>CHOOSE(CONTROL!$C$42, 19.2363, 19.2363) * CHOOSE(CONTROL!$C$21, $C$9, 100%, $E$9)</f>
        <v>19.2363</v>
      </c>
      <c r="D445" s="14">
        <f>CHOOSE(CONTROL!$C$42, 19.3006, 19.3006) * CHOOSE(CONTROL!$C$21, $C$9, 100%, $E$9)</f>
        <v>19.300599999999999</v>
      </c>
      <c r="E445" s="14">
        <f>CHOOSE(CONTROL!$C$42, 19.3343, 19.3343) * CHOOSE(CONTROL!$C$21, $C$9, 100%, $E$9)</f>
        <v>19.334299999999999</v>
      </c>
      <c r="F445" s="14">
        <f>CHOOSE(CONTROL!$C$42, 19.2328, 19.2328)*CHOOSE(CONTROL!$C$21, $C$9, 100%, $E$9)</f>
        <v>19.232800000000001</v>
      </c>
      <c r="G445" s="14">
        <f>CHOOSE(CONTROL!$C$42, 19.2488, 19.2488)*CHOOSE(CONTROL!$C$21, $C$9, 100%, $E$9)</f>
        <v>19.248799999999999</v>
      </c>
      <c r="H445" s="14">
        <f>CHOOSE(CONTROL!$C$42, 19.3235, 19.3235) * CHOOSE(CONTROL!$C$21, $C$9, 100%, $E$9)</f>
        <v>19.323499999999999</v>
      </c>
      <c r="I445" s="14">
        <f>CHOOSE(CONTROL!$C$42, 19.2513, 19.2513)* CHOOSE(CONTROL!$C$21, $C$9, 100%, $E$9)</f>
        <v>19.251300000000001</v>
      </c>
      <c r="J445" s="14">
        <f>CHOOSE(CONTROL!$C$42, 19.2258, 19.2258)* CHOOSE(CONTROL!$C$21, $C$9, 100%, $E$9)</f>
        <v>19.2258</v>
      </c>
      <c r="K445" s="53">
        <f>CHOOSE(CONTROL!$C$42, 19.2474, 19.2474) * CHOOSE(CONTROL!$C$21, $C$9, 100%, $E$9)</f>
        <v>19.247399999999999</v>
      </c>
      <c r="L445" s="14">
        <f>CHOOSE(CONTROL!$C$42, 19.9105, 19.9105) * CHOOSE(CONTROL!$C$21, $C$9, 100%, $E$9)</f>
        <v>19.910499999999999</v>
      </c>
      <c r="M445" s="14">
        <f>CHOOSE(CONTROL!$C$42, 19.0457, 19.0457) * CHOOSE(CONTROL!$C$21, $C$9, 100%, $E$9)</f>
        <v>19.0457</v>
      </c>
      <c r="N445" s="14">
        <f>CHOOSE(CONTROL!$C$42, 19.0614, 19.0614) * CHOOSE(CONTROL!$C$21, $C$9, 100%, $E$9)</f>
        <v>19.061399999999999</v>
      </c>
      <c r="O445" s="14">
        <f>CHOOSE(CONTROL!$C$42, 19.1424, 19.1424) * CHOOSE(CONTROL!$C$21, $C$9, 100%, $E$9)</f>
        <v>19.142399999999999</v>
      </c>
      <c r="P445" s="14">
        <f>CHOOSE(CONTROL!$C$42, 19.0709, 19.0709) * CHOOSE(CONTROL!$C$21, $C$9, 100%, $E$9)</f>
        <v>19.070900000000002</v>
      </c>
      <c r="Q445" s="14">
        <f>CHOOSE(CONTROL!$C$42, 19.7377, 19.7377) * CHOOSE(CONTROL!$C$21, $C$9, 100%, $E$9)</f>
        <v>19.7377</v>
      </c>
      <c r="R445" s="14">
        <f>CHOOSE(CONTROL!$C$42, 20.374, 20.374) * CHOOSE(CONTROL!$C$21, $C$9, 100%, $E$9)</f>
        <v>20.373999999999999</v>
      </c>
      <c r="S445" s="14">
        <f>CHOOSE(CONTROL!$C$42, 18.6734, 18.6734) * CHOOSE(CONTROL!$C$21, $C$9, 100%, $E$9)</f>
        <v>18.673400000000001</v>
      </c>
      <c r="T44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45" s="57">
        <f>(1000*CHOOSE(CONTROL!$C$42, 695, 695)*CHOOSE(CONTROL!$C$42, 0.5599, 0.5599)*CHOOSE(CONTROL!$C$42, 31, 31))/1000000</f>
        <v>12.063045499999998</v>
      </c>
      <c r="V445" s="57">
        <f>(1000*CHOOSE(CONTROL!$C$42, 500, 500)*CHOOSE(CONTROL!$C$42, 0.275, 0.275)*CHOOSE(CONTROL!$C$42, 31, 31))/1000000</f>
        <v>4.2625000000000002</v>
      </c>
      <c r="W445" s="57">
        <f>(1000*CHOOSE(CONTROL!$C$42, 0.1146, 0.1146)*CHOOSE(CONTROL!$C$42, 121.5, 121.5)*CHOOSE(CONTROL!$C$42, 31, 31))/1000000</f>
        <v>0.43164089999999994</v>
      </c>
      <c r="X445" s="57">
        <f>(31*0.1790888*100000/1000000)+(31*0.2374*100000/1000000)</f>
        <v>1.2911152800000001</v>
      </c>
      <c r="Y445" s="57"/>
      <c r="Z445" s="14"/>
      <c r="AA445" s="56"/>
      <c r="AB445" s="50">
        <f>(B445*122.58+C445*297.941+D445*89.177+E445*40.302+F445*40+G445*160+H445*0+I445*100+J445*300)/(122.58+297.941+89.177+40.302+0+40+160+100+300)</f>
        <v>19.244370240956524</v>
      </c>
      <c r="AC445" s="45">
        <f>(M445*'RAP TEMPLATE-GAS AVAILABILITY'!O444+N445*'RAP TEMPLATE-GAS AVAILABILITY'!P444+O445*'RAP TEMPLATE-GAS AVAILABILITY'!Q444+P445*'RAP TEMPLATE-GAS AVAILABILITY'!R444)/('RAP TEMPLATE-GAS AVAILABILITY'!O444+'RAP TEMPLATE-GAS AVAILABILITY'!P444+'RAP TEMPLATE-GAS AVAILABILITY'!Q444+'RAP TEMPLATE-GAS AVAILABILITY'!R444)</f>
        <v>19.094057553956834</v>
      </c>
    </row>
    <row r="446" spans="1:29" ht="15.75" x14ac:dyDescent="0.25">
      <c r="A446" s="33">
        <v>54482</v>
      </c>
      <c r="B446" s="14">
        <f>CHOOSE(CONTROL!$C$42, 19.5736, 19.5736) * CHOOSE(CONTROL!$C$21, $C$9, 100%, $E$9)</f>
        <v>19.573599999999999</v>
      </c>
      <c r="C446" s="14">
        <f>CHOOSE(CONTROL!$C$42, 19.5786, 19.5786) * CHOOSE(CONTROL!$C$21, $C$9, 100%, $E$9)</f>
        <v>19.578600000000002</v>
      </c>
      <c r="D446" s="14">
        <f>CHOOSE(CONTROL!$C$42, 19.6429, 19.6429) * CHOOSE(CONTROL!$C$21, $C$9, 100%, $E$9)</f>
        <v>19.642900000000001</v>
      </c>
      <c r="E446" s="14">
        <f>CHOOSE(CONTROL!$C$42, 19.6766, 19.6766) * CHOOSE(CONTROL!$C$21, $C$9, 100%, $E$9)</f>
        <v>19.676600000000001</v>
      </c>
      <c r="F446" s="14">
        <f>CHOOSE(CONTROL!$C$42, 19.5752, 19.5752)*CHOOSE(CONTROL!$C$21, $C$9, 100%, $E$9)</f>
        <v>19.575199999999999</v>
      </c>
      <c r="G446" s="14">
        <f>CHOOSE(CONTROL!$C$42, 19.5911, 19.5911)*CHOOSE(CONTROL!$C$21, $C$9, 100%, $E$9)</f>
        <v>19.591100000000001</v>
      </c>
      <c r="H446" s="14">
        <f>CHOOSE(CONTROL!$C$42, 19.6658, 19.6658) * CHOOSE(CONTROL!$C$21, $C$9, 100%, $E$9)</f>
        <v>19.665800000000001</v>
      </c>
      <c r="I446" s="14">
        <f>CHOOSE(CONTROL!$C$42, 19.5936, 19.5936)* CHOOSE(CONTROL!$C$21, $C$9, 100%, $E$9)</f>
        <v>19.593599999999999</v>
      </c>
      <c r="J446" s="14">
        <f>CHOOSE(CONTROL!$C$42, 19.5682, 19.5682)* CHOOSE(CONTROL!$C$21, $C$9, 100%, $E$9)</f>
        <v>19.568200000000001</v>
      </c>
      <c r="K446" s="53">
        <f>CHOOSE(CONTROL!$C$42, 19.5897, 19.5897) * CHOOSE(CONTROL!$C$21, $C$9, 100%, $E$9)</f>
        <v>19.589700000000001</v>
      </c>
      <c r="L446" s="14">
        <f>CHOOSE(CONTROL!$C$42, 20.2528, 20.2528) * CHOOSE(CONTROL!$C$21, $C$9, 100%, $E$9)</f>
        <v>20.252800000000001</v>
      </c>
      <c r="M446" s="14">
        <f>CHOOSE(CONTROL!$C$42, 19.3845, 19.3845) * CHOOSE(CONTROL!$C$21, $C$9, 100%, $E$9)</f>
        <v>19.384499999999999</v>
      </c>
      <c r="N446" s="14">
        <f>CHOOSE(CONTROL!$C$42, 19.4003, 19.4003) * CHOOSE(CONTROL!$C$21, $C$9, 100%, $E$9)</f>
        <v>19.400300000000001</v>
      </c>
      <c r="O446" s="14">
        <f>CHOOSE(CONTROL!$C$42, 19.4812, 19.4812) * CHOOSE(CONTROL!$C$21, $C$9, 100%, $E$9)</f>
        <v>19.481200000000001</v>
      </c>
      <c r="P446" s="14">
        <f>CHOOSE(CONTROL!$C$42, 19.4097, 19.4097) * CHOOSE(CONTROL!$C$21, $C$9, 100%, $E$9)</f>
        <v>19.409700000000001</v>
      </c>
      <c r="Q446" s="14">
        <f>CHOOSE(CONTROL!$C$42, 20.0765, 20.0765) * CHOOSE(CONTROL!$C$21, $C$9, 100%, $E$9)</f>
        <v>20.076499999999999</v>
      </c>
      <c r="R446" s="14">
        <f>CHOOSE(CONTROL!$C$42, 20.7137, 20.7137) * CHOOSE(CONTROL!$C$21, $C$9, 100%, $E$9)</f>
        <v>20.713699999999999</v>
      </c>
      <c r="S446" s="14">
        <f>CHOOSE(CONTROL!$C$42, 19.0058, 19.0058) * CHOOSE(CONTROL!$C$21, $C$9, 100%, $E$9)</f>
        <v>19.005800000000001</v>
      </c>
      <c r="T44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46" s="57">
        <f>(1000*CHOOSE(CONTROL!$C$42, 695, 695)*CHOOSE(CONTROL!$C$42, 0.5599, 0.5599)*CHOOSE(CONTROL!$C$42, 28, 28))/1000000</f>
        <v>10.895653999999999</v>
      </c>
      <c r="V446" s="57">
        <f>(1000*CHOOSE(CONTROL!$C$42, 500, 500)*CHOOSE(CONTROL!$C$42, 0.275, 0.275)*CHOOSE(CONTROL!$C$42, 28, 28))/1000000</f>
        <v>3.85</v>
      </c>
      <c r="W446" s="57">
        <f>(1000*CHOOSE(CONTROL!$C$42, 0.1146, 0.1146)*CHOOSE(CONTROL!$C$42, 121.5, 121.5)*CHOOSE(CONTROL!$C$42, 28, 28))/1000000</f>
        <v>0.38986920000000003</v>
      </c>
      <c r="X446" s="57">
        <f>(28*0.1790888*100000/1000000)+(28*0.2374*100000/1000000)</f>
        <v>1.16616864</v>
      </c>
      <c r="Y446" s="57"/>
      <c r="Z446" s="14"/>
      <c r="AA446" s="56"/>
      <c r="AB446" s="50">
        <f>(B446*122.58+C446*297.941+D446*89.177+E446*40.302+F446*40+G446*160+H446*0+I446*100+J446*300)/(122.58+297.941+89.177+40.302+0+40+160+100+300)</f>
        <v>19.586699806173915</v>
      </c>
      <c r="AC446" s="45">
        <f>(M446*'RAP TEMPLATE-GAS AVAILABILITY'!O445+N446*'RAP TEMPLATE-GAS AVAILABILITY'!P445+O446*'RAP TEMPLATE-GAS AVAILABILITY'!Q445+P446*'RAP TEMPLATE-GAS AVAILABILITY'!R445)/('RAP TEMPLATE-GAS AVAILABILITY'!O445+'RAP TEMPLATE-GAS AVAILABILITY'!P445+'RAP TEMPLATE-GAS AVAILABILITY'!Q445+'RAP TEMPLATE-GAS AVAILABILITY'!R445)</f>
        <v>19.432863309352516</v>
      </c>
    </row>
    <row r="447" spans="1:29" ht="15.75" x14ac:dyDescent="0.25">
      <c r="A447" s="33">
        <v>54513</v>
      </c>
      <c r="B447" s="14">
        <f>CHOOSE(CONTROL!$C$42, 19.018, 19.018) * CHOOSE(CONTROL!$C$21, $C$9, 100%, $E$9)</f>
        <v>19.018000000000001</v>
      </c>
      <c r="C447" s="14">
        <f>CHOOSE(CONTROL!$C$42, 19.023, 19.023) * CHOOSE(CONTROL!$C$21, $C$9, 100%, $E$9)</f>
        <v>19.023</v>
      </c>
      <c r="D447" s="14">
        <f>CHOOSE(CONTROL!$C$42, 19.0872, 19.0872) * CHOOSE(CONTROL!$C$21, $C$9, 100%, $E$9)</f>
        <v>19.087199999999999</v>
      </c>
      <c r="E447" s="14">
        <f>CHOOSE(CONTROL!$C$42, 19.121, 19.121) * CHOOSE(CONTROL!$C$21, $C$9, 100%, $E$9)</f>
        <v>19.120999999999999</v>
      </c>
      <c r="F447" s="14">
        <f>CHOOSE(CONTROL!$C$42, 19.0193, 19.0193)*CHOOSE(CONTROL!$C$21, $C$9, 100%, $E$9)</f>
        <v>19.019300000000001</v>
      </c>
      <c r="G447" s="14">
        <f>CHOOSE(CONTROL!$C$42, 19.0351, 19.0351)*CHOOSE(CONTROL!$C$21, $C$9, 100%, $E$9)</f>
        <v>19.0351</v>
      </c>
      <c r="H447" s="14">
        <f>CHOOSE(CONTROL!$C$42, 19.1102, 19.1102) * CHOOSE(CONTROL!$C$21, $C$9, 100%, $E$9)</f>
        <v>19.110199999999999</v>
      </c>
      <c r="I447" s="14">
        <f>CHOOSE(CONTROL!$C$42, 19.038, 19.038)* CHOOSE(CONTROL!$C$21, $C$9, 100%, $E$9)</f>
        <v>19.038</v>
      </c>
      <c r="J447" s="14">
        <f>CHOOSE(CONTROL!$C$42, 19.0123, 19.0123)* CHOOSE(CONTROL!$C$21, $C$9, 100%, $E$9)</f>
        <v>19.0123</v>
      </c>
      <c r="K447" s="53">
        <f>CHOOSE(CONTROL!$C$42, 19.0341, 19.0341) * CHOOSE(CONTROL!$C$21, $C$9, 100%, $E$9)</f>
        <v>19.034099999999999</v>
      </c>
      <c r="L447" s="14">
        <f>CHOOSE(CONTROL!$C$42, 19.6972, 19.6972) * CHOOSE(CONTROL!$C$21, $C$9, 100%, $E$9)</f>
        <v>19.697199999999999</v>
      </c>
      <c r="M447" s="14">
        <f>CHOOSE(CONTROL!$C$42, 18.8342, 18.8342) * CHOOSE(CONTROL!$C$21, $C$9, 100%, $E$9)</f>
        <v>18.834199999999999</v>
      </c>
      <c r="N447" s="14">
        <f>CHOOSE(CONTROL!$C$42, 18.8499, 18.8499) * CHOOSE(CONTROL!$C$21, $C$9, 100%, $E$9)</f>
        <v>18.849900000000002</v>
      </c>
      <c r="O447" s="14">
        <f>CHOOSE(CONTROL!$C$42, 18.9312, 18.9312) * CHOOSE(CONTROL!$C$21, $C$9, 100%, $E$9)</f>
        <v>18.9312</v>
      </c>
      <c r="P447" s="14">
        <f>CHOOSE(CONTROL!$C$42, 18.8597, 18.8597) * CHOOSE(CONTROL!$C$21, $C$9, 100%, $E$9)</f>
        <v>18.8597</v>
      </c>
      <c r="Q447" s="14">
        <f>CHOOSE(CONTROL!$C$42, 19.5265, 19.5265) * CHOOSE(CONTROL!$C$21, $C$9, 100%, $E$9)</f>
        <v>19.526499999999999</v>
      </c>
      <c r="R447" s="14">
        <f>CHOOSE(CONTROL!$C$42, 20.1623, 20.1623) * CHOOSE(CONTROL!$C$21, $C$9, 100%, $E$9)</f>
        <v>20.162299999999998</v>
      </c>
      <c r="S447" s="14">
        <f>CHOOSE(CONTROL!$C$42, 18.4662, 18.4662) * CHOOSE(CONTROL!$C$21, $C$9, 100%, $E$9)</f>
        <v>18.466200000000001</v>
      </c>
      <c r="T44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47" s="57">
        <f>(1000*CHOOSE(CONTROL!$C$42, 695, 695)*CHOOSE(CONTROL!$C$42, 0.5599, 0.5599)*CHOOSE(CONTROL!$C$42, 31, 31))/1000000</f>
        <v>12.063045499999998</v>
      </c>
      <c r="V447" s="57">
        <f>(1000*CHOOSE(CONTROL!$C$42, 500, 500)*CHOOSE(CONTROL!$C$42, 0.275, 0.275)*CHOOSE(CONTROL!$C$42, 31, 31))/1000000</f>
        <v>4.2625000000000002</v>
      </c>
      <c r="W447" s="57">
        <f>(1000*CHOOSE(CONTROL!$C$42, 0.1146, 0.1146)*CHOOSE(CONTROL!$C$42, 121.5, 121.5)*CHOOSE(CONTROL!$C$42, 31, 31))/1000000</f>
        <v>0.43164089999999994</v>
      </c>
      <c r="X447" s="57">
        <f>(31*0.1790888*100000/1000000)+(31*0.2374*100000/1000000)</f>
        <v>1.2911152800000001</v>
      </c>
      <c r="Y447" s="57"/>
      <c r="Z447" s="14"/>
      <c r="AA447" s="56"/>
      <c r="AB447" s="50">
        <f>(B447*122.58+C447*297.941+D447*89.177+E447*40.302+F447*40+G447*160+H447*0+I447*100+J447*300)/(122.58+297.941+89.177+40.302+0+40+160+100+300)</f>
        <v>19.030947703826087</v>
      </c>
      <c r="AC447" s="45">
        <f>(M447*'RAP TEMPLATE-GAS AVAILABILITY'!O446+N447*'RAP TEMPLATE-GAS AVAILABILITY'!P446+O447*'RAP TEMPLATE-GAS AVAILABILITY'!Q446+P447*'RAP TEMPLATE-GAS AVAILABILITY'!R446)/('RAP TEMPLATE-GAS AVAILABILITY'!O446+'RAP TEMPLATE-GAS AVAILABILITY'!P446+'RAP TEMPLATE-GAS AVAILABILITY'!Q446+'RAP TEMPLATE-GAS AVAILABILITY'!R446)</f>
        <v>18.88273669064748</v>
      </c>
    </row>
    <row r="448" spans="1:29" ht="15.75" x14ac:dyDescent="0.25">
      <c r="A448" s="33">
        <v>54543</v>
      </c>
      <c r="B448" s="14">
        <f>CHOOSE(CONTROL!$C$42, 18.9622, 18.9622) * CHOOSE(CONTROL!$C$21, $C$9, 100%, $E$9)</f>
        <v>18.962199999999999</v>
      </c>
      <c r="C448" s="14">
        <f>CHOOSE(CONTROL!$C$42, 18.9666, 18.9666) * CHOOSE(CONTROL!$C$21, $C$9, 100%, $E$9)</f>
        <v>18.9666</v>
      </c>
      <c r="D448" s="14">
        <f>CHOOSE(CONTROL!$C$42, 19.1673, 19.1673) * CHOOSE(CONTROL!$C$21, $C$9, 100%, $E$9)</f>
        <v>19.167300000000001</v>
      </c>
      <c r="E448" s="14">
        <f>CHOOSE(CONTROL!$C$42, 19.1991, 19.1991) * CHOOSE(CONTROL!$C$21, $C$9, 100%, $E$9)</f>
        <v>19.199100000000001</v>
      </c>
      <c r="F448" s="14">
        <f>CHOOSE(CONTROL!$C$42, 18.9468, 18.9468)*CHOOSE(CONTROL!$C$21, $C$9, 100%, $E$9)</f>
        <v>18.9468</v>
      </c>
      <c r="G448" s="14">
        <f>CHOOSE(CONTROL!$C$42, 18.9624, 18.9624)*CHOOSE(CONTROL!$C$21, $C$9, 100%, $E$9)</f>
        <v>18.962399999999999</v>
      </c>
      <c r="H448" s="14">
        <f>CHOOSE(CONTROL!$C$42, 19.1889, 19.1889) * CHOOSE(CONTROL!$C$21, $C$9, 100%, $E$9)</f>
        <v>19.1889</v>
      </c>
      <c r="I448" s="14">
        <f>CHOOSE(CONTROL!$C$42, 18.975, 18.975)* CHOOSE(CONTROL!$C$21, $C$9, 100%, $E$9)</f>
        <v>18.975000000000001</v>
      </c>
      <c r="J448" s="14">
        <f>CHOOSE(CONTROL!$C$42, 18.9398, 18.9398)* CHOOSE(CONTROL!$C$21, $C$9, 100%, $E$9)</f>
        <v>18.939800000000002</v>
      </c>
      <c r="K448" s="53">
        <f>CHOOSE(CONTROL!$C$42, 18.9711, 18.9711) * CHOOSE(CONTROL!$C$21, $C$9, 100%, $E$9)</f>
        <v>18.9711</v>
      </c>
      <c r="L448" s="14">
        <f>CHOOSE(CONTROL!$C$42, 19.7759, 19.7759) * CHOOSE(CONTROL!$C$21, $C$9, 100%, $E$9)</f>
        <v>19.7759</v>
      </c>
      <c r="M448" s="14">
        <f>CHOOSE(CONTROL!$C$42, 18.7625, 18.7625) * CHOOSE(CONTROL!$C$21, $C$9, 100%, $E$9)</f>
        <v>18.762499999999999</v>
      </c>
      <c r="N448" s="14">
        <f>CHOOSE(CONTROL!$C$42, 18.778, 18.778) * CHOOSE(CONTROL!$C$21, $C$9, 100%, $E$9)</f>
        <v>18.777999999999999</v>
      </c>
      <c r="O448" s="14">
        <f>CHOOSE(CONTROL!$C$42, 19.0091, 19.0091) * CHOOSE(CONTROL!$C$21, $C$9, 100%, $E$9)</f>
        <v>19.0091</v>
      </c>
      <c r="P448" s="14">
        <f>CHOOSE(CONTROL!$C$42, 18.7974, 18.7974) * CHOOSE(CONTROL!$C$21, $C$9, 100%, $E$9)</f>
        <v>18.7974</v>
      </c>
      <c r="Q448" s="14">
        <f>CHOOSE(CONTROL!$C$42, 19.6044, 19.6044) * CHOOSE(CONTROL!$C$21, $C$9, 100%, $E$9)</f>
        <v>19.604399999999998</v>
      </c>
      <c r="R448" s="14">
        <f>CHOOSE(CONTROL!$C$42, 20.2404, 20.2404) * CHOOSE(CONTROL!$C$21, $C$9, 100%, $E$9)</f>
        <v>20.240400000000001</v>
      </c>
      <c r="S448" s="14">
        <f>CHOOSE(CONTROL!$C$42, 18.4113, 18.4113) * CHOOSE(CONTROL!$C$21, $C$9, 100%, $E$9)</f>
        <v>18.411300000000001</v>
      </c>
      <c r="T44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48" s="57">
        <f>(1000*CHOOSE(CONTROL!$C$42, 695, 695)*CHOOSE(CONTROL!$C$42, 0.5599, 0.5599)*CHOOSE(CONTROL!$C$42, 30, 30))/1000000</f>
        <v>11.673914999999997</v>
      </c>
      <c r="V448" s="57">
        <f>(1000*CHOOSE(CONTROL!$C$42, 500, 500)*CHOOSE(CONTROL!$C$42, 0.275, 0.275)*CHOOSE(CONTROL!$C$42, 30, 30))/1000000</f>
        <v>4.125</v>
      </c>
      <c r="W448" s="57">
        <f>(1000*CHOOSE(CONTROL!$C$42, 0.1146, 0.1146)*CHOOSE(CONTROL!$C$42, 121.5, 121.5)*CHOOSE(CONTROL!$C$42, 30, 30))/1000000</f>
        <v>0.417717</v>
      </c>
      <c r="X448" s="57">
        <f>(30*0.1790888*245000/1000000)+(30*0.2374*100000/1000000)</f>
        <v>2.0285026799999999</v>
      </c>
      <c r="Y448" s="57"/>
      <c r="Z448" s="14"/>
      <c r="AA448" s="56"/>
      <c r="AB448" s="50">
        <f>(B448*141.293+C448*267.993+D448*115.016+E448*89.698+F448*40+G448*185+H448*0+I448*100+J448*300)/(141.293+267.993+115.016+89.698+0+40+185+100+300)</f>
        <v>18.994483621468927</v>
      </c>
      <c r="AC448" s="45">
        <f>(M448*'RAP TEMPLATE-GAS AVAILABILITY'!O447+N448*'RAP TEMPLATE-GAS AVAILABILITY'!P447+O448*'RAP TEMPLATE-GAS AVAILABILITY'!Q447+P448*'RAP TEMPLATE-GAS AVAILABILITY'!R447)/('RAP TEMPLATE-GAS AVAILABILITY'!O447+'RAP TEMPLATE-GAS AVAILABILITY'!P447+'RAP TEMPLATE-GAS AVAILABILITY'!Q447+'RAP TEMPLATE-GAS AVAILABILITY'!R447)</f>
        <v>18.840279856115107</v>
      </c>
    </row>
    <row r="449" spans="1:29" ht="15.75" x14ac:dyDescent="0.25">
      <c r="A449" s="33">
        <v>54574</v>
      </c>
      <c r="B449" s="14">
        <f>CHOOSE(CONTROL!$C$42, 19.131, 19.131) * CHOOSE(CONTROL!$C$21, $C$9, 100%, $E$9)</f>
        <v>19.131</v>
      </c>
      <c r="C449" s="14">
        <f>CHOOSE(CONTROL!$C$42, 19.1389, 19.1389) * CHOOSE(CONTROL!$C$21, $C$9, 100%, $E$9)</f>
        <v>19.1389</v>
      </c>
      <c r="D449" s="14">
        <f>CHOOSE(CONTROL!$C$42, 19.3365, 19.3365) * CHOOSE(CONTROL!$C$21, $C$9, 100%, $E$9)</f>
        <v>19.336500000000001</v>
      </c>
      <c r="E449" s="14">
        <f>CHOOSE(CONTROL!$C$42, 19.3676, 19.3676) * CHOOSE(CONTROL!$C$21, $C$9, 100%, $E$9)</f>
        <v>19.367599999999999</v>
      </c>
      <c r="F449" s="14">
        <f>CHOOSE(CONTROL!$C$42, 19.1144, 19.1144)*CHOOSE(CONTROL!$C$21, $C$9, 100%, $E$9)</f>
        <v>19.1144</v>
      </c>
      <c r="G449" s="14">
        <f>CHOOSE(CONTROL!$C$42, 19.1305, 19.1305)*CHOOSE(CONTROL!$C$21, $C$9, 100%, $E$9)</f>
        <v>19.130500000000001</v>
      </c>
      <c r="H449" s="14">
        <f>CHOOSE(CONTROL!$C$42, 19.3562, 19.3562) * CHOOSE(CONTROL!$C$21, $C$9, 100%, $E$9)</f>
        <v>19.356200000000001</v>
      </c>
      <c r="I449" s="14">
        <f>CHOOSE(CONTROL!$C$42, 19.1423, 19.1423)* CHOOSE(CONTROL!$C$21, $C$9, 100%, $E$9)</f>
        <v>19.142299999999999</v>
      </c>
      <c r="J449" s="14">
        <f>CHOOSE(CONTROL!$C$42, 19.1074, 19.1074)* CHOOSE(CONTROL!$C$21, $C$9, 100%, $E$9)</f>
        <v>19.107399999999998</v>
      </c>
      <c r="K449" s="53">
        <f>CHOOSE(CONTROL!$C$42, 19.1384, 19.1384) * CHOOSE(CONTROL!$C$21, $C$9, 100%, $E$9)</f>
        <v>19.138400000000001</v>
      </c>
      <c r="L449" s="14">
        <f>CHOOSE(CONTROL!$C$42, 19.9432, 19.9432) * CHOOSE(CONTROL!$C$21, $C$9, 100%, $E$9)</f>
        <v>19.943200000000001</v>
      </c>
      <c r="M449" s="14">
        <f>CHOOSE(CONTROL!$C$42, 18.9284, 18.9284) * CHOOSE(CONTROL!$C$21, $C$9, 100%, $E$9)</f>
        <v>18.9284</v>
      </c>
      <c r="N449" s="14">
        <f>CHOOSE(CONTROL!$C$42, 18.9443, 18.9443) * CHOOSE(CONTROL!$C$21, $C$9, 100%, $E$9)</f>
        <v>18.944299999999998</v>
      </c>
      <c r="O449" s="14">
        <f>CHOOSE(CONTROL!$C$42, 19.1747, 19.1747) * CHOOSE(CONTROL!$C$21, $C$9, 100%, $E$9)</f>
        <v>19.174700000000001</v>
      </c>
      <c r="P449" s="14">
        <f>CHOOSE(CONTROL!$C$42, 18.963, 18.963) * CHOOSE(CONTROL!$C$21, $C$9, 100%, $E$9)</f>
        <v>18.963000000000001</v>
      </c>
      <c r="Q449" s="14">
        <f>CHOOSE(CONTROL!$C$42, 19.77, 19.77) * CHOOSE(CONTROL!$C$21, $C$9, 100%, $E$9)</f>
        <v>19.77</v>
      </c>
      <c r="R449" s="14">
        <f>CHOOSE(CONTROL!$C$42, 20.4064, 20.4064) * CHOOSE(CONTROL!$C$21, $C$9, 100%, $E$9)</f>
        <v>20.406400000000001</v>
      </c>
      <c r="S449" s="14">
        <f>CHOOSE(CONTROL!$C$42, 18.5738, 18.5738) * CHOOSE(CONTROL!$C$21, $C$9, 100%, $E$9)</f>
        <v>18.573799999999999</v>
      </c>
      <c r="T44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49" s="57">
        <f>(1000*CHOOSE(CONTROL!$C$42, 695, 695)*CHOOSE(CONTROL!$C$42, 0.5599, 0.5599)*CHOOSE(CONTROL!$C$42, 31, 31))/1000000</f>
        <v>12.063045499999998</v>
      </c>
      <c r="V449" s="57">
        <f>(1000*CHOOSE(CONTROL!$C$42, 500, 500)*CHOOSE(CONTROL!$C$42, 0.275, 0.275)*CHOOSE(CONTROL!$C$42, 31, 31))/1000000</f>
        <v>4.2625000000000002</v>
      </c>
      <c r="W449" s="57">
        <f>(1000*CHOOSE(CONTROL!$C$42, 0.1146, 0.1146)*CHOOSE(CONTROL!$C$42, 121.5, 121.5)*CHOOSE(CONTROL!$C$42, 31, 31))/1000000</f>
        <v>0.43164089999999994</v>
      </c>
      <c r="X449" s="57">
        <f>(31*0.1790888*245000/1000000)+(31*0.2374*100000/1000000)</f>
        <v>2.0961194359999999</v>
      </c>
      <c r="Y449" s="57"/>
      <c r="Z449" s="14"/>
      <c r="AA449" s="56"/>
      <c r="AB449" s="50">
        <f>(B449*194.205+C449*267.466+D449*133.845+E449*53.484+F449*40+G449*185+H449*0+I449*100+J449*300)/(194.205+267.466+133.845+53.484+0+40+185+100+300)</f>
        <v>19.158916752982734</v>
      </c>
      <c r="AC449" s="45">
        <f>(M449*'RAP TEMPLATE-GAS AVAILABILITY'!O448+N449*'RAP TEMPLATE-GAS AVAILABILITY'!P448+O449*'RAP TEMPLATE-GAS AVAILABILITY'!Q448+P449*'RAP TEMPLATE-GAS AVAILABILITY'!R448)/('RAP TEMPLATE-GAS AVAILABILITY'!O448+'RAP TEMPLATE-GAS AVAILABILITY'!P448+'RAP TEMPLATE-GAS AVAILABILITY'!Q448+'RAP TEMPLATE-GAS AVAILABILITY'!R448)</f>
        <v>19.006144604316546</v>
      </c>
    </row>
    <row r="450" spans="1:29" ht="15.75" x14ac:dyDescent="0.25">
      <c r="A450" s="33">
        <v>54604</v>
      </c>
      <c r="B450" s="14">
        <f>CHOOSE(CONTROL!$C$42, 19.6735, 19.6735) * CHOOSE(CONTROL!$C$21, $C$9, 100%, $E$9)</f>
        <v>19.673500000000001</v>
      </c>
      <c r="C450" s="14">
        <f>CHOOSE(CONTROL!$C$42, 19.6814, 19.6814) * CHOOSE(CONTROL!$C$21, $C$9, 100%, $E$9)</f>
        <v>19.6814</v>
      </c>
      <c r="D450" s="14">
        <f>CHOOSE(CONTROL!$C$42, 19.879, 19.879) * CHOOSE(CONTROL!$C$21, $C$9, 100%, $E$9)</f>
        <v>19.879000000000001</v>
      </c>
      <c r="E450" s="14">
        <f>CHOOSE(CONTROL!$C$42, 19.9101, 19.9101) * CHOOSE(CONTROL!$C$21, $C$9, 100%, $E$9)</f>
        <v>19.9101</v>
      </c>
      <c r="F450" s="14">
        <f>CHOOSE(CONTROL!$C$42, 19.6573, 19.6573)*CHOOSE(CONTROL!$C$21, $C$9, 100%, $E$9)</f>
        <v>19.657299999999999</v>
      </c>
      <c r="G450" s="14">
        <f>CHOOSE(CONTROL!$C$42, 19.6735, 19.6735)*CHOOSE(CONTROL!$C$21, $C$9, 100%, $E$9)</f>
        <v>19.673500000000001</v>
      </c>
      <c r="H450" s="14">
        <f>CHOOSE(CONTROL!$C$42, 19.8988, 19.8988) * CHOOSE(CONTROL!$C$21, $C$9, 100%, $E$9)</f>
        <v>19.898800000000001</v>
      </c>
      <c r="I450" s="14">
        <f>CHOOSE(CONTROL!$C$42, 19.6848, 19.6848)* CHOOSE(CONTROL!$C$21, $C$9, 100%, $E$9)</f>
        <v>19.684799999999999</v>
      </c>
      <c r="J450" s="14">
        <f>CHOOSE(CONTROL!$C$42, 19.6503, 19.6503)* CHOOSE(CONTROL!$C$21, $C$9, 100%, $E$9)</f>
        <v>19.650300000000001</v>
      </c>
      <c r="K450" s="53">
        <f>CHOOSE(CONTROL!$C$42, 19.681, 19.681) * CHOOSE(CONTROL!$C$21, $C$9, 100%, $E$9)</f>
        <v>19.681000000000001</v>
      </c>
      <c r="L450" s="14">
        <f>CHOOSE(CONTROL!$C$42, 20.4858, 20.4858) * CHOOSE(CONTROL!$C$21, $C$9, 100%, $E$9)</f>
        <v>20.485800000000001</v>
      </c>
      <c r="M450" s="14">
        <f>CHOOSE(CONTROL!$C$42, 19.4658, 19.4658) * CHOOSE(CONTROL!$C$21, $C$9, 100%, $E$9)</f>
        <v>19.465800000000002</v>
      </c>
      <c r="N450" s="14">
        <f>CHOOSE(CONTROL!$C$42, 19.4819, 19.4819) * CHOOSE(CONTROL!$C$21, $C$9, 100%, $E$9)</f>
        <v>19.4819</v>
      </c>
      <c r="O450" s="14">
        <f>CHOOSE(CONTROL!$C$42, 19.7118, 19.7118) * CHOOSE(CONTROL!$C$21, $C$9, 100%, $E$9)</f>
        <v>19.7118</v>
      </c>
      <c r="P450" s="14">
        <f>CHOOSE(CONTROL!$C$42, 19.5001, 19.5001) * CHOOSE(CONTROL!$C$21, $C$9, 100%, $E$9)</f>
        <v>19.5001</v>
      </c>
      <c r="Q450" s="14">
        <f>CHOOSE(CONTROL!$C$42, 20.3071, 20.3071) * CHOOSE(CONTROL!$C$21, $C$9, 100%, $E$9)</f>
        <v>20.307099999999998</v>
      </c>
      <c r="R450" s="14">
        <f>CHOOSE(CONTROL!$C$42, 20.9448, 20.9448) * CHOOSE(CONTROL!$C$21, $C$9, 100%, $E$9)</f>
        <v>20.944800000000001</v>
      </c>
      <c r="S450" s="14">
        <f>CHOOSE(CONTROL!$C$42, 19.1007, 19.1007) * CHOOSE(CONTROL!$C$21, $C$9, 100%, $E$9)</f>
        <v>19.1007</v>
      </c>
      <c r="T45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50" s="57">
        <f>(1000*CHOOSE(CONTROL!$C$42, 695, 695)*CHOOSE(CONTROL!$C$42, 0.5599, 0.5599)*CHOOSE(CONTROL!$C$42, 30, 30))/1000000</f>
        <v>11.673914999999997</v>
      </c>
      <c r="V450" s="57">
        <f>(1000*CHOOSE(CONTROL!$C$42, 500, 500)*CHOOSE(CONTROL!$C$42, 0.275, 0.275)*CHOOSE(CONTROL!$C$42, 30, 30))/1000000</f>
        <v>4.125</v>
      </c>
      <c r="W450" s="57">
        <f>(1000*CHOOSE(CONTROL!$C$42, 0.1146, 0.1146)*CHOOSE(CONTROL!$C$42, 121.5, 121.5)*CHOOSE(CONTROL!$C$42, 30, 30))/1000000</f>
        <v>0.417717</v>
      </c>
      <c r="X450" s="57">
        <f>(30*0.1790888*245000/1000000)+(30*0.2374*100000/1000000)</f>
        <v>2.0285026799999999</v>
      </c>
      <c r="Y450" s="57"/>
      <c r="Z450" s="14"/>
      <c r="AA450" s="56"/>
      <c r="AB450" s="50">
        <f>(B450*194.205+C450*267.466+D450*133.845+E450*53.484+F450*40+G450*185+H450*0+I450*100+J450*300)/(194.205+267.466+133.845+53.484+0+40+185+100+300)</f>
        <v>19.70159610934066</v>
      </c>
      <c r="AC450" s="45">
        <f>(M450*'RAP TEMPLATE-GAS AVAILABILITY'!O449+N450*'RAP TEMPLATE-GAS AVAILABILITY'!P449+O450*'RAP TEMPLATE-GAS AVAILABILITY'!Q449+P450*'RAP TEMPLATE-GAS AVAILABILITY'!R449)/('RAP TEMPLATE-GAS AVAILABILITY'!O449+'RAP TEMPLATE-GAS AVAILABILITY'!P449+'RAP TEMPLATE-GAS AVAILABILITY'!Q449+'RAP TEMPLATE-GAS AVAILABILITY'!R449)</f>
        <v>19.543463309352518</v>
      </c>
    </row>
    <row r="451" spans="1:29" ht="15.75" x14ac:dyDescent="0.25">
      <c r="A451" s="33">
        <v>54635</v>
      </c>
      <c r="B451" s="14">
        <f>CHOOSE(CONTROL!$C$42, 19.2962, 19.2962) * CHOOSE(CONTROL!$C$21, $C$9, 100%, $E$9)</f>
        <v>19.296199999999999</v>
      </c>
      <c r="C451" s="14">
        <f>CHOOSE(CONTROL!$C$42, 19.3041, 19.3041) * CHOOSE(CONTROL!$C$21, $C$9, 100%, $E$9)</f>
        <v>19.304099999999998</v>
      </c>
      <c r="D451" s="14">
        <f>CHOOSE(CONTROL!$C$42, 19.5017, 19.5017) * CHOOSE(CONTROL!$C$21, $C$9, 100%, $E$9)</f>
        <v>19.5017</v>
      </c>
      <c r="E451" s="14">
        <f>CHOOSE(CONTROL!$C$42, 19.5328, 19.5328) * CHOOSE(CONTROL!$C$21, $C$9, 100%, $E$9)</f>
        <v>19.532800000000002</v>
      </c>
      <c r="F451" s="14">
        <f>CHOOSE(CONTROL!$C$42, 19.2804, 19.2804)*CHOOSE(CONTROL!$C$21, $C$9, 100%, $E$9)</f>
        <v>19.2804</v>
      </c>
      <c r="G451" s="14">
        <f>CHOOSE(CONTROL!$C$42, 19.2967, 19.2967)*CHOOSE(CONTROL!$C$21, $C$9, 100%, $E$9)</f>
        <v>19.296700000000001</v>
      </c>
      <c r="H451" s="14">
        <f>CHOOSE(CONTROL!$C$42, 19.5214, 19.5214) * CHOOSE(CONTROL!$C$21, $C$9, 100%, $E$9)</f>
        <v>19.5214</v>
      </c>
      <c r="I451" s="14">
        <f>CHOOSE(CONTROL!$C$42, 19.3075, 19.3075)* CHOOSE(CONTROL!$C$21, $C$9, 100%, $E$9)</f>
        <v>19.307500000000001</v>
      </c>
      <c r="J451" s="14">
        <f>CHOOSE(CONTROL!$C$42, 19.2734, 19.2734)* CHOOSE(CONTROL!$C$21, $C$9, 100%, $E$9)</f>
        <v>19.273399999999999</v>
      </c>
      <c r="K451" s="53">
        <f>CHOOSE(CONTROL!$C$42, 19.3036, 19.3036) * CHOOSE(CONTROL!$C$21, $C$9, 100%, $E$9)</f>
        <v>19.303599999999999</v>
      </c>
      <c r="L451" s="14">
        <f>CHOOSE(CONTROL!$C$42, 20.1084, 20.1084) * CHOOSE(CONTROL!$C$21, $C$9, 100%, $E$9)</f>
        <v>20.1084</v>
      </c>
      <c r="M451" s="14">
        <f>CHOOSE(CONTROL!$C$42, 19.0927, 19.0927) * CHOOSE(CONTROL!$C$21, $C$9, 100%, $E$9)</f>
        <v>19.092700000000001</v>
      </c>
      <c r="N451" s="14">
        <f>CHOOSE(CONTROL!$C$42, 19.1089, 19.1089) * CHOOSE(CONTROL!$C$21, $C$9, 100%, $E$9)</f>
        <v>19.108899999999998</v>
      </c>
      <c r="O451" s="14">
        <f>CHOOSE(CONTROL!$C$42, 19.3382, 19.3382) * CHOOSE(CONTROL!$C$21, $C$9, 100%, $E$9)</f>
        <v>19.338200000000001</v>
      </c>
      <c r="P451" s="14">
        <f>CHOOSE(CONTROL!$C$42, 19.1265, 19.1265) * CHOOSE(CONTROL!$C$21, $C$9, 100%, $E$9)</f>
        <v>19.1265</v>
      </c>
      <c r="Q451" s="14">
        <f>CHOOSE(CONTROL!$C$42, 19.9335, 19.9335) * CHOOSE(CONTROL!$C$21, $C$9, 100%, $E$9)</f>
        <v>19.933499999999999</v>
      </c>
      <c r="R451" s="14">
        <f>CHOOSE(CONTROL!$C$42, 20.5704, 20.5704) * CHOOSE(CONTROL!$C$21, $C$9, 100%, $E$9)</f>
        <v>20.570399999999999</v>
      </c>
      <c r="S451" s="14">
        <f>CHOOSE(CONTROL!$C$42, 18.7342, 18.7342) * CHOOSE(CONTROL!$C$21, $C$9, 100%, $E$9)</f>
        <v>18.734200000000001</v>
      </c>
      <c r="T45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51" s="57">
        <f>(1000*CHOOSE(CONTROL!$C$42, 695, 695)*CHOOSE(CONTROL!$C$42, 0.5599, 0.5599)*CHOOSE(CONTROL!$C$42, 31, 31))/1000000</f>
        <v>12.063045499999998</v>
      </c>
      <c r="V451" s="57">
        <f>(1000*CHOOSE(CONTROL!$C$42, 500, 500)*CHOOSE(CONTROL!$C$42, 0.275, 0.275)*CHOOSE(CONTROL!$C$42, 31, 31))/1000000</f>
        <v>4.2625000000000002</v>
      </c>
      <c r="W451" s="57">
        <f>(1000*CHOOSE(CONTROL!$C$42, 0.1146, 0.1146)*CHOOSE(CONTROL!$C$42, 121.5, 121.5)*CHOOSE(CONTROL!$C$42, 31, 31))/1000000</f>
        <v>0.43164089999999994</v>
      </c>
      <c r="X451" s="57">
        <f>(31*0.1790888*245000/1000000)+(31*0.2374*100000/1000000)</f>
        <v>2.0961194359999999</v>
      </c>
      <c r="Y451" s="57"/>
      <c r="Z451" s="14"/>
      <c r="AA451" s="56"/>
      <c r="AB451" s="50">
        <f>(B451*194.205+C451*267.466+D451*133.845+E451*53.484+F451*40+G451*185+H451*0+I451*100+J451*300)/(194.205+267.466+133.845+53.484+0+40+185+100+300)</f>
        <v>19.324475465698587</v>
      </c>
      <c r="AC451" s="45">
        <f>(M451*'RAP TEMPLATE-GAS AVAILABILITY'!O450+N451*'RAP TEMPLATE-GAS AVAILABILITY'!P450+O451*'RAP TEMPLATE-GAS AVAILABILITY'!Q450+P451*'RAP TEMPLATE-GAS AVAILABILITY'!R450)/('RAP TEMPLATE-GAS AVAILABILITY'!O450+'RAP TEMPLATE-GAS AVAILABILITY'!P450+'RAP TEMPLATE-GAS AVAILABILITY'!Q450+'RAP TEMPLATE-GAS AVAILABILITY'!R450)</f>
        <v>19.170174100719425</v>
      </c>
    </row>
    <row r="452" spans="1:29" ht="15.75" x14ac:dyDescent="0.25">
      <c r="A452" s="33">
        <v>54666</v>
      </c>
      <c r="B452" s="14">
        <f>CHOOSE(CONTROL!$C$42, 18.3433, 18.3433) * CHOOSE(CONTROL!$C$21, $C$9, 100%, $E$9)</f>
        <v>18.343299999999999</v>
      </c>
      <c r="C452" s="14">
        <f>CHOOSE(CONTROL!$C$42, 18.3512, 18.3512) * CHOOSE(CONTROL!$C$21, $C$9, 100%, $E$9)</f>
        <v>18.351199999999999</v>
      </c>
      <c r="D452" s="14">
        <f>CHOOSE(CONTROL!$C$42, 18.5488, 18.5488) * CHOOSE(CONTROL!$C$21, $C$9, 100%, $E$9)</f>
        <v>18.5488</v>
      </c>
      <c r="E452" s="14">
        <f>CHOOSE(CONTROL!$C$42, 18.5799, 18.5799) * CHOOSE(CONTROL!$C$21, $C$9, 100%, $E$9)</f>
        <v>18.579899999999999</v>
      </c>
      <c r="F452" s="14">
        <f>CHOOSE(CONTROL!$C$42, 18.3277, 18.3277)*CHOOSE(CONTROL!$C$21, $C$9, 100%, $E$9)</f>
        <v>18.3277</v>
      </c>
      <c r="G452" s="14">
        <f>CHOOSE(CONTROL!$C$42, 18.3441, 18.3441)*CHOOSE(CONTROL!$C$21, $C$9, 100%, $E$9)</f>
        <v>18.344100000000001</v>
      </c>
      <c r="H452" s="14">
        <f>CHOOSE(CONTROL!$C$42, 18.5686, 18.5686) * CHOOSE(CONTROL!$C$21, $C$9, 100%, $E$9)</f>
        <v>18.5686</v>
      </c>
      <c r="I452" s="14">
        <f>CHOOSE(CONTROL!$C$42, 18.3547, 18.3547)* CHOOSE(CONTROL!$C$21, $C$9, 100%, $E$9)</f>
        <v>18.354700000000001</v>
      </c>
      <c r="J452" s="14">
        <f>CHOOSE(CONTROL!$C$42, 18.3207, 18.3207)* CHOOSE(CONTROL!$C$21, $C$9, 100%, $E$9)</f>
        <v>18.320699999999999</v>
      </c>
      <c r="K452" s="53">
        <f>CHOOSE(CONTROL!$C$42, 18.3508, 18.3508) * CHOOSE(CONTROL!$C$21, $C$9, 100%, $E$9)</f>
        <v>18.3508</v>
      </c>
      <c r="L452" s="14">
        <f>CHOOSE(CONTROL!$C$42, 19.1556, 19.1556) * CHOOSE(CONTROL!$C$21, $C$9, 100%, $E$9)</f>
        <v>19.1556</v>
      </c>
      <c r="M452" s="14">
        <f>CHOOSE(CONTROL!$C$42, 18.1497, 18.1497) * CHOOSE(CONTROL!$C$21, $C$9, 100%, $E$9)</f>
        <v>18.149699999999999</v>
      </c>
      <c r="N452" s="14">
        <f>CHOOSE(CONTROL!$C$42, 18.1659, 18.1659) * CHOOSE(CONTROL!$C$21, $C$9, 100%, $E$9)</f>
        <v>18.165900000000001</v>
      </c>
      <c r="O452" s="14">
        <f>CHOOSE(CONTROL!$C$42, 18.395, 18.395) * CHOOSE(CONTROL!$C$21, $C$9, 100%, $E$9)</f>
        <v>18.395</v>
      </c>
      <c r="P452" s="14">
        <f>CHOOSE(CONTROL!$C$42, 18.1833, 18.1833) * CHOOSE(CONTROL!$C$21, $C$9, 100%, $E$9)</f>
        <v>18.183299999999999</v>
      </c>
      <c r="Q452" s="14">
        <f>CHOOSE(CONTROL!$C$42, 18.9903, 18.9903) * CHOOSE(CONTROL!$C$21, $C$9, 100%, $E$9)</f>
        <v>18.990300000000001</v>
      </c>
      <c r="R452" s="14">
        <f>CHOOSE(CONTROL!$C$42, 19.6248, 19.6248) * CHOOSE(CONTROL!$C$21, $C$9, 100%, $E$9)</f>
        <v>19.6248</v>
      </c>
      <c r="S452" s="14">
        <f>CHOOSE(CONTROL!$C$42, 17.8089, 17.8089) * CHOOSE(CONTROL!$C$21, $C$9, 100%, $E$9)</f>
        <v>17.808900000000001</v>
      </c>
      <c r="T45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52" s="57">
        <f>(1000*CHOOSE(CONTROL!$C$42, 695, 695)*CHOOSE(CONTROL!$C$42, 0.5599, 0.5599)*CHOOSE(CONTROL!$C$42, 31, 31))/1000000</f>
        <v>12.063045499999998</v>
      </c>
      <c r="V452" s="57">
        <f>(1000*CHOOSE(CONTROL!$C$42, 500, 500)*CHOOSE(CONTROL!$C$42, 0.275, 0.275)*CHOOSE(CONTROL!$C$42, 31, 31))/1000000</f>
        <v>4.2625000000000002</v>
      </c>
      <c r="W452" s="57">
        <f>(1000*CHOOSE(CONTROL!$C$42, 0.1146, 0.1146)*CHOOSE(CONTROL!$C$42, 121.5, 121.5)*CHOOSE(CONTROL!$C$42, 31, 31))/1000000</f>
        <v>0.43164089999999994</v>
      </c>
      <c r="X452" s="57">
        <f>(31*0.1790888*245000/1000000)+(31*0.2374*100000/1000000)</f>
        <v>2.0961194359999999</v>
      </c>
      <c r="Y452" s="57"/>
      <c r="Z452" s="14"/>
      <c r="AA452" s="56"/>
      <c r="AB452" s="50">
        <f>(B452*194.205+C452*267.466+D452*133.845+E452*53.484+F452*40+G452*185+H452*0+I452*100+J452*300)/(194.205+267.466+133.845+53.484+0+40+185+100+300)</f>
        <v>18.371680253767661</v>
      </c>
      <c r="AC452" s="45">
        <f>(M452*'RAP TEMPLATE-GAS AVAILABILITY'!O451+N452*'RAP TEMPLATE-GAS AVAILABILITY'!P451+O452*'RAP TEMPLATE-GAS AVAILABILITY'!Q451+P452*'RAP TEMPLATE-GAS AVAILABILITY'!R451)/('RAP TEMPLATE-GAS AVAILABILITY'!O451+'RAP TEMPLATE-GAS AVAILABILITY'!P451+'RAP TEMPLATE-GAS AVAILABILITY'!Q451+'RAP TEMPLATE-GAS AVAILABILITY'!R451)</f>
        <v>18.227089208633092</v>
      </c>
    </row>
    <row r="453" spans="1:29" ht="15.75" x14ac:dyDescent="0.25">
      <c r="A453" s="33">
        <v>54696</v>
      </c>
      <c r="B453" s="14">
        <f>CHOOSE(CONTROL!$C$42, 17.1787, 17.1787) * CHOOSE(CONTROL!$C$21, $C$9, 100%, $E$9)</f>
        <v>17.178699999999999</v>
      </c>
      <c r="C453" s="14">
        <f>CHOOSE(CONTROL!$C$42, 17.1866, 17.1866) * CHOOSE(CONTROL!$C$21, $C$9, 100%, $E$9)</f>
        <v>17.186599999999999</v>
      </c>
      <c r="D453" s="14">
        <f>CHOOSE(CONTROL!$C$42, 17.3842, 17.3842) * CHOOSE(CONTROL!$C$21, $C$9, 100%, $E$9)</f>
        <v>17.3842</v>
      </c>
      <c r="E453" s="14">
        <f>CHOOSE(CONTROL!$C$42, 17.4153, 17.4153) * CHOOSE(CONTROL!$C$21, $C$9, 100%, $E$9)</f>
        <v>17.415299999999998</v>
      </c>
      <c r="F453" s="14">
        <f>CHOOSE(CONTROL!$C$42, 17.1631, 17.1631)*CHOOSE(CONTROL!$C$21, $C$9, 100%, $E$9)</f>
        <v>17.1631</v>
      </c>
      <c r="G453" s="14">
        <f>CHOOSE(CONTROL!$C$42, 17.1794, 17.1794)*CHOOSE(CONTROL!$C$21, $C$9, 100%, $E$9)</f>
        <v>17.179400000000001</v>
      </c>
      <c r="H453" s="14">
        <f>CHOOSE(CONTROL!$C$42, 17.4039, 17.4039) * CHOOSE(CONTROL!$C$21, $C$9, 100%, $E$9)</f>
        <v>17.4039</v>
      </c>
      <c r="I453" s="14">
        <f>CHOOSE(CONTROL!$C$42, 17.19, 17.19)* CHOOSE(CONTROL!$C$21, $C$9, 100%, $E$9)</f>
        <v>17.190000000000001</v>
      </c>
      <c r="J453" s="14">
        <f>CHOOSE(CONTROL!$C$42, 17.1561, 17.1561)* CHOOSE(CONTROL!$C$21, $C$9, 100%, $E$9)</f>
        <v>17.156099999999999</v>
      </c>
      <c r="K453" s="53">
        <f>CHOOSE(CONTROL!$C$42, 17.1862, 17.1862) * CHOOSE(CONTROL!$C$21, $C$9, 100%, $E$9)</f>
        <v>17.186199999999999</v>
      </c>
      <c r="L453" s="14">
        <f>CHOOSE(CONTROL!$C$42, 17.9909, 17.9909) * CHOOSE(CONTROL!$C$21, $C$9, 100%, $E$9)</f>
        <v>17.9909</v>
      </c>
      <c r="M453" s="14">
        <f>CHOOSE(CONTROL!$C$42, 16.9967, 16.9967) * CHOOSE(CONTROL!$C$21, $C$9, 100%, $E$9)</f>
        <v>16.996700000000001</v>
      </c>
      <c r="N453" s="14">
        <f>CHOOSE(CONTROL!$C$42, 17.0129, 17.0129) * CHOOSE(CONTROL!$C$21, $C$9, 100%, $E$9)</f>
        <v>17.012899999999998</v>
      </c>
      <c r="O453" s="14">
        <f>CHOOSE(CONTROL!$C$42, 17.2421, 17.2421) * CHOOSE(CONTROL!$C$21, $C$9, 100%, $E$9)</f>
        <v>17.242100000000001</v>
      </c>
      <c r="P453" s="14">
        <f>CHOOSE(CONTROL!$C$42, 17.0304, 17.0304) * CHOOSE(CONTROL!$C$21, $C$9, 100%, $E$9)</f>
        <v>17.0304</v>
      </c>
      <c r="Q453" s="14">
        <f>CHOOSE(CONTROL!$C$42, 17.8374, 17.8374) * CHOOSE(CONTROL!$C$21, $C$9, 100%, $E$9)</f>
        <v>17.837399999999999</v>
      </c>
      <c r="R453" s="14">
        <f>CHOOSE(CONTROL!$C$42, 18.469, 18.469) * CHOOSE(CONTROL!$C$21, $C$9, 100%, $E$9)</f>
        <v>18.469000000000001</v>
      </c>
      <c r="S453" s="14">
        <f>CHOOSE(CONTROL!$C$42, 16.678, 16.678) * CHOOSE(CONTROL!$C$21, $C$9, 100%, $E$9)</f>
        <v>16.678000000000001</v>
      </c>
      <c r="T45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53" s="57">
        <f>(1000*CHOOSE(CONTROL!$C$42, 695, 695)*CHOOSE(CONTROL!$C$42, 0.5599, 0.5599)*CHOOSE(CONTROL!$C$42, 30, 30))/1000000</f>
        <v>11.673914999999997</v>
      </c>
      <c r="V453" s="57">
        <f>(1000*CHOOSE(CONTROL!$C$42, 500, 500)*CHOOSE(CONTROL!$C$42, 0.275, 0.275)*CHOOSE(CONTROL!$C$42, 30, 30))/1000000</f>
        <v>4.125</v>
      </c>
      <c r="W453" s="57">
        <f>(1000*CHOOSE(CONTROL!$C$42, 0.1146, 0.1146)*CHOOSE(CONTROL!$C$42, 121.5, 121.5)*CHOOSE(CONTROL!$C$42, 30, 30))/1000000</f>
        <v>0.417717</v>
      </c>
      <c r="X453" s="57">
        <f>(30*0.1790888*245000/1000000)+(30*0.2374*100000/1000000)</f>
        <v>2.0285026799999999</v>
      </c>
      <c r="Y453" s="57"/>
      <c r="Z453" s="14"/>
      <c r="AA453" s="56"/>
      <c r="AB453" s="50">
        <f>(B453*194.205+C453*267.466+D453*133.845+E453*53.484+F453*40+G453*185+H453*0+I453*100+J453*300)/(194.205+267.466+133.845+53.484+0+40+185+100+300)</f>
        <v>17.207057883281006</v>
      </c>
      <c r="AC453" s="45">
        <f>(M453*'RAP TEMPLATE-GAS AVAILABILITY'!O452+N453*'RAP TEMPLATE-GAS AVAILABILITY'!P452+O453*'RAP TEMPLATE-GAS AVAILABILITY'!Q452+P453*'RAP TEMPLATE-GAS AVAILABILITY'!R452)/('RAP TEMPLATE-GAS AVAILABILITY'!O452+'RAP TEMPLATE-GAS AVAILABILITY'!P452+'RAP TEMPLATE-GAS AVAILABILITY'!Q452+'RAP TEMPLATE-GAS AVAILABILITY'!R452)</f>
        <v>17.074131654676258</v>
      </c>
    </row>
    <row r="454" spans="1:29" ht="15.75" x14ac:dyDescent="0.25">
      <c r="A454" s="33">
        <v>54727</v>
      </c>
      <c r="B454" s="14">
        <f>CHOOSE(CONTROL!$C$42, 16.8282, 16.8282) * CHOOSE(CONTROL!$C$21, $C$9, 100%, $E$9)</f>
        <v>16.828199999999999</v>
      </c>
      <c r="C454" s="14">
        <f>CHOOSE(CONTROL!$C$42, 16.8334, 16.8334) * CHOOSE(CONTROL!$C$21, $C$9, 100%, $E$9)</f>
        <v>16.833400000000001</v>
      </c>
      <c r="D454" s="14">
        <f>CHOOSE(CONTROL!$C$42, 17.036, 17.036) * CHOOSE(CONTROL!$C$21, $C$9, 100%, $E$9)</f>
        <v>17.036000000000001</v>
      </c>
      <c r="E454" s="14">
        <f>CHOOSE(CONTROL!$C$42, 17.0648, 17.0648) * CHOOSE(CONTROL!$C$21, $C$9, 100%, $E$9)</f>
        <v>17.064800000000002</v>
      </c>
      <c r="F454" s="14">
        <f>CHOOSE(CONTROL!$C$42, 16.8146, 16.8146)*CHOOSE(CONTROL!$C$21, $C$9, 100%, $E$9)</f>
        <v>16.814599999999999</v>
      </c>
      <c r="G454" s="14">
        <f>CHOOSE(CONTROL!$C$42, 16.8306, 16.8306)*CHOOSE(CONTROL!$C$21, $C$9, 100%, $E$9)</f>
        <v>16.8306</v>
      </c>
      <c r="H454" s="14">
        <f>CHOOSE(CONTROL!$C$42, 17.0553, 17.0553) * CHOOSE(CONTROL!$C$21, $C$9, 100%, $E$9)</f>
        <v>17.055299999999999</v>
      </c>
      <c r="I454" s="14">
        <f>CHOOSE(CONTROL!$C$42, 16.8413, 16.8413)* CHOOSE(CONTROL!$C$21, $C$9, 100%, $E$9)</f>
        <v>16.8413</v>
      </c>
      <c r="J454" s="14">
        <f>CHOOSE(CONTROL!$C$42, 16.8076, 16.8076)* CHOOSE(CONTROL!$C$21, $C$9, 100%, $E$9)</f>
        <v>16.807600000000001</v>
      </c>
      <c r="K454" s="53">
        <f>CHOOSE(CONTROL!$C$42, 16.8375, 16.8375) * CHOOSE(CONTROL!$C$21, $C$9, 100%, $E$9)</f>
        <v>16.837499999999999</v>
      </c>
      <c r="L454" s="14">
        <f>CHOOSE(CONTROL!$C$42, 17.6423, 17.6423) * CHOOSE(CONTROL!$C$21, $C$9, 100%, $E$9)</f>
        <v>17.642299999999999</v>
      </c>
      <c r="M454" s="14">
        <f>CHOOSE(CONTROL!$C$42, 16.6518, 16.6518) * CHOOSE(CONTROL!$C$21, $C$9, 100%, $E$9)</f>
        <v>16.651800000000001</v>
      </c>
      <c r="N454" s="14">
        <f>CHOOSE(CONTROL!$C$42, 16.6677, 16.6677) * CHOOSE(CONTROL!$C$21, $C$9, 100%, $E$9)</f>
        <v>16.6677</v>
      </c>
      <c r="O454" s="14">
        <f>CHOOSE(CONTROL!$C$42, 16.897, 16.897) * CHOOSE(CONTROL!$C$21, $C$9, 100%, $E$9)</f>
        <v>16.896999999999998</v>
      </c>
      <c r="P454" s="14">
        <f>CHOOSE(CONTROL!$C$42, 16.6853, 16.6853) * CHOOSE(CONTROL!$C$21, $C$9, 100%, $E$9)</f>
        <v>16.685300000000002</v>
      </c>
      <c r="Q454" s="14">
        <f>CHOOSE(CONTROL!$C$42, 17.4923, 17.4923) * CHOOSE(CONTROL!$C$21, $C$9, 100%, $E$9)</f>
        <v>17.4923</v>
      </c>
      <c r="R454" s="14">
        <f>CHOOSE(CONTROL!$C$42, 18.123, 18.123) * CHOOSE(CONTROL!$C$21, $C$9, 100%, $E$9)</f>
        <v>18.123000000000001</v>
      </c>
      <c r="S454" s="14">
        <f>CHOOSE(CONTROL!$C$42, 16.3393, 16.3393) * CHOOSE(CONTROL!$C$21, $C$9, 100%, $E$9)</f>
        <v>16.339300000000001</v>
      </c>
      <c r="T45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54" s="57">
        <f>(1000*CHOOSE(CONTROL!$C$42, 695, 695)*CHOOSE(CONTROL!$C$42, 0.5599, 0.5599)*CHOOSE(CONTROL!$C$42, 31, 31))/1000000</f>
        <v>12.063045499999998</v>
      </c>
      <c r="V454" s="57">
        <f>(1000*CHOOSE(CONTROL!$C$42, 500, 500)*CHOOSE(CONTROL!$C$42, 0.275, 0.275)*CHOOSE(CONTROL!$C$42, 31, 31))/1000000</f>
        <v>4.2625000000000002</v>
      </c>
      <c r="W454" s="57">
        <f>(1000*CHOOSE(CONTROL!$C$42, 0.1146, 0.1146)*CHOOSE(CONTROL!$C$42, 121.5, 121.5)*CHOOSE(CONTROL!$C$42, 31, 31))/1000000</f>
        <v>0.43164089999999994</v>
      </c>
      <c r="X454" s="57">
        <f>(31*0.1790888*245000/1000000)+(31*0.2374*100000/1000000)</f>
        <v>2.0961194359999999</v>
      </c>
      <c r="Y454" s="57"/>
      <c r="Z454" s="14"/>
      <c r="AA454" s="56"/>
      <c r="AB454" s="50">
        <f>(B454*131.881+C454*277.167+D454*79.08+E454*125.872+F454*40+G454*185+H454*0+I454*100+J454*300)/(131.881+277.167+79.08+125.872+0+40+185+100+300)</f>
        <v>16.862651499273607</v>
      </c>
      <c r="AC454" s="45">
        <f>(M454*'RAP TEMPLATE-GAS AVAILABILITY'!O453+N454*'RAP TEMPLATE-GAS AVAILABILITY'!P453+O454*'RAP TEMPLATE-GAS AVAILABILITY'!Q453+P454*'RAP TEMPLATE-GAS AVAILABILITY'!R453)/('RAP TEMPLATE-GAS AVAILABILITY'!O453+'RAP TEMPLATE-GAS AVAILABILITY'!P453+'RAP TEMPLATE-GAS AVAILABILITY'!Q453+'RAP TEMPLATE-GAS AVAILABILITY'!R453)</f>
        <v>16.729077697841728</v>
      </c>
    </row>
    <row r="455" spans="1:29" ht="15.75" x14ac:dyDescent="0.25">
      <c r="A455" s="33">
        <v>54757</v>
      </c>
      <c r="B455" s="14">
        <f>CHOOSE(CONTROL!$C$42, 17.2711, 17.2711) * CHOOSE(CONTROL!$C$21, $C$9, 100%, $E$9)</f>
        <v>17.271100000000001</v>
      </c>
      <c r="C455" s="14">
        <f>CHOOSE(CONTROL!$C$42, 17.276, 17.276) * CHOOSE(CONTROL!$C$21, $C$9, 100%, $E$9)</f>
        <v>17.276</v>
      </c>
      <c r="D455" s="14">
        <f>CHOOSE(CONTROL!$C$42, 17.3391, 17.3391) * CHOOSE(CONTROL!$C$21, $C$9, 100%, $E$9)</f>
        <v>17.339099999999998</v>
      </c>
      <c r="E455" s="14">
        <f>CHOOSE(CONTROL!$C$42, 17.3729, 17.3729) * CHOOSE(CONTROL!$C$21, $C$9, 100%, $E$9)</f>
        <v>17.372900000000001</v>
      </c>
      <c r="F455" s="14">
        <f>CHOOSE(CONTROL!$C$42, 17.2718, 17.2718)*CHOOSE(CONTROL!$C$21, $C$9, 100%, $E$9)</f>
        <v>17.271799999999999</v>
      </c>
      <c r="G455" s="14">
        <f>CHOOSE(CONTROL!$C$42, 17.288, 17.288)*CHOOSE(CONTROL!$C$21, $C$9, 100%, $E$9)</f>
        <v>17.288</v>
      </c>
      <c r="H455" s="14">
        <f>CHOOSE(CONTROL!$C$42, 17.3621, 17.3621) * CHOOSE(CONTROL!$C$21, $C$9, 100%, $E$9)</f>
        <v>17.362100000000002</v>
      </c>
      <c r="I455" s="14">
        <f>CHOOSE(CONTROL!$C$42, 17.2846, 17.2846)* CHOOSE(CONTROL!$C$21, $C$9, 100%, $E$9)</f>
        <v>17.284600000000001</v>
      </c>
      <c r="J455" s="14">
        <f>CHOOSE(CONTROL!$C$42, 17.2648, 17.2648)* CHOOSE(CONTROL!$C$21, $C$9, 100%, $E$9)</f>
        <v>17.264800000000001</v>
      </c>
      <c r="K455" s="53">
        <f>CHOOSE(CONTROL!$C$42, 17.2807, 17.2807) * CHOOSE(CONTROL!$C$21, $C$9, 100%, $E$9)</f>
        <v>17.2807</v>
      </c>
      <c r="L455" s="14">
        <f>CHOOSE(CONTROL!$C$42, 17.9491, 17.9491) * CHOOSE(CONTROL!$C$21, $C$9, 100%, $E$9)</f>
        <v>17.949100000000001</v>
      </c>
      <c r="M455" s="14">
        <f>CHOOSE(CONTROL!$C$42, 17.1044, 17.1044) * CHOOSE(CONTROL!$C$21, $C$9, 100%, $E$9)</f>
        <v>17.104399999999998</v>
      </c>
      <c r="N455" s="14">
        <f>CHOOSE(CONTROL!$C$42, 17.1205, 17.1205) * CHOOSE(CONTROL!$C$21, $C$9, 100%, $E$9)</f>
        <v>17.1205</v>
      </c>
      <c r="O455" s="14">
        <f>CHOOSE(CONTROL!$C$42, 17.2007, 17.2007) * CHOOSE(CONTROL!$C$21, $C$9, 100%, $E$9)</f>
        <v>17.200700000000001</v>
      </c>
      <c r="P455" s="14">
        <f>CHOOSE(CONTROL!$C$42, 17.124, 17.124) * CHOOSE(CONTROL!$C$21, $C$9, 100%, $E$9)</f>
        <v>17.123999999999999</v>
      </c>
      <c r="Q455" s="14">
        <f>CHOOSE(CONTROL!$C$42, 17.796, 17.796) * CHOOSE(CONTROL!$C$21, $C$9, 100%, $E$9)</f>
        <v>17.795999999999999</v>
      </c>
      <c r="R455" s="14">
        <f>CHOOSE(CONTROL!$C$42, 18.4275, 18.4275) * CHOOSE(CONTROL!$C$21, $C$9, 100%, $E$9)</f>
        <v>18.427499999999998</v>
      </c>
      <c r="S455" s="14">
        <f>CHOOSE(CONTROL!$C$42, 16.7698, 16.7698) * CHOOSE(CONTROL!$C$21, $C$9, 100%, $E$9)</f>
        <v>16.7698</v>
      </c>
      <c r="T45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55" s="57">
        <f>(1000*CHOOSE(CONTROL!$C$42, 695, 695)*CHOOSE(CONTROL!$C$42, 0.5599, 0.5599)*CHOOSE(CONTROL!$C$42, 30, 30))/1000000</f>
        <v>11.673914999999997</v>
      </c>
      <c r="V455" s="57">
        <f>(1000*CHOOSE(CONTROL!$C$42, 500, 500)*CHOOSE(CONTROL!$C$42, 0.275, 0.275)*CHOOSE(CONTROL!$C$42, 30, 30))/1000000</f>
        <v>4.125</v>
      </c>
      <c r="W455" s="57">
        <f>(1000*CHOOSE(CONTROL!$C$42, 0.1146, 0.1146)*CHOOSE(CONTROL!$C$42, 121.5, 121.5)*CHOOSE(CONTROL!$C$42, 30, 30))/1000000</f>
        <v>0.417717</v>
      </c>
      <c r="X455" s="57">
        <f>(30*0.1790888*100000/1000000)+(30*0.2374*100000/1000000)</f>
        <v>1.2494664</v>
      </c>
      <c r="Y455" s="57"/>
      <c r="Z455" s="14"/>
      <c r="AA455" s="56"/>
      <c r="AB455" s="50">
        <f>(B455*122.58+C455*297.941+D455*89.177+E455*40.302+F455*40+G455*160+H455*0+I455*100+J455*300)/(122.58+297.941+89.177+40.302+0+40+160+100+300)</f>
        <v>17.283116252608693</v>
      </c>
      <c r="AC455" s="45">
        <f>(M455*'RAP TEMPLATE-GAS AVAILABILITY'!O454+N455*'RAP TEMPLATE-GAS AVAILABILITY'!P454+O455*'RAP TEMPLATE-GAS AVAILABILITY'!Q454+P455*'RAP TEMPLATE-GAS AVAILABILITY'!R454)/('RAP TEMPLATE-GAS AVAILABILITY'!O454+'RAP TEMPLATE-GAS AVAILABILITY'!P454+'RAP TEMPLATE-GAS AVAILABILITY'!Q454+'RAP TEMPLATE-GAS AVAILABILITY'!R454)</f>
        <v>17.151793525179855</v>
      </c>
    </row>
    <row r="456" spans="1:29" ht="15.75" x14ac:dyDescent="0.25">
      <c r="A456" s="33">
        <v>54788</v>
      </c>
      <c r="B456" s="14">
        <f>CHOOSE(CONTROL!$C$42, 18.4484, 18.4484) * CHOOSE(CONTROL!$C$21, $C$9, 100%, $E$9)</f>
        <v>18.448399999999999</v>
      </c>
      <c r="C456" s="14">
        <f>CHOOSE(CONTROL!$C$42, 18.4533, 18.4533) * CHOOSE(CONTROL!$C$21, $C$9, 100%, $E$9)</f>
        <v>18.453299999999999</v>
      </c>
      <c r="D456" s="14">
        <f>CHOOSE(CONTROL!$C$42, 18.5164, 18.5164) * CHOOSE(CONTROL!$C$21, $C$9, 100%, $E$9)</f>
        <v>18.516400000000001</v>
      </c>
      <c r="E456" s="14">
        <f>CHOOSE(CONTROL!$C$42, 18.5502, 18.5502) * CHOOSE(CONTROL!$C$21, $C$9, 100%, $E$9)</f>
        <v>18.5502</v>
      </c>
      <c r="F456" s="14">
        <f>CHOOSE(CONTROL!$C$42, 18.4511, 18.4511)*CHOOSE(CONTROL!$C$21, $C$9, 100%, $E$9)</f>
        <v>18.4511</v>
      </c>
      <c r="G456" s="14">
        <f>CHOOSE(CONTROL!$C$42, 18.4679, 18.4679)*CHOOSE(CONTROL!$C$21, $C$9, 100%, $E$9)</f>
        <v>18.4679</v>
      </c>
      <c r="H456" s="14">
        <f>CHOOSE(CONTROL!$C$42, 18.5394, 18.5394) * CHOOSE(CONTROL!$C$21, $C$9, 100%, $E$9)</f>
        <v>18.539400000000001</v>
      </c>
      <c r="I456" s="14">
        <f>CHOOSE(CONTROL!$C$42, 18.4619, 18.4619)* CHOOSE(CONTROL!$C$21, $C$9, 100%, $E$9)</f>
        <v>18.4619</v>
      </c>
      <c r="J456" s="14">
        <f>CHOOSE(CONTROL!$C$42, 18.4441, 18.4441)* CHOOSE(CONTROL!$C$21, $C$9, 100%, $E$9)</f>
        <v>18.444099999999999</v>
      </c>
      <c r="K456" s="53">
        <f>CHOOSE(CONTROL!$C$42, 18.458, 18.458) * CHOOSE(CONTROL!$C$21, $C$9, 100%, $E$9)</f>
        <v>18.457999999999998</v>
      </c>
      <c r="L456" s="14">
        <f>CHOOSE(CONTROL!$C$42, 19.1264, 19.1264) * CHOOSE(CONTROL!$C$21, $C$9, 100%, $E$9)</f>
        <v>19.1264</v>
      </c>
      <c r="M456" s="14">
        <f>CHOOSE(CONTROL!$C$42, 18.2718, 18.2718) * CHOOSE(CONTROL!$C$21, $C$9, 100%, $E$9)</f>
        <v>18.271799999999999</v>
      </c>
      <c r="N456" s="14">
        <f>CHOOSE(CONTROL!$C$42, 18.2885, 18.2885) * CHOOSE(CONTROL!$C$21, $C$9, 100%, $E$9)</f>
        <v>18.288499999999999</v>
      </c>
      <c r="O456" s="14">
        <f>CHOOSE(CONTROL!$C$42, 18.3661, 18.3661) * CHOOSE(CONTROL!$C$21, $C$9, 100%, $E$9)</f>
        <v>18.366099999999999</v>
      </c>
      <c r="P456" s="14">
        <f>CHOOSE(CONTROL!$C$42, 18.2895, 18.2895) * CHOOSE(CONTROL!$C$21, $C$9, 100%, $E$9)</f>
        <v>18.2895</v>
      </c>
      <c r="Q456" s="14">
        <f>CHOOSE(CONTROL!$C$42, 18.9614, 18.9614) * CHOOSE(CONTROL!$C$21, $C$9, 100%, $E$9)</f>
        <v>18.961400000000001</v>
      </c>
      <c r="R456" s="14">
        <f>CHOOSE(CONTROL!$C$42, 19.5958, 19.5958) * CHOOSE(CONTROL!$C$21, $C$9, 100%, $E$9)</f>
        <v>19.595800000000001</v>
      </c>
      <c r="S456" s="14">
        <f>CHOOSE(CONTROL!$C$42, 17.9131, 17.9131) * CHOOSE(CONTROL!$C$21, $C$9, 100%, $E$9)</f>
        <v>17.9131</v>
      </c>
      <c r="T45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56" s="57">
        <f>(1000*CHOOSE(CONTROL!$C$42, 695, 695)*CHOOSE(CONTROL!$C$42, 0.5599, 0.5599)*CHOOSE(CONTROL!$C$42, 31, 31))/1000000</f>
        <v>12.063045499999998</v>
      </c>
      <c r="V456" s="57">
        <f>(1000*CHOOSE(CONTROL!$C$42, 500, 500)*CHOOSE(CONTROL!$C$42, 0.275, 0.275)*CHOOSE(CONTROL!$C$42, 31, 31))/1000000</f>
        <v>4.2625000000000002</v>
      </c>
      <c r="W456" s="57">
        <f>(1000*CHOOSE(CONTROL!$C$42, 0.1146, 0.1146)*CHOOSE(CONTROL!$C$42, 121.5, 121.5)*CHOOSE(CONTROL!$C$42, 31, 31))/1000000</f>
        <v>0.43164089999999994</v>
      </c>
      <c r="X456" s="57">
        <f>(31*0.1790888*100000/1000000)+(31*0.2374*100000/1000000)</f>
        <v>1.2911152800000001</v>
      </c>
      <c r="Y456" s="57"/>
      <c r="Z456" s="14"/>
      <c r="AA456" s="56"/>
      <c r="AB456" s="50">
        <f>(B456*122.58+C456*297.941+D456*89.177+E456*40.302+F456*40+G456*160+H456*0+I456*100+J456*300)/(122.58+297.941+89.177+40.302+0+40+160+100+300)</f>
        <v>18.461369296086954</v>
      </c>
      <c r="AC456" s="45">
        <f>(M456*'RAP TEMPLATE-GAS AVAILABILITY'!O455+N456*'RAP TEMPLATE-GAS AVAILABILITY'!P455+O456*'RAP TEMPLATE-GAS AVAILABILITY'!Q455+P456*'RAP TEMPLATE-GAS AVAILABILITY'!R455)/('RAP TEMPLATE-GAS AVAILABILITY'!O455+'RAP TEMPLATE-GAS AVAILABILITY'!P455+'RAP TEMPLATE-GAS AVAILABILITY'!Q455+'RAP TEMPLATE-GAS AVAILABILITY'!R455)</f>
        <v>18.318048201438849</v>
      </c>
    </row>
    <row r="457" spans="1:29" ht="15.75" x14ac:dyDescent="0.25">
      <c r="A457" s="33">
        <v>54819</v>
      </c>
      <c r="B457" s="14">
        <f>CHOOSE(CONTROL!$C$42, 19.9597, 19.9597) * CHOOSE(CONTROL!$C$21, $C$9, 100%, $E$9)</f>
        <v>19.959700000000002</v>
      </c>
      <c r="C457" s="14">
        <f>CHOOSE(CONTROL!$C$42, 19.9647, 19.9647) * CHOOSE(CONTROL!$C$21, $C$9, 100%, $E$9)</f>
        <v>19.964700000000001</v>
      </c>
      <c r="D457" s="14">
        <f>CHOOSE(CONTROL!$C$42, 20.029, 20.029) * CHOOSE(CONTROL!$C$21, $C$9, 100%, $E$9)</f>
        <v>20.029</v>
      </c>
      <c r="E457" s="14">
        <f>CHOOSE(CONTROL!$C$42, 20.0627, 20.0627) * CHOOSE(CONTROL!$C$21, $C$9, 100%, $E$9)</f>
        <v>20.0627</v>
      </c>
      <c r="F457" s="14">
        <f>CHOOSE(CONTROL!$C$42, 19.9613, 19.9613)*CHOOSE(CONTROL!$C$21, $C$9, 100%, $E$9)</f>
        <v>19.961300000000001</v>
      </c>
      <c r="G457" s="14">
        <f>CHOOSE(CONTROL!$C$42, 19.9772, 19.9772)*CHOOSE(CONTROL!$C$21, $C$9, 100%, $E$9)</f>
        <v>19.9772</v>
      </c>
      <c r="H457" s="14">
        <f>CHOOSE(CONTROL!$C$42, 20.0519, 20.0519) * CHOOSE(CONTROL!$C$21, $C$9, 100%, $E$9)</f>
        <v>20.0519</v>
      </c>
      <c r="I457" s="14">
        <f>CHOOSE(CONTROL!$C$42, 19.9797, 19.9797)* CHOOSE(CONTROL!$C$21, $C$9, 100%, $E$9)</f>
        <v>19.979700000000001</v>
      </c>
      <c r="J457" s="14">
        <f>CHOOSE(CONTROL!$C$42, 19.9543, 19.9543)* CHOOSE(CONTROL!$C$21, $C$9, 100%, $E$9)</f>
        <v>19.9543</v>
      </c>
      <c r="K457" s="53">
        <f>CHOOSE(CONTROL!$C$42, 19.9758, 19.9758) * CHOOSE(CONTROL!$C$21, $C$9, 100%, $E$9)</f>
        <v>19.9758</v>
      </c>
      <c r="L457" s="14">
        <f>CHOOSE(CONTROL!$C$42, 20.6389, 20.6389) * CHOOSE(CONTROL!$C$21, $C$9, 100%, $E$9)</f>
        <v>20.6389</v>
      </c>
      <c r="M457" s="14">
        <f>CHOOSE(CONTROL!$C$42, 19.7667, 19.7667) * CHOOSE(CONTROL!$C$21, $C$9, 100%, $E$9)</f>
        <v>19.7667</v>
      </c>
      <c r="N457" s="14">
        <f>CHOOSE(CONTROL!$C$42, 19.7825, 19.7825) * CHOOSE(CONTROL!$C$21, $C$9, 100%, $E$9)</f>
        <v>19.782499999999999</v>
      </c>
      <c r="O457" s="14">
        <f>CHOOSE(CONTROL!$C$42, 19.8634, 19.8634) * CHOOSE(CONTROL!$C$21, $C$9, 100%, $E$9)</f>
        <v>19.863399999999999</v>
      </c>
      <c r="P457" s="14">
        <f>CHOOSE(CONTROL!$C$42, 19.792, 19.792) * CHOOSE(CONTROL!$C$21, $C$9, 100%, $E$9)</f>
        <v>19.792000000000002</v>
      </c>
      <c r="Q457" s="14">
        <f>CHOOSE(CONTROL!$C$42, 20.4587, 20.4587) * CHOOSE(CONTROL!$C$21, $C$9, 100%, $E$9)</f>
        <v>20.4587</v>
      </c>
      <c r="R457" s="14">
        <f>CHOOSE(CONTROL!$C$42, 21.0969, 21.0969) * CHOOSE(CONTROL!$C$21, $C$9, 100%, $E$9)</f>
        <v>21.096900000000002</v>
      </c>
      <c r="S457" s="14">
        <f>CHOOSE(CONTROL!$C$42, 19.3808, 19.3808) * CHOOSE(CONTROL!$C$21, $C$9, 100%, $E$9)</f>
        <v>19.380800000000001</v>
      </c>
      <c r="T45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57" s="57">
        <f>(1000*CHOOSE(CONTROL!$C$42, 695, 695)*CHOOSE(CONTROL!$C$42, 0.5599, 0.5599)*CHOOSE(CONTROL!$C$42, 31, 31))/1000000</f>
        <v>12.063045499999998</v>
      </c>
      <c r="V457" s="57">
        <f>(1000*CHOOSE(CONTROL!$C$42, 500, 500)*CHOOSE(CONTROL!$C$42, 0.275, 0.275)*CHOOSE(CONTROL!$C$42, 31, 31))/1000000</f>
        <v>4.2625000000000002</v>
      </c>
      <c r="W457" s="57">
        <f>(1000*CHOOSE(CONTROL!$C$42, 0.1146, 0.1146)*CHOOSE(CONTROL!$C$42, 121.5, 121.5)*CHOOSE(CONTROL!$C$42, 31, 31))/1000000</f>
        <v>0.43164089999999994</v>
      </c>
      <c r="X457" s="57">
        <f>(31*0.1790888*100000/1000000)+(31*0.2374*100000/1000000)</f>
        <v>1.2911152800000001</v>
      </c>
      <c r="Y457" s="57"/>
      <c r="Z457" s="14"/>
      <c r="AA457" s="56"/>
      <c r="AB457" s="50">
        <f>(B457*122.58+C457*297.941+D457*89.177+E457*40.302+F457*40+G457*160+H457*0+I457*100+J457*300)/(122.58+297.941+89.177+40.302+0+40+160+100+300)</f>
        <v>19.972799806173914</v>
      </c>
      <c r="AC457" s="45">
        <f>(M457*'RAP TEMPLATE-GAS AVAILABILITY'!O456+N457*'RAP TEMPLATE-GAS AVAILABILITY'!P456+O457*'RAP TEMPLATE-GAS AVAILABILITY'!Q456+P457*'RAP TEMPLATE-GAS AVAILABILITY'!R456)/('RAP TEMPLATE-GAS AVAILABILITY'!O456+'RAP TEMPLATE-GAS AVAILABILITY'!P456+'RAP TEMPLATE-GAS AVAILABILITY'!Q456+'RAP TEMPLATE-GAS AVAILABILITY'!R456)</f>
        <v>19.815077697841726</v>
      </c>
    </row>
    <row r="458" spans="1:29" ht="15.75" x14ac:dyDescent="0.25">
      <c r="A458" s="33">
        <v>54847</v>
      </c>
      <c r="B458" s="14">
        <f>CHOOSE(CONTROL!$C$42, 20.315, 20.315) * CHOOSE(CONTROL!$C$21, $C$9, 100%, $E$9)</f>
        <v>20.315000000000001</v>
      </c>
      <c r="C458" s="14">
        <f>CHOOSE(CONTROL!$C$42, 20.32, 20.32) * CHOOSE(CONTROL!$C$21, $C$9, 100%, $E$9)</f>
        <v>20.32</v>
      </c>
      <c r="D458" s="14">
        <f>CHOOSE(CONTROL!$C$42, 20.3842, 20.3842) * CHOOSE(CONTROL!$C$21, $C$9, 100%, $E$9)</f>
        <v>20.3842</v>
      </c>
      <c r="E458" s="14">
        <f>CHOOSE(CONTROL!$C$42, 20.418, 20.418) * CHOOSE(CONTROL!$C$21, $C$9, 100%, $E$9)</f>
        <v>20.417999999999999</v>
      </c>
      <c r="F458" s="14">
        <f>CHOOSE(CONTROL!$C$42, 20.3166, 20.3166)*CHOOSE(CONTROL!$C$21, $C$9, 100%, $E$9)</f>
        <v>20.316600000000001</v>
      </c>
      <c r="G458" s="14">
        <f>CHOOSE(CONTROL!$C$42, 20.3325, 20.3325)*CHOOSE(CONTROL!$C$21, $C$9, 100%, $E$9)</f>
        <v>20.3325</v>
      </c>
      <c r="H458" s="14">
        <f>CHOOSE(CONTROL!$C$42, 20.4072, 20.4072) * CHOOSE(CONTROL!$C$21, $C$9, 100%, $E$9)</f>
        <v>20.4072</v>
      </c>
      <c r="I458" s="14">
        <f>CHOOSE(CONTROL!$C$42, 20.335, 20.335)* CHOOSE(CONTROL!$C$21, $C$9, 100%, $E$9)</f>
        <v>20.335000000000001</v>
      </c>
      <c r="J458" s="14">
        <f>CHOOSE(CONTROL!$C$42, 20.3096, 20.3096)* CHOOSE(CONTROL!$C$21, $C$9, 100%, $E$9)</f>
        <v>20.3096</v>
      </c>
      <c r="K458" s="53">
        <f>CHOOSE(CONTROL!$C$42, 20.3311, 20.3311) * CHOOSE(CONTROL!$C$21, $C$9, 100%, $E$9)</f>
        <v>20.331099999999999</v>
      </c>
      <c r="L458" s="14">
        <f>CHOOSE(CONTROL!$C$42, 20.9942, 20.9942) * CHOOSE(CONTROL!$C$21, $C$9, 100%, $E$9)</f>
        <v>20.994199999999999</v>
      </c>
      <c r="M458" s="14">
        <f>CHOOSE(CONTROL!$C$42, 20.1184, 20.1184) * CHOOSE(CONTROL!$C$21, $C$9, 100%, $E$9)</f>
        <v>20.118400000000001</v>
      </c>
      <c r="N458" s="14">
        <f>CHOOSE(CONTROL!$C$42, 20.1342, 20.1342) * CHOOSE(CONTROL!$C$21, $C$9, 100%, $E$9)</f>
        <v>20.1342</v>
      </c>
      <c r="O458" s="14">
        <f>CHOOSE(CONTROL!$C$42, 20.2151, 20.2151) * CHOOSE(CONTROL!$C$21, $C$9, 100%, $E$9)</f>
        <v>20.2151</v>
      </c>
      <c r="P458" s="14">
        <f>CHOOSE(CONTROL!$C$42, 20.1436, 20.1436) * CHOOSE(CONTROL!$C$21, $C$9, 100%, $E$9)</f>
        <v>20.143599999999999</v>
      </c>
      <c r="Q458" s="14">
        <f>CHOOSE(CONTROL!$C$42, 20.8104, 20.8104) * CHOOSE(CONTROL!$C$21, $C$9, 100%, $E$9)</f>
        <v>20.810400000000001</v>
      </c>
      <c r="R458" s="14">
        <f>CHOOSE(CONTROL!$C$42, 21.4494, 21.4494) * CHOOSE(CONTROL!$C$21, $C$9, 100%, $E$9)</f>
        <v>21.449400000000001</v>
      </c>
      <c r="S458" s="14">
        <f>CHOOSE(CONTROL!$C$42, 19.7258, 19.7258) * CHOOSE(CONTROL!$C$21, $C$9, 100%, $E$9)</f>
        <v>19.7258</v>
      </c>
      <c r="T45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58" s="57">
        <f>(1000*CHOOSE(CONTROL!$C$42, 695, 695)*CHOOSE(CONTROL!$C$42, 0.5599, 0.5599)*CHOOSE(CONTROL!$C$42, 28, 28))/1000000</f>
        <v>10.895653999999999</v>
      </c>
      <c r="V458" s="57">
        <f>(1000*CHOOSE(CONTROL!$C$42, 500, 500)*CHOOSE(CONTROL!$C$42, 0.275, 0.275)*CHOOSE(CONTROL!$C$42, 28, 28))/1000000</f>
        <v>3.85</v>
      </c>
      <c r="W458" s="57">
        <f>(1000*CHOOSE(CONTROL!$C$42, 0.1146, 0.1146)*CHOOSE(CONTROL!$C$42, 121.5, 121.5)*CHOOSE(CONTROL!$C$42, 28, 28))/1000000</f>
        <v>0.38986920000000003</v>
      </c>
      <c r="X458" s="57">
        <f>(28*0.1790888*100000/1000000)+(28*0.2374*100000/1000000)</f>
        <v>1.16616864</v>
      </c>
      <c r="Y458" s="57"/>
      <c r="Z458" s="14"/>
      <c r="AA458" s="56"/>
      <c r="AB458" s="50">
        <f>(B458*122.58+C458*297.941+D458*89.177+E458*40.302+F458*40+G458*160+H458*0+I458*100+J458*300)/(122.58+297.941+89.177+40.302+0+40+160+100+300)</f>
        <v>20.328092051652177</v>
      </c>
      <c r="AC458" s="45">
        <f>(M458*'RAP TEMPLATE-GAS AVAILABILITY'!O457+N458*'RAP TEMPLATE-GAS AVAILABILITY'!P457+O458*'RAP TEMPLATE-GAS AVAILABILITY'!Q457+P458*'RAP TEMPLATE-GAS AVAILABILITY'!R457)/('RAP TEMPLATE-GAS AVAILABILITY'!O457+'RAP TEMPLATE-GAS AVAILABILITY'!P457+'RAP TEMPLATE-GAS AVAILABILITY'!Q457+'RAP TEMPLATE-GAS AVAILABILITY'!R457)</f>
        <v>20.166763309352518</v>
      </c>
    </row>
    <row r="459" spans="1:29" ht="15.75" x14ac:dyDescent="0.25">
      <c r="A459" s="33">
        <v>54878</v>
      </c>
      <c r="B459" s="14">
        <f>CHOOSE(CONTROL!$C$42, 19.7383, 19.7383) * CHOOSE(CONTROL!$C$21, $C$9, 100%, $E$9)</f>
        <v>19.738299999999999</v>
      </c>
      <c r="C459" s="14">
        <f>CHOOSE(CONTROL!$C$42, 19.7433, 19.7433) * CHOOSE(CONTROL!$C$21, $C$9, 100%, $E$9)</f>
        <v>19.743300000000001</v>
      </c>
      <c r="D459" s="14">
        <f>CHOOSE(CONTROL!$C$42, 19.8076, 19.8076) * CHOOSE(CONTROL!$C$21, $C$9, 100%, $E$9)</f>
        <v>19.807600000000001</v>
      </c>
      <c r="E459" s="14">
        <f>CHOOSE(CONTROL!$C$42, 19.8413, 19.8413) * CHOOSE(CONTROL!$C$21, $C$9, 100%, $E$9)</f>
        <v>19.8413</v>
      </c>
      <c r="F459" s="14">
        <f>CHOOSE(CONTROL!$C$42, 19.7396, 19.7396)*CHOOSE(CONTROL!$C$21, $C$9, 100%, $E$9)</f>
        <v>19.739599999999999</v>
      </c>
      <c r="G459" s="14">
        <f>CHOOSE(CONTROL!$C$42, 19.7554, 19.7554)*CHOOSE(CONTROL!$C$21, $C$9, 100%, $E$9)</f>
        <v>19.755400000000002</v>
      </c>
      <c r="H459" s="14">
        <f>CHOOSE(CONTROL!$C$42, 19.8305, 19.8305) * CHOOSE(CONTROL!$C$21, $C$9, 100%, $E$9)</f>
        <v>19.830500000000001</v>
      </c>
      <c r="I459" s="14">
        <f>CHOOSE(CONTROL!$C$42, 19.7583, 19.7583)* CHOOSE(CONTROL!$C$21, $C$9, 100%, $E$9)</f>
        <v>19.758299999999998</v>
      </c>
      <c r="J459" s="14">
        <f>CHOOSE(CONTROL!$C$42, 19.7326, 19.7326)* CHOOSE(CONTROL!$C$21, $C$9, 100%, $E$9)</f>
        <v>19.732600000000001</v>
      </c>
      <c r="K459" s="53">
        <f>CHOOSE(CONTROL!$C$42, 19.7544, 19.7544) * CHOOSE(CONTROL!$C$21, $C$9, 100%, $E$9)</f>
        <v>19.7544</v>
      </c>
      <c r="L459" s="14">
        <f>CHOOSE(CONTROL!$C$42, 20.4175, 20.4175) * CHOOSE(CONTROL!$C$21, $C$9, 100%, $E$9)</f>
        <v>20.4175</v>
      </c>
      <c r="M459" s="14">
        <f>CHOOSE(CONTROL!$C$42, 19.5473, 19.5473) * CHOOSE(CONTROL!$C$21, $C$9, 100%, $E$9)</f>
        <v>19.5473</v>
      </c>
      <c r="N459" s="14">
        <f>CHOOSE(CONTROL!$C$42, 19.563, 19.563) * CHOOSE(CONTROL!$C$21, $C$9, 100%, $E$9)</f>
        <v>19.562999999999999</v>
      </c>
      <c r="O459" s="14">
        <f>CHOOSE(CONTROL!$C$42, 19.6442, 19.6442) * CHOOSE(CONTROL!$C$21, $C$9, 100%, $E$9)</f>
        <v>19.644200000000001</v>
      </c>
      <c r="P459" s="14">
        <f>CHOOSE(CONTROL!$C$42, 19.5728, 19.5728) * CHOOSE(CONTROL!$C$21, $C$9, 100%, $E$9)</f>
        <v>19.572800000000001</v>
      </c>
      <c r="Q459" s="14">
        <f>CHOOSE(CONTROL!$C$42, 20.2395, 20.2395) * CHOOSE(CONTROL!$C$21, $C$9, 100%, $E$9)</f>
        <v>20.2395</v>
      </c>
      <c r="R459" s="14">
        <f>CHOOSE(CONTROL!$C$42, 20.8771, 20.8771) * CHOOSE(CONTROL!$C$21, $C$9, 100%, $E$9)</f>
        <v>20.877099999999999</v>
      </c>
      <c r="S459" s="14">
        <f>CHOOSE(CONTROL!$C$42, 19.1658, 19.1658) * CHOOSE(CONTROL!$C$21, $C$9, 100%, $E$9)</f>
        <v>19.165800000000001</v>
      </c>
      <c r="T45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59" s="57">
        <f>(1000*CHOOSE(CONTROL!$C$42, 695, 695)*CHOOSE(CONTROL!$C$42, 0.5599, 0.5599)*CHOOSE(CONTROL!$C$42, 31, 31))/1000000</f>
        <v>12.063045499999998</v>
      </c>
      <c r="V459" s="57">
        <f>(1000*CHOOSE(CONTROL!$C$42, 500, 500)*CHOOSE(CONTROL!$C$42, 0.275, 0.275)*CHOOSE(CONTROL!$C$42, 31, 31))/1000000</f>
        <v>4.2625000000000002</v>
      </c>
      <c r="W459" s="57">
        <f>(1000*CHOOSE(CONTROL!$C$42, 0.1146, 0.1146)*CHOOSE(CONTROL!$C$42, 121.5, 121.5)*CHOOSE(CONTROL!$C$42, 31, 31))/1000000</f>
        <v>0.43164089999999994</v>
      </c>
      <c r="X459" s="57">
        <f>(31*0.1790888*100000/1000000)+(31*0.2374*100000/1000000)</f>
        <v>1.2911152800000001</v>
      </c>
      <c r="Y459" s="57"/>
      <c r="Z459" s="14"/>
      <c r="AA459" s="56"/>
      <c r="AB459" s="50">
        <f>(B459*122.58+C459*297.941+D459*89.177+E459*40.302+F459*40+G459*160+H459*0+I459*100+J459*300)/(122.58+297.941+89.177+40.302+0+40+160+100+300)</f>
        <v>19.751255458347828</v>
      </c>
      <c r="AC459" s="45">
        <f>(M459*'RAP TEMPLATE-GAS AVAILABILITY'!O458+N459*'RAP TEMPLATE-GAS AVAILABILITY'!P458+O459*'RAP TEMPLATE-GAS AVAILABILITY'!Q458+P459*'RAP TEMPLATE-GAS AVAILABILITY'!R458)/('RAP TEMPLATE-GAS AVAILABILITY'!O458+'RAP TEMPLATE-GAS AVAILABILITY'!P458+'RAP TEMPLATE-GAS AVAILABILITY'!Q458+'RAP TEMPLATE-GAS AVAILABILITY'!R458)</f>
        <v>19.595791366906475</v>
      </c>
    </row>
    <row r="460" spans="1:29" ht="15.75" x14ac:dyDescent="0.25">
      <c r="A460" s="33">
        <v>54908</v>
      </c>
      <c r="B460" s="14">
        <f>CHOOSE(CONTROL!$C$42, 19.6804, 19.6804) * CHOOSE(CONTROL!$C$21, $C$9, 100%, $E$9)</f>
        <v>19.680399999999999</v>
      </c>
      <c r="C460" s="14">
        <f>CHOOSE(CONTROL!$C$42, 19.6848, 19.6848) * CHOOSE(CONTROL!$C$21, $C$9, 100%, $E$9)</f>
        <v>19.684799999999999</v>
      </c>
      <c r="D460" s="14">
        <f>CHOOSE(CONTROL!$C$42, 19.8855, 19.8855) * CHOOSE(CONTROL!$C$21, $C$9, 100%, $E$9)</f>
        <v>19.8855</v>
      </c>
      <c r="E460" s="14">
        <f>CHOOSE(CONTROL!$C$42, 19.9173, 19.9173) * CHOOSE(CONTROL!$C$21, $C$9, 100%, $E$9)</f>
        <v>19.917300000000001</v>
      </c>
      <c r="F460" s="14">
        <f>CHOOSE(CONTROL!$C$42, 19.665, 19.665)*CHOOSE(CONTROL!$C$21, $C$9, 100%, $E$9)</f>
        <v>19.664999999999999</v>
      </c>
      <c r="G460" s="14">
        <f>CHOOSE(CONTROL!$C$42, 19.6806, 19.6806)*CHOOSE(CONTROL!$C$21, $C$9, 100%, $E$9)</f>
        <v>19.680599999999998</v>
      </c>
      <c r="H460" s="14">
        <f>CHOOSE(CONTROL!$C$42, 19.9071, 19.9071) * CHOOSE(CONTROL!$C$21, $C$9, 100%, $E$9)</f>
        <v>19.9071</v>
      </c>
      <c r="I460" s="14">
        <f>CHOOSE(CONTROL!$C$42, 19.6932, 19.6932)* CHOOSE(CONTROL!$C$21, $C$9, 100%, $E$9)</f>
        <v>19.693200000000001</v>
      </c>
      <c r="J460" s="14">
        <f>CHOOSE(CONTROL!$C$42, 19.658, 19.658)* CHOOSE(CONTROL!$C$21, $C$9, 100%, $E$9)</f>
        <v>19.658000000000001</v>
      </c>
      <c r="K460" s="53">
        <f>CHOOSE(CONTROL!$C$42, 19.6893, 19.6893) * CHOOSE(CONTROL!$C$21, $C$9, 100%, $E$9)</f>
        <v>19.689299999999999</v>
      </c>
      <c r="L460" s="14">
        <f>CHOOSE(CONTROL!$C$42, 20.4941, 20.4941) * CHOOSE(CONTROL!$C$21, $C$9, 100%, $E$9)</f>
        <v>20.4941</v>
      </c>
      <c r="M460" s="14">
        <f>CHOOSE(CONTROL!$C$42, 19.4734, 19.4734) * CHOOSE(CONTROL!$C$21, $C$9, 100%, $E$9)</f>
        <v>19.473400000000002</v>
      </c>
      <c r="N460" s="14">
        <f>CHOOSE(CONTROL!$C$42, 19.4889, 19.4889) * CHOOSE(CONTROL!$C$21, $C$9, 100%, $E$9)</f>
        <v>19.488900000000001</v>
      </c>
      <c r="O460" s="14">
        <f>CHOOSE(CONTROL!$C$42, 19.72, 19.72) * CHOOSE(CONTROL!$C$21, $C$9, 100%, $E$9)</f>
        <v>19.72</v>
      </c>
      <c r="P460" s="14">
        <f>CHOOSE(CONTROL!$C$42, 19.5083, 19.5083) * CHOOSE(CONTROL!$C$21, $C$9, 100%, $E$9)</f>
        <v>19.508299999999998</v>
      </c>
      <c r="Q460" s="14">
        <f>CHOOSE(CONTROL!$C$42, 20.3153, 20.3153) * CHOOSE(CONTROL!$C$21, $C$9, 100%, $E$9)</f>
        <v>20.315300000000001</v>
      </c>
      <c r="R460" s="14">
        <f>CHOOSE(CONTROL!$C$42, 20.9531, 20.9531) * CHOOSE(CONTROL!$C$21, $C$9, 100%, $E$9)</f>
        <v>20.953099999999999</v>
      </c>
      <c r="S460" s="14">
        <f>CHOOSE(CONTROL!$C$42, 19.1088, 19.1088) * CHOOSE(CONTROL!$C$21, $C$9, 100%, $E$9)</f>
        <v>19.108799999999999</v>
      </c>
      <c r="T46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60" s="57">
        <f>(1000*CHOOSE(CONTROL!$C$42, 695, 695)*CHOOSE(CONTROL!$C$42, 0.5599, 0.5599)*CHOOSE(CONTROL!$C$42, 30, 30))/1000000</f>
        <v>11.673914999999997</v>
      </c>
      <c r="V460" s="57">
        <f>(1000*CHOOSE(CONTROL!$C$42, 500, 500)*CHOOSE(CONTROL!$C$42, 0.275, 0.275)*CHOOSE(CONTROL!$C$42, 30, 30))/1000000</f>
        <v>4.125</v>
      </c>
      <c r="W460" s="57">
        <f>(1000*CHOOSE(CONTROL!$C$42, 0.1146, 0.1146)*CHOOSE(CONTROL!$C$42, 121.5, 121.5)*CHOOSE(CONTROL!$C$42, 30, 30))/1000000</f>
        <v>0.417717</v>
      </c>
      <c r="X460" s="57">
        <f>(30*0.1790888*245000/1000000)+(30*0.2374*100000/1000000)</f>
        <v>2.0285026799999999</v>
      </c>
      <c r="Y460" s="57"/>
      <c r="Z460" s="14"/>
      <c r="AA460" s="56"/>
      <c r="AB460" s="50">
        <f>(B460*141.293+C460*267.993+D460*115.016+E460*89.698+F460*40+G460*185+H460*0+I460*100+J460*300)/(141.293+267.993+115.016+89.698+0+40+185+100+300)</f>
        <v>19.712683621468926</v>
      </c>
      <c r="AC460" s="45">
        <f>(M460*'RAP TEMPLATE-GAS AVAILABILITY'!O459+N460*'RAP TEMPLATE-GAS AVAILABILITY'!P459+O460*'RAP TEMPLATE-GAS AVAILABILITY'!Q459+P460*'RAP TEMPLATE-GAS AVAILABILITY'!R459)/('RAP TEMPLATE-GAS AVAILABILITY'!O459+'RAP TEMPLATE-GAS AVAILABILITY'!P459+'RAP TEMPLATE-GAS AVAILABILITY'!Q459+'RAP TEMPLATE-GAS AVAILABILITY'!R459)</f>
        <v>19.551179856115109</v>
      </c>
    </row>
    <row r="461" spans="1:29" ht="15.75" x14ac:dyDescent="0.25">
      <c r="A461" s="33">
        <v>54939</v>
      </c>
      <c r="B461" s="14">
        <f>CHOOSE(CONTROL!$C$42, 19.8555, 19.8555) * CHOOSE(CONTROL!$C$21, $C$9, 100%, $E$9)</f>
        <v>19.855499999999999</v>
      </c>
      <c r="C461" s="14">
        <f>CHOOSE(CONTROL!$C$42, 19.8634, 19.8634) * CHOOSE(CONTROL!$C$21, $C$9, 100%, $E$9)</f>
        <v>19.863399999999999</v>
      </c>
      <c r="D461" s="14">
        <f>CHOOSE(CONTROL!$C$42, 20.061, 20.061) * CHOOSE(CONTROL!$C$21, $C$9, 100%, $E$9)</f>
        <v>20.061</v>
      </c>
      <c r="E461" s="14">
        <f>CHOOSE(CONTROL!$C$42, 20.0921, 20.0921) * CHOOSE(CONTROL!$C$21, $C$9, 100%, $E$9)</f>
        <v>20.092099999999999</v>
      </c>
      <c r="F461" s="14">
        <f>CHOOSE(CONTROL!$C$42, 19.8389, 19.8389)*CHOOSE(CONTROL!$C$21, $C$9, 100%, $E$9)</f>
        <v>19.838899999999999</v>
      </c>
      <c r="G461" s="14">
        <f>CHOOSE(CONTROL!$C$42, 19.855, 19.855)*CHOOSE(CONTROL!$C$21, $C$9, 100%, $E$9)</f>
        <v>19.855</v>
      </c>
      <c r="H461" s="14">
        <f>CHOOSE(CONTROL!$C$42, 20.0807, 20.0807) * CHOOSE(CONTROL!$C$21, $C$9, 100%, $E$9)</f>
        <v>20.0807</v>
      </c>
      <c r="I461" s="14">
        <f>CHOOSE(CONTROL!$C$42, 19.8668, 19.8668)* CHOOSE(CONTROL!$C$21, $C$9, 100%, $E$9)</f>
        <v>19.866800000000001</v>
      </c>
      <c r="J461" s="14">
        <f>CHOOSE(CONTROL!$C$42, 19.8319, 19.8319)* CHOOSE(CONTROL!$C$21, $C$9, 100%, $E$9)</f>
        <v>19.831900000000001</v>
      </c>
      <c r="K461" s="53">
        <f>CHOOSE(CONTROL!$C$42, 19.8629, 19.8629) * CHOOSE(CONTROL!$C$21, $C$9, 100%, $E$9)</f>
        <v>19.8629</v>
      </c>
      <c r="L461" s="14">
        <f>CHOOSE(CONTROL!$C$42, 20.6677, 20.6677) * CHOOSE(CONTROL!$C$21, $C$9, 100%, $E$9)</f>
        <v>20.6677</v>
      </c>
      <c r="M461" s="14">
        <f>CHOOSE(CONTROL!$C$42, 19.6456, 19.6456) * CHOOSE(CONTROL!$C$21, $C$9, 100%, $E$9)</f>
        <v>19.645600000000002</v>
      </c>
      <c r="N461" s="14">
        <f>CHOOSE(CONTROL!$C$42, 19.6615, 19.6615) * CHOOSE(CONTROL!$C$21, $C$9, 100%, $E$9)</f>
        <v>19.6615</v>
      </c>
      <c r="O461" s="14">
        <f>CHOOSE(CONTROL!$C$42, 19.8919, 19.8919) * CHOOSE(CONTROL!$C$21, $C$9, 100%, $E$9)</f>
        <v>19.8919</v>
      </c>
      <c r="P461" s="14">
        <f>CHOOSE(CONTROL!$C$42, 19.6802, 19.6802) * CHOOSE(CONTROL!$C$21, $C$9, 100%, $E$9)</f>
        <v>19.680199999999999</v>
      </c>
      <c r="Q461" s="14">
        <f>CHOOSE(CONTROL!$C$42, 20.4872, 20.4872) * CHOOSE(CONTROL!$C$21, $C$9, 100%, $E$9)</f>
        <v>20.487200000000001</v>
      </c>
      <c r="R461" s="14">
        <f>CHOOSE(CONTROL!$C$42, 21.1254, 21.1254) * CHOOSE(CONTROL!$C$21, $C$9, 100%, $E$9)</f>
        <v>21.125399999999999</v>
      </c>
      <c r="S461" s="14">
        <f>CHOOSE(CONTROL!$C$42, 19.2774, 19.2774) * CHOOSE(CONTROL!$C$21, $C$9, 100%, $E$9)</f>
        <v>19.2774</v>
      </c>
      <c r="T46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61" s="57">
        <f>(1000*CHOOSE(CONTROL!$C$42, 695, 695)*CHOOSE(CONTROL!$C$42, 0.5599, 0.5599)*CHOOSE(CONTROL!$C$42, 31, 31))/1000000</f>
        <v>12.063045499999998</v>
      </c>
      <c r="V461" s="57">
        <f>(1000*CHOOSE(CONTROL!$C$42, 500, 500)*CHOOSE(CONTROL!$C$42, 0.275, 0.275)*CHOOSE(CONTROL!$C$42, 31, 31))/1000000</f>
        <v>4.2625000000000002</v>
      </c>
      <c r="W461" s="57">
        <f>(1000*CHOOSE(CONTROL!$C$42, 0.1146, 0.1146)*CHOOSE(CONTROL!$C$42, 121.5, 121.5)*CHOOSE(CONTROL!$C$42, 31, 31))/1000000</f>
        <v>0.43164089999999994</v>
      </c>
      <c r="X461" s="57">
        <f>(31*0.1790888*245000/1000000)+(31*0.2374*100000/1000000)</f>
        <v>2.0961194359999999</v>
      </c>
      <c r="Y461" s="57"/>
      <c r="Z461" s="14"/>
      <c r="AA461" s="56"/>
      <c r="AB461" s="50">
        <f>(B461*194.205+C461*267.466+D461*133.845+E461*53.484+F461*40+G461*185+H461*0+I461*100+J461*300)/(194.205+267.466+133.845+53.484+0+40+185+100+300)</f>
        <v>19.883416752982733</v>
      </c>
      <c r="AC461" s="45">
        <f>(M461*'RAP TEMPLATE-GAS AVAILABILITY'!O460+N461*'RAP TEMPLATE-GAS AVAILABILITY'!P460+O461*'RAP TEMPLATE-GAS AVAILABILITY'!Q460+P461*'RAP TEMPLATE-GAS AVAILABILITY'!R460)/('RAP TEMPLATE-GAS AVAILABILITY'!O460+'RAP TEMPLATE-GAS AVAILABILITY'!P460+'RAP TEMPLATE-GAS AVAILABILITY'!Q460+'RAP TEMPLATE-GAS AVAILABILITY'!R460)</f>
        <v>19.723344604316548</v>
      </c>
    </row>
    <row r="462" spans="1:29" ht="15.75" x14ac:dyDescent="0.25">
      <c r="A462" s="33">
        <v>54969</v>
      </c>
      <c r="B462" s="14">
        <f>CHOOSE(CONTROL!$C$42, 20.4185, 20.4185) * CHOOSE(CONTROL!$C$21, $C$9, 100%, $E$9)</f>
        <v>20.418500000000002</v>
      </c>
      <c r="C462" s="14">
        <f>CHOOSE(CONTROL!$C$42, 20.4265, 20.4265) * CHOOSE(CONTROL!$C$21, $C$9, 100%, $E$9)</f>
        <v>20.426500000000001</v>
      </c>
      <c r="D462" s="14">
        <f>CHOOSE(CONTROL!$C$42, 20.624, 20.624) * CHOOSE(CONTROL!$C$21, $C$9, 100%, $E$9)</f>
        <v>20.623999999999999</v>
      </c>
      <c r="E462" s="14">
        <f>CHOOSE(CONTROL!$C$42, 20.6552, 20.6552) * CHOOSE(CONTROL!$C$21, $C$9, 100%, $E$9)</f>
        <v>20.655200000000001</v>
      </c>
      <c r="F462" s="14">
        <f>CHOOSE(CONTROL!$C$42, 20.4024, 20.4024)*CHOOSE(CONTROL!$C$21, $C$9, 100%, $E$9)</f>
        <v>20.4024</v>
      </c>
      <c r="G462" s="14">
        <f>CHOOSE(CONTROL!$C$42, 20.4186, 20.4186)*CHOOSE(CONTROL!$C$21, $C$9, 100%, $E$9)</f>
        <v>20.418600000000001</v>
      </c>
      <c r="H462" s="14">
        <f>CHOOSE(CONTROL!$C$42, 20.6438, 20.6438) * CHOOSE(CONTROL!$C$21, $C$9, 100%, $E$9)</f>
        <v>20.643799999999999</v>
      </c>
      <c r="I462" s="14">
        <f>CHOOSE(CONTROL!$C$42, 20.4299, 20.4299)* CHOOSE(CONTROL!$C$21, $C$9, 100%, $E$9)</f>
        <v>20.4299</v>
      </c>
      <c r="J462" s="14">
        <f>CHOOSE(CONTROL!$C$42, 20.3954, 20.3954)* CHOOSE(CONTROL!$C$21, $C$9, 100%, $E$9)</f>
        <v>20.395399999999999</v>
      </c>
      <c r="K462" s="53">
        <f>CHOOSE(CONTROL!$C$42, 20.426, 20.426) * CHOOSE(CONTROL!$C$21, $C$9, 100%, $E$9)</f>
        <v>20.425999999999998</v>
      </c>
      <c r="L462" s="14">
        <f>CHOOSE(CONTROL!$C$42, 21.2308, 21.2308) * CHOOSE(CONTROL!$C$21, $C$9, 100%, $E$9)</f>
        <v>21.230799999999999</v>
      </c>
      <c r="M462" s="14">
        <f>CHOOSE(CONTROL!$C$42, 20.2034, 20.2034) * CHOOSE(CONTROL!$C$21, $C$9, 100%, $E$9)</f>
        <v>20.203399999999998</v>
      </c>
      <c r="N462" s="14">
        <f>CHOOSE(CONTROL!$C$42, 20.2194, 20.2194) * CHOOSE(CONTROL!$C$21, $C$9, 100%, $E$9)</f>
        <v>20.2194</v>
      </c>
      <c r="O462" s="14">
        <f>CHOOSE(CONTROL!$C$42, 20.4493, 20.4493) * CHOOSE(CONTROL!$C$21, $C$9, 100%, $E$9)</f>
        <v>20.449300000000001</v>
      </c>
      <c r="P462" s="14">
        <f>CHOOSE(CONTROL!$C$42, 20.2376, 20.2376) * CHOOSE(CONTROL!$C$21, $C$9, 100%, $E$9)</f>
        <v>20.2376</v>
      </c>
      <c r="Q462" s="14">
        <f>CHOOSE(CONTROL!$C$42, 21.0446, 21.0446) * CHOOSE(CONTROL!$C$21, $C$9, 100%, $E$9)</f>
        <v>21.044599999999999</v>
      </c>
      <c r="R462" s="14">
        <f>CHOOSE(CONTROL!$C$42, 21.6842, 21.6842) * CHOOSE(CONTROL!$C$21, $C$9, 100%, $E$9)</f>
        <v>21.684200000000001</v>
      </c>
      <c r="S462" s="14">
        <f>CHOOSE(CONTROL!$C$42, 19.8242, 19.8242) * CHOOSE(CONTROL!$C$21, $C$9, 100%, $E$9)</f>
        <v>19.824200000000001</v>
      </c>
      <c r="T46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62" s="57">
        <f>(1000*CHOOSE(CONTROL!$C$42, 695, 695)*CHOOSE(CONTROL!$C$42, 0.5599, 0.5599)*CHOOSE(CONTROL!$C$42, 30, 30))/1000000</f>
        <v>11.673914999999997</v>
      </c>
      <c r="V462" s="57">
        <f>(1000*CHOOSE(CONTROL!$C$42, 500, 500)*CHOOSE(CONTROL!$C$42, 0.275, 0.275)*CHOOSE(CONTROL!$C$42, 30, 30))/1000000</f>
        <v>4.125</v>
      </c>
      <c r="W462" s="57">
        <f>(1000*CHOOSE(CONTROL!$C$42, 0.1146, 0.1146)*CHOOSE(CONTROL!$C$42, 121.5, 121.5)*CHOOSE(CONTROL!$C$42, 30, 30))/1000000</f>
        <v>0.417717</v>
      </c>
      <c r="X462" s="57">
        <f>(30*0.1790888*245000/1000000)+(30*0.2374*100000/1000000)</f>
        <v>2.0285026799999999</v>
      </c>
      <c r="Y462" s="57"/>
      <c r="Z462" s="14"/>
      <c r="AA462" s="56"/>
      <c r="AB462" s="50">
        <f>(B462*194.205+C462*267.466+D462*133.845+E462*53.484+F462*40+G462*185+H462*0+I462*100+J462*300)/(194.205+267.466+133.845+53.484+0+40+185+100+300)</f>
        <v>20.446670359733126</v>
      </c>
      <c r="AC462" s="45">
        <f>(M462*'RAP TEMPLATE-GAS AVAILABILITY'!O461+N462*'RAP TEMPLATE-GAS AVAILABILITY'!P461+O462*'RAP TEMPLATE-GAS AVAILABILITY'!Q461+P462*'RAP TEMPLATE-GAS AVAILABILITY'!R461)/('RAP TEMPLATE-GAS AVAILABILITY'!O461+'RAP TEMPLATE-GAS AVAILABILITY'!P461+'RAP TEMPLATE-GAS AVAILABILITY'!Q461+'RAP TEMPLATE-GAS AVAILABILITY'!R461)</f>
        <v>20.28099784172662</v>
      </c>
    </row>
    <row r="463" spans="1:29" ht="15.75" x14ac:dyDescent="0.25">
      <c r="A463" s="33">
        <v>55000</v>
      </c>
      <c r="B463" s="14">
        <f>CHOOSE(CONTROL!$C$42, 20.0269, 20.0269) * CHOOSE(CONTROL!$C$21, $C$9, 100%, $E$9)</f>
        <v>20.026900000000001</v>
      </c>
      <c r="C463" s="14">
        <f>CHOOSE(CONTROL!$C$42, 20.0348, 20.0348) * CHOOSE(CONTROL!$C$21, $C$9, 100%, $E$9)</f>
        <v>20.034800000000001</v>
      </c>
      <c r="D463" s="14">
        <f>CHOOSE(CONTROL!$C$42, 20.2324, 20.2324) * CHOOSE(CONTROL!$C$21, $C$9, 100%, $E$9)</f>
        <v>20.232399999999998</v>
      </c>
      <c r="E463" s="14">
        <f>CHOOSE(CONTROL!$C$42, 20.2636, 20.2636) * CHOOSE(CONTROL!$C$21, $C$9, 100%, $E$9)</f>
        <v>20.2636</v>
      </c>
      <c r="F463" s="14">
        <f>CHOOSE(CONTROL!$C$42, 20.0112, 20.0112)*CHOOSE(CONTROL!$C$21, $C$9, 100%, $E$9)</f>
        <v>20.011199999999999</v>
      </c>
      <c r="G463" s="14">
        <f>CHOOSE(CONTROL!$C$42, 20.0275, 20.0275)*CHOOSE(CONTROL!$C$21, $C$9, 100%, $E$9)</f>
        <v>20.0275</v>
      </c>
      <c r="H463" s="14">
        <f>CHOOSE(CONTROL!$C$42, 20.2522, 20.2522) * CHOOSE(CONTROL!$C$21, $C$9, 100%, $E$9)</f>
        <v>20.252199999999998</v>
      </c>
      <c r="I463" s="14">
        <f>CHOOSE(CONTROL!$C$42, 20.0383, 20.0383)* CHOOSE(CONTROL!$C$21, $C$9, 100%, $E$9)</f>
        <v>20.0383</v>
      </c>
      <c r="J463" s="14">
        <f>CHOOSE(CONTROL!$C$42, 20.0042, 20.0042)* CHOOSE(CONTROL!$C$21, $C$9, 100%, $E$9)</f>
        <v>20.004200000000001</v>
      </c>
      <c r="K463" s="53">
        <f>CHOOSE(CONTROL!$C$42, 20.0344, 20.0344) * CHOOSE(CONTROL!$C$21, $C$9, 100%, $E$9)</f>
        <v>20.034400000000002</v>
      </c>
      <c r="L463" s="14">
        <f>CHOOSE(CONTROL!$C$42, 20.8392, 20.8392) * CHOOSE(CONTROL!$C$21, $C$9, 100%, $E$9)</f>
        <v>20.839200000000002</v>
      </c>
      <c r="M463" s="14">
        <f>CHOOSE(CONTROL!$C$42, 19.8161, 19.8161) * CHOOSE(CONTROL!$C$21, $C$9, 100%, $E$9)</f>
        <v>19.816099999999999</v>
      </c>
      <c r="N463" s="14">
        <f>CHOOSE(CONTROL!$C$42, 19.8323, 19.8323) * CHOOSE(CONTROL!$C$21, $C$9, 100%, $E$9)</f>
        <v>19.8323</v>
      </c>
      <c r="O463" s="14">
        <f>CHOOSE(CONTROL!$C$42, 20.0616, 20.0616) * CHOOSE(CONTROL!$C$21, $C$9, 100%, $E$9)</f>
        <v>20.061599999999999</v>
      </c>
      <c r="P463" s="14">
        <f>CHOOSE(CONTROL!$C$42, 19.8499, 19.8499) * CHOOSE(CONTROL!$C$21, $C$9, 100%, $E$9)</f>
        <v>19.849900000000002</v>
      </c>
      <c r="Q463" s="14">
        <f>CHOOSE(CONTROL!$C$42, 20.6569, 20.6569) * CHOOSE(CONTROL!$C$21, $C$9, 100%, $E$9)</f>
        <v>20.6569</v>
      </c>
      <c r="R463" s="14">
        <f>CHOOSE(CONTROL!$C$42, 21.2956, 21.2956) * CHOOSE(CONTROL!$C$21, $C$9, 100%, $E$9)</f>
        <v>21.2956</v>
      </c>
      <c r="S463" s="14">
        <f>CHOOSE(CONTROL!$C$42, 19.4439, 19.4439) * CHOOSE(CONTROL!$C$21, $C$9, 100%, $E$9)</f>
        <v>19.443899999999999</v>
      </c>
      <c r="T46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63" s="57">
        <f>(1000*CHOOSE(CONTROL!$C$42, 695, 695)*CHOOSE(CONTROL!$C$42, 0.5599, 0.5599)*CHOOSE(CONTROL!$C$42, 31, 31))/1000000</f>
        <v>12.063045499999998</v>
      </c>
      <c r="V463" s="57">
        <f>(1000*CHOOSE(CONTROL!$C$42, 500, 500)*CHOOSE(CONTROL!$C$42, 0.275, 0.275)*CHOOSE(CONTROL!$C$42, 31, 31))/1000000</f>
        <v>4.2625000000000002</v>
      </c>
      <c r="W463" s="57">
        <f>(1000*CHOOSE(CONTROL!$C$42, 0.1146, 0.1146)*CHOOSE(CONTROL!$C$42, 121.5, 121.5)*CHOOSE(CONTROL!$C$42, 31, 31))/1000000</f>
        <v>0.43164089999999994</v>
      </c>
      <c r="X463" s="57">
        <f>(31*0.1790888*245000/1000000)+(31*0.2374*100000/1000000)</f>
        <v>2.0961194359999999</v>
      </c>
      <c r="Y463" s="57"/>
      <c r="Z463" s="14"/>
      <c r="AA463" s="56"/>
      <c r="AB463" s="50">
        <f>(B463*194.205+C463*267.466+D463*133.845+E463*53.484+F463*40+G463*185+H463*0+I463*100+J463*300)/(194.205+267.466+133.845+53.484+0+40+185+100+300)</f>
        <v>20.055228721899532</v>
      </c>
      <c r="AC463" s="45">
        <f>(M463*'RAP TEMPLATE-GAS AVAILABILITY'!O462+N463*'RAP TEMPLATE-GAS AVAILABILITY'!P462+O463*'RAP TEMPLATE-GAS AVAILABILITY'!Q462+P463*'RAP TEMPLATE-GAS AVAILABILITY'!R462)/('RAP TEMPLATE-GAS AVAILABILITY'!O462+'RAP TEMPLATE-GAS AVAILABILITY'!P462+'RAP TEMPLATE-GAS AVAILABILITY'!Q462+'RAP TEMPLATE-GAS AVAILABILITY'!R462)</f>
        <v>19.893574100719423</v>
      </c>
    </row>
    <row r="464" spans="1:29" ht="15.75" x14ac:dyDescent="0.25">
      <c r="A464" s="33">
        <v>55031</v>
      </c>
      <c r="B464" s="14">
        <f>CHOOSE(CONTROL!$C$42, 19.038, 19.038) * CHOOSE(CONTROL!$C$21, $C$9, 100%, $E$9)</f>
        <v>19.038</v>
      </c>
      <c r="C464" s="14">
        <f>CHOOSE(CONTROL!$C$42, 19.0459, 19.0459) * CHOOSE(CONTROL!$C$21, $C$9, 100%, $E$9)</f>
        <v>19.0459</v>
      </c>
      <c r="D464" s="14">
        <f>CHOOSE(CONTROL!$C$42, 19.2435, 19.2435) * CHOOSE(CONTROL!$C$21, $C$9, 100%, $E$9)</f>
        <v>19.243500000000001</v>
      </c>
      <c r="E464" s="14">
        <f>CHOOSE(CONTROL!$C$42, 19.2746, 19.2746) * CHOOSE(CONTROL!$C$21, $C$9, 100%, $E$9)</f>
        <v>19.2746</v>
      </c>
      <c r="F464" s="14">
        <f>CHOOSE(CONTROL!$C$42, 19.0224, 19.0224)*CHOOSE(CONTROL!$C$21, $C$9, 100%, $E$9)</f>
        <v>19.022400000000001</v>
      </c>
      <c r="G464" s="14">
        <f>CHOOSE(CONTROL!$C$42, 19.0388, 19.0388)*CHOOSE(CONTROL!$C$21, $C$9, 100%, $E$9)</f>
        <v>19.038799999999998</v>
      </c>
      <c r="H464" s="14">
        <f>CHOOSE(CONTROL!$C$42, 19.2632, 19.2632) * CHOOSE(CONTROL!$C$21, $C$9, 100%, $E$9)</f>
        <v>19.263200000000001</v>
      </c>
      <c r="I464" s="14">
        <f>CHOOSE(CONTROL!$C$42, 19.0493, 19.0493)* CHOOSE(CONTROL!$C$21, $C$9, 100%, $E$9)</f>
        <v>19.049299999999999</v>
      </c>
      <c r="J464" s="14">
        <f>CHOOSE(CONTROL!$C$42, 19.0154, 19.0154)* CHOOSE(CONTROL!$C$21, $C$9, 100%, $E$9)</f>
        <v>19.0154</v>
      </c>
      <c r="K464" s="53">
        <f>CHOOSE(CONTROL!$C$42, 19.0454, 19.0454) * CHOOSE(CONTROL!$C$21, $C$9, 100%, $E$9)</f>
        <v>19.045400000000001</v>
      </c>
      <c r="L464" s="14">
        <f>CHOOSE(CONTROL!$C$42, 19.8502, 19.8502) * CHOOSE(CONTROL!$C$21, $C$9, 100%, $E$9)</f>
        <v>19.850200000000001</v>
      </c>
      <c r="M464" s="14">
        <f>CHOOSE(CONTROL!$C$42, 18.8373, 18.8373) * CHOOSE(CONTROL!$C$21, $C$9, 100%, $E$9)</f>
        <v>18.837299999999999</v>
      </c>
      <c r="N464" s="14">
        <f>CHOOSE(CONTROL!$C$42, 18.8535, 18.8535) * CHOOSE(CONTROL!$C$21, $C$9, 100%, $E$9)</f>
        <v>18.8535</v>
      </c>
      <c r="O464" s="14">
        <f>CHOOSE(CONTROL!$C$42, 19.0827, 19.0827) * CHOOSE(CONTROL!$C$21, $C$9, 100%, $E$9)</f>
        <v>19.082699999999999</v>
      </c>
      <c r="P464" s="14">
        <f>CHOOSE(CONTROL!$C$42, 18.871, 18.871) * CHOOSE(CONTROL!$C$21, $C$9, 100%, $E$9)</f>
        <v>18.870999999999999</v>
      </c>
      <c r="Q464" s="14">
        <f>CHOOSE(CONTROL!$C$42, 19.678, 19.678) * CHOOSE(CONTROL!$C$21, $C$9, 100%, $E$9)</f>
        <v>19.678000000000001</v>
      </c>
      <c r="R464" s="14">
        <f>CHOOSE(CONTROL!$C$42, 20.3142, 20.3142) * CHOOSE(CONTROL!$C$21, $C$9, 100%, $E$9)</f>
        <v>20.3142</v>
      </c>
      <c r="S464" s="14">
        <f>CHOOSE(CONTROL!$C$42, 18.4835, 18.4835) * CHOOSE(CONTROL!$C$21, $C$9, 100%, $E$9)</f>
        <v>18.483499999999999</v>
      </c>
      <c r="T46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64" s="57">
        <f>(1000*CHOOSE(CONTROL!$C$42, 695, 695)*CHOOSE(CONTROL!$C$42, 0.5599, 0.5599)*CHOOSE(CONTROL!$C$42, 31, 31))/1000000</f>
        <v>12.063045499999998</v>
      </c>
      <c r="V464" s="57">
        <f>(1000*CHOOSE(CONTROL!$C$42, 500, 500)*CHOOSE(CONTROL!$C$42, 0.275, 0.275)*CHOOSE(CONTROL!$C$42, 31, 31))/1000000</f>
        <v>4.2625000000000002</v>
      </c>
      <c r="W464" s="57">
        <f>(1000*CHOOSE(CONTROL!$C$42, 0.1146, 0.1146)*CHOOSE(CONTROL!$C$42, 121.5, 121.5)*CHOOSE(CONTROL!$C$42, 31, 31))/1000000</f>
        <v>0.43164089999999994</v>
      </c>
      <c r="X464" s="57">
        <f>(31*0.1790888*245000/1000000)+(31*0.2374*100000/1000000)</f>
        <v>2.0961194359999999</v>
      </c>
      <c r="Y464" s="57"/>
      <c r="Z464" s="14"/>
      <c r="AA464" s="56"/>
      <c r="AB464" s="50">
        <f>(B464*194.205+C464*267.466+D464*133.845+E464*53.484+F464*40+G464*185+H464*0+I464*100+J464*300)/(194.205+267.466+133.845+53.484+0+40+185+100+300)</f>
        <v>19.066372404474098</v>
      </c>
      <c r="AC464" s="45">
        <f>(M464*'RAP TEMPLATE-GAS AVAILABILITY'!O463+N464*'RAP TEMPLATE-GAS AVAILABILITY'!P463+O464*'RAP TEMPLATE-GAS AVAILABILITY'!Q463+P464*'RAP TEMPLATE-GAS AVAILABILITY'!R463)/('RAP TEMPLATE-GAS AVAILABILITY'!O463+'RAP TEMPLATE-GAS AVAILABILITY'!P463+'RAP TEMPLATE-GAS AVAILABILITY'!Q463+'RAP TEMPLATE-GAS AVAILABILITY'!R463)</f>
        <v>18.91473165467626</v>
      </c>
    </row>
    <row r="465" spans="1:29" ht="15.75" x14ac:dyDescent="0.25">
      <c r="A465" s="33">
        <v>55061</v>
      </c>
      <c r="B465" s="14">
        <f>CHOOSE(CONTROL!$C$42, 17.8292, 17.8292) * CHOOSE(CONTROL!$C$21, $C$9, 100%, $E$9)</f>
        <v>17.8292</v>
      </c>
      <c r="C465" s="14">
        <f>CHOOSE(CONTROL!$C$42, 17.8372, 17.8372) * CHOOSE(CONTROL!$C$21, $C$9, 100%, $E$9)</f>
        <v>17.837199999999999</v>
      </c>
      <c r="D465" s="14">
        <f>CHOOSE(CONTROL!$C$42, 18.0347, 18.0347) * CHOOSE(CONTROL!$C$21, $C$9, 100%, $E$9)</f>
        <v>18.034700000000001</v>
      </c>
      <c r="E465" s="14">
        <f>CHOOSE(CONTROL!$C$42, 18.0659, 18.0659) * CHOOSE(CONTROL!$C$21, $C$9, 100%, $E$9)</f>
        <v>18.065899999999999</v>
      </c>
      <c r="F465" s="14">
        <f>CHOOSE(CONTROL!$C$42, 17.8136, 17.8136)*CHOOSE(CONTROL!$C$21, $C$9, 100%, $E$9)</f>
        <v>17.813600000000001</v>
      </c>
      <c r="G465" s="14">
        <f>CHOOSE(CONTROL!$C$42, 17.83, 17.83)*CHOOSE(CONTROL!$C$21, $C$9, 100%, $E$9)</f>
        <v>17.829999999999998</v>
      </c>
      <c r="H465" s="14">
        <f>CHOOSE(CONTROL!$C$42, 18.0545, 18.0545) * CHOOSE(CONTROL!$C$21, $C$9, 100%, $E$9)</f>
        <v>18.054500000000001</v>
      </c>
      <c r="I465" s="14">
        <f>CHOOSE(CONTROL!$C$42, 17.8406, 17.8406)* CHOOSE(CONTROL!$C$21, $C$9, 100%, $E$9)</f>
        <v>17.840599999999998</v>
      </c>
      <c r="J465" s="14">
        <f>CHOOSE(CONTROL!$C$42, 17.8066, 17.8066)* CHOOSE(CONTROL!$C$21, $C$9, 100%, $E$9)</f>
        <v>17.8066</v>
      </c>
      <c r="K465" s="53">
        <f>CHOOSE(CONTROL!$C$42, 17.8367, 17.8367) * CHOOSE(CONTROL!$C$21, $C$9, 100%, $E$9)</f>
        <v>17.8367</v>
      </c>
      <c r="L465" s="14">
        <f>CHOOSE(CONTROL!$C$42, 18.6415, 18.6415) * CHOOSE(CONTROL!$C$21, $C$9, 100%, $E$9)</f>
        <v>18.641500000000001</v>
      </c>
      <c r="M465" s="14">
        <f>CHOOSE(CONTROL!$C$42, 17.6407, 17.6407) * CHOOSE(CONTROL!$C$21, $C$9, 100%, $E$9)</f>
        <v>17.640699999999999</v>
      </c>
      <c r="N465" s="14">
        <f>CHOOSE(CONTROL!$C$42, 17.6569, 17.6569) * CHOOSE(CONTROL!$C$21, $C$9, 100%, $E$9)</f>
        <v>17.6569</v>
      </c>
      <c r="O465" s="14">
        <f>CHOOSE(CONTROL!$C$42, 17.8861, 17.8861) * CHOOSE(CONTROL!$C$21, $C$9, 100%, $E$9)</f>
        <v>17.886099999999999</v>
      </c>
      <c r="P465" s="14">
        <f>CHOOSE(CONTROL!$C$42, 17.6744, 17.6744) * CHOOSE(CONTROL!$C$21, $C$9, 100%, $E$9)</f>
        <v>17.674399999999999</v>
      </c>
      <c r="Q465" s="14">
        <f>CHOOSE(CONTROL!$C$42, 18.4814, 18.4814) * CHOOSE(CONTROL!$C$21, $C$9, 100%, $E$9)</f>
        <v>18.481400000000001</v>
      </c>
      <c r="R465" s="14">
        <f>CHOOSE(CONTROL!$C$42, 19.1146, 19.1146) * CHOOSE(CONTROL!$C$21, $C$9, 100%, $E$9)</f>
        <v>19.114599999999999</v>
      </c>
      <c r="S465" s="14">
        <f>CHOOSE(CONTROL!$C$42, 17.3097, 17.3097) * CHOOSE(CONTROL!$C$21, $C$9, 100%, $E$9)</f>
        <v>17.309699999999999</v>
      </c>
      <c r="T46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65" s="57">
        <f>(1000*CHOOSE(CONTROL!$C$42, 695, 695)*CHOOSE(CONTROL!$C$42, 0.5599, 0.5599)*CHOOSE(CONTROL!$C$42, 30, 30))/1000000</f>
        <v>11.673914999999997</v>
      </c>
      <c r="V465" s="57">
        <f>(1000*CHOOSE(CONTROL!$C$42, 500, 500)*CHOOSE(CONTROL!$C$42, 0.275, 0.275)*CHOOSE(CONTROL!$C$42, 30, 30))/1000000</f>
        <v>4.125</v>
      </c>
      <c r="W465" s="57">
        <f>(1000*CHOOSE(CONTROL!$C$42, 0.1146, 0.1146)*CHOOSE(CONTROL!$C$42, 121.5, 121.5)*CHOOSE(CONTROL!$C$42, 30, 30))/1000000</f>
        <v>0.417717</v>
      </c>
      <c r="X465" s="57">
        <f>(30*0.1790888*245000/1000000)+(30*0.2374*100000/1000000)</f>
        <v>2.0285026799999999</v>
      </c>
      <c r="Y465" s="57"/>
      <c r="Z465" s="14"/>
      <c r="AA465" s="56"/>
      <c r="AB465" s="50">
        <f>(B465*194.205+C465*267.466+D465*133.845+E465*53.484+F465*40+G465*185+H465*0+I465*100+J465*300)/(194.205+267.466+133.845+53.484+0+40+185+100+300)</f>
        <v>17.857605446075354</v>
      </c>
      <c r="AC465" s="45">
        <f>(M465*'RAP TEMPLATE-GAS AVAILABILITY'!O464+N465*'RAP TEMPLATE-GAS AVAILABILITY'!P464+O465*'RAP TEMPLATE-GAS AVAILABILITY'!Q464+P465*'RAP TEMPLATE-GAS AVAILABILITY'!R464)/('RAP TEMPLATE-GAS AVAILABILITY'!O464+'RAP TEMPLATE-GAS AVAILABILITY'!P464+'RAP TEMPLATE-GAS AVAILABILITY'!Q464+'RAP TEMPLATE-GAS AVAILABILITY'!R464)</f>
        <v>17.71813165467626</v>
      </c>
    </row>
    <row r="466" spans="1:29" ht="15.75" x14ac:dyDescent="0.25">
      <c r="A466" s="33">
        <v>55092</v>
      </c>
      <c r="B466" s="14">
        <f>CHOOSE(CONTROL!$C$42, 17.4656, 17.4656) * CHOOSE(CONTROL!$C$21, $C$9, 100%, $E$9)</f>
        <v>17.465599999999998</v>
      </c>
      <c r="C466" s="14">
        <f>CHOOSE(CONTROL!$C$42, 17.4708, 17.4708) * CHOOSE(CONTROL!$C$21, $C$9, 100%, $E$9)</f>
        <v>17.470800000000001</v>
      </c>
      <c r="D466" s="14">
        <f>CHOOSE(CONTROL!$C$42, 17.6733, 17.6733) * CHOOSE(CONTROL!$C$21, $C$9, 100%, $E$9)</f>
        <v>17.673300000000001</v>
      </c>
      <c r="E466" s="14">
        <f>CHOOSE(CONTROL!$C$42, 17.7021, 17.7021) * CHOOSE(CONTROL!$C$21, $C$9, 100%, $E$9)</f>
        <v>17.702100000000002</v>
      </c>
      <c r="F466" s="14">
        <f>CHOOSE(CONTROL!$C$42, 17.452, 17.452)*CHOOSE(CONTROL!$C$21, $C$9, 100%, $E$9)</f>
        <v>17.452000000000002</v>
      </c>
      <c r="G466" s="14">
        <f>CHOOSE(CONTROL!$C$42, 17.468, 17.468)*CHOOSE(CONTROL!$C$21, $C$9, 100%, $E$9)</f>
        <v>17.468</v>
      </c>
      <c r="H466" s="14">
        <f>CHOOSE(CONTROL!$C$42, 17.6926, 17.6926) * CHOOSE(CONTROL!$C$21, $C$9, 100%, $E$9)</f>
        <v>17.692599999999999</v>
      </c>
      <c r="I466" s="14">
        <f>CHOOSE(CONTROL!$C$42, 17.4787, 17.4787)* CHOOSE(CONTROL!$C$21, $C$9, 100%, $E$9)</f>
        <v>17.4787</v>
      </c>
      <c r="J466" s="14">
        <f>CHOOSE(CONTROL!$C$42, 17.445, 17.445)* CHOOSE(CONTROL!$C$21, $C$9, 100%, $E$9)</f>
        <v>17.445</v>
      </c>
      <c r="K466" s="53">
        <f>CHOOSE(CONTROL!$C$42, 17.4748, 17.4748) * CHOOSE(CONTROL!$C$21, $C$9, 100%, $E$9)</f>
        <v>17.474799999999998</v>
      </c>
      <c r="L466" s="14">
        <f>CHOOSE(CONTROL!$C$42, 18.2796, 18.2796) * CHOOSE(CONTROL!$C$21, $C$9, 100%, $E$9)</f>
        <v>18.279599999999999</v>
      </c>
      <c r="M466" s="14">
        <f>CHOOSE(CONTROL!$C$42, 17.2827, 17.2827) * CHOOSE(CONTROL!$C$21, $C$9, 100%, $E$9)</f>
        <v>17.282699999999998</v>
      </c>
      <c r="N466" s="14">
        <f>CHOOSE(CONTROL!$C$42, 17.2986, 17.2986) * CHOOSE(CONTROL!$C$21, $C$9, 100%, $E$9)</f>
        <v>17.2986</v>
      </c>
      <c r="O466" s="14">
        <f>CHOOSE(CONTROL!$C$42, 17.5279, 17.5279) * CHOOSE(CONTROL!$C$21, $C$9, 100%, $E$9)</f>
        <v>17.527899999999999</v>
      </c>
      <c r="P466" s="14">
        <f>CHOOSE(CONTROL!$C$42, 17.3162, 17.3162) * CHOOSE(CONTROL!$C$21, $C$9, 100%, $E$9)</f>
        <v>17.316199999999998</v>
      </c>
      <c r="Q466" s="14">
        <f>CHOOSE(CONTROL!$C$42, 18.1232, 18.1232) * CHOOSE(CONTROL!$C$21, $C$9, 100%, $E$9)</f>
        <v>18.123200000000001</v>
      </c>
      <c r="R466" s="14">
        <f>CHOOSE(CONTROL!$C$42, 18.7555, 18.7555) * CHOOSE(CONTROL!$C$21, $C$9, 100%, $E$9)</f>
        <v>18.755500000000001</v>
      </c>
      <c r="S466" s="14">
        <f>CHOOSE(CONTROL!$C$42, 16.9583, 16.9583) * CHOOSE(CONTROL!$C$21, $C$9, 100%, $E$9)</f>
        <v>16.958300000000001</v>
      </c>
      <c r="T46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66" s="57">
        <f>(1000*CHOOSE(CONTROL!$C$42, 695, 695)*CHOOSE(CONTROL!$C$42, 0.5599, 0.5599)*CHOOSE(CONTROL!$C$42, 31, 31))/1000000</f>
        <v>12.063045499999998</v>
      </c>
      <c r="V466" s="57">
        <f>(1000*CHOOSE(CONTROL!$C$42, 500, 500)*CHOOSE(CONTROL!$C$42, 0.275, 0.275)*CHOOSE(CONTROL!$C$42, 31, 31))/1000000</f>
        <v>4.2625000000000002</v>
      </c>
      <c r="W466" s="57">
        <f>(1000*CHOOSE(CONTROL!$C$42, 0.1146, 0.1146)*CHOOSE(CONTROL!$C$42, 121.5, 121.5)*CHOOSE(CONTROL!$C$42, 31, 31))/1000000</f>
        <v>0.43164089999999994</v>
      </c>
      <c r="X466" s="57">
        <f>(31*0.1790888*245000/1000000)+(31*0.2374*100000/1000000)</f>
        <v>2.0961194359999999</v>
      </c>
      <c r="Y466" s="57"/>
      <c r="Z466" s="14"/>
      <c r="AA466" s="56"/>
      <c r="AB466" s="50">
        <f>(B466*131.881+C466*277.167+D466*79.08+E466*125.872+F466*40+G466*185+H466*0+I466*100+J466*300)/(131.881+277.167+79.08+125.872+0+40+185+100+300)</f>
        <v>17.500034957546408</v>
      </c>
      <c r="AC466" s="45">
        <f>(M466*'RAP TEMPLATE-GAS AVAILABILITY'!O465+N466*'RAP TEMPLATE-GAS AVAILABILITY'!P465+O466*'RAP TEMPLATE-GAS AVAILABILITY'!Q465+P466*'RAP TEMPLATE-GAS AVAILABILITY'!R465)/('RAP TEMPLATE-GAS AVAILABILITY'!O465+'RAP TEMPLATE-GAS AVAILABILITY'!P465+'RAP TEMPLATE-GAS AVAILABILITY'!Q465+'RAP TEMPLATE-GAS AVAILABILITY'!R465)</f>
        <v>17.359977697841725</v>
      </c>
    </row>
    <row r="467" spans="1:29" ht="15.75" x14ac:dyDescent="0.25">
      <c r="A467" s="33">
        <v>55122</v>
      </c>
      <c r="B467" s="14">
        <f>CHOOSE(CONTROL!$C$42, 17.9252, 17.9252) * CHOOSE(CONTROL!$C$21, $C$9, 100%, $E$9)</f>
        <v>17.9252</v>
      </c>
      <c r="C467" s="14">
        <f>CHOOSE(CONTROL!$C$42, 17.9302, 17.9302) * CHOOSE(CONTROL!$C$21, $C$9, 100%, $E$9)</f>
        <v>17.930199999999999</v>
      </c>
      <c r="D467" s="14">
        <f>CHOOSE(CONTROL!$C$42, 17.9932, 17.9932) * CHOOSE(CONTROL!$C$21, $C$9, 100%, $E$9)</f>
        <v>17.993200000000002</v>
      </c>
      <c r="E467" s="14">
        <f>CHOOSE(CONTROL!$C$42, 18.027, 18.027) * CHOOSE(CONTROL!$C$21, $C$9, 100%, $E$9)</f>
        <v>18.027000000000001</v>
      </c>
      <c r="F467" s="14">
        <f>CHOOSE(CONTROL!$C$42, 17.9259, 17.9259)*CHOOSE(CONTROL!$C$21, $C$9, 100%, $E$9)</f>
        <v>17.925899999999999</v>
      </c>
      <c r="G467" s="14">
        <f>CHOOSE(CONTROL!$C$42, 17.9422, 17.9422)*CHOOSE(CONTROL!$C$21, $C$9, 100%, $E$9)</f>
        <v>17.9422</v>
      </c>
      <c r="H467" s="14">
        <f>CHOOSE(CONTROL!$C$42, 18.0162, 18.0162) * CHOOSE(CONTROL!$C$21, $C$9, 100%, $E$9)</f>
        <v>18.016200000000001</v>
      </c>
      <c r="I467" s="14">
        <f>CHOOSE(CONTROL!$C$42, 17.9387, 17.9387)* CHOOSE(CONTROL!$C$21, $C$9, 100%, $E$9)</f>
        <v>17.938700000000001</v>
      </c>
      <c r="J467" s="14">
        <f>CHOOSE(CONTROL!$C$42, 17.9189, 17.9189)* CHOOSE(CONTROL!$C$21, $C$9, 100%, $E$9)</f>
        <v>17.918900000000001</v>
      </c>
      <c r="K467" s="53">
        <f>CHOOSE(CONTROL!$C$42, 17.9349, 17.9349) * CHOOSE(CONTROL!$C$21, $C$9, 100%, $E$9)</f>
        <v>17.934899999999999</v>
      </c>
      <c r="L467" s="14">
        <f>CHOOSE(CONTROL!$C$42, 18.6032, 18.6032) * CHOOSE(CONTROL!$C$21, $C$9, 100%, $E$9)</f>
        <v>18.603200000000001</v>
      </c>
      <c r="M467" s="14">
        <f>CHOOSE(CONTROL!$C$42, 17.7519, 17.7519) * CHOOSE(CONTROL!$C$21, $C$9, 100%, $E$9)</f>
        <v>17.751899999999999</v>
      </c>
      <c r="N467" s="14">
        <f>CHOOSE(CONTROL!$C$42, 17.768, 17.768) * CHOOSE(CONTROL!$C$21, $C$9, 100%, $E$9)</f>
        <v>17.768000000000001</v>
      </c>
      <c r="O467" s="14">
        <f>CHOOSE(CONTROL!$C$42, 17.8482, 17.8482) * CHOOSE(CONTROL!$C$21, $C$9, 100%, $E$9)</f>
        <v>17.848199999999999</v>
      </c>
      <c r="P467" s="14">
        <f>CHOOSE(CONTROL!$C$42, 17.7716, 17.7716) * CHOOSE(CONTROL!$C$21, $C$9, 100%, $E$9)</f>
        <v>17.771599999999999</v>
      </c>
      <c r="Q467" s="14">
        <f>CHOOSE(CONTROL!$C$42, 18.4435, 18.4435) * CHOOSE(CONTROL!$C$21, $C$9, 100%, $E$9)</f>
        <v>18.4435</v>
      </c>
      <c r="R467" s="14">
        <f>CHOOSE(CONTROL!$C$42, 19.0766, 19.0766) * CHOOSE(CONTROL!$C$21, $C$9, 100%, $E$9)</f>
        <v>19.076599999999999</v>
      </c>
      <c r="S467" s="14">
        <f>CHOOSE(CONTROL!$C$42, 17.405, 17.405) * CHOOSE(CONTROL!$C$21, $C$9, 100%, $E$9)</f>
        <v>17.405000000000001</v>
      </c>
      <c r="T46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67" s="57">
        <f>(1000*CHOOSE(CONTROL!$C$42, 695, 695)*CHOOSE(CONTROL!$C$42, 0.5599, 0.5599)*CHOOSE(CONTROL!$C$42, 30, 30))/1000000</f>
        <v>11.673914999999997</v>
      </c>
      <c r="V467" s="57">
        <f>(1000*CHOOSE(CONTROL!$C$42, 500, 500)*CHOOSE(CONTROL!$C$42, 0.275, 0.275)*CHOOSE(CONTROL!$C$42, 30, 30))/1000000</f>
        <v>4.125</v>
      </c>
      <c r="W467" s="57">
        <f>(1000*CHOOSE(CONTROL!$C$42, 0.1146, 0.1146)*CHOOSE(CONTROL!$C$42, 121.5, 121.5)*CHOOSE(CONTROL!$C$42, 30, 30))/1000000</f>
        <v>0.417717</v>
      </c>
      <c r="X467" s="57">
        <f>(30*0.1790888*100000/1000000)+(30*0.2374*100000/1000000)</f>
        <v>1.2494664</v>
      </c>
      <c r="Y467" s="57"/>
      <c r="Z467" s="14"/>
      <c r="AA467" s="56"/>
      <c r="AB467" s="50">
        <f>(B467*122.58+C467*297.941+D467*89.177+E467*40.302+F467*40+G467*160+H467*0+I467*100+J467*300)/(122.58+297.941+89.177+40.302+0+40+160+100+300)</f>
        <v>17.937256073565219</v>
      </c>
      <c r="AC467" s="45">
        <f>(M467*'RAP TEMPLATE-GAS AVAILABILITY'!O466+N467*'RAP TEMPLATE-GAS AVAILABILITY'!P466+O467*'RAP TEMPLATE-GAS AVAILABILITY'!Q466+P467*'RAP TEMPLATE-GAS AVAILABILITY'!R466)/('RAP TEMPLATE-GAS AVAILABILITY'!O466+'RAP TEMPLATE-GAS AVAILABILITY'!P466+'RAP TEMPLATE-GAS AVAILABILITY'!Q466+'RAP TEMPLATE-GAS AVAILABILITY'!R466)</f>
        <v>17.799307913669065</v>
      </c>
    </row>
    <row r="468" spans="1:29" ht="15.75" x14ac:dyDescent="0.25">
      <c r="A468" s="33">
        <v>55153</v>
      </c>
      <c r="B468" s="14">
        <f>CHOOSE(CONTROL!$C$42, 19.1471, 19.1471) * CHOOSE(CONTROL!$C$21, $C$9, 100%, $E$9)</f>
        <v>19.147099999999998</v>
      </c>
      <c r="C468" s="14">
        <f>CHOOSE(CONTROL!$C$42, 19.1521, 19.1521) * CHOOSE(CONTROL!$C$21, $C$9, 100%, $E$9)</f>
        <v>19.152100000000001</v>
      </c>
      <c r="D468" s="14">
        <f>CHOOSE(CONTROL!$C$42, 19.2152, 19.2152) * CHOOSE(CONTROL!$C$21, $C$9, 100%, $E$9)</f>
        <v>19.215199999999999</v>
      </c>
      <c r="E468" s="14">
        <f>CHOOSE(CONTROL!$C$42, 19.2489, 19.2489) * CHOOSE(CONTROL!$C$21, $C$9, 100%, $E$9)</f>
        <v>19.248899999999999</v>
      </c>
      <c r="F468" s="14">
        <f>CHOOSE(CONTROL!$C$42, 19.1499, 19.1499)*CHOOSE(CONTROL!$C$21, $C$9, 100%, $E$9)</f>
        <v>19.149899999999999</v>
      </c>
      <c r="G468" s="14">
        <f>CHOOSE(CONTROL!$C$42, 19.1667, 19.1667)*CHOOSE(CONTROL!$C$21, $C$9, 100%, $E$9)</f>
        <v>19.166699999999999</v>
      </c>
      <c r="H468" s="14">
        <f>CHOOSE(CONTROL!$C$42, 19.2381, 19.2381) * CHOOSE(CONTROL!$C$21, $C$9, 100%, $E$9)</f>
        <v>19.238099999999999</v>
      </c>
      <c r="I468" s="14">
        <f>CHOOSE(CONTROL!$C$42, 19.1607, 19.1607)* CHOOSE(CONTROL!$C$21, $C$9, 100%, $E$9)</f>
        <v>19.160699999999999</v>
      </c>
      <c r="J468" s="14">
        <f>CHOOSE(CONTROL!$C$42, 19.1429, 19.1429)* CHOOSE(CONTROL!$C$21, $C$9, 100%, $E$9)</f>
        <v>19.142900000000001</v>
      </c>
      <c r="K468" s="53">
        <f>CHOOSE(CONTROL!$C$42, 19.1568, 19.1568) * CHOOSE(CONTROL!$C$21, $C$9, 100%, $E$9)</f>
        <v>19.1568</v>
      </c>
      <c r="L468" s="14">
        <f>CHOOSE(CONTROL!$C$42, 19.8251, 19.8251) * CHOOSE(CONTROL!$C$21, $C$9, 100%, $E$9)</f>
        <v>19.825099999999999</v>
      </c>
      <c r="M468" s="14">
        <f>CHOOSE(CONTROL!$C$42, 18.9635, 18.9635) * CHOOSE(CONTROL!$C$21, $C$9, 100%, $E$9)</f>
        <v>18.9635</v>
      </c>
      <c r="N468" s="14">
        <f>CHOOSE(CONTROL!$C$42, 18.9802, 18.9802) * CHOOSE(CONTROL!$C$21, $C$9, 100%, $E$9)</f>
        <v>18.9802</v>
      </c>
      <c r="O468" s="14">
        <f>CHOOSE(CONTROL!$C$42, 19.0578, 19.0578) * CHOOSE(CONTROL!$C$21, $C$9, 100%, $E$9)</f>
        <v>19.0578</v>
      </c>
      <c r="P468" s="14">
        <f>CHOOSE(CONTROL!$C$42, 18.9812, 18.9812) * CHOOSE(CONTROL!$C$21, $C$9, 100%, $E$9)</f>
        <v>18.981200000000001</v>
      </c>
      <c r="Q468" s="14">
        <f>CHOOSE(CONTROL!$C$42, 19.6531, 19.6531) * CHOOSE(CONTROL!$C$21, $C$9, 100%, $E$9)</f>
        <v>19.653099999999998</v>
      </c>
      <c r="R468" s="14">
        <f>CHOOSE(CONTROL!$C$42, 20.2892, 20.2892) * CHOOSE(CONTROL!$C$21, $C$9, 100%, $E$9)</f>
        <v>20.289200000000001</v>
      </c>
      <c r="S468" s="14">
        <f>CHOOSE(CONTROL!$C$42, 18.5916, 18.5916) * CHOOSE(CONTROL!$C$21, $C$9, 100%, $E$9)</f>
        <v>18.5916</v>
      </c>
      <c r="T46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68" s="57">
        <f>(1000*CHOOSE(CONTROL!$C$42, 695, 695)*CHOOSE(CONTROL!$C$42, 0.5599, 0.5599)*CHOOSE(CONTROL!$C$42, 31, 31))/1000000</f>
        <v>12.063045499999998</v>
      </c>
      <c r="V468" s="57">
        <f>(1000*CHOOSE(CONTROL!$C$42, 500, 500)*CHOOSE(CONTROL!$C$42, 0.275, 0.275)*CHOOSE(CONTROL!$C$42, 31, 31))/1000000</f>
        <v>4.2625000000000002</v>
      </c>
      <c r="W468" s="57">
        <f>(1000*CHOOSE(CONTROL!$C$42, 0.1146, 0.1146)*CHOOSE(CONTROL!$C$42, 121.5, 121.5)*CHOOSE(CONTROL!$C$42, 31, 31))/1000000</f>
        <v>0.43164089999999994</v>
      </c>
      <c r="X468" s="57">
        <f>(31*0.1790888*100000/1000000)+(31*0.2374*100000/1000000)</f>
        <v>1.2911152800000001</v>
      </c>
      <c r="Y468" s="57"/>
      <c r="Z468" s="14"/>
      <c r="AA468" s="56"/>
      <c r="AB468" s="50">
        <f>(B468*122.58+C468*297.941+D468*89.177+E468*40.302+F468*40+G468*160+H468*0+I468*100+J468*300)/(122.58+297.941+89.177+40.302+0+40+160+100+300)</f>
        <v>19.160155132434781</v>
      </c>
      <c r="AC468" s="45">
        <f>(M468*'RAP TEMPLATE-GAS AVAILABILITY'!O467+N468*'RAP TEMPLATE-GAS AVAILABILITY'!P467+O468*'RAP TEMPLATE-GAS AVAILABILITY'!Q467+P468*'RAP TEMPLATE-GAS AVAILABILITY'!R467)/('RAP TEMPLATE-GAS AVAILABILITY'!O467+'RAP TEMPLATE-GAS AVAILABILITY'!P467+'RAP TEMPLATE-GAS AVAILABILITY'!Q467+'RAP TEMPLATE-GAS AVAILABILITY'!R467)</f>
        <v>19.00974820143885</v>
      </c>
    </row>
    <row r="469" spans="1:29" ht="15.75" x14ac:dyDescent="0.25">
      <c r="A469" s="33">
        <v>55184</v>
      </c>
      <c r="B469" s="14">
        <f>CHOOSE(CONTROL!$C$42, 20.7157, 20.7157) * CHOOSE(CONTROL!$C$21, $C$9, 100%, $E$9)</f>
        <v>20.715699999999998</v>
      </c>
      <c r="C469" s="14">
        <f>CHOOSE(CONTROL!$C$42, 20.7207, 20.7207) * CHOOSE(CONTROL!$C$21, $C$9, 100%, $E$9)</f>
        <v>20.720700000000001</v>
      </c>
      <c r="D469" s="14">
        <f>CHOOSE(CONTROL!$C$42, 20.785, 20.785) * CHOOSE(CONTROL!$C$21, $C$9, 100%, $E$9)</f>
        <v>20.785</v>
      </c>
      <c r="E469" s="14">
        <f>CHOOSE(CONTROL!$C$42, 20.8187, 20.8187) * CHOOSE(CONTROL!$C$21, $C$9, 100%, $E$9)</f>
        <v>20.8187</v>
      </c>
      <c r="F469" s="14">
        <f>CHOOSE(CONTROL!$C$42, 20.7173, 20.7173)*CHOOSE(CONTROL!$C$21, $C$9, 100%, $E$9)</f>
        <v>20.717300000000002</v>
      </c>
      <c r="G469" s="14">
        <f>CHOOSE(CONTROL!$C$42, 20.7332, 20.7332)*CHOOSE(CONTROL!$C$21, $C$9, 100%, $E$9)</f>
        <v>20.7332</v>
      </c>
      <c r="H469" s="14">
        <f>CHOOSE(CONTROL!$C$42, 20.8079, 20.8079) * CHOOSE(CONTROL!$C$21, $C$9, 100%, $E$9)</f>
        <v>20.8079</v>
      </c>
      <c r="I469" s="14">
        <f>CHOOSE(CONTROL!$C$42, 20.7357, 20.7357)* CHOOSE(CONTROL!$C$21, $C$9, 100%, $E$9)</f>
        <v>20.735700000000001</v>
      </c>
      <c r="J469" s="14">
        <f>CHOOSE(CONTROL!$C$42, 20.7103, 20.7103)* CHOOSE(CONTROL!$C$21, $C$9, 100%, $E$9)</f>
        <v>20.7103</v>
      </c>
      <c r="K469" s="53">
        <f>CHOOSE(CONTROL!$C$42, 20.7318, 20.7318) * CHOOSE(CONTROL!$C$21, $C$9, 100%, $E$9)</f>
        <v>20.7318</v>
      </c>
      <c r="L469" s="14">
        <f>CHOOSE(CONTROL!$C$42, 21.3949, 21.3949) * CHOOSE(CONTROL!$C$21, $C$9, 100%, $E$9)</f>
        <v>21.3949</v>
      </c>
      <c r="M469" s="14">
        <f>CHOOSE(CONTROL!$C$42, 20.5151, 20.5151) * CHOOSE(CONTROL!$C$21, $C$9, 100%, $E$9)</f>
        <v>20.5151</v>
      </c>
      <c r="N469" s="14">
        <f>CHOOSE(CONTROL!$C$42, 20.5308, 20.5308) * CHOOSE(CONTROL!$C$21, $C$9, 100%, $E$9)</f>
        <v>20.530799999999999</v>
      </c>
      <c r="O469" s="14">
        <f>CHOOSE(CONTROL!$C$42, 20.6118, 20.6118) * CHOOSE(CONTROL!$C$21, $C$9, 100%, $E$9)</f>
        <v>20.611799999999999</v>
      </c>
      <c r="P469" s="14">
        <f>CHOOSE(CONTROL!$C$42, 20.5403, 20.5403) * CHOOSE(CONTROL!$C$21, $C$9, 100%, $E$9)</f>
        <v>20.540299999999998</v>
      </c>
      <c r="Q469" s="14">
        <f>CHOOSE(CONTROL!$C$42, 21.2071, 21.2071) * CHOOSE(CONTROL!$C$21, $C$9, 100%, $E$9)</f>
        <v>21.207100000000001</v>
      </c>
      <c r="R469" s="14">
        <f>CHOOSE(CONTROL!$C$42, 21.8471, 21.8471) * CHOOSE(CONTROL!$C$21, $C$9, 100%, $E$9)</f>
        <v>21.847100000000001</v>
      </c>
      <c r="S469" s="14">
        <f>CHOOSE(CONTROL!$C$42, 20.1149, 20.1149) * CHOOSE(CONTROL!$C$21, $C$9, 100%, $E$9)</f>
        <v>20.114899999999999</v>
      </c>
      <c r="T46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69" s="57">
        <f>(1000*CHOOSE(CONTROL!$C$42, 695, 695)*CHOOSE(CONTROL!$C$42, 0.5599, 0.5599)*CHOOSE(CONTROL!$C$42, 31, 31))/1000000</f>
        <v>12.063045499999998</v>
      </c>
      <c r="V469" s="57">
        <f>(1000*CHOOSE(CONTROL!$C$42, 500, 500)*CHOOSE(CONTROL!$C$42, 0.275, 0.275)*CHOOSE(CONTROL!$C$42, 31, 31))/1000000</f>
        <v>4.2625000000000002</v>
      </c>
      <c r="W469" s="57">
        <f>(1000*CHOOSE(CONTROL!$C$42, 0.1146, 0.1146)*CHOOSE(CONTROL!$C$42, 121.5, 121.5)*CHOOSE(CONTROL!$C$42, 31, 31))/1000000</f>
        <v>0.43164089999999994</v>
      </c>
      <c r="X469" s="57">
        <f>(31*0.1790888*100000/1000000)+(31*0.2374*100000/1000000)</f>
        <v>1.2911152800000001</v>
      </c>
      <c r="Y469" s="57"/>
      <c r="Z469" s="14"/>
      <c r="AA469" s="56"/>
      <c r="AB469" s="50">
        <f>(B469*122.58+C469*297.941+D469*89.177+E469*40.302+F469*40+G469*160+H469*0+I469*100+J469*300)/(122.58+297.941+89.177+40.302+0+40+160+100+300)</f>
        <v>20.728799806173914</v>
      </c>
      <c r="AC469" s="45">
        <f>(M469*'RAP TEMPLATE-GAS AVAILABILITY'!O468+N469*'RAP TEMPLATE-GAS AVAILABILITY'!P468+O469*'RAP TEMPLATE-GAS AVAILABILITY'!Q468+P469*'RAP TEMPLATE-GAS AVAILABILITY'!R468)/('RAP TEMPLATE-GAS AVAILABILITY'!O468+'RAP TEMPLATE-GAS AVAILABILITY'!P468+'RAP TEMPLATE-GAS AVAILABILITY'!Q468+'RAP TEMPLATE-GAS AVAILABILITY'!R468)</f>
        <v>20.563457553956834</v>
      </c>
    </row>
    <row r="470" spans="1:29" ht="15.75" x14ac:dyDescent="0.25">
      <c r="A470" s="33">
        <v>55212</v>
      </c>
      <c r="B470" s="14">
        <f>CHOOSE(CONTROL!$C$42, 21.0845, 21.0845) * CHOOSE(CONTROL!$C$21, $C$9, 100%, $E$9)</f>
        <v>21.084499999999998</v>
      </c>
      <c r="C470" s="14">
        <f>CHOOSE(CONTROL!$C$42, 21.0894, 21.0894) * CHOOSE(CONTROL!$C$21, $C$9, 100%, $E$9)</f>
        <v>21.089400000000001</v>
      </c>
      <c r="D470" s="14">
        <f>CHOOSE(CONTROL!$C$42, 21.1537, 21.1537) * CHOOSE(CONTROL!$C$21, $C$9, 100%, $E$9)</f>
        <v>21.153700000000001</v>
      </c>
      <c r="E470" s="14">
        <f>CHOOSE(CONTROL!$C$42, 21.1875, 21.1875) * CHOOSE(CONTROL!$C$21, $C$9, 100%, $E$9)</f>
        <v>21.1875</v>
      </c>
      <c r="F470" s="14">
        <f>CHOOSE(CONTROL!$C$42, 21.086, 21.086)*CHOOSE(CONTROL!$C$21, $C$9, 100%, $E$9)</f>
        <v>21.085999999999999</v>
      </c>
      <c r="G470" s="14">
        <f>CHOOSE(CONTROL!$C$42, 21.102, 21.102)*CHOOSE(CONTROL!$C$21, $C$9, 100%, $E$9)</f>
        <v>21.102</v>
      </c>
      <c r="H470" s="14">
        <f>CHOOSE(CONTROL!$C$42, 21.1767, 21.1767) * CHOOSE(CONTROL!$C$21, $C$9, 100%, $E$9)</f>
        <v>21.1767</v>
      </c>
      <c r="I470" s="14">
        <f>CHOOSE(CONTROL!$C$42, 21.1044, 21.1044)* CHOOSE(CONTROL!$C$21, $C$9, 100%, $E$9)</f>
        <v>21.104399999999998</v>
      </c>
      <c r="J470" s="14">
        <f>CHOOSE(CONTROL!$C$42, 21.079, 21.079)* CHOOSE(CONTROL!$C$21, $C$9, 100%, $E$9)</f>
        <v>21.079000000000001</v>
      </c>
      <c r="K470" s="53">
        <f>CHOOSE(CONTROL!$C$42, 21.1005, 21.1005) * CHOOSE(CONTROL!$C$21, $C$9, 100%, $E$9)</f>
        <v>21.1005</v>
      </c>
      <c r="L470" s="14">
        <f>CHOOSE(CONTROL!$C$42, 21.7637, 21.7637) * CHOOSE(CONTROL!$C$21, $C$9, 100%, $E$9)</f>
        <v>21.7637</v>
      </c>
      <c r="M470" s="14">
        <f>CHOOSE(CONTROL!$C$42, 20.8801, 20.8801) * CHOOSE(CONTROL!$C$21, $C$9, 100%, $E$9)</f>
        <v>20.880099999999999</v>
      </c>
      <c r="N470" s="14">
        <f>CHOOSE(CONTROL!$C$42, 20.8959, 20.8959) * CHOOSE(CONTROL!$C$21, $C$9, 100%, $E$9)</f>
        <v>20.895900000000001</v>
      </c>
      <c r="O470" s="14">
        <f>CHOOSE(CONTROL!$C$42, 20.9768, 20.9768) * CHOOSE(CONTROL!$C$21, $C$9, 100%, $E$9)</f>
        <v>20.976800000000001</v>
      </c>
      <c r="P470" s="14">
        <f>CHOOSE(CONTROL!$C$42, 20.9053, 20.9053) * CHOOSE(CONTROL!$C$21, $C$9, 100%, $E$9)</f>
        <v>20.9053</v>
      </c>
      <c r="Q470" s="14">
        <f>CHOOSE(CONTROL!$C$42, 21.5721, 21.5721) * CHOOSE(CONTROL!$C$21, $C$9, 100%, $E$9)</f>
        <v>21.572099999999999</v>
      </c>
      <c r="R470" s="14">
        <f>CHOOSE(CONTROL!$C$42, 22.213, 22.213) * CHOOSE(CONTROL!$C$21, $C$9, 100%, $E$9)</f>
        <v>22.213000000000001</v>
      </c>
      <c r="S470" s="14">
        <f>CHOOSE(CONTROL!$C$42, 20.473, 20.473) * CHOOSE(CONTROL!$C$21, $C$9, 100%, $E$9)</f>
        <v>20.472999999999999</v>
      </c>
      <c r="T47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70" s="57">
        <f>(1000*CHOOSE(CONTROL!$C$42, 695, 695)*CHOOSE(CONTROL!$C$42, 0.5599, 0.5599)*CHOOSE(CONTROL!$C$42, 28, 28))/1000000</f>
        <v>10.895653999999999</v>
      </c>
      <c r="V470" s="57">
        <f>(1000*CHOOSE(CONTROL!$C$42, 500, 500)*CHOOSE(CONTROL!$C$42, 0.275, 0.275)*CHOOSE(CONTROL!$C$42, 28, 28))/1000000</f>
        <v>3.85</v>
      </c>
      <c r="W470" s="57">
        <f>(1000*CHOOSE(CONTROL!$C$42, 0.1146, 0.1146)*CHOOSE(CONTROL!$C$42, 121.5, 121.5)*CHOOSE(CONTROL!$C$42, 28, 28))/1000000</f>
        <v>0.38986920000000003</v>
      </c>
      <c r="X470" s="57">
        <f>(28*0.1790888*100000/1000000)+(28*0.2374*100000/1000000)</f>
        <v>1.16616864</v>
      </c>
      <c r="Y470" s="57"/>
      <c r="Z470" s="14"/>
      <c r="AA470" s="56"/>
      <c r="AB470" s="50">
        <f>(B470*122.58+C470*297.941+D470*89.177+E470*40.302+F470*40+G470*160+H470*0+I470*100+J470*300)/(122.58+297.941+89.177+40.302+0+40+160+100+300)</f>
        <v>21.097527882869564</v>
      </c>
      <c r="AC470" s="45">
        <f>(M470*'RAP TEMPLATE-GAS AVAILABILITY'!O469+N470*'RAP TEMPLATE-GAS AVAILABILITY'!P469+O470*'RAP TEMPLATE-GAS AVAILABILITY'!Q469+P470*'RAP TEMPLATE-GAS AVAILABILITY'!R469)/('RAP TEMPLATE-GAS AVAILABILITY'!O469+'RAP TEMPLATE-GAS AVAILABILITY'!P469+'RAP TEMPLATE-GAS AVAILABILITY'!Q469+'RAP TEMPLATE-GAS AVAILABILITY'!R469)</f>
        <v>20.928463309352519</v>
      </c>
    </row>
    <row r="471" spans="1:29" ht="15.75" x14ac:dyDescent="0.25">
      <c r="A471" s="33">
        <v>55243</v>
      </c>
      <c r="B471" s="14">
        <f>CHOOSE(CONTROL!$C$42, 20.4859, 20.4859) * CHOOSE(CONTROL!$C$21, $C$9, 100%, $E$9)</f>
        <v>20.485900000000001</v>
      </c>
      <c r="C471" s="14">
        <f>CHOOSE(CONTROL!$C$42, 20.4909, 20.4909) * CHOOSE(CONTROL!$C$21, $C$9, 100%, $E$9)</f>
        <v>20.4909</v>
      </c>
      <c r="D471" s="14">
        <f>CHOOSE(CONTROL!$C$42, 20.5552, 20.5552) * CHOOSE(CONTROL!$C$21, $C$9, 100%, $E$9)</f>
        <v>20.555199999999999</v>
      </c>
      <c r="E471" s="14">
        <f>CHOOSE(CONTROL!$C$42, 20.5889, 20.5889) * CHOOSE(CONTROL!$C$21, $C$9, 100%, $E$9)</f>
        <v>20.588899999999999</v>
      </c>
      <c r="F471" s="14">
        <f>CHOOSE(CONTROL!$C$42, 20.4872, 20.4872)*CHOOSE(CONTROL!$C$21, $C$9, 100%, $E$9)</f>
        <v>20.487200000000001</v>
      </c>
      <c r="G471" s="14">
        <f>CHOOSE(CONTROL!$C$42, 20.503, 20.503)*CHOOSE(CONTROL!$C$21, $C$9, 100%, $E$9)</f>
        <v>20.503</v>
      </c>
      <c r="H471" s="14">
        <f>CHOOSE(CONTROL!$C$42, 20.5781, 20.5781) * CHOOSE(CONTROL!$C$21, $C$9, 100%, $E$9)</f>
        <v>20.578099999999999</v>
      </c>
      <c r="I471" s="14">
        <f>CHOOSE(CONTROL!$C$42, 20.5059, 20.5059)* CHOOSE(CONTROL!$C$21, $C$9, 100%, $E$9)</f>
        <v>20.5059</v>
      </c>
      <c r="J471" s="14">
        <f>CHOOSE(CONTROL!$C$42, 20.4802, 20.4802)* CHOOSE(CONTROL!$C$21, $C$9, 100%, $E$9)</f>
        <v>20.4802</v>
      </c>
      <c r="K471" s="53">
        <f>CHOOSE(CONTROL!$C$42, 20.502, 20.502) * CHOOSE(CONTROL!$C$21, $C$9, 100%, $E$9)</f>
        <v>20.501999999999999</v>
      </c>
      <c r="L471" s="14">
        <f>CHOOSE(CONTROL!$C$42, 21.1651, 21.1651) * CHOOSE(CONTROL!$C$21, $C$9, 100%, $E$9)</f>
        <v>21.165099999999999</v>
      </c>
      <c r="M471" s="14">
        <f>CHOOSE(CONTROL!$C$42, 20.2873, 20.2873) * CHOOSE(CONTROL!$C$21, $C$9, 100%, $E$9)</f>
        <v>20.287299999999998</v>
      </c>
      <c r="N471" s="14">
        <f>CHOOSE(CONTROL!$C$42, 20.303, 20.303) * CHOOSE(CONTROL!$C$21, $C$9, 100%, $E$9)</f>
        <v>20.303000000000001</v>
      </c>
      <c r="O471" s="14">
        <f>CHOOSE(CONTROL!$C$42, 20.3843, 20.3843) * CHOOSE(CONTROL!$C$21, $C$9, 100%, $E$9)</f>
        <v>20.3843</v>
      </c>
      <c r="P471" s="14">
        <f>CHOOSE(CONTROL!$C$42, 20.3128, 20.3128) * CHOOSE(CONTROL!$C$21, $C$9, 100%, $E$9)</f>
        <v>20.312799999999999</v>
      </c>
      <c r="Q471" s="14">
        <f>CHOOSE(CONTROL!$C$42, 20.9796, 20.9796) * CHOOSE(CONTROL!$C$21, $C$9, 100%, $E$9)</f>
        <v>20.979600000000001</v>
      </c>
      <c r="R471" s="14">
        <f>CHOOSE(CONTROL!$C$42, 21.6191, 21.6191) * CHOOSE(CONTROL!$C$21, $C$9, 100%, $E$9)</f>
        <v>21.6191</v>
      </c>
      <c r="S471" s="14">
        <f>CHOOSE(CONTROL!$C$42, 19.8918, 19.8918) * CHOOSE(CONTROL!$C$21, $C$9, 100%, $E$9)</f>
        <v>19.8918</v>
      </c>
      <c r="T47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71" s="57">
        <f>(1000*CHOOSE(CONTROL!$C$42, 695, 695)*CHOOSE(CONTROL!$C$42, 0.5599, 0.5599)*CHOOSE(CONTROL!$C$42, 31, 31))/1000000</f>
        <v>12.063045499999998</v>
      </c>
      <c r="V471" s="57">
        <f>(1000*CHOOSE(CONTROL!$C$42, 500, 500)*CHOOSE(CONTROL!$C$42, 0.275, 0.275)*CHOOSE(CONTROL!$C$42, 31, 31))/1000000</f>
        <v>4.2625000000000002</v>
      </c>
      <c r="W471" s="57">
        <f>(1000*CHOOSE(CONTROL!$C$42, 0.1146, 0.1146)*CHOOSE(CONTROL!$C$42, 121.5, 121.5)*CHOOSE(CONTROL!$C$42, 31, 31))/1000000</f>
        <v>0.43164089999999994</v>
      </c>
      <c r="X471" s="57">
        <f>(31*0.1790888*100000/1000000)+(31*0.2374*100000/1000000)</f>
        <v>1.2911152800000001</v>
      </c>
      <c r="Y471" s="57"/>
      <c r="Z471" s="14"/>
      <c r="AA471" s="56"/>
      <c r="AB471" s="50">
        <f>(B471*122.58+C471*297.941+D471*89.177+E471*40.302+F471*40+G471*160+H471*0+I471*100+J471*300)/(122.58+297.941+89.177+40.302+0+40+160+100+300)</f>
        <v>20.498855458347826</v>
      </c>
      <c r="AC471" s="45">
        <f>(M471*'RAP TEMPLATE-GAS AVAILABILITY'!O470+N471*'RAP TEMPLATE-GAS AVAILABILITY'!P470+O471*'RAP TEMPLATE-GAS AVAILABILITY'!Q470+P471*'RAP TEMPLATE-GAS AVAILABILITY'!R470)/('RAP TEMPLATE-GAS AVAILABILITY'!O470+'RAP TEMPLATE-GAS AVAILABILITY'!P470+'RAP TEMPLATE-GAS AVAILABILITY'!Q470+'RAP TEMPLATE-GAS AVAILABILITY'!R470)</f>
        <v>20.335836690647479</v>
      </c>
    </row>
    <row r="472" spans="1:29" ht="15.75" x14ac:dyDescent="0.25">
      <c r="A472" s="33">
        <v>55273</v>
      </c>
      <c r="B472" s="14">
        <f>CHOOSE(CONTROL!$C$42, 20.4258, 20.4258) * CHOOSE(CONTROL!$C$21, $C$9, 100%, $E$9)</f>
        <v>20.425799999999999</v>
      </c>
      <c r="C472" s="14">
        <f>CHOOSE(CONTROL!$C$42, 20.4302, 20.4302) * CHOOSE(CONTROL!$C$21, $C$9, 100%, $E$9)</f>
        <v>20.430199999999999</v>
      </c>
      <c r="D472" s="14">
        <f>CHOOSE(CONTROL!$C$42, 20.6309, 20.6309) * CHOOSE(CONTROL!$C$21, $C$9, 100%, $E$9)</f>
        <v>20.6309</v>
      </c>
      <c r="E472" s="14">
        <f>CHOOSE(CONTROL!$C$42, 20.6627, 20.6627) * CHOOSE(CONTROL!$C$21, $C$9, 100%, $E$9)</f>
        <v>20.662700000000001</v>
      </c>
      <c r="F472" s="14">
        <f>CHOOSE(CONTROL!$C$42, 20.4104, 20.4104)*CHOOSE(CONTROL!$C$21, $C$9, 100%, $E$9)</f>
        <v>20.410399999999999</v>
      </c>
      <c r="G472" s="14">
        <f>CHOOSE(CONTROL!$C$42, 20.426, 20.426)*CHOOSE(CONTROL!$C$21, $C$9, 100%, $E$9)</f>
        <v>20.425999999999998</v>
      </c>
      <c r="H472" s="14">
        <f>CHOOSE(CONTROL!$C$42, 20.6524, 20.6524) * CHOOSE(CONTROL!$C$21, $C$9, 100%, $E$9)</f>
        <v>20.6524</v>
      </c>
      <c r="I472" s="14">
        <f>CHOOSE(CONTROL!$C$42, 20.4385, 20.4385)* CHOOSE(CONTROL!$C$21, $C$9, 100%, $E$9)</f>
        <v>20.438500000000001</v>
      </c>
      <c r="J472" s="14">
        <f>CHOOSE(CONTROL!$C$42, 20.4034, 20.4034)* CHOOSE(CONTROL!$C$21, $C$9, 100%, $E$9)</f>
        <v>20.403400000000001</v>
      </c>
      <c r="K472" s="53">
        <f>CHOOSE(CONTROL!$C$42, 20.4347, 20.4347) * CHOOSE(CONTROL!$C$21, $C$9, 100%, $E$9)</f>
        <v>20.434699999999999</v>
      </c>
      <c r="L472" s="14">
        <f>CHOOSE(CONTROL!$C$42, 21.2394, 21.2394) * CHOOSE(CONTROL!$C$21, $C$9, 100%, $E$9)</f>
        <v>21.2394</v>
      </c>
      <c r="M472" s="14">
        <f>CHOOSE(CONTROL!$C$42, 20.2113, 20.2113) * CHOOSE(CONTROL!$C$21, $C$9, 100%, $E$9)</f>
        <v>20.211300000000001</v>
      </c>
      <c r="N472" s="14">
        <f>CHOOSE(CONTROL!$C$42, 20.2268, 20.2268) * CHOOSE(CONTROL!$C$21, $C$9, 100%, $E$9)</f>
        <v>20.226800000000001</v>
      </c>
      <c r="O472" s="14">
        <f>CHOOSE(CONTROL!$C$42, 20.4579, 20.4579) * CHOOSE(CONTROL!$C$21, $C$9, 100%, $E$9)</f>
        <v>20.457899999999999</v>
      </c>
      <c r="P472" s="14">
        <f>CHOOSE(CONTROL!$C$42, 20.2461, 20.2461) * CHOOSE(CONTROL!$C$21, $C$9, 100%, $E$9)</f>
        <v>20.246099999999998</v>
      </c>
      <c r="Q472" s="14">
        <f>CHOOSE(CONTROL!$C$42, 21.0532, 21.0532) * CHOOSE(CONTROL!$C$21, $C$9, 100%, $E$9)</f>
        <v>21.0532</v>
      </c>
      <c r="R472" s="14">
        <f>CHOOSE(CONTROL!$C$42, 21.6928, 21.6928) * CHOOSE(CONTROL!$C$21, $C$9, 100%, $E$9)</f>
        <v>21.692799999999998</v>
      </c>
      <c r="S472" s="14">
        <f>CHOOSE(CONTROL!$C$42, 19.8326, 19.8326) * CHOOSE(CONTROL!$C$21, $C$9, 100%, $E$9)</f>
        <v>19.832599999999999</v>
      </c>
      <c r="T47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72" s="57">
        <f>(1000*CHOOSE(CONTROL!$C$42, 695, 695)*CHOOSE(CONTROL!$C$42, 0.5599, 0.5599)*CHOOSE(CONTROL!$C$42, 30, 30))/1000000</f>
        <v>11.673914999999997</v>
      </c>
      <c r="V472" s="57">
        <f>(1000*CHOOSE(CONTROL!$C$42, 500, 500)*CHOOSE(CONTROL!$C$42, 0.275, 0.275)*CHOOSE(CONTROL!$C$42, 30, 30))/1000000</f>
        <v>4.125</v>
      </c>
      <c r="W472" s="57">
        <f>(1000*CHOOSE(CONTROL!$C$42, 0.1146, 0.1146)*CHOOSE(CONTROL!$C$42, 121.5, 121.5)*CHOOSE(CONTROL!$C$42, 30, 30))/1000000</f>
        <v>0.417717</v>
      </c>
      <c r="X472" s="57">
        <f>(30*0.1790888*245000/1000000)+(30*0.2374*100000/1000000)</f>
        <v>2.0285026799999999</v>
      </c>
      <c r="Y472" s="57"/>
      <c r="Z472" s="14"/>
      <c r="AA472" s="56"/>
      <c r="AB472" s="50">
        <f>(B472*141.293+C472*267.993+D472*115.016+E472*89.698+F472*40+G472*185+H472*0+I472*100+J472*300)/(141.293+267.993+115.016+89.698+0+40+185+100+300)</f>
        <v>20.458075550443905</v>
      </c>
      <c r="AC472" s="45">
        <f>(M472*'RAP TEMPLATE-GAS AVAILABILITY'!O471+N472*'RAP TEMPLATE-GAS AVAILABILITY'!P471+O472*'RAP TEMPLATE-GAS AVAILABILITY'!Q471+P472*'RAP TEMPLATE-GAS AVAILABILITY'!R471)/('RAP TEMPLATE-GAS AVAILABILITY'!O471+'RAP TEMPLATE-GAS AVAILABILITY'!P471+'RAP TEMPLATE-GAS AVAILABILITY'!Q471+'RAP TEMPLATE-GAS AVAILABILITY'!R471)</f>
        <v>20.2890654676259</v>
      </c>
    </row>
    <row r="473" spans="1:29" ht="15.75" x14ac:dyDescent="0.25">
      <c r="A473" s="33">
        <v>55304</v>
      </c>
      <c r="B473" s="14">
        <f>CHOOSE(CONTROL!$C$42, 20.6074, 20.6074) * CHOOSE(CONTROL!$C$21, $C$9, 100%, $E$9)</f>
        <v>20.607399999999998</v>
      </c>
      <c r="C473" s="14">
        <f>CHOOSE(CONTROL!$C$42, 20.6153, 20.6153) * CHOOSE(CONTROL!$C$21, $C$9, 100%, $E$9)</f>
        <v>20.615300000000001</v>
      </c>
      <c r="D473" s="14">
        <f>CHOOSE(CONTROL!$C$42, 20.8129, 20.8129) * CHOOSE(CONTROL!$C$21, $C$9, 100%, $E$9)</f>
        <v>20.812899999999999</v>
      </c>
      <c r="E473" s="14">
        <f>CHOOSE(CONTROL!$C$42, 20.8441, 20.8441) * CHOOSE(CONTROL!$C$21, $C$9, 100%, $E$9)</f>
        <v>20.844100000000001</v>
      </c>
      <c r="F473" s="14">
        <f>CHOOSE(CONTROL!$C$42, 20.5908, 20.5908)*CHOOSE(CONTROL!$C$21, $C$9, 100%, $E$9)</f>
        <v>20.590800000000002</v>
      </c>
      <c r="G473" s="14">
        <f>CHOOSE(CONTROL!$C$42, 20.6069, 20.6069)*CHOOSE(CONTROL!$C$21, $C$9, 100%, $E$9)</f>
        <v>20.6069</v>
      </c>
      <c r="H473" s="14">
        <f>CHOOSE(CONTROL!$C$42, 20.8327, 20.8327) * CHOOSE(CONTROL!$C$21, $C$9, 100%, $E$9)</f>
        <v>20.832699999999999</v>
      </c>
      <c r="I473" s="14">
        <f>CHOOSE(CONTROL!$C$42, 20.6188, 20.6188)* CHOOSE(CONTROL!$C$21, $C$9, 100%, $E$9)</f>
        <v>20.6188</v>
      </c>
      <c r="J473" s="14">
        <f>CHOOSE(CONTROL!$C$42, 20.5838, 20.5838)* CHOOSE(CONTROL!$C$21, $C$9, 100%, $E$9)</f>
        <v>20.5838</v>
      </c>
      <c r="K473" s="53">
        <f>CHOOSE(CONTROL!$C$42, 20.6149, 20.6149) * CHOOSE(CONTROL!$C$21, $C$9, 100%, $E$9)</f>
        <v>20.614899999999999</v>
      </c>
      <c r="L473" s="14">
        <f>CHOOSE(CONTROL!$C$42, 21.4197, 21.4197) * CHOOSE(CONTROL!$C$21, $C$9, 100%, $E$9)</f>
        <v>21.419699999999999</v>
      </c>
      <c r="M473" s="14">
        <f>CHOOSE(CONTROL!$C$42, 20.3899, 20.3899) * CHOOSE(CONTROL!$C$21, $C$9, 100%, $E$9)</f>
        <v>20.389900000000001</v>
      </c>
      <c r="N473" s="14">
        <f>CHOOSE(CONTROL!$C$42, 20.4059, 20.4059) * CHOOSE(CONTROL!$C$21, $C$9, 100%, $E$9)</f>
        <v>20.405899999999999</v>
      </c>
      <c r="O473" s="14">
        <f>CHOOSE(CONTROL!$C$42, 20.6363, 20.6363) * CHOOSE(CONTROL!$C$21, $C$9, 100%, $E$9)</f>
        <v>20.636299999999999</v>
      </c>
      <c r="P473" s="14">
        <f>CHOOSE(CONTROL!$C$42, 20.4246, 20.4246) * CHOOSE(CONTROL!$C$21, $C$9, 100%, $E$9)</f>
        <v>20.424600000000002</v>
      </c>
      <c r="Q473" s="14">
        <f>CHOOSE(CONTROL!$C$42, 21.2316, 21.2316) * CHOOSE(CONTROL!$C$21, $C$9, 100%, $E$9)</f>
        <v>21.2316</v>
      </c>
      <c r="R473" s="14">
        <f>CHOOSE(CONTROL!$C$42, 21.8717, 21.8717) * CHOOSE(CONTROL!$C$21, $C$9, 100%, $E$9)</f>
        <v>21.871700000000001</v>
      </c>
      <c r="S473" s="14">
        <f>CHOOSE(CONTROL!$C$42, 20.0076, 20.0076) * CHOOSE(CONTROL!$C$21, $C$9, 100%, $E$9)</f>
        <v>20.0076</v>
      </c>
      <c r="T47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73" s="57">
        <f>(1000*CHOOSE(CONTROL!$C$42, 695, 695)*CHOOSE(CONTROL!$C$42, 0.5599, 0.5599)*CHOOSE(CONTROL!$C$42, 31, 31))/1000000</f>
        <v>12.063045499999998</v>
      </c>
      <c r="V473" s="57">
        <f>(1000*CHOOSE(CONTROL!$C$42, 500, 500)*CHOOSE(CONTROL!$C$42, 0.275, 0.275)*CHOOSE(CONTROL!$C$42, 31, 31))/1000000</f>
        <v>4.2625000000000002</v>
      </c>
      <c r="W473" s="57">
        <f>(1000*CHOOSE(CONTROL!$C$42, 0.1146, 0.1146)*CHOOSE(CONTROL!$C$42, 121.5, 121.5)*CHOOSE(CONTROL!$C$42, 31, 31))/1000000</f>
        <v>0.43164089999999994</v>
      </c>
      <c r="X473" s="57">
        <f>(31*0.1790888*245000/1000000)+(31*0.2374*100000/1000000)</f>
        <v>2.0961194359999999</v>
      </c>
      <c r="Y473" s="57"/>
      <c r="Z473" s="14"/>
      <c r="AA473" s="56"/>
      <c r="AB473" s="50">
        <f>(B473*194.205+C473*267.466+D473*133.845+E473*53.484+F473*40+G473*185+H473*0+I473*100+J473*300)/(194.205+267.466+133.845+53.484+0+40+185+100+300)</f>
        <v>20.635328800392465</v>
      </c>
      <c r="AC473" s="45">
        <f>(M473*'RAP TEMPLATE-GAS AVAILABILITY'!O472+N473*'RAP TEMPLATE-GAS AVAILABILITY'!P472+O473*'RAP TEMPLATE-GAS AVAILABILITY'!Q472+P473*'RAP TEMPLATE-GAS AVAILABILITY'!R472)/('RAP TEMPLATE-GAS AVAILABILITY'!O472+'RAP TEMPLATE-GAS AVAILABILITY'!P472+'RAP TEMPLATE-GAS AVAILABILITY'!Q472+'RAP TEMPLATE-GAS AVAILABILITY'!R472)</f>
        <v>20.467710071942449</v>
      </c>
    </row>
    <row r="474" spans="1:29" ht="15.75" x14ac:dyDescent="0.25">
      <c r="A474" s="33">
        <v>55334</v>
      </c>
      <c r="B474" s="14">
        <f>CHOOSE(CONTROL!$C$42, 21.1918, 21.1918) * CHOOSE(CONTROL!$C$21, $C$9, 100%, $E$9)</f>
        <v>21.191800000000001</v>
      </c>
      <c r="C474" s="14">
        <f>CHOOSE(CONTROL!$C$42, 21.1997, 21.1997) * CHOOSE(CONTROL!$C$21, $C$9, 100%, $E$9)</f>
        <v>21.1997</v>
      </c>
      <c r="D474" s="14">
        <f>CHOOSE(CONTROL!$C$42, 21.3973, 21.3973) * CHOOSE(CONTROL!$C$21, $C$9, 100%, $E$9)</f>
        <v>21.397300000000001</v>
      </c>
      <c r="E474" s="14">
        <f>CHOOSE(CONTROL!$C$42, 21.4285, 21.4285) * CHOOSE(CONTROL!$C$21, $C$9, 100%, $E$9)</f>
        <v>21.4285</v>
      </c>
      <c r="F474" s="14">
        <f>CHOOSE(CONTROL!$C$42, 21.1757, 21.1757)*CHOOSE(CONTROL!$C$21, $C$9, 100%, $E$9)</f>
        <v>21.175699999999999</v>
      </c>
      <c r="G474" s="14">
        <f>CHOOSE(CONTROL!$C$42, 21.1918, 21.1918)*CHOOSE(CONTROL!$C$21, $C$9, 100%, $E$9)</f>
        <v>21.191800000000001</v>
      </c>
      <c r="H474" s="14">
        <f>CHOOSE(CONTROL!$C$42, 21.4171, 21.4171) * CHOOSE(CONTROL!$C$21, $C$9, 100%, $E$9)</f>
        <v>21.417100000000001</v>
      </c>
      <c r="I474" s="14">
        <f>CHOOSE(CONTROL!$C$42, 21.2032, 21.2032)* CHOOSE(CONTROL!$C$21, $C$9, 100%, $E$9)</f>
        <v>21.203199999999999</v>
      </c>
      <c r="J474" s="14">
        <f>CHOOSE(CONTROL!$C$42, 21.1687, 21.1687)* CHOOSE(CONTROL!$C$21, $C$9, 100%, $E$9)</f>
        <v>21.168700000000001</v>
      </c>
      <c r="K474" s="53">
        <f>CHOOSE(CONTROL!$C$42, 21.1993, 21.1993) * CHOOSE(CONTROL!$C$21, $C$9, 100%, $E$9)</f>
        <v>21.199300000000001</v>
      </c>
      <c r="L474" s="14">
        <f>CHOOSE(CONTROL!$C$42, 22.0041, 22.0041) * CHOOSE(CONTROL!$C$21, $C$9, 100%, $E$9)</f>
        <v>22.004100000000001</v>
      </c>
      <c r="M474" s="14">
        <f>CHOOSE(CONTROL!$C$42, 20.9689, 20.9689) * CHOOSE(CONTROL!$C$21, $C$9, 100%, $E$9)</f>
        <v>20.968900000000001</v>
      </c>
      <c r="N474" s="14">
        <f>CHOOSE(CONTROL!$C$42, 20.9849, 20.9849) * CHOOSE(CONTROL!$C$21, $C$9, 100%, $E$9)</f>
        <v>20.9849</v>
      </c>
      <c r="O474" s="14">
        <f>CHOOSE(CONTROL!$C$42, 21.2148, 21.2148) * CHOOSE(CONTROL!$C$21, $C$9, 100%, $E$9)</f>
        <v>21.2148</v>
      </c>
      <c r="P474" s="14">
        <f>CHOOSE(CONTROL!$C$42, 21.0031, 21.0031) * CHOOSE(CONTROL!$C$21, $C$9, 100%, $E$9)</f>
        <v>21.0031</v>
      </c>
      <c r="Q474" s="14">
        <f>CHOOSE(CONTROL!$C$42, 21.8101, 21.8101) * CHOOSE(CONTROL!$C$21, $C$9, 100%, $E$9)</f>
        <v>21.810099999999998</v>
      </c>
      <c r="R474" s="14">
        <f>CHOOSE(CONTROL!$C$42, 22.4516, 22.4516) * CHOOSE(CONTROL!$C$21, $C$9, 100%, $E$9)</f>
        <v>22.451599999999999</v>
      </c>
      <c r="S474" s="14">
        <f>CHOOSE(CONTROL!$C$42, 20.5751, 20.5751) * CHOOSE(CONTROL!$C$21, $C$9, 100%, $E$9)</f>
        <v>20.575099999999999</v>
      </c>
      <c r="T47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74" s="57">
        <f>(1000*CHOOSE(CONTROL!$C$42, 695, 695)*CHOOSE(CONTROL!$C$42, 0.5599, 0.5599)*CHOOSE(CONTROL!$C$42, 30, 30))/1000000</f>
        <v>11.673914999999997</v>
      </c>
      <c r="V474" s="57">
        <f>(1000*CHOOSE(CONTROL!$C$42, 500, 500)*CHOOSE(CONTROL!$C$42, 0.275, 0.275)*CHOOSE(CONTROL!$C$42, 30, 30))/1000000</f>
        <v>4.125</v>
      </c>
      <c r="W474" s="57">
        <f>(1000*CHOOSE(CONTROL!$C$42, 0.1146, 0.1146)*CHOOSE(CONTROL!$C$42, 121.5, 121.5)*CHOOSE(CONTROL!$C$42, 30, 30))/1000000</f>
        <v>0.417717</v>
      </c>
      <c r="X474" s="57">
        <f>(30*0.1790888*245000/1000000)+(30*0.2374*100000/1000000)</f>
        <v>2.0285026799999999</v>
      </c>
      <c r="Y474" s="57"/>
      <c r="Z474" s="14"/>
      <c r="AA474" s="56"/>
      <c r="AB474" s="50">
        <f>(B474*194.205+C474*267.466+D474*133.845+E474*53.484+F474*40+G474*185+H474*0+I474*100+J474*300)/(194.205+267.466+133.845+53.484+0+40+185+100+300)</f>
        <v>21.219934844348511</v>
      </c>
      <c r="AC474" s="45">
        <f>(M474*'RAP TEMPLATE-GAS AVAILABILITY'!O473+N474*'RAP TEMPLATE-GAS AVAILABILITY'!P473+O474*'RAP TEMPLATE-GAS AVAILABILITY'!Q473+P474*'RAP TEMPLATE-GAS AVAILABILITY'!R473)/('RAP TEMPLATE-GAS AVAILABILITY'!O473+'RAP TEMPLATE-GAS AVAILABILITY'!P473+'RAP TEMPLATE-GAS AVAILABILITY'!Q473+'RAP TEMPLATE-GAS AVAILABILITY'!R473)</f>
        <v>21.046497841726616</v>
      </c>
    </row>
    <row r="475" spans="1:29" ht="15.75" x14ac:dyDescent="0.25">
      <c r="A475" s="33">
        <v>55365</v>
      </c>
      <c r="B475" s="14">
        <f>CHOOSE(CONTROL!$C$42, 20.7854, 20.7854) * CHOOSE(CONTROL!$C$21, $C$9, 100%, $E$9)</f>
        <v>20.785399999999999</v>
      </c>
      <c r="C475" s="14">
        <f>CHOOSE(CONTROL!$C$42, 20.7933, 20.7933) * CHOOSE(CONTROL!$C$21, $C$9, 100%, $E$9)</f>
        <v>20.793299999999999</v>
      </c>
      <c r="D475" s="14">
        <f>CHOOSE(CONTROL!$C$42, 20.9909, 20.9909) * CHOOSE(CONTROL!$C$21, $C$9, 100%, $E$9)</f>
        <v>20.9909</v>
      </c>
      <c r="E475" s="14">
        <f>CHOOSE(CONTROL!$C$42, 21.022, 21.022) * CHOOSE(CONTROL!$C$21, $C$9, 100%, $E$9)</f>
        <v>21.021999999999998</v>
      </c>
      <c r="F475" s="14">
        <f>CHOOSE(CONTROL!$C$42, 20.7696, 20.7696)*CHOOSE(CONTROL!$C$21, $C$9, 100%, $E$9)</f>
        <v>20.769600000000001</v>
      </c>
      <c r="G475" s="14">
        <f>CHOOSE(CONTROL!$C$42, 20.7859, 20.7859)*CHOOSE(CONTROL!$C$21, $C$9, 100%, $E$9)</f>
        <v>20.785900000000002</v>
      </c>
      <c r="H475" s="14">
        <f>CHOOSE(CONTROL!$C$42, 21.0106, 21.0106) * CHOOSE(CONTROL!$C$21, $C$9, 100%, $E$9)</f>
        <v>21.0106</v>
      </c>
      <c r="I475" s="14">
        <f>CHOOSE(CONTROL!$C$42, 20.7967, 20.7967)* CHOOSE(CONTROL!$C$21, $C$9, 100%, $E$9)</f>
        <v>20.796700000000001</v>
      </c>
      <c r="J475" s="14">
        <f>CHOOSE(CONTROL!$C$42, 20.7626, 20.7626)* CHOOSE(CONTROL!$C$21, $C$9, 100%, $E$9)</f>
        <v>20.762599999999999</v>
      </c>
      <c r="K475" s="53">
        <f>CHOOSE(CONTROL!$C$42, 20.7928, 20.7928) * CHOOSE(CONTROL!$C$21, $C$9, 100%, $E$9)</f>
        <v>20.7928</v>
      </c>
      <c r="L475" s="14">
        <f>CHOOSE(CONTROL!$C$42, 21.5976, 21.5976) * CHOOSE(CONTROL!$C$21, $C$9, 100%, $E$9)</f>
        <v>21.5976</v>
      </c>
      <c r="M475" s="14">
        <f>CHOOSE(CONTROL!$C$42, 20.5669, 20.5669) * CHOOSE(CONTROL!$C$21, $C$9, 100%, $E$9)</f>
        <v>20.5669</v>
      </c>
      <c r="N475" s="14">
        <f>CHOOSE(CONTROL!$C$42, 20.5831, 20.5831) * CHOOSE(CONTROL!$C$21, $C$9, 100%, $E$9)</f>
        <v>20.583100000000002</v>
      </c>
      <c r="O475" s="14">
        <f>CHOOSE(CONTROL!$C$42, 20.8124, 20.8124) * CHOOSE(CONTROL!$C$21, $C$9, 100%, $E$9)</f>
        <v>20.8124</v>
      </c>
      <c r="P475" s="14">
        <f>CHOOSE(CONTROL!$C$42, 20.6007, 20.6007) * CHOOSE(CONTROL!$C$21, $C$9, 100%, $E$9)</f>
        <v>20.6007</v>
      </c>
      <c r="Q475" s="14">
        <f>CHOOSE(CONTROL!$C$42, 21.4077, 21.4077) * CHOOSE(CONTROL!$C$21, $C$9, 100%, $E$9)</f>
        <v>21.407699999999998</v>
      </c>
      <c r="R475" s="14">
        <f>CHOOSE(CONTROL!$C$42, 22.0483, 22.0483) * CHOOSE(CONTROL!$C$21, $C$9, 100%, $E$9)</f>
        <v>22.048300000000001</v>
      </c>
      <c r="S475" s="14">
        <f>CHOOSE(CONTROL!$C$42, 20.1804, 20.1804) * CHOOSE(CONTROL!$C$21, $C$9, 100%, $E$9)</f>
        <v>20.180399999999999</v>
      </c>
      <c r="T47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75" s="57">
        <f>(1000*CHOOSE(CONTROL!$C$42, 695, 695)*CHOOSE(CONTROL!$C$42, 0.5599, 0.5599)*CHOOSE(CONTROL!$C$42, 31, 31))/1000000</f>
        <v>12.063045499999998</v>
      </c>
      <c r="V475" s="57">
        <f>(1000*CHOOSE(CONTROL!$C$42, 500, 500)*CHOOSE(CONTROL!$C$42, 0.275, 0.275)*CHOOSE(CONTROL!$C$42, 31, 31))/1000000</f>
        <v>4.2625000000000002</v>
      </c>
      <c r="W475" s="57">
        <f>(1000*CHOOSE(CONTROL!$C$42, 0.1146, 0.1146)*CHOOSE(CONTROL!$C$42, 121.5, 121.5)*CHOOSE(CONTROL!$C$42, 31, 31))/1000000</f>
        <v>0.43164089999999994</v>
      </c>
      <c r="X475" s="57">
        <f>(31*0.1790888*245000/1000000)+(31*0.2374*100000/1000000)</f>
        <v>2.0961194359999999</v>
      </c>
      <c r="Y475" s="57"/>
      <c r="Z475" s="14"/>
      <c r="AA475" s="56"/>
      <c r="AB475" s="50">
        <f>(B475*194.205+C475*267.466+D475*133.845+E475*53.484+F475*40+G475*185+H475*0+I475*100+J475*300)/(194.205+267.466+133.845+53.484+0+40+185+100+300)</f>
        <v>20.813675465698587</v>
      </c>
      <c r="AC475" s="45">
        <f>(M475*'RAP TEMPLATE-GAS AVAILABILITY'!O474+N475*'RAP TEMPLATE-GAS AVAILABILITY'!P474+O475*'RAP TEMPLATE-GAS AVAILABILITY'!Q474+P475*'RAP TEMPLATE-GAS AVAILABILITY'!R474)/('RAP TEMPLATE-GAS AVAILABILITY'!O474+'RAP TEMPLATE-GAS AVAILABILITY'!P474+'RAP TEMPLATE-GAS AVAILABILITY'!Q474+'RAP TEMPLATE-GAS AVAILABILITY'!R474)</f>
        <v>20.644374100719425</v>
      </c>
    </row>
    <row r="476" spans="1:29" ht="15.75" x14ac:dyDescent="0.25">
      <c r="A476" s="33">
        <v>55396</v>
      </c>
      <c r="B476" s="14">
        <f>CHOOSE(CONTROL!$C$42, 19.7589, 19.7589) * CHOOSE(CONTROL!$C$21, $C$9, 100%, $E$9)</f>
        <v>19.758900000000001</v>
      </c>
      <c r="C476" s="14">
        <f>CHOOSE(CONTROL!$C$42, 19.7669, 19.7669) * CHOOSE(CONTROL!$C$21, $C$9, 100%, $E$9)</f>
        <v>19.7669</v>
      </c>
      <c r="D476" s="14">
        <f>CHOOSE(CONTROL!$C$42, 19.9644, 19.9644) * CHOOSE(CONTROL!$C$21, $C$9, 100%, $E$9)</f>
        <v>19.964400000000001</v>
      </c>
      <c r="E476" s="14">
        <f>CHOOSE(CONTROL!$C$42, 19.9956, 19.9956) * CHOOSE(CONTROL!$C$21, $C$9, 100%, $E$9)</f>
        <v>19.9956</v>
      </c>
      <c r="F476" s="14">
        <f>CHOOSE(CONTROL!$C$42, 19.7434, 19.7434)*CHOOSE(CONTROL!$C$21, $C$9, 100%, $E$9)</f>
        <v>19.743400000000001</v>
      </c>
      <c r="G476" s="14">
        <f>CHOOSE(CONTROL!$C$42, 19.7597, 19.7597)*CHOOSE(CONTROL!$C$21, $C$9, 100%, $E$9)</f>
        <v>19.759699999999999</v>
      </c>
      <c r="H476" s="14">
        <f>CHOOSE(CONTROL!$C$42, 19.9842, 19.9842) * CHOOSE(CONTROL!$C$21, $C$9, 100%, $E$9)</f>
        <v>19.984200000000001</v>
      </c>
      <c r="I476" s="14">
        <f>CHOOSE(CONTROL!$C$42, 19.7703, 19.7703)* CHOOSE(CONTROL!$C$21, $C$9, 100%, $E$9)</f>
        <v>19.770299999999999</v>
      </c>
      <c r="J476" s="14">
        <f>CHOOSE(CONTROL!$C$42, 19.7364, 19.7364)* CHOOSE(CONTROL!$C$21, $C$9, 100%, $E$9)</f>
        <v>19.7364</v>
      </c>
      <c r="K476" s="53">
        <f>CHOOSE(CONTROL!$C$42, 19.7664, 19.7664) * CHOOSE(CONTROL!$C$21, $C$9, 100%, $E$9)</f>
        <v>19.766400000000001</v>
      </c>
      <c r="L476" s="14">
        <f>CHOOSE(CONTROL!$C$42, 20.5712, 20.5712) * CHOOSE(CONTROL!$C$21, $C$9, 100%, $E$9)</f>
        <v>20.571200000000001</v>
      </c>
      <c r="M476" s="14">
        <f>CHOOSE(CONTROL!$C$42, 19.551, 19.551) * CHOOSE(CONTROL!$C$21, $C$9, 100%, $E$9)</f>
        <v>19.550999999999998</v>
      </c>
      <c r="N476" s="14">
        <f>CHOOSE(CONTROL!$C$42, 19.5672, 19.5672) * CHOOSE(CONTROL!$C$21, $C$9, 100%, $E$9)</f>
        <v>19.5672</v>
      </c>
      <c r="O476" s="14">
        <f>CHOOSE(CONTROL!$C$42, 19.7964, 19.7964) * CHOOSE(CONTROL!$C$21, $C$9, 100%, $E$9)</f>
        <v>19.796399999999998</v>
      </c>
      <c r="P476" s="14">
        <f>CHOOSE(CONTROL!$C$42, 19.5847, 19.5847) * CHOOSE(CONTROL!$C$21, $C$9, 100%, $E$9)</f>
        <v>19.584700000000002</v>
      </c>
      <c r="Q476" s="14">
        <f>CHOOSE(CONTROL!$C$42, 20.3917, 20.3917) * CHOOSE(CONTROL!$C$21, $C$9, 100%, $E$9)</f>
        <v>20.3917</v>
      </c>
      <c r="R476" s="14">
        <f>CHOOSE(CONTROL!$C$42, 21.0296, 21.0296) * CHOOSE(CONTROL!$C$21, $C$9, 100%, $E$9)</f>
        <v>21.029599999999999</v>
      </c>
      <c r="S476" s="14">
        <f>CHOOSE(CONTROL!$C$42, 19.1837, 19.1837) * CHOOSE(CONTROL!$C$21, $C$9, 100%, $E$9)</f>
        <v>19.183700000000002</v>
      </c>
      <c r="T47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76" s="57">
        <f>(1000*CHOOSE(CONTROL!$C$42, 695, 695)*CHOOSE(CONTROL!$C$42, 0.5599, 0.5599)*CHOOSE(CONTROL!$C$42, 31, 31))/1000000</f>
        <v>12.063045499999998</v>
      </c>
      <c r="V476" s="57">
        <f>(1000*CHOOSE(CONTROL!$C$42, 500, 500)*CHOOSE(CONTROL!$C$42, 0.275, 0.275)*CHOOSE(CONTROL!$C$42, 31, 31))/1000000</f>
        <v>4.2625000000000002</v>
      </c>
      <c r="W476" s="57">
        <f>(1000*CHOOSE(CONTROL!$C$42, 0.1146, 0.1146)*CHOOSE(CONTROL!$C$42, 121.5, 121.5)*CHOOSE(CONTROL!$C$42, 31, 31))/1000000</f>
        <v>0.43164089999999994</v>
      </c>
      <c r="X476" s="57">
        <f>(31*0.1790888*245000/1000000)+(31*0.2374*100000/1000000)</f>
        <v>2.0961194359999999</v>
      </c>
      <c r="Y476" s="57"/>
      <c r="Z476" s="14"/>
      <c r="AA476" s="56"/>
      <c r="AB476" s="50">
        <f>(B476*194.205+C476*267.466+D476*133.845+E476*53.484+F476*40+G476*185+H476*0+I476*100+J476*300)/(194.205+267.466+133.845+53.484+0+40+185+100+300)</f>
        <v>19.78733213367347</v>
      </c>
      <c r="AC476" s="45">
        <f>(M476*'RAP TEMPLATE-GAS AVAILABILITY'!O475+N476*'RAP TEMPLATE-GAS AVAILABILITY'!P475+O476*'RAP TEMPLATE-GAS AVAILABILITY'!Q475+P476*'RAP TEMPLATE-GAS AVAILABILITY'!R475)/('RAP TEMPLATE-GAS AVAILABILITY'!O475+'RAP TEMPLATE-GAS AVAILABILITY'!P475+'RAP TEMPLATE-GAS AVAILABILITY'!Q475+'RAP TEMPLATE-GAS AVAILABILITY'!R475)</f>
        <v>19.628431654676262</v>
      </c>
    </row>
    <row r="477" spans="1:29" ht="15.75" x14ac:dyDescent="0.25">
      <c r="A477" s="33">
        <v>55426</v>
      </c>
      <c r="B477" s="14">
        <f>CHOOSE(CONTROL!$C$42, 18.5045, 18.5045) * CHOOSE(CONTROL!$C$21, $C$9, 100%, $E$9)</f>
        <v>18.5045</v>
      </c>
      <c r="C477" s="14">
        <f>CHOOSE(CONTROL!$C$42, 18.5124, 18.5124) * CHOOSE(CONTROL!$C$21, $C$9, 100%, $E$9)</f>
        <v>18.5124</v>
      </c>
      <c r="D477" s="14">
        <f>CHOOSE(CONTROL!$C$42, 18.71, 18.71) * CHOOSE(CONTROL!$C$21, $C$9, 100%, $E$9)</f>
        <v>18.71</v>
      </c>
      <c r="E477" s="14">
        <f>CHOOSE(CONTROL!$C$42, 18.7411, 18.7411) * CHOOSE(CONTROL!$C$21, $C$9, 100%, $E$9)</f>
        <v>18.741099999999999</v>
      </c>
      <c r="F477" s="14">
        <f>CHOOSE(CONTROL!$C$42, 18.4888, 18.4888)*CHOOSE(CONTROL!$C$21, $C$9, 100%, $E$9)</f>
        <v>18.488800000000001</v>
      </c>
      <c r="G477" s="14">
        <f>CHOOSE(CONTROL!$C$42, 18.5052, 18.5052)*CHOOSE(CONTROL!$C$21, $C$9, 100%, $E$9)</f>
        <v>18.505199999999999</v>
      </c>
      <c r="H477" s="14">
        <f>CHOOSE(CONTROL!$C$42, 18.7297, 18.7297) * CHOOSE(CONTROL!$C$21, $C$9, 100%, $E$9)</f>
        <v>18.729700000000001</v>
      </c>
      <c r="I477" s="14">
        <f>CHOOSE(CONTROL!$C$42, 18.5158, 18.5158)* CHOOSE(CONTROL!$C$21, $C$9, 100%, $E$9)</f>
        <v>18.515799999999999</v>
      </c>
      <c r="J477" s="14">
        <f>CHOOSE(CONTROL!$C$42, 18.4818, 18.4818)* CHOOSE(CONTROL!$C$21, $C$9, 100%, $E$9)</f>
        <v>18.4818</v>
      </c>
      <c r="K477" s="53">
        <f>CHOOSE(CONTROL!$C$42, 18.5119, 18.5119) * CHOOSE(CONTROL!$C$21, $C$9, 100%, $E$9)</f>
        <v>18.511900000000001</v>
      </c>
      <c r="L477" s="14">
        <f>CHOOSE(CONTROL!$C$42, 19.3167, 19.3167) * CHOOSE(CONTROL!$C$21, $C$9, 100%, $E$9)</f>
        <v>19.316700000000001</v>
      </c>
      <c r="M477" s="14">
        <f>CHOOSE(CONTROL!$C$42, 18.3091, 18.3091) * CHOOSE(CONTROL!$C$21, $C$9, 100%, $E$9)</f>
        <v>18.309100000000001</v>
      </c>
      <c r="N477" s="14">
        <f>CHOOSE(CONTROL!$C$42, 18.3253, 18.3253) * CHOOSE(CONTROL!$C$21, $C$9, 100%, $E$9)</f>
        <v>18.325299999999999</v>
      </c>
      <c r="O477" s="14">
        <f>CHOOSE(CONTROL!$C$42, 18.5545, 18.5545) * CHOOSE(CONTROL!$C$21, $C$9, 100%, $E$9)</f>
        <v>18.554500000000001</v>
      </c>
      <c r="P477" s="14">
        <f>CHOOSE(CONTROL!$C$42, 18.3428, 18.3428) * CHOOSE(CONTROL!$C$21, $C$9, 100%, $E$9)</f>
        <v>18.3428</v>
      </c>
      <c r="Q477" s="14">
        <f>CHOOSE(CONTROL!$C$42, 19.1498, 19.1498) * CHOOSE(CONTROL!$C$21, $C$9, 100%, $E$9)</f>
        <v>19.149799999999999</v>
      </c>
      <c r="R477" s="14">
        <f>CHOOSE(CONTROL!$C$42, 19.7847, 19.7847) * CHOOSE(CONTROL!$C$21, $C$9, 100%, $E$9)</f>
        <v>19.784700000000001</v>
      </c>
      <c r="S477" s="14">
        <f>CHOOSE(CONTROL!$C$42, 17.9654, 17.9654) * CHOOSE(CONTROL!$C$21, $C$9, 100%, $E$9)</f>
        <v>17.965399999999999</v>
      </c>
      <c r="T47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77" s="57">
        <f>(1000*CHOOSE(CONTROL!$C$42, 695, 695)*CHOOSE(CONTROL!$C$42, 0.5599, 0.5599)*CHOOSE(CONTROL!$C$42, 30, 30))/1000000</f>
        <v>11.673914999999997</v>
      </c>
      <c r="V477" s="57">
        <f>(1000*CHOOSE(CONTROL!$C$42, 500, 500)*CHOOSE(CONTROL!$C$42, 0.275, 0.275)*CHOOSE(CONTROL!$C$42, 30, 30))/1000000</f>
        <v>4.125</v>
      </c>
      <c r="W477" s="57">
        <f>(1000*CHOOSE(CONTROL!$C$42, 0.1146, 0.1146)*CHOOSE(CONTROL!$C$42, 121.5, 121.5)*CHOOSE(CONTROL!$C$42, 30, 30))/1000000</f>
        <v>0.417717</v>
      </c>
      <c r="X477" s="57">
        <f>(30*0.1790888*245000/1000000)+(30*0.2374*100000/1000000)</f>
        <v>2.0285026799999999</v>
      </c>
      <c r="Y477" s="57"/>
      <c r="Z477" s="14"/>
      <c r="AA477" s="56"/>
      <c r="AB477" s="50">
        <f>(B477*194.205+C477*267.466+D477*133.845+E477*53.484+F477*40+G477*185+H477*0+I477*100+J477*300)/(194.205+267.466+133.845+53.484+0+40+185+100+300)</f>
        <v>18.532831195682892</v>
      </c>
      <c r="AC477" s="45">
        <f>(M477*'RAP TEMPLATE-GAS AVAILABILITY'!O476+N477*'RAP TEMPLATE-GAS AVAILABILITY'!P476+O477*'RAP TEMPLATE-GAS AVAILABILITY'!Q476+P477*'RAP TEMPLATE-GAS AVAILABILITY'!R476)/('RAP TEMPLATE-GAS AVAILABILITY'!O476+'RAP TEMPLATE-GAS AVAILABILITY'!P476+'RAP TEMPLATE-GAS AVAILABILITY'!Q476+'RAP TEMPLATE-GAS AVAILABILITY'!R476)</f>
        <v>18.386531654676261</v>
      </c>
    </row>
    <row r="478" spans="1:29" ht="15.75" x14ac:dyDescent="0.25">
      <c r="A478" s="33">
        <v>55457</v>
      </c>
      <c r="B478" s="14">
        <f>CHOOSE(CONTROL!$C$42, 18.1271, 18.1271) * CHOOSE(CONTROL!$C$21, $C$9, 100%, $E$9)</f>
        <v>18.127099999999999</v>
      </c>
      <c r="C478" s="14">
        <f>CHOOSE(CONTROL!$C$42, 18.1323, 18.1323) * CHOOSE(CONTROL!$C$21, $C$9, 100%, $E$9)</f>
        <v>18.132300000000001</v>
      </c>
      <c r="D478" s="14">
        <f>CHOOSE(CONTROL!$C$42, 18.3348, 18.3348) * CHOOSE(CONTROL!$C$21, $C$9, 100%, $E$9)</f>
        <v>18.334800000000001</v>
      </c>
      <c r="E478" s="14">
        <f>CHOOSE(CONTROL!$C$42, 18.3636, 18.3636) * CHOOSE(CONTROL!$C$21, $C$9, 100%, $E$9)</f>
        <v>18.363600000000002</v>
      </c>
      <c r="F478" s="14">
        <f>CHOOSE(CONTROL!$C$42, 18.1135, 18.1135)*CHOOSE(CONTROL!$C$21, $C$9, 100%, $E$9)</f>
        <v>18.113499999999998</v>
      </c>
      <c r="G478" s="14">
        <f>CHOOSE(CONTROL!$C$42, 18.1295, 18.1295)*CHOOSE(CONTROL!$C$21, $C$9, 100%, $E$9)</f>
        <v>18.1295</v>
      </c>
      <c r="H478" s="14">
        <f>CHOOSE(CONTROL!$C$42, 18.3541, 18.3541) * CHOOSE(CONTROL!$C$21, $C$9, 100%, $E$9)</f>
        <v>18.354099999999999</v>
      </c>
      <c r="I478" s="14">
        <f>CHOOSE(CONTROL!$C$42, 18.1402, 18.1402)* CHOOSE(CONTROL!$C$21, $C$9, 100%, $E$9)</f>
        <v>18.1402</v>
      </c>
      <c r="J478" s="14">
        <f>CHOOSE(CONTROL!$C$42, 18.1065, 18.1065)* CHOOSE(CONTROL!$C$21, $C$9, 100%, $E$9)</f>
        <v>18.1065</v>
      </c>
      <c r="K478" s="53">
        <f>CHOOSE(CONTROL!$C$42, 18.1363, 18.1363) * CHOOSE(CONTROL!$C$21, $C$9, 100%, $E$9)</f>
        <v>18.136299999999999</v>
      </c>
      <c r="L478" s="14">
        <f>CHOOSE(CONTROL!$C$42, 18.9411, 18.9411) * CHOOSE(CONTROL!$C$21, $C$9, 100%, $E$9)</f>
        <v>18.941099999999999</v>
      </c>
      <c r="M478" s="14">
        <f>CHOOSE(CONTROL!$C$42, 17.9376, 17.9376) * CHOOSE(CONTROL!$C$21, $C$9, 100%, $E$9)</f>
        <v>17.9376</v>
      </c>
      <c r="N478" s="14">
        <f>CHOOSE(CONTROL!$C$42, 17.9534, 17.9534) * CHOOSE(CONTROL!$C$21, $C$9, 100%, $E$9)</f>
        <v>17.953399999999998</v>
      </c>
      <c r="O478" s="14">
        <f>CHOOSE(CONTROL!$C$42, 18.1827, 18.1827) * CHOOSE(CONTROL!$C$21, $C$9, 100%, $E$9)</f>
        <v>18.182700000000001</v>
      </c>
      <c r="P478" s="14">
        <f>CHOOSE(CONTROL!$C$42, 17.971, 17.971) * CHOOSE(CONTROL!$C$21, $C$9, 100%, $E$9)</f>
        <v>17.971</v>
      </c>
      <c r="Q478" s="14">
        <f>CHOOSE(CONTROL!$C$42, 18.778, 18.778) * CHOOSE(CONTROL!$C$21, $C$9, 100%, $E$9)</f>
        <v>18.777999999999999</v>
      </c>
      <c r="R478" s="14">
        <f>CHOOSE(CONTROL!$C$42, 19.412, 19.412) * CHOOSE(CONTROL!$C$21, $C$9, 100%, $E$9)</f>
        <v>19.411999999999999</v>
      </c>
      <c r="S478" s="14">
        <f>CHOOSE(CONTROL!$C$42, 17.6007, 17.6007) * CHOOSE(CONTROL!$C$21, $C$9, 100%, $E$9)</f>
        <v>17.6007</v>
      </c>
      <c r="T47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78" s="57">
        <f>(1000*CHOOSE(CONTROL!$C$42, 695, 695)*CHOOSE(CONTROL!$C$42, 0.5599, 0.5599)*CHOOSE(CONTROL!$C$42, 31, 31))/1000000</f>
        <v>12.063045499999998</v>
      </c>
      <c r="V478" s="57">
        <f>(1000*CHOOSE(CONTROL!$C$42, 500, 500)*CHOOSE(CONTROL!$C$42, 0.275, 0.275)*CHOOSE(CONTROL!$C$42, 31, 31))/1000000</f>
        <v>4.2625000000000002</v>
      </c>
      <c r="W478" s="57">
        <f>(1000*CHOOSE(CONTROL!$C$42, 0.1146, 0.1146)*CHOOSE(CONTROL!$C$42, 121.5, 121.5)*CHOOSE(CONTROL!$C$42, 31, 31))/1000000</f>
        <v>0.43164089999999994</v>
      </c>
      <c r="X478" s="57">
        <f>(31*0.1790888*245000/1000000)+(31*0.2374*100000/1000000)</f>
        <v>2.0961194359999999</v>
      </c>
      <c r="Y478" s="57"/>
      <c r="Z478" s="14"/>
      <c r="AA478" s="56"/>
      <c r="AB478" s="50">
        <f>(B478*131.881+C478*277.167+D478*79.08+E478*125.872+F478*40+G478*185+H478*0+I478*100+J478*300)/(131.881+277.167+79.08+125.872+0+40+185+100+300)</f>
        <v>18.161534957546408</v>
      </c>
      <c r="AC478" s="45">
        <f>(M478*'RAP TEMPLATE-GAS AVAILABILITY'!O477+N478*'RAP TEMPLATE-GAS AVAILABILITY'!P477+O478*'RAP TEMPLATE-GAS AVAILABILITY'!Q477+P478*'RAP TEMPLATE-GAS AVAILABILITY'!R477)/('RAP TEMPLATE-GAS AVAILABILITY'!O477+'RAP TEMPLATE-GAS AVAILABILITY'!P477+'RAP TEMPLATE-GAS AVAILABILITY'!Q477+'RAP TEMPLATE-GAS AVAILABILITY'!R477)</f>
        <v>18.014812230215831</v>
      </c>
    </row>
    <row r="479" spans="1:29" ht="15.75" x14ac:dyDescent="0.25">
      <c r="A479" s="33">
        <v>55487</v>
      </c>
      <c r="B479" s="14">
        <f>CHOOSE(CONTROL!$C$42, 18.6041, 18.6041) * CHOOSE(CONTROL!$C$21, $C$9, 100%, $E$9)</f>
        <v>18.604099999999999</v>
      </c>
      <c r="C479" s="14">
        <f>CHOOSE(CONTROL!$C$42, 18.6091, 18.6091) * CHOOSE(CONTROL!$C$21, $C$9, 100%, $E$9)</f>
        <v>18.609100000000002</v>
      </c>
      <c r="D479" s="14">
        <f>CHOOSE(CONTROL!$C$42, 18.6722, 18.6722) * CHOOSE(CONTROL!$C$21, $C$9, 100%, $E$9)</f>
        <v>18.6722</v>
      </c>
      <c r="E479" s="14">
        <f>CHOOSE(CONTROL!$C$42, 18.7059, 18.7059) * CHOOSE(CONTROL!$C$21, $C$9, 100%, $E$9)</f>
        <v>18.7059</v>
      </c>
      <c r="F479" s="14">
        <f>CHOOSE(CONTROL!$C$42, 18.6048, 18.6048)*CHOOSE(CONTROL!$C$21, $C$9, 100%, $E$9)</f>
        <v>18.604800000000001</v>
      </c>
      <c r="G479" s="14">
        <f>CHOOSE(CONTROL!$C$42, 18.6211, 18.6211)*CHOOSE(CONTROL!$C$21, $C$9, 100%, $E$9)</f>
        <v>18.621099999999998</v>
      </c>
      <c r="H479" s="14">
        <f>CHOOSE(CONTROL!$C$42, 18.6951, 18.6951) * CHOOSE(CONTROL!$C$21, $C$9, 100%, $E$9)</f>
        <v>18.6951</v>
      </c>
      <c r="I479" s="14">
        <f>CHOOSE(CONTROL!$C$42, 18.6177, 18.6177)* CHOOSE(CONTROL!$C$21, $C$9, 100%, $E$9)</f>
        <v>18.617699999999999</v>
      </c>
      <c r="J479" s="14">
        <f>CHOOSE(CONTROL!$C$42, 18.5978, 18.5978)* CHOOSE(CONTROL!$C$21, $C$9, 100%, $E$9)</f>
        <v>18.597799999999999</v>
      </c>
      <c r="K479" s="53">
        <f>CHOOSE(CONTROL!$C$42, 18.6138, 18.6138) * CHOOSE(CONTROL!$C$21, $C$9, 100%, $E$9)</f>
        <v>18.613800000000001</v>
      </c>
      <c r="L479" s="14">
        <f>CHOOSE(CONTROL!$C$42, 19.2821, 19.2821) * CHOOSE(CONTROL!$C$21, $C$9, 100%, $E$9)</f>
        <v>19.2821</v>
      </c>
      <c r="M479" s="14">
        <f>CHOOSE(CONTROL!$C$42, 18.424, 18.424) * CHOOSE(CONTROL!$C$21, $C$9, 100%, $E$9)</f>
        <v>18.423999999999999</v>
      </c>
      <c r="N479" s="14">
        <f>CHOOSE(CONTROL!$C$42, 18.4401, 18.4401) * CHOOSE(CONTROL!$C$21, $C$9, 100%, $E$9)</f>
        <v>18.440100000000001</v>
      </c>
      <c r="O479" s="14">
        <f>CHOOSE(CONTROL!$C$42, 18.5203, 18.5203) * CHOOSE(CONTROL!$C$21, $C$9, 100%, $E$9)</f>
        <v>18.520299999999999</v>
      </c>
      <c r="P479" s="14">
        <f>CHOOSE(CONTROL!$C$42, 18.4437, 18.4437) * CHOOSE(CONTROL!$C$21, $C$9, 100%, $E$9)</f>
        <v>18.4437</v>
      </c>
      <c r="Q479" s="14">
        <f>CHOOSE(CONTROL!$C$42, 19.1156, 19.1156) * CHOOSE(CONTROL!$C$21, $C$9, 100%, $E$9)</f>
        <v>19.115600000000001</v>
      </c>
      <c r="R479" s="14">
        <f>CHOOSE(CONTROL!$C$42, 19.7504, 19.7504) * CHOOSE(CONTROL!$C$21, $C$9, 100%, $E$9)</f>
        <v>19.750399999999999</v>
      </c>
      <c r="S479" s="14">
        <f>CHOOSE(CONTROL!$C$42, 18.0643, 18.0643) * CHOOSE(CONTROL!$C$21, $C$9, 100%, $E$9)</f>
        <v>18.064299999999999</v>
      </c>
      <c r="T47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79" s="57">
        <f>(1000*CHOOSE(CONTROL!$C$42, 695, 695)*CHOOSE(CONTROL!$C$42, 0.5599, 0.5599)*CHOOSE(CONTROL!$C$42, 30, 30))/1000000</f>
        <v>11.673914999999997</v>
      </c>
      <c r="V479" s="57">
        <f>(1000*CHOOSE(CONTROL!$C$42, 500, 500)*CHOOSE(CONTROL!$C$42, 0.275, 0.275)*CHOOSE(CONTROL!$C$42, 30, 30))/1000000</f>
        <v>4.125</v>
      </c>
      <c r="W479" s="57">
        <f>(1000*CHOOSE(CONTROL!$C$42, 0.1146, 0.1146)*CHOOSE(CONTROL!$C$42, 121.5, 121.5)*CHOOSE(CONTROL!$C$42, 30, 30))/1000000</f>
        <v>0.417717</v>
      </c>
      <c r="X479" s="57">
        <f>(30*0.1790888*100000/1000000)+(30*0.2374*100000/1000000)</f>
        <v>1.2494664</v>
      </c>
      <c r="Y479" s="57"/>
      <c r="Z479" s="14"/>
      <c r="AA479" s="56"/>
      <c r="AB479" s="50">
        <f>(B479*122.58+C479*297.941+D479*89.177+E479*40.302+F479*40+G479*160+H479*0+I479*100+J479*300)/(122.58+297.941+89.177+40.302+0+40+160+100+300)</f>
        <v>18.616172523739131</v>
      </c>
      <c r="AC479" s="45">
        <f>(M479*'RAP TEMPLATE-GAS AVAILABILITY'!O478+N479*'RAP TEMPLATE-GAS AVAILABILITY'!P478+O479*'RAP TEMPLATE-GAS AVAILABILITY'!Q478+P479*'RAP TEMPLATE-GAS AVAILABILITY'!R478)/('RAP TEMPLATE-GAS AVAILABILITY'!O478+'RAP TEMPLATE-GAS AVAILABILITY'!P478+'RAP TEMPLATE-GAS AVAILABILITY'!Q478+'RAP TEMPLATE-GAS AVAILABILITY'!R478)</f>
        <v>18.471407913669061</v>
      </c>
    </row>
    <row r="480" spans="1:29" ht="15.75" x14ac:dyDescent="0.25">
      <c r="A480" s="33">
        <v>55518</v>
      </c>
      <c r="B480" s="14">
        <f>CHOOSE(CONTROL!$C$42, 19.8723, 19.8723) * CHOOSE(CONTROL!$C$21, $C$9, 100%, $E$9)</f>
        <v>19.872299999999999</v>
      </c>
      <c r="C480" s="14">
        <f>CHOOSE(CONTROL!$C$42, 19.8773, 19.8773) * CHOOSE(CONTROL!$C$21, $C$9, 100%, $E$9)</f>
        <v>19.877300000000002</v>
      </c>
      <c r="D480" s="14">
        <f>CHOOSE(CONTROL!$C$42, 19.9404, 19.9404) * CHOOSE(CONTROL!$C$21, $C$9, 100%, $E$9)</f>
        <v>19.9404</v>
      </c>
      <c r="E480" s="14">
        <f>CHOOSE(CONTROL!$C$42, 19.9742, 19.9742) * CHOOSE(CONTROL!$C$21, $C$9, 100%, $E$9)</f>
        <v>19.9742</v>
      </c>
      <c r="F480" s="14">
        <f>CHOOSE(CONTROL!$C$42, 19.8751, 19.8751)*CHOOSE(CONTROL!$C$21, $C$9, 100%, $E$9)</f>
        <v>19.8751</v>
      </c>
      <c r="G480" s="14">
        <f>CHOOSE(CONTROL!$C$42, 19.8919, 19.8919)*CHOOSE(CONTROL!$C$21, $C$9, 100%, $E$9)</f>
        <v>19.8919</v>
      </c>
      <c r="H480" s="14">
        <f>CHOOSE(CONTROL!$C$42, 19.9633, 19.9633) * CHOOSE(CONTROL!$C$21, $C$9, 100%, $E$9)</f>
        <v>19.9633</v>
      </c>
      <c r="I480" s="14">
        <f>CHOOSE(CONTROL!$C$42, 19.8859, 19.8859)* CHOOSE(CONTROL!$C$21, $C$9, 100%, $E$9)</f>
        <v>19.885899999999999</v>
      </c>
      <c r="J480" s="14">
        <f>CHOOSE(CONTROL!$C$42, 19.8681, 19.8681)* CHOOSE(CONTROL!$C$21, $C$9, 100%, $E$9)</f>
        <v>19.868099999999998</v>
      </c>
      <c r="K480" s="53">
        <f>CHOOSE(CONTROL!$C$42, 19.882, 19.882) * CHOOSE(CONTROL!$C$21, $C$9, 100%, $E$9)</f>
        <v>19.882000000000001</v>
      </c>
      <c r="L480" s="14">
        <f>CHOOSE(CONTROL!$C$42, 20.5503, 20.5503) * CHOOSE(CONTROL!$C$21, $C$9, 100%, $E$9)</f>
        <v>20.5503</v>
      </c>
      <c r="M480" s="14">
        <f>CHOOSE(CONTROL!$C$42, 19.6814, 19.6814) * CHOOSE(CONTROL!$C$21, $C$9, 100%, $E$9)</f>
        <v>19.6814</v>
      </c>
      <c r="N480" s="14">
        <f>CHOOSE(CONTROL!$C$42, 19.6981, 19.6981) * CHOOSE(CONTROL!$C$21, $C$9, 100%, $E$9)</f>
        <v>19.6981</v>
      </c>
      <c r="O480" s="14">
        <f>CHOOSE(CONTROL!$C$42, 19.7757, 19.7757) * CHOOSE(CONTROL!$C$21, $C$9, 100%, $E$9)</f>
        <v>19.775700000000001</v>
      </c>
      <c r="P480" s="14">
        <f>CHOOSE(CONTROL!$C$42, 19.6991, 19.6991) * CHOOSE(CONTROL!$C$21, $C$9, 100%, $E$9)</f>
        <v>19.699100000000001</v>
      </c>
      <c r="Q480" s="14">
        <f>CHOOSE(CONTROL!$C$42, 20.371, 20.371) * CHOOSE(CONTROL!$C$21, $C$9, 100%, $E$9)</f>
        <v>20.370999999999999</v>
      </c>
      <c r="R480" s="14">
        <f>CHOOSE(CONTROL!$C$42, 21.0089, 21.0089) * CHOOSE(CONTROL!$C$21, $C$9, 100%, $E$9)</f>
        <v>21.008900000000001</v>
      </c>
      <c r="S480" s="14">
        <f>CHOOSE(CONTROL!$C$42, 19.2959, 19.2959) * CHOOSE(CONTROL!$C$21, $C$9, 100%, $E$9)</f>
        <v>19.2959</v>
      </c>
      <c r="T48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80" s="57">
        <f>(1000*CHOOSE(CONTROL!$C$42, 695, 695)*CHOOSE(CONTROL!$C$42, 0.5599, 0.5599)*CHOOSE(CONTROL!$C$42, 31, 31))/1000000</f>
        <v>12.063045499999998</v>
      </c>
      <c r="V480" s="57">
        <f>(1000*CHOOSE(CONTROL!$C$42, 500, 500)*CHOOSE(CONTROL!$C$42, 0.275, 0.275)*CHOOSE(CONTROL!$C$42, 31, 31))/1000000</f>
        <v>4.2625000000000002</v>
      </c>
      <c r="W480" s="57">
        <f>(1000*CHOOSE(CONTROL!$C$42, 0.1146, 0.1146)*CHOOSE(CONTROL!$C$42, 121.5, 121.5)*CHOOSE(CONTROL!$C$42, 31, 31))/1000000</f>
        <v>0.43164089999999994</v>
      </c>
      <c r="X480" s="57">
        <f>(31*0.1790888*100000/1000000)+(31*0.2374*100000/1000000)</f>
        <v>1.2911152800000001</v>
      </c>
      <c r="Y480" s="57"/>
      <c r="Z480" s="14"/>
      <c r="AA480" s="56"/>
      <c r="AB480" s="50">
        <f>(B480*122.58+C480*297.941+D480*89.177+E480*40.302+F480*40+G480*160+H480*0+I480*100+J480*300)/(122.58+297.941+89.177+40.302+0+40+160+100+300)</f>
        <v>19.885358636956521</v>
      </c>
      <c r="AC480" s="45">
        <f>(M480*'RAP TEMPLATE-GAS AVAILABILITY'!O479+N480*'RAP TEMPLATE-GAS AVAILABILITY'!P479+O480*'RAP TEMPLATE-GAS AVAILABILITY'!Q479+P480*'RAP TEMPLATE-GAS AVAILABILITY'!R479)/('RAP TEMPLATE-GAS AVAILABILITY'!O479+'RAP TEMPLATE-GAS AVAILABILITY'!P479+'RAP TEMPLATE-GAS AVAILABILITY'!Q479+'RAP TEMPLATE-GAS AVAILABILITY'!R479)</f>
        <v>19.72764820143885</v>
      </c>
    </row>
    <row r="481" spans="1:29" ht="15.75" x14ac:dyDescent="0.25">
      <c r="A481" s="33">
        <v>55549</v>
      </c>
      <c r="B481" s="14">
        <f>CHOOSE(CONTROL!$C$42, 21.5004, 21.5004) * CHOOSE(CONTROL!$C$21, $C$9, 100%, $E$9)</f>
        <v>21.500399999999999</v>
      </c>
      <c r="C481" s="14">
        <f>CHOOSE(CONTROL!$C$42, 21.5053, 21.5053) * CHOOSE(CONTROL!$C$21, $C$9, 100%, $E$9)</f>
        <v>21.505299999999998</v>
      </c>
      <c r="D481" s="14">
        <f>CHOOSE(CONTROL!$C$42, 21.5696, 21.5696) * CHOOSE(CONTROL!$C$21, $C$9, 100%, $E$9)</f>
        <v>21.569600000000001</v>
      </c>
      <c r="E481" s="14">
        <f>CHOOSE(CONTROL!$C$42, 21.6034, 21.6034) * CHOOSE(CONTROL!$C$21, $C$9, 100%, $E$9)</f>
        <v>21.603400000000001</v>
      </c>
      <c r="F481" s="14">
        <f>CHOOSE(CONTROL!$C$42, 21.5019, 21.5019)*CHOOSE(CONTROL!$C$21, $C$9, 100%, $E$9)</f>
        <v>21.501899999999999</v>
      </c>
      <c r="G481" s="14">
        <f>CHOOSE(CONTROL!$C$42, 21.5178, 21.5178)*CHOOSE(CONTROL!$C$21, $C$9, 100%, $E$9)</f>
        <v>21.517800000000001</v>
      </c>
      <c r="H481" s="14">
        <f>CHOOSE(CONTROL!$C$42, 21.5926, 21.5926) * CHOOSE(CONTROL!$C$21, $C$9, 100%, $E$9)</f>
        <v>21.592600000000001</v>
      </c>
      <c r="I481" s="14">
        <f>CHOOSE(CONTROL!$C$42, 21.5204, 21.5204)* CHOOSE(CONTROL!$C$21, $C$9, 100%, $E$9)</f>
        <v>21.520399999999999</v>
      </c>
      <c r="J481" s="14">
        <f>CHOOSE(CONTROL!$C$42, 21.4949, 21.4949)* CHOOSE(CONTROL!$C$21, $C$9, 100%, $E$9)</f>
        <v>21.494900000000001</v>
      </c>
      <c r="K481" s="53">
        <f>CHOOSE(CONTROL!$C$42, 21.5165, 21.5165) * CHOOSE(CONTROL!$C$21, $C$9, 100%, $E$9)</f>
        <v>21.516500000000001</v>
      </c>
      <c r="L481" s="14">
        <f>CHOOSE(CONTROL!$C$42, 22.1796, 22.1796) * CHOOSE(CONTROL!$C$21, $C$9, 100%, $E$9)</f>
        <v>22.179600000000001</v>
      </c>
      <c r="M481" s="14">
        <f>CHOOSE(CONTROL!$C$42, 21.2918, 21.2918) * CHOOSE(CONTROL!$C$21, $C$9, 100%, $E$9)</f>
        <v>21.291799999999999</v>
      </c>
      <c r="N481" s="14">
        <f>CHOOSE(CONTROL!$C$42, 21.3076, 21.3076) * CHOOSE(CONTROL!$C$21, $C$9, 100%, $E$9)</f>
        <v>21.307600000000001</v>
      </c>
      <c r="O481" s="14">
        <f>CHOOSE(CONTROL!$C$42, 21.3885, 21.3885) * CHOOSE(CONTROL!$C$21, $C$9, 100%, $E$9)</f>
        <v>21.388500000000001</v>
      </c>
      <c r="P481" s="14">
        <f>CHOOSE(CONTROL!$C$42, 21.317, 21.317) * CHOOSE(CONTROL!$C$21, $C$9, 100%, $E$9)</f>
        <v>21.317</v>
      </c>
      <c r="Q481" s="14">
        <f>CHOOSE(CONTROL!$C$42, 21.9838, 21.9838) * CHOOSE(CONTROL!$C$21, $C$9, 100%, $E$9)</f>
        <v>21.983799999999999</v>
      </c>
      <c r="R481" s="14">
        <f>CHOOSE(CONTROL!$C$42, 22.6258, 22.6258) * CHOOSE(CONTROL!$C$21, $C$9, 100%, $E$9)</f>
        <v>22.625800000000002</v>
      </c>
      <c r="S481" s="14">
        <f>CHOOSE(CONTROL!$C$42, 20.8769, 20.8769) * CHOOSE(CONTROL!$C$21, $C$9, 100%, $E$9)</f>
        <v>20.876899999999999</v>
      </c>
      <c r="T48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81" s="57">
        <f>(1000*CHOOSE(CONTROL!$C$42, 695, 695)*CHOOSE(CONTROL!$C$42, 0.5599, 0.5599)*CHOOSE(CONTROL!$C$42, 31, 31))/1000000</f>
        <v>12.063045499999998</v>
      </c>
      <c r="V481" s="57">
        <f>(1000*CHOOSE(CONTROL!$C$42, 500, 500)*CHOOSE(CONTROL!$C$42, 0.275, 0.275)*CHOOSE(CONTROL!$C$42, 31, 31))/1000000</f>
        <v>4.2625000000000002</v>
      </c>
      <c r="W481" s="57">
        <f>(1000*CHOOSE(CONTROL!$C$42, 0.1146, 0.1146)*CHOOSE(CONTROL!$C$42, 121.5, 121.5)*CHOOSE(CONTROL!$C$42, 31, 31))/1000000</f>
        <v>0.43164089999999994</v>
      </c>
      <c r="X481" s="57">
        <f>(31*0.1790888*100000/1000000)+(31*0.2374*100000/1000000)</f>
        <v>1.2911152800000001</v>
      </c>
      <c r="Y481" s="57"/>
      <c r="Z481" s="14"/>
      <c r="AA481" s="56"/>
      <c r="AB481" s="50">
        <f>(B481*122.58+C481*297.941+D481*89.177+E481*40.302+F481*40+G481*160+H481*0+I481*100+J481*300)/(122.58+297.941+89.177+40.302+0+40+160+100+300)</f>
        <v>21.513422665478259</v>
      </c>
      <c r="AC481" s="45">
        <f>(M481*'RAP TEMPLATE-GAS AVAILABILITY'!O480+N481*'RAP TEMPLATE-GAS AVAILABILITY'!P480+O481*'RAP TEMPLATE-GAS AVAILABILITY'!Q480+P481*'RAP TEMPLATE-GAS AVAILABILITY'!R480)/('RAP TEMPLATE-GAS AVAILABILITY'!O480+'RAP TEMPLATE-GAS AVAILABILITY'!P480+'RAP TEMPLATE-GAS AVAILABILITY'!Q480+'RAP TEMPLATE-GAS AVAILABILITY'!R480)</f>
        <v>21.340163309352516</v>
      </c>
    </row>
    <row r="482" spans="1:29" ht="15.75" x14ac:dyDescent="0.25">
      <c r="A482" s="33">
        <v>55577</v>
      </c>
      <c r="B482" s="14">
        <f>CHOOSE(CONTROL!$C$42, 21.8831, 21.8831) * CHOOSE(CONTROL!$C$21, $C$9, 100%, $E$9)</f>
        <v>21.883099999999999</v>
      </c>
      <c r="C482" s="14">
        <f>CHOOSE(CONTROL!$C$42, 21.888, 21.888) * CHOOSE(CONTROL!$C$21, $C$9, 100%, $E$9)</f>
        <v>21.888000000000002</v>
      </c>
      <c r="D482" s="14">
        <f>CHOOSE(CONTROL!$C$42, 21.9523, 21.9523) * CHOOSE(CONTROL!$C$21, $C$9, 100%, $E$9)</f>
        <v>21.952300000000001</v>
      </c>
      <c r="E482" s="14">
        <f>CHOOSE(CONTROL!$C$42, 21.9861, 21.9861) * CHOOSE(CONTROL!$C$21, $C$9, 100%, $E$9)</f>
        <v>21.9861</v>
      </c>
      <c r="F482" s="14">
        <f>CHOOSE(CONTROL!$C$42, 21.8846, 21.8846)*CHOOSE(CONTROL!$C$21, $C$9, 100%, $E$9)</f>
        <v>21.884599999999999</v>
      </c>
      <c r="G482" s="14">
        <f>CHOOSE(CONTROL!$C$42, 21.9006, 21.9006)*CHOOSE(CONTROL!$C$21, $C$9, 100%, $E$9)</f>
        <v>21.900600000000001</v>
      </c>
      <c r="H482" s="14">
        <f>CHOOSE(CONTROL!$C$42, 21.9753, 21.9753) * CHOOSE(CONTROL!$C$21, $C$9, 100%, $E$9)</f>
        <v>21.975300000000001</v>
      </c>
      <c r="I482" s="14">
        <f>CHOOSE(CONTROL!$C$42, 21.903, 21.903)* CHOOSE(CONTROL!$C$21, $C$9, 100%, $E$9)</f>
        <v>21.902999999999999</v>
      </c>
      <c r="J482" s="14">
        <f>CHOOSE(CONTROL!$C$42, 21.8776, 21.8776)* CHOOSE(CONTROL!$C$21, $C$9, 100%, $E$9)</f>
        <v>21.877600000000001</v>
      </c>
      <c r="K482" s="53">
        <f>CHOOSE(CONTROL!$C$42, 21.8992, 21.8992) * CHOOSE(CONTROL!$C$21, $C$9, 100%, $E$9)</f>
        <v>21.8992</v>
      </c>
      <c r="L482" s="14">
        <f>CHOOSE(CONTROL!$C$42, 22.5623, 22.5623) * CHOOSE(CONTROL!$C$21, $C$9, 100%, $E$9)</f>
        <v>22.5623</v>
      </c>
      <c r="M482" s="14">
        <f>CHOOSE(CONTROL!$C$42, 21.6707, 21.6707) * CHOOSE(CONTROL!$C$21, $C$9, 100%, $E$9)</f>
        <v>21.6707</v>
      </c>
      <c r="N482" s="14">
        <f>CHOOSE(CONTROL!$C$42, 21.6864, 21.6864) * CHOOSE(CONTROL!$C$21, $C$9, 100%, $E$9)</f>
        <v>21.686399999999999</v>
      </c>
      <c r="O482" s="14">
        <f>CHOOSE(CONTROL!$C$42, 21.7673, 21.7673) * CHOOSE(CONTROL!$C$21, $C$9, 100%, $E$9)</f>
        <v>21.767299999999999</v>
      </c>
      <c r="P482" s="14">
        <f>CHOOSE(CONTROL!$C$42, 21.6959, 21.6959) * CHOOSE(CONTROL!$C$21, $C$9, 100%, $E$9)</f>
        <v>21.695900000000002</v>
      </c>
      <c r="Q482" s="14">
        <f>CHOOSE(CONTROL!$C$42, 22.3626, 22.3626) * CHOOSE(CONTROL!$C$21, $C$9, 100%, $E$9)</f>
        <v>22.3626</v>
      </c>
      <c r="R482" s="14">
        <f>CHOOSE(CONTROL!$C$42, 23.0055, 23.0055) * CHOOSE(CONTROL!$C$21, $C$9, 100%, $E$9)</f>
        <v>23.005500000000001</v>
      </c>
      <c r="S482" s="14">
        <f>CHOOSE(CONTROL!$C$42, 21.2485, 21.2485) * CHOOSE(CONTROL!$C$21, $C$9, 100%, $E$9)</f>
        <v>21.2485</v>
      </c>
      <c r="T482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482" s="57">
        <f>(1000*CHOOSE(CONTROL!$C$42, 695, 695)*CHOOSE(CONTROL!$C$42, 0.5599, 0.5599)*CHOOSE(CONTROL!$C$42, 29, 29))/1000000</f>
        <v>11.284784499999999</v>
      </c>
      <c r="V482" s="57">
        <f>(1000*CHOOSE(CONTROL!$C$42, 500, 500)*CHOOSE(CONTROL!$C$42, 0.275, 0.275)*CHOOSE(CONTROL!$C$42, 29, 29))/1000000</f>
        <v>3.9874999999999998</v>
      </c>
      <c r="W482" s="57">
        <f>(1000*CHOOSE(CONTROL!$C$42, 0.1146, 0.1146)*CHOOSE(CONTROL!$C$42, 121.5, 121.5)*CHOOSE(CONTROL!$C$42, 29, 29))/1000000</f>
        <v>0.40379309999999996</v>
      </c>
      <c r="X482" s="57">
        <f>(29*0.1790888*100000/1000000)+(29*0.2374*100000/1000000)</f>
        <v>1.2078175199999999</v>
      </c>
      <c r="Y482" s="57"/>
      <c r="Z482" s="14"/>
      <c r="AA482" s="56"/>
      <c r="AB482" s="50">
        <f>(B482*122.58+C482*297.941+D482*89.177+E482*40.302+F482*40+G482*160+H482*0+I482*100+J482*300)/(122.58+297.941+89.177+40.302+0+40+160+100+300)</f>
        <v>21.896127882869568</v>
      </c>
      <c r="AC482" s="45">
        <f>(M482*'RAP TEMPLATE-GAS AVAILABILITY'!O481+N482*'RAP TEMPLATE-GAS AVAILABILITY'!P481+O482*'RAP TEMPLATE-GAS AVAILABILITY'!Q481+P482*'RAP TEMPLATE-GAS AVAILABILITY'!R481)/('RAP TEMPLATE-GAS AVAILABILITY'!O481+'RAP TEMPLATE-GAS AVAILABILITY'!P481+'RAP TEMPLATE-GAS AVAILABILITY'!Q481+'RAP TEMPLATE-GAS AVAILABILITY'!R481)</f>
        <v>21.719012230215828</v>
      </c>
    </row>
    <row r="483" spans="1:29" ht="15.75" x14ac:dyDescent="0.25">
      <c r="A483" s="33">
        <v>55609</v>
      </c>
      <c r="B483" s="14">
        <f>CHOOSE(CONTROL!$C$42, 21.2619, 21.2619) * CHOOSE(CONTROL!$C$21, $C$9, 100%, $E$9)</f>
        <v>21.261900000000001</v>
      </c>
      <c r="C483" s="14">
        <f>CHOOSE(CONTROL!$C$42, 21.2668, 21.2668) * CHOOSE(CONTROL!$C$21, $C$9, 100%, $E$9)</f>
        <v>21.2668</v>
      </c>
      <c r="D483" s="14">
        <f>CHOOSE(CONTROL!$C$42, 21.3311, 21.3311) * CHOOSE(CONTROL!$C$21, $C$9, 100%, $E$9)</f>
        <v>21.331099999999999</v>
      </c>
      <c r="E483" s="14">
        <f>CHOOSE(CONTROL!$C$42, 21.3649, 21.3649) * CHOOSE(CONTROL!$C$21, $C$9, 100%, $E$9)</f>
        <v>21.364899999999999</v>
      </c>
      <c r="F483" s="14">
        <f>CHOOSE(CONTROL!$C$42, 21.2631, 21.2631)*CHOOSE(CONTROL!$C$21, $C$9, 100%, $E$9)</f>
        <v>21.263100000000001</v>
      </c>
      <c r="G483" s="14">
        <f>CHOOSE(CONTROL!$C$42, 21.279, 21.279)*CHOOSE(CONTROL!$C$21, $C$9, 100%, $E$9)</f>
        <v>21.279</v>
      </c>
      <c r="H483" s="14">
        <f>CHOOSE(CONTROL!$C$42, 21.3541, 21.3541) * CHOOSE(CONTROL!$C$21, $C$9, 100%, $E$9)</f>
        <v>21.354099999999999</v>
      </c>
      <c r="I483" s="14">
        <f>CHOOSE(CONTROL!$C$42, 21.2819, 21.2819)* CHOOSE(CONTROL!$C$21, $C$9, 100%, $E$9)</f>
        <v>21.2819</v>
      </c>
      <c r="J483" s="14">
        <f>CHOOSE(CONTROL!$C$42, 21.2561, 21.2561)* CHOOSE(CONTROL!$C$21, $C$9, 100%, $E$9)</f>
        <v>21.2561</v>
      </c>
      <c r="K483" s="53">
        <f>CHOOSE(CONTROL!$C$42, 21.278, 21.278) * CHOOSE(CONTROL!$C$21, $C$9, 100%, $E$9)</f>
        <v>21.277999999999999</v>
      </c>
      <c r="L483" s="14">
        <f>CHOOSE(CONTROL!$C$42, 21.9411, 21.9411) * CHOOSE(CONTROL!$C$21, $C$9, 100%, $E$9)</f>
        <v>21.941099999999999</v>
      </c>
      <c r="M483" s="14">
        <f>CHOOSE(CONTROL!$C$42, 21.0554, 21.0554) * CHOOSE(CONTROL!$C$21, $C$9, 100%, $E$9)</f>
        <v>21.055399999999999</v>
      </c>
      <c r="N483" s="14">
        <f>CHOOSE(CONTROL!$C$42, 21.0711, 21.0711) * CHOOSE(CONTROL!$C$21, $C$9, 100%, $E$9)</f>
        <v>21.071100000000001</v>
      </c>
      <c r="O483" s="14">
        <f>CHOOSE(CONTROL!$C$42, 21.1524, 21.1524) * CHOOSE(CONTROL!$C$21, $C$9, 100%, $E$9)</f>
        <v>21.1524</v>
      </c>
      <c r="P483" s="14">
        <f>CHOOSE(CONTROL!$C$42, 21.0809, 21.0809) * CHOOSE(CONTROL!$C$21, $C$9, 100%, $E$9)</f>
        <v>21.0809</v>
      </c>
      <c r="Q483" s="14">
        <f>CHOOSE(CONTROL!$C$42, 21.7477, 21.7477) * CHOOSE(CONTROL!$C$21, $C$9, 100%, $E$9)</f>
        <v>21.747699999999998</v>
      </c>
      <c r="R483" s="14">
        <f>CHOOSE(CONTROL!$C$42, 22.3891, 22.3891) * CHOOSE(CONTROL!$C$21, $C$9, 100%, $E$9)</f>
        <v>22.389099999999999</v>
      </c>
      <c r="S483" s="14">
        <f>CHOOSE(CONTROL!$C$42, 20.6453, 20.6453) * CHOOSE(CONTROL!$C$21, $C$9, 100%, $E$9)</f>
        <v>20.645299999999999</v>
      </c>
      <c r="T48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83" s="57">
        <f>(1000*CHOOSE(CONTROL!$C$42, 695, 695)*CHOOSE(CONTROL!$C$42, 0.5599, 0.5599)*CHOOSE(CONTROL!$C$42, 31, 31))/1000000</f>
        <v>12.063045499999998</v>
      </c>
      <c r="V483" s="57">
        <f>(1000*CHOOSE(CONTROL!$C$42, 500, 500)*CHOOSE(CONTROL!$C$42, 0.275, 0.275)*CHOOSE(CONTROL!$C$42, 31, 31))/1000000</f>
        <v>4.2625000000000002</v>
      </c>
      <c r="W483" s="57">
        <f>(1000*CHOOSE(CONTROL!$C$42, 0.1146, 0.1146)*CHOOSE(CONTROL!$C$42, 121.5, 121.5)*CHOOSE(CONTROL!$C$42, 31, 31))/1000000</f>
        <v>0.43164089999999994</v>
      </c>
      <c r="X483" s="57">
        <f>(31*0.1790888*100000/1000000)+(31*0.2374*100000/1000000)</f>
        <v>1.2911152800000001</v>
      </c>
      <c r="Y483" s="57"/>
      <c r="Z483" s="14"/>
      <c r="AA483" s="56"/>
      <c r="AB483" s="50">
        <f>(B483*122.58+C483*297.941+D483*89.177+E483*40.302+F483*40+G483*160+H483*0+I483*100+J483*300)/(122.58+297.941+89.177+40.302+0+40+160+100+300)</f>
        <v>21.274792230695653</v>
      </c>
      <c r="AC483" s="45">
        <f>(M483*'RAP TEMPLATE-GAS AVAILABILITY'!O482+N483*'RAP TEMPLATE-GAS AVAILABILITY'!P482+O483*'RAP TEMPLATE-GAS AVAILABILITY'!Q482+P483*'RAP TEMPLATE-GAS AVAILABILITY'!R482)/('RAP TEMPLATE-GAS AVAILABILITY'!O482+'RAP TEMPLATE-GAS AVAILABILITY'!P482+'RAP TEMPLATE-GAS AVAILABILITY'!Q482+'RAP TEMPLATE-GAS AVAILABILITY'!R482)</f>
        <v>21.103936690647483</v>
      </c>
    </row>
    <row r="484" spans="1:29" ht="15.75" x14ac:dyDescent="0.25">
      <c r="A484" s="33">
        <v>55639</v>
      </c>
      <c r="B484" s="14">
        <f>CHOOSE(CONTROL!$C$42, 21.1994, 21.1994) * CHOOSE(CONTROL!$C$21, $C$9, 100%, $E$9)</f>
        <v>21.199400000000001</v>
      </c>
      <c r="C484" s="14">
        <f>CHOOSE(CONTROL!$C$42, 21.2038, 21.2038) * CHOOSE(CONTROL!$C$21, $C$9, 100%, $E$9)</f>
        <v>21.203800000000001</v>
      </c>
      <c r="D484" s="14">
        <f>CHOOSE(CONTROL!$C$42, 21.4045, 21.4045) * CHOOSE(CONTROL!$C$21, $C$9, 100%, $E$9)</f>
        <v>21.404499999999999</v>
      </c>
      <c r="E484" s="14">
        <f>CHOOSE(CONTROL!$C$42, 21.4363, 21.4363) * CHOOSE(CONTROL!$C$21, $C$9, 100%, $E$9)</f>
        <v>21.436299999999999</v>
      </c>
      <c r="F484" s="14">
        <f>CHOOSE(CONTROL!$C$42, 21.184, 21.184)*CHOOSE(CONTROL!$C$21, $C$9, 100%, $E$9)</f>
        <v>21.184000000000001</v>
      </c>
      <c r="G484" s="14">
        <f>CHOOSE(CONTROL!$C$42, 21.1996, 21.1996)*CHOOSE(CONTROL!$C$21, $C$9, 100%, $E$9)</f>
        <v>21.1996</v>
      </c>
      <c r="H484" s="14">
        <f>CHOOSE(CONTROL!$C$42, 21.4261, 21.4261) * CHOOSE(CONTROL!$C$21, $C$9, 100%, $E$9)</f>
        <v>21.426100000000002</v>
      </c>
      <c r="I484" s="14">
        <f>CHOOSE(CONTROL!$C$42, 21.2122, 21.2122)* CHOOSE(CONTROL!$C$21, $C$9, 100%, $E$9)</f>
        <v>21.212199999999999</v>
      </c>
      <c r="J484" s="14">
        <f>CHOOSE(CONTROL!$C$42, 21.177, 21.177)* CHOOSE(CONTROL!$C$21, $C$9, 100%, $E$9)</f>
        <v>21.177</v>
      </c>
      <c r="K484" s="53">
        <f>CHOOSE(CONTROL!$C$42, 21.2083, 21.2083) * CHOOSE(CONTROL!$C$21, $C$9, 100%, $E$9)</f>
        <v>21.208300000000001</v>
      </c>
      <c r="L484" s="14">
        <f>CHOOSE(CONTROL!$C$42, 22.0131, 22.0131) * CHOOSE(CONTROL!$C$21, $C$9, 100%, $E$9)</f>
        <v>22.013100000000001</v>
      </c>
      <c r="M484" s="14">
        <f>CHOOSE(CONTROL!$C$42, 20.9771, 20.9771) * CHOOSE(CONTROL!$C$21, $C$9, 100%, $E$9)</f>
        <v>20.9771</v>
      </c>
      <c r="N484" s="14">
        <f>CHOOSE(CONTROL!$C$42, 20.9926, 20.9926) * CHOOSE(CONTROL!$C$21, $C$9, 100%, $E$9)</f>
        <v>20.992599999999999</v>
      </c>
      <c r="O484" s="14">
        <f>CHOOSE(CONTROL!$C$42, 21.2237, 21.2237) * CHOOSE(CONTROL!$C$21, $C$9, 100%, $E$9)</f>
        <v>21.223700000000001</v>
      </c>
      <c r="P484" s="14">
        <f>CHOOSE(CONTROL!$C$42, 21.012, 21.012) * CHOOSE(CONTROL!$C$21, $C$9, 100%, $E$9)</f>
        <v>21.012</v>
      </c>
      <c r="Q484" s="14">
        <f>CHOOSE(CONTROL!$C$42, 21.819, 21.819) * CHOOSE(CONTROL!$C$21, $C$9, 100%, $E$9)</f>
        <v>21.818999999999999</v>
      </c>
      <c r="R484" s="14">
        <f>CHOOSE(CONTROL!$C$42, 22.4605, 22.4605) * CHOOSE(CONTROL!$C$21, $C$9, 100%, $E$9)</f>
        <v>22.4605</v>
      </c>
      <c r="S484" s="14">
        <f>CHOOSE(CONTROL!$C$42, 20.5838, 20.5838) * CHOOSE(CONTROL!$C$21, $C$9, 100%, $E$9)</f>
        <v>20.5838</v>
      </c>
      <c r="T48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84" s="57">
        <f>(1000*CHOOSE(CONTROL!$C$42, 695, 695)*CHOOSE(CONTROL!$C$42, 0.5599, 0.5599)*CHOOSE(CONTROL!$C$42, 30, 30))/1000000</f>
        <v>11.673914999999997</v>
      </c>
      <c r="V484" s="57">
        <f>(1000*CHOOSE(CONTROL!$C$42, 500, 500)*CHOOSE(CONTROL!$C$42, 0.275, 0.275)*CHOOSE(CONTROL!$C$42, 30, 30))/1000000</f>
        <v>4.125</v>
      </c>
      <c r="W484" s="57">
        <f>(1000*CHOOSE(CONTROL!$C$42, 0.1146, 0.1146)*CHOOSE(CONTROL!$C$42, 121.5, 121.5)*CHOOSE(CONTROL!$C$42, 30, 30))/1000000</f>
        <v>0.417717</v>
      </c>
      <c r="X484" s="57">
        <f>(30*0.1790888*245000/1000000)+(30*0.2374*100000/1000000)</f>
        <v>2.0285026799999999</v>
      </c>
      <c r="Y484" s="57"/>
      <c r="Z484" s="14"/>
      <c r="AA484" s="56"/>
      <c r="AB484" s="50">
        <f>(B484*141.293+C484*267.993+D484*115.016+E484*89.698+F484*40+G484*185+H484*0+I484*100+J484*300)/(141.293+267.993+115.016+89.698+0+40+185+100+300)</f>
        <v>21.231683621468925</v>
      </c>
      <c r="AC484" s="45">
        <f>(M484*'RAP TEMPLATE-GAS AVAILABILITY'!O483+N484*'RAP TEMPLATE-GAS AVAILABILITY'!P483+O484*'RAP TEMPLATE-GAS AVAILABILITY'!Q483+P484*'RAP TEMPLATE-GAS AVAILABILITY'!R483)/('RAP TEMPLATE-GAS AVAILABILITY'!O483+'RAP TEMPLATE-GAS AVAILABILITY'!P483+'RAP TEMPLATE-GAS AVAILABILITY'!Q483+'RAP TEMPLATE-GAS AVAILABILITY'!R483)</f>
        <v>21.054879856115111</v>
      </c>
    </row>
    <row r="485" spans="1:29" ht="15.75" x14ac:dyDescent="0.25">
      <c r="A485" s="33">
        <v>55670</v>
      </c>
      <c r="B485" s="14">
        <f>CHOOSE(CONTROL!$C$42, 21.3879, 21.3879) * CHOOSE(CONTROL!$C$21, $C$9, 100%, $E$9)</f>
        <v>21.387899999999998</v>
      </c>
      <c r="C485" s="14">
        <f>CHOOSE(CONTROL!$C$42, 21.3958, 21.3958) * CHOOSE(CONTROL!$C$21, $C$9, 100%, $E$9)</f>
        <v>21.395800000000001</v>
      </c>
      <c r="D485" s="14">
        <f>CHOOSE(CONTROL!$C$42, 21.5934, 21.5934) * CHOOSE(CONTROL!$C$21, $C$9, 100%, $E$9)</f>
        <v>21.593399999999999</v>
      </c>
      <c r="E485" s="14">
        <f>CHOOSE(CONTROL!$C$42, 21.6245, 21.6245) * CHOOSE(CONTROL!$C$21, $C$9, 100%, $E$9)</f>
        <v>21.624500000000001</v>
      </c>
      <c r="F485" s="14">
        <f>CHOOSE(CONTROL!$C$42, 21.3713, 21.3713)*CHOOSE(CONTROL!$C$21, $C$9, 100%, $E$9)</f>
        <v>21.371300000000002</v>
      </c>
      <c r="G485" s="14">
        <f>CHOOSE(CONTROL!$C$42, 21.3874, 21.3874)*CHOOSE(CONTROL!$C$21, $C$9, 100%, $E$9)</f>
        <v>21.3874</v>
      </c>
      <c r="H485" s="14">
        <f>CHOOSE(CONTROL!$C$42, 21.6131, 21.6131) * CHOOSE(CONTROL!$C$21, $C$9, 100%, $E$9)</f>
        <v>21.613099999999999</v>
      </c>
      <c r="I485" s="14">
        <f>CHOOSE(CONTROL!$C$42, 21.3992, 21.3992)* CHOOSE(CONTROL!$C$21, $C$9, 100%, $E$9)</f>
        <v>21.3992</v>
      </c>
      <c r="J485" s="14">
        <f>CHOOSE(CONTROL!$C$42, 21.3643, 21.3643)* CHOOSE(CONTROL!$C$21, $C$9, 100%, $E$9)</f>
        <v>21.3643</v>
      </c>
      <c r="K485" s="53">
        <f>CHOOSE(CONTROL!$C$42, 21.3953, 21.3953) * CHOOSE(CONTROL!$C$21, $C$9, 100%, $E$9)</f>
        <v>21.395299999999999</v>
      </c>
      <c r="L485" s="14">
        <f>CHOOSE(CONTROL!$C$42, 22.2001, 22.2001) * CHOOSE(CONTROL!$C$21, $C$9, 100%, $E$9)</f>
        <v>22.200099999999999</v>
      </c>
      <c r="M485" s="14">
        <f>CHOOSE(CONTROL!$C$42, 21.1625, 21.1625) * CHOOSE(CONTROL!$C$21, $C$9, 100%, $E$9)</f>
        <v>21.162500000000001</v>
      </c>
      <c r="N485" s="14">
        <f>CHOOSE(CONTROL!$C$42, 21.1784, 21.1784) * CHOOSE(CONTROL!$C$21, $C$9, 100%, $E$9)</f>
        <v>21.1784</v>
      </c>
      <c r="O485" s="14">
        <f>CHOOSE(CONTROL!$C$42, 21.4088, 21.4088) * CHOOSE(CONTROL!$C$21, $C$9, 100%, $E$9)</f>
        <v>21.408799999999999</v>
      </c>
      <c r="P485" s="14">
        <f>CHOOSE(CONTROL!$C$42, 21.1971, 21.1971) * CHOOSE(CONTROL!$C$21, $C$9, 100%, $E$9)</f>
        <v>21.197099999999999</v>
      </c>
      <c r="Q485" s="14">
        <f>CHOOSE(CONTROL!$C$42, 22.0041, 22.0041) * CHOOSE(CONTROL!$C$21, $C$9, 100%, $E$9)</f>
        <v>22.004100000000001</v>
      </c>
      <c r="R485" s="14">
        <f>CHOOSE(CONTROL!$C$42, 22.6462, 22.6462) * CHOOSE(CONTROL!$C$21, $C$9, 100%, $E$9)</f>
        <v>22.6462</v>
      </c>
      <c r="S485" s="14">
        <f>CHOOSE(CONTROL!$C$42, 20.7655, 20.7655) * CHOOSE(CONTROL!$C$21, $C$9, 100%, $E$9)</f>
        <v>20.765499999999999</v>
      </c>
      <c r="T48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85" s="57">
        <f>(1000*CHOOSE(CONTROL!$C$42, 695, 695)*CHOOSE(CONTROL!$C$42, 0.5599, 0.5599)*CHOOSE(CONTROL!$C$42, 31, 31))/1000000</f>
        <v>12.063045499999998</v>
      </c>
      <c r="V485" s="57">
        <f>(1000*CHOOSE(CONTROL!$C$42, 500, 500)*CHOOSE(CONTROL!$C$42, 0.275, 0.275)*CHOOSE(CONTROL!$C$42, 31, 31))/1000000</f>
        <v>4.2625000000000002</v>
      </c>
      <c r="W485" s="57">
        <f>(1000*CHOOSE(CONTROL!$C$42, 0.1146, 0.1146)*CHOOSE(CONTROL!$C$42, 121.5, 121.5)*CHOOSE(CONTROL!$C$42, 31, 31))/1000000</f>
        <v>0.43164089999999994</v>
      </c>
      <c r="X485" s="57">
        <f>(31*0.1790888*245000/1000000)+(31*0.2374*100000/1000000)</f>
        <v>2.0961194359999999</v>
      </c>
      <c r="Y485" s="57"/>
      <c r="Z485" s="14"/>
      <c r="AA485" s="56"/>
      <c r="AB485" s="50">
        <f>(B485*194.205+C485*267.466+D485*133.845+E485*53.484+F485*40+G485*185+H485*0+I485*100+J485*300)/(194.205+267.466+133.845+53.484+0+40+185+100+300)</f>
        <v>21.415816752982735</v>
      </c>
      <c r="AC485" s="45">
        <f>(M485*'RAP TEMPLATE-GAS AVAILABILITY'!O484+N485*'RAP TEMPLATE-GAS AVAILABILITY'!P484+O485*'RAP TEMPLATE-GAS AVAILABILITY'!Q484+P485*'RAP TEMPLATE-GAS AVAILABILITY'!R484)/('RAP TEMPLATE-GAS AVAILABILITY'!O484+'RAP TEMPLATE-GAS AVAILABILITY'!P484+'RAP TEMPLATE-GAS AVAILABILITY'!Q484+'RAP TEMPLATE-GAS AVAILABILITY'!R484)</f>
        <v>21.240244604316544</v>
      </c>
    </row>
    <row r="486" spans="1:29" ht="15.75" x14ac:dyDescent="0.25">
      <c r="A486" s="33">
        <v>55700</v>
      </c>
      <c r="B486" s="14">
        <f>CHOOSE(CONTROL!$C$42, 21.9944, 21.9944) * CHOOSE(CONTROL!$C$21, $C$9, 100%, $E$9)</f>
        <v>21.994399999999999</v>
      </c>
      <c r="C486" s="14">
        <f>CHOOSE(CONTROL!$C$42, 22.0023, 22.0023) * CHOOSE(CONTROL!$C$21, $C$9, 100%, $E$9)</f>
        <v>22.002300000000002</v>
      </c>
      <c r="D486" s="14">
        <f>CHOOSE(CONTROL!$C$42, 22.1999, 22.1999) * CHOOSE(CONTROL!$C$21, $C$9, 100%, $E$9)</f>
        <v>22.1999</v>
      </c>
      <c r="E486" s="14">
        <f>CHOOSE(CONTROL!$C$42, 22.231, 22.231) * CHOOSE(CONTROL!$C$21, $C$9, 100%, $E$9)</f>
        <v>22.231000000000002</v>
      </c>
      <c r="F486" s="14">
        <f>CHOOSE(CONTROL!$C$42, 21.9782, 21.9782)*CHOOSE(CONTROL!$C$21, $C$9, 100%, $E$9)</f>
        <v>21.978200000000001</v>
      </c>
      <c r="G486" s="14">
        <f>CHOOSE(CONTROL!$C$42, 21.9944, 21.9944)*CHOOSE(CONTROL!$C$21, $C$9, 100%, $E$9)</f>
        <v>21.994399999999999</v>
      </c>
      <c r="H486" s="14">
        <f>CHOOSE(CONTROL!$C$42, 22.2197, 22.2197) * CHOOSE(CONTROL!$C$21, $C$9, 100%, $E$9)</f>
        <v>22.2197</v>
      </c>
      <c r="I486" s="14">
        <f>CHOOSE(CONTROL!$C$42, 22.0058, 22.0058)* CHOOSE(CONTROL!$C$21, $C$9, 100%, $E$9)</f>
        <v>22.005800000000001</v>
      </c>
      <c r="J486" s="14">
        <f>CHOOSE(CONTROL!$C$42, 21.9712, 21.9712)* CHOOSE(CONTROL!$C$21, $C$9, 100%, $E$9)</f>
        <v>21.9712</v>
      </c>
      <c r="K486" s="53">
        <f>CHOOSE(CONTROL!$C$42, 22.0019, 22.0019) * CHOOSE(CONTROL!$C$21, $C$9, 100%, $E$9)</f>
        <v>22.001899999999999</v>
      </c>
      <c r="L486" s="14">
        <f>CHOOSE(CONTROL!$C$42, 22.8067, 22.8067) * CHOOSE(CONTROL!$C$21, $C$9, 100%, $E$9)</f>
        <v>22.806699999999999</v>
      </c>
      <c r="M486" s="14">
        <f>CHOOSE(CONTROL!$C$42, 21.7633, 21.7633) * CHOOSE(CONTROL!$C$21, $C$9, 100%, $E$9)</f>
        <v>21.763300000000001</v>
      </c>
      <c r="N486" s="14">
        <f>CHOOSE(CONTROL!$C$42, 21.7794, 21.7794) * CHOOSE(CONTROL!$C$21, $C$9, 100%, $E$9)</f>
        <v>21.779399999999999</v>
      </c>
      <c r="O486" s="14">
        <f>CHOOSE(CONTROL!$C$42, 22.0093, 22.0093) * CHOOSE(CONTROL!$C$21, $C$9, 100%, $E$9)</f>
        <v>22.0093</v>
      </c>
      <c r="P486" s="14">
        <f>CHOOSE(CONTROL!$C$42, 21.7976, 21.7976) * CHOOSE(CONTROL!$C$21, $C$9, 100%, $E$9)</f>
        <v>21.797599999999999</v>
      </c>
      <c r="Q486" s="14">
        <f>CHOOSE(CONTROL!$C$42, 22.6046, 22.6046) * CHOOSE(CONTROL!$C$21, $C$9, 100%, $E$9)</f>
        <v>22.604600000000001</v>
      </c>
      <c r="R486" s="14">
        <f>CHOOSE(CONTROL!$C$42, 23.2481, 23.2481) * CHOOSE(CONTROL!$C$21, $C$9, 100%, $E$9)</f>
        <v>23.248100000000001</v>
      </c>
      <c r="S486" s="14">
        <f>CHOOSE(CONTROL!$C$42, 21.3545, 21.3545) * CHOOSE(CONTROL!$C$21, $C$9, 100%, $E$9)</f>
        <v>21.354500000000002</v>
      </c>
      <c r="T48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86" s="57">
        <f>(1000*CHOOSE(CONTROL!$C$42, 695, 695)*CHOOSE(CONTROL!$C$42, 0.5599, 0.5599)*CHOOSE(CONTROL!$C$42, 30, 30))/1000000</f>
        <v>11.673914999999997</v>
      </c>
      <c r="V486" s="57">
        <f>(1000*CHOOSE(CONTROL!$C$42, 500, 500)*CHOOSE(CONTROL!$C$42, 0.275, 0.275)*CHOOSE(CONTROL!$C$42, 30, 30))/1000000</f>
        <v>4.125</v>
      </c>
      <c r="W486" s="57">
        <f>(1000*CHOOSE(CONTROL!$C$42, 0.1146, 0.1146)*CHOOSE(CONTROL!$C$42, 121.5, 121.5)*CHOOSE(CONTROL!$C$42, 30, 30))/1000000</f>
        <v>0.417717</v>
      </c>
      <c r="X486" s="57">
        <f>(30*0.1790888*245000/1000000)+(30*0.2374*100000/1000000)</f>
        <v>2.0285026799999999</v>
      </c>
      <c r="Y486" s="57"/>
      <c r="Z486" s="14"/>
      <c r="AA486" s="56"/>
      <c r="AB486" s="50">
        <f>(B486*194.205+C486*267.466+D486*133.845+E486*53.484+F486*40+G486*185+H486*0+I486*100+J486*300)/(194.205+267.466+133.845+53.484+0+40+185+100+300)</f>
        <v>22.022503958634225</v>
      </c>
      <c r="AC486" s="45">
        <f>(M486*'RAP TEMPLATE-GAS AVAILABILITY'!O485+N486*'RAP TEMPLATE-GAS AVAILABILITY'!P485+O486*'RAP TEMPLATE-GAS AVAILABILITY'!Q485+P486*'RAP TEMPLATE-GAS AVAILABILITY'!R485)/('RAP TEMPLATE-GAS AVAILABILITY'!O485+'RAP TEMPLATE-GAS AVAILABILITY'!P485+'RAP TEMPLATE-GAS AVAILABILITY'!Q485+'RAP TEMPLATE-GAS AVAILABILITY'!R485)</f>
        <v>21.840963309352521</v>
      </c>
    </row>
    <row r="487" spans="1:29" ht="15.75" x14ac:dyDescent="0.25">
      <c r="A487" s="33">
        <v>55731</v>
      </c>
      <c r="B487" s="14">
        <f>CHOOSE(CONTROL!$C$42, 21.5725, 21.5725) * CHOOSE(CONTROL!$C$21, $C$9, 100%, $E$9)</f>
        <v>21.572500000000002</v>
      </c>
      <c r="C487" s="14">
        <f>CHOOSE(CONTROL!$C$42, 21.5805, 21.5805) * CHOOSE(CONTROL!$C$21, $C$9, 100%, $E$9)</f>
        <v>21.580500000000001</v>
      </c>
      <c r="D487" s="14">
        <f>CHOOSE(CONTROL!$C$42, 21.778, 21.778) * CHOOSE(CONTROL!$C$21, $C$9, 100%, $E$9)</f>
        <v>21.777999999999999</v>
      </c>
      <c r="E487" s="14">
        <f>CHOOSE(CONTROL!$C$42, 21.8092, 21.8092) * CHOOSE(CONTROL!$C$21, $C$9, 100%, $E$9)</f>
        <v>21.809200000000001</v>
      </c>
      <c r="F487" s="14">
        <f>CHOOSE(CONTROL!$C$42, 21.5568, 21.5568)*CHOOSE(CONTROL!$C$21, $C$9, 100%, $E$9)</f>
        <v>21.556799999999999</v>
      </c>
      <c r="G487" s="14">
        <f>CHOOSE(CONTROL!$C$42, 21.5731, 21.5731)*CHOOSE(CONTROL!$C$21, $C$9, 100%, $E$9)</f>
        <v>21.5731</v>
      </c>
      <c r="H487" s="14">
        <f>CHOOSE(CONTROL!$C$42, 21.7978, 21.7978) * CHOOSE(CONTROL!$C$21, $C$9, 100%, $E$9)</f>
        <v>21.797799999999999</v>
      </c>
      <c r="I487" s="14">
        <f>CHOOSE(CONTROL!$C$42, 21.5839, 21.5839)* CHOOSE(CONTROL!$C$21, $C$9, 100%, $E$9)</f>
        <v>21.5839</v>
      </c>
      <c r="J487" s="14">
        <f>CHOOSE(CONTROL!$C$42, 21.5498, 21.5498)* CHOOSE(CONTROL!$C$21, $C$9, 100%, $E$9)</f>
        <v>21.549800000000001</v>
      </c>
      <c r="K487" s="53">
        <f>CHOOSE(CONTROL!$C$42, 21.58, 21.58) * CHOOSE(CONTROL!$C$21, $C$9, 100%, $E$9)</f>
        <v>21.58</v>
      </c>
      <c r="L487" s="14">
        <f>CHOOSE(CONTROL!$C$42, 22.3848, 22.3848) * CHOOSE(CONTROL!$C$21, $C$9, 100%, $E$9)</f>
        <v>22.384799999999998</v>
      </c>
      <c r="M487" s="14">
        <f>CHOOSE(CONTROL!$C$42, 21.3462, 21.3462) * CHOOSE(CONTROL!$C$21, $C$9, 100%, $E$9)</f>
        <v>21.3462</v>
      </c>
      <c r="N487" s="14">
        <f>CHOOSE(CONTROL!$C$42, 21.3623, 21.3623) * CHOOSE(CONTROL!$C$21, $C$9, 100%, $E$9)</f>
        <v>21.362300000000001</v>
      </c>
      <c r="O487" s="14">
        <f>CHOOSE(CONTROL!$C$42, 21.5917, 21.5917) * CHOOSE(CONTROL!$C$21, $C$9, 100%, $E$9)</f>
        <v>21.591699999999999</v>
      </c>
      <c r="P487" s="14">
        <f>CHOOSE(CONTROL!$C$42, 21.38, 21.38) * CHOOSE(CONTROL!$C$21, $C$9, 100%, $E$9)</f>
        <v>21.38</v>
      </c>
      <c r="Q487" s="14">
        <f>CHOOSE(CONTROL!$C$42, 22.187, 22.187) * CHOOSE(CONTROL!$C$21, $C$9, 100%, $E$9)</f>
        <v>22.187000000000001</v>
      </c>
      <c r="R487" s="14">
        <f>CHOOSE(CONTROL!$C$42, 22.8294, 22.8294) * CHOOSE(CONTROL!$C$21, $C$9, 100%, $E$9)</f>
        <v>22.8294</v>
      </c>
      <c r="S487" s="14">
        <f>CHOOSE(CONTROL!$C$42, 20.9449, 20.9449) * CHOOSE(CONTROL!$C$21, $C$9, 100%, $E$9)</f>
        <v>20.944900000000001</v>
      </c>
      <c r="T48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87" s="57">
        <f>(1000*CHOOSE(CONTROL!$C$42, 695, 695)*CHOOSE(CONTROL!$C$42, 0.5599, 0.5599)*CHOOSE(CONTROL!$C$42, 31, 31))/1000000</f>
        <v>12.063045499999998</v>
      </c>
      <c r="V487" s="57">
        <f>(1000*CHOOSE(CONTROL!$C$42, 500, 500)*CHOOSE(CONTROL!$C$42, 0.275, 0.275)*CHOOSE(CONTROL!$C$42, 31, 31))/1000000</f>
        <v>4.2625000000000002</v>
      </c>
      <c r="W487" s="57">
        <f>(1000*CHOOSE(CONTROL!$C$42, 0.1146, 0.1146)*CHOOSE(CONTROL!$C$42, 121.5, 121.5)*CHOOSE(CONTROL!$C$42, 31, 31))/1000000</f>
        <v>0.43164089999999994</v>
      </c>
      <c r="X487" s="57">
        <f>(31*0.1790888*245000/1000000)+(31*0.2374*100000/1000000)</f>
        <v>2.0961194359999999</v>
      </c>
      <c r="Y487" s="57"/>
      <c r="Z487" s="14"/>
      <c r="AA487" s="56"/>
      <c r="AB487" s="50">
        <f>(B487*194.205+C487*267.466+D487*133.845+E487*53.484+F487*40+G487*185+H487*0+I487*100+J487*300)/(194.205+267.466+133.845+53.484+0+40+185+100+300)</f>
        <v>21.600849716091052</v>
      </c>
      <c r="AC487" s="45">
        <f>(M487*'RAP TEMPLATE-GAS AVAILABILITY'!O486+N487*'RAP TEMPLATE-GAS AVAILABILITY'!P486+O487*'RAP TEMPLATE-GAS AVAILABILITY'!Q486+P487*'RAP TEMPLATE-GAS AVAILABILITY'!R486)/('RAP TEMPLATE-GAS AVAILABILITY'!O486+'RAP TEMPLATE-GAS AVAILABILITY'!P486+'RAP TEMPLATE-GAS AVAILABILITY'!Q486+'RAP TEMPLATE-GAS AVAILABILITY'!R486)</f>
        <v>21.42365107913669</v>
      </c>
    </row>
    <row r="488" spans="1:29" ht="15.75" x14ac:dyDescent="0.25">
      <c r="A488" s="33">
        <v>55762</v>
      </c>
      <c r="B488" s="14">
        <f>CHOOSE(CONTROL!$C$42, 20.5072, 20.5072) * CHOOSE(CONTROL!$C$21, $C$9, 100%, $E$9)</f>
        <v>20.507200000000001</v>
      </c>
      <c r="C488" s="14">
        <f>CHOOSE(CONTROL!$C$42, 20.5152, 20.5152) * CHOOSE(CONTROL!$C$21, $C$9, 100%, $E$9)</f>
        <v>20.5152</v>
      </c>
      <c r="D488" s="14">
        <f>CHOOSE(CONTROL!$C$42, 20.7127, 20.7127) * CHOOSE(CONTROL!$C$21, $C$9, 100%, $E$9)</f>
        <v>20.712700000000002</v>
      </c>
      <c r="E488" s="14">
        <f>CHOOSE(CONTROL!$C$42, 20.7439, 20.7439) * CHOOSE(CONTROL!$C$21, $C$9, 100%, $E$9)</f>
        <v>20.7439</v>
      </c>
      <c r="F488" s="14">
        <f>CHOOSE(CONTROL!$C$42, 20.4917, 20.4917)*CHOOSE(CONTROL!$C$21, $C$9, 100%, $E$9)</f>
        <v>20.491700000000002</v>
      </c>
      <c r="G488" s="14">
        <f>CHOOSE(CONTROL!$C$42, 20.508, 20.508)*CHOOSE(CONTROL!$C$21, $C$9, 100%, $E$9)</f>
        <v>20.507999999999999</v>
      </c>
      <c r="H488" s="14">
        <f>CHOOSE(CONTROL!$C$42, 20.7325, 20.7325) * CHOOSE(CONTROL!$C$21, $C$9, 100%, $E$9)</f>
        <v>20.732500000000002</v>
      </c>
      <c r="I488" s="14">
        <f>CHOOSE(CONTROL!$C$42, 20.5186, 20.5186)* CHOOSE(CONTROL!$C$21, $C$9, 100%, $E$9)</f>
        <v>20.518599999999999</v>
      </c>
      <c r="J488" s="14">
        <f>CHOOSE(CONTROL!$C$42, 20.4847, 20.4847)* CHOOSE(CONTROL!$C$21, $C$9, 100%, $E$9)</f>
        <v>20.4847</v>
      </c>
      <c r="K488" s="53">
        <f>CHOOSE(CONTROL!$C$42, 20.5147, 20.5147) * CHOOSE(CONTROL!$C$21, $C$9, 100%, $E$9)</f>
        <v>20.514700000000001</v>
      </c>
      <c r="L488" s="14">
        <f>CHOOSE(CONTROL!$C$42, 21.3195, 21.3195) * CHOOSE(CONTROL!$C$21, $C$9, 100%, $E$9)</f>
        <v>21.319500000000001</v>
      </c>
      <c r="M488" s="14">
        <f>CHOOSE(CONTROL!$C$42, 20.2918, 20.2918) * CHOOSE(CONTROL!$C$21, $C$9, 100%, $E$9)</f>
        <v>20.291799999999999</v>
      </c>
      <c r="N488" s="14">
        <f>CHOOSE(CONTROL!$C$42, 20.308, 20.308) * CHOOSE(CONTROL!$C$21, $C$9, 100%, $E$9)</f>
        <v>20.308</v>
      </c>
      <c r="O488" s="14">
        <f>CHOOSE(CONTROL!$C$42, 20.5371, 20.5371) * CHOOSE(CONTROL!$C$21, $C$9, 100%, $E$9)</f>
        <v>20.537099999999999</v>
      </c>
      <c r="P488" s="14">
        <f>CHOOSE(CONTROL!$C$42, 20.3254, 20.3254) * CHOOSE(CONTROL!$C$21, $C$9, 100%, $E$9)</f>
        <v>20.325399999999998</v>
      </c>
      <c r="Q488" s="14">
        <f>CHOOSE(CONTROL!$C$42, 21.1324, 21.1324) * CHOOSE(CONTROL!$C$21, $C$9, 100%, $E$9)</f>
        <v>21.132400000000001</v>
      </c>
      <c r="R488" s="14">
        <f>CHOOSE(CONTROL!$C$42, 21.7722, 21.7722) * CHOOSE(CONTROL!$C$21, $C$9, 100%, $E$9)</f>
        <v>21.772200000000002</v>
      </c>
      <c r="S488" s="14">
        <f>CHOOSE(CONTROL!$C$42, 19.9103, 19.9103) * CHOOSE(CONTROL!$C$21, $C$9, 100%, $E$9)</f>
        <v>19.910299999999999</v>
      </c>
      <c r="T48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488" s="57">
        <f>(1000*CHOOSE(CONTROL!$C$42, 695, 695)*CHOOSE(CONTROL!$C$42, 0.5599, 0.5599)*CHOOSE(CONTROL!$C$42, 31, 31))/1000000</f>
        <v>12.063045499999998</v>
      </c>
      <c r="V488" s="57">
        <f>(1000*CHOOSE(CONTROL!$C$42, 500, 500)*CHOOSE(CONTROL!$C$42, 0.275, 0.275)*CHOOSE(CONTROL!$C$42, 31, 31))/1000000</f>
        <v>4.2625000000000002</v>
      </c>
      <c r="W488" s="57">
        <f>(1000*CHOOSE(CONTROL!$C$42, 0.1146, 0.1146)*CHOOSE(CONTROL!$C$42, 121.5, 121.5)*CHOOSE(CONTROL!$C$42, 31, 31))/1000000</f>
        <v>0.43164089999999994</v>
      </c>
      <c r="X488" s="57">
        <f>(31*0.1790888*245000/1000000)+(31*0.2374*100000/1000000)</f>
        <v>2.0961194359999999</v>
      </c>
      <c r="Y488" s="57"/>
      <c r="Z488" s="14"/>
      <c r="AA488" s="56"/>
      <c r="AB488" s="50">
        <f>(B488*194.205+C488*267.466+D488*133.845+E488*53.484+F488*40+G488*185+H488*0+I488*100+J488*300)/(194.205+267.466+133.845+53.484+0+40+185+100+300)</f>
        <v>20.53563213367347</v>
      </c>
      <c r="AC488" s="45">
        <f>(M488*'RAP TEMPLATE-GAS AVAILABILITY'!O487+N488*'RAP TEMPLATE-GAS AVAILABILITY'!P487+O488*'RAP TEMPLATE-GAS AVAILABILITY'!Q487+P488*'RAP TEMPLATE-GAS AVAILABILITY'!R487)/('RAP TEMPLATE-GAS AVAILABILITY'!O487+'RAP TEMPLATE-GAS AVAILABILITY'!P487+'RAP TEMPLATE-GAS AVAILABILITY'!Q487+'RAP TEMPLATE-GAS AVAILABILITY'!R487)</f>
        <v>20.369189208633092</v>
      </c>
    </row>
    <row r="489" spans="1:29" ht="15.75" x14ac:dyDescent="0.25">
      <c r="A489" s="33">
        <v>55792</v>
      </c>
      <c r="B489" s="14">
        <f>CHOOSE(CONTROL!$C$42, 19.2052, 19.2052) * CHOOSE(CONTROL!$C$21, $C$9, 100%, $E$9)</f>
        <v>19.205200000000001</v>
      </c>
      <c r="C489" s="14">
        <f>CHOOSE(CONTROL!$C$42, 19.2132, 19.2132) * CHOOSE(CONTROL!$C$21, $C$9, 100%, $E$9)</f>
        <v>19.213200000000001</v>
      </c>
      <c r="D489" s="14">
        <f>CHOOSE(CONTROL!$C$42, 19.4107, 19.4107) * CHOOSE(CONTROL!$C$21, $C$9, 100%, $E$9)</f>
        <v>19.410699999999999</v>
      </c>
      <c r="E489" s="14">
        <f>CHOOSE(CONTROL!$C$42, 19.4419, 19.4419) * CHOOSE(CONTROL!$C$21, $C$9, 100%, $E$9)</f>
        <v>19.4419</v>
      </c>
      <c r="F489" s="14">
        <f>CHOOSE(CONTROL!$C$42, 19.1896, 19.1896)*CHOOSE(CONTROL!$C$21, $C$9, 100%, $E$9)</f>
        <v>19.189599999999999</v>
      </c>
      <c r="G489" s="14">
        <f>CHOOSE(CONTROL!$C$42, 19.2059, 19.2059)*CHOOSE(CONTROL!$C$21, $C$9, 100%, $E$9)</f>
        <v>19.2059</v>
      </c>
      <c r="H489" s="14">
        <f>CHOOSE(CONTROL!$C$42, 19.4305, 19.4305) * CHOOSE(CONTROL!$C$21, $C$9, 100%, $E$9)</f>
        <v>19.430499999999999</v>
      </c>
      <c r="I489" s="14">
        <f>CHOOSE(CONTROL!$C$42, 19.2166, 19.2166)* CHOOSE(CONTROL!$C$21, $C$9, 100%, $E$9)</f>
        <v>19.2166</v>
      </c>
      <c r="J489" s="14">
        <f>CHOOSE(CONTROL!$C$42, 19.1826, 19.1826)* CHOOSE(CONTROL!$C$21, $C$9, 100%, $E$9)</f>
        <v>19.182600000000001</v>
      </c>
      <c r="K489" s="53">
        <f>CHOOSE(CONTROL!$C$42, 19.2127, 19.2127) * CHOOSE(CONTROL!$C$21, $C$9, 100%, $E$9)</f>
        <v>19.212700000000002</v>
      </c>
      <c r="L489" s="14">
        <f>CHOOSE(CONTROL!$C$42, 20.0175, 20.0175) * CHOOSE(CONTROL!$C$21, $C$9, 100%, $E$9)</f>
        <v>20.017499999999998</v>
      </c>
      <c r="M489" s="14">
        <f>CHOOSE(CONTROL!$C$42, 19.0029, 19.0029) * CHOOSE(CONTROL!$C$21, $C$9, 100%, $E$9)</f>
        <v>19.0029</v>
      </c>
      <c r="N489" s="14">
        <f>CHOOSE(CONTROL!$C$42, 19.019, 19.019) * CHOOSE(CONTROL!$C$21, $C$9, 100%, $E$9)</f>
        <v>19.018999999999998</v>
      </c>
      <c r="O489" s="14">
        <f>CHOOSE(CONTROL!$C$42, 19.2482, 19.2482) * CHOOSE(CONTROL!$C$21, $C$9, 100%, $E$9)</f>
        <v>19.248200000000001</v>
      </c>
      <c r="P489" s="14">
        <f>CHOOSE(CONTROL!$C$42, 19.0365, 19.0365) * CHOOSE(CONTROL!$C$21, $C$9, 100%, $E$9)</f>
        <v>19.0365</v>
      </c>
      <c r="Q489" s="14">
        <f>CHOOSE(CONTROL!$C$42, 19.8435, 19.8435) * CHOOSE(CONTROL!$C$21, $C$9, 100%, $E$9)</f>
        <v>19.843499999999999</v>
      </c>
      <c r="R489" s="14">
        <f>CHOOSE(CONTROL!$C$42, 20.4802, 20.4802) * CHOOSE(CONTROL!$C$21, $C$9, 100%, $E$9)</f>
        <v>20.4802</v>
      </c>
      <c r="S489" s="14">
        <f>CHOOSE(CONTROL!$C$42, 18.646, 18.646) * CHOOSE(CONTROL!$C$21, $C$9, 100%, $E$9)</f>
        <v>18.646000000000001</v>
      </c>
      <c r="T48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489" s="57">
        <f>(1000*CHOOSE(CONTROL!$C$42, 695, 695)*CHOOSE(CONTROL!$C$42, 0.5599, 0.5599)*CHOOSE(CONTROL!$C$42, 30, 30))/1000000</f>
        <v>11.673914999999997</v>
      </c>
      <c r="V489" s="57">
        <f>(1000*CHOOSE(CONTROL!$C$42, 500, 500)*CHOOSE(CONTROL!$C$42, 0.275, 0.275)*CHOOSE(CONTROL!$C$42, 30, 30))/1000000</f>
        <v>4.125</v>
      </c>
      <c r="W489" s="57">
        <f>(1000*CHOOSE(CONTROL!$C$42, 0.1146, 0.1146)*CHOOSE(CONTROL!$C$42, 121.5, 121.5)*CHOOSE(CONTROL!$C$42, 30, 30))/1000000</f>
        <v>0.417717</v>
      </c>
      <c r="X489" s="57">
        <f>(30*0.1790888*245000/1000000)+(30*0.2374*100000/1000000)</f>
        <v>2.0285026799999999</v>
      </c>
      <c r="Y489" s="57"/>
      <c r="Z489" s="14"/>
      <c r="AA489" s="56"/>
      <c r="AB489" s="50">
        <f>(B489*194.205+C489*267.466+D489*133.845+E489*53.484+F489*40+G489*185+H489*0+I489*100+J489*300)/(194.205+267.466+133.845+53.484+0+40+185+100+300)</f>
        <v>19.233590924882261</v>
      </c>
      <c r="AC489" s="45">
        <f>(M489*'RAP TEMPLATE-GAS AVAILABILITY'!O488+N489*'RAP TEMPLATE-GAS AVAILABILITY'!P488+O489*'RAP TEMPLATE-GAS AVAILABILITY'!Q488+P489*'RAP TEMPLATE-GAS AVAILABILITY'!R488)/('RAP TEMPLATE-GAS AVAILABILITY'!O488+'RAP TEMPLATE-GAS AVAILABILITY'!P488+'RAP TEMPLATE-GAS AVAILABILITY'!Q488+'RAP TEMPLATE-GAS AVAILABILITY'!R488)</f>
        <v>19.080266187050359</v>
      </c>
    </row>
    <row r="490" spans="1:29" ht="15.75" x14ac:dyDescent="0.25">
      <c r="A490" s="33">
        <v>55823</v>
      </c>
      <c r="B490" s="14">
        <f>CHOOSE(CONTROL!$C$42, 18.8136, 18.8136) * CHOOSE(CONTROL!$C$21, $C$9, 100%, $E$9)</f>
        <v>18.813600000000001</v>
      </c>
      <c r="C490" s="14">
        <f>CHOOSE(CONTROL!$C$42, 18.8189, 18.8189) * CHOOSE(CONTROL!$C$21, $C$9, 100%, $E$9)</f>
        <v>18.818899999999999</v>
      </c>
      <c r="D490" s="14">
        <f>CHOOSE(CONTROL!$C$42, 19.0214, 19.0214) * CHOOSE(CONTROL!$C$21, $C$9, 100%, $E$9)</f>
        <v>19.0214</v>
      </c>
      <c r="E490" s="14">
        <f>CHOOSE(CONTROL!$C$42, 19.0502, 19.0502) * CHOOSE(CONTROL!$C$21, $C$9, 100%, $E$9)</f>
        <v>19.0502</v>
      </c>
      <c r="F490" s="14">
        <f>CHOOSE(CONTROL!$C$42, 18.8, 18.8)*CHOOSE(CONTROL!$C$21, $C$9, 100%, $E$9)</f>
        <v>18.8</v>
      </c>
      <c r="G490" s="14">
        <f>CHOOSE(CONTROL!$C$42, 18.816, 18.816)*CHOOSE(CONTROL!$C$21, $C$9, 100%, $E$9)</f>
        <v>18.815999999999999</v>
      </c>
      <c r="H490" s="14">
        <f>CHOOSE(CONTROL!$C$42, 19.0407, 19.0407) * CHOOSE(CONTROL!$C$21, $C$9, 100%, $E$9)</f>
        <v>19.040700000000001</v>
      </c>
      <c r="I490" s="14">
        <f>CHOOSE(CONTROL!$C$42, 18.8268, 18.8268)* CHOOSE(CONTROL!$C$21, $C$9, 100%, $E$9)</f>
        <v>18.826799999999999</v>
      </c>
      <c r="J490" s="14">
        <f>CHOOSE(CONTROL!$C$42, 18.793, 18.793)* CHOOSE(CONTROL!$C$21, $C$9, 100%, $E$9)</f>
        <v>18.792999999999999</v>
      </c>
      <c r="K490" s="53">
        <f>CHOOSE(CONTROL!$C$42, 18.8229, 18.8229) * CHOOSE(CONTROL!$C$21, $C$9, 100%, $E$9)</f>
        <v>18.822900000000001</v>
      </c>
      <c r="L490" s="14">
        <f>CHOOSE(CONTROL!$C$42, 19.6277, 19.6277) * CHOOSE(CONTROL!$C$21, $C$9, 100%, $E$9)</f>
        <v>19.627700000000001</v>
      </c>
      <c r="M490" s="14">
        <f>CHOOSE(CONTROL!$C$42, 18.6172, 18.6172) * CHOOSE(CONTROL!$C$21, $C$9, 100%, $E$9)</f>
        <v>18.6172</v>
      </c>
      <c r="N490" s="14">
        <f>CHOOSE(CONTROL!$C$42, 18.633, 18.633) * CHOOSE(CONTROL!$C$21, $C$9, 100%, $E$9)</f>
        <v>18.632999999999999</v>
      </c>
      <c r="O490" s="14">
        <f>CHOOSE(CONTROL!$C$42, 18.8623, 18.8623) * CHOOSE(CONTROL!$C$21, $C$9, 100%, $E$9)</f>
        <v>18.862300000000001</v>
      </c>
      <c r="P490" s="14">
        <f>CHOOSE(CONTROL!$C$42, 18.6506, 18.6506) * CHOOSE(CONTROL!$C$21, $C$9, 100%, $E$9)</f>
        <v>18.650600000000001</v>
      </c>
      <c r="Q490" s="14">
        <f>CHOOSE(CONTROL!$C$42, 19.4576, 19.4576) * CHOOSE(CONTROL!$C$21, $C$9, 100%, $E$9)</f>
        <v>19.457599999999999</v>
      </c>
      <c r="R490" s="14">
        <f>CHOOSE(CONTROL!$C$42, 20.0933, 20.0933) * CHOOSE(CONTROL!$C$21, $C$9, 100%, $E$9)</f>
        <v>20.093299999999999</v>
      </c>
      <c r="S490" s="14">
        <f>CHOOSE(CONTROL!$C$42, 18.2674, 18.2674) * CHOOSE(CONTROL!$C$21, $C$9, 100%, $E$9)</f>
        <v>18.267399999999999</v>
      </c>
      <c r="T49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490" s="57">
        <f>(1000*CHOOSE(CONTROL!$C$42, 695, 695)*CHOOSE(CONTROL!$C$42, 0.5599, 0.5599)*CHOOSE(CONTROL!$C$42, 31, 31))/1000000</f>
        <v>12.063045499999998</v>
      </c>
      <c r="V490" s="57">
        <f>(1000*CHOOSE(CONTROL!$C$42, 500, 500)*CHOOSE(CONTROL!$C$42, 0.275, 0.275)*CHOOSE(CONTROL!$C$42, 31, 31))/1000000</f>
        <v>4.2625000000000002</v>
      </c>
      <c r="W490" s="57">
        <f>(1000*CHOOSE(CONTROL!$C$42, 0.1146, 0.1146)*CHOOSE(CONTROL!$C$42, 121.5, 121.5)*CHOOSE(CONTROL!$C$42, 31, 31))/1000000</f>
        <v>0.43164089999999994</v>
      </c>
      <c r="X490" s="57">
        <f>(31*0.1790888*245000/1000000)+(31*0.2374*100000/1000000)</f>
        <v>2.0961194359999999</v>
      </c>
      <c r="Y490" s="57"/>
      <c r="Z490" s="14"/>
      <c r="AA490" s="56"/>
      <c r="AB490" s="50">
        <f>(B490*131.881+C490*277.167+D490*79.08+E490*125.872+F490*40+G490*185+H490*0+I490*100+J490*300)/(131.881+277.167+79.08+125.872+0+40+185+100+300)</f>
        <v>18.848081940516543</v>
      </c>
      <c r="AC490" s="45">
        <f>(M490*'RAP TEMPLATE-GAS AVAILABILITY'!O489+N490*'RAP TEMPLATE-GAS AVAILABILITY'!P489+O490*'RAP TEMPLATE-GAS AVAILABILITY'!Q489+P490*'RAP TEMPLATE-GAS AVAILABILITY'!R489)/('RAP TEMPLATE-GAS AVAILABILITY'!O489+'RAP TEMPLATE-GAS AVAILABILITY'!P489+'RAP TEMPLATE-GAS AVAILABILITY'!Q489+'RAP TEMPLATE-GAS AVAILABILITY'!R489)</f>
        <v>18.694412230215825</v>
      </c>
    </row>
    <row r="491" spans="1:29" ht="15.75" x14ac:dyDescent="0.25">
      <c r="A491" s="33">
        <v>55853</v>
      </c>
      <c r="B491" s="14">
        <f>CHOOSE(CONTROL!$C$42, 19.3088, 19.3088) * CHOOSE(CONTROL!$C$21, $C$9, 100%, $E$9)</f>
        <v>19.308800000000002</v>
      </c>
      <c r="C491" s="14">
        <f>CHOOSE(CONTROL!$C$42, 19.3137, 19.3137) * CHOOSE(CONTROL!$C$21, $C$9, 100%, $E$9)</f>
        <v>19.313700000000001</v>
      </c>
      <c r="D491" s="14">
        <f>CHOOSE(CONTROL!$C$42, 19.3768, 19.3768) * CHOOSE(CONTROL!$C$21, $C$9, 100%, $E$9)</f>
        <v>19.376799999999999</v>
      </c>
      <c r="E491" s="14">
        <f>CHOOSE(CONTROL!$C$42, 19.4106, 19.4106) * CHOOSE(CONTROL!$C$21, $C$9, 100%, $E$9)</f>
        <v>19.410599999999999</v>
      </c>
      <c r="F491" s="14">
        <f>CHOOSE(CONTROL!$C$42, 19.3095, 19.3095)*CHOOSE(CONTROL!$C$21, $C$9, 100%, $E$9)</f>
        <v>19.3095</v>
      </c>
      <c r="G491" s="14">
        <f>CHOOSE(CONTROL!$C$42, 19.3258, 19.3258)*CHOOSE(CONTROL!$C$21, $C$9, 100%, $E$9)</f>
        <v>19.325800000000001</v>
      </c>
      <c r="H491" s="14">
        <f>CHOOSE(CONTROL!$C$42, 19.3998, 19.3998) * CHOOSE(CONTROL!$C$21, $C$9, 100%, $E$9)</f>
        <v>19.399799999999999</v>
      </c>
      <c r="I491" s="14">
        <f>CHOOSE(CONTROL!$C$42, 19.3223, 19.3223)* CHOOSE(CONTROL!$C$21, $C$9, 100%, $E$9)</f>
        <v>19.322299999999998</v>
      </c>
      <c r="J491" s="14">
        <f>CHOOSE(CONTROL!$C$42, 19.3025, 19.3025)* CHOOSE(CONTROL!$C$21, $C$9, 100%, $E$9)</f>
        <v>19.302499999999998</v>
      </c>
      <c r="K491" s="53">
        <f>CHOOSE(CONTROL!$C$42, 19.3184, 19.3184) * CHOOSE(CONTROL!$C$21, $C$9, 100%, $E$9)</f>
        <v>19.3184</v>
      </c>
      <c r="L491" s="14">
        <f>CHOOSE(CONTROL!$C$42, 19.9868, 19.9868) * CHOOSE(CONTROL!$C$21, $C$9, 100%, $E$9)</f>
        <v>19.986799999999999</v>
      </c>
      <c r="M491" s="14">
        <f>CHOOSE(CONTROL!$C$42, 19.1215, 19.1215) * CHOOSE(CONTROL!$C$21, $C$9, 100%, $E$9)</f>
        <v>19.121500000000001</v>
      </c>
      <c r="N491" s="14">
        <f>CHOOSE(CONTROL!$C$42, 19.1376, 19.1376) * CHOOSE(CONTROL!$C$21, $C$9, 100%, $E$9)</f>
        <v>19.137599999999999</v>
      </c>
      <c r="O491" s="14">
        <f>CHOOSE(CONTROL!$C$42, 19.2178, 19.2178) * CHOOSE(CONTROL!$C$21, $C$9, 100%, $E$9)</f>
        <v>19.2178</v>
      </c>
      <c r="P491" s="14">
        <f>CHOOSE(CONTROL!$C$42, 19.1412, 19.1412) * CHOOSE(CONTROL!$C$21, $C$9, 100%, $E$9)</f>
        <v>19.141200000000001</v>
      </c>
      <c r="Q491" s="14">
        <f>CHOOSE(CONTROL!$C$42, 19.8131, 19.8131) * CHOOSE(CONTROL!$C$21, $C$9, 100%, $E$9)</f>
        <v>19.813099999999999</v>
      </c>
      <c r="R491" s="14">
        <f>CHOOSE(CONTROL!$C$42, 20.4497, 20.4497) * CHOOSE(CONTROL!$C$21, $C$9, 100%, $E$9)</f>
        <v>20.4497</v>
      </c>
      <c r="S491" s="14">
        <f>CHOOSE(CONTROL!$C$42, 18.7486, 18.7486) * CHOOSE(CONTROL!$C$21, $C$9, 100%, $E$9)</f>
        <v>18.7486</v>
      </c>
      <c r="T49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491" s="57">
        <f>(1000*CHOOSE(CONTROL!$C$42, 695, 695)*CHOOSE(CONTROL!$C$42, 0.5599, 0.5599)*CHOOSE(CONTROL!$C$42, 30, 30))/1000000</f>
        <v>11.673914999999997</v>
      </c>
      <c r="V491" s="57">
        <f>(1000*CHOOSE(CONTROL!$C$42, 500, 500)*CHOOSE(CONTROL!$C$42, 0.275, 0.275)*CHOOSE(CONTROL!$C$42, 30, 30))/1000000</f>
        <v>4.125</v>
      </c>
      <c r="W491" s="57">
        <f>(1000*CHOOSE(CONTROL!$C$42, 0.1146, 0.1146)*CHOOSE(CONTROL!$C$42, 121.5, 121.5)*CHOOSE(CONTROL!$C$42, 30, 30))/1000000</f>
        <v>0.417717</v>
      </c>
      <c r="X491" s="57">
        <f>(30*0.1790888*100000/1000000)+(30*0.2374*100000/1000000)</f>
        <v>1.2494664</v>
      </c>
      <c r="Y491" s="57"/>
      <c r="Z491" s="14"/>
      <c r="AA491" s="56"/>
      <c r="AB491" s="50">
        <f>(B491*122.58+C491*297.941+D491*89.177+E491*40.302+F491*40+G491*160+H491*0+I491*100+J491*300)/(122.58+297.941+89.177+40.302+0+40+160+100+300)</f>
        <v>19.320830165652172</v>
      </c>
      <c r="AC491" s="45">
        <f>(M491*'RAP TEMPLATE-GAS AVAILABILITY'!O490+N491*'RAP TEMPLATE-GAS AVAILABILITY'!P490+O491*'RAP TEMPLATE-GAS AVAILABILITY'!Q490+P491*'RAP TEMPLATE-GAS AVAILABILITY'!R490)/('RAP TEMPLATE-GAS AVAILABILITY'!O490+'RAP TEMPLATE-GAS AVAILABILITY'!P490+'RAP TEMPLATE-GAS AVAILABILITY'!Q490+'RAP TEMPLATE-GAS AVAILABILITY'!R490)</f>
        <v>19.168907913669067</v>
      </c>
    </row>
    <row r="492" spans="1:29" ht="15.75" x14ac:dyDescent="0.25">
      <c r="A492" s="33">
        <v>55884</v>
      </c>
      <c r="B492" s="14">
        <f>CHOOSE(CONTROL!$C$42, 20.625, 20.625) * CHOOSE(CONTROL!$C$21, $C$9, 100%, $E$9)</f>
        <v>20.625</v>
      </c>
      <c r="C492" s="14">
        <f>CHOOSE(CONTROL!$C$42, 20.63, 20.63) * CHOOSE(CONTROL!$C$21, $C$9, 100%, $E$9)</f>
        <v>20.63</v>
      </c>
      <c r="D492" s="14">
        <f>CHOOSE(CONTROL!$C$42, 20.6931, 20.6931) * CHOOSE(CONTROL!$C$21, $C$9, 100%, $E$9)</f>
        <v>20.693100000000001</v>
      </c>
      <c r="E492" s="14">
        <f>CHOOSE(CONTROL!$C$42, 20.7268, 20.7268) * CHOOSE(CONTROL!$C$21, $C$9, 100%, $E$9)</f>
        <v>20.726800000000001</v>
      </c>
      <c r="F492" s="14">
        <f>CHOOSE(CONTROL!$C$42, 20.6278, 20.6278)*CHOOSE(CONTROL!$C$21, $C$9, 100%, $E$9)</f>
        <v>20.627800000000001</v>
      </c>
      <c r="G492" s="14">
        <f>CHOOSE(CONTROL!$C$42, 20.6446, 20.6446)*CHOOSE(CONTROL!$C$21, $C$9, 100%, $E$9)</f>
        <v>20.644600000000001</v>
      </c>
      <c r="H492" s="14">
        <f>CHOOSE(CONTROL!$C$42, 20.716, 20.716) * CHOOSE(CONTROL!$C$21, $C$9, 100%, $E$9)</f>
        <v>20.716000000000001</v>
      </c>
      <c r="I492" s="14">
        <f>CHOOSE(CONTROL!$C$42, 20.6386, 20.6386)* CHOOSE(CONTROL!$C$21, $C$9, 100%, $E$9)</f>
        <v>20.6386</v>
      </c>
      <c r="J492" s="14">
        <f>CHOOSE(CONTROL!$C$42, 20.6208, 20.6208)* CHOOSE(CONTROL!$C$21, $C$9, 100%, $E$9)</f>
        <v>20.620799999999999</v>
      </c>
      <c r="K492" s="53">
        <f>CHOOSE(CONTROL!$C$42, 20.6347, 20.6347) * CHOOSE(CONTROL!$C$21, $C$9, 100%, $E$9)</f>
        <v>20.634699999999999</v>
      </c>
      <c r="L492" s="14">
        <f>CHOOSE(CONTROL!$C$42, 21.303, 21.303) * CHOOSE(CONTROL!$C$21, $C$9, 100%, $E$9)</f>
        <v>21.303000000000001</v>
      </c>
      <c r="M492" s="14">
        <f>CHOOSE(CONTROL!$C$42, 20.4265, 20.4265) * CHOOSE(CONTROL!$C$21, $C$9, 100%, $E$9)</f>
        <v>20.426500000000001</v>
      </c>
      <c r="N492" s="14">
        <f>CHOOSE(CONTROL!$C$42, 20.4432, 20.4432) * CHOOSE(CONTROL!$C$21, $C$9, 100%, $E$9)</f>
        <v>20.443200000000001</v>
      </c>
      <c r="O492" s="14">
        <f>CHOOSE(CONTROL!$C$42, 20.5208, 20.5208) * CHOOSE(CONTROL!$C$21, $C$9, 100%, $E$9)</f>
        <v>20.520800000000001</v>
      </c>
      <c r="P492" s="14">
        <f>CHOOSE(CONTROL!$C$42, 20.4442, 20.4442) * CHOOSE(CONTROL!$C$21, $C$9, 100%, $E$9)</f>
        <v>20.444199999999999</v>
      </c>
      <c r="Q492" s="14">
        <f>CHOOSE(CONTROL!$C$42, 21.1161, 21.1161) * CHOOSE(CONTROL!$C$21, $C$9, 100%, $E$9)</f>
        <v>21.116099999999999</v>
      </c>
      <c r="R492" s="14">
        <f>CHOOSE(CONTROL!$C$42, 21.7559, 21.7559) * CHOOSE(CONTROL!$C$21, $C$9, 100%, $E$9)</f>
        <v>21.7559</v>
      </c>
      <c r="S492" s="14">
        <f>CHOOSE(CONTROL!$C$42, 20.0268, 20.0268) * CHOOSE(CONTROL!$C$21, $C$9, 100%, $E$9)</f>
        <v>20.026800000000001</v>
      </c>
      <c r="T49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492" s="57">
        <f>(1000*CHOOSE(CONTROL!$C$42, 695, 695)*CHOOSE(CONTROL!$C$42, 0.5599, 0.5599)*CHOOSE(CONTROL!$C$42, 31, 31))/1000000</f>
        <v>12.063045499999998</v>
      </c>
      <c r="V492" s="57">
        <f>(1000*CHOOSE(CONTROL!$C$42, 500, 500)*CHOOSE(CONTROL!$C$42, 0.275, 0.275)*CHOOSE(CONTROL!$C$42, 31, 31))/1000000</f>
        <v>4.2625000000000002</v>
      </c>
      <c r="W492" s="57">
        <f>(1000*CHOOSE(CONTROL!$C$42, 0.1146, 0.1146)*CHOOSE(CONTROL!$C$42, 121.5, 121.5)*CHOOSE(CONTROL!$C$42, 31, 31))/1000000</f>
        <v>0.43164089999999994</v>
      </c>
      <c r="X492" s="57">
        <f>(31*0.1790888*100000/1000000)+(31*0.2374*100000/1000000)</f>
        <v>1.2911152800000001</v>
      </c>
      <c r="Y492" s="57"/>
      <c r="Z492" s="14"/>
      <c r="AA492" s="56"/>
      <c r="AB492" s="50">
        <f>(B492*122.58+C492*297.941+D492*89.177+E492*40.302+F492*40+G492*160+H492*0+I492*100+J492*300)/(122.58+297.941+89.177+40.302+0+40+160+100+300)</f>
        <v>20.638055132434783</v>
      </c>
      <c r="AC492" s="45">
        <f>(M492*'RAP TEMPLATE-GAS AVAILABILITY'!O491+N492*'RAP TEMPLATE-GAS AVAILABILITY'!P491+O492*'RAP TEMPLATE-GAS AVAILABILITY'!Q491+P492*'RAP TEMPLATE-GAS AVAILABILITY'!R491)/('RAP TEMPLATE-GAS AVAILABILITY'!O491+'RAP TEMPLATE-GAS AVAILABILITY'!P491+'RAP TEMPLATE-GAS AVAILABILITY'!Q491+'RAP TEMPLATE-GAS AVAILABILITY'!R491)</f>
        <v>20.472748201438851</v>
      </c>
    </row>
    <row r="493" spans="1:29" ht="15.75" x14ac:dyDescent="0.25">
      <c r="A493" s="33">
        <v>55915</v>
      </c>
      <c r="B493" s="14">
        <f>CHOOSE(CONTROL!$C$42, 22.3147, 22.3147) * CHOOSE(CONTROL!$C$21, $C$9, 100%, $E$9)</f>
        <v>22.314699999999998</v>
      </c>
      <c r="C493" s="14">
        <f>CHOOSE(CONTROL!$C$42, 22.3197, 22.3197) * CHOOSE(CONTROL!$C$21, $C$9, 100%, $E$9)</f>
        <v>22.319700000000001</v>
      </c>
      <c r="D493" s="14">
        <f>CHOOSE(CONTROL!$C$42, 22.384, 22.384) * CHOOSE(CONTROL!$C$21, $C$9, 100%, $E$9)</f>
        <v>22.384</v>
      </c>
      <c r="E493" s="14">
        <f>CHOOSE(CONTROL!$C$42, 22.4177, 22.4177) * CHOOSE(CONTROL!$C$21, $C$9, 100%, $E$9)</f>
        <v>22.4177</v>
      </c>
      <c r="F493" s="14">
        <f>CHOOSE(CONTROL!$C$42, 22.3163, 22.3163)*CHOOSE(CONTROL!$C$21, $C$9, 100%, $E$9)</f>
        <v>22.316299999999998</v>
      </c>
      <c r="G493" s="14">
        <f>CHOOSE(CONTROL!$C$42, 22.3322, 22.3322)*CHOOSE(CONTROL!$C$21, $C$9, 100%, $E$9)</f>
        <v>22.3322</v>
      </c>
      <c r="H493" s="14">
        <f>CHOOSE(CONTROL!$C$42, 22.4069, 22.4069) * CHOOSE(CONTROL!$C$21, $C$9, 100%, $E$9)</f>
        <v>22.4069</v>
      </c>
      <c r="I493" s="14">
        <f>CHOOSE(CONTROL!$C$42, 22.3347, 22.3347)* CHOOSE(CONTROL!$C$21, $C$9, 100%, $E$9)</f>
        <v>22.334700000000002</v>
      </c>
      <c r="J493" s="14">
        <f>CHOOSE(CONTROL!$C$42, 22.3093, 22.3093)* CHOOSE(CONTROL!$C$21, $C$9, 100%, $E$9)</f>
        <v>22.3093</v>
      </c>
      <c r="K493" s="53">
        <f>CHOOSE(CONTROL!$C$42, 22.3308, 22.3308) * CHOOSE(CONTROL!$C$21, $C$9, 100%, $E$9)</f>
        <v>22.3308</v>
      </c>
      <c r="L493" s="14">
        <f>CHOOSE(CONTROL!$C$42, 22.9939, 22.9939) * CHOOSE(CONTROL!$C$21, $C$9, 100%, $E$9)</f>
        <v>22.9939</v>
      </c>
      <c r="M493" s="14">
        <f>CHOOSE(CONTROL!$C$42, 22.0979, 22.0979) * CHOOSE(CONTROL!$C$21, $C$9, 100%, $E$9)</f>
        <v>22.097899999999999</v>
      </c>
      <c r="N493" s="14">
        <f>CHOOSE(CONTROL!$C$42, 22.1137, 22.1137) * CHOOSE(CONTROL!$C$21, $C$9, 100%, $E$9)</f>
        <v>22.113700000000001</v>
      </c>
      <c r="O493" s="14">
        <f>CHOOSE(CONTROL!$C$42, 22.1946, 22.1946) * CHOOSE(CONTROL!$C$21, $C$9, 100%, $E$9)</f>
        <v>22.194600000000001</v>
      </c>
      <c r="P493" s="14">
        <f>CHOOSE(CONTROL!$C$42, 22.1232, 22.1232) * CHOOSE(CONTROL!$C$21, $C$9, 100%, $E$9)</f>
        <v>22.123200000000001</v>
      </c>
      <c r="Q493" s="14">
        <f>CHOOSE(CONTROL!$C$42, 22.7899, 22.7899) * CHOOSE(CONTROL!$C$21, $C$9, 100%, $E$9)</f>
        <v>22.789899999999999</v>
      </c>
      <c r="R493" s="14">
        <f>CHOOSE(CONTROL!$C$42, 23.4339, 23.4339) * CHOOSE(CONTROL!$C$21, $C$9, 100%, $E$9)</f>
        <v>23.433900000000001</v>
      </c>
      <c r="S493" s="14">
        <f>CHOOSE(CONTROL!$C$42, 21.6677, 21.6677) * CHOOSE(CONTROL!$C$21, $C$9, 100%, $E$9)</f>
        <v>21.6677</v>
      </c>
      <c r="T49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493" s="57">
        <f>(1000*CHOOSE(CONTROL!$C$42, 695, 695)*CHOOSE(CONTROL!$C$42, 0.5599, 0.5599)*CHOOSE(CONTROL!$C$42, 31, 31))/1000000</f>
        <v>12.063045499999998</v>
      </c>
      <c r="V493" s="57">
        <f>(1000*CHOOSE(CONTROL!$C$42, 500, 500)*CHOOSE(CONTROL!$C$42, 0.275, 0.275)*CHOOSE(CONTROL!$C$42, 31, 31))/1000000</f>
        <v>4.2625000000000002</v>
      </c>
      <c r="W493" s="57">
        <f>(1000*CHOOSE(CONTROL!$C$42, 0.1146, 0.1146)*CHOOSE(CONTROL!$C$42, 121.5, 121.5)*CHOOSE(CONTROL!$C$42, 31, 31))/1000000</f>
        <v>0.43164089999999994</v>
      </c>
      <c r="X493" s="57">
        <f>(31*0.1790888*100000/1000000)+(31*0.2374*100000/1000000)</f>
        <v>1.2911152800000001</v>
      </c>
      <c r="Y493" s="57"/>
      <c r="Z493" s="14"/>
      <c r="AA493" s="56"/>
      <c r="AB493" s="50">
        <f>(B493*122.58+C493*297.941+D493*89.177+E493*40.302+F493*40+G493*160+H493*0+I493*100+J493*300)/(122.58+297.941+89.177+40.302+0+40+160+100+300)</f>
        <v>22.327799806173914</v>
      </c>
      <c r="AC493" s="45">
        <f>(M493*'RAP TEMPLATE-GAS AVAILABILITY'!O492+N493*'RAP TEMPLATE-GAS AVAILABILITY'!P492+O493*'RAP TEMPLATE-GAS AVAILABILITY'!Q492+P493*'RAP TEMPLATE-GAS AVAILABILITY'!R492)/('RAP TEMPLATE-GAS AVAILABILITY'!O492+'RAP TEMPLATE-GAS AVAILABILITY'!P492+'RAP TEMPLATE-GAS AVAILABILITY'!Q492+'RAP TEMPLATE-GAS AVAILABILITY'!R492)</f>
        <v>22.146277697841729</v>
      </c>
    </row>
    <row r="494" spans="1:29" ht="15.75" x14ac:dyDescent="0.25">
      <c r="A494" s="33">
        <v>55943</v>
      </c>
      <c r="B494" s="14">
        <f>CHOOSE(CONTROL!$C$42, 22.7119, 22.7119) * CHOOSE(CONTROL!$C$21, $C$9, 100%, $E$9)</f>
        <v>22.7119</v>
      </c>
      <c r="C494" s="14">
        <f>CHOOSE(CONTROL!$C$42, 22.7169, 22.7169) * CHOOSE(CONTROL!$C$21, $C$9, 100%, $E$9)</f>
        <v>22.716899999999999</v>
      </c>
      <c r="D494" s="14">
        <f>CHOOSE(CONTROL!$C$42, 22.7812, 22.7812) * CHOOSE(CONTROL!$C$21, $C$9, 100%, $E$9)</f>
        <v>22.781199999999998</v>
      </c>
      <c r="E494" s="14">
        <f>CHOOSE(CONTROL!$C$42, 22.8149, 22.8149) * CHOOSE(CONTROL!$C$21, $C$9, 100%, $E$9)</f>
        <v>22.814900000000002</v>
      </c>
      <c r="F494" s="14">
        <f>CHOOSE(CONTROL!$C$42, 22.7135, 22.7135)*CHOOSE(CONTROL!$C$21, $C$9, 100%, $E$9)</f>
        <v>22.7135</v>
      </c>
      <c r="G494" s="14">
        <f>CHOOSE(CONTROL!$C$42, 22.7294, 22.7294)*CHOOSE(CONTROL!$C$21, $C$9, 100%, $E$9)</f>
        <v>22.729399999999998</v>
      </c>
      <c r="H494" s="14">
        <f>CHOOSE(CONTROL!$C$42, 22.8041, 22.8041) * CHOOSE(CONTROL!$C$21, $C$9, 100%, $E$9)</f>
        <v>22.804099999999998</v>
      </c>
      <c r="I494" s="14">
        <f>CHOOSE(CONTROL!$C$42, 22.7319, 22.7319)* CHOOSE(CONTROL!$C$21, $C$9, 100%, $E$9)</f>
        <v>22.7319</v>
      </c>
      <c r="J494" s="14">
        <f>CHOOSE(CONTROL!$C$42, 22.7065, 22.7065)* CHOOSE(CONTROL!$C$21, $C$9, 100%, $E$9)</f>
        <v>22.706499999999998</v>
      </c>
      <c r="K494" s="53">
        <f>CHOOSE(CONTROL!$C$42, 22.728, 22.728) * CHOOSE(CONTROL!$C$21, $C$9, 100%, $E$9)</f>
        <v>22.728000000000002</v>
      </c>
      <c r="L494" s="14">
        <f>CHOOSE(CONTROL!$C$42, 23.3911, 23.3911) * CHOOSE(CONTROL!$C$21, $C$9, 100%, $E$9)</f>
        <v>23.391100000000002</v>
      </c>
      <c r="M494" s="14">
        <f>CHOOSE(CONTROL!$C$42, 22.4912, 22.4912) * CHOOSE(CONTROL!$C$21, $C$9, 100%, $E$9)</f>
        <v>22.491199999999999</v>
      </c>
      <c r="N494" s="14">
        <f>CHOOSE(CONTROL!$C$42, 22.5069, 22.5069) * CHOOSE(CONTROL!$C$21, $C$9, 100%, $E$9)</f>
        <v>22.506900000000002</v>
      </c>
      <c r="O494" s="14">
        <f>CHOOSE(CONTROL!$C$42, 22.5878, 22.5878) * CHOOSE(CONTROL!$C$21, $C$9, 100%, $E$9)</f>
        <v>22.587800000000001</v>
      </c>
      <c r="P494" s="14">
        <f>CHOOSE(CONTROL!$C$42, 22.5164, 22.5164) * CHOOSE(CONTROL!$C$21, $C$9, 100%, $E$9)</f>
        <v>22.516400000000001</v>
      </c>
      <c r="Q494" s="14">
        <f>CHOOSE(CONTROL!$C$42, 23.1831, 23.1831) * CHOOSE(CONTROL!$C$21, $C$9, 100%, $E$9)</f>
        <v>23.1831</v>
      </c>
      <c r="R494" s="14">
        <f>CHOOSE(CONTROL!$C$42, 23.8281, 23.8281) * CHOOSE(CONTROL!$C$21, $C$9, 100%, $E$9)</f>
        <v>23.828099999999999</v>
      </c>
      <c r="S494" s="14">
        <f>CHOOSE(CONTROL!$C$42, 22.0534, 22.0534) * CHOOSE(CONTROL!$C$21, $C$9, 100%, $E$9)</f>
        <v>22.0534</v>
      </c>
      <c r="T49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494" s="57">
        <f>(1000*CHOOSE(CONTROL!$C$42, 695, 695)*CHOOSE(CONTROL!$C$42, 0.5599, 0.5599)*CHOOSE(CONTROL!$C$42, 28, 28))/1000000</f>
        <v>10.895653999999999</v>
      </c>
      <c r="V494" s="57">
        <f>(1000*CHOOSE(CONTROL!$C$42, 500, 500)*CHOOSE(CONTROL!$C$42, 0.275, 0.275)*CHOOSE(CONTROL!$C$42, 28, 28))/1000000</f>
        <v>3.85</v>
      </c>
      <c r="W494" s="57">
        <f>(1000*CHOOSE(CONTROL!$C$42, 0.1146, 0.1146)*CHOOSE(CONTROL!$C$42, 121.5, 121.5)*CHOOSE(CONTROL!$C$42, 28, 28))/1000000</f>
        <v>0.38986920000000003</v>
      </c>
      <c r="X494" s="57">
        <f>(28*0.1790888*100000/1000000)+(28*0.2374*100000/1000000)</f>
        <v>1.16616864</v>
      </c>
      <c r="Y494" s="57"/>
      <c r="Z494" s="14"/>
      <c r="AA494" s="56"/>
      <c r="AB494" s="50">
        <f>(B494*122.58+C494*297.941+D494*89.177+E494*40.302+F494*40+G494*160+H494*0+I494*100+J494*300)/(122.58+297.941+89.177+40.302+0+40+160+100+300)</f>
        <v>22.724999806173912</v>
      </c>
      <c r="AC494" s="45">
        <f>(M494*'RAP TEMPLATE-GAS AVAILABILITY'!O493+N494*'RAP TEMPLATE-GAS AVAILABILITY'!P493+O494*'RAP TEMPLATE-GAS AVAILABILITY'!Q493+P494*'RAP TEMPLATE-GAS AVAILABILITY'!R493)/('RAP TEMPLATE-GAS AVAILABILITY'!O493+'RAP TEMPLATE-GAS AVAILABILITY'!P493+'RAP TEMPLATE-GAS AVAILABILITY'!Q493+'RAP TEMPLATE-GAS AVAILABILITY'!R493)</f>
        <v>22.539512230215827</v>
      </c>
    </row>
    <row r="495" spans="1:29" ht="15.75" x14ac:dyDescent="0.25">
      <c r="A495" s="33">
        <v>55974</v>
      </c>
      <c r="B495" s="14">
        <f>CHOOSE(CONTROL!$C$42, 22.0672, 22.0672) * CHOOSE(CONTROL!$C$21, $C$9, 100%, $E$9)</f>
        <v>22.0672</v>
      </c>
      <c r="C495" s="14">
        <f>CHOOSE(CONTROL!$C$42, 22.0722, 22.0722) * CHOOSE(CONTROL!$C$21, $C$9, 100%, $E$9)</f>
        <v>22.072199999999999</v>
      </c>
      <c r="D495" s="14">
        <f>CHOOSE(CONTROL!$C$42, 22.1364, 22.1364) * CHOOSE(CONTROL!$C$21, $C$9, 100%, $E$9)</f>
        <v>22.136399999999998</v>
      </c>
      <c r="E495" s="14">
        <f>CHOOSE(CONTROL!$C$42, 22.1702, 22.1702) * CHOOSE(CONTROL!$C$21, $C$9, 100%, $E$9)</f>
        <v>22.170200000000001</v>
      </c>
      <c r="F495" s="14">
        <f>CHOOSE(CONTROL!$C$42, 22.0684, 22.0684)*CHOOSE(CONTROL!$C$21, $C$9, 100%, $E$9)</f>
        <v>22.0684</v>
      </c>
      <c r="G495" s="14">
        <f>CHOOSE(CONTROL!$C$42, 22.0843, 22.0843)*CHOOSE(CONTROL!$C$21, $C$9, 100%, $E$9)</f>
        <v>22.084299999999999</v>
      </c>
      <c r="H495" s="14">
        <f>CHOOSE(CONTROL!$C$42, 22.1594, 22.1594) * CHOOSE(CONTROL!$C$21, $C$9, 100%, $E$9)</f>
        <v>22.159400000000002</v>
      </c>
      <c r="I495" s="14">
        <f>CHOOSE(CONTROL!$C$42, 22.0872, 22.0872)* CHOOSE(CONTROL!$C$21, $C$9, 100%, $E$9)</f>
        <v>22.087199999999999</v>
      </c>
      <c r="J495" s="14">
        <f>CHOOSE(CONTROL!$C$42, 22.0614, 22.0614)* CHOOSE(CONTROL!$C$21, $C$9, 100%, $E$9)</f>
        <v>22.061399999999999</v>
      </c>
      <c r="K495" s="53">
        <f>CHOOSE(CONTROL!$C$42, 22.0833, 22.0833) * CHOOSE(CONTROL!$C$21, $C$9, 100%, $E$9)</f>
        <v>22.083300000000001</v>
      </c>
      <c r="L495" s="14">
        <f>CHOOSE(CONTROL!$C$42, 22.7464, 22.7464) * CHOOSE(CONTROL!$C$21, $C$9, 100%, $E$9)</f>
        <v>22.746400000000001</v>
      </c>
      <c r="M495" s="14">
        <f>CHOOSE(CONTROL!$C$42, 21.8526, 21.8526) * CHOOSE(CONTROL!$C$21, $C$9, 100%, $E$9)</f>
        <v>21.852599999999999</v>
      </c>
      <c r="N495" s="14">
        <f>CHOOSE(CONTROL!$C$42, 21.8683, 21.8683) * CHOOSE(CONTROL!$C$21, $C$9, 100%, $E$9)</f>
        <v>21.868300000000001</v>
      </c>
      <c r="O495" s="14">
        <f>CHOOSE(CONTROL!$C$42, 21.9496, 21.9496) * CHOOSE(CONTROL!$C$21, $C$9, 100%, $E$9)</f>
        <v>21.9496</v>
      </c>
      <c r="P495" s="14">
        <f>CHOOSE(CONTROL!$C$42, 21.8781, 21.8781) * CHOOSE(CONTROL!$C$21, $C$9, 100%, $E$9)</f>
        <v>21.8781</v>
      </c>
      <c r="Q495" s="14">
        <f>CHOOSE(CONTROL!$C$42, 22.5449, 22.5449) * CHOOSE(CONTROL!$C$21, $C$9, 100%, $E$9)</f>
        <v>22.544899999999998</v>
      </c>
      <c r="R495" s="14">
        <f>CHOOSE(CONTROL!$C$42, 23.1883, 23.1883) * CHOOSE(CONTROL!$C$21, $C$9, 100%, $E$9)</f>
        <v>23.188300000000002</v>
      </c>
      <c r="S495" s="14">
        <f>CHOOSE(CONTROL!$C$42, 21.4273, 21.4273) * CHOOSE(CONTROL!$C$21, $C$9, 100%, $E$9)</f>
        <v>21.427299999999999</v>
      </c>
      <c r="T49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495" s="57">
        <f>(1000*CHOOSE(CONTROL!$C$42, 695, 695)*CHOOSE(CONTROL!$C$42, 0.5599, 0.5599)*CHOOSE(CONTROL!$C$42, 31, 31))/1000000</f>
        <v>12.063045499999998</v>
      </c>
      <c r="V495" s="57">
        <f>(1000*CHOOSE(CONTROL!$C$42, 500, 500)*CHOOSE(CONTROL!$C$42, 0.275, 0.275)*CHOOSE(CONTROL!$C$42, 31, 31))/1000000</f>
        <v>4.2625000000000002</v>
      </c>
      <c r="W495" s="57">
        <f>(1000*CHOOSE(CONTROL!$C$42, 0.1146, 0.1146)*CHOOSE(CONTROL!$C$42, 121.5, 121.5)*CHOOSE(CONTROL!$C$42, 31, 31))/1000000</f>
        <v>0.43164089999999994</v>
      </c>
      <c r="X495" s="57">
        <f>(31*0.1790888*100000/1000000)+(31*0.2374*100000/1000000)</f>
        <v>1.2911152800000001</v>
      </c>
      <c r="Y495" s="57"/>
      <c r="Z495" s="14"/>
      <c r="AA495" s="56"/>
      <c r="AB495" s="50">
        <f>(B495*122.58+C495*297.941+D495*89.177+E495*40.302+F495*40+G495*160+H495*0+I495*100+J495*300)/(122.58+297.941+89.177+40.302+0+40+160+100+300)</f>
        <v>22.0801181386087</v>
      </c>
      <c r="AC495" s="45">
        <f>(M495*'RAP TEMPLATE-GAS AVAILABILITY'!O494+N495*'RAP TEMPLATE-GAS AVAILABILITY'!P494+O495*'RAP TEMPLATE-GAS AVAILABILITY'!Q494+P495*'RAP TEMPLATE-GAS AVAILABILITY'!R494)/('RAP TEMPLATE-GAS AVAILABILITY'!O494+'RAP TEMPLATE-GAS AVAILABILITY'!P494+'RAP TEMPLATE-GAS AVAILABILITY'!Q494+'RAP TEMPLATE-GAS AVAILABILITY'!R494)</f>
        <v>21.90113669064748</v>
      </c>
    </row>
    <row r="496" spans="1:29" ht="15.75" x14ac:dyDescent="0.25">
      <c r="A496" s="33">
        <v>56004</v>
      </c>
      <c r="B496" s="14">
        <f>CHOOSE(CONTROL!$C$42, 22.0023, 22.0023) * CHOOSE(CONTROL!$C$21, $C$9, 100%, $E$9)</f>
        <v>22.002300000000002</v>
      </c>
      <c r="C496" s="14">
        <f>CHOOSE(CONTROL!$C$42, 22.0067, 22.0067) * CHOOSE(CONTROL!$C$21, $C$9, 100%, $E$9)</f>
        <v>22.006699999999999</v>
      </c>
      <c r="D496" s="14">
        <f>CHOOSE(CONTROL!$C$42, 22.2074, 22.2074) * CHOOSE(CONTROL!$C$21, $C$9, 100%, $E$9)</f>
        <v>22.2074</v>
      </c>
      <c r="E496" s="14">
        <f>CHOOSE(CONTROL!$C$42, 22.2392, 22.2392) * CHOOSE(CONTROL!$C$21, $C$9, 100%, $E$9)</f>
        <v>22.2392</v>
      </c>
      <c r="F496" s="14">
        <f>CHOOSE(CONTROL!$C$42, 21.9869, 21.9869)*CHOOSE(CONTROL!$C$21, $C$9, 100%, $E$9)</f>
        <v>21.986899999999999</v>
      </c>
      <c r="G496" s="14">
        <f>CHOOSE(CONTROL!$C$42, 22.0025, 22.0025)*CHOOSE(CONTROL!$C$21, $C$9, 100%, $E$9)</f>
        <v>22.002500000000001</v>
      </c>
      <c r="H496" s="14">
        <f>CHOOSE(CONTROL!$C$42, 22.229, 22.229) * CHOOSE(CONTROL!$C$21, $C$9, 100%, $E$9)</f>
        <v>22.228999999999999</v>
      </c>
      <c r="I496" s="14">
        <f>CHOOSE(CONTROL!$C$42, 22.0151, 22.0151)* CHOOSE(CONTROL!$C$21, $C$9, 100%, $E$9)</f>
        <v>22.0151</v>
      </c>
      <c r="J496" s="14">
        <f>CHOOSE(CONTROL!$C$42, 21.9799, 21.9799)* CHOOSE(CONTROL!$C$21, $C$9, 100%, $E$9)</f>
        <v>21.979900000000001</v>
      </c>
      <c r="K496" s="53">
        <f>CHOOSE(CONTROL!$C$42, 22.0112, 22.0112) * CHOOSE(CONTROL!$C$21, $C$9, 100%, $E$9)</f>
        <v>22.011199999999999</v>
      </c>
      <c r="L496" s="14">
        <f>CHOOSE(CONTROL!$C$42, 22.816, 22.816) * CHOOSE(CONTROL!$C$21, $C$9, 100%, $E$9)</f>
        <v>22.815999999999999</v>
      </c>
      <c r="M496" s="14">
        <f>CHOOSE(CONTROL!$C$42, 21.7719, 21.7719) * CHOOSE(CONTROL!$C$21, $C$9, 100%, $E$9)</f>
        <v>21.771899999999999</v>
      </c>
      <c r="N496" s="14">
        <f>CHOOSE(CONTROL!$C$42, 21.7874, 21.7874) * CHOOSE(CONTROL!$C$21, $C$9, 100%, $E$9)</f>
        <v>21.787400000000002</v>
      </c>
      <c r="O496" s="14">
        <f>CHOOSE(CONTROL!$C$42, 22.0185, 22.0185) * CHOOSE(CONTROL!$C$21, $C$9, 100%, $E$9)</f>
        <v>22.0185</v>
      </c>
      <c r="P496" s="14">
        <f>CHOOSE(CONTROL!$C$42, 21.8068, 21.8068) * CHOOSE(CONTROL!$C$21, $C$9, 100%, $E$9)</f>
        <v>21.806799999999999</v>
      </c>
      <c r="Q496" s="14">
        <f>CHOOSE(CONTROL!$C$42, 22.6138, 22.6138) * CHOOSE(CONTROL!$C$21, $C$9, 100%, $E$9)</f>
        <v>22.613800000000001</v>
      </c>
      <c r="R496" s="14">
        <f>CHOOSE(CONTROL!$C$42, 23.2573, 23.2573) * CHOOSE(CONTROL!$C$21, $C$9, 100%, $E$9)</f>
        <v>23.257300000000001</v>
      </c>
      <c r="S496" s="14">
        <f>CHOOSE(CONTROL!$C$42, 21.3635, 21.3635) * CHOOSE(CONTROL!$C$21, $C$9, 100%, $E$9)</f>
        <v>21.363499999999998</v>
      </c>
      <c r="T49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496" s="57">
        <f>(1000*CHOOSE(CONTROL!$C$42, 695, 695)*CHOOSE(CONTROL!$C$42, 0.5599, 0.5599)*CHOOSE(CONTROL!$C$42, 30, 30))/1000000</f>
        <v>11.673914999999997</v>
      </c>
      <c r="V496" s="57">
        <f>(1000*CHOOSE(CONTROL!$C$42, 500, 500)*CHOOSE(CONTROL!$C$42, 0.275, 0.275)*CHOOSE(CONTROL!$C$42, 30, 30))/1000000</f>
        <v>4.125</v>
      </c>
      <c r="W496" s="57">
        <f>(1000*CHOOSE(CONTROL!$C$42, 0.1146, 0.1146)*CHOOSE(CONTROL!$C$42, 121.5, 121.5)*CHOOSE(CONTROL!$C$42, 30, 30))/1000000</f>
        <v>0.417717</v>
      </c>
      <c r="X496" s="57">
        <f>(30*0.1790888*245000/1000000)+(30*0.2374*100000/1000000)</f>
        <v>2.0285026799999999</v>
      </c>
      <c r="Y496" s="57"/>
      <c r="Z496" s="14"/>
      <c r="AA496" s="56"/>
      <c r="AB496" s="50">
        <f>(B496*141.293+C496*267.993+D496*115.016+E496*89.698+F496*40+G496*185+H496*0+I496*100+J496*300)/(141.293+267.993+115.016+89.698+0+40+185+100+300)</f>
        <v>22.034583621468929</v>
      </c>
      <c r="AC496" s="45">
        <f>(M496*'RAP TEMPLATE-GAS AVAILABILITY'!O495+N496*'RAP TEMPLATE-GAS AVAILABILITY'!P495+O496*'RAP TEMPLATE-GAS AVAILABILITY'!Q495+P496*'RAP TEMPLATE-GAS AVAILABILITY'!R495)/('RAP TEMPLATE-GAS AVAILABILITY'!O495+'RAP TEMPLATE-GAS AVAILABILITY'!P495+'RAP TEMPLATE-GAS AVAILABILITY'!Q495+'RAP TEMPLATE-GAS AVAILABILITY'!R495)</f>
        <v>21.84967985611511</v>
      </c>
    </row>
    <row r="497" spans="1:29" ht="15.75" x14ac:dyDescent="0.25">
      <c r="A497" s="33">
        <v>56035</v>
      </c>
      <c r="B497" s="14">
        <f>CHOOSE(CONTROL!$C$42, 22.1979, 22.1979) * CHOOSE(CONTROL!$C$21, $C$9, 100%, $E$9)</f>
        <v>22.197900000000001</v>
      </c>
      <c r="C497" s="14">
        <f>CHOOSE(CONTROL!$C$42, 22.2058, 22.2058) * CHOOSE(CONTROL!$C$21, $C$9, 100%, $E$9)</f>
        <v>22.2058</v>
      </c>
      <c r="D497" s="14">
        <f>CHOOSE(CONTROL!$C$42, 22.4034, 22.4034) * CHOOSE(CONTROL!$C$21, $C$9, 100%, $E$9)</f>
        <v>22.403400000000001</v>
      </c>
      <c r="E497" s="14">
        <f>CHOOSE(CONTROL!$C$42, 22.4345, 22.4345) * CHOOSE(CONTROL!$C$21, $C$9, 100%, $E$9)</f>
        <v>22.4345</v>
      </c>
      <c r="F497" s="14">
        <f>CHOOSE(CONTROL!$C$42, 22.1813, 22.1813)*CHOOSE(CONTROL!$C$21, $C$9, 100%, $E$9)</f>
        <v>22.1813</v>
      </c>
      <c r="G497" s="14">
        <f>CHOOSE(CONTROL!$C$42, 22.1974, 22.1974)*CHOOSE(CONTROL!$C$21, $C$9, 100%, $E$9)</f>
        <v>22.197399999999998</v>
      </c>
      <c r="H497" s="14">
        <f>CHOOSE(CONTROL!$C$42, 22.4231, 22.4231) * CHOOSE(CONTROL!$C$21, $C$9, 100%, $E$9)</f>
        <v>22.423100000000002</v>
      </c>
      <c r="I497" s="14">
        <f>CHOOSE(CONTROL!$C$42, 22.2092, 22.2092)* CHOOSE(CONTROL!$C$21, $C$9, 100%, $E$9)</f>
        <v>22.209199999999999</v>
      </c>
      <c r="J497" s="14">
        <f>CHOOSE(CONTROL!$C$42, 22.1743, 22.1743)* CHOOSE(CONTROL!$C$21, $C$9, 100%, $E$9)</f>
        <v>22.174299999999999</v>
      </c>
      <c r="K497" s="53">
        <f>CHOOSE(CONTROL!$C$42, 22.2053, 22.2053) * CHOOSE(CONTROL!$C$21, $C$9, 100%, $E$9)</f>
        <v>22.205300000000001</v>
      </c>
      <c r="L497" s="14">
        <f>CHOOSE(CONTROL!$C$42, 23.0101, 23.0101) * CHOOSE(CONTROL!$C$21, $C$9, 100%, $E$9)</f>
        <v>23.010100000000001</v>
      </c>
      <c r="M497" s="14">
        <f>CHOOSE(CONTROL!$C$42, 21.9643, 21.9643) * CHOOSE(CONTROL!$C$21, $C$9, 100%, $E$9)</f>
        <v>21.964300000000001</v>
      </c>
      <c r="N497" s="14">
        <f>CHOOSE(CONTROL!$C$42, 21.9803, 21.9803) * CHOOSE(CONTROL!$C$21, $C$9, 100%, $E$9)</f>
        <v>21.9803</v>
      </c>
      <c r="O497" s="14">
        <f>CHOOSE(CONTROL!$C$42, 22.2107, 22.2107) * CHOOSE(CONTROL!$C$21, $C$9, 100%, $E$9)</f>
        <v>22.210699999999999</v>
      </c>
      <c r="P497" s="14">
        <f>CHOOSE(CONTROL!$C$42, 21.999, 21.999) * CHOOSE(CONTROL!$C$21, $C$9, 100%, $E$9)</f>
        <v>21.998999999999999</v>
      </c>
      <c r="Q497" s="14">
        <f>CHOOSE(CONTROL!$C$42, 22.806, 22.806) * CHOOSE(CONTROL!$C$21, $C$9, 100%, $E$9)</f>
        <v>22.806000000000001</v>
      </c>
      <c r="R497" s="14">
        <f>CHOOSE(CONTROL!$C$42, 23.45, 23.45) * CHOOSE(CONTROL!$C$21, $C$9, 100%, $E$9)</f>
        <v>23.45</v>
      </c>
      <c r="S497" s="14">
        <f>CHOOSE(CONTROL!$C$42, 21.5521, 21.5521) * CHOOSE(CONTROL!$C$21, $C$9, 100%, $E$9)</f>
        <v>21.552099999999999</v>
      </c>
      <c r="T49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497" s="57">
        <f>(1000*CHOOSE(CONTROL!$C$42, 695, 695)*CHOOSE(CONTROL!$C$42, 0.5599, 0.5599)*CHOOSE(CONTROL!$C$42, 31, 31))/1000000</f>
        <v>12.063045499999998</v>
      </c>
      <c r="V497" s="57">
        <f>(1000*CHOOSE(CONTROL!$C$42, 500, 500)*CHOOSE(CONTROL!$C$42, 0.275, 0.275)*CHOOSE(CONTROL!$C$42, 31, 31))/1000000</f>
        <v>4.2625000000000002</v>
      </c>
      <c r="W497" s="57">
        <f>(1000*CHOOSE(CONTROL!$C$42, 0.1146, 0.1146)*CHOOSE(CONTROL!$C$42, 121.5, 121.5)*CHOOSE(CONTROL!$C$42, 31, 31))/1000000</f>
        <v>0.43164089999999994</v>
      </c>
      <c r="X497" s="57">
        <f>(31*0.1790888*245000/1000000)+(31*0.2374*100000/1000000)</f>
        <v>2.0961194359999999</v>
      </c>
      <c r="Y497" s="57"/>
      <c r="Z497" s="14"/>
      <c r="AA497" s="56"/>
      <c r="AB497" s="50">
        <f>(B497*194.205+C497*267.466+D497*133.845+E497*53.484+F497*40+G497*185+H497*0+I497*100+J497*300)/(194.205+267.466+133.845+53.484+0+40+185+100+300)</f>
        <v>22.22581675298273</v>
      </c>
      <c r="AC497" s="45">
        <f>(M497*'RAP TEMPLATE-GAS AVAILABILITY'!O496+N497*'RAP TEMPLATE-GAS AVAILABILITY'!P496+O497*'RAP TEMPLATE-GAS AVAILABILITY'!Q496+P497*'RAP TEMPLATE-GAS AVAILABILITY'!R496)/('RAP TEMPLATE-GAS AVAILABILITY'!O496+'RAP TEMPLATE-GAS AVAILABILITY'!P496+'RAP TEMPLATE-GAS AVAILABILITY'!Q496+'RAP TEMPLATE-GAS AVAILABILITY'!R496)</f>
        <v>22.042110071942446</v>
      </c>
    </row>
    <row r="498" spans="1:29" ht="15.75" x14ac:dyDescent="0.25">
      <c r="A498" s="33">
        <v>56065</v>
      </c>
      <c r="B498" s="14">
        <f>CHOOSE(CONTROL!$C$42, 22.8274, 22.8274) * CHOOSE(CONTROL!$C$21, $C$9, 100%, $E$9)</f>
        <v>22.827400000000001</v>
      </c>
      <c r="C498" s="14">
        <f>CHOOSE(CONTROL!$C$42, 22.8353, 22.8353) * CHOOSE(CONTROL!$C$21, $C$9, 100%, $E$9)</f>
        <v>22.8353</v>
      </c>
      <c r="D498" s="14">
        <f>CHOOSE(CONTROL!$C$42, 23.0329, 23.0329) * CHOOSE(CONTROL!$C$21, $C$9, 100%, $E$9)</f>
        <v>23.032900000000001</v>
      </c>
      <c r="E498" s="14">
        <f>CHOOSE(CONTROL!$C$42, 23.064, 23.064) * CHOOSE(CONTROL!$C$21, $C$9, 100%, $E$9)</f>
        <v>23.064</v>
      </c>
      <c r="F498" s="14">
        <f>CHOOSE(CONTROL!$C$42, 22.8112, 22.8112)*CHOOSE(CONTROL!$C$21, $C$9, 100%, $E$9)</f>
        <v>22.811199999999999</v>
      </c>
      <c r="G498" s="14">
        <f>CHOOSE(CONTROL!$C$42, 22.8274, 22.8274)*CHOOSE(CONTROL!$C$21, $C$9, 100%, $E$9)</f>
        <v>22.827400000000001</v>
      </c>
      <c r="H498" s="14">
        <f>CHOOSE(CONTROL!$C$42, 23.0526, 23.0526) * CHOOSE(CONTROL!$C$21, $C$9, 100%, $E$9)</f>
        <v>23.052600000000002</v>
      </c>
      <c r="I498" s="14">
        <f>CHOOSE(CONTROL!$C$42, 22.8387, 22.8387)* CHOOSE(CONTROL!$C$21, $C$9, 100%, $E$9)</f>
        <v>22.838699999999999</v>
      </c>
      <c r="J498" s="14">
        <f>CHOOSE(CONTROL!$C$42, 22.8042, 22.8042)* CHOOSE(CONTROL!$C$21, $C$9, 100%, $E$9)</f>
        <v>22.804200000000002</v>
      </c>
      <c r="K498" s="53">
        <f>CHOOSE(CONTROL!$C$42, 22.8349, 22.8349) * CHOOSE(CONTROL!$C$21, $C$9, 100%, $E$9)</f>
        <v>22.834900000000001</v>
      </c>
      <c r="L498" s="14">
        <f>CHOOSE(CONTROL!$C$42, 23.6396, 23.6396) * CHOOSE(CONTROL!$C$21, $C$9, 100%, $E$9)</f>
        <v>23.639600000000002</v>
      </c>
      <c r="M498" s="14">
        <f>CHOOSE(CONTROL!$C$42, 22.5879, 22.5879) * CHOOSE(CONTROL!$C$21, $C$9, 100%, $E$9)</f>
        <v>22.587900000000001</v>
      </c>
      <c r="N498" s="14">
        <f>CHOOSE(CONTROL!$C$42, 22.6039, 22.6039) * CHOOSE(CONTROL!$C$21, $C$9, 100%, $E$9)</f>
        <v>22.603899999999999</v>
      </c>
      <c r="O498" s="14">
        <f>CHOOSE(CONTROL!$C$42, 22.8338, 22.8338) * CHOOSE(CONTROL!$C$21, $C$9, 100%, $E$9)</f>
        <v>22.8338</v>
      </c>
      <c r="P498" s="14">
        <f>CHOOSE(CONTROL!$C$42, 22.6221, 22.6221) * CHOOSE(CONTROL!$C$21, $C$9, 100%, $E$9)</f>
        <v>22.6221</v>
      </c>
      <c r="Q498" s="14">
        <f>CHOOSE(CONTROL!$C$42, 23.4291, 23.4291) * CHOOSE(CONTROL!$C$21, $C$9, 100%, $E$9)</f>
        <v>23.429099999999998</v>
      </c>
      <c r="R498" s="14">
        <f>CHOOSE(CONTROL!$C$42, 24.0747, 24.0747) * CHOOSE(CONTROL!$C$21, $C$9, 100%, $E$9)</f>
        <v>24.0747</v>
      </c>
      <c r="S498" s="14">
        <f>CHOOSE(CONTROL!$C$42, 22.1634, 22.1634) * CHOOSE(CONTROL!$C$21, $C$9, 100%, $E$9)</f>
        <v>22.163399999999999</v>
      </c>
      <c r="T49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498" s="57">
        <f>(1000*CHOOSE(CONTROL!$C$42, 695, 695)*CHOOSE(CONTROL!$C$42, 0.5599, 0.5599)*CHOOSE(CONTROL!$C$42, 30, 30))/1000000</f>
        <v>11.673914999999997</v>
      </c>
      <c r="V498" s="57">
        <f>(1000*CHOOSE(CONTROL!$C$42, 500, 500)*CHOOSE(CONTROL!$C$42, 0.275, 0.275)*CHOOSE(CONTROL!$C$42, 30, 30))/1000000</f>
        <v>4.125</v>
      </c>
      <c r="W498" s="57">
        <f>(1000*CHOOSE(CONTROL!$C$42, 0.1146, 0.1146)*CHOOSE(CONTROL!$C$42, 121.5, 121.5)*CHOOSE(CONTROL!$C$42, 30, 30))/1000000</f>
        <v>0.417717</v>
      </c>
      <c r="X498" s="57">
        <f>(30*0.1790888*245000/1000000)+(30*0.2374*100000/1000000)</f>
        <v>2.0285026799999999</v>
      </c>
      <c r="Y498" s="57"/>
      <c r="Z498" s="14"/>
      <c r="AA498" s="56"/>
      <c r="AB498" s="50">
        <f>(B498*194.205+C498*267.466+D498*133.845+E498*53.484+F498*40+G498*185+H498*0+I498*100+J498*300)/(194.205+267.466+133.845+53.484+0+40+185+100+300)</f>
        <v>22.855496109340656</v>
      </c>
      <c r="AC498" s="45">
        <f>(M498*'RAP TEMPLATE-GAS AVAILABILITY'!O497+N498*'RAP TEMPLATE-GAS AVAILABILITY'!P497+O498*'RAP TEMPLATE-GAS AVAILABILITY'!Q497+P498*'RAP TEMPLATE-GAS AVAILABILITY'!R497)/('RAP TEMPLATE-GAS AVAILABILITY'!O497+'RAP TEMPLATE-GAS AVAILABILITY'!P497+'RAP TEMPLATE-GAS AVAILABILITY'!Q497+'RAP TEMPLATE-GAS AVAILABILITY'!R497)</f>
        <v>22.665497841726619</v>
      </c>
    </row>
    <row r="499" spans="1:29" ht="15.75" x14ac:dyDescent="0.25">
      <c r="A499" s="33">
        <v>56096</v>
      </c>
      <c r="B499" s="14">
        <f>CHOOSE(CONTROL!$C$42, 22.3895, 22.3895) * CHOOSE(CONTROL!$C$21, $C$9, 100%, $E$9)</f>
        <v>22.389500000000002</v>
      </c>
      <c r="C499" s="14">
        <f>CHOOSE(CONTROL!$C$42, 22.3975, 22.3975) * CHOOSE(CONTROL!$C$21, $C$9, 100%, $E$9)</f>
        <v>22.397500000000001</v>
      </c>
      <c r="D499" s="14">
        <f>CHOOSE(CONTROL!$C$42, 22.595, 22.595) * CHOOSE(CONTROL!$C$21, $C$9, 100%, $E$9)</f>
        <v>22.594999999999999</v>
      </c>
      <c r="E499" s="14">
        <f>CHOOSE(CONTROL!$C$42, 22.6262, 22.6262) * CHOOSE(CONTROL!$C$21, $C$9, 100%, $E$9)</f>
        <v>22.626200000000001</v>
      </c>
      <c r="F499" s="14">
        <f>CHOOSE(CONTROL!$C$42, 22.3738, 22.3738)*CHOOSE(CONTROL!$C$21, $C$9, 100%, $E$9)</f>
        <v>22.373799999999999</v>
      </c>
      <c r="G499" s="14">
        <f>CHOOSE(CONTROL!$C$42, 22.3901, 22.3901)*CHOOSE(CONTROL!$C$21, $C$9, 100%, $E$9)</f>
        <v>22.3901</v>
      </c>
      <c r="H499" s="14">
        <f>CHOOSE(CONTROL!$C$42, 22.6148, 22.6148) * CHOOSE(CONTROL!$C$21, $C$9, 100%, $E$9)</f>
        <v>22.614799999999999</v>
      </c>
      <c r="I499" s="14">
        <f>CHOOSE(CONTROL!$C$42, 22.4009, 22.4009)* CHOOSE(CONTROL!$C$21, $C$9, 100%, $E$9)</f>
        <v>22.4009</v>
      </c>
      <c r="J499" s="14">
        <f>CHOOSE(CONTROL!$C$42, 22.3668, 22.3668)* CHOOSE(CONTROL!$C$21, $C$9, 100%, $E$9)</f>
        <v>22.366800000000001</v>
      </c>
      <c r="K499" s="53">
        <f>CHOOSE(CONTROL!$C$42, 22.397, 22.397) * CHOOSE(CONTROL!$C$21, $C$9, 100%, $E$9)</f>
        <v>22.396999999999998</v>
      </c>
      <c r="L499" s="14">
        <f>CHOOSE(CONTROL!$C$42, 23.2018, 23.2018) * CHOOSE(CONTROL!$C$21, $C$9, 100%, $E$9)</f>
        <v>23.201799999999999</v>
      </c>
      <c r="M499" s="14">
        <f>CHOOSE(CONTROL!$C$42, 22.1549, 22.1549) * CHOOSE(CONTROL!$C$21, $C$9, 100%, $E$9)</f>
        <v>22.154900000000001</v>
      </c>
      <c r="N499" s="14">
        <f>CHOOSE(CONTROL!$C$42, 22.171, 22.171) * CHOOSE(CONTROL!$C$21, $C$9, 100%, $E$9)</f>
        <v>22.170999999999999</v>
      </c>
      <c r="O499" s="14">
        <f>CHOOSE(CONTROL!$C$42, 22.4004, 22.4004) * CHOOSE(CONTROL!$C$21, $C$9, 100%, $E$9)</f>
        <v>22.400400000000001</v>
      </c>
      <c r="P499" s="14">
        <f>CHOOSE(CONTROL!$C$42, 22.1887, 22.1887) * CHOOSE(CONTROL!$C$21, $C$9, 100%, $E$9)</f>
        <v>22.188700000000001</v>
      </c>
      <c r="Q499" s="14">
        <f>CHOOSE(CONTROL!$C$42, 22.9957, 22.9957) * CHOOSE(CONTROL!$C$21, $C$9, 100%, $E$9)</f>
        <v>22.995699999999999</v>
      </c>
      <c r="R499" s="14">
        <f>CHOOSE(CONTROL!$C$42, 23.6402, 23.6402) * CHOOSE(CONTROL!$C$21, $C$9, 100%, $E$9)</f>
        <v>23.6402</v>
      </c>
      <c r="S499" s="14">
        <f>CHOOSE(CONTROL!$C$42, 21.7382, 21.7382) * CHOOSE(CONTROL!$C$21, $C$9, 100%, $E$9)</f>
        <v>21.738199999999999</v>
      </c>
      <c r="T49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499" s="57">
        <f>(1000*CHOOSE(CONTROL!$C$42, 695, 695)*CHOOSE(CONTROL!$C$42, 0.5599, 0.5599)*CHOOSE(CONTROL!$C$42, 31, 31))/1000000</f>
        <v>12.063045499999998</v>
      </c>
      <c r="V499" s="57">
        <f>(1000*CHOOSE(CONTROL!$C$42, 500, 500)*CHOOSE(CONTROL!$C$42, 0.275, 0.275)*CHOOSE(CONTROL!$C$42, 31, 31))/1000000</f>
        <v>4.2625000000000002</v>
      </c>
      <c r="W499" s="57">
        <f>(1000*CHOOSE(CONTROL!$C$42, 0.1146, 0.1146)*CHOOSE(CONTROL!$C$42, 121.5, 121.5)*CHOOSE(CONTROL!$C$42, 31, 31))/1000000</f>
        <v>0.43164089999999994</v>
      </c>
      <c r="X499" s="57">
        <f>(31*0.1790888*245000/1000000)+(31*0.2374*100000/1000000)</f>
        <v>2.0961194359999999</v>
      </c>
      <c r="Y499" s="57"/>
      <c r="Z499" s="14"/>
      <c r="AA499" s="56"/>
      <c r="AB499" s="50">
        <f>(B499*194.205+C499*267.466+D499*133.845+E499*53.484+F499*40+G499*185+H499*0+I499*100+J499*300)/(194.205+267.466+133.845+53.484+0+40+185+100+300)</f>
        <v>22.417849716091055</v>
      </c>
      <c r="AC499" s="45">
        <f>(M499*'RAP TEMPLATE-GAS AVAILABILITY'!O498+N499*'RAP TEMPLATE-GAS AVAILABILITY'!P498+O499*'RAP TEMPLATE-GAS AVAILABILITY'!Q498+P499*'RAP TEMPLATE-GAS AVAILABILITY'!R498)/('RAP TEMPLATE-GAS AVAILABILITY'!O498+'RAP TEMPLATE-GAS AVAILABILITY'!P498+'RAP TEMPLATE-GAS AVAILABILITY'!Q498+'RAP TEMPLATE-GAS AVAILABILITY'!R498)</f>
        <v>22.232351079136691</v>
      </c>
    </row>
    <row r="500" spans="1:29" ht="15.75" x14ac:dyDescent="0.25">
      <c r="A500" s="33">
        <v>56127</v>
      </c>
      <c r="B500" s="14">
        <f>CHOOSE(CONTROL!$C$42, 21.2839, 21.2839) * CHOOSE(CONTROL!$C$21, $C$9, 100%, $E$9)</f>
        <v>21.283899999999999</v>
      </c>
      <c r="C500" s="14">
        <f>CHOOSE(CONTROL!$C$42, 21.2918, 21.2918) * CHOOSE(CONTROL!$C$21, $C$9, 100%, $E$9)</f>
        <v>21.291799999999999</v>
      </c>
      <c r="D500" s="14">
        <f>CHOOSE(CONTROL!$C$42, 21.4894, 21.4894) * CHOOSE(CONTROL!$C$21, $C$9, 100%, $E$9)</f>
        <v>21.4894</v>
      </c>
      <c r="E500" s="14">
        <f>CHOOSE(CONTROL!$C$42, 21.5205, 21.5205) * CHOOSE(CONTROL!$C$21, $C$9, 100%, $E$9)</f>
        <v>21.520499999999998</v>
      </c>
      <c r="F500" s="14">
        <f>CHOOSE(CONTROL!$C$42, 21.2683, 21.2683)*CHOOSE(CONTROL!$C$21, $C$9, 100%, $E$9)</f>
        <v>21.2683</v>
      </c>
      <c r="G500" s="14">
        <f>CHOOSE(CONTROL!$C$42, 21.2847, 21.2847)*CHOOSE(CONTROL!$C$21, $C$9, 100%, $E$9)</f>
        <v>21.284700000000001</v>
      </c>
      <c r="H500" s="14">
        <f>CHOOSE(CONTROL!$C$42, 21.5092, 21.5092) * CHOOSE(CONTROL!$C$21, $C$9, 100%, $E$9)</f>
        <v>21.5092</v>
      </c>
      <c r="I500" s="14">
        <f>CHOOSE(CONTROL!$C$42, 21.2952, 21.2952)* CHOOSE(CONTROL!$C$21, $C$9, 100%, $E$9)</f>
        <v>21.295200000000001</v>
      </c>
      <c r="J500" s="14">
        <f>CHOOSE(CONTROL!$C$42, 21.2613, 21.2613)* CHOOSE(CONTROL!$C$21, $C$9, 100%, $E$9)</f>
        <v>21.261299999999999</v>
      </c>
      <c r="K500" s="53">
        <f>CHOOSE(CONTROL!$C$42, 21.2914, 21.2914) * CHOOSE(CONTROL!$C$21, $C$9, 100%, $E$9)</f>
        <v>21.291399999999999</v>
      </c>
      <c r="L500" s="14">
        <f>CHOOSE(CONTROL!$C$42, 22.0962, 22.0962) * CHOOSE(CONTROL!$C$21, $C$9, 100%, $E$9)</f>
        <v>22.0962</v>
      </c>
      <c r="M500" s="14">
        <f>CHOOSE(CONTROL!$C$42, 21.0606, 21.0606) * CHOOSE(CONTROL!$C$21, $C$9, 100%, $E$9)</f>
        <v>21.060600000000001</v>
      </c>
      <c r="N500" s="14">
        <f>CHOOSE(CONTROL!$C$42, 21.0768, 21.0768) * CHOOSE(CONTROL!$C$21, $C$9, 100%, $E$9)</f>
        <v>21.076799999999999</v>
      </c>
      <c r="O500" s="14">
        <f>CHOOSE(CONTROL!$C$42, 21.3059, 21.3059) * CHOOSE(CONTROL!$C$21, $C$9, 100%, $E$9)</f>
        <v>21.305900000000001</v>
      </c>
      <c r="P500" s="14">
        <f>CHOOSE(CONTROL!$C$42, 21.0942, 21.0942) * CHOOSE(CONTROL!$C$21, $C$9, 100%, $E$9)</f>
        <v>21.094200000000001</v>
      </c>
      <c r="Q500" s="14">
        <f>CHOOSE(CONTROL!$C$42, 21.9012, 21.9012) * CHOOSE(CONTROL!$C$21, $C$9, 100%, $E$9)</f>
        <v>21.901199999999999</v>
      </c>
      <c r="R500" s="14">
        <f>CHOOSE(CONTROL!$C$42, 22.543, 22.543) * CHOOSE(CONTROL!$C$21, $C$9, 100%, $E$9)</f>
        <v>22.542999999999999</v>
      </c>
      <c r="S500" s="14">
        <f>CHOOSE(CONTROL!$C$42, 20.6645, 20.6645) * CHOOSE(CONTROL!$C$21, $C$9, 100%, $E$9)</f>
        <v>20.6645</v>
      </c>
      <c r="T50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00" s="57">
        <f>(1000*CHOOSE(CONTROL!$C$42, 695, 695)*CHOOSE(CONTROL!$C$42, 0.5599, 0.5599)*CHOOSE(CONTROL!$C$42, 31, 31))/1000000</f>
        <v>12.063045499999998</v>
      </c>
      <c r="V500" s="57">
        <f>(1000*CHOOSE(CONTROL!$C$42, 500, 500)*CHOOSE(CONTROL!$C$42, 0.275, 0.275)*CHOOSE(CONTROL!$C$42, 31, 31))/1000000</f>
        <v>4.2625000000000002</v>
      </c>
      <c r="W500" s="57">
        <f>(1000*CHOOSE(CONTROL!$C$42, 0.1146, 0.1146)*CHOOSE(CONTROL!$C$42, 121.5, 121.5)*CHOOSE(CONTROL!$C$42, 31, 31))/1000000</f>
        <v>0.43164089999999994</v>
      </c>
      <c r="X500" s="57">
        <f>(31*0.1790888*245000/1000000)+(31*0.2374*100000/1000000)</f>
        <v>2.0961194359999999</v>
      </c>
      <c r="Y500" s="57"/>
      <c r="Z500" s="14"/>
      <c r="AA500" s="56"/>
      <c r="AB500" s="50">
        <f>(B500*194.205+C500*267.466+D500*133.845+E500*53.484+F500*40+G500*185+H500*0+I500*100+J500*300)/(194.205+267.466+133.845+53.484+0+40+185+100+300)</f>
        <v>21.312272404474097</v>
      </c>
      <c r="AC500" s="45">
        <f>(M500*'RAP TEMPLATE-GAS AVAILABILITY'!O499+N500*'RAP TEMPLATE-GAS AVAILABILITY'!P499+O500*'RAP TEMPLATE-GAS AVAILABILITY'!Q499+P500*'RAP TEMPLATE-GAS AVAILABILITY'!R499)/('RAP TEMPLATE-GAS AVAILABILITY'!O499+'RAP TEMPLATE-GAS AVAILABILITY'!P499+'RAP TEMPLATE-GAS AVAILABILITY'!Q499+'RAP TEMPLATE-GAS AVAILABILITY'!R499)</f>
        <v>21.13798920863309</v>
      </c>
    </row>
    <row r="501" spans="1:29" ht="15.75" x14ac:dyDescent="0.25">
      <c r="A501" s="33">
        <v>56157</v>
      </c>
      <c r="B501" s="14">
        <f>CHOOSE(CONTROL!$C$42, 19.9326, 19.9326) * CHOOSE(CONTROL!$C$21, $C$9, 100%, $E$9)</f>
        <v>19.932600000000001</v>
      </c>
      <c r="C501" s="14">
        <f>CHOOSE(CONTROL!$C$42, 19.9405, 19.9405) * CHOOSE(CONTROL!$C$21, $C$9, 100%, $E$9)</f>
        <v>19.9405</v>
      </c>
      <c r="D501" s="14">
        <f>CHOOSE(CONTROL!$C$42, 20.1381, 20.1381) * CHOOSE(CONTROL!$C$21, $C$9, 100%, $E$9)</f>
        <v>20.138100000000001</v>
      </c>
      <c r="E501" s="14">
        <f>CHOOSE(CONTROL!$C$42, 20.1692, 20.1692) * CHOOSE(CONTROL!$C$21, $C$9, 100%, $E$9)</f>
        <v>20.1692</v>
      </c>
      <c r="F501" s="14">
        <f>CHOOSE(CONTROL!$C$42, 19.9169, 19.9169)*CHOOSE(CONTROL!$C$21, $C$9, 100%, $E$9)</f>
        <v>19.916899999999998</v>
      </c>
      <c r="G501" s="14">
        <f>CHOOSE(CONTROL!$C$42, 19.9333, 19.9333)*CHOOSE(CONTROL!$C$21, $C$9, 100%, $E$9)</f>
        <v>19.933299999999999</v>
      </c>
      <c r="H501" s="14">
        <f>CHOOSE(CONTROL!$C$42, 20.1578, 20.1578) * CHOOSE(CONTROL!$C$21, $C$9, 100%, $E$9)</f>
        <v>20.157800000000002</v>
      </c>
      <c r="I501" s="14">
        <f>CHOOSE(CONTROL!$C$42, 19.9439, 19.9439)* CHOOSE(CONTROL!$C$21, $C$9, 100%, $E$9)</f>
        <v>19.943899999999999</v>
      </c>
      <c r="J501" s="14">
        <f>CHOOSE(CONTROL!$C$42, 19.9099, 19.9099)* CHOOSE(CONTROL!$C$21, $C$9, 100%, $E$9)</f>
        <v>19.9099</v>
      </c>
      <c r="K501" s="53">
        <f>CHOOSE(CONTROL!$C$42, 19.94, 19.94) * CHOOSE(CONTROL!$C$21, $C$9, 100%, $E$9)</f>
        <v>19.940000000000001</v>
      </c>
      <c r="L501" s="14">
        <f>CHOOSE(CONTROL!$C$42, 20.7448, 20.7448) * CHOOSE(CONTROL!$C$21, $C$9, 100%, $E$9)</f>
        <v>20.744800000000001</v>
      </c>
      <c r="M501" s="14">
        <f>CHOOSE(CONTROL!$C$42, 19.7228, 19.7228) * CHOOSE(CONTROL!$C$21, $C$9, 100%, $E$9)</f>
        <v>19.722799999999999</v>
      </c>
      <c r="N501" s="14">
        <f>CHOOSE(CONTROL!$C$42, 19.739, 19.739) * CHOOSE(CONTROL!$C$21, $C$9, 100%, $E$9)</f>
        <v>19.739000000000001</v>
      </c>
      <c r="O501" s="14">
        <f>CHOOSE(CONTROL!$C$42, 19.9682, 19.9682) * CHOOSE(CONTROL!$C$21, $C$9, 100%, $E$9)</f>
        <v>19.9682</v>
      </c>
      <c r="P501" s="14">
        <f>CHOOSE(CONTROL!$C$42, 19.7565, 19.7565) * CHOOSE(CONTROL!$C$21, $C$9, 100%, $E$9)</f>
        <v>19.756499999999999</v>
      </c>
      <c r="Q501" s="14">
        <f>CHOOSE(CONTROL!$C$42, 20.5635, 20.5635) * CHOOSE(CONTROL!$C$21, $C$9, 100%, $E$9)</f>
        <v>20.563500000000001</v>
      </c>
      <c r="R501" s="14">
        <f>CHOOSE(CONTROL!$C$42, 21.202, 21.202) * CHOOSE(CONTROL!$C$21, $C$9, 100%, $E$9)</f>
        <v>21.202000000000002</v>
      </c>
      <c r="S501" s="14">
        <f>CHOOSE(CONTROL!$C$42, 19.3523, 19.3523) * CHOOSE(CONTROL!$C$21, $C$9, 100%, $E$9)</f>
        <v>19.3523</v>
      </c>
      <c r="T50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01" s="57">
        <f>(1000*CHOOSE(CONTROL!$C$42, 695, 695)*CHOOSE(CONTROL!$C$42, 0.5599, 0.5599)*CHOOSE(CONTROL!$C$42, 30, 30))/1000000</f>
        <v>11.673914999999997</v>
      </c>
      <c r="V501" s="57">
        <f>(1000*CHOOSE(CONTROL!$C$42, 500, 500)*CHOOSE(CONTROL!$C$42, 0.275, 0.275)*CHOOSE(CONTROL!$C$42, 30, 30))/1000000</f>
        <v>4.125</v>
      </c>
      <c r="W501" s="57">
        <f>(1000*CHOOSE(CONTROL!$C$42, 0.1146, 0.1146)*CHOOSE(CONTROL!$C$42, 121.5, 121.5)*CHOOSE(CONTROL!$C$42, 30, 30))/1000000</f>
        <v>0.417717</v>
      </c>
      <c r="X501" s="57">
        <f>(30*0.1790888*245000/1000000)+(30*0.2374*100000/1000000)</f>
        <v>2.0285026799999999</v>
      </c>
      <c r="Y501" s="57"/>
      <c r="Z501" s="14"/>
      <c r="AA501" s="56"/>
      <c r="AB501" s="50">
        <f>(B501*194.205+C501*267.466+D501*133.845+E501*53.484+F501*40+G501*185+H501*0+I501*100+J501*300)/(194.205+267.466+133.845+53.484+0+40+185+100+300)</f>
        <v>19.960931195682893</v>
      </c>
      <c r="AC501" s="45">
        <f>(M501*'RAP TEMPLATE-GAS AVAILABILITY'!O500+N501*'RAP TEMPLATE-GAS AVAILABILITY'!P500+O501*'RAP TEMPLATE-GAS AVAILABILITY'!Q500+P501*'RAP TEMPLATE-GAS AVAILABILITY'!R500)/('RAP TEMPLATE-GAS AVAILABILITY'!O500+'RAP TEMPLATE-GAS AVAILABILITY'!P500+'RAP TEMPLATE-GAS AVAILABILITY'!Q500+'RAP TEMPLATE-GAS AVAILABILITY'!R500)</f>
        <v>19.800231654676256</v>
      </c>
    </row>
    <row r="502" spans="1:29" ht="15.75" x14ac:dyDescent="0.25">
      <c r="A502" s="33">
        <v>56188</v>
      </c>
      <c r="B502" s="14">
        <f>CHOOSE(CONTROL!$C$42, 19.5262, 19.5262) * CHOOSE(CONTROL!$C$21, $C$9, 100%, $E$9)</f>
        <v>19.526199999999999</v>
      </c>
      <c r="C502" s="14">
        <f>CHOOSE(CONTROL!$C$42, 19.5314, 19.5314) * CHOOSE(CONTROL!$C$21, $C$9, 100%, $E$9)</f>
        <v>19.531400000000001</v>
      </c>
      <c r="D502" s="14">
        <f>CHOOSE(CONTROL!$C$42, 19.734, 19.734) * CHOOSE(CONTROL!$C$21, $C$9, 100%, $E$9)</f>
        <v>19.734000000000002</v>
      </c>
      <c r="E502" s="14">
        <f>CHOOSE(CONTROL!$C$42, 19.7628, 19.7628) * CHOOSE(CONTROL!$C$21, $C$9, 100%, $E$9)</f>
        <v>19.762799999999999</v>
      </c>
      <c r="F502" s="14">
        <f>CHOOSE(CONTROL!$C$42, 19.5126, 19.5126)*CHOOSE(CONTROL!$C$21, $C$9, 100%, $E$9)</f>
        <v>19.512599999999999</v>
      </c>
      <c r="G502" s="14">
        <f>CHOOSE(CONTROL!$C$42, 19.5286, 19.5286)*CHOOSE(CONTROL!$C$21, $C$9, 100%, $E$9)</f>
        <v>19.528600000000001</v>
      </c>
      <c r="H502" s="14">
        <f>CHOOSE(CONTROL!$C$42, 19.7532, 19.7532) * CHOOSE(CONTROL!$C$21, $C$9, 100%, $E$9)</f>
        <v>19.7532</v>
      </c>
      <c r="I502" s="14">
        <f>CHOOSE(CONTROL!$C$42, 19.5393, 19.5393)* CHOOSE(CONTROL!$C$21, $C$9, 100%, $E$9)</f>
        <v>19.539300000000001</v>
      </c>
      <c r="J502" s="14">
        <f>CHOOSE(CONTROL!$C$42, 19.5056, 19.5056)* CHOOSE(CONTROL!$C$21, $C$9, 100%, $E$9)</f>
        <v>19.505600000000001</v>
      </c>
      <c r="K502" s="53">
        <f>CHOOSE(CONTROL!$C$42, 19.5354, 19.5354) * CHOOSE(CONTROL!$C$21, $C$9, 100%, $E$9)</f>
        <v>19.535399999999999</v>
      </c>
      <c r="L502" s="14">
        <f>CHOOSE(CONTROL!$C$42, 20.3402, 20.3402) * CHOOSE(CONTROL!$C$21, $C$9, 100%, $E$9)</f>
        <v>20.340199999999999</v>
      </c>
      <c r="M502" s="14">
        <f>CHOOSE(CONTROL!$C$42, 19.3226, 19.3226) * CHOOSE(CONTROL!$C$21, $C$9, 100%, $E$9)</f>
        <v>19.322600000000001</v>
      </c>
      <c r="N502" s="14">
        <f>CHOOSE(CONTROL!$C$42, 19.3384, 19.3384) * CHOOSE(CONTROL!$C$21, $C$9, 100%, $E$9)</f>
        <v>19.3384</v>
      </c>
      <c r="O502" s="14">
        <f>CHOOSE(CONTROL!$C$42, 19.5677, 19.5677) * CHOOSE(CONTROL!$C$21, $C$9, 100%, $E$9)</f>
        <v>19.567699999999999</v>
      </c>
      <c r="P502" s="14">
        <f>CHOOSE(CONTROL!$C$42, 19.356, 19.356) * CHOOSE(CONTROL!$C$21, $C$9, 100%, $E$9)</f>
        <v>19.356000000000002</v>
      </c>
      <c r="Q502" s="14">
        <f>CHOOSE(CONTROL!$C$42, 20.163, 20.163) * CHOOSE(CONTROL!$C$21, $C$9, 100%, $E$9)</f>
        <v>20.163</v>
      </c>
      <c r="R502" s="14">
        <f>CHOOSE(CONTROL!$C$42, 20.8004, 20.8004) * CHOOSE(CONTROL!$C$21, $C$9, 100%, $E$9)</f>
        <v>20.8004</v>
      </c>
      <c r="S502" s="14">
        <f>CHOOSE(CONTROL!$C$42, 18.9594, 18.9594) * CHOOSE(CONTROL!$C$21, $C$9, 100%, $E$9)</f>
        <v>18.959399999999999</v>
      </c>
      <c r="T50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02" s="57">
        <f>(1000*CHOOSE(CONTROL!$C$42, 695, 695)*CHOOSE(CONTROL!$C$42, 0.5599, 0.5599)*CHOOSE(CONTROL!$C$42, 31, 31))/1000000</f>
        <v>12.063045499999998</v>
      </c>
      <c r="V502" s="57">
        <f>(1000*CHOOSE(CONTROL!$C$42, 500, 500)*CHOOSE(CONTROL!$C$42, 0.275, 0.275)*CHOOSE(CONTROL!$C$42, 31, 31))/1000000</f>
        <v>4.2625000000000002</v>
      </c>
      <c r="W502" s="57">
        <f>(1000*CHOOSE(CONTROL!$C$42, 0.1146, 0.1146)*CHOOSE(CONTROL!$C$42, 121.5, 121.5)*CHOOSE(CONTROL!$C$42, 31, 31))/1000000</f>
        <v>0.43164089999999994</v>
      </c>
      <c r="X502" s="57">
        <f>(31*0.1790888*245000/1000000)+(31*0.2374*100000/1000000)</f>
        <v>2.0961194359999999</v>
      </c>
      <c r="Y502" s="57"/>
      <c r="Z502" s="14"/>
      <c r="AA502" s="56"/>
      <c r="AB502" s="50">
        <f>(B502*131.881+C502*277.167+D502*79.08+E502*125.872+F502*40+G502*185+H502*0+I502*100+J502*300)/(131.881+277.167+79.08+125.872+0+40+185+100+300)</f>
        <v>19.560651499273607</v>
      </c>
      <c r="AC502" s="45">
        <f>(M502*'RAP TEMPLATE-GAS AVAILABILITY'!O501+N502*'RAP TEMPLATE-GAS AVAILABILITY'!P501+O502*'RAP TEMPLATE-GAS AVAILABILITY'!Q501+P502*'RAP TEMPLATE-GAS AVAILABILITY'!R501)/('RAP TEMPLATE-GAS AVAILABILITY'!O501+'RAP TEMPLATE-GAS AVAILABILITY'!P501+'RAP TEMPLATE-GAS AVAILABILITY'!Q501+'RAP TEMPLATE-GAS AVAILABILITY'!R501)</f>
        <v>19.399812230215829</v>
      </c>
    </row>
    <row r="503" spans="1:29" ht="15.75" x14ac:dyDescent="0.25">
      <c r="A503" s="33">
        <v>56218</v>
      </c>
      <c r="B503" s="14">
        <f>CHOOSE(CONTROL!$C$42, 20.0401, 20.0401) * CHOOSE(CONTROL!$C$21, $C$9, 100%, $E$9)</f>
        <v>20.040099999999999</v>
      </c>
      <c r="C503" s="14">
        <f>CHOOSE(CONTROL!$C$42, 20.0451, 20.0451) * CHOOSE(CONTROL!$C$21, $C$9, 100%, $E$9)</f>
        <v>20.045100000000001</v>
      </c>
      <c r="D503" s="14">
        <f>CHOOSE(CONTROL!$C$42, 20.1081, 20.1081) * CHOOSE(CONTROL!$C$21, $C$9, 100%, $E$9)</f>
        <v>20.1081</v>
      </c>
      <c r="E503" s="14">
        <f>CHOOSE(CONTROL!$C$42, 20.1419, 20.1419) * CHOOSE(CONTROL!$C$21, $C$9, 100%, $E$9)</f>
        <v>20.1419</v>
      </c>
      <c r="F503" s="14">
        <f>CHOOSE(CONTROL!$C$42, 20.0408, 20.0408)*CHOOSE(CONTROL!$C$21, $C$9, 100%, $E$9)</f>
        <v>20.040800000000001</v>
      </c>
      <c r="G503" s="14">
        <f>CHOOSE(CONTROL!$C$42, 20.0571, 20.0571)*CHOOSE(CONTROL!$C$21, $C$9, 100%, $E$9)</f>
        <v>20.057099999999998</v>
      </c>
      <c r="H503" s="14">
        <f>CHOOSE(CONTROL!$C$42, 20.1311, 20.1311) * CHOOSE(CONTROL!$C$21, $C$9, 100%, $E$9)</f>
        <v>20.1311</v>
      </c>
      <c r="I503" s="14">
        <f>CHOOSE(CONTROL!$C$42, 20.0537, 20.0537)* CHOOSE(CONTROL!$C$21, $C$9, 100%, $E$9)</f>
        <v>20.053699999999999</v>
      </c>
      <c r="J503" s="14">
        <f>CHOOSE(CONTROL!$C$42, 20.0338, 20.0338)* CHOOSE(CONTROL!$C$21, $C$9, 100%, $E$9)</f>
        <v>20.033799999999999</v>
      </c>
      <c r="K503" s="53">
        <f>CHOOSE(CONTROL!$C$42, 20.0498, 20.0498) * CHOOSE(CONTROL!$C$21, $C$9, 100%, $E$9)</f>
        <v>20.049800000000001</v>
      </c>
      <c r="L503" s="14">
        <f>CHOOSE(CONTROL!$C$42, 20.7181, 20.7181) * CHOOSE(CONTROL!$C$21, $C$9, 100%, $E$9)</f>
        <v>20.7181</v>
      </c>
      <c r="M503" s="14">
        <f>CHOOSE(CONTROL!$C$42, 19.8455, 19.8455) * CHOOSE(CONTROL!$C$21, $C$9, 100%, $E$9)</f>
        <v>19.845500000000001</v>
      </c>
      <c r="N503" s="14">
        <f>CHOOSE(CONTROL!$C$42, 19.8616, 19.8616) * CHOOSE(CONTROL!$C$21, $C$9, 100%, $E$9)</f>
        <v>19.861599999999999</v>
      </c>
      <c r="O503" s="14">
        <f>CHOOSE(CONTROL!$C$42, 19.9418, 19.9418) * CHOOSE(CONTROL!$C$21, $C$9, 100%, $E$9)</f>
        <v>19.941800000000001</v>
      </c>
      <c r="P503" s="14">
        <f>CHOOSE(CONTROL!$C$42, 19.8651, 19.8651) * CHOOSE(CONTROL!$C$21, $C$9, 100%, $E$9)</f>
        <v>19.865100000000002</v>
      </c>
      <c r="Q503" s="14">
        <f>CHOOSE(CONTROL!$C$42, 20.5371, 20.5371) * CHOOSE(CONTROL!$C$21, $C$9, 100%, $E$9)</f>
        <v>20.537099999999999</v>
      </c>
      <c r="R503" s="14">
        <f>CHOOSE(CONTROL!$C$42, 21.1754, 21.1754) * CHOOSE(CONTROL!$C$21, $C$9, 100%, $E$9)</f>
        <v>21.1754</v>
      </c>
      <c r="S503" s="14">
        <f>CHOOSE(CONTROL!$C$42, 19.4588, 19.4588) * CHOOSE(CONTROL!$C$21, $C$9, 100%, $E$9)</f>
        <v>19.4588</v>
      </c>
      <c r="T50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03" s="57">
        <f>(1000*CHOOSE(CONTROL!$C$42, 695, 695)*CHOOSE(CONTROL!$C$42, 0.5599, 0.5599)*CHOOSE(CONTROL!$C$42, 30, 30))/1000000</f>
        <v>11.673914999999997</v>
      </c>
      <c r="V503" s="57">
        <f>(1000*CHOOSE(CONTROL!$C$42, 500, 500)*CHOOSE(CONTROL!$C$42, 0.275, 0.275)*CHOOSE(CONTROL!$C$42, 30, 30))/1000000</f>
        <v>4.125</v>
      </c>
      <c r="W503" s="57">
        <f>(1000*CHOOSE(CONTROL!$C$42, 0.1146, 0.1146)*CHOOSE(CONTROL!$C$42, 121.5, 121.5)*CHOOSE(CONTROL!$C$42, 30, 30))/1000000</f>
        <v>0.417717</v>
      </c>
      <c r="X503" s="57">
        <f>(30*0.1790888*100000/1000000)+(30*0.2374*100000/1000000)</f>
        <v>1.2494664</v>
      </c>
      <c r="Y503" s="57"/>
      <c r="Z503" s="14"/>
      <c r="AA503" s="56"/>
      <c r="AB503" s="50">
        <f>(B503*122.58+C503*297.941+D503*89.177+E503*40.302+F503*40+G503*160+H503*0+I503*100+J503*300)/(122.58+297.941+89.177+40.302+0+40+160+100+300)</f>
        <v>20.052164769217391</v>
      </c>
      <c r="AC503" s="45">
        <f>(M503*'RAP TEMPLATE-GAS AVAILABILITY'!O502+N503*'RAP TEMPLATE-GAS AVAILABILITY'!P502+O503*'RAP TEMPLATE-GAS AVAILABILITY'!Q502+P503*'RAP TEMPLATE-GAS AVAILABILITY'!R502)/('RAP TEMPLATE-GAS AVAILABILITY'!O502+'RAP TEMPLATE-GAS AVAILABILITY'!P502+'RAP TEMPLATE-GAS AVAILABILITY'!Q502+'RAP TEMPLATE-GAS AVAILABILITY'!R502)</f>
        <v>19.892893525179854</v>
      </c>
    </row>
    <row r="504" spans="1:29" ht="15.75" x14ac:dyDescent="0.25">
      <c r="A504" s="33">
        <v>56249</v>
      </c>
      <c r="B504" s="14">
        <f>CHOOSE(CONTROL!$C$42, 21.4062, 21.4062) * CHOOSE(CONTROL!$C$21, $C$9, 100%, $E$9)</f>
        <v>21.406199999999998</v>
      </c>
      <c r="C504" s="14">
        <f>CHOOSE(CONTROL!$C$42, 21.4112, 21.4112) * CHOOSE(CONTROL!$C$21, $C$9, 100%, $E$9)</f>
        <v>21.411200000000001</v>
      </c>
      <c r="D504" s="14">
        <f>CHOOSE(CONTROL!$C$42, 21.4743, 21.4743) * CHOOSE(CONTROL!$C$21, $C$9, 100%, $E$9)</f>
        <v>21.474299999999999</v>
      </c>
      <c r="E504" s="14">
        <f>CHOOSE(CONTROL!$C$42, 21.508, 21.508) * CHOOSE(CONTROL!$C$21, $C$9, 100%, $E$9)</f>
        <v>21.507999999999999</v>
      </c>
      <c r="F504" s="14">
        <f>CHOOSE(CONTROL!$C$42, 21.409, 21.409)*CHOOSE(CONTROL!$C$21, $C$9, 100%, $E$9)</f>
        <v>21.408999999999999</v>
      </c>
      <c r="G504" s="14">
        <f>CHOOSE(CONTROL!$C$42, 21.4258, 21.4258)*CHOOSE(CONTROL!$C$21, $C$9, 100%, $E$9)</f>
        <v>21.425799999999999</v>
      </c>
      <c r="H504" s="14">
        <f>CHOOSE(CONTROL!$C$42, 21.4972, 21.4972) * CHOOSE(CONTROL!$C$21, $C$9, 100%, $E$9)</f>
        <v>21.497199999999999</v>
      </c>
      <c r="I504" s="14">
        <f>CHOOSE(CONTROL!$C$42, 21.4198, 21.4198)* CHOOSE(CONTROL!$C$21, $C$9, 100%, $E$9)</f>
        <v>21.419799999999999</v>
      </c>
      <c r="J504" s="14">
        <f>CHOOSE(CONTROL!$C$42, 21.402, 21.402)* CHOOSE(CONTROL!$C$21, $C$9, 100%, $E$9)</f>
        <v>21.402000000000001</v>
      </c>
      <c r="K504" s="53">
        <f>CHOOSE(CONTROL!$C$42, 21.4159, 21.4159) * CHOOSE(CONTROL!$C$21, $C$9, 100%, $E$9)</f>
        <v>21.415900000000001</v>
      </c>
      <c r="L504" s="14">
        <f>CHOOSE(CONTROL!$C$42, 22.0842, 22.0842) * CHOOSE(CONTROL!$C$21, $C$9, 100%, $E$9)</f>
        <v>22.084199999999999</v>
      </c>
      <c r="M504" s="14">
        <f>CHOOSE(CONTROL!$C$42, 21.1998, 21.1998) * CHOOSE(CONTROL!$C$21, $C$9, 100%, $E$9)</f>
        <v>21.1998</v>
      </c>
      <c r="N504" s="14">
        <f>CHOOSE(CONTROL!$C$42, 21.2165, 21.2165) * CHOOSE(CONTROL!$C$21, $C$9, 100%, $E$9)</f>
        <v>21.2165</v>
      </c>
      <c r="O504" s="14">
        <f>CHOOSE(CONTROL!$C$42, 21.2941, 21.2941) * CHOOSE(CONTROL!$C$21, $C$9, 100%, $E$9)</f>
        <v>21.2941</v>
      </c>
      <c r="P504" s="14">
        <f>CHOOSE(CONTROL!$C$42, 21.2175, 21.2175) * CHOOSE(CONTROL!$C$21, $C$9, 100%, $E$9)</f>
        <v>21.217500000000001</v>
      </c>
      <c r="Q504" s="14">
        <f>CHOOSE(CONTROL!$C$42, 21.8894, 21.8894) * CHOOSE(CONTROL!$C$21, $C$9, 100%, $E$9)</f>
        <v>21.889399999999998</v>
      </c>
      <c r="R504" s="14">
        <f>CHOOSE(CONTROL!$C$42, 22.5311, 22.5311) * CHOOSE(CONTROL!$C$21, $C$9, 100%, $E$9)</f>
        <v>22.531099999999999</v>
      </c>
      <c r="S504" s="14">
        <f>CHOOSE(CONTROL!$C$42, 20.7855, 20.7855) * CHOOSE(CONTROL!$C$21, $C$9, 100%, $E$9)</f>
        <v>20.785499999999999</v>
      </c>
      <c r="T50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04" s="57">
        <f>(1000*CHOOSE(CONTROL!$C$42, 695, 695)*CHOOSE(CONTROL!$C$42, 0.5599, 0.5599)*CHOOSE(CONTROL!$C$42, 31, 31))/1000000</f>
        <v>12.063045499999998</v>
      </c>
      <c r="V504" s="57">
        <f>(1000*CHOOSE(CONTROL!$C$42, 500, 500)*CHOOSE(CONTROL!$C$42, 0.275, 0.275)*CHOOSE(CONTROL!$C$42, 31, 31))/1000000</f>
        <v>4.2625000000000002</v>
      </c>
      <c r="W504" s="57">
        <f>(1000*CHOOSE(CONTROL!$C$42, 0.1146, 0.1146)*CHOOSE(CONTROL!$C$42, 121.5, 121.5)*CHOOSE(CONTROL!$C$42, 31, 31))/1000000</f>
        <v>0.43164089999999994</v>
      </c>
      <c r="X504" s="57">
        <f>(31*0.1790888*100000/1000000)+(31*0.2374*100000/1000000)</f>
        <v>1.2911152800000001</v>
      </c>
      <c r="Y504" s="57"/>
      <c r="Z504" s="14"/>
      <c r="AA504" s="56"/>
      <c r="AB504" s="50">
        <f>(B504*122.58+C504*297.941+D504*89.177+E504*40.302+F504*40+G504*160+H504*0+I504*100+J504*300)/(122.58+297.941+89.177+40.302+0+40+160+100+300)</f>
        <v>21.419255132434781</v>
      </c>
      <c r="AC504" s="45">
        <f>(M504*'RAP TEMPLATE-GAS AVAILABILITY'!O503+N504*'RAP TEMPLATE-GAS AVAILABILITY'!P503+O504*'RAP TEMPLATE-GAS AVAILABILITY'!Q503+P504*'RAP TEMPLATE-GAS AVAILABILITY'!R503)/('RAP TEMPLATE-GAS AVAILABILITY'!O503+'RAP TEMPLATE-GAS AVAILABILITY'!P503+'RAP TEMPLATE-GAS AVAILABILITY'!Q503+'RAP TEMPLATE-GAS AVAILABILITY'!R503)</f>
        <v>21.246048201438846</v>
      </c>
    </row>
    <row r="505" spans="1:29" ht="15.75" x14ac:dyDescent="0.25">
      <c r="A505" s="33">
        <v>56280</v>
      </c>
      <c r="B505" s="14">
        <f>CHOOSE(CONTROL!$C$42, 23.16, 23.16) * CHOOSE(CONTROL!$C$21, $C$9, 100%, $E$9)</f>
        <v>23.16</v>
      </c>
      <c r="C505" s="14">
        <f>CHOOSE(CONTROL!$C$42, 23.1649, 23.1649) * CHOOSE(CONTROL!$C$21, $C$9, 100%, $E$9)</f>
        <v>23.164899999999999</v>
      </c>
      <c r="D505" s="14">
        <f>CHOOSE(CONTROL!$C$42, 23.2292, 23.2292) * CHOOSE(CONTROL!$C$21, $C$9, 100%, $E$9)</f>
        <v>23.229199999999999</v>
      </c>
      <c r="E505" s="14">
        <f>CHOOSE(CONTROL!$C$42, 23.263, 23.263) * CHOOSE(CONTROL!$C$21, $C$9, 100%, $E$9)</f>
        <v>23.263000000000002</v>
      </c>
      <c r="F505" s="14">
        <f>CHOOSE(CONTROL!$C$42, 23.1615, 23.1615)*CHOOSE(CONTROL!$C$21, $C$9, 100%, $E$9)</f>
        <v>23.1615</v>
      </c>
      <c r="G505" s="14">
        <f>CHOOSE(CONTROL!$C$42, 23.1774, 23.1774)*CHOOSE(CONTROL!$C$21, $C$9, 100%, $E$9)</f>
        <v>23.177399999999999</v>
      </c>
      <c r="H505" s="14">
        <f>CHOOSE(CONTROL!$C$42, 23.2522, 23.2522) * CHOOSE(CONTROL!$C$21, $C$9, 100%, $E$9)</f>
        <v>23.252199999999998</v>
      </c>
      <c r="I505" s="14">
        <f>CHOOSE(CONTROL!$C$42, 23.1799, 23.1799)* CHOOSE(CONTROL!$C$21, $C$9, 100%, $E$9)</f>
        <v>23.1799</v>
      </c>
      <c r="J505" s="14">
        <f>CHOOSE(CONTROL!$C$42, 23.1545, 23.1545)* CHOOSE(CONTROL!$C$21, $C$9, 100%, $E$9)</f>
        <v>23.154499999999999</v>
      </c>
      <c r="K505" s="53">
        <f>CHOOSE(CONTROL!$C$42, 23.176, 23.176) * CHOOSE(CONTROL!$C$21, $C$9, 100%, $E$9)</f>
        <v>23.175999999999998</v>
      </c>
      <c r="L505" s="14">
        <f>CHOOSE(CONTROL!$C$42, 23.8392, 23.8392) * CHOOSE(CONTROL!$C$21, $C$9, 100%, $E$9)</f>
        <v>23.839200000000002</v>
      </c>
      <c r="M505" s="14">
        <f>CHOOSE(CONTROL!$C$42, 22.9346, 22.9346) * CHOOSE(CONTROL!$C$21, $C$9, 100%, $E$9)</f>
        <v>22.9346</v>
      </c>
      <c r="N505" s="14">
        <f>CHOOSE(CONTROL!$C$42, 22.9504, 22.9504) * CHOOSE(CONTROL!$C$21, $C$9, 100%, $E$9)</f>
        <v>22.950399999999998</v>
      </c>
      <c r="O505" s="14">
        <f>CHOOSE(CONTROL!$C$42, 23.0313, 23.0313) * CHOOSE(CONTROL!$C$21, $C$9, 100%, $E$9)</f>
        <v>23.031300000000002</v>
      </c>
      <c r="P505" s="14">
        <f>CHOOSE(CONTROL!$C$42, 22.9599, 22.9599) * CHOOSE(CONTROL!$C$21, $C$9, 100%, $E$9)</f>
        <v>22.959900000000001</v>
      </c>
      <c r="Q505" s="14">
        <f>CHOOSE(CONTROL!$C$42, 23.6266, 23.6266) * CHOOSE(CONTROL!$C$21, $C$9, 100%, $E$9)</f>
        <v>23.6266</v>
      </c>
      <c r="R505" s="14">
        <f>CHOOSE(CONTROL!$C$42, 24.2727, 24.2727) * CHOOSE(CONTROL!$C$21, $C$9, 100%, $E$9)</f>
        <v>24.2727</v>
      </c>
      <c r="S505" s="14">
        <f>CHOOSE(CONTROL!$C$42, 22.4885, 22.4885) * CHOOSE(CONTROL!$C$21, $C$9, 100%, $E$9)</f>
        <v>22.488499999999998</v>
      </c>
      <c r="T50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05" s="57">
        <f>(1000*CHOOSE(CONTROL!$C$42, 695, 695)*CHOOSE(CONTROL!$C$42, 0.5599, 0.5599)*CHOOSE(CONTROL!$C$42, 31, 31))/1000000</f>
        <v>12.063045499999998</v>
      </c>
      <c r="V505" s="57">
        <f>(1000*CHOOSE(CONTROL!$C$42, 500, 500)*CHOOSE(CONTROL!$C$42, 0.275, 0.275)*CHOOSE(CONTROL!$C$42, 31, 31))/1000000</f>
        <v>4.2625000000000002</v>
      </c>
      <c r="W505" s="57">
        <f>(1000*CHOOSE(CONTROL!$C$42, 0.1146, 0.1146)*CHOOSE(CONTROL!$C$42, 121.5, 121.5)*CHOOSE(CONTROL!$C$42, 31, 31))/1000000</f>
        <v>0.43164089999999994</v>
      </c>
      <c r="X505" s="57">
        <f>(31*0.1790888*100000/1000000)+(31*0.2374*100000/1000000)</f>
        <v>1.2911152800000001</v>
      </c>
      <c r="Y505" s="57"/>
      <c r="Z505" s="14"/>
      <c r="AA505" s="56"/>
      <c r="AB505" s="50">
        <f>(B505*122.58+C505*297.941+D505*89.177+E505*40.302+F505*40+G505*160+H505*0+I505*100+J505*300)/(122.58+297.941+89.177+40.302+0+40+160+100+300)</f>
        <v>23.173013969826084</v>
      </c>
      <c r="AC505" s="45">
        <f>(M505*'RAP TEMPLATE-GAS AVAILABILITY'!O504+N505*'RAP TEMPLATE-GAS AVAILABILITY'!P504+O505*'RAP TEMPLATE-GAS AVAILABILITY'!Q504+P505*'RAP TEMPLATE-GAS AVAILABILITY'!R504)/('RAP TEMPLATE-GAS AVAILABILITY'!O504+'RAP TEMPLATE-GAS AVAILABILITY'!P504+'RAP TEMPLATE-GAS AVAILABILITY'!Q504+'RAP TEMPLATE-GAS AVAILABILITY'!R504)</f>
        <v>22.982977697841726</v>
      </c>
    </row>
    <row r="506" spans="1:29" ht="15.75" x14ac:dyDescent="0.25">
      <c r="A506" s="33">
        <v>56308</v>
      </c>
      <c r="B506" s="14">
        <f>CHOOSE(CONTROL!$C$42, 23.5722, 23.5722) * CHOOSE(CONTROL!$C$21, $C$9, 100%, $E$9)</f>
        <v>23.572199999999999</v>
      </c>
      <c r="C506" s="14">
        <f>CHOOSE(CONTROL!$C$42, 23.5771, 23.5771) * CHOOSE(CONTROL!$C$21, $C$9, 100%, $E$9)</f>
        <v>23.577100000000002</v>
      </c>
      <c r="D506" s="14">
        <f>CHOOSE(CONTROL!$C$42, 23.6414, 23.6414) * CHOOSE(CONTROL!$C$21, $C$9, 100%, $E$9)</f>
        <v>23.641400000000001</v>
      </c>
      <c r="E506" s="14">
        <f>CHOOSE(CONTROL!$C$42, 23.6752, 23.6752) * CHOOSE(CONTROL!$C$21, $C$9, 100%, $E$9)</f>
        <v>23.6752</v>
      </c>
      <c r="F506" s="14">
        <f>CHOOSE(CONTROL!$C$42, 23.5737, 23.5737)*CHOOSE(CONTROL!$C$21, $C$9, 100%, $E$9)</f>
        <v>23.573699999999999</v>
      </c>
      <c r="G506" s="14">
        <f>CHOOSE(CONTROL!$C$42, 23.5897, 23.5897)*CHOOSE(CONTROL!$C$21, $C$9, 100%, $E$9)</f>
        <v>23.589700000000001</v>
      </c>
      <c r="H506" s="14">
        <f>CHOOSE(CONTROL!$C$42, 23.6644, 23.6644) * CHOOSE(CONTROL!$C$21, $C$9, 100%, $E$9)</f>
        <v>23.664400000000001</v>
      </c>
      <c r="I506" s="14">
        <f>CHOOSE(CONTROL!$C$42, 23.5922, 23.5922)* CHOOSE(CONTROL!$C$21, $C$9, 100%, $E$9)</f>
        <v>23.592199999999998</v>
      </c>
      <c r="J506" s="14">
        <f>CHOOSE(CONTROL!$C$42, 23.5667, 23.5667)* CHOOSE(CONTROL!$C$21, $C$9, 100%, $E$9)</f>
        <v>23.566700000000001</v>
      </c>
      <c r="K506" s="53">
        <f>CHOOSE(CONTROL!$C$42, 23.5883, 23.5883) * CHOOSE(CONTROL!$C$21, $C$9, 100%, $E$9)</f>
        <v>23.5883</v>
      </c>
      <c r="L506" s="14">
        <f>CHOOSE(CONTROL!$C$42, 24.2514, 24.2514) * CHOOSE(CONTROL!$C$21, $C$9, 100%, $E$9)</f>
        <v>24.2514</v>
      </c>
      <c r="M506" s="14">
        <f>CHOOSE(CONTROL!$C$42, 23.3427, 23.3427) * CHOOSE(CONTROL!$C$21, $C$9, 100%, $E$9)</f>
        <v>23.342700000000001</v>
      </c>
      <c r="N506" s="14">
        <f>CHOOSE(CONTROL!$C$42, 23.3585, 23.3585) * CHOOSE(CONTROL!$C$21, $C$9, 100%, $E$9)</f>
        <v>23.358499999999999</v>
      </c>
      <c r="O506" s="14">
        <f>CHOOSE(CONTROL!$C$42, 23.4394, 23.4394) * CHOOSE(CONTROL!$C$21, $C$9, 100%, $E$9)</f>
        <v>23.439399999999999</v>
      </c>
      <c r="P506" s="14">
        <f>CHOOSE(CONTROL!$C$42, 23.3679, 23.3679) * CHOOSE(CONTROL!$C$21, $C$9, 100%, $E$9)</f>
        <v>23.367899999999999</v>
      </c>
      <c r="Q506" s="14">
        <f>CHOOSE(CONTROL!$C$42, 24.0347, 24.0347) * CHOOSE(CONTROL!$C$21, $C$9, 100%, $E$9)</f>
        <v>24.034700000000001</v>
      </c>
      <c r="R506" s="14">
        <f>CHOOSE(CONTROL!$C$42, 24.6818, 24.6818) * CHOOSE(CONTROL!$C$21, $C$9, 100%, $E$9)</f>
        <v>24.681799999999999</v>
      </c>
      <c r="S506" s="14">
        <f>CHOOSE(CONTROL!$C$42, 22.8888, 22.8888) * CHOOSE(CONTROL!$C$21, $C$9, 100%, $E$9)</f>
        <v>22.8888</v>
      </c>
      <c r="T50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06" s="57">
        <f>(1000*CHOOSE(CONTROL!$C$42, 695, 695)*CHOOSE(CONTROL!$C$42, 0.5599, 0.5599)*CHOOSE(CONTROL!$C$42, 28, 28))/1000000</f>
        <v>10.895653999999999</v>
      </c>
      <c r="V506" s="57">
        <f>(1000*CHOOSE(CONTROL!$C$42, 500, 500)*CHOOSE(CONTROL!$C$42, 0.275, 0.275)*CHOOSE(CONTROL!$C$42, 28, 28))/1000000</f>
        <v>3.85</v>
      </c>
      <c r="W506" s="57">
        <f>(1000*CHOOSE(CONTROL!$C$42, 0.1146, 0.1146)*CHOOSE(CONTROL!$C$42, 121.5, 121.5)*CHOOSE(CONTROL!$C$42, 28, 28))/1000000</f>
        <v>0.38986920000000003</v>
      </c>
      <c r="X506" s="57">
        <f>(28*0.1790888*100000/1000000)+(28*0.2374*100000/1000000)</f>
        <v>1.16616864</v>
      </c>
      <c r="Y506" s="57"/>
      <c r="Z506" s="14"/>
      <c r="AA506" s="56"/>
      <c r="AB506" s="50">
        <f>(B506*122.58+C506*297.941+D506*89.177+E506*40.302+F506*40+G506*160+H506*0+I506*100+J506*300)/(122.58+297.941+89.177+40.302+0+40+160+100+300)</f>
        <v>23.585236578521737</v>
      </c>
      <c r="AC506" s="45">
        <f>(M506*'RAP TEMPLATE-GAS AVAILABILITY'!O505+N506*'RAP TEMPLATE-GAS AVAILABILITY'!P505+O506*'RAP TEMPLATE-GAS AVAILABILITY'!Q505+P506*'RAP TEMPLATE-GAS AVAILABILITY'!R505)/('RAP TEMPLATE-GAS AVAILABILITY'!O505+'RAP TEMPLATE-GAS AVAILABILITY'!P505+'RAP TEMPLATE-GAS AVAILABILITY'!Q505+'RAP TEMPLATE-GAS AVAILABILITY'!R505)</f>
        <v>23.391063309352518</v>
      </c>
    </row>
    <row r="507" spans="1:29" ht="15.75" x14ac:dyDescent="0.25">
      <c r="A507" s="33">
        <v>56339</v>
      </c>
      <c r="B507" s="14">
        <f>CHOOSE(CONTROL!$C$42, 22.903, 22.903) * CHOOSE(CONTROL!$C$21, $C$9, 100%, $E$9)</f>
        <v>22.902999999999999</v>
      </c>
      <c r="C507" s="14">
        <f>CHOOSE(CONTROL!$C$42, 22.908, 22.908) * CHOOSE(CONTROL!$C$21, $C$9, 100%, $E$9)</f>
        <v>22.908000000000001</v>
      </c>
      <c r="D507" s="14">
        <f>CHOOSE(CONTROL!$C$42, 22.9723, 22.9723) * CHOOSE(CONTROL!$C$21, $C$9, 100%, $E$9)</f>
        <v>22.972300000000001</v>
      </c>
      <c r="E507" s="14">
        <f>CHOOSE(CONTROL!$C$42, 23.006, 23.006) * CHOOSE(CONTROL!$C$21, $C$9, 100%, $E$9)</f>
        <v>23.006</v>
      </c>
      <c r="F507" s="14">
        <f>CHOOSE(CONTROL!$C$42, 22.9043, 22.9043)*CHOOSE(CONTROL!$C$21, $C$9, 100%, $E$9)</f>
        <v>22.904299999999999</v>
      </c>
      <c r="G507" s="14">
        <f>CHOOSE(CONTROL!$C$42, 22.9201, 22.9201)*CHOOSE(CONTROL!$C$21, $C$9, 100%, $E$9)</f>
        <v>22.920100000000001</v>
      </c>
      <c r="H507" s="14">
        <f>CHOOSE(CONTROL!$C$42, 22.9952, 22.9952) * CHOOSE(CONTROL!$C$21, $C$9, 100%, $E$9)</f>
        <v>22.995200000000001</v>
      </c>
      <c r="I507" s="14">
        <f>CHOOSE(CONTROL!$C$42, 22.923, 22.923)* CHOOSE(CONTROL!$C$21, $C$9, 100%, $E$9)</f>
        <v>22.922999999999998</v>
      </c>
      <c r="J507" s="14">
        <f>CHOOSE(CONTROL!$C$42, 22.8973, 22.8973)* CHOOSE(CONTROL!$C$21, $C$9, 100%, $E$9)</f>
        <v>22.897300000000001</v>
      </c>
      <c r="K507" s="53">
        <f>CHOOSE(CONTROL!$C$42, 22.9191, 22.9191) * CHOOSE(CONTROL!$C$21, $C$9, 100%, $E$9)</f>
        <v>22.9191</v>
      </c>
      <c r="L507" s="14">
        <f>CHOOSE(CONTROL!$C$42, 23.5822, 23.5822) * CHOOSE(CONTROL!$C$21, $C$9, 100%, $E$9)</f>
        <v>23.5822</v>
      </c>
      <c r="M507" s="14">
        <f>CHOOSE(CONTROL!$C$42, 22.68, 22.68) * CHOOSE(CONTROL!$C$21, $C$9, 100%, $E$9)</f>
        <v>22.68</v>
      </c>
      <c r="N507" s="14">
        <f>CHOOSE(CONTROL!$C$42, 22.6957, 22.6957) * CHOOSE(CONTROL!$C$21, $C$9, 100%, $E$9)</f>
        <v>22.695699999999999</v>
      </c>
      <c r="O507" s="14">
        <f>CHOOSE(CONTROL!$C$42, 22.777, 22.777) * CHOOSE(CONTROL!$C$21, $C$9, 100%, $E$9)</f>
        <v>22.777000000000001</v>
      </c>
      <c r="P507" s="14">
        <f>CHOOSE(CONTROL!$C$42, 22.7055, 22.7055) * CHOOSE(CONTROL!$C$21, $C$9, 100%, $E$9)</f>
        <v>22.705500000000001</v>
      </c>
      <c r="Q507" s="14">
        <f>CHOOSE(CONTROL!$C$42, 23.3723, 23.3723) * CHOOSE(CONTROL!$C$21, $C$9, 100%, $E$9)</f>
        <v>23.372299999999999</v>
      </c>
      <c r="R507" s="14">
        <f>CHOOSE(CONTROL!$C$42, 24.0177, 24.0177) * CHOOSE(CONTROL!$C$21, $C$9, 100%, $E$9)</f>
        <v>24.017700000000001</v>
      </c>
      <c r="S507" s="14">
        <f>CHOOSE(CONTROL!$C$42, 22.239, 22.239) * CHOOSE(CONTROL!$C$21, $C$9, 100%, $E$9)</f>
        <v>22.239000000000001</v>
      </c>
      <c r="T50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07" s="57">
        <f>(1000*CHOOSE(CONTROL!$C$42, 695, 695)*CHOOSE(CONTROL!$C$42, 0.5599, 0.5599)*CHOOSE(CONTROL!$C$42, 31, 31))/1000000</f>
        <v>12.063045499999998</v>
      </c>
      <c r="V507" s="57">
        <f>(1000*CHOOSE(CONTROL!$C$42, 500, 500)*CHOOSE(CONTROL!$C$42, 0.275, 0.275)*CHOOSE(CONTROL!$C$42, 31, 31))/1000000</f>
        <v>4.2625000000000002</v>
      </c>
      <c r="W507" s="57">
        <f>(1000*CHOOSE(CONTROL!$C$42, 0.1146, 0.1146)*CHOOSE(CONTROL!$C$42, 121.5, 121.5)*CHOOSE(CONTROL!$C$42, 31, 31))/1000000</f>
        <v>0.43164089999999994</v>
      </c>
      <c r="X507" s="57">
        <f>(31*0.1790888*100000/1000000)+(31*0.2374*100000/1000000)</f>
        <v>1.2911152800000001</v>
      </c>
      <c r="Y507" s="57"/>
      <c r="Z507" s="14"/>
      <c r="AA507" s="56"/>
      <c r="AB507" s="50">
        <f>(B507*122.58+C507*297.941+D507*89.177+E507*40.302+F507*40+G507*160+H507*0+I507*100+J507*300)/(122.58+297.941+89.177+40.302+0+40+160+100+300)</f>
        <v>22.915955458347828</v>
      </c>
      <c r="AC507" s="45">
        <f>(M507*'RAP TEMPLATE-GAS AVAILABILITY'!O506+N507*'RAP TEMPLATE-GAS AVAILABILITY'!P506+O507*'RAP TEMPLATE-GAS AVAILABILITY'!Q506+P507*'RAP TEMPLATE-GAS AVAILABILITY'!R506)/('RAP TEMPLATE-GAS AVAILABILITY'!O506+'RAP TEMPLATE-GAS AVAILABILITY'!P506+'RAP TEMPLATE-GAS AVAILABILITY'!Q506+'RAP TEMPLATE-GAS AVAILABILITY'!R506)</f>
        <v>22.728536690647481</v>
      </c>
    </row>
    <row r="508" spans="1:29" ht="15.75" x14ac:dyDescent="0.25">
      <c r="A508" s="33">
        <v>56369</v>
      </c>
      <c r="B508" s="14">
        <f>CHOOSE(CONTROL!$C$42, 22.8356, 22.8356) * CHOOSE(CONTROL!$C$21, $C$9, 100%, $E$9)</f>
        <v>22.835599999999999</v>
      </c>
      <c r="C508" s="14">
        <f>CHOOSE(CONTROL!$C$42, 22.84, 22.84) * CHOOSE(CONTROL!$C$21, $C$9, 100%, $E$9)</f>
        <v>22.84</v>
      </c>
      <c r="D508" s="14">
        <f>CHOOSE(CONTROL!$C$42, 23.0407, 23.0407) * CHOOSE(CONTROL!$C$21, $C$9, 100%, $E$9)</f>
        <v>23.040700000000001</v>
      </c>
      <c r="E508" s="14">
        <f>CHOOSE(CONTROL!$C$42, 23.0725, 23.0725) * CHOOSE(CONTROL!$C$21, $C$9, 100%, $E$9)</f>
        <v>23.072500000000002</v>
      </c>
      <c r="F508" s="14">
        <f>CHOOSE(CONTROL!$C$42, 22.8202, 22.8202)*CHOOSE(CONTROL!$C$21, $C$9, 100%, $E$9)</f>
        <v>22.8202</v>
      </c>
      <c r="G508" s="14">
        <f>CHOOSE(CONTROL!$C$42, 22.8358, 22.8358)*CHOOSE(CONTROL!$C$21, $C$9, 100%, $E$9)</f>
        <v>22.835799999999999</v>
      </c>
      <c r="H508" s="14">
        <f>CHOOSE(CONTROL!$C$42, 23.0623, 23.0623) * CHOOSE(CONTROL!$C$21, $C$9, 100%, $E$9)</f>
        <v>23.0623</v>
      </c>
      <c r="I508" s="14">
        <f>CHOOSE(CONTROL!$C$42, 22.8484, 22.8484)* CHOOSE(CONTROL!$C$21, $C$9, 100%, $E$9)</f>
        <v>22.848400000000002</v>
      </c>
      <c r="J508" s="14">
        <f>CHOOSE(CONTROL!$C$42, 22.8132, 22.8132)* CHOOSE(CONTROL!$C$21, $C$9, 100%, $E$9)</f>
        <v>22.813199999999998</v>
      </c>
      <c r="K508" s="53">
        <f>CHOOSE(CONTROL!$C$42, 22.8445, 22.8445) * CHOOSE(CONTROL!$C$21, $C$9, 100%, $E$9)</f>
        <v>22.8445</v>
      </c>
      <c r="L508" s="14">
        <f>CHOOSE(CONTROL!$C$42, 23.6493, 23.6493) * CHOOSE(CONTROL!$C$21, $C$9, 100%, $E$9)</f>
        <v>23.6493</v>
      </c>
      <c r="M508" s="14">
        <f>CHOOSE(CONTROL!$C$42, 22.5968, 22.5968) * CHOOSE(CONTROL!$C$21, $C$9, 100%, $E$9)</f>
        <v>22.596800000000002</v>
      </c>
      <c r="N508" s="14">
        <f>CHOOSE(CONTROL!$C$42, 22.6123, 22.6123) * CHOOSE(CONTROL!$C$21, $C$9, 100%, $E$9)</f>
        <v>22.612300000000001</v>
      </c>
      <c r="O508" s="14">
        <f>CHOOSE(CONTROL!$C$42, 22.8434, 22.8434) * CHOOSE(CONTROL!$C$21, $C$9, 100%, $E$9)</f>
        <v>22.843399999999999</v>
      </c>
      <c r="P508" s="14">
        <f>CHOOSE(CONTROL!$C$42, 22.6317, 22.6317) * CHOOSE(CONTROL!$C$21, $C$9, 100%, $E$9)</f>
        <v>22.631699999999999</v>
      </c>
      <c r="Q508" s="14">
        <f>CHOOSE(CONTROL!$C$42, 23.4387, 23.4387) * CHOOSE(CONTROL!$C$21, $C$9, 100%, $E$9)</f>
        <v>23.438700000000001</v>
      </c>
      <c r="R508" s="14">
        <f>CHOOSE(CONTROL!$C$42, 24.0843, 24.0843) * CHOOSE(CONTROL!$C$21, $C$9, 100%, $E$9)</f>
        <v>24.084299999999999</v>
      </c>
      <c r="S508" s="14">
        <f>CHOOSE(CONTROL!$C$42, 22.1728, 22.1728) * CHOOSE(CONTROL!$C$21, $C$9, 100%, $E$9)</f>
        <v>22.172799999999999</v>
      </c>
      <c r="T50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08" s="57">
        <f>(1000*CHOOSE(CONTROL!$C$42, 695, 695)*CHOOSE(CONTROL!$C$42, 0.5599, 0.5599)*CHOOSE(CONTROL!$C$42, 30, 30))/1000000</f>
        <v>11.673914999999997</v>
      </c>
      <c r="V508" s="57">
        <f>(1000*CHOOSE(CONTROL!$C$42, 500, 500)*CHOOSE(CONTROL!$C$42, 0.275, 0.275)*CHOOSE(CONTROL!$C$42, 30, 30))/1000000</f>
        <v>4.125</v>
      </c>
      <c r="W508" s="57">
        <f>(1000*CHOOSE(CONTROL!$C$42, 0.1146, 0.1146)*CHOOSE(CONTROL!$C$42, 121.5, 121.5)*CHOOSE(CONTROL!$C$42, 30, 30))/1000000</f>
        <v>0.417717</v>
      </c>
      <c r="X508" s="57">
        <f>(30*0.1790888*245000/1000000)+(30*0.2374*100000/1000000)</f>
        <v>2.0285026799999999</v>
      </c>
      <c r="Y508" s="57"/>
      <c r="Z508" s="14"/>
      <c r="AA508" s="56"/>
      <c r="AB508" s="50">
        <f>(B508*141.293+C508*267.993+D508*115.016+E508*89.698+F508*40+G508*185+H508*0+I508*100+J508*300)/(141.293+267.993+115.016+89.698+0+40+185+100+300)</f>
        <v>22.867883621468927</v>
      </c>
      <c r="AC508" s="45">
        <f>(M508*'RAP TEMPLATE-GAS AVAILABILITY'!O507+N508*'RAP TEMPLATE-GAS AVAILABILITY'!P507+O508*'RAP TEMPLATE-GAS AVAILABILITY'!Q507+P508*'RAP TEMPLATE-GAS AVAILABILITY'!R507)/('RAP TEMPLATE-GAS AVAILABILITY'!O507+'RAP TEMPLATE-GAS AVAILABILITY'!P507+'RAP TEMPLATE-GAS AVAILABILITY'!Q507+'RAP TEMPLATE-GAS AVAILABILITY'!R507)</f>
        <v>22.674579856115109</v>
      </c>
    </row>
    <row r="509" spans="1:29" ht="15.75" x14ac:dyDescent="0.25">
      <c r="A509" s="33">
        <v>56400</v>
      </c>
      <c r="B509" s="14">
        <f>CHOOSE(CONTROL!$C$42, 23.0385, 23.0385) * CHOOSE(CONTROL!$C$21, $C$9, 100%, $E$9)</f>
        <v>23.038499999999999</v>
      </c>
      <c r="C509" s="14">
        <f>CHOOSE(CONTROL!$C$42, 23.0465, 23.0465) * CHOOSE(CONTROL!$C$21, $C$9, 100%, $E$9)</f>
        <v>23.046500000000002</v>
      </c>
      <c r="D509" s="14">
        <f>CHOOSE(CONTROL!$C$42, 23.244, 23.244) * CHOOSE(CONTROL!$C$21, $C$9, 100%, $E$9)</f>
        <v>23.244</v>
      </c>
      <c r="E509" s="14">
        <f>CHOOSE(CONTROL!$C$42, 23.2752, 23.2752) * CHOOSE(CONTROL!$C$21, $C$9, 100%, $E$9)</f>
        <v>23.275200000000002</v>
      </c>
      <c r="F509" s="14">
        <f>CHOOSE(CONTROL!$C$42, 23.022, 23.022)*CHOOSE(CONTROL!$C$21, $C$9, 100%, $E$9)</f>
        <v>23.021999999999998</v>
      </c>
      <c r="G509" s="14">
        <f>CHOOSE(CONTROL!$C$42, 23.0381, 23.0381)*CHOOSE(CONTROL!$C$21, $C$9, 100%, $E$9)</f>
        <v>23.0381</v>
      </c>
      <c r="H509" s="14">
        <f>CHOOSE(CONTROL!$C$42, 23.2638, 23.2638) * CHOOSE(CONTROL!$C$21, $C$9, 100%, $E$9)</f>
        <v>23.2638</v>
      </c>
      <c r="I509" s="14">
        <f>CHOOSE(CONTROL!$C$42, 23.0499, 23.0499)* CHOOSE(CONTROL!$C$21, $C$9, 100%, $E$9)</f>
        <v>23.049900000000001</v>
      </c>
      <c r="J509" s="14">
        <f>CHOOSE(CONTROL!$C$42, 23.015, 23.015)* CHOOSE(CONTROL!$C$21, $C$9, 100%, $E$9)</f>
        <v>23.015000000000001</v>
      </c>
      <c r="K509" s="53">
        <f>CHOOSE(CONTROL!$C$42, 23.046, 23.046) * CHOOSE(CONTROL!$C$21, $C$9, 100%, $E$9)</f>
        <v>23.045999999999999</v>
      </c>
      <c r="L509" s="14">
        <f>CHOOSE(CONTROL!$C$42, 23.8508, 23.8508) * CHOOSE(CONTROL!$C$21, $C$9, 100%, $E$9)</f>
        <v>23.8508</v>
      </c>
      <c r="M509" s="14">
        <f>CHOOSE(CONTROL!$C$42, 22.7965, 22.7965) * CHOOSE(CONTROL!$C$21, $C$9, 100%, $E$9)</f>
        <v>22.796500000000002</v>
      </c>
      <c r="N509" s="14">
        <f>CHOOSE(CONTROL!$C$42, 22.8125, 22.8125) * CHOOSE(CONTROL!$C$21, $C$9, 100%, $E$9)</f>
        <v>22.8125</v>
      </c>
      <c r="O509" s="14">
        <f>CHOOSE(CONTROL!$C$42, 23.0429, 23.0429) * CHOOSE(CONTROL!$C$21, $C$9, 100%, $E$9)</f>
        <v>23.042899999999999</v>
      </c>
      <c r="P509" s="14">
        <f>CHOOSE(CONTROL!$C$42, 22.8312, 22.8312) * CHOOSE(CONTROL!$C$21, $C$9, 100%, $E$9)</f>
        <v>22.831199999999999</v>
      </c>
      <c r="Q509" s="14">
        <f>CHOOSE(CONTROL!$C$42, 23.6382, 23.6382) * CHOOSE(CONTROL!$C$21, $C$9, 100%, $E$9)</f>
        <v>23.638200000000001</v>
      </c>
      <c r="R509" s="14">
        <f>CHOOSE(CONTROL!$C$42, 24.2843, 24.2843) * CHOOSE(CONTROL!$C$21, $C$9, 100%, $E$9)</f>
        <v>24.284300000000002</v>
      </c>
      <c r="S509" s="14">
        <f>CHOOSE(CONTROL!$C$42, 22.3685, 22.3685) * CHOOSE(CONTROL!$C$21, $C$9, 100%, $E$9)</f>
        <v>22.368500000000001</v>
      </c>
      <c r="T50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09" s="57">
        <f>(1000*CHOOSE(CONTROL!$C$42, 695, 695)*CHOOSE(CONTROL!$C$42, 0.5599, 0.5599)*CHOOSE(CONTROL!$C$42, 31, 31))/1000000</f>
        <v>12.063045499999998</v>
      </c>
      <c r="V509" s="57">
        <f>(1000*CHOOSE(CONTROL!$C$42, 500, 500)*CHOOSE(CONTROL!$C$42, 0.275, 0.275)*CHOOSE(CONTROL!$C$42, 31, 31))/1000000</f>
        <v>4.2625000000000002</v>
      </c>
      <c r="W509" s="57">
        <f>(1000*CHOOSE(CONTROL!$C$42, 0.1146, 0.1146)*CHOOSE(CONTROL!$C$42, 121.5, 121.5)*CHOOSE(CONTROL!$C$42, 31, 31))/1000000</f>
        <v>0.43164089999999994</v>
      </c>
      <c r="X509" s="57">
        <f>(31*0.1790888*245000/1000000)+(31*0.2374*100000/1000000)</f>
        <v>2.0961194359999999</v>
      </c>
      <c r="Y509" s="57"/>
      <c r="Z509" s="14"/>
      <c r="AA509" s="56"/>
      <c r="AB509" s="50">
        <f>(B509*194.205+C509*267.466+D509*133.845+E509*53.484+F509*40+G509*185+H509*0+I509*100+J509*300)/(194.205+267.466+133.845+53.484+0+40+185+100+300)</f>
        <v>23.066491003375198</v>
      </c>
      <c r="AC509" s="45">
        <f>(M509*'RAP TEMPLATE-GAS AVAILABILITY'!O508+N509*'RAP TEMPLATE-GAS AVAILABILITY'!P508+O509*'RAP TEMPLATE-GAS AVAILABILITY'!Q508+P509*'RAP TEMPLATE-GAS AVAILABILITY'!R508)/('RAP TEMPLATE-GAS AVAILABILITY'!O508+'RAP TEMPLATE-GAS AVAILABILITY'!P508+'RAP TEMPLATE-GAS AVAILABILITY'!Q508+'RAP TEMPLATE-GAS AVAILABILITY'!R508)</f>
        <v>22.874310071942443</v>
      </c>
    </row>
    <row r="510" spans="1:29" ht="15.75" x14ac:dyDescent="0.25">
      <c r="A510" s="33">
        <v>56430</v>
      </c>
      <c r="B510" s="14">
        <f>CHOOSE(CONTROL!$C$42, 23.6919, 23.6919) * CHOOSE(CONTROL!$C$21, $C$9, 100%, $E$9)</f>
        <v>23.6919</v>
      </c>
      <c r="C510" s="14">
        <f>CHOOSE(CONTROL!$C$42, 23.6998, 23.6998) * CHOOSE(CONTROL!$C$21, $C$9, 100%, $E$9)</f>
        <v>23.6998</v>
      </c>
      <c r="D510" s="14">
        <f>CHOOSE(CONTROL!$C$42, 23.8974, 23.8974) * CHOOSE(CONTROL!$C$21, $C$9, 100%, $E$9)</f>
        <v>23.897400000000001</v>
      </c>
      <c r="E510" s="14">
        <f>CHOOSE(CONTROL!$C$42, 23.9285, 23.9285) * CHOOSE(CONTROL!$C$21, $C$9, 100%, $E$9)</f>
        <v>23.9285</v>
      </c>
      <c r="F510" s="14">
        <f>CHOOSE(CONTROL!$C$42, 23.6757, 23.6757)*CHOOSE(CONTROL!$C$21, $C$9, 100%, $E$9)</f>
        <v>23.675699999999999</v>
      </c>
      <c r="G510" s="14">
        <f>CHOOSE(CONTROL!$C$42, 23.6919, 23.6919)*CHOOSE(CONTROL!$C$21, $C$9, 100%, $E$9)</f>
        <v>23.6919</v>
      </c>
      <c r="H510" s="14">
        <f>CHOOSE(CONTROL!$C$42, 23.9172, 23.9172) * CHOOSE(CONTROL!$C$21, $C$9, 100%, $E$9)</f>
        <v>23.917200000000001</v>
      </c>
      <c r="I510" s="14">
        <f>CHOOSE(CONTROL!$C$42, 23.7033, 23.7033)* CHOOSE(CONTROL!$C$21, $C$9, 100%, $E$9)</f>
        <v>23.703299999999999</v>
      </c>
      <c r="J510" s="14">
        <f>CHOOSE(CONTROL!$C$42, 23.6687, 23.6687)* CHOOSE(CONTROL!$C$21, $C$9, 100%, $E$9)</f>
        <v>23.668700000000001</v>
      </c>
      <c r="K510" s="53">
        <f>CHOOSE(CONTROL!$C$42, 23.6994, 23.6994) * CHOOSE(CONTROL!$C$21, $C$9, 100%, $E$9)</f>
        <v>23.699400000000001</v>
      </c>
      <c r="L510" s="14">
        <f>CHOOSE(CONTROL!$C$42, 24.5042, 24.5042) * CHOOSE(CONTROL!$C$21, $C$9, 100%, $E$9)</f>
        <v>24.504200000000001</v>
      </c>
      <c r="M510" s="14">
        <f>CHOOSE(CONTROL!$C$42, 23.4437, 23.4437) * CHOOSE(CONTROL!$C$21, $C$9, 100%, $E$9)</f>
        <v>23.4437</v>
      </c>
      <c r="N510" s="14">
        <f>CHOOSE(CONTROL!$C$42, 23.4597, 23.4597) * CHOOSE(CONTROL!$C$21, $C$9, 100%, $E$9)</f>
        <v>23.459700000000002</v>
      </c>
      <c r="O510" s="14">
        <f>CHOOSE(CONTROL!$C$42, 23.6896, 23.6896) * CHOOSE(CONTROL!$C$21, $C$9, 100%, $E$9)</f>
        <v>23.689599999999999</v>
      </c>
      <c r="P510" s="14">
        <f>CHOOSE(CONTROL!$C$42, 23.4779, 23.4779) * CHOOSE(CONTROL!$C$21, $C$9, 100%, $E$9)</f>
        <v>23.477900000000002</v>
      </c>
      <c r="Q510" s="14">
        <f>CHOOSE(CONTROL!$C$42, 24.2849, 24.2849) * CHOOSE(CONTROL!$C$21, $C$9, 100%, $E$9)</f>
        <v>24.2849</v>
      </c>
      <c r="R510" s="14">
        <f>CHOOSE(CONTROL!$C$42, 24.9327, 24.9327) * CHOOSE(CONTROL!$C$21, $C$9, 100%, $E$9)</f>
        <v>24.932700000000001</v>
      </c>
      <c r="S510" s="14">
        <f>CHOOSE(CONTROL!$C$42, 23.003, 23.003) * CHOOSE(CONTROL!$C$21, $C$9, 100%, $E$9)</f>
        <v>23.003</v>
      </c>
      <c r="T51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10" s="57">
        <f>(1000*CHOOSE(CONTROL!$C$42, 695, 695)*CHOOSE(CONTROL!$C$42, 0.5599, 0.5599)*CHOOSE(CONTROL!$C$42, 30, 30))/1000000</f>
        <v>11.673914999999997</v>
      </c>
      <c r="V510" s="57">
        <f>(1000*CHOOSE(CONTROL!$C$42, 500, 500)*CHOOSE(CONTROL!$C$42, 0.275, 0.275)*CHOOSE(CONTROL!$C$42, 30, 30))/1000000</f>
        <v>4.125</v>
      </c>
      <c r="W510" s="57">
        <f>(1000*CHOOSE(CONTROL!$C$42, 0.1146, 0.1146)*CHOOSE(CONTROL!$C$42, 121.5, 121.5)*CHOOSE(CONTROL!$C$42, 30, 30))/1000000</f>
        <v>0.417717</v>
      </c>
      <c r="X510" s="57">
        <f>(30*0.1790888*245000/1000000)+(30*0.2374*100000/1000000)</f>
        <v>2.0285026799999999</v>
      </c>
      <c r="Y510" s="57"/>
      <c r="Z510" s="14"/>
      <c r="AA510" s="56"/>
      <c r="AB510" s="50">
        <f>(B510*194.205+C510*267.466+D510*133.845+E510*53.484+F510*40+G510*185+H510*0+I510*100+J510*300)/(194.205+267.466+133.845+53.484+0+40+185+100+300)</f>
        <v>23.720003958634223</v>
      </c>
      <c r="AC510" s="45">
        <f>(M510*'RAP TEMPLATE-GAS AVAILABILITY'!O509+N510*'RAP TEMPLATE-GAS AVAILABILITY'!P509+O510*'RAP TEMPLATE-GAS AVAILABILITY'!Q509+P510*'RAP TEMPLATE-GAS AVAILABILITY'!R509)/('RAP TEMPLATE-GAS AVAILABILITY'!O509+'RAP TEMPLATE-GAS AVAILABILITY'!P509+'RAP TEMPLATE-GAS AVAILABILITY'!Q509+'RAP TEMPLATE-GAS AVAILABILITY'!R509)</f>
        <v>23.521297841726618</v>
      </c>
    </row>
    <row r="511" spans="1:29" ht="15.75" x14ac:dyDescent="0.25">
      <c r="A511" s="33">
        <v>56461</v>
      </c>
      <c r="B511" s="14">
        <f>CHOOSE(CONTROL!$C$42, 23.2375, 23.2375) * CHOOSE(CONTROL!$C$21, $C$9, 100%, $E$9)</f>
        <v>23.237500000000001</v>
      </c>
      <c r="C511" s="14">
        <f>CHOOSE(CONTROL!$C$42, 23.2454, 23.2454) * CHOOSE(CONTROL!$C$21, $C$9, 100%, $E$9)</f>
        <v>23.2454</v>
      </c>
      <c r="D511" s="14">
        <f>CHOOSE(CONTROL!$C$42, 23.443, 23.443) * CHOOSE(CONTROL!$C$21, $C$9, 100%, $E$9)</f>
        <v>23.443000000000001</v>
      </c>
      <c r="E511" s="14">
        <f>CHOOSE(CONTROL!$C$42, 23.4741, 23.4741) * CHOOSE(CONTROL!$C$21, $C$9, 100%, $E$9)</f>
        <v>23.4741</v>
      </c>
      <c r="F511" s="14">
        <f>CHOOSE(CONTROL!$C$42, 23.2217, 23.2217)*CHOOSE(CONTROL!$C$21, $C$9, 100%, $E$9)</f>
        <v>23.221699999999998</v>
      </c>
      <c r="G511" s="14">
        <f>CHOOSE(CONTROL!$C$42, 23.2381, 23.2381)*CHOOSE(CONTROL!$C$21, $C$9, 100%, $E$9)</f>
        <v>23.238099999999999</v>
      </c>
      <c r="H511" s="14">
        <f>CHOOSE(CONTROL!$C$42, 23.4628, 23.4628) * CHOOSE(CONTROL!$C$21, $C$9, 100%, $E$9)</f>
        <v>23.462800000000001</v>
      </c>
      <c r="I511" s="14">
        <f>CHOOSE(CONTROL!$C$42, 23.2489, 23.2489)* CHOOSE(CONTROL!$C$21, $C$9, 100%, $E$9)</f>
        <v>23.248899999999999</v>
      </c>
      <c r="J511" s="14">
        <f>CHOOSE(CONTROL!$C$42, 23.2147, 23.2147)* CHOOSE(CONTROL!$C$21, $C$9, 100%, $E$9)</f>
        <v>23.214700000000001</v>
      </c>
      <c r="K511" s="53">
        <f>CHOOSE(CONTROL!$C$42, 23.245, 23.245) * CHOOSE(CONTROL!$C$21, $C$9, 100%, $E$9)</f>
        <v>23.245000000000001</v>
      </c>
      <c r="L511" s="14">
        <f>CHOOSE(CONTROL!$C$42, 24.0498, 24.0498) * CHOOSE(CONTROL!$C$21, $C$9, 100%, $E$9)</f>
        <v>24.049800000000001</v>
      </c>
      <c r="M511" s="14">
        <f>CHOOSE(CONTROL!$C$42, 22.9943, 22.9943) * CHOOSE(CONTROL!$C$21, $C$9, 100%, $E$9)</f>
        <v>22.994299999999999</v>
      </c>
      <c r="N511" s="14">
        <f>CHOOSE(CONTROL!$C$42, 23.0104, 23.0104) * CHOOSE(CONTROL!$C$21, $C$9, 100%, $E$9)</f>
        <v>23.010400000000001</v>
      </c>
      <c r="O511" s="14">
        <f>CHOOSE(CONTROL!$C$42, 23.2398, 23.2398) * CHOOSE(CONTROL!$C$21, $C$9, 100%, $E$9)</f>
        <v>23.239799999999999</v>
      </c>
      <c r="P511" s="14">
        <f>CHOOSE(CONTROL!$C$42, 23.0281, 23.0281) * CHOOSE(CONTROL!$C$21, $C$9, 100%, $E$9)</f>
        <v>23.028099999999998</v>
      </c>
      <c r="Q511" s="14">
        <f>CHOOSE(CONTROL!$C$42, 23.8351, 23.8351) * CHOOSE(CONTROL!$C$21, $C$9, 100%, $E$9)</f>
        <v>23.835100000000001</v>
      </c>
      <c r="R511" s="14">
        <f>CHOOSE(CONTROL!$C$42, 24.4817, 24.4817) * CHOOSE(CONTROL!$C$21, $C$9, 100%, $E$9)</f>
        <v>24.4817</v>
      </c>
      <c r="S511" s="14">
        <f>CHOOSE(CONTROL!$C$42, 22.5617, 22.5617) * CHOOSE(CONTROL!$C$21, $C$9, 100%, $E$9)</f>
        <v>22.561699999999998</v>
      </c>
      <c r="T51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11" s="57">
        <f>(1000*CHOOSE(CONTROL!$C$42, 695, 695)*CHOOSE(CONTROL!$C$42, 0.5599, 0.5599)*CHOOSE(CONTROL!$C$42, 31, 31))/1000000</f>
        <v>12.063045499999998</v>
      </c>
      <c r="V511" s="57">
        <f>(1000*CHOOSE(CONTROL!$C$42, 500, 500)*CHOOSE(CONTROL!$C$42, 0.275, 0.275)*CHOOSE(CONTROL!$C$42, 31, 31))/1000000</f>
        <v>4.2625000000000002</v>
      </c>
      <c r="W511" s="57">
        <f>(1000*CHOOSE(CONTROL!$C$42, 0.1146, 0.1146)*CHOOSE(CONTROL!$C$42, 121.5, 121.5)*CHOOSE(CONTROL!$C$42, 31, 31))/1000000</f>
        <v>0.43164089999999994</v>
      </c>
      <c r="X511" s="57">
        <f>(31*0.1790888*245000/1000000)+(31*0.2374*100000/1000000)</f>
        <v>2.0961194359999999</v>
      </c>
      <c r="Y511" s="57"/>
      <c r="Z511" s="14"/>
      <c r="AA511" s="56"/>
      <c r="AB511" s="50">
        <f>(B511*194.205+C511*267.466+D511*133.845+E511*53.484+F511*40+G511*185+H511*0+I511*100+J511*300)/(194.205+267.466+133.845+53.484+0+40+185+100+300)</f>
        <v>23.265797836185243</v>
      </c>
      <c r="AC511" s="45">
        <f>(M511*'RAP TEMPLATE-GAS AVAILABILITY'!O510+N511*'RAP TEMPLATE-GAS AVAILABILITY'!P510+O511*'RAP TEMPLATE-GAS AVAILABILITY'!Q510+P511*'RAP TEMPLATE-GAS AVAILABILITY'!R510)/('RAP TEMPLATE-GAS AVAILABILITY'!O510+'RAP TEMPLATE-GAS AVAILABILITY'!P510+'RAP TEMPLATE-GAS AVAILABILITY'!Q510+'RAP TEMPLATE-GAS AVAILABILITY'!R510)</f>
        <v>23.071751079136693</v>
      </c>
    </row>
    <row r="512" spans="1:29" ht="15.75" x14ac:dyDescent="0.25">
      <c r="A512" s="33">
        <v>56492</v>
      </c>
      <c r="B512" s="14">
        <f>CHOOSE(CONTROL!$C$42, 22.0899, 22.0899) * CHOOSE(CONTROL!$C$21, $C$9, 100%, $E$9)</f>
        <v>22.0899</v>
      </c>
      <c r="C512" s="14">
        <f>CHOOSE(CONTROL!$C$42, 22.0979, 22.0979) * CHOOSE(CONTROL!$C$21, $C$9, 100%, $E$9)</f>
        <v>22.097899999999999</v>
      </c>
      <c r="D512" s="14">
        <f>CHOOSE(CONTROL!$C$42, 22.2954, 22.2954) * CHOOSE(CONTROL!$C$21, $C$9, 100%, $E$9)</f>
        <v>22.295400000000001</v>
      </c>
      <c r="E512" s="14">
        <f>CHOOSE(CONTROL!$C$42, 22.3266, 22.3266) * CHOOSE(CONTROL!$C$21, $C$9, 100%, $E$9)</f>
        <v>22.326599999999999</v>
      </c>
      <c r="F512" s="14">
        <f>CHOOSE(CONTROL!$C$42, 22.0744, 22.0744)*CHOOSE(CONTROL!$C$21, $C$9, 100%, $E$9)</f>
        <v>22.074400000000001</v>
      </c>
      <c r="G512" s="14">
        <f>CHOOSE(CONTROL!$C$42, 22.0907, 22.0907)*CHOOSE(CONTROL!$C$21, $C$9, 100%, $E$9)</f>
        <v>22.090699999999998</v>
      </c>
      <c r="H512" s="14">
        <f>CHOOSE(CONTROL!$C$42, 22.3152, 22.3152) * CHOOSE(CONTROL!$C$21, $C$9, 100%, $E$9)</f>
        <v>22.315200000000001</v>
      </c>
      <c r="I512" s="14">
        <f>CHOOSE(CONTROL!$C$42, 22.1013, 22.1013)* CHOOSE(CONTROL!$C$21, $C$9, 100%, $E$9)</f>
        <v>22.101299999999998</v>
      </c>
      <c r="J512" s="14">
        <f>CHOOSE(CONTROL!$C$42, 22.0674, 22.0674)* CHOOSE(CONTROL!$C$21, $C$9, 100%, $E$9)</f>
        <v>22.067399999999999</v>
      </c>
      <c r="K512" s="53">
        <f>CHOOSE(CONTROL!$C$42, 22.0974, 22.0974) * CHOOSE(CONTROL!$C$21, $C$9, 100%, $E$9)</f>
        <v>22.0974</v>
      </c>
      <c r="L512" s="14">
        <f>CHOOSE(CONTROL!$C$42, 22.9022, 22.9022) * CHOOSE(CONTROL!$C$21, $C$9, 100%, $E$9)</f>
        <v>22.902200000000001</v>
      </c>
      <c r="M512" s="14">
        <f>CHOOSE(CONTROL!$C$42, 21.8585, 21.8585) * CHOOSE(CONTROL!$C$21, $C$9, 100%, $E$9)</f>
        <v>21.858499999999999</v>
      </c>
      <c r="N512" s="14">
        <f>CHOOSE(CONTROL!$C$42, 21.8747, 21.8747) * CHOOSE(CONTROL!$C$21, $C$9, 100%, $E$9)</f>
        <v>21.874700000000001</v>
      </c>
      <c r="O512" s="14">
        <f>CHOOSE(CONTROL!$C$42, 22.1038, 22.1038) * CHOOSE(CONTROL!$C$21, $C$9, 100%, $E$9)</f>
        <v>22.1038</v>
      </c>
      <c r="P512" s="14">
        <f>CHOOSE(CONTROL!$C$42, 21.8921, 21.8921) * CHOOSE(CONTROL!$C$21, $C$9, 100%, $E$9)</f>
        <v>21.892099999999999</v>
      </c>
      <c r="Q512" s="14">
        <f>CHOOSE(CONTROL!$C$42, 22.6991, 22.6991) * CHOOSE(CONTROL!$C$21, $C$9, 100%, $E$9)</f>
        <v>22.699100000000001</v>
      </c>
      <c r="R512" s="14">
        <f>CHOOSE(CONTROL!$C$42, 23.3429, 23.3429) * CHOOSE(CONTROL!$C$21, $C$9, 100%, $E$9)</f>
        <v>23.3429</v>
      </c>
      <c r="S512" s="14">
        <f>CHOOSE(CONTROL!$C$42, 21.4473, 21.4473) * CHOOSE(CONTROL!$C$21, $C$9, 100%, $E$9)</f>
        <v>21.447299999999998</v>
      </c>
      <c r="T51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12" s="57">
        <f>(1000*CHOOSE(CONTROL!$C$42, 695, 695)*CHOOSE(CONTROL!$C$42, 0.5599, 0.5599)*CHOOSE(CONTROL!$C$42, 31, 31))/1000000</f>
        <v>12.063045499999998</v>
      </c>
      <c r="V512" s="57">
        <f>(1000*CHOOSE(CONTROL!$C$42, 500, 500)*CHOOSE(CONTROL!$C$42, 0.275, 0.275)*CHOOSE(CONTROL!$C$42, 31, 31))/1000000</f>
        <v>4.2625000000000002</v>
      </c>
      <c r="W512" s="57">
        <f>(1000*CHOOSE(CONTROL!$C$42, 0.1146, 0.1146)*CHOOSE(CONTROL!$C$42, 121.5, 121.5)*CHOOSE(CONTROL!$C$42, 31, 31))/1000000</f>
        <v>0.43164089999999994</v>
      </c>
      <c r="X512" s="57">
        <f>(31*0.1790888*245000/1000000)+(31*0.2374*100000/1000000)</f>
        <v>2.0961194359999999</v>
      </c>
      <c r="Y512" s="57"/>
      <c r="Z512" s="14"/>
      <c r="AA512" s="56"/>
      <c r="AB512" s="50">
        <f>(B512*194.205+C512*267.466+D512*133.845+E512*53.484+F512*40+G512*185+H512*0+I512*100+J512*300)/(194.205+267.466+133.845+53.484+0+40+185+100+300)</f>
        <v>22.118332133673473</v>
      </c>
      <c r="AC512" s="45">
        <f>(M512*'RAP TEMPLATE-GAS AVAILABILITY'!O511+N512*'RAP TEMPLATE-GAS AVAILABILITY'!P511+O512*'RAP TEMPLATE-GAS AVAILABILITY'!Q511+P512*'RAP TEMPLATE-GAS AVAILABILITY'!R511)/('RAP TEMPLATE-GAS AVAILABILITY'!O511+'RAP TEMPLATE-GAS AVAILABILITY'!P511+'RAP TEMPLATE-GAS AVAILABILITY'!Q511+'RAP TEMPLATE-GAS AVAILABILITY'!R511)</f>
        <v>21.935889208633093</v>
      </c>
    </row>
    <row r="513" spans="1:29" ht="15.75" x14ac:dyDescent="0.25">
      <c r="A513" s="33">
        <v>56522</v>
      </c>
      <c r="B513" s="14">
        <f>CHOOSE(CONTROL!$C$42, 20.6875, 20.6875) * CHOOSE(CONTROL!$C$21, $C$9, 100%, $E$9)</f>
        <v>20.6875</v>
      </c>
      <c r="C513" s="14">
        <f>CHOOSE(CONTROL!$C$42, 20.6954, 20.6954) * CHOOSE(CONTROL!$C$21, $C$9, 100%, $E$9)</f>
        <v>20.695399999999999</v>
      </c>
      <c r="D513" s="14">
        <f>CHOOSE(CONTROL!$C$42, 20.893, 20.893) * CHOOSE(CONTROL!$C$21, $C$9, 100%, $E$9)</f>
        <v>20.893000000000001</v>
      </c>
      <c r="E513" s="14">
        <f>CHOOSE(CONTROL!$C$42, 20.9241, 20.9241) * CHOOSE(CONTROL!$C$21, $C$9, 100%, $E$9)</f>
        <v>20.924099999999999</v>
      </c>
      <c r="F513" s="14">
        <f>CHOOSE(CONTROL!$C$42, 20.6718, 20.6718)*CHOOSE(CONTROL!$C$21, $C$9, 100%, $E$9)</f>
        <v>20.671800000000001</v>
      </c>
      <c r="G513" s="14">
        <f>CHOOSE(CONTROL!$C$42, 20.6882, 20.6882)*CHOOSE(CONTROL!$C$21, $C$9, 100%, $E$9)</f>
        <v>20.688199999999998</v>
      </c>
      <c r="H513" s="14">
        <f>CHOOSE(CONTROL!$C$42, 20.9127, 20.9127) * CHOOSE(CONTROL!$C$21, $C$9, 100%, $E$9)</f>
        <v>20.912700000000001</v>
      </c>
      <c r="I513" s="14">
        <f>CHOOSE(CONTROL!$C$42, 20.6988, 20.6988)* CHOOSE(CONTROL!$C$21, $C$9, 100%, $E$9)</f>
        <v>20.698799999999999</v>
      </c>
      <c r="J513" s="14">
        <f>CHOOSE(CONTROL!$C$42, 20.6648, 20.6648)* CHOOSE(CONTROL!$C$21, $C$9, 100%, $E$9)</f>
        <v>20.6648</v>
      </c>
      <c r="K513" s="53">
        <f>CHOOSE(CONTROL!$C$42, 20.6949, 20.6949) * CHOOSE(CONTROL!$C$21, $C$9, 100%, $E$9)</f>
        <v>20.694900000000001</v>
      </c>
      <c r="L513" s="14">
        <f>CHOOSE(CONTROL!$C$42, 21.4997, 21.4997) * CHOOSE(CONTROL!$C$21, $C$9, 100%, $E$9)</f>
        <v>21.499700000000001</v>
      </c>
      <c r="M513" s="14">
        <f>CHOOSE(CONTROL!$C$42, 20.4701, 20.4701) * CHOOSE(CONTROL!$C$21, $C$9, 100%, $E$9)</f>
        <v>20.470099999999999</v>
      </c>
      <c r="N513" s="14">
        <f>CHOOSE(CONTROL!$C$42, 20.4863, 20.4863) * CHOOSE(CONTROL!$C$21, $C$9, 100%, $E$9)</f>
        <v>20.4863</v>
      </c>
      <c r="O513" s="14">
        <f>CHOOSE(CONTROL!$C$42, 20.7155, 20.7155) * CHOOSE(CONTROL!$C$21, $C$9, 100%, $E$9)</f>
        <v>20.715499999999999</v>
      </c>
      <c r="P513" s="14">
        <f>CHOOSE(CONTROL!$C$42, 20.5038, 20.5038) * CHOOSE(CONTROL!$C$21, $C$9, 100%, $E$9)</f>
        <v>20.503799999999998</v>
      </c>
      <c r="Q513" s="14">
        <f>CHOOSE(CONTROL!$C$42, 21.3108, 21.3108) * CHOOSE(CONTROL!$C$21, $C$9, 100%, $E$9)</f>
        <v>21.3108</v>
      </c>
      <c r="R513" s="14">
        <f>CHOOSE(CONTROL!$C$42, 21.9511, 21.9511) * CHOOSE(CONTROL!$C$21, $C$9, 100%, $E$9)</f>
        <v>21.9511</v>
      </c>
      <c r="S513" s="14">
        <f>CHOOSE(CONTROL!$C$42, 20.0853, 20.0853) * CHOOSE(CONTROL!$C$21, $C$9, 100%, $E$9)</f>
        <v>20.0853</v>
      </c>
      <c r="T51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13" s="57">
        <f>(1000*CHOOSE(CONTROL!$C$42, 695, 695)*CHOOSE(CONTROL!$C$42, 0.5599, 0.5599)*CHOOSE(CONTROL!$C$42, 30, 30))/1000000</f>
        <v>11.673914999999997</v>
      </c>
      <c r="V513" s="57">
        <f>(1000*CHOOSE(CONTROL!$C$42, 500, 500)*CHOOSE(CONTROL!$C$42, 0.275, 0.275)*CHOOSE(CONTROL!$C$42, 30, 30))/1000000</f>
        <v>4.125</v>
      </c>
      <c r="W513" s="57">
        <f>(1000*CHOOSE(CONTROL!$C$42, 0.1146, 0.1146)*CHOOSE(CONTROL!$C$42, 121.5, 121.5)*CHOOSE(CONTROL!$C$42, 30, 30))/1000000</f>
        <v>0.417717</v>
      </c>
      <c r="X513" s="57">
        <f>(30*0.1790888*245000/1000000)+(30*0.2374*100000/1000000)</f>
        <v>2.0285026799999999</v>
      </c>
      <c r="Y513" s="57"/>
      <c r="Z513" s="14"/>
      <c r="AA513" s="56"/>
      <c r="AB513" s="50">
        <f>(B513*194.205+C513*267.466+D513*133.845+E513*53.484+F513*40+G513*185+H513*0+I513*100+J513*300)/(194.205+267.466+133.845+53.484+0+40+185+100+300)</f>
        <v>20.715831195682888</v>
      </c>
      <c r="AC513" s="45">
        <f>(M513*'RAP TEMPLATE-GAS AVAILABILITY'!O512+N513*'RAP TEMPLATE-GAS AVAILABILITY'!P512+O513*'RAP TEMPLATE-GAS AVAILABILITY'!Q512+P513*'RAP TEMPLATE-GAS AVAILABILITY'!R512)/('RAP TEMPLATE-GAS AVAILABILITY'!O512+'RAP TEMPLATE-GAS AVAILABILITY'!P512+'RAP TEMPLATE-GAS AVAILABILITY'!Q512+'RAP TEMPLATE-GAS AVAILABILITY'!R512)</f>
        <v>20.547531654676256</v>
      </c>
    </row>
    <row r="514" spans="1:29" ht="15.75" x14ac:dyDescent="0.25">
      <c r="A514" s="33">
        <v>56553</v>
      </c>
      <c r="B514" s="14">
        <f>CHOOSE(CONTROL!$C$42, 20.2658, 20.2658) * CHOOSE(CONTROL!$C$21, $C$9, 100%, $E$9)</f>
        <v>20.265799999999999</v>
      </c>
      <c r="C514" s="14">
        <f>CHOOSE(CONTROL!$C$42, 20.271, 20.271) * CHOOSE(CONTROL!$C$21, $C$9, 100%, $E$9)</f>
        <v>20.271000000000001</v>
      </c>
      <c r="D514" s="14">
        <f>CHOOSE(CONTROL!$C$42, 20.4735, 20.4735) * CHOOSE(CONTROL!$C$21, $C$9, 100%, $E$9)</f>
        <v>20.473500000000001</v>
      </c>
      <c r="E514" s="14">
        <f>CHOOSE(CONTROL!$C$42, 20.5023, 20.5023) * CHOOSE(CONTROL!$C$21, $C$9, 100%, $E$9)</f>
        <v>20.502300000000002</v>
      </c>
      <c r="F514" s="14">
        <f>CHOOSE(CONTROL!$C$42, 20.2521, 20.2521)*CHOOSE(CONTROL!$C$21, $C$9, 100%, $E$9)</f>
        <v>20.252099999999999</v>
      </c>
      <c r="G514" s="14">
        <f>CHOOSE(CONTROL!$C$42, 20.2681, 20.2681)*CHOOSE(CONTROL!$C$21, $C$9, 100%, $E$9)</f>
        <v>20.2681</v>
      </c>
      <c r="H514" s="14">
        <f>CHOOSE(CONTROL!$C$42, 20.4928, 20.4928) * CHOOSE(CONTROL!$C$21, $C$9, 100%, $E$9)</f>
        <v>20.492799999999999</v>
      </c>
      <c r="I514" s="14">
        <f>CHOOSE(CONTROL!$C$42, 20.2789, 20.2789)* CHOOSE(CONTROL!$C$21, $C$9, 100%, $E$9)</f>
        <v>20.2789</v>
      </c>
      <c r="J514" s="14">
        <f>CHOOSE(CONTROL!$C$42, 20.2451, 20.2451)* CHOOSE(CONTROL!$C$21, $C$9, 100%, $E$9)</f>
        <v>20.245100000000001</v>
      </c>
      <c r="K514" s="53">
        <f>CHOOSE(CONTROL!$C$42, 20.275, 20.275) * CHOOSE(CONTROL!$C$21, $C$9, 100%, $E$9)</f>
        <v>20.274999999999999</v>
      </c>
      <c r="L514" s="14">
        <f>CHOOSE(CONTROL!$C$42, 21.0798, 21.0798) * CHOOSE(CONTROL!$C$21, $C$9, 100%, $E$9)</f>
        <v>21.079799999999999</v>
      </c>
      <c r="M514" s="14">
        <f>CHOOSE(CONTROL!$C$42, 20.0547, 20.0547) * CHOOSE(CONTROL!$C$21, $C$9, 100%, $E$9)</f>
        <v>20.0547</v>
      </c>
      <c r="N514" s="14">
        <f>CHOOSE(CONTROL!$C$42, 20.0705, 20.0705) * CHOOSE(CONTROL!$C$21, $C$9, 100%, $E$9)</f>
        <v>20.070499999999999</v>
      </c>
      <c r="O514" s="14">
        <f>CHOOSE(CONTROL!$C$42, 20.2998, 20.2998) * CHOOSE(CONTROL!$C$21, $C$9, 100%, $E$9)</f>
        <v>20.299800000000001</v>
      </c>
      <c r="P514" s="14">
        <f>CHOOSE(CONTROL!$C$42, 20.0881, 20.0881) * CHOOSE(CONTROL!$C$21, $C$9, 100%, $E$9)</f>
        <v>20.088100000000001</v>
      </c>
      <c r="Q514" s="14">
        <f>CHOOSE(CONTROL!$C$42, 20.8951, 20.8951) * CHOOSE(CONTROL!$C$21, $C$9, 100%, $E$9)</f>
        <v>20.895099999999999</v>
      </c>
      <c r="R514" s="14">
        <f>CHOOSE(CONTROL!$C$42, 21.5344, 21.5344) * CHOOSE(CONTROL!$C$21, $C$9, 100%, $E$9)</f>
        <v>21.534400000000002</v>
      </c>
      <c r="S514" s="14">
        <f>CHOOSE(CONTROL!$C$42, 19.6775, 19.6775) * CHOOSE(CONTROL!$C$21, $C$9, 100%, $E$9)</f>
        <v>19.677499999999998</v>
      </c>
      <c r="T51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14" s="57">
        <f>(1000*CHOOSE(CONTROL!$C$42, 695, 695)*CHOOSE(CONTROL!$C$42, 0.5599, 0.5599)*CHOOSE(CONTROL!$C$42, 31, 31))/1000000</f>
        <v>12.063045499999998</v>
      </c>
      <c r="V514" s="57">
        <f>(1000*CHOOSE(CONTROL!$C$42, 500, 500)*CHOOSE(CONTROL!$C$42, 0.275, 0.275)*CHOOSE(CONTROL!$C$42, 31, 31))/1000000</f>
        <v>4.2625000000000002</v>
      </c>
      <c r="W514" s="57">
        <f>(1000*CHOOSE(CONTROL!$C$42, 0.1146, 0.1146)*CHOOSE(CONTROL!$C$42, 121.5, 121.5)*CHOOSE(CONTROL!$C$42, 31, 31))/1000000</f>
        <v>0.43164089999999994</v>
      </c>
      <c r="X514" s="57">
        <f>(31*0.1790888*245000/1000000)+(31*0.2374*100000/1000000)</f>
        <v>2.0961194359999999</v>
      </c>
      <c r="Y514" s="57"/>
      <c r="Z514" s="14"/>
      <c r="AA514" s="56"/>
      <c r="AB514" s="50">
        <f>(B514*131.881+C514*277.167+D514*79.08+E514*125.872+F514*40+G514*185+H514*0+I514*100+J514*300)/(131.881+277.167+79.08+125.872+0+40+185+100+300)</f>
        <v>20.300192584665055</v>
      </c>
      <c r="AC514" s="45">
        <f>(M514*'RAP TEMPLATE-GAS AVAILABILITY'!O513+N514*'RAP TEMPLATE-GAS AVAILABILITY'!P513+O514*'RAP TEMPLATE-GAS AVAILABILITY'!Q513+P514*'RAP TEMPLATE-GAS AVAILABILITY'!R513)/('RAP TEMPLATE-GAS AVAILABILITY'!O513+'RAP TEMPLATE-GAS AVAILABILITY'!P513+'RAP TEMPLATE-GAS AVAILABILITY'!Q513+'RAP TEMPLATE-GAS AVAILABILITY'!R513)</f>
        <v>20.131912230215825</v>
      </c>
    </row>
    <row r="515" spans="1:29" ht="15.75" x14ac:dyDescent="0.25">
      <c r="A515" s="33">
        <v>56583</v>
      </c>
      <c r="B515" s="14">
        <f>CHOOSE(CONTROL!$C$42, 20.7992, 20.7992) * CHOOSE(CONTROL!$C$21, $C$9, 100%, $E$9)</f>
        <v>20.799199999999999</v>
      </c>
      <c r="C515" s="14">
        <f>CHOOSE(CONTROL!$C$42, 20.8041, 20.8041) * CHOOSE(CONTROL!$C$21, $C$9, 100%, $E$9)</f>
        <v>20.804099999999998</v>
      </c>
      <c r="D515" s="14">
        <f>CHOOSE(CONTROL!$C$42, 20.8672, 20.8672) * CHOOSE(CONTROL!$C$21, $C$9, 100%, $E$9)</f>
        <v>20.8672</v>
      </c>
      <c r="E515" s="14">
        <f>CHOOSE(CONTROL!$C$42, 20.901, 20.901) * CHOOSE(CONTROL!$C$21, $C$9, 100%, $E$9)</f>
        <v>20.901</v>
      </c>
      <c r="F515" s="14">
        <f>CHOOSE(CONTROL!$C$42, 20.7999, 20.7999)*CHOOSE(CONTROL!$C$21, $C$9, 100%, $E$9)</f>
        <v>20.799900000000001</v>
      </c>
      <c r="G515" s="14">
        <f>CHOOSE(CONTROL!$C$42, 20.8161, 20.8161)*CHOOSE(CONTROL!$C$21, $C$9, 100%, $E$9)</f>
        <v>20.816099999999999</v>
      </c>
      <c r="H515" s="14">
        <f>CHOOSE(CONTROL!$C$42, 20.8902, 20.8902) * CHOOSE(CONTROL!$C$21, $C$9, 100%, $E$9)</f>
        <v>20.8902</v>
      </c>
      <c r="I515" s="14">
        <f>CHOOSE(CONTROL!$C$42, 20.8127, 20.8127)* CHOOSE(CONTROL!$C$21, $C$9, 100%, $E$9)</f>
        <v>20.8127</v>
      </c>
      <c r="J515" s="14">
        <f>CHOOSE(CONTROL!$C$42, 20.7929, 20.7929)* CHOOSE(CONTROL!$C$21, $C$9, 100%, $E$9)</f>
        <v>20.792899999999999</v>
      </c>
      <c r="K515" s="53">
        <f>CHOOSE(CONTROL!$C$42, 20.8088, 20.8088) * CHOOSE(CONTROL!$C$21, $C$9, 100%, $E$9)</f>
        <v>20.808800000000002</v>
      </c>
      <c r="L515" s="14">
        <f>CHOOSE(CONTROL!$C$42, 21.4772, 21.4772) * CHOOSE(CONTROL!$C$21, $C$9, 100%, $E$9)</f>
        <v>21.4772</v>
      </c>
      <c r="M515" s="14">
        <f>CHOOSE(CONTROL!$C$42, 20.5969, 20.5969) * CHOOSE(CONTROL!$C$21, $C$9, 100%, $E$9)</f>
        <v>20.596900000000002</v>
      </c>
      <c r="N515" s="14">
        <f>CHOOSE(CONTROL!$C$42, 20.613, 20.613) * CHOOSE(CONTROL!$C$21, $C$9, 100%, $E$9)</f>
        <v>20.613</v>
      </c>
      <c r="O515" s="14">
        <f>CHOOSE(CONTROL!$C$42, 20.6932, 20.6932) * CHOOSE(CONTROL!$C$21, $C$9, 100%, $E$9)</f>
        <v>20.693200000000001</v>
      </c>
      <c r="P515" s="14">
        <f>CHOOSE(CONTROL!$C$42, 20.6165, 20.6165) * CHOOSE(CONTROL!$C$21, $C$9, 100%, $E$9)</f>
        <v>20.616499999999998</v>
      </c>
      <c r="Q515" s="14">
        <f>CHOOSE(CONTROL!$C$42, 21.2885, 21.2885) * CHOOSE(CONTROL!$C$21, $C$9, 100%, $E$9)</f>
        <v>21.288499999999999</v>
      </c>
      <c r="R515" s="14">
        <f>CHOOSE(CONTROL!$C$42, 21.9287, 21.9287) * CHOOSE(CONTROL!$C$21, $C$9, 100%, $E$9)</f>
        <v>21.928699999999999</v>
      </c>
      <c r="S515" s="14">
        <f>CHOOSE(CONTROL!$C$42, 20.1959, 20.1959) * CHOOSE(CONTROL!$C$21, $C$9, 100%, $E$9)</f>
        <v>20.195900000000002</v>
      </c>
      <c r="T51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15" s="57">
        <f>(1000*CHOOSE(CONTROL!$C$42, 695, 695)*CHOOSE(CONTROL!$C$42, 0.5599, 0.5599)*CHOOSE(CONTROL!$C$42, 30, 30))/1000000</f>
        <v>11.673914999999997</v>
      </c>
      <c r="V515" s="57">
        <f>(1000*CHOOSE(CONTROL!$C$42, 500, 500)*CHOOSE(CONTROL!$C$42, 0.275, 0.275)*CHOOSE(CONTROL!$C$42, 30, 30))/1000000</f>
        <v>4.125</v>
      </c>
      <c r="W515" s="57">
        <f>(1000*CHOOSE(CONTROL!$C$42, 0.1146, 0.1146)*CHOOSE(CONTROL!$C$42, 121.5, 121.5)*CHOOSE(CONTROL!$C$42, 30, 30))/1000000</f>
        <v>0.417717</v>
      </c>
      <c r="X515" s="57">
        <f>(30*0.1790888*100000/1000000)+(30*0.2374*100000/1000000)</f>
        <v>1.2494664</v>
      </c>
      <c r="Y515" s="57"/>
      <c r="Z515" s="14"/>
      <c r="AA515" s="56"/>
      <c r="AB515" s="50">
        <f>(B515*122.58+C515*297.941+D515*89.177+E515*40.302+F515*40+G515*160+H515*0+I515*100+J515*300)/(122.58+297.941+89.177+40.302+0+40+160+100+300)</f>
        <v>20.811216252608695</v>
      </c>
      <c r="AC515" s="45">
        <f>(M515*'RAP TEMPLATE-GAS AVAILABILITY'!O514+N515*'RAP TEMPLATE-GAS AVAILABILITY'!P514+O515*'RAP TEMPLATE-GAS AVAILABILITY'!Q514+P515*'RAP TEMPLATE-GAS AVAILABILITY'!R514)/('RAP TEMPLATE-GAS AVAILABILITY'!O514+'RAP TEMPLATE-GAS AVAILABILITY'!P514+'RAP TEMPLATE-GAS AVAILABILITY'!Q514+'RAP TEMPLATE-GAS AVAILABILITY'!R514)</f>
        <v>20.644293525179854</v>
      </c>
    </row>
    <row r="516" spans="1:29" ht="15.75" x14ac:dyDescent="0.25">
      <c r="A516" s="33">
        <v>56614</v>
      </c>
      <c r="B516" s="14">
        <f>CHOOSE(CONTROL!$C$42, 22.217, 22.217) * CHOOSE(CONTROL!$C$21, $C$9, 100%, $E$9)</f>
        <v>22.216999999999999</v>
      </c>
      <c r="C516" s="14">
        <f>CHOOSE(CONTROL!$C$42, 22.222, 22.222) * CHOOSE(CONTROL!$C$21, $C$9, 100%, $E$9)</f>
        <v>22.222000000000001</v>
      </c>
      <c r="D516" s="14">
        <f>CHOOSE(CONTROL!$C$42, 22.2851, 22.2851) * CHOOSE(CONTROL!$C$21, $C$9, 100%, $E$9)</f>
        <v>22.2851</v>
      </c>
      <c r="E516" s="14">
        <f>CHOOSE(CONTROL!$C$42, 22.3188, 22.3188) * CHOOSE(CONTROL!$C$21, $C$9, 100%, $E$9)</f>
        <v>22.3188</v>
      </c>
      <c r="F516" s="14">
        <f>CHOOSE(CONTROL!$C$42, 22.2198, 22.2198)*CHOOSE(CONTROL!$C$21, $C$9, 100%, $E$9)</f>
        <v>22.219799999999999</v>
      </c>
      <c r="G516" s="14">
        <f>CHOOSE(CONTROL!$C$42, 22.2366, 22.2366)*CHOOSE(CONTROL!$C$21, $C$9, 100%, $E$9)</f>
        <v>22.236599999999999</v>
      </c>
      <c r="H516" s="14">
        <f>CHOOSE(CONTROL!$C$42, 22.308, 22.308) * CHOOSE(CONTROL!$C$21, $C$9, 100%, $E$9)</f>
        <v>22.308</v>
      </c>
      <c r="I516" s="14">
        <f>CHOOSE(CONTROL!$C$42, 22.2306, 22.2306)* CHOOSE(CONTROL!$C$21, $C$9, 100%, $E$9)</f>
        <v>22.230599999999999</v>
      </c>
      <c r="J516" s="14">
        <f>CHOOSE(CONTROL!$C$42, 22.2128, 22.2128)* CHOOSE(CONTROL!$C$21, $C$9, 100%, $E$9)</f>
        <v>22.212800000000001</v>
      </c>
      <c r="K516" s="53">
        <f>CHOOSE(CONTROL!$C$42, 22.2267, 22.2267) * CHOOSE(CONTROL!$C$21, $C$9, 100%, $E$9)</f>
        <v>22.226700000000001</v>
      </c>
      <c r="L516" s="14">
        <f>CHOOSE(CONTROL!$C$42, 22.895, 22.895) * CHOOSE(CONTROL!$C$21, $C$9, 100%, $E$9)</f>
        <v>22.895</v>
      </c>
      <c r="M516" s="14">
        <f>CHOOSE(CONTROL!$C$42, 22.0024, 22.0024) * CHOOSE(CONTROL!$C$21, $C$9, 100%, $E$9)</f>
        <v>22.002400000000002</v>
      </c>
      <c r="N516" s="14">
        <f>CHOOSE(CONTROL!$C$42, 22.0191, 22.0191) * CHOOSE(CONTROL!$C$21, $C$9, 100%, $E$9)</f>
        <v>22.019100000000002</v>
      </c>
      <c r="O516" s="14">
        <f>CHOOSE(CONTROL!$C$42, 22.0967, 22.0967) * CHOOSE(CONTROL!$C$21, $C$9, 100%, $E$9)</f>
        <v>22.096699999999998</v>
      </c>
      <c r="P516" s="14">
        <f>CHOOSE(CONTROL!$C$42, 22.0201, 22.0201) * CHOOSE(CONTROL!$C$21, $C$9, 100%, $E$9)</f>
        <v>22.020099999999999</v>
      </c>
      <c r="Q516" s="14">
        <f>CHOOSE(CONTROL!$C$42, 22.692, 22.692) * CHOOSE(CONTROL!$C$21, $C$9, 100%, $E$9)</f>
        <v>22.692</v>
      </c>
      <c r="R516" s="14">
        <f>CHOOSE(CONTROL!$C$42, 23.3358, 23.3358) * CHOOSE(CONTROL!$C$21, $C$9, 100%, $E$9)</f>
        <v>23.335799999999999</v>
      </c>
      <c r="S516" s="14">
        <f>CHOOSE(CONTROL!$C$42, 21.5728, 21.5728) * CHOOSE(CONTROL!$C$21, $C$9, 100%, $E$9)</f>
        <v>21.572800000000001</v>
      </c>
      <c r="T51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16" s="57">
        <f>(1000*CHOOSE(CONTROL!$C$42, 695, 695)*CHOOSE(CONTROL!$C$42, 0.5599, 0.5599)*CHOOSE(CONTROL!$C$42, 31, 31))/1000000</f>
        <v>12.063045499999998</v>
      </c>
      <c r="V516" s="57">
        <f>(1000*CHOOSE(CONTROL!$C$42, 500, 500)*CHOOSE(CONTROL!$C$42, 0.275, 0.275)*CHOOSE(CONTROL!$C$42, 31, 31))/1000000</f>
        <v>4.2625000000000002</v>
      </c>
      <c r="W516" s="57">
        <f>(1000*CHOOSE(CONTROL!$C$42, 0.1146, 0.1146)*CHOOSE(CONTROL!$C$42, 121.5, 121.5)*CHOOSE(CONTROL!$C$42, 31, 31))/1000000</f>
        <v>0.43164089999999994</v>
      </c>
      <c r="X516" s="57">
        <f>(31*0.1790888*100000/1000000)+(31*0.2374*100000/1000000)</f>
        <v>1.2911152800000001</v>
      </c>
      <c r="Y516" s="57"/>
      <c r="Z516" s="14"/>
      <c r="AA516" s="56"/>
      <c r="AB516" s="50">
        <f>(B516*122.58+C516*297.941+D516*89.177+E516*40.302+F516*40+G516*160+H516*0+I516*100+J516*300)/(122.58+297.941+89.177+40.302+0+40+160+100+300)</f>
        <v>22.230055132434785</v>
      </c>
      <c r="AC516" s="45">
        <f>(M516*'RAP TEMPLATE-GAS AVAILABILITY'!O515+N516*'RAP TEMPLATE-GAS AVAILABILITY'!P515+O516*'RAP TEMPLATE-GAS AVAILABILITY'!Q515+P516*'RAP TEMPLATE-GAS AVAILABILITY'!R515)/('RAP TEMPLATE-GAS AVAILABILITY'!O515+'RAP TEMPLATE-GAS AVAILABILITY'!P515+'RAP TEMPLATE-GAS AVAILABILITY'!Q515+'RAP TEMPLATE-GAS AVAILABILITY'!R515)</f>
        <v>22.048648201438848</v>
      </c>
    </row>
    <row r="517" spans="1:29" ht="15.75" x14ac:dyDescent="0.25">
      <c r="A517" s="32">
        <v>56645</v>
      </c>
      <c r="B517" s="14">
        <f>CHOOSE(CONTROL!$C$42, 24.0372, 24.0372) * CHOOSE(CONTROL!$C$21, $C$9, 100%, $E$9)</f>
        <v>24.037199999999999</v>
      </c>
      <c r="C517" s="14">
        <f>CHOOSE(CONTROL!$C$42, 24.0421, 24.0421) * CHOOSE(CONTROL!$C$21, $C$9, 100%, $E$9)</f>
        <v>24.042100000000001</v>
      </c>
      <c r="D517" s="14">
        <f>CHOOSE(CONTROL!$C$42, 24.1064, 24.1064) * CHOOSE(CONTROL!$C$21, $C$9, 100%, $E$9)</f>
        <v>24.106400000000001</v>
      </c>
      <c r="E517" s="14">
        <f>CHOOSE(CONTROL!$C$42, 24.1402, 24.1402) * CHOOSE(CONTROL!$C$21, $C$9, 100%, $E$9)</f>
        <v>24.1402</v>
      </c>
      <c r="F517" s="14">
        <f>CHOOSE(CONTROL!$C$42, 24.0387, 24.0387)*CHOOSE(CONTROL!$C$21, $C$9, 100%, $E$9)</f>
        <v>24.038699999999999</v>
      </c>
      <c r="G517" s="14">
        <f>CHOOSE(CONTROL!$C$42, 24.0546, 24.0546)*CHOOSE(CONTROL!$C$21, $C$9, 100%, $E$9)</f>
        <v>24.054600000000001</v>
      </c>
      <c r="H517" s="14">
        <f>CHOOSE(CONTROL!$C$42, 24.1294, 24.1294) * CHOOSE(CONTROL!$C$21, $C$9, 100%, $E$9)</f>
        <v>24.1294</v>
      </c>
      <c r="I517" s="14">
        <f>CHOOSE(CONTROL!$C$42, 24.0572, 24.0572)* CHOOSE(CONTROL!$C$21, $C$9, 100%, $E$9)</f>
        <v>24.057200000000002</v>
      </c>
      <c r="J517" s="14">
        <f>CHOOSE(CONTROL!$C$42, 24.0317, 24.0317)* CHOOSE(CONTROL!$C$21, $C$9, 100%, $E$9)</f>
        <v>24.031700000000001</v>
      </c>
      <c r="K517" s="53">
        <f>CHOOSE(CONTROL!$C$42, 24.0533, 24.0533) * CHOOSE(CONTROL!$C$21, $C$9, 100%, $E$9)</f>
        <v>24.0533</v>
      </c>
      <c r="L517" s="14">
        <f>CHOOSE(CONTROL!$C$42, 24.7164, 24.7164) * CHOOSE(CONTROL!$C$21, $C$9, 100%, $E$9)</f>
        <v>24.7164</v>
      </c>
      <c r="M517" s="14">
        <f>CHOOSE(CONTROL!$C$42, 23.803, 23.803) * CHOOSE(CONTROL!$C$21, $C$9, 100%, $E$9)</f>
        <v>23.803000000000001</v>
      </c>
      <c r="N517" s="14">
        <f>CHOOSE(CONTROL!$C$42, 23.8188, 23.8188) * CHOOSE(CONTROL!$C$21, $C$9, 100%, $E$9)</f>
        <v>23.8188</v>
      </c>
      <c r="O517" s="14">
        <f>CHOOSE(CONTROL!$C$42, 23.8997, 23.8997) * CHOOSE(CONTROL!$C$21, $C$9, 100%, $E$9)</f>
        <v>23.899699999999999</v>
      </c>
      <c r="P517" s="14">
        <f>CHOOSE(CONTROL!$C$42, 23.8282, 23.8282) * CHOOSE(CONTROL!$C$21, $C$9, 100%, $E$9)</f>
        <v>23.828199999999999</v>
      </c>
      <c r="Q517" s="14">
        <f>CHOOSE(CONTROL!$C$42, 24.495, 24.495) * CHOOSE(CONTROL!$C$21, $C$9, 100%, $E$9)</f>
        <v>24.495000000000001</v>
      </c>
      <c r="R517" s="14">
        <f>CHOOSE(CONTROL!$C$42, 25.1432, 25.1432) * CHOOSE(CONTROL!$C$21, $C$9, 100%, $E$9)</f>
        <v>25.1432</v>
      </c>
      <c r="S517" s="14">
        <f>CHOOSE(CONTROL!$C$42, 23.3404, 23.3404) * CHOOSE(CONTROL!$C$21, $C$9, 100%, $E$9)</f>
        <v>23.340399999999999</v>
      </c>
      <c r="T51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17" s="57">
        <f>(1000*CHOOSE(CONTROL!$C$42, 695, 695)*CHOOSE(CONTROL!$C$42, 0.5599, 0.5599)*CHOOSE(CONTROL!$C$42, 31, 31))/1000000</f>
        <v>12.063045499999998</v>
      </c>
      <c r="V517" s="57">
        <f>(1000*CHOOSE(CONTROL!$C$42, 500, 500)*CHOOSE(CONTROL!$C$42, 0.275, 0.275)*CHOOSE(CONTROL!$C$42, 31, 31))/1000000</f>
        <v>4.2625000000000002</v>
      </c>
      <c r="W517" s="57">
        <f>(1000*CHOOSE(CONTROL!$C$42, 0.1146, 0.1146)*CHOOSE(CONTROL!$C$42, 121.5, 121.5)*CHOOSE(CONTROL!$C$42, 31, 31))/1000000</f>
        <v>0.43164089999999994</v>
      </c>
      <c r="X517" s="57">
        <f>(31*0.1790888*100000/1000000)+(31*0.2374*100000/1000000)</f>
        <v>1.2911152800000001</v>
      </c>
      <c r="Y517" s="57"/>
      <c r="Z517" s="14"/>
      <c r="AA517" s="56"/>
      <c r="AB517" s="50">
        <f>(B517*122.58+C517*297.941+D517*89.177+E517*40.302+F517*40+G517*160+H517*0+I517*100+J517*300)/(122.58+297.941+89.177+40.302+0+40+160+100+300)</f>
        <v>24.050222665478262</v>
      </c>
      <c r="AC517" s="45">
        <f>(M517*'RAP TEMPLATE-GAS AVAILABILITY'!O516+N517*'RAP TEMPLATE-GAS AVAILABILITY'!P516+O517*'RAP TEMPLATE-GAS AVAILABILITY'!Q516+P517*'RAP TEMPLATE-GAS AVAILABILITY'!R516)/('RAP TEMPLATE-GAS AVAILABILITY'!O516+'RAP TEMPLATE-GAS AVAILABILITY'!P516+'RAP TEMPLATE-GAS AVAILABILITY'!Q516+'RAP TEMPLATE-GAS AVAILABILITY'!R516)</f>
        <v>23.851363309352514</v>
      </c>
    </row>
    <row r="518" spans="1:29" ht="15.75" x14ac:dyDescent="0.25">
      <c r="A518" s="32">
        <v>56673</v>
      </c>
      <c r="B518" s="14">
        <f>CHOOSE(CONTROL!$C$42, 24.465, 24.465) * CHOOSE(CONTROL!$C$21, $C$9, 100%, $E$9)</f>
        <v>24.465</v>
      </c>
      <c r="C518" s="14">
        <f>CHOOSE(CONTROL!$C$42, 24.47, 24.47) * CHOOSE(CONTROL!$C$21, $C$9, 100%, $E$9)</f>
        <v>24.47</v>
      </c>
      <c r="D518" s="14">
        <f>CHOOSE(CONTROL!$C$42, 24.5343, 24.5343) * CHOOSE(CONTROL!$C$21, $C$9, 100%, $E$9)</f>
        <v>24.534300000000002</v>
      </c>
      <c r="E518" s="14">
        <f>CHOOSE(CONTROL!$C$42, 24.568, 24.568) * CHOOSE(CONTROL!$C$21, $C$9, 100%, $E$9)</f>
        <v>24.568000000000001</v>
      </c>
      <c r="F518" s="14">
        <f>CHOOSE(CONTROL!$C$42, 24.4666, 24.4666)*CHOOSE(CONTROL!$C$21, $C$9, 100%, $E$9)</f>
        <v>24.4666</v>
      </c>
      <c r="G518" s="14">
        <f>CHOOSE(CONTROL!$C$42, 24.4825, 24.4825)*CHOOSE(CONTROL!$C$21, $C$9, 100%, $E$9)</f>
        <v>24.482500000000002</v>
      </c>
      <c r="H518" s="14">
        <f>CHOOSE(CONTROL!$C$42, 24.5572, 24.5572) * CHOOSE(CONTROL!$C$21, $C$9, 100%, $E$9)</f>
        <v>24.557200000000002</v>
      </c>
      <c r="I518" s="14">
        <f>CHOOSE(CONTROL!$C$42, 24.485, 24.485)* CHOOSE(CONTROL!$C$21, $C$9, 100%, $E$9)</f>
        <v>24.484999999999999</v>
      </c>
      <c r="J518" s="14">
        <f>CHOOSE(CONTROL!$C$42, 24.4596, 24.4596)* CHOOSE(CONTROL!$C$21, $C$9, 100%, $E$9)</f>
        <v>24.459599999999998</v>
      </c>
      <c r="K518" s="53">
        <f>CHOOSE(CONTROL!$C$42, 24.4811, 24.4811) * CHOOSE(CONTROL!$C$21, $C$9, 100%, $E$9)</f>
        <v>24.481100000000001</v>
      </c>
      <c r="L518" s="14">
        <f>CHOOSE(CONTROL!$C$42, 25.1442, 25.1442) * CHOOSE(CONTROL!$C$21, $C$9, 100%, $E$9)</f>
        <v>25.144200000000001</v>
      </c>
      <c r="M518" s="14">
        <f>CHOOSE(CONTROL!$C$42, 24.2266, 24.2266) * CHOOSE(CONTROL!$C$21, $C$9, 100%, $E$9)</f>
        <v>24.226600000000001</v>
      </c>
      <c r="N518" s="14">
        <f>CHOOSE(CONTROL!$C$42, 24.2424, 24.2424) * CHOOSE(CONTROL!$C$21, $C$9, 100%, $E$9)</f>
        <v>24.2424</v>
      </c>
      <c r="O518" s="14">
        <f>CHOOSE(CONTROL!$C$42, 24.3232, 24.3232) * CHOOSE(CONTROL!$C$21, $C$9, 100%, $E$9)</f>
        <v>24.3232</v>
      </c>
      <c r="P518" s="14">
        <f>CHOOSE(CONTROL!$C$42, 24.2518, 24.2518) * CHOOSE(CONTROL!$C$21, $C$9, 100%, $E$9)</f>
        <v>24.251799999999999</v>
      </c>
      <c r="Q518" s="14">
        <f>CHOOSE(CONTROL!$C$42, 24.9185, 24.9185) * CHOOSE(CONTROL!$C$21, $C$9, 100%, $E$9)</f>
        <v>24.918500000000002</v>
      </c>
      <c r="R518" s="14">
        <f>CHOOSE(CONTROL!$C$42, 25.5678, 25.5678) * CHOOSE(CONTROL!$C$21, $C$9, 100%, $E$9)</f>
        <v>25.567799999999998</v>
      </c>
      <c r="S518" s="14">
        <f>CHOOSE(CONTROL!$C$42, 23.7559, 23.7559) * CHOOSE(CONTROL!$C$21, $C$9, 100%, $E$9)</f>
        <v>23.7559</v>
      </c>
      <c r="T51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18" s="57">
        <f>(1000*CHOOSE(CONTROL!$C$42, 695, 695)*CHOOSE(CONTROL!$C$42, 0.5599, 0.5599)*CHOOSE(CONTROL!$C$42, 28, 28))/1000000</f>
        <v>10.895653999999999</v>
      </c>
      <c r="V518" s="57">
        <f>(1000*CHOOSE(CONTROL!$C$42, 500, 500)*CHOOSE(CONTROL!$C$42, 0.275, 0.275)*CHOOSE(CONTROL!$C$42, 28, 28))/1000000</f>
        <v>3.85</v>
      </c>
      <c r="W518" s="57">
        <f>(1000*CHOOSE(CONTROL!$C$42, 0.1146, 0.1146)*CHOOSE(CONTROL!$C$42, 121.5, 121.5)*CHOOSE(CONTROL!$C$42, 28, 28))/1000000</f>
        <v>0.38986920000000003</v>
      </c>
      <c r="X518" s="57">
        <f>(28*0.1790888*100000/1000000)+(28*0.2374*100000/1000000)</f>
        <v>1.16616864</v>
      </c>
      <c r="Y518" s="57"/>
      <c r="Z518" s="14"/>
      <c r="AA518" s="56"/>
      <c r="AB518" s="50">
        <f>(B518*122.58+C518*297.941+D518*89.177+E518*40.302+F518*40+G518*160+H518*0+I518*100+J518*300)/(122.58+297.941+89.177+40.302+0+40+160+100+300)</f>
        <v>24.478099806173912</v>
      </c>
      <c r="AC518" s="45">
        <f>(M518*'RAP TEMPLATE-GAS AVAILABILITY'!O517+N518*'RAP TEMPLATE-GAS AVAILABILITY'!P517+O518*'RAP TEMPLATE-GAS AVAILABILITY'!Q517+P518*'RAP TEMPLATE-GAS AVAILABILITY'!R517)/('RAP TEMPLATE-GAS AVAILABILITY'!O517+'RAP TEMPLATE-GAS AVAILABILITY'!P517+'RAP TEMPLATE-GAS AVAILABILITY'!Q517+'RAP TEMPLATE-GAS AVAILABILITY'!R517)</f>
        <v>24.274917985611509</v>
      </c>
    </row>
    <row r="519" spans="1:29" ht="15.75" x14ac:dyDescent="0.25">
      <c r="A519" s="32">
        <v>56704</v>
      </c>
      <c r="B519" s="14">
        <f>CHOOSE(CONTROL!$C$42, 23.7705, 23.7705) * CHOOSE(CONTROL!$C$21, $C$9, 100%, $E$9)</f>
        <v>23.770499999999998</v>
      </c>
      <c r="C519" s="14">
        <f>CHOOSE(CONTROL!$C$42, 23.7755, 23.7755) * CHOOSE(CONTROL!$C$21, $C$9, 100%, $E$9)</f>
        <v>23.775500000000001</v>
      </c>
      <c r="D519" s="14">
        <f>CHOOSE(CONTROL!$C$42, 23.8398, 23.8398) * CHOOSE(CONTROL!$C$21, $C$9, 100%, $E$9)</f>
        <v>23.8398</v>
      </c>
      <c r="E519" s="14">
        <f>CHOOSE(CONTROL!$C$42, 23.8735, 23.8735) * CHOOSE(CONTROL!$C$21, $C$9, 100%, $E$9)</f>
        <v>23.8735</v>
      </c>
      <c r="F519" s="14">
        <f>CHOOSE(CONTROL!$C$42, 23.7718, 23.7718)*CHOOSE(CONTROL!$C$21, $C$9, 100%, $E$9)</f>
        <v>23.771799999999999</v>
      </c>
      <c r="G519" s="14">
        <f>CHOOSE(CONTROL!$C$42, 23.7876, 23.7876)*CHOOSE(CONTROL!$C$21, $C$9, 100%, $E$9)</f>
        <v>23.787600000000001</v>
      </c>
      <c r="H519" s="14">
        <f>CHOOSE(CONTROL!$C$42, 23.8627, 23.8627) * CHOOSE(CONTROL!$C$21, $C$9, 100%, $E$9)</f>
        <v>23.8627</v>
      </c>
      <c r="I519" s="14">
        <f>CHOOSE(CONTROL!$C$42, 23.7905, 23.7905)* CHOOSE(CONTROL!$C$21, $C$9, 100%, $E$9)</f>
        <v>23.790500000000002</v>
      </c>
      <c r="J519" s="14">
        <f>CHOOSE(CONTROL!$C$42, 23.7648, 23.7648)* CHOOSE(CONTROL!$C$21, $C$9, 100%, $E$9)</f>
        <v>23.764800000000001</v>
      </c>
      <c r="K519" s="53">
        <f>CHOOSE(CONTROL!$C$42, 23.7866, 23.7866) * CHOOSE(CONTROL!$C$21, $C$9, 100%, $E$9)</f>
        <v>23.7866</v>
      </c>
      <c r="L519" s="14">
        <f>CHOOSE(CONTROL!$C$42, 24.4497, 24.4497) * CHOOSE(CONTROL!$C$21, $C$9, 100%, $E$9)</f>
        <v>24.4497</v>
      </c>
      <c r="M519" s="14">
        <f>CHOOSE(CONTROL!$C$42, 23.5388, 23.5388) * CHOOSE(CONTROL!$C$21, $C$9, 100%, $E$9)</f>
        <v>23.538799999999998</v>
      </c>
      <c r="N519" s="14">
        <f>CHOOSE(CONTROL!$C$42, 23.5545, 23.5545) * CHOOSE(CONTROL!$C$21, $C$9, 100%, $E$9)</f>
        <v>23.554500000000001</v>
      </c>
      <c r="O519" s="14">
        <f>CHOOSE(CONTROL!$C$42, 23.6357, 23.6357) * CHOOSE(CONTROL!$C$21, $C$9, 100%, $E$9)</f>
        <v>23.6357</v>
      </c>
      <c r="P519" s="14">
        <f>CHOOSE(CONTROL!$C$42, 23.5643, 23.5643) * CHOOSE(CONTROL!$C$21, $C$9, 100%, $E$9)</f>
        <v>23.564299999999999</v>
      </c>
      <c r="Q519" s="14">
        <f>CHOOSE(CONTROL!$C$42, 24.231, 24.231) * CHOOSE(CONTROL!$C$21, $C$9, 100%, $E$9)</f>
        <v>24.231000000000002</v>
      </c>
      <c r="R519" s="14">
        <f>CHOOSE(CONTROL!$C$42, 24.8786, 24.8786) * CHOOSE(CONTROL!$C$21, $C$9, 100%, $E$9)</f>
        <v>24.878599999999999</v>
      </c>
      <c r="S519" s="14">
        <f>CHOOSE(CONTROL!$C$42, 23.0814, 23.0814) * CHOOSE(CONTROL!$C$21, $C$9, 100%, $E$9)</f>
        <v>23.081399999999999</v>
      </c>
      <c r="T51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19" s="57">
        <f>(1000*CHOOSE(CONTROL!$C$42, 695, 695)*CHOOSE(CONTROL!$C$42, 0.5599, 0.5599)*CHOOSE(CONTROL!$C$42, 31, 31))/1000000</f>
        <v>12.063045499999998</v>
      </c>
      <c r="V519" s="57">
        <f>(1000*CHOOSE(CONTROL!$C$42, 500, 500)*CHOOSE(CONTROL!$C$42, 0.275, 0.275)*CHOOSE(CONTROL!$C$42, 31, 31))/1000000</f>
        <v>4.2625000000000002</v>
      </c>
      <c r="W519" s="57">
        <f>(1000*CHOOSE(CONTROL!$C$42, 0.1146, 0.1146)*CHOOSE(CONTROL!$C$42, 121.5, 121.5)*CHOOSE(CONTROL!$C$42, 31, 31))/1000000</f>
        <v>0.43164089999999994</v>
      </c>
      <c r="X519" s="57">
        <f>(31*0.1790888*100000/1000000)+(31*0.2374*100000/1000000)</f>
        <v>1.2911152800000001</v>
      </c>
      <c r="Y519" s="57"/>
      <c r="Z519" s="14"/>
      <c r="AA519" s="56"/>
      <c r="AB519" s="50">
        <f>(B519*122.58+C519*297.941+D519*89.177+E519*40.302+F519*40+G519*160+H519*0+I519*100+J519*300)/(122.58+297.941+89.177+40.302+0+40+160+100+300)</f>
        <v>23.783455458347827</v>
      </c>
      <c r="AC519" s="45">
        <f>(M519*'RAP TEMPLATE-GAS AVAILABILITY'!O518+N519*'RAP TEMPLATE-GAS AVAILABILITY'!P518+O519*'RAP TEMPLATE-GAS AVAILABILITY'!Q518+P519*'RAP TEMPLATE-GAS AVAILABILITY'!R518)/('RAP TEMPLATE-GAS AVAILABILITY'!O518+'RAP TEMPLATE-GAS AVAILABILITY'!P518+'RAP TEMPLATE-GAS AVAILABILITY'!Q518+'RAP TEMPLATE-GAS AVAILABILITY'!R518)</f>
        <v>23.587291366906474</v>
      </c>
    </row>
    <row r="520" spans="1:29" ht="15.75" x14ac:dyDescent="0.25">
      <c r="A520" s="32">
        <v>56734</v>
      </c>
      <c r="B520" s="14">
        <f>CHOOSE(CONTROL!$C$42, 23.7005, 23.7005) * CHOOSE(CONTROL!$C$21, $C$9, 100%, $E$9)</f>
        <v>23.700500000000002</v>
      </c>
      <c r="C520" s="14">
        <f>CHOOSE(CONTROL!$C$42, 23.7049, 23.7049) * CHOOSE(CONTROL!$C$21, $C$9, 100%, $E$9)</f>
        <v>23.704899999999999</v>
      </c>
      <c r="D520" s="14">
        <f>CHOOSE(CONTROL!$C$42, 23.9056, 23.9056) * CHOOSE(CONTROL!$C$21, $C$9, 100%, $E$9)</f>
        <v>23.9056</v>
      </c>
      <c r="E520" s="14">
        <f>CHOOSE(CONTROL!$C$42, 23.9374, 23.9374) * CHOOSE(CONTROL!$C$21, $C$9, 100%, $E$9)</f>
        <v>23.9374</v>
      </c>
      <c r="F520" s="14">
        <f>CHOOSE(CONTROL!$C$42, 23.6851, 23.6851)*CHOOSE(CONTROL!$C$21, $C$9, 100%, $E$9)</f>
        <v>23.685099999999998</v>
      </c>
      <c r="G520" s="14">
        <f>CHOOSE(CONTROL!$C$42, 23.7007, 23.7007)*CHOOSE(CONTROL!$C$21, $C$9, 100%, $E$9)</f>
        <v>23.700700000000001</v>
      </c>
      <c r="H520" s="14">
        <f>CHOOSE(CONTROL!$C$42, 23.9272, 23.9272) * CHOOSE(CONTROL!$C$21, $C$9, 100%, $E$9)</f>
        <v>23.927199999999999</v>
      </c>
      <c r="I520" s="14">
        <f>CHOOSE(CONTROL!$C$42, 23.7133, 23.7133)* CHOOSE(CONTROL!$C$21, $C$9, 100%, $E$9)</f>
        <v>23.7133</v>
      </c>
      <c r="J520" s="14">
        <f>CHOOSE(CONTROL!$C$42, 23.6781, 23.6781)* CHOOSE(CONTROL!$C$21, $C$9, 100%, $E$9)</f>
        <v>23.678100000000001</v>
      </c>
      <c r="K520" s="53">
        <f>CHOOSE(CONTROL!$C$42, 23.7094, 23.7094) * CHOOSE(CONTROL!$C$21, $C$9, 100%, $E$9)</f>
        <v>23.709399999999999</v>
      </c>
      <c r="L520" s="14">
        <f>CHOOSE(CONTROL!$C$42, 24.5142, 24.5142) * CHOOSE(CONTROL!$C$21, $C$9, 100%, $E$9)</f>
        <v>24.514199999999999</v>
      </c>
      <c r="M520" s="14">
        <f>CHOOSE(CONTROL!$C$42, 23.453, 23.453) * CHOOSE(CONTROL!$C$21, $C$9, 100%, $E$9)</f>
        <v>23.452999999999999</v>
      </c>
      <c r="N520" s="14">
        <f>CHOOSE(CONTROL!$C$42, 23.4685, 23.4685) * CHOOSE(CONTROL!$C$21, $C$9, 100%, $E$9)</f>
        <v>23.468499999999999</v>
      </c>
      <c r="O520" s="14">
        <f>CHOOSE(CONTROL!$C$42, 23.6996, 23.6996) * CHOOSE(CONTROL!$C$21, $C$9, 100%, $E$9)</f>
        <v>23.6996</v>
      </c>
      <c r="P520" s="14">
        <f>CHOOSE(CONTROL!$C$42, 23.4879, 23.4879) * CHOOSE(CONTROL!$C$21, $C$9, 100%, $E$9)</f>
        <v>23.4879</v>
      </c>
      <c r="Q520" s="14">
        <f>CHOOSE(CONTROL!$C$42, 24.2949, 24.2949) * CHOOSE(CONTROL!$C$21, $C$9, 100%, $E$9)</f>
        <v>24.294899999999998</v>
      </c>
      <c r="R520" s="14">
        <f>CHOOSE(CONTROL!$C$42, 24.9426, 24.9426) * CHOOSE(CONTROL!$C$21, $C$9, 100%, $E$9)</f>
        <v>24.942599999999999</v>
      </c>
      <c r="S520" s="14">
        <f>CHOOSE(CONTROL!$C$42, 23.0127, 23.0127) * CHOOSE(CONTROL!$C$21, $C$9, 100%, $E$9)</f>
        <v>23.012699999999999</v>
      </c>
      <c r="T52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20" s="57">
        <f>(1000*CHOOSE(CONTROL!$C$42, 695, 695)*CHOOSE(CONTROL!$C$42, 0.5599, 0.5599)*CHOOSE(CONTROL!$C$42, 30, 30))/1000000</f>
        <v>11.673914999999997</v>
      </c>
      <c r="V520" s="57">
        <f>(1000*CHOOSE(CONTROL!$C$42, 500, 500)*CHOOSE(CONTROL!$C$42, 0.275, 0.275)*CHOOSE(CONTROL!$C$42, 30, 30))/1000000</f>
        <v>4.125</v>
      </c>
      <c r="W520" s="57">
        <f>(1000*CHOOSE(CONTROL!$C$42, 0.1146, 0.1146)*CHOOSE(CONTROL!$C$42, 121.5, 121.5)*CHOOSE(CONTROL!$C$42, 30, 30))/1000000</f>
        <v>0.417717</v>
      </c>
      <c r="X520" s="57">
        <f>(30*0.1790888*245000/1000000)+(30*0.2374*100000/1000000)</f>
        <v>2.0285026799999999</v>
      </c>
      <c r="Y520" s="57"/>
      <c r="Z520" s="14"/>
      <c r="AA520" s="56"/>
      <c r="AB520" s="50">
        <f>(B520*141.293+C520*267.993+D520*115.016+E520*89.698+F520*40+G520*185+H520*0+I520*100+J520*300)/(141.293+267.993+115.016+89.698+0+40+185+100+300)</f>
        <v>23.732783621468926</v>
      </c>
      <c r="AC520" s="45">
        <f>(M520*'RAP TEMPLATE-GAS AVAILABILITY'!O519+N520*'RAP TEMPLATE-GAS AVAILABILITY'!P519+O520*'RAP TEMPLATE-GAS AVAILABILITY'!Q519+P520*'RAP TEMPLATE-GAS AVAILABILITY'!R519)/('RAP TEMPLATE-GAS AVAILABILITY'!O519+'RAP TEMPLATE-GAS AVAILABILITY'!P519+'RAP TEMPLATE-GAS AVAILABILITY'!Q519+'RAP TEMPLATE-GAS AVAILABILITY'!R519)</f>
        <v>23.530779856115107</v>
      </c>
    </row>
    <row r="521" spans="1:29" ht="15.75" x14ac:dyDescent="0.25">
      <c r="A521" s="32">
        <v>56765</v>
      </c>
      <c r="B521" s="14">
        <f>CHOOSE(CONTROL!$C$42, 23.9111, 23.9111) * CHOOSE(CONTROL!$C$21, $C$9, 100%, $E$9)</f>
        <v>23.911100000000001</v>
      </c>
      <c r="C521" s="14">
        <f>CHOOSE(CONTROL!$C$42, 23.919, 23.919) * CHOOSE(CONTROL!$C$21, $C$9, 100%, $E$9)</f>
        <v>23.919</v>
      </c>
      <c r="D521" s="14">
        <f>CHOOSE(CONTROL!$C$42, 24.1166, 24.1166) * CHOOSE(CONTROL!$C$21, $C$9, 100%, $E$9)</f>
        <v>24.116599999999998</v>
      </c>
      <c r="E521" s="14">
        <f>CHOOSE(CONTROL!$C$42, 24.1477, 24.1477) * CHOOSE(CONTROL!$C$21, $C$9, 100%, $E$9)</f>
        <v>24.1477</v>
      </c>
      <c r="F521" s="14">
        <f>CHOOSE(CONTROL!$C$42, 23.8945, 23.8945)*CHOOSE(CONTROL!$C$21, $C$9, 100%, $E$9)</f>
        <v>23.894500000000001</v>
      </c>
      <c r="G521" s="14">
        <f>CHOOSE(CONTROL!$C$42, 23.9106, 23.9106)*CHOOSE(CONTROL!$C$21, $C$9, 100%, $E$9)</f>
        <v>23.910599999999999</v>
      </c>
      <c r="H521" s="14">
        <f>CHOOSE(CONTROL!$C$42, 24.1364, 24.1364) * CHOOSE(CONTROL!$C$21, $C$9, 100%, $E$9)</f>
        <v>24.136399999999998</v>
      </c>
      <c r="I521" s="14">
        <f>CHOOSE(CONTROL!$C$42, 23.9224, 23.9224)* CHOOSE(CONTROL!$C$21, $C$9, 100%, $E$9)</f>
        <v>23.9224</v>
      </c>
      <c r="J521" s="14">
        <f>CHOOSE(CONTROL!$C$42, 23.8875, 23.8875)* CHOOSE(CONTROL!$C$21, $C$9, 100%, $E$9)</f>
        <v>23.887499999999999</v>
      </c>
      <c r="K521" s="53">
        <f>CHOOSE(CONTROL!$C$42, 23.9186, 23.9186) * CHOOSE(CONTROL!$C$21, $C$9, 100%, $E$9)</f>
        <v>23.918600000000001</v>
      </c>
      <c r="L521" s="14">
        <f>CHOOSE(CONTROL!$C$42, 24.7234, 24.7234) * CHOOSE(CONTROL!$C$21, $C$9, 100%, $E$9)</f>
        <v>24.723400000000002</v>
      </c>
      <c r="M521" s="14">
        <f>CHOOSE(CONTROL!$C$42, 23.6603, 23.6603) * CHOOSE(CONTROL!$C$21, $C$9, 100%, $E$9)</f>
        <v>23.660299999999999</v>
      </c>
      <c r="N521" s="14">
        <f>CHOOSE(CONTROL!$C$42, 23.6762, 23.6762) * CHOOSE(CONTROL!$C$21, $C$9, 100%, $E$9)</f>
        <v>23.676200000000001</v>
      </c>
      <c r="O521" s="14">
        <f>CHOOSE(CONTROL!$C$42, 23.9066, 23.9066) * CHOOSE(CONTROL!$C$21, $C$9, 100%, $E$9)</f>
        <v>23.906600000000001</v>
      </c>
      <c r="P521" s="14">
        <f>CHOOSE(CONTROL!$C$42, 23.6949, 23.6949) * CHOOSE(CONTROL!$C$21, $C$9, 100%, $E$9)</f>
        <v>23.694900000000001</v>
      </c>
      <c r="Q521" s="14">
        <f>CHOOSE(CONTROL!$C$42, 24.5019, 24.5019) * CHOOSE(CONTROL!$C$21, $C$9, 100%, $E$9)</f>
        <v>24.501899999999999</v>
      </c>
      <c r="R521" s="14">
        <f>CHOOSE(CONTROL!$C$42, 25.1502, 25.1502) * CHOOSE(CONTROL!$C$21, $C$9, 100%, $E$9)</f>
        <v>25.150200000000002</v>
      </c>
      <c r="S521" s="14">
        <f>CHOOSE(CONTROL!$C$42, 23.2158, 23.2158) * CHOOSE(CONTROL!$C$21, $C$9, 100%, $E$9)</f>
        <v>23.215800000000002</v>
      </c>
      <c r="T52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21" s="57">
        <f>(1000*CHOOSE(CONTROL!$C$42, 695, 695)*CHOOSE(CONTROL!$C$42, 0.5599, 0.5599)*CHOOSE(CONTROL!$C$42, 31, 31))/1000000</f>
        <v>12.063045499999998</v>
      </c>
      <c r="V521" s="57">
        <f>(1000*CHOOSE(CONTROL!$C$42, 500, 500)*CHOOSE(CONTROL!$C$42, 0.275, 0.275)*CHOOSE(CONTROL!$C$42, 31, 31))/1000000</f>
        <v>4.2625000000000002</v>
      </c>
      <c r="W521" s="57">
        <f>(1000*CHOOSE(CONTROL!$C$42, 0.1146, 0.1146)*CHOOSE(CONTROL!$C$42, 121.5, 121.5)*CHOOSE(CONTROL!$C$42, 31, 31))/1000000</f>
        <v>0.43164089999999994</v>
      </c>
      <c r="X521" s="57">
        <f>(31*0.1790888*245000/1000000)+(31*0.2374*100000/1000000)</f>
        <v>2.0961194359999999</v>
      </c>
      <c r="Y521" s="57"/>
      <c r="Z521" s="14"/>
      <c r="AA521" s="56"/>
      <c r="AB521" s="50">
        <f>(B521*194.205+C521*267.466+D521*133.845+E521*53.484+F521*40+G521*185+H521*0+I521*100+J521*300)/(194.205+267.466+133.845+53.484+0+40+185+100+300)</f>
        <v>23.939016752982734</v>
      </c>
      <c r="AC521" s="45">
        <f>(M521*'RAP TEMPLATE-GAS AVAILABILITY'!O520+N521*'RAP TEMPLATE-GAS AVAILABILITY'!P520+O521*'RAP TEMPLATE-GAS AVAILABILITY'!Q520+P521*'RAP TEMPLATE-GAS AVAILABILITY'!R520)/('RAP TEMPLATE-GAS AVAILABILITY'!O520+'RAP TEMPLATE-GAS AVAILABILITY'!P520+'RAP TEMPLATE-GAS AVAILABILITY'!Q520+'RAP TEMPLATE-GAS AVAILABILITY'!R520)</f>
        <v>23.738044604316549</v>
      </c>
    </row>
    <row r="522" spans="1:29" ht="15.75" x14ac:dyDescent="0.25">
      <c r="A522" s="32">
        <v>56795</v>
      </c>
      <c r="B522" s="14">
        <f>CHOOSE(CONTROL!$C$42, 24.5892, 24.5892) * CHOOSE(CONTROL!$C$21, $C$9, 100%, $E$9)</f>
        <v>24.589200000000002</v>
      </c>
      <c r="C522" s="14">
        <f>CHOOSE(CONTROL!$C$42, 24.5971, 24.5971) * CHOOSE(CONTROL!$C$21, $C$9, 100%, $E$9)</f>
        <v>24.597100000000001</v>
      </c>
      <c r="D522" s="14">
        <f>CHOOSE(CONTROL!$C$42, 24.7947, 24.7947) * CHOOSE(CONTROL!$C$21, $C$9, 100%, $E$9)</f>
        <v>24.794699999999999</v>
      </c>
      <c r="E522" s="14">
        <f>CHOOSE(CONTROL!$C$42, 24.8258, 24.8258) * CHOOSE(CONTROL!$C$21, $C$9, 100%, $E$9)</f>
        <v>24.825800000000001</v>
      </c>
      <c r="F522" s="14">
        <f>CHOOSE(CONTROL!$C$42, 24.573, 24.573)*CHOOSE(CONTROL!$C$21, $C$9, 100%, $E$9)</f>
        <v>24.573</v>
      </c>
      <c r="G522" s="14">
        <f>CHOOSE(CONTROL!$C$42, 24.5892, 24.5892)*CHOOSE(CONTROL!$C$21, $C$9, 100%, $E$9)</f>
        <v>24.589200000000002</v>
      </c>
      <c r="H522" s="14">
        <f>CHOOSE(CONTROL!$C$42, 24.8145, 24.8145) * CHOOSE(CONTROL!$C$21, $C$9, 100%, $E$9)</f>
        <v>24.814499999999999</v>
      </c>
      <c r="I522" s="14">
        <f>CHOOSE(CONTROL!$C$42, 24.6006, 24.6006)* CHOOSE(CONTROL!$C$21, $C$9, 100%, $E$9)</f>
        <v>24.6006</v>
      </c>
      <c r="J522" s="14">
        <f>CHOOSE(CONTROL!$C$42, 24.566, 24.566)* CHOOSE(CONTROL!$C$21, $C$9, 100%, $E$9)</f>
        <v>24.565999999999999</v>
      </c>
      <c r="K522" s="53">
        <f>CHOOSE(CONTROL!$C$42, 24.5967, 24.5967) * CHOOSE(CONTROL!$C$21, $C$9, 100%, $E$9)</f>
        <v>24.596699999999998</v>
      </c>
      <c r="L522" s="14">
        <f>CHOOSE(CONTROL!$C$42, 25.4015, 25.4015) * CHOOSE(CONTROL!$C$21, $C$9, 100%, $E$9)</f>
        <v>25.401499999999999</v>
      </c>
      <c r="M522" s="14">
        <f>CHOOSE(CONTROL!$C$42, 24.3319, 24.3319) * CHOOSE(CONTROL!$C$21, $C$9, 100%, $E$9)</f>
        <v>24.331900000000001</v>
      </c>
      <c r="N522" s="14">
        <f>CHOOSE(CONTROL!$C$42, 24.348, 24.348) * CHOOSE(CONTROL!$C$21, $C$9, 100%, $E$9)</f>
        <v>24.347999999999999</v>
      </c>
      <c r="O522" s="14">
        <f>CHOOSE(CONTROL!$C$42, 24.5779, 24.5779) * CHOOSE(CONTROL!$C$21, $C$9, 100%, $E$9)</f>
        <v>24.5779</v>
      </c>
      <c r="P522" s="14">
        <f>CHOOSE(CONTROL!$C$42, 24.3662, 24.3662) * CHOOSE(CONTROL!$C$21, $C$9, 100%, $E$9)</f>
        <v>24.366199999999999</v>
      </c>
      <c r="Q522" s="14">
        <f>CHOOSE(CONTROL!$C$42, 25.1732, 25.1732) * CHOOSE(CONTROL!$C$21, $C$9, 100%, $E$9)</f>
        <v>25.173200000000001</v>
      </c>
      <c r="R522" s="14">
        <f>CHOOSE(CONTROL!$C$42, 25.8231, 25.8231) * CHOOSE(CONTROL!$C$21, $C$9, 100%, $E$9)</f>
        <v>25.8231</v>
      </c>
      <c r="S522" s="14">
        <f>CHOOSE(CONTROL!$C$42, 23.8743, 23.8743) * CHOOSE(CONTROL!$C$21, $C$9, 100%, $E$9)</f>
        <v>23.874300000000002</v>
      </c>
      <c r="T52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22" s="57">
        <f>(1000*CHOOSE(CONTROL!$C$42, 695, 695)*CHOOSE(CONTROL!$C$42, 0.5599, 0.5599)*CHOOSE(CONTROL!$C$42, 30, 30))/1000000</f>
        <v>11.673914999999997</v>
      </c>
      <c r="V522" s="57">
        <f>(1000*CHOOSE(CONTROL!$C$42, 500, 500)*CHOOSE(CONTROL!$C$42, 0.275, 0.275)*CHOOSE(CONTROL!$C$42, 30, 30))/1000000</f>
        <v>4.125</v>
      </c>
      <c r="W522" s="57">
        <f>(1000*CHOOSE(CONTROL!$C$42, 0.1146, 0.1146)*CHOOSE(CONTROL!$C$42, 121.5, 121.5)*CHOOSE(CONTROL!$C$42, 30, 30))/1000000</f>
        <v>0.417717</v>
      </c>
      <c r="X522" s="57">
        <f>(30*0.1790888*245000/1000000)+(30*0.2374*100000/1000000)</f>
        <v>2.0285026799999999</v>
      </c>
      <c r="Y522" s="57"/>
      <c r="Z522" s="14"/>
      <c r="AA522" s="56"/>
      <c r="AB522" s="50">
        <f>(B522*194.205+C522*267.466+D522*133.845+E522*53.484+F522*40+G522*185+H522*0+I522*100+J522*300)/(194.205+267.466+133.845+53.484+0+40+185+100+300)</f>
        <v>24.617303958634224</v>
      </c>
      <c r="AC522" s="45">
        <f>(M522*'RAP TEMPLATE-GAS AVAILABILITY'!O521+N522*'RAP TEMPLATE-GAS AVAILABILITY'!P521+O522*'RAP TEMPLATE-GAS AVAILABILITY'!Q521+P522*'RAP TEMPLATE-GAS AVAILABILITY'!R521)/('RAP TEMPLATE-GAS AVAILABILITY'!O521+'RAP TEMPLATE-GAS AVAILABILITY'!P521+'RAP TEMPLATE-GAS AVAILABILITY'!Q521+'RAP TEMPLATE-GAS AVAILABILITY'!R521)</f>
        <v>24.409563309352517</v>
      </c>
    </row>
    <row r="523" spans="1:29" ht="15.75" x14ac:dyDescent="0.25">
      <c r="A523" s="32">
        <v>56826</v>
      </c>
      <c r="B523" s="14">
        <f>CHOOSE(CONTROL!$C$42, 24.1176, 24.1176) * CHOOSE(CONTROL!$C$21, $C$9, 100%, $E$9)</f>
        <v>24.117599999999999</v>
      </c>
      <c r="C523" s="14">
        <f>CHOOSE(CONTROL!$C$42, 24.1255, 24.1255) * CHOOSE(CONTROL!$C$21, $C$9, 100%, $E$9)</f>
        <v>24.125499999999999</v>
      </c>
      <c r="D523" s="14">
        <f>CHOOSE(CONTROL!$C$42, 24.3231, 24.3231) * CHOOSE(CONTROL!$C$21, $C$9, 100%, $E$9)</f>
        <v>24.3231</v>
      </c>
      <c r="E523" s="14">
        <f>CHOOSE(CONTROL!$C$42, 24.3542, 24.3542) * CHOOSE(CONTROL!$C$21, $C$9, 100%, $E$9)</f>
        <v>24.354199999999999</v>
      </c>
      <c r="F523" s="14">
        <f>CHOOSE(CONTROL!$C$42, 24.1018, 24.1018)*CHOOSE(CONTROL!$C$21, $C$9, 100%, $E$9)</f>
        <v>24.101800000000001</v>
      </c>
      <c r="G523" s="14">
        <f>CHOOSE(CONTROL!$C$42, 24.1181, 24.1181)*CHOOSE(CONTROL!$C$21, $C$9, 100%, $E$9)</f>
        <v>24.118099999999998</v>
      </c>
      <c r="H523" s="14">
        <f>CHOOSE(CONTROL!$C$42, 24.3428, 24.3428) * CHOOSE(CONTROL!$C$21, $C$9, 100%, $E$9)</f>
        <v>24.3428</v>
      </c>
      <c r="I523" s="14">
        <f>CHOOSE(CONTROL!$C$42, 24.1289, 24.1289)* CHOOSE(CONTROL!$C$21, $C$9, 100%, $E$9)</f>
        <v>24.128900000000002</v>
      </c>
      <c r="J523" s="14">
        <f>CHOOSE(CONTROL!$C$42, 24.0948, 24.0948)* CHOOSE(CONTROL!$C$21, $C$9, 100%, $E$9)</f>
        <v>24.094799999999999</v>
      </c>
      <c r="K523" s="53">
        <f>CHOOSE(CONTROL!$C$42, 24.125, 24.125) * CHOOSE(CONTROL!$C$21, $C$9, 100%, $E$9)</f>
        <v>24.125</v>
      </c>
      <c r="L523" s="14">
        <f>CHOOSE(CONTROL!$C$42, 24.9298, 24.9298) * CHOOSE(CONTROL!$C$21, $C$9, 100%, $E$9)</f>
        <v>24.9298</v>
      </c>
      <c r="M523" s="14">
        <f>CHOOSE(CONTROL!$C$42, 23.8655, 23.8655) * CHOOSE(CONTROL!$C$21, $C$9, 100%, $E$9)</f>
        <v>23.865500000000001</v>
      </c>
      <c r="N523" s="14">
        <f>CHOOSE(CONTROL!$C$42, 23.8816, 23.8816) * CHOOSE(CONTROL!$C$21, $C$9, 100%, $E$9)</f>
        <v>23.881599999999999</v>
      </c>
      <c r="O523" s="14">
        <f>CHOOSE(CONTROL!$C$42, 24.111, 24.111) * CHOOSE(CONTROL!$C$21, $C$9, 100%, $E$9)</f>
        <v>24.111000000000001</v>
      </c>
      <c r="P523" s="14">
        <f>CHOOSE(CONTROL!$C$42, 23.8993, 23.8993) * CHOOSE(CONTROL!$C$21, $C$9, 100%, $E$9)</f>
        <v>23.8993</v>
      </c>
      <c r="Q523" s="14">
        <f>CHOOSE(CONTROL!$C$42, 24.7063, 24.7063) * CHOOSE(CONTROL!$C$21, $C$9, 100%, $E$9)</f>
        <v>24.706299999999999</v>
      </c>
      <c r="R523" s="14">
        <f>CHOOSE(CONTROL!$C$42, 25.3551, 25.3551) * CHOOSE(CONTROL!$C$21, $C$9, 100%, $E$9)</f>
        <v>25.3551</v>
      </c>
      <c r="S523" s="14">
        <f>CHOOSE(CONTROL!$C$42, 23.4163, 23.4163) * CHOOSE(CONTROL!$C$21, $C$9, 100%, $E$9)</f>
        <v>23.4163</v>
      </c>
      <c r="T52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23" s="57">
        <f>(1000*CHOOSE(CONTROL!$C$42, 695, 695)*CHOOSE(CONTROL!$C$42, 0.5599, 0.5599)*CHOOSE(CONTROL!$C$42, 31, 31))/1000000</f>
        <v>12.063045499999998</v>
      </c>
      <c r="V523" s="57">
        <f>(1000*CHOOSE(CONTROL!$C$42, 500, 500)*CHOOSE(CONTROL!$C$42, 0.275, 0.275)*CHOOSE(CONTROL!$C$42, 31, 31))/1000000</f>
        <v>4.2625000000000002</v>
      </c>
      <c r="W523" s="57">
        <f>(1000*CHOOSE(CONTROL!$C$42, 0.1146, 0.1146)*CHOOSE(CONTROL!$C$42, 121.5, 121.5)*CHOOSE(CONTROL!$C$42, 31, 31))/1000000</f>
        <v>0.43164089999999994</v>
      </c>
      <c r="X523" s="57">
        <f>(31*0.1790888*245000/1000000)+(31*0.2374*100000/1000000)</f>
        <v>2.0961194359999999</v>
      </c>
      <c r="Y523" s="57"/>
      <c r="Z523" s="14"/>
      <c r="AA523" s="56"/>
      <c r="AB523" s="50">
        <f>(B523*194.205+C523*267.466+D523*133.845+E523*53.484+F523*40+G523*185+H523*0+I523*100+J523*300)/(194.205+267.466+133.845+53.484+0+40+185+100+300)</f>
        <v>24.145875465698587</v>
      </c>
      <c r="AC523" s="45">
        <f>(M523*'RAP TEMPLATE-GAS AVAILABILITY'!O522+N523*'RAP TEMPLATE-GAS AVAILABILITY'!P522+O523*'RAP TEMPLATE-GAS AVAILABILITY'!Q522+P523*'RAP TEMPLATE-GAS AVAILABILITY'!R522)/('RAP TEMPLATE-GAS AVAILABILITY'!O522+'RAP TEMPLATE-GAS AVAILABILITY'!P522+'RAP TEMPLATE-GAS AVAILABILITY'!Q522+'RAP TEMPLATE-GAS AVAILABILITY'!R522)</f>
        <v>23.942951079136687</v>
      </c>
    </row>
    <row r="524" spans="1:29" ht="15.75" x14ac:dyDescent="0.25">
      <c r="A524" s="32">
        <v>56857</v>
      </c>
      <c r="B524" s="14">
        <f>CHOOSE(CONTROL!$C$42, 22.9265, 22.9265) * CHOOSE(CONTROL!$C$21, $C$9, 100%, $E$9)</f>
        <v>22.926500000000001</v>
      </c>
      <c r="C524" s="14">
        <f>CHOOSE(CONTROL!$C$42, 22.9345, 22.9345) * CHOOSE(CONTROL!$C$21, $C$9, 100%, $E$9)</f>
        <v>22.9345</v>
      </c>
      <c r="D524" s="14">
        <f>CHOOSE(CONTROL!$C$42, 23.132, 23.132) * CHOOSE(CONTROL!$C$21, $C$9, 100%, $E$9)</f>
        <v>23.132000000000001</v>
      </c>
      <c r="E524" s="14">
        <f>CHOOSE(CONTROL!$C$42, 23.1632, 23.1632) * CHOOSE(CONTROL!$C$21, $C$9, 100%, $E$9)</f>
        <v>23.1632</v>
      </c>
      <c r="F524" s="14">
        <f>CHOOSE(CONTROL!$C$42, 22.911, 22.911)*CHOOSE(CONTROL!$C$21, $C$9, 100%, $E$9)</f>
        <v>22.911000000000001</v>
      </c>
      <c r="G524" s="14">
        <f>CHOOSE(CONTROL!$C$42, 22.9273, 22.9273)*CHOOSE(CONTROL!$C$21, $C$9, 100%, $E$9)</f>
        <v>22.927299999999999</v>
      </c>
      <c r="H524" s="14">
        <f>CHOOSE(CONTROL!$C$42, 23.1518, 23.1518) * CHOOSE(CONTROL!$C$21, $C$9, 100%, $E$9)</f>
        <v>23.151800000000001</v>
      </c>
      <c r="I524" s="14">
        <f>CHOOSE(CONTROL!$C$42, 22.9379, 22.9379)* CHOOSE(CONTROL!$C$21, $C$9, 100%, $E$9)</f>
        <v>22.937899999999999</v>
      </c>
      <c r="J524" s="14">
        <f>CHOOSE(CONTROL!$C$42, 22.904, 22.904)* CHOOSE(CONTROL!$C$21, $C$9, 100%, $E$9)</f>
        <v>22.904</v>
      </c>
      <c r="K524" s="53">
        <f>CHOOSE(CONTROL!$C$42, 22.934, 22.934) * CHOOSE(CONTROL!$C$21, $C$9, 100%, $E$9)</f>
        <v>22.934000000000001</v>
      </c>
      <c r="L524" s="14">
        <f>CHOOSE(CONTROL!$C$42, 23.7388, 23.7388) * CHOOSE(CONTROL!$C$21, $C$9, 100%, $E$9)</f>
        <v>23.738800000000001</v>
      </c>
      <c r="M524" s="14">
        <f>CHOOSE(CONTROL!$C$42, 22.6867, 22.6867) * CHOOSE(CONTROL!$C$21, $C$9, 100%, $E$9)</f>
        <v>22.686699999999998</v>
      </c>
      <c r="N524" s="14">
        <f>CHOOSE(CONTROL!$C$42, 22.7029, 22.7029) * CHOOSE(CONTROL!$C$21, $C$9, 100%, $E$9)</f>
        <v>22.7029</v>
      </c>
      <c r="O524" s="14">
        <f>CHOOSE(CONTROL!$C$42, 22.932, 22.932) * CHOOSE(CONTROL!$C$21, $C$9, 100%, $E$9)</f>
        <v>22.931999999999999</v>
      </c>
      <c r="P524" s="14">
        <f>CHOOSE(CONTROL!$C$42, 22.7203, 22.7203) * CHOOSE(CONTROL!$C$21, $C$9, 100%, $E$9)</f>
        <v>22.720300000000002</v>
      </c>
      <c r="Q524" s="14">
        <f>CHOOSE(CONTROL!$C$42, 23.5273, 23.5273) * CHOOSE(CONTROL!$C$21, $C$9, 100%, $E$9)</f>
        <v>23.5273</v>
      </c>
      <c r="R524" s="14">
        <f>CHOOSE(CONTROL!$C$42, 24.1731, 24.1731) * CHOOSE(CONTROL!$C$21, $C$9, 100%, $E$9)</f>
        <v>24.173100000000002</v>
      </c>
      <c r="S524" s="14">
        <f>CHOOSE(CONTROL!$C$42, 22.2597, 22.2597) * CHOOSE(CONTROL!$C$21, $C$9, 100%, $E$9)</f>
        <v>22.259699999999999</v>
      </c>
      <c r="T52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24" s="57">
        <f>(1000*CHOOSE(CONTROL!$C$42, 695, 695)*CHOOSE(CONTROL!$C$42, 0.5599, 0.5599)*CHOOSE(CONTROL!$C$42, 31, 31))/1000000</f>
        <v>12.063045499999998</v>
      </c>
      <c r="V524" s="57">
        <f>(1000*CHOOSE(CONTROL!$C$42, 500, 500)*CHOOSE(CONTROL!$C$42, 0.275, 0.275)*CHOOSE(CONTROL!$C$42, 31, 31))/1000000</f>
        <v>4.2625000000000002</v>
      </c>
      <c r="W524" s="57">
        <f>(1000*CHOOSE(CONTROL!$C$42, 0.1146, 0.1146)*CHOOSE(CONTROL!$C$42, 121.5, 121.5)*CHOOSE(CONTROL!$C$42, 31, 31))/1000000</f>
        <v>0.43164089999999994</v>
      </c>
      <c r="X524" s="57">
        <f>(31*0.1790888*245000/1000000)+(31*0.2374*100000/1000000)</f>
        <v>2.0961194359999999</v>
      </c>
      <c r="Y524" s="57"/>
      <c r="Z524" s="14"/>
      <c r="AA524" s="56"/>
      <c r="AB524" s="50">
        <f>(B524*194.205+C524*267.466+D524*133.845+E524*53.484+F524*40+G524*185+H524*0+I524*100+J524*300)/(194.205+267.466+133.845+53.484+0+40+185+100+300)</f>
        <v>22.954932133673474</v>
      </c>
      <c r="AC524" s="45">
        <f>(M524*'RAP TEMPLATE-GAS AVAILABILITY'!O523+N524*'RAP TEMPLATE-GAS AVAILABILITY'!P523+O524*'RAP TEMPLATE-GAS AVAILABILITY'!Q523+P524*'RAP TEMPLATE-GAS AVAILABILITY'!R523)/('RAP TEMPLATE-GAS AVAILABILITY'!O523+'RAP TEMPLATE-GAS AVAILABILITY'!P523+'RAP TEMPLATE-GAS AVAILABILITY'!Q523+'RAP TEMPLATE-GAS AVAILABILITY'!R523)</f>
        <v>22.764089208633095</v>
      </c>
    </row>
    <row r="525" spans="1:29" ht="15.75" x14ac:dyDescent="0.25">
      <c r="A525" s="32">
        <v>56887</v>
      </c>
      <c r="B525" s="14">
        <f>CHOOSE(CONTROL!$C$42, 21.4709, 21.4709) * CHOOSE(CONTROL!$C$21, $C$9, 100%, $E$9)</f>
        <v>21.4709</v>
      </c>
      <c r="C525" s="14">
        <f>CHOOSE(CONTROL!$C$42, 21.4789, 21.4789) * CHOOSE(CONTROL!$C$21, $C$9, 100%, $E$9)</f>
        <v>21.478899999999999</v>
      </c>
      <c r="D525" s="14">
        <f>CHOOSE(CONTROL!$C$42, 21.6764, 21.6764) * CHOOSE(CONTROL!$C$21, $C$9, 100%, $E$9)</f>
        <v>21.676400000000001</v>
      </c>
      <c r="E525" s="14">
        <f>CHOOSE(CONTROL!$C$42, 21.7076, 21.7076) * CHOOSE(CONTROL!$C$21, $C$9, 100%, $E$9)</f>
        <v>21.707599999999999</v>
      </c>
      <c r="F525" s="14">
        <f>CHOOSE(CONTROL!$C$42, 21.4553, 21.4553)*CHOOSE(CONTROL!$C$21, $C$9, 100%, $E$9)</f>
        <v>21.455300000000001</v>
      </c>
      <c r="G525" s="14">
        <f>CHOOSE(CONTROL!$C$42, 21.4717, 21.4717)*CHOOSE(CONTROL!$C$21, $C$9, 100%, $E$9)</f>
        <v>21.471699999999998</v>
      </c>
      <c r="H525" s="14">
        <f>CHOOSE(CONTROL!$C$42, 21.6962, 21.6962) * CHOOSE(CONTROL!$C$21, $C$9, 100%, $E$9)</f>
        <v>21.696200000000001</v>
      </c>
      <c r="I525" s="14">
        <f>CHOOSE(CONTROL!$C$42, 21.4823, 21.4823)* CHOOSE(CONTROL!$C$21, $C$9, 100%, $E$9)</f>
        <v>21.482299999999999</v>
      </c>
      <c r="J525" s="14">
        <f>CHOOSE(CONTROL!$C$42, 21.4483, 21.4483)* CHOOSE(CONTROL!$C$21, $C$9, 100%, $E$9)</f>
        <v>21.4483</v>
      </c>
      <c r="K525" s="53">
        <f>CHOOSE(CONTROL!$C$42, 21.4784, 21.4784) * CHOOSE(CONTROL!$C$21, $C$9, 100%, $E$9)</f>
        <v>21.478400000000001</v>
      </c>
      <c r="L525" s="14">
        <f>CHOOSE(CONTROL!$C$42, 22.2832, 22.2832) * CHOOSE(CONTROL!$C$21, $C$9, 100%, $E$9)</f>
        <v>22.283200000000001</v>
      </c>
      <c r="M525" s="14">
        <f>CHOOSE(CONTROL!$C$42, 21.2457, 21.2457) * CHOOSE(CONTROL!$C$21, $C$9, 100%, $E$9)</f>
        <v>21.245699999999999</v>
      </c>
      <c r="N525" s="14">
        <f>CHOOSE(CONTROL!$C$42, 21.2619, 21.2619) * CHOOSE(CONTROL!$C$21, $C$9, 100%, $E$9)</f>
        <v>21.261900000000001</v>
      </c>
      <c r="O525" s="14">
        <f>CHOOSE(CONTROL!$C$42, 21.4911, 21.4911) * CHOOSE(CONTROL!$C$21, $C$9, 100%, $E$9)</f>
        <v>21.491099999999999</v>
      </c>
      <c r="P525" s="14">
        <f>CHOOSE(CONTROL!$C$42, 21.2794, 21.2794) * CHOOSE(CONTROL!$C$21, $C$9, 100%, $E$9)</f>
        <v>21.279399999999999</v>
      </c>
      <c r="Q525" s="14">
        <f>CHOOSE(CONTROL!$C$42, 22.0864, 22.0864) * CHOOSE(CONTROL!$C$21, $C$9, 100%, $E$9)</f>
        <v>22.086400000000001</v>
      </c>
      <c r="R525" s="14">
        <f>CHOOSE(CONTROL!$C$42, 22.7286, 22.7286) * CHOOSE(CONTROL!$C$21, $C$9, 100%, $E$9)</f>
        <v>22.7286</v>
      </c>
      <c r="S525" s="14">
        <f>CHOOSE(CONTROL!$C$42, 20.8462, 20.8462) * CHOOSE(CONTROL!$C$21, $C$9, 100%, $E$9)</f>
        <v>20.8462</v>
      </c>
      <c r="T52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25" s="57">
        <f>(1000*CHOOSE(CONTROL!$C$42, 695, 695)*CHOOSE(CONTROL!$C$42, 0.5599, 0.5599)*CHOOSE(CONTROL!$C$42, 30, 30))/1000000</f>
        <v>11.673914999999997</v>
      </c>
      <c r="V525" s="57">
        <f>(1000*CHOOSE(CONTROL!$C$42, 500, 500)*CHOOSE(CONTROL!$C$42, 0.275, 0.275)*CHOOSE(CONTROL!$C$42, 30, 30))/1000000</f>
        <v>4.125</v>
      </c>
      <c r="W525" s="57">
        <f>(1000*CHOOSE(CONTROL!$C$42, 0.1146, 0.1146)*CHOOSE(CONTROL!$C$42, 121.5, 121.5)*CHOOSE(CONTROL!$C$42, 30, 30))/1000000</f>
        <v>0.417717</v>
      </c>
      <c r="X525" s="57">
        <f>(30*0.1790888*245000/1000000)+(30*0.2374*100000/1000000)</f>
        <v>2.0285026799999999</v>
      </c>
      <c r="Y525" s="57"/>
      <c r="Z525" s="14"/>
      <c r="AA525" s="56"/>
      <c r="AB525" s="50">
        <f>(B525*194.205+C525*267.466+D525*133.845+E525*53.484+F525*40+G525*185+H525*0+I525*100+J525*300)/(194.205+267.466+133.845+53.484+0+40+185+100+300)</f>
        <v>21.499305446075354</v>
      </c>
      <c r="AC525" s="45">
        <f>(M525*'RAP TEMPLATE-GAS AVAILABILITY'!O524+N525*'RAP TEMPLATE-GAS AVAILABILITY'!P524+O525*'RAP TEMPLATE-GAS AVAILABILITY'!Q524+P525*'RAP TEMPLATE-GAS AVAILABILITY'!R524)/('RAP TEMPLATE-GAS AVAILABILITY'!O524+'RAP TEMPLATE-GAS AVAILABILITY'!P524+'RAP TEMPLATE-GAS AVAILABILITY'!Q524+'RAP TEMPLATE-GAS AVAILABILITY'!R524)</f>
        <v>21.32313165467626</v>
      </c>
    </row>
    <row r="526" spans="1:29" ht="15.75" x14ac:dyDescent="0.25">
      <c r="A526" s="32">
        <v>56918</v>
      </c>
      <c r="B526" s="14">
        <f>CHOOSE(CONTROL!$C$42, 21.0333, 21.0333) * CHOOSE(CONTROL!$C$21, $C$9, 100%, $E$9)</f>
        <v>21.033300000000001</v>
      </c>
      <c r="C526" s="14">
        <f>CHOOSE(CONTROL!$C$42, 21.0386, 21.0386) * CHOOSE(CONTROL!$C$21, $C$9, 100%, $E$9)</f>
        <v>21.038599999999999</v>
      </c>
      <c r="D526" s="14">
        <f>CHOOSE(CONTROL!$C$42, 21.2411, 21.2411) * CHOOSE(CONTROL!$C$21, $C$9, 100%, $E$9)</f>
        <v>21.241099999999999</v>
      </c>
      <c r="E526" s="14">
        <f>CHOOSE(CONTROL!$C$42, 21.2699, 21.2699) * CHOOSE(CONTROL!$C$21, $C$9, 100%, $E$9)</f>
        <v>21.2699</v>
      </c>
      <c r="F526" s="14">
        <f>CHOOSE(CONTROL!$C$42, 21.0197, 21.0197)*CHOOSE(CONTROL!$C$21, $C$9, 100%, $E$9)</f>
        <v>21.0197</v>
      </c>
      <c r="G526" s="14">
        <f>CHOOSE(CONTROL!$C$42, 21.0357, 21.0357)*CHOOSE(CONTROL!$C$21, $C$9, 100%, $E$9)</f>
        <v>21.035699999999999</v>
      </c>
      <c r="H526" s="14">
        <f>CHOOSE(CONTROL!$C$42, 21.2604, 21.2604) * CHOOSE(CONTROL!$C$21, $C$9, 100%, $E$9)</f>
        <v>21.260400000000001</v>
      </c>
      <c r="I526" s="14">
        <f>CHOOSE(CONTROL!$C$42, 21.0465, 21.0465)* CHOOSE(CONTROL!$C$21, $C$9, 100%, $E$9)</f>
        <v>21.046500000000002</v>
      </c>
      <c r="J526" s="14">
        <f>CHOOSE(CONTROL!$C$42, 21.0127, 21.0127)* CHOOSE(CONTROL!$C$21, $C$9, 100%, $E$9)</f>
        <v>21.012699999999999</v>
      </c>
      <c r="K526" s="53">
        <f>CHOOSE(CONTROL!$C$42, 21.0426, 21.0426) * CHOOSE(CONTROL!$C$21, $C$9, 100%, $E$9)</f>
        <v>21.0426</v>
      </c>
      <c r="L526" s="14">
        <f>CHOOSE(CONTROL!$C$42, 21.8474, 21.8474) * CHOOSE(CONTROL!$C$21, $C$9, 100%, $E$9)</f>
        <v>21.8474</v>
      </c>
      <c r="M526" s="14">
        <f>CHOOSE(CONTROL!$C$42, 20.8145, 20.8145) * CHOOSE(CONTROL!$C$21, $C$9, 100%, $E$9)</f>
        <v>20.814499999999999</v>
      </c>
      <c r="N526" s="14">
        <f>CHOOSE(CONTROL!$C$42, 20.8303, 20.8303) * CHOOSE(CONTROL!$C$21, $C$9, 100%, $E$9)</f>
        <v>20.830300000000001</v>
      </c>
      <c r="O526" s="14">
        <f>CHOOSE(CONTROL!$C$42, 21.0596, 21.0596) * CHOOSE(CONTROL!$C$21, $C$9, 100%, $E$9)</f>
        <v>21.0596</v>
      </c>
      <c r="P526" s="14">
        <f>CHOOSE(CONTROL!$C$42, 20.8479, 20.8479) * CHOOSE(CONTROL!$C$21, $C$9, 100%, $E$9)</f>
        <v>20.847899999999999</v>
      </c>
      <c r="Q526" s="14">
        <f>CHOOSE(CONTROL!$C$42, 21.6549, 21.6549) * CHOOSE(CONTROL!$C$21, $C$9, 100%, $E$9)</f>
        <v>21.654900000000001</v>
      </c>
      <c r="R526" s="14">
        <f>CHOOSE(CONTROL!$C$42, 22.2961, 22.2961) * CHOOSE(CONTROL!$C$21, $C$9, 100%, $E$9)</f>
        <v>22.296099999999999</v>
      </c>
      <c r="S526" s="14">
        <f>CHOOSE(CONTROL!$C$42, 20.4229, 20.4229) * CHOOSE(CONTROL!$C$21, $C$9, 100%, $E$9)</f>
        <v>20.422899999999998</v>
      </c>
      <c r="T52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26" s="57">
        <f>(1000*CHOOSE(CONTROL!$C$42, 695, 695)*CHOOSE(CONTROL!$C$42, 0.5599, 0.5599)*CHOOSE(CONTROL!$C$42, 31, 31))/1000000</f>
        <v>12.063045499999998</v>
      </c>
      <c r="V526" s="57">
        <f>(1000*CHOOSE(CONTROL!$C$42, 500, 500)*CHOOSE(CONTROL!$C$42, 0.275, 0.275)*CHOOSE(CONTROL!$C$42, 31, 31))/1000000</f>
        <v>4.2625000000000002</v>
      </c>
      <c r="W526" s="57">
        <f>(1000*CHOOSE(CONTROL!$C$42, 0.1146, 0.1146)*CHOOSE(CONTROL!$C$42, 121.5, 121.5)*CHOOSE(CONTROL!$C$42, 31, 31))/1000000</f>
        <v>0.43164089999999994</v>
      </c>
      <c r="X526" s="57">
        <f>(31*0.1790888*245000/1000000)+(31*0.2374*100000/1000000)</f>
        <v>2.0961194359999999</v>
      </c>
      <c r="Y526" s="57"/>
      <c r="Z526" s="14"/>
      <c r="AA526" s="56"/>
      <c r="AB526" s="50">
        <f>(B526*131.881+C526*277.167+D526*79.08+E526*125.872+F526*40+G526*185+H526*0+I526*100+J526*300)/(131.881+277.167+79.08+125.872+0+40+185+100+300)</f>
        <v>21.067781940516543</v>
      </c>
      <c r="AC526" s="45">
        <f>(M526*'RAP TEMPLATE-GAS AVAILABILITY'!O525+N526*'RAP TEMPLATE-GAS AVAILABILITY'!P525+O526*'RAP TEMPLATE-GAS AVAILABILITY'!Q525+P526*'RAP TEMPLATE-GAS AVAILABILITY'!R525)/('RAP TEMPLATE-GAS AVAILABILITY'!O525+'RAP TEMPLATE-GAS AVAILABILITY'!P525+'RAP TEMPLATE-GAS AVAILABILITY'!Q525+'RAP TEMPLATE-GAS AVAILABILITY'!R525)</f>
        <v>20.89171223021583</v>
      </c>
    </row>
    <row r="527" spans="1:29" ht="15.75" x14ac:dyDescent="0.25">
      <c r="A527" s="32">
        <v>56948</v>
      </c>
      <c r="B527" s="14">
        <f>CHOOSE(CONTROL!$C$42, 21.587, 21.587) * CHOOSE(CONTROL!$C$21, $C$9, 100%, $E$9)</f>
        <v>21.587</v>
      </c>
      <c r="C527" s="14">
        <f>CHOOSE(CONTROL!$C$42, 21.5919, 21.5919) * CHOOSE(CONTROL!$C$21, $C$9, 100%, $E$9)</f>
        <v>21.591899999999999</v>
      </c>
      <c r="D527" s="14">
        <f>CHOOSE(CONTROL!$C$42, 21.655, 21.655) * CHOOSE(CONTROL!$C$21, $C$9, 100%, $E$9)</f>
        <v>21.655000000000001</v>
      </c>
      <c r="E527" s="14">
        <f>CHOOSE(CONTROL!$C$42, 21.6888, 21.6888) * CHOOSE(CONTROL!$C$21, $C$9, 100%, $E$9)</f>
        <v>21.688800000000001</v>
      </c>
      <c r="F527" s="14">
        <f>CHOOSE(CONTROL!$C$42, 21.5877, 21.5877)*CHOOSE(CONTROL!$C$21, $C$9, 100%, $E$9)</f>
        <v>21.587700000000002</v>
      </c>
      <c r="G527" s="14">
        <f>CHOOSE(CONTROL!$C$42, 21.6039, 21.6039)*CHOOSE(CONTROL!$C$21, $C$9, 100%, $E$9)</f>
        <v>21.603899999999999</v>
      </c>
      <c r="H527" s="14">
        <f>CHOOSE(CONTROL!$C$42, 21.678, 21.678) * CHOOSE(CONTROL!$C$21, $C$9, 100%, $E$9)</f>
        <v>21.678000000000001</v>
      </c>
      <c r="I527" s="14">
        <f>CHOOSE(CONTROL!$C$42, 21.6005, 21.6005)* CHOOSE(CONTROL!$C$21, $C$9, 100%, $E$9)</f>
        <v>21.6005</v>
      </c>
      <c r="J527" s="14">
        <f>CHOOSE(CONTROL!$C$42, 21.5807, 21.5807)* CHOOSE(CONTROL!$C$21, $C$9, 100%, $E$9)</f>
        <v>21.5807</v>
      </c>
      <c r="K527" s="53">
        <f>CHOOSE(CONTROL!$C$42, 21.5966, 21.5966) * CHOOSE(CONTROL!$C$21, $C$9, 100%, $E$9)</f>
        <v>21.596599999999999</v>
      </c>
      <c r="L527" s="14">
        <f>CHOOSE(CONTROL!$C$42, 22.265, 22.265) * CHOOSE(CONTROL!$C$21, $C$9, 100%, $E$9)</f>
        <v>22.265000000000001</v>
      </c>
      <c r="M527" s="14">
        <f>CHOOSE(CONTROL!$C$42, 21.3767, 21.3767) * CHOOSE(CONTROL!$C$21, $C$9, 100%, $E$9)</f>
        <v>21.3767</v>
      </c>
      <c r="N527" s="14">
        <f>CHOOSE(CONTROL!$C$42, 21.3928, 21.3928) * CHOOSE(CONTROL!$C$21, $C$9, 100%, $E$9)</f>
        <v>21.392800000000001</v>
      </c>
      <c r="O527" s="14">
        <f>CHOOSE(CONTROL!$C$42, 21.473, 21.473) * CHOOSE(CONTROL!$C$21, $C$9, 100%, $E$9)</f>
        <v>21.472999999999999</v>
      </c>
      <c r="P527" s="14">
        <f>CHOOSE(CONTROL!$C$42, 21.3964, 21.3964) * CHOOSE(CONTROL!$C$21, $C$9, 100%, $E$9)</f>
        <v>21.3964</v>
      </c>
      <c r="Q527" s="14">
        <f>CHOOSE(CONTROL!$C$42, 22.0683, 22.0683) * CHOOSE(CONTROL!$C$21, $C$9, 100%, $E$9)</f>
        <v>22.068300000000001</v>
      </c>
      <c r="R527" s="14">
        <f>CHOOSE(CONTROL!$C$42, 22.7105, 22.7105) * CHOOSE(CONTROL!$C$21, $C$9, 100%, $E$9)</f>
        <v>22.7105</v>
      </c>
      <c r="S527" s="14">
        <f>CHOOSE(CONTROL!$C$42, 20.961, 20.961) * CHOOSE(CONTROL!$C$21, $C$9, 100%, $E$9)</f>
        <v>20.960999999999999</v>
      </c>
      <c r="T52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27" s="57">
        <f>(1000*CHOOSE(CONTROL!$C$42, 695, 695)*CHOOSE(CONTROL!$C$42, 0.5599, 0.5599)*CHOOSE(CONTROL!$C$42, 30, 30))/1000000</f>
        <v>11.673914999999997</v>
      </c>
      <c r="V527" s="57">
        <f>(1000*CHOOSE(CONTROL!$C$42, 500, 500)*CHOOSE(CONTROL!$C$42, 0.275, 0.275)*CHOOSE(CONTROL!$C$42, 30, 30))/1000000</f>
        <v>4.125</v>
      </c>
      <c r="W527" s="57">
        <f>(1000*CHOOSE(CONTROL!$C$42, 0.1146, 0.1146)*CHOOSE(CONTROL!$C$42, 121.5, 121.5)*CHOOSE(CONTROL!$C$42, 30, 30))/1000000</f>
        <v>0.417717</v>
      </c>
      <c r="X527" s="57">
        <f>(30*0.1790888*100000/1000000)+(30*0.2374*100000/1000000)</f>
        <v>1.2494664</v>
      </c>
      <c r="Y527" s="57"/>
      <c r="Z527" s="14"/>
      <c r="AA527" s="56"/>
      <c r="AB527" s="50">
        <f>(B527*122.58+C527*297.941+D527*89.177+E527*40.302+F527*40+G527*160+H527*0+I527*100+J527*300)/(122.58+297.941+89.177+40.302+0+40+160+100+300)</f>
        <v>21.599016252608696</v>
      </c>
      <c r="AC527" s="45">
        <f>(M527*'RAP TEMPLATE-GAS AVAILABILITY'!O526+N527*'RAP TEMPLATE-GAS AVAILABILITY'!P526+O527*'RAP TEMPLATE-GAS AVAILABILITY'!Q526+P527*'RAP TEMPLATE-GAS AVAILABILITY'!R526)/('RAP TEMPLATE-GAS AVAILABILITY'!O526+'RAP TEMPLATE-GAS AVAILABILITY'!P526+'RAP TEMPLATE-GAS AVAILABILITY'!Q526+'RAP TEMPLATE-GAS AVAILABILITY'!R526)</f>
        <v>21.424107913669062</v>
      </c>
    </row>
    <row r="528" spans="1:29" ht="15.75" x14ac:dyDescent="0.25">
      <c r="A528" s="32">
        <v>56979</v>
      </c>
      <c r="B528" s="14">
        <f>CHOOSE(CONTROL!$C$42, 23.0585, 23.0585) * CHOOSE(CONTROL!$C$21, $C$9, 100%, $E$9)</f>
        <v>23.058499999999999</v>
      </c>
      <c r="C528" s="14">
        <f>CHOOSE(CONTROL!$C$42, 23.0635, 23.0635) * CHOOSE(CONTROL!$C$21, $C$9, 100%, $E$9)</f>
        <v>23.063500000000001</v>
      </c>
      <c r="D528" s="14">
        <f>CHOOSE(CONTROL!$C$42, 23.1266, 23.1266) * CHOOSE(CONTROL!$C$21, $C$9, 100%, $E$9)</f>
        <v>23.1266</v>
      </c>
      <c r="E528" s="14">
        <f>CHOOSE(CONTROL!$C$42, 23.1603, 23.1603) * CHOOSE(CONTROL!$C$21, $C$9, 100%, $E$9)</f>
        <v>23.160299999999999</v>
      </c>
      <c r="F528" s="14">
        <f>CHOOSE(CONTROL!$C$42, 23.0613, 23.0613)*CHOOSE(CONTROL!$C$21, $C$9, 100%, $E$9)</f>
        <v>23.061299999999999</v>
      </c>
      <c r="G528" s="14">
        <f>CHOOSE(CONTROL!$C$42, 23.0781, 23.0781)*CHOOSE(CONTROL!$C$21, $C$9, 100%, $E$9)</f>
        <v>23.078099999999999</v>
      </c>
      <c r="H528" s="14">
        <f>CHOOSE(CONTROL!$C$42, 23.1495, 23.1495) * CHOOSE(CONTROL!$C$21, $C$9, 100%, $E$9)</f>
        <v>23.1495</v>
      </c>
      <c r="I528" s="14">
        <f>CHOOSE(CONTROL!$C$42, 23.0721, 23.0721)* CHOOSE(CONTROL!$C$21, $C$9, 100%, $E$9)</f>
        <v>23.072099999999999</v>
      </c>
      <c r="J528" s="14">
        <f>CHOOSE(CONTROL!$C$42, 23.0543, 23.0543)* CHOOSE(CONTROL!$C$21, $C$9, 100%, $E$9)</f>
        <v>23.054300000000001</v>
      </c>
      <c r="K528" s="53">
        <f>CHOOSE(CONTROL!$C$42, 23.0682, 23.0682) * CHOOSE(CONTROL!$C$21, $C$9, 100%, $E$9)</f>
        <v>23.068200000000001</v>
      </c>
      <c r="L528" s="14">
        <f>CHOOSE(CONTROL!$C$42, 23.7365, 23.7365) * CHOOSE(CONTROL!$C$21, $C$9, 100%, $E$9)</f>
        <v>23.736499999999999</v>
      </c>
      <c r="M528" s="14">
        <f>CHOOSE(CONTROL!$C$42, 22.8355, 22.8355) * CHOOSE(CONTROL!$C$21, $C$9, 100%, $E$9)</f>
        <v>22.8355</v>
      </c>
      <c r="N528" s="14">
        <f>CHOOSE(CONTROL!$C$42, 22.8521, 22.8521) * CHOOSE(CONTROL!$C$21, $C$9, 100%, $E$9)</f>
        <v>22.8521</v>
      </c>
      <c r="O528" s="14">
        <f>CHOOSE(CONTROL!$C$42, 22.9298, 22.9298) * CHOOSE(CONTROL!$C$21, $C$9, 100%, $E$9)</f>
        <v>22.9298</v>
      </c>
      <c r="P528" s="14">
        <f>CHOOSE(CONTROL!$C$42, 22.8531, 22.8531) * CHOOSE(CONTROL!$C$21, $C$9, 100%, $E$9)</f>
        <v>22.853100000000001</v>
      </c>
      <c r="Q528" s="14">
        <f>CHOOSE(CONTROL!$C$42, 23.5251, 23.5251) * CHOOSE(CONTROL!$C$21, $C$9, 100%, $E$9)</f>
        <v>23.525099999999998</v>
      </c>
      <c r="R528" s="14">
        <f>CHOOSE(CONTROL!$C$42, 24.1709, 24.1709) * CHOOSE(CONTROL!$C$21, $C$9, 100%, $E$9)</f>
        <v>24.1709</v>
      </c>
      <c r="S528" s="14">
        <f>CHOOSE(CONTROL!$C$42, 22.39, 22.39) * CHOOSE(CONTROL!$C$21, $C$9, 100%, $E$9)</f>
        <v>22.39</v>
      </c>
      <c r="T52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28" s="57">
        <f>(1000*CHOOSE(CONTROL!$C$42, 695, 695)*CHOOSE(CONTROL!$C$42, 0.5599, 0.5599)*CHOOSE(CONTROL!$C$42, 31, 31))/1000000</f>
        <v>12.063045499999998</v>
      </c>
      <c r="V528" s="57">
        <f>(1000*CHOOSE(CONTROL!$C$42, 500, 500)*CHOOSE(CONTROL!$C$42, 0.275, 0.275)*CHOOSE(CONTROL!$C$42, 31, 31))/1000000</f>
        <v>4.2625000000000002</v>
      </c>
      <c r="W528" s="57">
        <f>(1000*CHOOSE(CONTROL!$C$42, 0.1146, 0.1146)*CHOOSE(CONTROL!$C$42, 121.5, 121.5)*CHOOSE(CONTROL!$C$42, 31, 31))/1000000</f>
        <v>0.43164089999999994</v>
      </c>
      <c r="X528" s="57">
        <f>(31*0.1790888*100000/1000000)+(31*0.2374*100000/1000000)</f>
        <v>1.2911152800000001</v>
      </c>
      <c r="Y528" s="57"/>
      <c r="Z528" s="14"/>
      <c r="AA528" s="56"/>
      <c r="AB528" s="50">
        <f>(B528*122.58+C528*297.941+D528*89.177+E528*40.302+F528*40+G528*160+H528*0+I528*100+J528*300)/(122.58+297.941+89.177+40.302+0+40+160+100+300)</f>
        <v>23.071555132434781</v>
      </c>
      <c r="AC528" s="45">
        <f>(M528*'RAP TEMPLATE-GAS AVAILABILITY'!O527+N528*'RAP TEMPLATE-GAS AVAILABILITY'!P527+O528*'RAP TEMPLATE-GAS AVAILABILITY'!Q527+P528*'RAP TEMPLATE-GAS AVAILABILITY'!R527)/('RAP TEMPLATE-GAS AVAILABILITY'!O527+'RAP TEMPLATE-GAS AVAILABILITY'!P527+'RAP TEMPLATE-GAS AVAILABILITY'!Q527+'RAP TEMPLATE-GAS AVAILABILITY'!R527)</f>
        <v>22.881728057553953</v>
      </c>
    </row>
    <row r="529" spans="1:29" ht="15.75" x14ac:dyDescent="0.25">
      <c r="A529" s="32">
        <v>57010</v>
      </c>
      <c r="B529" s="14">
        <f>CHOOSE(CONTROL!$C$42, 24.9476, 24.9476) * CHOOSE(CONTROL!$C$21, $C$9, 100%, $E$9)</f>
        <v>24.947600000000001</v>
      </c>
      <c r="C529" s="14">
        <f>CHOOSE(CONTROL!$C$42, 24.9526, 24.9526) * CHOOSE(CONTROL!$C$21, $C$9, 100%, $E$9)</f>
        <v>24.9526</v>
      </c>
      <c r="D529" s="14">
        <f>CHOOSE(CONTROL!$C$42, 25.0169, 25.0169) * CHOOSE(CONTROL!$C$21, $C$9, 100%, $E$9)</f>
        <v>25.0169</v>
      </c>
      <c r="E529" s="14">
        <f>CHOOSE(CONTROL!$C$42, 25.0507, 25.0507) * CHOOSE(CONTROL!$C$21, $C$9, 100%, $E$9)</f>
        <v>25.050699999999999</v>
      </c>
      <c r="F529" s="14">
        <f>CHOOSE(CONTROL!$C$42, 24.9492, 24.9492)*CHOOSE(CONTROL!$C$21, $C$9, 100%, $E$9)</f>
        <v>24.949200000000001</v>
      </c>
      <c r="G529" s="14">
        <f>CHOOSE(CONTROL!$C$42, 24.9651, 24.9651)*CHOOSE(CONTROL!$C$21, $C$9, 100%, $E$9)</f>
        <v>24.9651</v>
      </c>
      <c r="H529" s="14">
        <f>CHOOSE(CONTROL!$C$42, 25.0398, 25.0398) * CHOOSE(CONTROL!$C$21, $C$9, 100%, $E$9)</f>
        <v>25.0398</v>
      </c>
      <c r="I529" s="14">
        <f>CHOOSE(CONTROL!$C$42, 24.9676, 24.9676)* CHOOSE(CONTROL!$C$21, $C$9, 100%, $E$9)</f>
        <v>24.967600000000001</v>
      </c>
      <c r="J529" s="14">
        <f>CHOOSE(CONTROL!$C$42, 24.9422, 24.9422)* CHOOSE(CONTROL!$C$21, $C$9, 100%, $E$9)</f>
        <v>24.9422</v>
      </c>
      <c r="K529" s="53">
        <f>CHOOSE(CONTROL!$C$42, 24.9637, 24.9637) * CHOOSE(CONTROL!$C$21, $C$9, 100%, $E$9)</f>
        <v>24.963699999999999</v>
      </c>
      <c r="L529" s="14">
        <f>CHOOSE(CONTROL!$C$42, 25.6268, 25.6268) * CHOOSE(CONTROL!$C$21, $C$9, 100%, $E$9)</f>
        <v>25.626799999999999</v>
      </c>
      <c r="M529" s="14">
        <f>CHOOSE(CONTROL!$C$42, 24.7043, 24.7043) * CHOOSE(CONTROL!$C$21, $C$9, 100%, $E$9)</f>
        <v>24.7043</v>
      </c>
      <c r="N529" s="14">
        <f>CHOOSE(CONTROL!$C$42, 24.72, 24.72) * CHOOSE(CONTROL!$C$21, $C$9, 100%, $E$9)</f>
        <v>24.72</v>
      </c>
      <c r="O529" s="14">
        <f>CHOOSE(CONTROL!$C$42, 24.801, 24.801) * CHOOSE(CONTROL!$C$21, $C$9, 100%, $E$9)</f>
        <v>24.800999999999998</v>
      </c>
      <c r="P529" s="14">
        <f>CHOOSE(CONTROL!$C$42, 24.7295, 24.7295) * CHOOSE(CONTROL!$C$21, $C$9, 100%, $E$9)</f>
        <v>24.729500000000002</v>
      </c>
      <c r="Q529" s="14">
        <f>CHOOSE(CONTROL!$C$42, 25.3963, 25.3963) * CHOOSE(CONTROL!$C$21, $C$9, 100%, $E$9)</f>
        <v>25.3963</v>
      </c>
      <c r="R529" s="14">
        <f>CHOOSE(CONTROL!$C$42, 26.0468, 26.0468) * CHOOSE(CONTROL!$C$21, $C$9, 100%, $E$9)</f>
        <v>26.046800000000001</v>
      </c>
      <c r="S529" s="14">
        <f>CHOOSE(CONTROL!$C$42, 24.2245, 24.2245) * CHOOSE(CONTROL!$C$21, $C$9, 100%, $E$9)</f>
        <v>24.224499999999999</v>
      </c>
      <c r="T52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29" s="57">
        <f>(1000*CHOOSE(CONTROL!$C$42, 695, 695)*CHOOSE(CONTROL!$C$42, 0.5599, 0.5599)*CHOOSE(CONTROL!$C$42, 31, 31))/1000000</f>
        <v>12.063045499999998</v>
      </c>
      <c r="V529" s="57">
        <f>(1000*CHOOSE(CONTROL!$C$42, 500, 500)*CHOOSE(CONTROL!$C$42, 0.275, 0.275)*CHOOSE(CONTROL!$C$42, 31, 31))/1000000</f>
        <v>4.2625000000000002</v>
      </c>
      <c r="W529" s="57">
        <f>(1000*CHOOSE(CONTROL!$C$42, 0.1146, 0.1146)*CHOOSE(CONTROL!$C$42, 121.5, 121.5)*CHOOSE(CONTROL!$C$42, 31, 31))/1000000</f>
        <v>0.43164089999999994</v>
      </c>
      <c r="X529" s="57">
        <f>(31*0.1790888*100000/1000000)+(31*0.2374*100000/1000000)</f>
        <v>1.2911152800000001</v>
      </c>
      <c r="Y529" s="57"/>
      <c r="Z529" s="14"/>
      <c r="AA529" s="56"/>
      <c r="AB529" s="50">
        <f>(B529*122.58+C529*297.941+D529*89.177+E529*40.302+F529*40+G529*160+H529*0+I529*100+J529*300)/(122.58+297.941+89.177+40.302+0+40+160+100+300)</f>
        <v>24.960703310695653</v>
      </c>
      <c r="AC529" s="45">
        <f>(M529*'RAP TEMPLATE-GAS AVAILABILITY'!O528+N529*'RAP TEMPLATE-GAS AVAILABILITY'!P528+O529*'RAP TEMPLATE-GAS AVAILABILITY'!Q528+P529*'RAP TEMPLATE-GAS AVAILABILITY'!R528)/('RAP TEMPLATE-GAS AVAILABILITY'!O528+'RAP TEMPLATE-GAS AVAILABILITY'!P528+'RAP TEMPLATE-GAS AVAILABILITY'!Q528+'RAP TEMPLATE-GAS AVAILABILITY'!R528)</f>
        <v>24.752657553956837</v>
      </c>
    </row>
    <row r="530" spans="1:29" ht="15.75" x14ac:dyDescent="0.25">
      <c r="A530" s="32">
        <v>57038</v>
      </c>
      <c r="B530" s="14">
        <f>CHOOSE(CONTROL!$C$42, 25.3917, 25.3917) * CHOOSE(CONTROL!$C$21, $C$9, 100%, $E$9)</f>
        <v>25.3917</v>
      </c>
      <c r="C530" s="14">
        <f>CHOOSE(CONTROL!$C$42, 25.3966, 25.3966) * CHOOSE(CONTROL!$C$21, $C$9, 100%, $E$9)</f>
        <v>25.396599999999999</v>
      </c>
      <c r="D530" s="14">
        <f>CHOOSE(CONTROL!$C$42, 25.4609, 25.4609) * CHOOSE(CONTROL!$C$21, $C$9, 100%, $E$9)</f>
        <v>25.460899999999999</v>
      </c>
      <c r="E530" s="14">
        <f>CHOOSE(CONTROL!$C$42, 25.4947, 25.4947) * CHOOSE(CONTROL!$C$21, $C$9, 100%, $E$9)</f>
        <v>25.494700000000002</v>
      </c>
      <c r="F530" s="14">
        <f>CHOOSE(CONTROL!$C$42, 25.3933, 25.3933)*CHOOSE(CONTROL!$C$21, $C$9, 100%, $E$9)</f>
        <v>25.3933</v>
      </c>
      <c r="G530" s="14">
        <f>CHOOSE(CONTROL!$C$42, 25.4092, 25.4092)*CHOOSE(CONTROL!$C$21, $C$9, 100%, $E$9)</f>
        <v>25.409199999999998</v>
      </c>
      <c r="H530" s="14">
        <f>CHOOSE(CONTROL!$C$42, 25.4839, 25.4839) * CHOOSE(CONTROL!$C$21, $C$9, 100%, $E$9)</f>
        <v>25.483899999999998</v>
      </c>
      <c r="I530" s="14">
        <f>CHOOSE(CONTROL!$C$42, 25.4117, 25.4117)* CHOOSE(CONTROL!$C$21, $C$9, 100%, $E$9)</f>
        <v>25.4117</v>
      </c>
      <c r="J530" s="14">
        <f>CHOOSE(CONTROL!$C$42, 25.3863, 25.3863)* CHOOSE(CONTROL!$C$21, $C$9, 100%, $E$9)</f>
        <v>25.386299999999999</v>
      </c>
      <c r="K530" s="53">
        <f>CHOOSE(CONTROL!$C$42, 25.4078, 25.4078) * CHOOSE(CONTROL!$C$21, $C$9, 100%, $E$9)</f>
        <v>25.407800000000002</v>
      </c>
      <c r="L530" s="14">
        <f>CHOOSE(CONTROL!$C$42, 26.0709, 26.0709) * CHOOSE(CONTROL!$C$21, $C$9, 100%, $E$9)</f>
        <v>26.070900000000002</v>
      </c>
      <c r="M530" s="14">
        <f>CHOOSE(CONTROL!$C$42, 25.1439, 25.1439) * CHOOSE(CONTROL!$C$21, $C$9, 100%, $E$9)</f>
        <v>25.143899999999999</v>
      </c>
      <c r="N530" s="14">
        <f>CHOOSE(CONTROL!$C$42, 25.1597, 25.1597) * CHOOSE(CONTROL!$C$21, $C$9, 100%, $E$9)</f>
        <v>25.159700000000001</v>
      </c>
      <c r="O530" s="14">
        <f>CHOOSE(CONTROL!$C$42, 25.2405, 25.2405) * CHOOSE(CONTROL!$C$21, $C$9, 100%, $E$9)</f>
        <v>25.240500000000001</v>
      </c>
      <c r="P530" s="14">
        <f>CHOOSE(CONTROL!$C$42, 25.1691, 25.1691) * CHOOSE(CONTROL!$C$21, $C$9, 100%, $E$9)</f>
        <v>25.1691</v>
      </c>
      <c r="Q530" s="14">
        <f>CHOOSE(CONTROL!$C$42, 25.8358, 25.8358) * CHOOSE(CONTROL!$C$21, $C$9, 100%, $E$9)</f>
        <v>25.835799999999999</v>
      </c>
      <c r="R530" s="14">
        <f>CHOOSE(CONTROL!$C$42, 26.4874, 26.4874) * CHOOSE(CONTROL!$C$21, $C$9, 100%, $E$9)</f>
        <v>26.487400000000001</v>
      </c>
      <c r="S530" s="14">
        <f>CHOOSE(CONTROL!$C$42, 24.6557, 24.6557) * CHOOSE(CONTROL!$C$21, $C$9, 100%, $E$9)</f>
        <v>24.6557</v>
      </c>
      <c r="T53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30" s="57">
        <f>(1000*CHOOSE(CONTROL!$C$42, 695, 695)*CHOOSE(CONTROL!$C$42, 0.5599, 0.5599)*CHOOSE(CONTROL!$C$42, 29, 29))/1000000</f>
        <v>11.284784499999999</v>
      </c>
      <c r="V530" s="57">
        <f>(1000*CHOOSE(CONTROL!$C$42, 500, 500)*CHOOSE(CONTROL!$C$42, 0.275, 0.275)*CHOOSE(CONTROL!$C$42, 29, 29))/1000000</f>
        <v>3.9874999999999998</v>
      </c>
      <c r="W530" s="57">
        <f>(1000*CHOOSE(CONTROL!$C$42, 0.1146, 0.1146)*CHOOSE(CONTROL!$C$42, 121.5, 121.5)*CHOOSE(CONTROL!$C$42, 29, 29))/1000000</f>
        <v>0.40379309999999996</v>
      </c>
      <c r="X530" s="57">
        <f>(29*0.1790888*100000/1000000)+(29*0.2374*100000/1000000)</f>
        <v>1.2078175199999999</v>
      </c>
      <c r="Y530" s="57"/>
      <c r="Z530" s="14"/>
      <c r="AA530" s="56"/>
      <c r="AB530" s="50">
        <f>(B530*122.58+C530*297.941+D530*89.177+E530*40.302+F530*40+G530*160+H530*0+I530*100+J530*300)/(122.58+297.941+89.177+40.302+0+40+160+100+300)</f>
        <v>25.404766143739128</v>
      </c>
      <c r="AC530" s="45">
        <f>(M530*'RAP TEMPLATE-GAS AVAILABILITY'!O529+N530*'RAP TEMPLATE-GAS AVAILABILITY'!P529+O530*'RAP TEMPLATE-GAS AVAILABILITY'!Q529+P530*'RAP TEMPLATE-GAS AVAILABILITY'!R529)/('RAP TEMPLATE-GAS AVAILABILITY'!O529+'RAP TEMPLATE-GAS AVAILABILITY'!P529+'RAP TEMPLATE-GAS AVAILABILITY'!Q529+'RAP TEMPLATE-GAS AVAILABILITY'!R529)</f>
        <v>25.192217985611514</v>
      </c>
    </row>
    <row r="531" spans="1:29" ht="15.75" x14ac:dyDescent="0.25">
      <c r="A531" s="32">
        <v>57070</v>
      </c>
      <c r="B531" s="14">
        <f>CHOOSE(CONTROL!$C$42, 24.6709, 24.6709) * CHOOSE(CONTROL!$C$21, $C$9, 100%, $E$9)</f>
        <v>24.6709</v>
      </c>
      <c r="C531" s="14">
        <f>CHOOSE(CONTROL!$C$42, 24.6758, 24.6758) * CHOOSE(CONTROL!$C$21, $C$9, 100%, $E$9)</f>
        <v>24.675799999999999</v>
      </c>
      <c r="D531" s="14">
        <f>CHOOSE(CONTROL!$C$42, 24.7401, 24.7401) * CHOOSE(CONTROL!$C$21, $C$9, 100%, $E$9)</f>
        <v>24.740100000000002</v>
      </c>
      <c r="E531" s="14">
        <f>CHOOSE(CONTROL!$C$42, 24.7739, 24.7739) * CHOOSE(CONTROL!$C$21, $C$9, 100%, $E$9)</f>
        <v>24.773900000000001</v>
      </c>
      <c r="F531" s="14">
        <f>CHOOSE(CONTROL!$C$42, 24.6721, 24.6721)*CHOOSE(CONTROL!$C$21, $C$9, 100%, $E$9)</f>
        <v>24.6721</v>
      </c>
      <c r="G531" s="14">
        <f>CHOOSE(CONTROL!$C$42, 24.688, 24.688)*CHOOSE(CONTROL!$C$21, $C$9, 100%, $E$9)</f>
        <v>24.687999999999999</v>
      </c>
      <c r="H531" s="14">
        <f>CHOOSE(CONTROL!$C$42, 24.7631, 24.7631) * CHOOSE(CONTROL!$C$21, $C$9, 100%, $E$9)</f>
        <v>24.763100000000001</v>
      </c>
      <c r="I531" s="14">
        <f>CHOOSE(CONTROL!$C$42, 24.6909, 24.6909)* CHOOSE(CONTROL!$C$21, $C$9, 100%, $E$9)</f>
        <v>24.690899999999999</v>
      </c>
      <c r="J531" s="14">
        <f>CHOOSE(CONTROL!$C$42, 24.6651, 24.6651)* CHOOSE(CONTROL!$C$21, $C$9, 100%, $E$9)</f>
        <v>24.665099999999999</v>
      </c>
      <c r="K531" s="53">
        <f>CHOOSE(CONTROL!$C$42, 24.687, 24.687) * CHOOSE(CONTROL!$C$21, $C$9, 100%, $E$9)</f>
        <v>24.687000000000001</v>
      </c>
      <c r="L531" s="14">
        <f>CHOOSE(CONTROL!$C$42, 25.3501, 25.3501) * CHOOSE(CONTROL!$C$21, $C$9, 100%, $E$9)</f>
        <v>25.350100000000001</v>
      </c>
      <c r="M531" s="14">
        <f>CHOOSE(CONTROL!$C$42, 24.4301, 24.4301) * CHOOSE(CONTROL!$C$21, $C$9, 100%, $E$9)</f>
        <v>24.430099999999999</v>
      </c>
      <c r="N531" s="14">
        <f>CHOOSE(CONTROL!$C$42, 24.4457, 24.4457) * CHOOSE(CONTROL!$C$21, $C$9, 100%, $E$9)</f>
        <v>24.445699999999999</v>
      </c>
      <c r="O531" s="14">
        <f>CHOOSE(CONTROL!$C$42, 24.527, 24.527) * CHOOSE(CONTROL!$C$21, $C$9, 100%, $E$9)</f>
        <v>24.527000000000001</v>
      </c>
      <c r="P531" s="14">
        <f>CHOOSE(CONTROL!$C$42, 24.4556, 24.4556) * CHOOSE(CONTROL!$C$21, $C$9, 100%, $E$9)</f>
        <v>24.4556</v>
      </c>
      <c r="Q531" s="14">
        <f>CHOOSE(CONTROL!$C$42, 25.1223, 25.1223) * CHOOSE(CONTROL!$C$21, $C$9, 100%, $E$9)</f>
        <v>25.122299999999999</v>
      </c>
      <c r="R531" s="14">
        <f>CHOOSE(CONTROL!$C$42, 25.7721, 25.7721) * CHOOSE(CONTROL!$C$21, $C$9, 100%, $E$9)</f>
        <v>25.772099999999998</v>
      </c>
      <c r="S531" s="14">
        <f>CHOOSE(CONTROL!$C$42, 23.9558, 23.9558) * CHOOSE(CONTROL!$C$21, $C$9, 100%, $E$9)</f>
        <v>23.9558</v>
      </c>
      <c r="T53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31" s="57">
        <f>(1000*CHOOSE(CONTROL!$C$42, 695, 695)*CHOOSE(CONTROL!$C$42, 0.5599, 0.5599)*CHOOSE(CONTROL!$C$42, 31, 31))/1000000</f>
        <v>12.063045499999998</v>
      </c>
      <c r="V531" s="57">
        <f>(1000*CHOOSE(CONTROL!$C$42, 500, 500)*CHOOSE(CONTROL!$C$42, 0.275, 0.275)*CHOOSE(CONTROL!$C$42, 31, 31))/1000000</f>
        <v>4.2625000000000002</v>
      </c>
      <c r="W531" s="57">
        <f>(1000*CHOOSE(CONTROL!$C$42, 0.1146, 0.1146)*CHOOSE(CONTROL!$C$42, 121.5, 121.5)*CHOOSE(CONTROL!$C$42, 31, 31))/1000000</f>
        <v>0.43164089999999994</v>
      </c>
      <c r="X531" s="57">
        <f>(31*0.1790888*100000/1000000)+(31*0.2374*100000/1000000)</f>
        <v>1.2911152800000001</v>
      </c>
      <c r="Y531" s="57"/>
      <c r="Z531" s="14"/>
      <c r="AA531" s="56"/>
      <c r="AB531" s="50">
        <f>(B531*122.58+C531*297.941+D531*89.177+E531*40.302+F531*40+G531*160+H531*0+I531*100+J531*300)/(122.58+297.941+89.177+40.302+0+40+160+100+300)</f>
        <v>24.683792230695648</v>
      </c>
      <c r="AC531" s="45">
        <f>(M531*'RAP TEMPLATE-GAS AVAILABILITY'!O530+N531*'RAP TEMPLATE-GAS AVAILABILITY'!P530+O531*'RAP TEMPLATE-GAS AVAILABILITY'!Q530+P531*'RAP TEMPLATE-GAS AVAILABILITY'!R530)/('RAP TEMPLATE-GAS AVAILABILITY'!O530+'RAP TEMPLATE-GAS AVAILABILITY'!P530+'RAP TEMPLATE-GAS AVAILABILITY'!Q530+'RAP TEMPLATE-GAS AVAILABILITY'!R530)</f>
        <v>24.478585611510795</v>
      </c>
    </row>
    <row r="532" spans="1:29" ht="15.75" x14ac:dyDescent="0.25">
      <c r="A532" s="32">
        <v>57100</v>
      </c>
      <c r="B532" s="14">
        <f>CHOOSE(CONTROL!$C$42, 24.5982, 24.5982) * CHOOSE(CONTROL!$C$21, $C$9, 100%, $E$9)</f>
        <v>24.598199999999999</v>
      </c>
      <c r="C532" s="14">
        <f>CHOOSE(CONTROL!$C$42, 24.6026, 24.6026) * CHOOSE(CONTROL!$C$21, $C$9, 100%, $E$9)</f>
        <v>24.602599999999999</v>
      </c>
      <c r="D532" s="14">
        <f>CHOOSE(CONTROL!$C$42, 24.8033, 24.8033) * CHOOSE(CONTROL!$C$21, $C$9, 100%, $E$9)</f>
        <v>24.8033</v>
      </c>
      <c r="E532" s="14">
        <f>CHOOSE(CONTROL!$C$42, 24.8351, 24.8351) * CHOOSE(CONTROL!$C$21, $C$9, 100%, $E$9)</f>
        <v>24.835100000000001</v>
      </c>
      <c r="F532" s="14">
        <f>CHOOSE(CONTROL!$C$42, 24.5828, 24.5828)*CHOOSE(CONTROL!$C$21, $C$9, 100%, $E$9)</f>
        <v>24.582799999999999</v>
      </c>
      <c r="G532" s="14">
        <f>CHOOSE(CONTROL!$C$42, 24.5984, 24.5984)*CHOOSE(CONTROL!$C$21, $C$9, 100%, $E$9)</f>
        <v>24.598400000000002</v>
      </c>
      <c r="H532" s="14">
        <f>CHOOSE(CONTROL!$C$42, 24.8249, 24.8249) * CHOOSE(CONTROL!$C$21, $C$9, 100%, $E$9)</f>
        <v>24.8249</v>
      </c>
      <c r="I532" s="14">
        <f>CHOOSE(CONTROL!$C$42, 24.611, 24.611)* CHOOSE(CONTROL!$C$21, $C$9, 100%, $E$9)</f>
        <v>24.611000000000001</v>
      </c>
      <c r="J532" s="14">
        <f>CHOOSE(CONTROL!$C$42, 24.5758, 24.5758)* CHOOSE(CONTROL!$C$21, $C$9, 100%, $E$9)</f>
        <v>24.575800000000001</v>
      </c>
      <c r="K532" s="53">
        <f>CHOOSE(CONTROL!$C$42, 24.6071, 24.6071) * CHOOSE(CONTROL!$C$21, $C$9, 100%, $E$9)</f>
        <v>24.607099999999999</v>
      </c>
      <c r="L532" s="14">
        <f>CHOOSE(CONTROL!$C$42, 25.4119, 25.4119) * CHOOSE(CONTROL!$C$21, $C$9, 100%, $E$9)</f>
        <v>25.411899999999999</v>
      </c>
      <c r="M532" s="14">
        <f>CHOOSE(CONTROL!$C$42, 24.3416, 24.3416) * CHOOSE(CONTROL!$C$21, $C$9, 100%, $E$9)</f>
        <v>24.3416</v>
      </c>
      <c r="N532" s="14">
        <f>CHOOSE(CONTROL!$C$42, 24.3571, 24.3571) * CHOOSE(CONTROL!$C$21, $C$9, 100%, $E$9)</f>
        <v>24.357099999999999</v>
      </c>
      <c r="O532" s="14">
        <f>CHOOSE(CONTROL!$C$42, 24.5882, 24.5882) * CHOOSE(CONTROL!$C$21, $C$9, 100%, $E$9)</f>
        <v>24.588200000000001</v>
      </c>
      <c r="P532" s="14">
        <f>CHOOSE(CONTROL!$C$42, 24.3765, 24.3765) * CHOOSE(CONTROL!$C$21, $C$9, 100%, $E$9)</f>
        <v>24.3765</v>
      </c>
      <c r="Q532" s="14">
        <f>CHOOSE(CONTROL!$C$42, 25.1835, 25.1835) * CHOOSE(CONTROL!$C$21, $C$9, 100%, $E$9)</f>
        <v>25.183499999999999</v>
      </c>
      <c r="R532" s="14">
        <f>CHOOSE(CONTROL!$C$42, 25.8334, 25.8334) * CHOOSE(CONTROL!$C$21, $C$9, 100%, $E$9)</f>
        <v>25.833400000000001</v>
      </c>
      <c r="S532" s="14">
        <f>CHOOSE(CONTROL!$C$42, 23.8844, 23.8844) * CHOOSE(CONTROL!$C$21, $C$9, 100%, $E$9)</f>
        <v>23.884399999999999</v>
      </c>
      <c r="T53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32" s="57">
        <f>(1000*CHOOSE(CONTROL!$C$42, 695, 695)*CHOOSE(CONTROL!$C$42, 0.5599, 0.5599)*CHOOSE(CONTROL!$C$42, 30, 30))/1000000</f>
        <v>11.673914999999997</v>
      </c>
      <c r="V532" s="57">
        <f>(1000*CHOOSE(CONTROL!$C$42, 500, 500)*CHOOSE(CONTROL!$C$42, 0.275, 0.275)*CHOOSE(CONTROL!$C$42, 30, 30))/1000000</f>
        <v>4.125</v>
      </c>
      <c r="W532" s="57">
        <f>(1000*CHOOSE(CONTROL!$C$42, 0.1146, 0.1146)*CHOOSE(CONTROL!$C$42, 121.5, 121.5)*CHOOSE(CONTROL!$C$42, 30, 30))/1000000</f>
        <v>0.417717</v>
      </c>
      <c r="X532" s="57">
        <f>(30*0.1790888*245000/1000000)+(30*0.2374*100000/1000000)</f>
        <v>2.0285026799999999</v>
      </c>
      <c r="Y532" s="57"/>
      <c r="Z532" s="14"/>
      <c r="AA532" s="56"/>
      <c r="AB532" s="50">
        <f>(B532*141.293+C532*267.993+D532*115.016+E532*89.698+F532*40+G532*185+H532*0+I532*100+J532*300)/(141.293+267.993+115.016+89.698+0+40+185+100+300)</f>
        <v>24.630483621468926</v>
      </c>
      <c r="AC532" s="45">
        <f>(M532*'RAP TEMPLATE-GAS AVAILABILITY'!O531+N532*'RAP TEMPLATE-GAS AVAILABILITY'!P531+O532*'RAP TEMPLATE-GAS AVAILABILITY'!Q531+P532*'RAP TEMPLATE-GAS AVAILABILITY'!R531)/('RAP TEMPLATE-GAS AVAILABILITY'!O531+'RAP TEMPLATE-GAS AVAILABILITY'!P531+'RAP TEMPLATE-GAS AVAILABILITY'!Q531+'RAP TEMPLATE-GAS AVAILABILITY'!R531)</f>
        <v>24.419379856115111</v>
      </c>
    </row>
    <row r="533" spans="1:29" ht="15.75" x14ac:dyDescent="0.25">
      <c r="A533" s="32">
        <v>57131</v>
      </c>
      <c r="B533" s="14">
        <f>CHOOSE(CONTROL!$C$42, 24.8167, 24.8167) * CHOOSE(CONTROL!$C$21, $C$9, 100%, $E$9)</f>
        <v>24.816700000000001</v>
      </c>
      <c r="C533" s="14">
        <f>CHOOSE(CONTROL!$C$42, 24.8246, 24.8246) * CHOOSE(CONTROL!$C$21, $C$9, 100%, $E$9)</f>
        <v>24.8246</v>
      </c>
      <c r="D533" s="14">
        <f>CHOOSE(CONTROL!$C$42, 25.0222, 25.0222) * CHOOSE(CONTROL!$C$21, $C$9, 100%, $E$9)</f>
        <v>25.022200000000002</v>
      </c>
      <c r="E533" s="14">
        <f>CHOOSE(CONTROL!$C$42, 25.0533, 25.0533) * CHOOSE(CONTROL!$C$21, $C$9, 100%, $E$9)</f>
        <v>25.0533</v>
      </c>
      <c r="F533" s="14">
        <f>CHOOSE(CONTROL!$C$42, 24.8001, 24.8001)*CHOOSE(CONTROL!$C$21, $C$9, 100%, $E$9)</f>
        <v>24.8001</v>
      </c>
      <c r="G533" s="14">
        <f>CHOOSE(CONTROL!$C$42, 24.8162, 24.8162)*CHOOSE(CONTROL!$C$21, $C$9, 100%, $E$9)</f>
        <v>24.816199999999998</v>
      </c>
      <c r="H533" s="14">
        <f>CHOOSE(CONTROL!$C$42, 25.0419, 25.0419) * CHOOSE(CONTROL!$C$21, $C$9, 100%, $E$9)</f>
        <v>25.041899999999998</v>
      </c>
      <c r="I533" s="14">
        <f>CHOOSE(CONTROL!$C$42, 24.828, 24.828)* CHOOSE(CONTROL!$C$21, $C$9, 100%, $E$9)</f>
        <v>24.827999999999999</v>
      </c>
      <c r="J533" s="14">
        <f>CHOOSE(CONTROL!$C$42, 24.7931, 24.7931)* CHOOSE(CONTROL!$C$21, $C$9, 100%, $E$9)</f>
        <v>24.793099999999999</v>
      </c>
      <c r="K533" s="53">
        <f>CHOOSE(CONTROL!$C$42, 24.8241, 24.8241) * CHOOSE(CONTROL!$C$21, $C$9, 100%, $E$9)</f>
        <v>24.824100000000001</v>
      </c>
      <c r="L533" s="14">
        <f>CHOOSE(CONTROL!$C$42, 25.6289, 25.6289) * CHOOSE(CONTROL!$C$21, $C$9, 100%, $E$9)</f>
        <v>25.628900000000002</v>
      </c>
      <c r="M533" s="14">
        <f>CHOOSE(CONTROL!$C$42, 24.5567, 24.5567) * CHOOSE(CONTROL!$C$21, $C$9, 100%, $E$9)</f>
        <v>24.556699999999999</v>
      </c>
      <c r="N533" s="14">
        <f>CHOOSE(CONTROL!$C$42, 24.5726, 24.5726) * CHOOSE(CONTROL!$C$21, $C$9, 100%, $E$9)</f>
        <v>24.572600000000001</v>
      </c>
      <c r="O533" s="14">
        <f>CHOOSE(CONTROL!$C$42, 24.803, 24.803) * CHOOSE(CONTROL!$C$21, $C$9, 100%, $E$9)</f>
        <v>24.803000000000001</v>
      </c>
      <c r="P533" s="14">
        <f>CHOOSE(CONTROL!$C$42, 24.5913, 24.5913) * CHOOSE(CONTROL!$C$21, $C$9, 100%, $E$9)</f>
        <v>24.5913</v>
      </c>
      <c r="Q533" s="14">
        <f>CHOOSE(CONTROL!$C$42, 25.3983, 25.3983) * CHOOSE(CONTROL!$C$21, $C$9, 100%, $E$9)</f>
        <v>25.398299999999999</v>
      </c>
      <c r="R533" s="14">
        <f>CHOOSE(CONTROL!$C$42, 26.0488, 26.0488) * CHOOSE(CONTROL!$C$21, $C$9, 100%, $E$9)</f>
        <v>26.0488</v>
      </c>
      <c r="S533" s="14">
        <f>CHOOSE(CONTROL!$C$42, 24.0952, 24.0952) * CHOOSE(CONTROL!$C$21, $C$9, 100%, $E$9)</f>
        <v>24.095199999999998</v>
      </c>
      <c r="T53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33" s="57">
        <f>(1000*CHOOSE(CONTROL!$C$42, 695, 695)*CHOOSE(CONTROL!$C$42, 0.5599, 0.5599)*CHOOSE(CONTROL!$C$42, 31, 31))/1000000</f>
        <v>12.063045499999998</v>
      </c>
      <c r="V533" s="57">
        <f>(1000*CHOOSE(CONTROL!$C$42, 500, 500)*CHOOSE(CONTROL!$C$42, 0.275, 0.275)*CHOOSE(CONTROL!$C$42, 31, 31))/1000000</f>
        <v>4.2625000000000002</v>
      </c>
      <c r="W533" s="57">
        <f>(1000*CHOOSE(CONTROL!$C$42, 0.1146, 0.1146)*CHOOSE(CONTROL!$C$42, 121.5, 121.5)*CHOOSE(CONTROL!$C$42, 31, 31))/1000000</f>
        <v>0.43164089999999994</v>
      </c>
      <c r="X533" s="57">
        <f>(31*0.1790888*245000/1000000)+(31*0.2374*100000/1000000)</f>
        <v>2.0961194359999999</v>
      </c>
      <c r="Y533" s="57"/>
      <c r="Z533" s="14"/>
      <c r="AA533" s="56"/>
      <c r="AB533" s="50">
        <f>(B533*194.205+C533*267.466+D533*133.845+E533*53.484+F533*40+G533*185+H533*0+I533*100+J533*300)/(194.205+267.466+133.845+53.484+0+40+185+100+300)</f>
        <v>24.844616752982731</v>
      </c>
      <c r="AC533" s="45">
        <f>(M533*'RAP TEMPLATE-GAS AVAILABILITY'!O532+N533*'RAP TEMPLATE-GAS AVAILABILITY'!P532+O533*'RAP TEMPLATE-GAS AVAILABILITY'!Q532+P533*'RAP TEMPLATE-GAS AVAILABILITY'!R532)/('RAP TEMPLATE-GAS AVAILABILITY'!O532+'RAP TEMPLATE-GAS AVAILABILITY'!P532+'RAP TEMPLATE-GAS AVAILABILITY'!Q532+'RAP TEMPLATE-GAS AVAILABILITY'!R532)</f>
        <v>24.634444604316549</v>
      </c>
    </row>
    <row r="534" spans="1:29" ht="15.75" x14ac:dyDescent="0.25">
      <c r="A534" s="32">
        <v>57161</v>
      </c>
      <c r="B534" s="14">
        <f>CHOOSE(CONTROL!$C$42, 25.5205, 25.5205) * CHOOSE(CONTROL!$C$21, $C$9, 100%, $E$9)</f>
        <v>25.520499999999998</v>
      </c>
      <c r="C534" s="14">
        <f>CHOOSE(CONTROL!$C$42, 25.5284, 25.5284) * CHOOSE(CONTROL!$C$21, $C$9, 100%, $E$9)</f>
        <v>25.528400000000001</v>
      </c>
      <c r="D534" s="14">
        <f>CHOOSE(CONTROL!$C$42, 25.726, 25.726) * CHOOSE(CONTROL!$C$21, $C$9, 100%, $E$9)</f>
        <v>25.725999999999999</v>
      </c>
      <c r="E534" s="14">
        <f>CHOOSE(CONTROL!$C$42, 25.7571, 25.7571) * CHOOSE(CONTROL!$C$21, $C$9, 100%, $E$9)</f>
        <v>25.757100000000001</v>
      </c>
      <c r="F534" s="14">
        <f>CHOOSE(CONTROL!$C$42, 25.5043, 25.5043)*CHOOSE(CONTROL!$C$21, $C$9, 100%, $E$9)</f>
        <v>25.504300000000001</v>
      </c>
      <c r="G534" s="14">
        <f>CHOOSE(CONTROL!$C$42, 25.5205, 25.5205)*CHOOSE(CONTROL!$C$21, $C$9, 100%, $E$9)</f>
        <v>25.520499999999998</v>
      </c>
      <c r="H534" s="14">
        <f>CHOOSE(CONTROL!$C$42, 25.7457, 25.7457) * CHOOSE(CONTROL!$C$21, $C$9, 100%, $E$9)</f>
        <v>25.745699999999999</v>
      </c>
      <c r="I534" s="14">
        <f>CHOOSE(CONTROL!$C$42, 25.5318, 25.5318)* CHOOSE(CONTROL!$C$21, $C$9, 100%, $E$9)</f>
        <v>25.5318</v>
      </c>
      <c r="J534" s="14">
        <f>CHOOSE(CONTROL!$C$42, 25.4973, 25.4973)* CHOOSE(CONTROL!$C$21, $C$9, 100%, $E$9)</f>
        <v>25.497299999999999</v>
      </c>
      <c r="K534" s="53">
        <f>CHOOSE(CONTROL!$C$42, 25.5279, 25.5279) * CHOOSE(CONTROL!$C$21, $C$9, 100%, $E$9)</f>
        <v>25.527899999999999</v>
      </c>
      <c r="L534" s="14">
        <f>CHOOSE(CONTROL!$C$42, 26.3327, 26.3327) * CHOOSE(CONTROL!$C$21, $C$9, 100%, $E$9)</f>
        <v>26.332699999999999</v>
      </c>
      <c r="M534" s="14">
        <f>CHOOSE(CONTROL!$C$42, 25.2538, 25.2538) * CHOOSE(CONTROL!$C$21, $C$9, 100%, $E$9)</f>
        <v>25.253799999999998</v>
      </c>
      <c r="N534" s="14">
        <f>CHOOSE(CONTROL!$C$42, 25.2698, 25.2698) * CHOOSE(CONTROL!$C$21, $C$9, 100%, $E$9)</f>
        <v>25.2698</v>
      </c>
      <c r="O534" s="14">
        <f>CHOOSE(CONTROL!$C$42, 25.4997, 25.4997) * CHOOSE(CONTROL!$C$21, $C$9, 100%, $E$9)</f>
        <v>25.499700000000001</v>
      </c>
      <c r="P534" s="14">
        <f>CHOOSE(CONTROL!$C$42, 25.288, 25.288) * CHOOSE(CONTROL!$C$21, $C$9, 100%, $E$9)</f>
        <v>25.288</v>
      </c>
      <c r="Q534" s="14">
        <f>CHOOSE(CONTROL!$C$42, 26.095, 26.095) * CHOOSE(CONTROL!$C$21, $C$9, 100%, $E$9)</f>
        <v>26.094999999999999</v>
      </c>
      <c r="R534" s="14">
        <f>CHOOSE(CONTROL!$C$42, 26.7473, 26.7473) * CHOOSE(CONTROL!$C$21, $C$9, 100%, $E$9)</f>
        <v>26.747299999999999</v>
      </c>
      <c r="S534" s="14">
        <f>CHOOSE(CONTROL!$C$42, 24.7787, 24.7787) * CHOOSE(CONTROL!$C$21, $C$9, 100%, $E$9)</f>
        <v>24.778700000000001</v>
      </c>
      <c r="T53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34" s="57">
        <f>(1000*CHOOSE(CONTROL!$C$42, 695, 695)*CHOOSE(CONTROL!$C$42, 0.5599, 0.5599)*CHOOSE(CONTROL!$C$42, 30, 30))/1000000</f>
        <v>11.673914999999997</v>
      </c>
      <c r="V534" s="57">
        <f>(1000*CHOOSE(CONTROL!$C$42, 500, 500)*CHOOSE(CONTROL!$C$42, 0.275, 0.275)*CHOOSE(CONTROL!$C$42, 30, 30))/1000000</f>
        <v>4.125</v>
      </c>
      <c r="W534" s="57">
        <f>(1000*CHOOSE(CONTROL!$C$42, 0.1146, 0.1146)*CHOOSE(CONTROL!$C$42, 121.5, 121.5)*CHOOSE(CONTROL!$C$42, 30, 30))/1000000</f>
        <v>0.417717</v>
      </c>
      <c r="X534" s="57">
        <f>(30*0.1790888*245000/1000000)+(30*0.2374*100000/1000000)</f>
        <v>2.0285026799999999</v>
      </c>
      <c r="Y534" s="57"/>
      <c r="Z534" s="14"/>
      <c r="AA534" s="56"/>
      <c r="AB534" s="50">
        <f>(B534*194.205+C534*267.466+D534*133.845+E534*53.484+F534*40+G534*185+H534*0+I534*100+J534*300)/(194.205+267.466+133.845+53.484+0+40+185+100+300)</f>
        <v>25.548596109340657</v>
      </c>
      <c r="AC534" s="45">
        <f>(M534*'RAP TEMPLATE-GAS AVAILABILITY'!O533+N534*'RAP TEMPLATE-GAS AVAILABILITY'!P533+O534*'RAP TEMPLATE-GAS AVAILABILITY'!Q533+P534*'RAP TEMPLATE-GAS AVAILABILITY'!R533)/('RAP TEMPLATE-GAS AVAILABILITY'!O533+'RAP TEMPLATE-GAS AVAILABILITY'!P533+'RAP TEMPLATE-GAS AVAILABILITY'!Q533+'RAP TEMPLATE-GAS AVAILABILITY'!R533)</f>
        <v>25.331397841726616</v>
      </c>
    </row>
    <row r="535" spans="1:29" ht="15.75" x14ac:dyDescent="0.25">
      <c r="A535" s="32">
        <v>57192</v>
      </c>
      <c r="B535" s="14">
        <f>CHOOSE(CONTROL!$C$42, 25.031, 25.031) * CHOOSE(CONTROL!$C$21, $C$9, 100%, $E$9)</f>
        <v>25.030999999999999</v>
      </c>
      <c r="C535" s="14">
        <f>CHOOSE(CONTROL!$C$42, 25.0389, 25.0389) * CHOOSE(CONTROL!$C$21, $C$9, 100%, $E$9)</f>
        <v>25.038900000000002</v>
      </c>
      <c r="D535" s="14">
        <f>CHOOSE(CONTROL!$C$42, 25.2365, 25.2365) * CHOOSE(CONTROL!$C$21, $C$9, 100%, $E$9)</f>
        <v>25.236499999999999</v>
      </c>
      <c r="E535" s="14">
        <f>CHOOSE(CONTROL!$C$42, 25.2676, 25.2676) * CHOOSE(CONTROL!$C$21, $C$9, 100%, $E$9)</f>
        <v>25.267600000000002</v>
      </c>
      <c r="F535" s="14">
        <f>CHOOSE(CONTROL!$C$42, 25.0152, 25.0152)*CHOOSE(CONTROL!$C$21, $C$9, 100%, $E$9)</f>
        <v>25.0152</v>
      </c>
      <c r="G535" s="14">
        <f>CHOOSE(CONTROL!$C$42, 25.0315, 25.0315)*CHOOSE(CONTROL!$C$21, $C$9, 100%, $E$9)</f>
        <v>25.031500000000001</v>
      </c>
      <c r="H535" s="14">
        <f>CHOOSE(CONTROL!$C$42, 25.2562, 25.2562) * CHOOSE(CONTROL!$C$21, $C$9, 100%, $E$9)</f>
        <v>25.2562</v>
      </c>
      <c r="I535" s="14">
        <f>CHOOSE(CONTROL!$C$42, 25.0423, 25.0423)* CHOOSE(CONTROL!$C$21, $C$9, 100%, $E$9)</f>
        <v>25.042300000000001</v>
      </c>
      <c r="J535" s="14">
        <f>CHOOSE(CONTROL!$C$42, 25.0082, 25.0082)* CHOOSE(CONTROL!$C$21, $C$9, 100%, $E$9)</f>
        <v>25.008199999999999</v>
      </c>
      <c r="K535" s="53">
        <f>CHOOSE(CONTROL!$C$42, 25.0384, 25.0384) * CHOOSE(CONTROL!$C$21, $C$9, 100%, $E$9)</f>
        <v>25.038399999999999</v>
      </c>
      <c r="L535" s="14">
        <f>CHOOSE(CONTROL!$C$42, 25.8432, 25.8432) * CHOOSE(CONTROL!$C$21, $C$9, 100%, $E$9)</f>
        <v>25.8432</v>
      </c>
      <c r="M535" s="14">
        <f>CHOOSE(CONTROL!$C$42, 24.7697, 24.7697) * CHOOSE(CONTROL!$C$21, $C$9, 100%, $E$9)</f>
        <v>24.7697</v>
      </c>
      <c r="N535" s="14">
        <f>CHOOSE(CONTROL!$C$42, 24.7858, 24.7858) * CHOOSE(CONTROL!$C$21, $C$9, 100%, $E$9)</f>
        <v>24.785799999999998</v>
      </c>
      <c r="O535" s="14">
        <f>CHOOSE(CONTROL!$C$42, 25.0152, 25.0152) * CHOOSE(CONTROL!$C$21, $C$9, 100%, $E$9)</f>
        <v>25.0152</v>
      </c>
      <c r="P535" s="14">
        <f>CHOOSE(CONTROL!$C$42, 24.8035, 24.8035) * CHOOSE(CONTROL!$C$21, $C$9, 100%, $E$9)</f>
        <v>24.8035</v>
      </c>
      <c r="Q535" s="14">
        <f>CHOOSE(CONTROL!$C$42, 25.6105, 25.6105) * CHOOSE(CONTROL!$C$21, $C$9, 100%, $E$9)</f>
        <v>25.610499999999998</v>
      </c>
      <c r="R535" s="14">
        <f>CHOOSE(CONTROL!$C$42, 26.2615, 26.2615) * CHOOSE(CONTROL!$C$21, $C$9, 100%, $E$9)</f>
        <v>26.261500000000002</v>
      </c>
      <c r="S535" s="14">
        <f>CHOOSE(CONTROL!$C$42, 24.3033, 24.3033) * CHOOSE(CONTROL!$C$21, $C$9, 100%, $E$9)</f>
        <v>24.3033</v>
      </c>
      <c r="T53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35" s="57">
        <f>(1000*CHOOSE(CONTROL!$C$42, 695, 695)*CHOOSE(CONTROL!$C$42, 0.5599, 0.5599)*CHOOSE(CONTROL!$C$42, 31, 31))/1000000</f>
        <v>12.063045499999998</v>
      </c>
      <c r="V535" s="57">
        <f>(1000*CHOOSE(CONTROL!$C$42, 500, 500)*CHOOSE(CONTROL!$C$42, 0.275, 0.275)*CHOOSE(CONTROL!$C$42, 31, 31))/1000000</f>
        <v>4.2625000000000002</v>
      </c>
      <c r="W535" s="57">
        <f>(1000*CHOOSE(CONTROL!$C$42, 0.1146, 0.1146)*CHOOSE(CONTROL!$C$42, 121.5, 121.5)*CHOOSE(CONTROL!$C$42, 31, 31))/1000000</f>
        <v>0.43164089999999994</v>
      </c>
      <c r="X535" s="57">
        <f>(31*0.1790888*245000/1000000)+(31*0.2374*100000/1000000)</f>
        <v>2.0961194359999999</v>
      </c>
      <c r="Y535" s="57"/>
      <c r="Z535" s="14"/>
      <c r="AA535" s="56"/>
      <c r="AB535" s="50">
        <f>(B535*194.205+C535*267.466+D535*133.845+E535*53.484+F535*40+G535*185+H535*0+I535*100+J535*300)/(194.205+267.466+133.845+53.484+0+40+185+100+300)</f>
        <v>25.059275465698587</v>
      </c>
      <c r="AC535" s="45">
        <f>(M535*'RAP TEMPLATE-GAS AVAILABILITY'!O534+N535*'RAP TEMPLATE-GAS AVAILABILITY'!P534+O535*'RAP TEMPLATE-GAS AVAILABILITY'!Q534+P535*'RAP TEMPLATE-GAS AVAILABILITY'!R534)/('RAP TEMPLATE-GAS AVAILABILITY'!O534+'RAP TEMPLATE-GAS AVAILABILITY'!P534+'RAP TEMPLATE-GAS AVAILABILITY'!Q534+'RAP TEMPLATE-GAS AVAILABILITY'!R534)</f>
        <v>24.84715107913669</v>
      </c>
    </row>
    <row r="536" spans="1:29" ht="15.75" x14ac:dyDescent="0.25">
      <c r="A536" s="32">
        <v>57223</v>
      </c>
      <c r="B536" s="14">
        <f>CHOOSE(CONTROL!$C$42, 23.7948, 23.7948) * CHOOSE(CONTROL!$C$21, $C$9, 100%, $E$9)</f>
        <v>23.794799999999999</v>
      </c>
      <c r="C536" s="14">
        <f>CHOOSE(CONTROL!$C$42, 23.8028, 23.8028) * CHOOSE(CONTROL!$C$21, $C$9, 100%, $E$9)</f>
        <v>23.802800000000001</v>
      </c>
      <c r="D536" s="14">
        <f>CHOOSE(CONTROL!$C$42, 24.0003, 24.0003) * CHOOSE(CONTROL!$C$21, $C$9, 100%, $E$9)</f>
        <v>24.000299999999999</v>
      </c>
      <c r="E536" s="14">
        <f>CHOOSE(CONTROL!$C$42, 24.0315, 24.0315) * CHOOSE(CONTROL!$C$21, $C$9, 100%, $E$9)</f>
        <v>24.031500000000001</v>
      </c>
      <c r="F536" s="14">
        <f>CHOOSE(CONTROL!$C$42, 23.7793, 23.7793)*CHOOSE(CONTROL!$C$21, $C$9, 100%, $E$9)</f>
        <v>23.779299999999999</v>
      </c>
      <c r="G536" s="14">
        <f>CHOOSE(CONTROL!$C$42, 23.7956, 23.7956)*CHOOSE(CONTROL!$C$21, $C$9, 100%, $E$9)</f>
        <v>23.7956</v>
      </c>
      <c r="H536" s="14">
        <f>CHOOSE(CONTROL!$C$42, 24.0201, 24.0201) * CHOOSE(CONTROL!$C$21, $C$9, 100%, $E$9)</f>
        <v>24.020099999999999</v>
      </c>
      <c r="I536" s="14">
        <f>CHOOSE(CONTROL!$C$42, 23.8062, 23.8062)* CHOOSE(CONTROL!$C$21, $C$9, 100%, $E$9)</f>
        <v>23.8062</v>
      </c>
      <c r="J536" s="14">
        <f>CHOOSE(CONTROL!$C$42, 23.7723, 23.7723)* CHOOSE(CONTROL!$C$21, $C$9, 100%, $E$9)</f>
        <v>23.772300000000001</v>
      </c>
      <c r="K536" s="53">
        <f>CHOOSE(CONTROL!$C$42, 23.8023, 23.8023) * CHOOSE(CONTROL!$C$21, $C$9, 100%, $E$9)</f>
        <v>23.802299999999999</v>
      </c>
      <c r="L536" s="14">
        <f>CHOOSE(CONTROL!$C$42, 24.6071, 24.6071) * CHOOSE(CONTROL!$C$21, $C$9, 100%, $E$9)</f>
        <v>24.607099999999999</v>
      </c>
      <c r="M536" s="14">
        <f>CHOOSE(CONTROL!$C$42, 23.5462, 23.5462) * CHOOSE(CONTROL!$C$21, $C$9, 100%, $E$9)</f>
        <v>23.546199999999999</v>
      </c>
      <c r="N536" s="14">
        <f>CHOOSE(CONTROL!$C$42, 23.5624, 23.5624) * CHOOSE(CONTROL!$C$21, $C$9, 100%, $E$9)</f>
        <v>23.5624</v>
      </c>
      <c r="O536" s="14">
        <f>CHOOSE(CONTROL!$C$42, 23.7915, 23.7915) * CHOOSE(CONTROL!$C$21, $C$9, 100%, $E$9)</f>
        <v>23.791499999999999</v>
      </c>
      <c r="P536" s="14">
        <f>CHOOSE(CONTROL!$C$42, 23.5798, 23.5798) * CHOOSE(CONTROL!$C$21, $C$9, 100%, $E$9)</f>
        <v>23.579799999999999</v>
      </c>
      <c r="Q536" s="14">
        <f>CHOOSE(CONTROL!$C$42, 24.3868, 24.3868) * CHOOSE(CONTROL!$C$21, $C$9, 100%, $E$9)</f>
        <v>24.386800000000001</v>
      </c>
      <c r="R536" s="14">
        <f>CHOOSE(CONTROL!$C$42, 25.0348, 25.0348) * CHOOSE(CONTROL!$C$21, $C$9, 100%, $E$9)</f>
        <v>25.034800000000001</v>
      </c>
      <c r="S536" s="14">
        <f>CHOOSE(CONTROL!$C$42, 23.1029, 23.1029) * CHOOSE(CONTROL!$C$21, $C$9, 100%, $E$9)</f>
        <v>23.102900000000002</v>
      </c>
      <c r="T53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36" s="57">
        <f>(1000*CHOOSE(CONTROL!$C$42, 695, 695)*CHOOSE(CONTROL!$C$42, 0.5599, 0.5599)*CHOOSE(CONTROL!$C$42, 31, 31))/1000000</f>
        <v>12.063045499999998</v>
      </c>
      <c r="V536" s="57">
        <f>(1000*CHOOSE(CONTROL!$C$42, 500, 500)*CHOOSE(CONTROL!$C$42, 0.275, 0.275)*CHOOSE(CONTROL!$C$42, 31, 31))/1000000</f>
        <v>4.2625000000000002</v>
      </c>
      <c r="W536" s="57">
        <f>(1000*CHOOSE(CONTROL!$C$42, 0.1146, 0.1146)*CHOOSE(CONTROL!$C$42, 121.5, 121.5)*CHOOSE(CONTROL!$C$42, 31, 31))/1000000</f>
        <v>0.43164089999999994</v>
      </c>
      <c r="X536" s="57">
        <f>(31*0.1790888*245000/1000000)+(31*0.2374*100000/1000000)</f>
        <v>2.0961194359999999</v>
      </c>
      <c r="Y536" s="57"/>
      <c r="Z536" s="14"/>
      <c r="AA536" s="56"/>
      <c r="AB536" s="50">
        <f>(B536*194.205+C536*267.466+D536*133.845+E536*53.484+F536*40+G536*185+H536*0+I536*100+J536*300)/(194.205+267.466+133.845+53.484+0+40+185+100+300)</f>
        <v>23.823232133673468</v>
      </c>
      <c r="AC536" s="45">
        <f>(M536*'RAP TEMPLATE-GAS AVAILABILITY'!O535+N536*'RAP TEMPLATE-GAS AVAILABILITY'!P535+O536*'RAP TEMPLATE-GAS AVAILABILITY'!Q535+P536*'RAP TEMPLATE-GAS AVAILABILITY'!R535)/('RAP TEMPLATE-GAS AVAILABILITY'!O535+'RAP TEMPLATE-GAS AVAILABILITY'!P535+'RAP TEMPLATE-GAS AVAILABILITY'!Q535+'RAP TEMPLATE-GAS AVAILABILITY'!R535)</f>
        <v>23.623589208633092</v>
      </c>
    </row>
    <row r="537" spans="1:29" ht="15.75" x14ac:dyDescent="0.25">
      <c r="A537" s="32">
        <v>57253</v>
      </c>
      <c r="B537" s="14">
        <f>CHOOSE(CONTROL!$C$42, 22.2841, 22.2841) * CHOOSE(CONTROL!$C$21, $C$9, 100%, $E$9)</f>
        <v>22.284099999999999</v>
      </c>
      <c r="C537" s="14">
        <f>CHOOSE(CONTROL!$C$42, 22.292, 22.292) * CHOOSE(CONTROL!$C$21, $C$9, 100%, $E$9)</f>
        <v>22.292000000000002</v>
      </c>
      <c r="D537" s="14">
        <f>CHOOSE(CONTROL!$C$42, 22.4896, 22.4896) * CHOOSE(CONTROL!$C$21, $C$9, 100%, $E$9)</f>
        <v>22.489599999999999</v>
      </c>
      <c r="E537" s="14">
        <f>CHOOSE(CONTROL!$C$42, 22.5207, 22.5207) * CHOOSE(CONTROL!$C$21, $C$9, 100%, $E$9)</f>
        <v>22.520700000000001</v>
      </c>
      <c r="F537" s="14">
        <f>CHOOSE(CONTROL!$C$42, 22.2685, 22.2685)*CHOOSE(CONTROL!$C$21, $C$9, 100%, $E$9)</f>
        <v>22.2685</v>
      </c>
      <c r="G537" s="14">
        <f>CHOOSE(CONTROL!$C$42, 22.2848, 22.2848)*CHOOSE(CONTROL!$C$21, $C$9, 100%, $E$9)</f>
        <v>22.284800000000001</v>
      </c>
      <c r="H537" s="14">
        <f>CHOOSE(CONTROL!$C$42, 22.5094, 22.5094) * CHOOSE(CONTROL!$C$21, $C$9, 100%, $E$9)</f>
        <v>22.509399999999999</v>
      </c>
      <c r="I537" s="14">
        <f>CHOOSE(CONTROL!$C$42, 22.2955, 22.2955)* CHOOSE(CONTROL!$C$21, $C$9, 100%, $E$9)</f>
        <v>22.295500000000001</v>
      </c>
      <c r="J537" s="14">
        <f>CHOOSE(CONTROL!$C$42, 22.2615, 22.2615)* CHOOSE(CONTROL!$C$21, $C$9, 100%, $E$9)</f>
        <v>22.261500000000002</v>
      </c>
      <c r="K537" s="53">
        <f>CHOOSE(CONTROL!$C$42, 22.2916, 22.2916) * CHOOSE(CONTROL!$C$21, $C$9, 100%, $E$9)</f>
        <v>22.291599999999999</v>
      </c>
      <c r="L537" s="14">
        <f>CHOOSE(CONTROL!$C$42, 23.0964, 23.0964) * CHOOSE(CONTROL!$C$21, $C$9, 100%, $E$9)</f>
        <v>23.096399999999999</v>
      </c>
      <c r="M537" s="14">
        <f>CHOOSE(CONTROL!$C$42, 22.0507, 22.0507) * CHOOSE(CONTROL!$C$21, $C$9, 100%, $E$9)</f>
        <v>22.050699999999999</v>
      </c>
      <c r="N537" s="14">
        <f>CHOOSE(CONTROL!$C$42, 22.0668, 22.0668) * CHOOSE(CONTROL!$C$21, $C$9, 100%, $E$9)</f>
        <v>22.066800000000001</v>
      </c>
      <c r="O537" s="14">
        <f>CHOOSE(CONTROL!$C$42, 22.296, 22.296) * CHOOSE(CONTROL!$C$21, $C$9, 100%, $E$9)</f>
        <v>22.295999999999999</v>
      </c>
      <c r="P537" s="14">
        <f>CHOOSE(CONTROL!$C$42, 22.0843, 22.0843) * CHOOSE(CONTROL!$C$21, $C$9, 100%, $E$9)</f>
        <v>22.084299999999999</v>
      </c>
      <c r="Q537" s="14">
        <f>CHOOSE(CONTROL!$C$42, 22.8913, 22.8913) * CHOOSE(CONTROL!$C$21, $C$9, 100%, $E$9)</f>
        <v>22.891300000000001</v>
      </c>
      <c r="R537" s="14">
        <f>CHOOSE(CONTROL!$C$42, 23.5356, 23.5356) * CHOOSE(CONTROL!$C$21, $C$9, 100%, $E$9)</f>
        <v>23.535599999999999</v>
      </c>
      <c r="S537" s="14">
        <f>CHOOSE(CONTROL!$C$42, 21.6359, 21.6359) * CHOOSE(CONTROL!$C$21, $C$9, 100%, $E$9)</f>
        <v>21.635899999999999</v>
      </c>
      <c r="T53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37" s="57">
        <f>(1000*CHOOSE(CONTROL!$C$42, 695, 695)*CHOOSE(CONTROL!$C$42, 0.5599, 0.5599)*CHOOSE(CONTROL!$C$42, 30, 30))/1000000</f>
        <v>11.673914999999997</v>
      </c>
      <c r="V537" s="57">
        <f>(1000*CHOOSE(CONTROL!$C$42, 500, 500)*CHOOSE(CONTROL!$C$42, 0.275, 0.275)*CHOOSE(CONTROL!$C$42, 30, 30))/1000000</f>
        <v>4.125</v>
      </c>
      <c r="W537" s="57">
        <f>(1000*CHOOSE(CONTROL!$C$42, 0.1146, 0.1146)*CHOOSE(CONTROL!$C$42, 121.5, 121.5)*CHOOSE(CONTROL!$C$42, 30, 30))/1000000</f>
        <v>0.417717</v>
      </c>
      <c r="X537" s="57">
        <f>(30*0.1790888*245000/1000000)+(30*0.2374*100000/1000000)</f>
        <v>2.0285026799999999</v>
      </c>
      <c r="Y537" s="57"/>
      <c r="Z537" s="14"/>
      <c r="AA537" s="56"/>
      <c r="AB537" s="50">
        <f>(B537*194.205+C537*267.466+D537*133.845+E537*53.484+F537*40+G537*185+H537*0+I537*100+J537*300)/(194.205+267.466+133.845+53.484+0+40+185+100+300)</f>
        <v>22.312465732574569</v>
      </c>
      <c r="AC537" s="45">
        <f>(M537*'RAP TEMPLATE-GAS AVAILABILITY'!O536+N537*'RAP TEMPLATE-GAS AVAILABILITY'!P536+O537*'RAP TEMPLATE-GAS AVAILABILITY'!Q536+P537*'RAP TEMPLATE-GAS AVAILABILITY'!R536)/('RAP TEMPLATE-GAS AVAILABILITY'!O536+'RAP TEMPLATE-GAS AVAILABILITY'!P536+'RAP TEMPLATE-GAS AVAILABILITY'!Q536+'RAP TEMPLATE-GAS AVAILABILITY'!R536)</f>
        <v>22.128066187050361</v>
      </c>
    </row>
    <row r="538" spans="1:29" ht="15.75" x14ac:dyDescent="0.25">
      <c r="A538" s="32">
        <v>57284</v>
      </c>
      <c r="B538" s="14">
        <f>CHOOSE(CONTROL!$C$42, 21.83, 21.83) * CHOOSE(CONTROL!$C$21, $C$9, 100%, $E$9)</f>
        <v>21.83</v>
      </c>
      <c r="C538" s="14">
        <f>CHOOSE(CONTROL!$C$42, 21.8352, 21.8352) * CHOOSE(CONTROL!$C$21, $C$9, 100%, $E$9)</f>
        <v>21.8352</v>
      </c>
      <c r="D538" s="14">
        <f>CHOOSE(CONTROL!$C$42, 22.0378, 22.0378) * CHOOSE(CONTROL!$C$21, $C$9, 100%, $E$9)</f>
        <v>22.037800000000001</v>
      </c>
      <c r="E538" s="14">
        <f>CHOOSE(CONTROL!$C$42, 22.0666, 22.0666) * CHOOSE(CONTROL!$C$21, $C$9, 100%, $E$9)</f>
        <v>22.066600000000001</v>
      </c>
      <c r="F538" s="14">
        <f>CHOOSE(CONTROL!$C$42, 21.8164, 21.8164)*CHOOSE(CONTROL!$C$21, $C$9, 100%, $E$9)</f>
        <v>21.816400000000002</v>
      </c>
      <c r="G538" s="14">
        <f>CHOOSE(CONTROL!$C$42, 21.8324, 21.8324)*CHOOSE(CONTROL!$C$21, $C$9, 100%, $E$9)</f>
        <v>21.8324</v>
      </c>
      <c r="H538" s="14">
        <f>CHOOSE(CONTROL!$C$42, 22.057, 22.057) * CHOOSE(CONTROL!$C$21, $C$9, 100%, $E$9)</f>
        <v>22.056999999999999</v>
      </c>
      <c r="I538" s="14">
        <f>CHOOSE(CONTROL!$C$42, 21.8431, 21.8431)* CHOOSE(CONTROL!$C$21, $C$9, 100%, $E$9)</f>
        <v>21.8431</v>
      </c>
      <c r="J538" s="14">
        <f>CHOOSE(CONTROL!$C$42, 21.8094, 21.8094)* CHOOSE(CONTROL!$C$21, $C$9, 100%, $E$9)</f>
        <v>21.8094</v>
      </c>
      <c r="K538" s="53">
        <f>CHOOSE(CONTROL!$C$42, 21.8392, 21.8392) * CHOOSE(CONTROL!$C$21, $C$9, 100%, $E$9)</f>
        <v>21.839200000000002</v>
      </c>
      <c r="L538" s="14">
        <f>CHOOSE(CONTROL!$C$42, 22.644, 22.644) * CHOOSE(CONTROL!$C$21, $C$9, 100%, $E$9)</f>
        <v>22.643999999999998</v>
      </c>
      <c r="M538" s="14">
        <f>CHOOSE(CONTROL!$C$42, 21.6031, 21.6031) * CHOOSE(CONTROL!$C$21, $C$9, 100%, $E$9)</f>
        <v>21.603100000000001</v>
      </c>
      <c r="N538" s="14">
        <f>CHOOSE(CONTROL!$C$42, 21.619, 21.619) * CHOOSE(CONTROL!$C$21, $C$9, 100%, $E$9)</f>
        <v>21.619</v>
      </c>
      <c r="O538" s="14">
        <f>CHOOSE(CONTROL!$C$42, 21.8483, 21.8483) * CHOOSE(CONTROL!$C$21, $C$9, 100%, $E$9)</f>
        <v>21.848299999999998</v>
      </c>
      <c r="P538" s="14">
        <f>CHOOSE(CONTROL!$C$42, 21.6366, 21.6366) * CHOOSE(CONTROL!$C$21, $C$9, 100%, $E$9)</f>
        <v>21.636600000000001</v>
      </c>
      <c r="Q538" s="14">
        <f>CHOOSE(CONTROL!$C$42, 22.4436, 22.4436) * CHOOSE(CONTROL!$C$21, $C$9, 100%, $E$9)</f>
        <v>22.4436</v>
      </c>
      <c r="R538" s="14">
        <f>CHOOSE(CONTROL!$C$42, 23.0867, 23.0867) * CHOOSE(CONTROL!$C$21, $C$9, 100%, $E$9)</f>
        <v>23.0867</v>
      </c>
      <c r="S538" s="14">
        <f>CHOOSE(CONTROL!$C$42, 21.1966, 21.1966) * CHOOSE(CONTROL!$C$21, $C$9, 100%, $E$9)</f>
        <v>21.1966</v>
      </c>
      <c r="T53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38" s="57">
        <f>(1000*CHOOSE(CONTROL!$C$42, 695, 695)*CHOOSE(CONTROL!$C$42, 0.5599, 0.5599)*CHOOSE(CONTROL!$C$42, 31, 31))/1000000</f>
        <v>12.063045499999998</v>
      </c>
      <c r="V538" s="57">
        <f>(1000*CHOOSE(CONTROL!$C$42, 500, 500)*CHOOSE(CONTROL!$C$42, 0.275, 0.275)*CHOOSE(CONTROL!$C$42, 31, 31))/1000000</f>
        <v>4.2625000000000002</v>
      </c>
      <c r="W538" s="57">
        <f>(1000*CHOOSE(CONTROL!$C$42, 0.1146, 0.1146)*CHOOSE(CONTROL!$C$42, 121.5, 121.5)*CHOOSE(CONTROL!$C$42, 31, 31))/1000000</f>
        <v>0.43164089999999994</v>
      </c>
      <c r="X538" s="57">
        <f>(31*0.1790888*245000/1000000)+(31*0.2374*100000/1000000)</f>
        <v>2.0961194359999999</v>
      </c>
      <c r="Y538" s="57"/>
      <c r="Z538" s="14"/>
      <c r="AA538" s="56"/>
      <c r="AB538" s="50">
        <f>(B538*131.881+C538*277.167+D538*79.08+E538*125.872+F538*40+G538*185+H538*0+I538*100+J538*300)/(131.881+277.167+79.08+125.872+0+40+185+100+300)</f>
        <v>21.86445149927361</v>
      </c>
      <c r="AC538" s="45">
        <f>(M538*'RAP TEMPLATE-GAS AVAILABILITY'!O537+N538*'RAP TEMPLATE-GAS AVAILABILITY'!P537+O538*'RAP TEMPLATE-GAS AVAILABILITY'!Q537+P538*'RAP TEMPLATE-GAS AVAILABILITY'!R537)/('RAP TEMPLATE-GAS AVAILABILITY'!O537+'RAP TEMPLATE-GAS AVAILABILITY'!P537+'RAP TEMPLATE-GAS AVAILABILITY'!Q537+'RAP TEMPLATE-GAS AVAILABILITY'!R537)</f>
        <v>21.680377697841724</v>
      </c>
    </row>
    <row r="539" spans="1:29" ht="15.75" x14ac:dyDescent="0.25">
      <c r="A539" s="32">
        <v>57314</v>
      </c>
      <c r="B539" s="14">
        <f>CHOOSE(CONTROL!$C$42, 22.4046, 22.4046) * CHOOSE(CONTROL!$C$21, $C$9, 100%, $E$9)</f>
        <v>22.404599999999999</v>
      </c>
      <c r="C539" s="14">
        <f>CHOOSE(CONTROL!$C$42, 22.4096, 22.4096) * CHOOSE(CONTROL!$C$21, $C$9, 100%, $E$9)</f>
        <v>22.409600000000001</v>
      </c>
      <c r="D539" s="14">
        <f>CHOOSE(CONTROL!$C$42, 22.4726, 22.4726) * CHOOSE(CONTROL!$C$21, $C$9, 100%, $E$9)</f>
        <v>22.4726</v>
      </c>
      <c r="E539" s="14">
        <f>CHOOSE(CONTROL!$C$42, 22.5064, 22.5064) * CHOOSE(CONTROL!$C$21, $C$9, 100%, $E$9)</f>
        <v>22.506399999999999</v>
      </c>
      <c r="F539" s="14">
        <f>CHOOSE(CONTROL!$C$42, 22.4053, 22.4053)*CHOOSE(CONTROL!$C$21, $C$9, 100%, $E$9)</f>
        <v>22.4053</v>
      </c>
      <c r="G539" s="14">
        <f>CHOOSE(CONTROL!$C$42, 22.4216, 22.4216)*CHOOSE(CONTROL!$C$21, $C$9, 100%, $E$9)</f>
        <v>22.421600000000002</v>
      </c>
      <c r="H539" s="14">
        <f>CHOOSE(CONTROL!$C$42, 22.4956, 22.4956) * CHOOSE(CONTROL!$C$21, $C$9, 100%, $E$9)</f>
        <v>22.4956</v>
      </c>
      <c r="I539" s="14">
        <f>CHOOSE(CONTROL!$C$42, 22.4181, 22.4181)* CHOOSE(CONTROL!$C$21, $C$9, 100%, $E$9)</f>
        <v>22.418099999999999</v>
      </c>
      <c r="J539" s="14">
        <f>CHOOSE(CONTROL!$C$42, 22.3983, 22.3983)* CHOOSE(CONTROL!$C$21, $C$9, 100%, $E$9)</f>
        <v>22.398299999999999</v>
      </c>
      <c r="K539" s="53">
        <f>CHOOSE(CONTROL!$C$42, 22.4143, 22.4143) * CHOOSE(CONTROL!$C$21, $C$9, 100%, $E$9)</f>
        <v>22.414300000000001</v>
      </c>
      <c r="L539" s="14">
        <f>CHOOSE(CONTROL!$C$42, 23.0826, 23.0826) * CHOOSE(CONTROL!$C$21, $C$9, 100%, $E$9)</f>
        <v>23.082599999999999</v>
      </c>
      <c r="M539" s="14">
        <f>CHOOSE(CONTROL!$C$42, 22.1861, 22.1861) * CHOOSE(CONTROL!$C$21, $C$9, 100%, $E$9)</f>
        <v>22.1861</v>
      </c>
      <c r="N539" s="14">
        <f>CHOOSE(CONTROL!$C$42, 22.2022, 22.2022) * CHOOSE(CONTROL!$C$21, $C$9, 100%, $E$9)</f>
        <v>22.202200000000001</v>
      </c>
      <c r="O539" s="14">
        <f>CHOOSE(CONTROL!$C$42, 22.2824, 22.2824) * CHOOSE(CONTROL!$C$21, $C$9, 100%, $E$9)</f>
        <v>22.282399999999999</v>
      </c>
      <c r="P539" s="14">
        <f>CHOOSE(CONTROL!$C$42, 22.2058, 22.2058) * CHOOSE(CONTROL!$C$21, $C$9, 100%, $E$9)</f>
        <v>22.2058</v>
      </c>
      <c r="Q539" s="14">
        <f>CHOOSE(CONTROL!$C$42, 22.8777, 22.8777) * CHOOSE(CONTROL!$C$21, $C$9, 100%, $E$9)</f>
        <v>22.877700000000001</v>
      </c>
      <c r="R539" s="14">
        <f>CHOOSE(CONTROL!$C$42, 23.5219, 23.5219) * CHOOSE(CONTROL!$C$21, $C$9, 100%, $E$9)</f>
        <v>23.521899999999999</v>
      </c>
      <c r="S539" s="14">
        <f>CHOOSE(CONTROL!$C$42, 21.755, 21.755) * CHOOSE(CONTROL!$C$21, $C$9, 100%, $E$9)</f>
        <v>21.754999999999999</v>
      </c>
      <c r="T53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39" s="57">
        <f>(1000*CHOOSE(CONTROL!$C$42, 695, 695)*CHOOSE(CONTROL!$C$42, 0.5599, 0.5599)*CHOOSE(CONTROL!$C$42, 30, 30))/1000000</f>
        <v>11.673914999999997</v>
      </c>
      <c r="V539" s="57">
        <f>(1000*CHOOSE(CONTROL!$C$42, 500, 500)*CHOOSE(CONTROL!$C$42, 0.275, 0.275)*CHOOSE(CONTROL!$C$42, 30, 30))/1000000</f>
        <v>4.125</v>
      </c>
      <c r="W539" s="57">
        <f>(1000*CHOOSE(CONTROL!$C$42, 0.1146, 0.1146)*CHOOSE(CONTROL!$C$42, 121.5, 121.5)*CHOOSE(CONTROL!$C$42, 30, 30))/1000000</f>
        <v>0.417717</v>
      </c>
      <c r="X539" s="57">
        <f>(30*0.1790888*100000/1000000)+(30*0.2374*100000/1000000)</f>
        <v>1.2494664</v>
      </c>
      <c r="Y539" s="57"/>
      <c r="Z539" s="14"/>
      <c r="AA539" s="56"/>
      <c r="AB539" s="50">
        <f>(B539*122.58+C539*297.941+D539*89.177+E539*40.302+F539*40+G539*160+H539*0+I539*100+J539*300)/(122.58+297.941+89.177+40.302+0+40+160+100+300)</f>
        <v>22.416656073565221</v>
      </c>
      <c r="AC539" s="45">
        <f>(M539*'RAP TEMPLATE-GAS AVAILABILITY'!O538+N539*'RAP TEMPLATE-GAS AVAILABILITY'!P538+O539*'RAP TEMPLATE-GAS AVAILABILITY'!Q538+P539*'RAP TEMPLATE-GAS AVAILABILITY'!R538)/('RAP TEMPLATE-GAS AVAILABILITY'!O538+'RAP TEMPLATE-GAS AVAILABILITY'!P538+'RAP TEMPLATE-GAS AVAILABILITY'!Q538+'RAP TEMPLATE-GAS AVAILABILITY'!R538)</f>
        <v>22.233507913669062</v>
      </c>
    </row>
    <row r="540" spans="1:29" ht="15.75" x14ac:dyDescent="0.25">
      <c r="A540" s="32">
        <v>57345</v>
      </c>
      <c r="B540" s="14">
        <f>CHOOSE(CONTROL!$C$42, 23.9319, 23.9319) * CHOOSE(CONTROL!$C$21, $C$9, 100%, $E$9)</f>
        <v>23.931899999999999</v>
      </c>
      <c r="C540" s="14">
        <f>CHOOSE(CONTROL!$C$42, 23.9369, 23.9369) * CHOOSE(CONTROL!$C$21, $C$9, 100%, $E$9)</f>
        <v>23.936900000000001</v>
      </c>
      <c r="D540" s="14">
        <f>CHOOSE(CONTROL!$C$42, 24, 24) * CHOOSE(CONTROL!$C$21, $C$9, 100%, $E$9)</f>
        <v>24</v>
      </c>
      <c r="E540" s="14">
        <f>CHOOSE(CONTROL!$C$42, 24.0337, 24.0337) * CHOOSE(CONTROL!$C$21, $C$9, 100%, $E$9)</f>
        <v>24.0337</v>
      </c>
      <c r="F540" s="14">
        <f>CHOOSE(CONTROL!$C$42, 23.9347, 23.9347)*CHOOSE(CONTROL!$C$21, $C$9, 100%, $E$9)</f>
        <v>23.934699999999999</v>
      </c>
      <c r="G540" s="14">
        <f>CHOOSE(CONTROL!$C$42, 23.9515, 23.9515)*CHOOSE(CONTROL!$C$21, $C$9, 100%, $E$9)</f>
        <v>23.951499999999999</v>
      </c>
      <c r="H540" s="14">
        <f>CHOOSE(CONTROL!$C$42, 24.0229, 24.0229) * CHOOSE(CONTROL!$C$21, $C$9, 100%, $E$9)</f>
        <v>24.0229</v>
      </c>
      <c r="I540" s="14">
        <f>CHOOSE(CONTROL!$C$42, 23.9455, 23.9455)* CHOOSE(CONTROL!$C$21, $C$9, 100%, $E$9)</f>
        <v>23.945499999999999</v>
      </c>
      <c r="J540" s="14">
        <f>CHOOSE(CONTROL!$C$42, 23.9277, 23.9277)* CHOOSE(CONTROL!$C$21, $C$9, 100%, $E$9)</f>
        <v>23.927700000000002</v>
      </c>
      <c r="K540" s="53">
        <f>CHOOSE(CONTROL!$C$42, 23.9416, 23.9416) * CHOOSE(CONTROL!$C$21, $C$9, 100%, $E$9)</f>
        <v>23.941600000000001</v>
      </c>
      <c r="L540" s="14">
        <f>CHOOSE(CONTROL!$C$42, 24.6099, 24.6099) * CHOOSE(CONTROL!$C$21, $C$9, 100%, $E$9)</f>
        <v>24.6099</v>
      </c>
      <c r="M540" s="14">
        <f>CHOOSE(CONTROL!$C$42, 23.7, 23.7) * CHOOSE(CONTROL!$C$21, $C$9, 100%, $E$9)</f>
        <v>23.7</v>
      </c>
      <c r="N540" s="14">
        <f>CHOOSE(CONTROL!$C$42, 23.7167, 23.7167) * CHOOSE(CONTROL!$C$21, $C$9, 100%, $E$9)</f>
        <v>23.716699999999999</v>
      </c>
      <c r="O540" s="14">
        <f>CHOOSE(CONTROL!$C$42, 23.7943, 23.7943) * CHOOSE(CONTROL!$C$21, $C$9, 100%, $E$9)</f>
        <v>23.7943</v>
      </c>
      <c r="P540" s="14">
        <f>CHOOSE(CONTROL!$C$42, 23.7177, 23.7177) * CHOOSE(CONTROL!$C$21, $C$9, 100%, $E$9)</f>
        <v>23.717700000000001</v>
      </c>
      <c r="Q540" s="14">
        <f>CHOOSE(CONTROL!$C$42, 24.3896, 24.3896) * CHOOSE(CONTROL!$C$21, $C$9, 100%, $E$9)</f>
        <v>24.389600000000002</v>
      </c>
      <c r="R540" s="14">
        <f>CHOOSE(CONTROL!$C$42, 25.0376, 25.0376) * CHOOSE(CONTROL!$C$21, $C$9, 100%, $E$9)</f>
        <v>25.037600000000001</v>
      </c>
      <c r="S540" s="14">
        <f>CHOOSE(CONTROL!$C$42, 23.2382, 23.2382) * CHOOSE(CONTROL!$C$21, $C$9, 100%, $E$9)</f>
        <v>23.238199999999999</v>
      </c>
      <c r="T54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40" s="57">
        <f>(1000*CHOOSE(CONTROL!$C$42, 695, 695)*CHOOSE(CONTROL!$C$42, 0.5599, 0.5599)*CHOOSE(CONTROL!$C$42, 31, 31))/1000000</f>
        <v>12.063045499999998</v>
      </c>
      <c r="V540" s="57">
        <f>(1000*CHOOSE(CONTROL!$C$42, 500, 500)*CHOOSE(CONTROL!$C$42, 0.275, 0.275)*CHOOSE(CONTROL!$C$42, 31, 31))/1000000</f>
        <v>4.2625000000000002</v>
      </c>
      <c r="W540" s="57">
        <f>(1000*CHOOSE(CONTROL!$C$42, 0.1146, 0.1146)*CHOOSE(CONTROL!$C$42, 121.5, 121.5)*CHOOSE(CONTROL!$C$42, 31, 31))/1000000</f>
        <v>0.43164089999999994</v>
      </c>
      <c r="X540" s="57">
        <f>(31*0.1790888*100000/1000000)+(31*0.2374*100000/1000000)</f>
        <v>1.2911152800000001</v>
      </c>
      <c r="Y540" s="57"/>
      <c r="Z540" s="14"/>
      <c r="AA540" s="56"/>
      <c r="AB540" s="50">
        <f>(B540*122.58+C540*297.941+D540*89.177+E540*40.302+F540*40+G540*160+H540*0+I540*100+J540*300)/(122.58+297.941+89.177+40.302+0+40+160+100+300)</f>
        <v>23.944955132434782</v>
      </c>
      <c r="AC540" s="45">
        <f>(M540*'RAP TEMPLATE-GAS AVAILABILITY'!O539+N540*'RAP TEMPLATE-GAS AVAILABILITY'!P539+O540*'RAP TEMPLATE-GAS AVAILABILITY'!Q539+P540*'RAP TEMPLATE-GAS AVAILABILITY'!R539)/('RAP TEMPLATE-GAS AVAILABILITY'!O539+'RAP TEMPLATE-GAS AVAILABILITY'!P539+'RAP TEMPLATE-GAS AVAILABILITY'!Q539+'RAP TEMPLATE-GAS AVAILABILITY'!R539)</f>
        <v>23.746248201438846</v>
      </c>
    </row>
    <row r="541" spans="1:29" ht="15.75" x14ac:dyDescent="0.25">
      <c r="A541" s="32">
        <v>57376</v>
      </c>
      <c r="B541" s="14">
        <f>CHOOSE(CONTROL!$C$42, 25.8926, 25.8926) * CHOOSE(CONTROL!$C$21, $C$9, 100%, $E$9)</f>
        <v>25.892600000000002</v>
      </c>
      <c r="C541" s="14">
        <f>CHOOSE(CONTROL!$C$42, 25.8975, 25.8975) * CHOOSE(CONTROL!$C$21, $C$9, 100%, $E$9)</f>
        <v>25.897500000000001</v>
      </c>
      <c r="D541" s="14">
        <f>CHOOSE(CONTROL!$C$42, 25.9618, 25.9618) * CHOOSE(CONTROL!$C$21, $C$9, 100%, $E$9)</f>
        <v>25.9618</v>
      </c>
      <c r="E541" s="14">
        <f>CHOOSE(CONTROL!$C$42, 25.9956, 25.9956) * CHOOSE(CONTROL!$C$21, $C$9, 100%, $E$9)</f>
        <v>25.9956</v>
      </c>
      <c r="F541" s="14">
        <f>CHOOSE(CONTROL!$C$42, 25.8941, 25.8941)*CHOOSE(CONTROL!$C$21, $C$9, 100%, $E$9)</f>
        <v>25.894100000000002</v>
      </c>
      <c r="G541" s="14">
        <f>CHOOSE(CONTROL!$C$42, 25.91, 25.91)*CHOOSE(CONTROL!$C$21, $C$9, 100%, $E$9)</f>
        <v>25.91</v>
      </c>
      <c r="H541" s="14">
        <f>CHOOSE(CONTROL!$C$42, 25.9848, 25.9848) * CHOOSE(CONTROL!$C$21, $C$9, 100%, $E$9)</f>
        <v>25.9848</v>
      </c>
      <c r="I541" s="14">
        <f>CHOOSE(CONTROL!$C$42, 25.9126, 25.9126)* CHOOSE(CONTROL!$C$21, $C$9, 100%, $E$9)</f>
        <v>25.912600000000001</v>
      </c>
      <c r="J541" s="14">
        <f>CHOOSE(CONTROL!$C$42, 25.8871, 25.8871)* CHOOSE(CONTROL!$C$21, $C$9, 100%, $E$9)</f>
        <v>25.8871</v>
      </c>
      <c r="K541" s="53">
        <f>CHOOSE(CONTROL!$C$42, 25.9087, 25.9087) * CHOOSE(CONTROL!$C$21, $C$9, 100%, $E$9)</f>
        <v>25.9087</v>
      </c>
      <c r="L541" s="14">
        <f>CHOOSE(CONTROL!$C$42, 26.5718, 26.5718) * CHOOSE(CONTROL!$C$21, $C$9, 100%, $E$9)</f>
        <v>26.5718</v>
      </c>
      <c r="M541" s="14">
        <f>CHOOSE(CONTROL!$C$42, 25.6397, 25.6397) * CHOOSE(CONTROL!$C$21, $C$9, 100%, $E$9)</f>
        <v>25.639700000000001</v>
      </c>
      <c r="N541" s="14">
        <f>CHOOSE(CONTROL!$C$42, 25.6554, 25.6554) * CHOOSE(CONTROL!$C$21, $C$9, 100%, $E$9)</f>
        <v>25.6554</v>
      </c>
      <c r="O541" s="14">
        <f>CHOOSE(CONTROL!$C$42, 25.7364, 25.7364) * CHOOSE(CONTROL!$C$21, $C$9, 100%, $E$9)</f>
        <v>25.7364</v>
      </c>
      <c r="P541" s="14">
        <f>CHOOSE(CONTROL!$C$42, 25.6649, 25.6649) * CHOOSE(CONTROL!$C$21, $C$9, 100%, $E$9)</f>
        <v>25.664899999999999</v>
      </c>
      <c r="Q541" s="14">
        <f>CHOOSE(CONTROL!$C$42, 26.3317, 26.3317) * CHOOSE(CONTROL!$C$21, $C$9, 100%, $E$9)</f>
        <v>26.331700000000001</v>
      </c>
      <c r="R541" s="14">
        <f>CHOOSE(CONTROL!$C$42, 26.9845, 26.9845) * CHOOSE(CONTROL!$C$21, $C$9, 100%, $E$9)</f>
        <v>26.984500000000001</v>
      </c>
      <c r="S541" s="14">
        <f>CHOOSE(CONTROL!$C$42, 25.1422, 25.1422) * CHOOSE(CONTROL!$C$21, $C$9, 100%, $E$9)</f>
        <v>25.142199999999999</v>
      </c>
      <c r="T54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41" s="57">
        <f>(1000*CHOOSE(CONTROL!$C$42, 695, 695)*CHOOSE(CONTROL!$C$42, 0.5599, 0.5599)*CHOOSE(CONTROL!$C$42, 31, 31))/1000000</f>
        <v>12.063045499999998</v>
      </c>
      <c r="V541" s="57">
        <f>(1000*CHOOSE(CONTROL!$C$42, 500, 500)*CHOOSE(CONTROL!$C$42, 0.275, 0.275)*CHOOSE(CONTROL!$C$42, 31, 31))/1000000</f>
        <v>4.2625000000000002</v>
      </c>
      <c r="W541" s="57">
        <f>(1000*CHOOSE(CONTROL!$C$42, 0.1146, 0.1146)*CHOOSE(CONTROL!$C$42, 121.5, 121.5)*CHOOSE(CONTROL!$C$42, 31, 31))/1000000</f>
        <v>0.43164089999999994</v>
      </c>
      <c r="X541" s="57">
        <f>(31*0.1790888*100000/1000000)+(31*0.2374*100000/1000000)</f>
        <v>1.2911152800000001</v>
      </c>
      <c r="Y541" s="57"/>
      <c r="Z541" s="14"/>
      <c r="AA541" s="56"/>
      <c r="AB541" s="50">
        <f>(B541*122.58+C541*297.941+D541*89.177+E541*40.302+F541*40+G541*160+H541*0+I541*100+J541*300)/(122.58+297.941+89.177+40.302+0+40+160+100+300)</f>
        <v>25.905622665478266</v>
      </c>
      <c r="AC541" s="45">
        <f>(M541*'RAP TEMPLATE-GAS AVAILABILITY'!O540+N541*'RAP TEMPLATE-GAS AVAILABILITY'!P540+O541*'RAP TEMPLATE-GAS AVAILABILITY'!Q540+P541*'RAP TEMPLATE-GAS AVAILABILITY'!R540)/('RAP TEMPLATE-GAS AVAILABILITY'!O540+'RAP TEMPLATE-GAS AVAILABILITY'!P540+'RAP TEMPLATE-GAS AVAILABILITY'!Q540+'RAP TEMPLATE-GAS AVAILABILITY'!R540)</f>
        <v>25.688057553956835</v>
      </c>
    </row>
    <row r="542" spans="1:29" ht="15.75" x14ac:dyDescent="0.25">
      <c r="A542" s="32">
        <v>57404</v>
      </c>
      <c r="B542" s="14">
        <f>CHOOSE(CONTROL!$C$42, 26.3535, 26.3535) * CHOOSE(CONTROL!$C$21, $C$9, 100%, $E$9)</f>
        <v>26.3535</v>
      </c>
      <c r="C542" s="14">
        <f>CHOOSE(CONTROL!$C$42, 26.3584, 26.3584) * CHOOSE(CONTROL!$C$21, $C$9, 100%, $E$9)</f>
        <v>26.3584</v>
      </c>
      <c r="D542" s="14">
        <f>CHOOSE(CONTROL!$C$42, 26.4227, 26.4227) * CHOOSE(CONTROL!$C$21, $C$9, 100%, $E$9)</f>
        <v>26.422699999999999</v>
      </c>
      <c r="E542" s="14">
        <f>CHOOSE(CONTROL!$C$42, 26.4565, 26.4565) * CHOOSE(CONTROL!$C$21, $C$9, 100%, $E$9)</f>
        <v>26.456499999999998</v>
      </c>
      <c r="F542" s="14">
        <f>CHOOSE(CONTROL!$C$42, 26.355, 26.355)*CHOOSE(CONTROL!$C$21, $C$9, 100%, $E$9)</f>
        <v>26.355</v>
      </c>
      <c r="G542" s="14">
        <f>CHOOSE(CONTROL!$C$42, 26.371, 26.371)*CHOOSE(CONTROL!$C$21, $C$9, 100%, $E$9)</f>
        <v>26.370999999999999</v>
      </c>
      <c r="H542" s="14">
        <f>CHOOSE(CONTROL!$C$42, 26.4457, 26.4457) * CHOOSE(CONTROL!$C$21, $C$9, 100%, $E$9)</f>
        <v>26.445699999999999</v>
      </c>
      <c r="I542" s="14">
        <f>CHOOSE(CONTROL!$C$42, 26.3734, 26.3734)* CHOOSE(CONTROL!$C$21, $C$9, 100%, $E$9)</f>
        <v>26.3734</v>
      </c>
      <c r="J542" s="14">
        <f>CHOOSE(CONTROL!$C$42, 26.348, 26.348)* CHOOSE(CONTROL!$C$21, $C$9, 100%, $E$9)</f>
        <v>26.347999999999999</v>
      </c>
      <c r="K542" s="53">
        <f>CHOOSE(CONTROL!$C$42, 26.3696, 26.3696) * CHOOSE(CONTROL!$C$21, $C$9, 100%, $E$9)</f>
        <v>26.369599999999998</v>
      </c>
      <c r="L542" s="14">
        <f>CHOOSE(CONTROL!$C$42, 27.0327, 27.0327) * CHOOSE(CONTROL!$C$21, $C$9, 100%, $E$9)</f>
        <v>27.032699999999998</v>
      </c>
      <c r="M542" s="14">
        <f>CHOOSE(CONTROL!$C$42, 26.096, 26.096) * CHOOSE(CONTROL!$C$21, $C$9, 100%, $E$9)</f>
        <v>26.096</v>
      </c>
      <c r="N542" s="14">
        <f>CHOOSE(CONTROL!$C$42, 26.1117, 26.1117) * CHOOSE(CONTROL!$C$21, $C$9, 100%, $E$9)</f>
        <v>26.111699999999999</v>
      </c>
      <c r="O542" s="14">
        <f>CHOOSE(CONTROL!$C$42, 26.1926, 26.1926) * CHOOSE(CONTROL!$C$21, $C$9, 100%, $E$9)</f>
        <v>26.192599999999999</v>
      </c>
      <c r="P542" s="14">
        <f>CHOOSE(CONTROL!$C$42, 26.1212, 26.1212) * CHOOSE(CONTROL!$C$21, $C$9, 100%, $E$9)</f>
        <v>26.121200000000002</v>
      </c>
      <c r="Q542" s="14">
        <f>CHOOSE(CONTROL!$C$42, 26.7879, 26.7879) * CHOOSE(CONTROL!$C$21, $C$9, 100%, $E$9)</f>
        <v>26.7879</v>
      </c>
      <c r="R542" s="14">
        <f>CHOOSE(CONTROL!$C$42, 27.4419, 27.4419) * CHOOSE(CONTROL!$C$21, $C$9, 100%, $E$9)</f>
        <v>27.4419</v>
      </c>
      <c r="S542" s="14">
        <f>CHOOSE(CONTROL!$C$42, 25.5897, 25.5897) * CHOOSE(CONTROL!$C$21, $C$9, 100%, $E$9)</f>
        <v>25.589700000000001</v>
      </c>
      <c r="T54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42" s="57">
        <f>(1000*CHOOSE(CONTROL!$C$42, 695, 695)*CHOOSE(CONTROL!$C$42, 0.5599, 0.5599)*CHOOSE(CONTROL!$C$42, 28, 28))/1000000</f>
        <v>10.895653999999999</v>
      </c>
      <c r="V542" s="57">
        <f>(1000*CHOOSE(CONTROL!$C$42, 500, 500)*CHOOSE(CONTROL!$C$42, 0.275, 0.275)*CHOOSE(CONTROL!$C$42, 28, 28))/1000000</f>
        <v>3.85</v>
      </c>
      <c r="W542" s="57">
        <f>(1000*CHOOSE(CONTROL!$C$42, 0.1146, 0.1146)*CHOOSE(CONTROL!$C$42, 121.5, 121.5)*CHOOSE(CONTROL!$C$42, 28, 28))/1000000</f>
        <v>0.38986920000000003</v>
      </c>
      <c r="X542" s="57">
        <f>(28*0.1790888*100000/1000000)+(28*0.2374*100000/1000000)</f>
        <v>1.16616864</v>
      </c>
      <c r="Y542" s="57"/>
      <c r="Z542" s="14"/>
      <c r="AA542" s="56"/>
      <c r="AB542" s="50">
        <f>(B542*122.58+C542*297.941+D542*89.177+E542*40.302+F542*40+G542*160+H542*0+I542*100+J542*300)/(122.58+297.941+89.177+40.302+0+40+160+100+300)</f>
        <v>26.366527882869566</v>
      </c>
      <c r="AC542" s="45">
        <f>(M542*'RAP TEMPLATE-GAS AVAILABILITY'!O541+N542*'RAP TEMPLATE-GAS AVAILABILITY'!P541+O542*'RAP TEMPLATE-GAS AVAILABILITY'!Q541+P542*'RAP TEMPLATE-GAS AVAILABILITY'!R541)/('RAP TEMPLATE-GAS AVAILABILITY'!O541+'RAP TEMPLATE-GAS AVAILABILITY'!P541+'RAP TEMPLATE-GAS AVAILABILITY'!Q541+'RAP TEMPLATE-GAS AVAILABILITY'!R541)</f>
        <v>26.144312230215824</v>
      </c>
    </row>
    <row r="543" spans="1:29" ht="15.75" x14ac:dyDescent="0.25">
      <c r="A543" s="32">
        <v>57435</v>
      </c>
      <c r="B543" s="14">
        <f>CHOOSE(CONTROL!$C$42, 25.6054, 25.6054) * CHOOSE(CONTROL!$C$21, $C$9, 100%, $E$9)</f>
        <v>25.605399999999999</v>
      </c>
      <c r="C543" s="14">
        <f>CHOOSE(CONTROL!$C$42, 25.6103, 25.6103) * CHOOSE(CONTROL!$C$21, $C$9, 100%, $E$9)</f>
        <v>25.610299999999999</v>
      </c>
      <c r="D543" s="14">
        <f>CHOOSE(CONTROL!$C$42, 25.6746, 25.6746) * CHOOSE(CONTROL!$C$21, $C$9, 100%, $E$9)</f>
        <v>25.674600000000002</v>
      </c>
      <c r="E543" s="14">
        <f>CHOOSE(CONTROL!$C$42, 25.7084, 25.7084) * CHOOSE(CONTROL!$C$21, $C$9, 100%, $E$9)</f>
        <v>25.708400000000001</v>
      </c>
      <c r="F543" s="14">
        <f>CHOOSE(CONTROL!$C$42, 25.6066, 25.6066)*CHOOSE(CONTROL!$C$21, $C$9, 100%, $E$9)</f>
        <v>25.6066</v>
      </c>
      <c r="G543" s="14">
        <f>CHOOSE(CONTROL!$C$42, 25.6225, 25.6225)*CHOOSE(CONTROL!$C$21, $C$9, 100%, $E$9)</f>
        <v>25.622499999999999</v>
      </c>
      <c r="H543" s="14">
        <f>CHOOSE(CONTROL!$C$42, 25.6976, 25.6976) * CHOOSE(CONTROL!$C$21, $C$9, 100%, $E$9)</f>
        <v>25.697600000000001</v>
      </c>
      <c r="I543" s="14">
        <f>CHOOSE(CONTROL!$C$42, 25.6253, 25.6253)* CHOOSE(CONTROL!$C$21, $C$9, 100%, $E$9)</f>
        <v>25.625299999999999</v>
      </c>
      <c r="J543" s="14">
        <f>CHOOSE(CONTROL!$C$42, 25.5996, 25.5996)* CHOOSE(CONTROL!$C$21, $C$9, 100%, $E$9)</f>
        <v>25.599599999999999</v>
      </c>
      <c r="K543" s="53">
        <f>CHOOSE(CONTROL!$C$42, 25.6214, 25.6214) * CHOOSE(CONTROL!$C$21, $C$9, 100%, $E$9)</f>
        <v>25.621400000000001</v>
      </c>
      <c r="L543" s="14">
        <f>CHOOSE(CONTROL!$C$42, 26.2846, 26.2846) * CHOOSE(CONTROL!$C$21, $C$9, 100%, $E$9)</f>
        <v>26.284600000000001</v>
      </c>
      <c r="M543" s="14">
        <f>CHOOSE(CONTROL!$C$42, 25.3551, 25.3551) * CHOOSE(CONTROL!$C$21, $C$9, 100%, $E$9)</f>
        <v>25.3551</v>
      </c>
      <c r="N543" s="14">
        <f>CHOOSE(CONTROL!$C$42, 25.3708, 25.3708) * CHOOSE(CONTROL!$C$21, $C$9, 100%, $E$9)</f>
        <v>25.370799999999999</v>
      </c>
      <c r="O543" s="14">
        <f>CHOOSE(CONTROL!$C$42, 25.4521, 25.4521) * CHOOSE(CONTROL!$C$21, $C$9, 100%, $E$9)</f>
        <v>25.452100000000002</v>
      </c>
      <c r="P543" s="14">
        <f>CHOOSE(CONTROL!$C$42, 25.3806, 25.3806) * CHOOSE(CONTROL!$C$21, $C$9, 100%, $E$9)</f>
        <v>25.380600000000001</v>
      </c>
      <c r="Q543" s="14">
        <f>CHOOSE(CONTROL!$C$42, 26.0474, 26.0474) * CHOOSE(CONTROL!$C$21, $C$9, 100%, $E$9)</f>
        <v>26.0474</v>
      </c>
      <c r="R543" s="14">
        <f>CHOOSE(CONTROL!$C$42, 26.6995, 26.6995) * CHOOSE(CONTROL!$C$21, $C$9, 100%, $E$9)</f>
        <v>26.6995</v>
      </c>
      <c r="S543" s="14">
        <f>CHOOSE(CONTROL!$C$42, 24.8632, 24.8632) * CHOOSE(CONTROL!$C$21, $C$9, 100%, $E$9)</f>
        <v>24.863199999999999</v>
      </c>
      <c r="T54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43" s="57">
        <f>(1000*CHOOSE(CONTROL!$C$42, 695, 695)*CHOOSE(CONTROL!$C$42, 0.5599, 0.5599)*CHOOSE(CONTROL!$C$42, 31, 31))/1000000</f>
        <v>12.063045499999998</v>
      </c>
      <c r="V543" s="57">
        <f>(1000*CHOOSE(CONTROL!$C$42, 500, 500)*CHOOSE(CONTROL!$C$42, 0.275, 0.275)*CHOOSE(CONTROL!$C$42, 31, 31))/1000000</f>
        <v>4.2625000000000002</v>
      </c>
      <c r="W543" s="57">
        <f>(1000*CHOOSE(CONTROL!$C$42, 0.1146, 0.1146)*CHOOSE(CONTROL!$C$42, 121.5, 121.5)*CHOOSE(CONTROL!$C$42, 31, 31))/1000000</f>
        <v>0.43164089999999994</v>
      </c>
      <c r="X543" s="57">
        <f>(31*0.1790888*100000/1000000)+(31*0.2374*100000/1000000)</f>
        <v>1.2911152800000001</v>
      </c>
      <c r="Y543" s="57"/>
      <c r="Z543" s="14"/>
      <c r="AA543" s="56"/>
      <c r="AB543" s="50">
        <f>(B543*122.58+C543*297.941+D543*89.177+E543*40.302+F543*40+G543*160+H543*0+I543*100+J543*300)/(122.58+297.941+89.177+40.302+0+40+160+100+300)</f>
        <v>25.618283535043471</v>
      </c>
      <c r="AC543" s="45">
        <f>(M543*'RAP TEMPLATE-GAS AVAILABILITY'!O542+N543*'RAP TEMPLATE-GAS AVAILABILITY'!P542+O543*'RAP TEMPLATE-GAS AVAILABILITY'!Q542+P543*'RAP TEMPLATE-GAS AVAILABILITY'!R542)/('RAP TEMPLATE-GAS AVAILABILITY'!O542+'RAP TEMPLATE-GAS AVAILABILITY'!P542+'RAP TEMPLATE-GAS AVAILABILITY'!Q542+'RAP TEMPLATE-GAS AVAILABILITY'!R542)</f>
        <v>25.403636690647481</v>
      </c>
    </row>
    <row r="544" spans="1:29" ht="15.75" x14ac:dyDescent="0.25">
      <c r="A544" s="32">
        <v>57465</v>
      </c>
      <c r="B544" s="14">
        <f>CHOOSE(CONTROL!$C$42, 25.5299, 25.5299) * CHOOSE(CONTROL!$C$21, $C$9, 100%, $E$9)</f>
        <v>25.529900000000001</v>
      </c>
      <c r="C544" s="14">
        <f>CHOOSE(CONTROL!$C$42, 25.5342, 25.5342) * CHOOSE(CONTROL!$C$21, $C$9, 100%, $E$9)</f>
        <v>25.534199999999998</v>
      </c>
      <c r="D544" s="14">
        <f>CHOOSE(CONTROL!$C$42, 25.735, 25.735) * CHOOSE(CONTROL!$C$21, $C$9, 100%, $E$9)</f>
        <v>25.734999999999999</v>
      </c>
      <c r="E544" s="14">
        <f>CHOOSE(CONTROL!$C$42, 25.7668, 25.7668) * CHOOSE(CONTROL!$C$21, $C$9, 100%, $E$9)</f>
        <v>25.7668</v>
      </c>
      <c r="F544" s="14">
        <f>CHOOSE(CONTROL!$C$42, 25.5144, 25.5144)*CHOOSE(CONTROL!$C$21, $C$9, 100%, $E$9)</f>
        <v>25.514399999999998</v>
      </c>
      <c r="G544" s="14">
        <f>CHOOSE(CONTROL!$C$42, 25.5301, 25.5301)*CHOOSE(CONTROL!$C$21, $C$9, 100%, $E$9)</f>
        <v>25.530100000000001</v>
      </c>
      <c r="H544" s="14">
        <f>CHOOSE(CONTROL!$C$42, 25.7565, 25.7565) * CHOOSE(CONTROL!$C$21, $C$9, 100%, $E$9)</f>
        <v>25.756499999999999</v>
      </c>
      <c r="I544" s="14">
        <f>CHOOSE(CONTROL!$C$42, 25.5426, 25.5426)* CHOOSE(CONTROL!$C$21, $C$9, 100%, $E$9)</f>
        <v>25.5426</v>
      </c>
      <c r="J544" s="14">
        <f>CHOOSE(CONTROL!$C$42, 25.5074, 25.5074)* CHOOSE(CONTROL!$C$21, $C$9, 100%, $E$9)</f>
        <v>25.507400000000001</v>
      </c>
      <c r="K544" s="53">
        <f>CHOOSE(CONTROL!$C$42, 25.5387, 25.5387) * CHOOSE(CONTROL!$C$21, $C$9, 100%, $E$9)</f>
        <v>25.538699999999999</v>
      </c>
      <c r="L544" s="14">
        <f>CHOOSE(CONTROL!$C$42, 26.3435, 26.3435) * CHOOSE(CONTROL!$C$21, $C$9, 100%, $E$9)</f>
        <v>26.343499999999999</v>
      </c>
      <c r="M544" s="14">
        <f>CHOOSE(CONTROL!$C$42, 25.2639, 25.2639) * CHOOSE(CONTROL!$C$21, $C$9, 100%, $E$9)</f>
        <v>25.2639</v>
      </c>
      <c r="N544" s="14">
        <f>CHOOSE(CONTROL!$C$42, 25.2793, 25.2793) * CHOOSE(CONTROL!$C$21, $C$9, 100%, $E$9)</f>
        <v>25.279299999999999</v>
      </c>
      <c r="O544" s="14">
        <f>CHOOSE(CONTROL!$C$42, 25.5104, 25.5104) * CHOOSE(CONTROL!$C$21, $C$9, 100%, $E$9)</f>
        <v>25.510400000000001</v>
      </c>
      <c r="P544" s="14">
        <f>CHOOSE(CONTROL!$C$42, 25.2987, 25.2987) * CHOOSE(CONTROL!$C$21, $C$9, 100%, $E$9)</f>
        <v>25.2987</v>
      </c>
      <c r="Q544" s="14">
        <f>CHOOSE(CONTROL!$C$42, 26.1057, 26.1057) * CHOOSE(CONTROL!$C$21, $C$9, 100%, $E$9)</f>
        <v>26.105699999999999</v>
      </c>
      <c r="R544" s="14">
        <f>CHOOSE(CONTROL!$C$42, 26.758, 26.758) * CHOOSE(CONTROL!$C$21, $C$9, 100%, $E$9)</f>
        <v>26.757999999999999</v>
      </c>
      <c r="S544" s="14">
        <f>CHOOSE(CONTROL!$C$42, 24.7892, 24.7892) * CHOOSE(CONTROL!$C$21, $C$9, 100%, $E$9)</f>
        <v>24.789200000000001</v>
      </c>
      <c r="T54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44" s="57">
        <f>(1000*CHOOSE(CONTROL!$C$42, 695, 695)*CHOOSE(CONTROL!$C$42, 0.5599, 0.5599)*CHOOSE(CONTROL!$C$42, 30, 30))/1000000</f>
        <v>11.673914999999997</v>
      </c>
      <c r="V544" s="57">
        <f>(1000*CHOOSE(CONTROL!$C$42, 500, 500)*CHOOSE(CONTROL!$C$42, 0.275, 0.275)*CHOOSE(CONTROL!$C$42, 30, 30))/1000000</f>
        <v>4.125</v>
      </c>
      <c r="W544" s="57">
        <f>(1000*CHOOSE(CONTROL!$C$42, 0.1146, 0.1146)*CHOOSE(CONTROL!$C$42, 121.5, 121.5)*CHOOSE(CONTROL!$C$42, 30, 30))/1000000</f>
        <v>0.417717</v>
      </c>
      <c r="X544" s="57">
        <f>(30*0.1790888*245000/1000000)+(30*0.2374*100000/1000000)</f>
        <v>2.0285026799999999</v>
      </c>
      <c r="Y544" s="57"/>
      <c r="Z544" s="14"/>
      <c r="AA544" s="56"/>
      <c r="AB544" s="50">
        <f>(B544*141.293+C544*267.993+D544*115.016+E544*89.698+F544*40+G544*185+H544*0+I544*100+J544*300)/(141.293+267.993+115.016+89.698+0+40+185+100+300)</f>
        <v>25.562126479176754</v>
      </c>
      <c r="AC544" s="45">
        <f>(M544*'RAP TEMPLATE-GAS AVAILABILITY'!O543+N544*'RAP TEMPLATE-GAS AVAILABILITY'!P543+O544*'RAP TEMPLATE-GAS AVAILABILITY'!Q543+P544*'RAP TEMPLATE-GAS AVAILABILITY'!R543)/('RAP TEMPLATE-GAS AVAILABILITY'!O543+'RAP TEMPLATE-GAS AVAILABILITY'!P543+'RAP TEMPLATE-GAS AVAILABILITY'!Q543+'RAP TEMPLATE-GAS AVAILABILITY'!R543)</f>
        <v>25.341614388489212</v>
      </c>
    </row>
    <row r="545" spans="1:29" ht="15.75" x14ac:dyDescent="0.25">
      <c r="A545" s="32">
        <v>57496</v>
      </c>
      <c r="B545" s="14">
        <f>CHOOSE(CONTROL!$C$42, 25.7566, 25.7566) * CHOOSE(CONTROL!$C$21, $C$9, 100%, $E$9)</f>
        <v>25.756599999999999</v>
      </c>
      <c r="C545" s="14">
        <f>CHOOSE(CONTROL!$C$42, 25.7645, 25.7645) * CHOOSE(CONTROL!$C$21, $C$9, 100%, $E$9)</f>
        <v>25.764500000000002</v>
      </c>
      <c r="D545" s="14">
        <f>CHOOSE(CONTROL!$C$42, 25.9621, 25.9621) * CHOOSE(CONTROL!$C$21, $C$9, 100%, $E$9)</f>
        <v>25.9621</v>
      </c>
      <c r="E545" s="14">
        <f>CHOOSE(CONTROL!$C$42, 25.9932, 25.9932) * CHOOSE(CONTROL!$C$21, $C$9, 100%, $E$9)</f>
        <v>25.993200000000002</v>
      </c>
      <c r="F545" s="14">
        <f>CHOOSE(CONTROL!$C$42, 25.74, 25.74)*CHOOSE(CONTROL!$C$21, $C$9, 100%, $E$9)</f>
        <v>25.74</v>
      </c>
      <c r="G545" s="14">
        <f>CHOOSE(CONTROL!$C$42, 25.7561, 25.7561)*CHOOSE(CONTROL!$C$21, $C$9, 100%, $E$9)</f>
        <v>25.7561</v>
      </c>
      <c r="H545" s="14">
        <f>CHOOSE(CONTROL!$C$42, 25.9818, 25.9818) * CHOOSE(CONTROL!$C$21, $C$9, 100%, $E$9)</f>
        <v>25.9818</v>
      </c>
      <c r="I545" s="14">
        <f>CHOOSE(CONTROL!$C$42, 25.7679, 25.7679)* CHOOSE(CONTROL!$C$21, $C$9, 100%, $E$9)</f>
        <v>25.767900000000001</v>
      </c>
      <c r="J545" s="14">
        <f>CHOOSE(CONTROL!$C$42, 25.733, 25.733)* CHOOSE(CONTROL!$C$21, $C$9, 100%, $E$9)</f>
        <v>25.733000000000001</v>
      </c>
      <c r="K545" s="53">
        <f>CHOOSE(CONTROL!$C$42, 25.764, 25.764) * CHOOSE(CONTROL!$C$21, $C$9, 100%, $E$9)</f>
        <v>25.763999999999999</v>
      </c>
      <c r="L545" s="14">
        <f>CHOOSE(CONTROL!$C$42, 26.5688, 26.5688) * CHOOSE(CONTROL!$C$21, $C$9, 100%, $E$9)</f>
        <v>26.5688</v>
      </c>
      <c r="M545" s="14">
        <f>CHOOSE(CONTROL!$C$42, 25.4871, 25.4871) * CHOOSE(CONTROL!$C$21, $C$9, 100%, $E$9)</f>
        <v>25.487100000000002</v>
      </c>
      <c r="N545" s="14">
        <f>CHOOSE(CONTROL!$C$42, 25.503, 25.503) * CHOOSE(CONTROL!$C$21, $C$9, 100%, $E$9)</f>
        <v>25.503</v>
      </c>
      <c r="O545" s="14">
        <f>CHOOSE(CONTROL!$C$42, 25.7335, 25.7335) * CHOOSE(CONTROL!$C$21, $C$9, 100%, $E$9)</f>
        <v>25.733499999999999</v>
      </c>
      <c r="P545" s="14">
        <f>CHOOSE(CONTROL!$C$42, 25.5217, 25.5217) * CHOOSE(CONTROL!$C$21, $C$9, 100%, $E$9)</f>
        <v>25.521699999999999</v>
      </c>
      <c r="Q545" s="14">
        <f>CHOOSE(CONTROL!$C$42, 26.3288, 26.3288) * CHOOSE(CONTROL!$C$21, $C$9, 100%, $E$9)</f>
        <v>26.328800000000001</v>
      </c>
      <c r="R545" s="14">
        <f>CHOOSE(CONTROL!$C$42, 26.9816, 26.9816) * CHOOSE(CONTROL!$C$21, $C$9, 100%, $E$9)</f>
        <v>26.9816</v>
      </c>
      <c r="S545" s="14">
        <f>CHOOSE(CONTROL!$C$42, 25.0079, 25.0079) * CHOOSE(CONTROL!$C$21, $C$9, 100%, $E$9)</f>
        <v>25.007899999999999</v>
      </c>
      <c r="T54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45" s="57">
        <f>(1000*CHOOSE(CONTROL!$C$42, 695, 695)*CHOOSE(CONTROL!$C$42, 0.5599, 0.5599)*CHOOSE(CONTROL!$C$42, 31, 31))/1000000</f>
        <v>12.063045499999998</v>
      </c>
      <c r="V545" s="57">
        <f>(1000*CHOOSE(CONTROL!$C$42, 500, 500)*CHOOSE(CONTROL!$C$42, 0.275, 0.275)*CHOOSE(CONTROL!$C$42, 31, 31))/1000000</f>
        <v>4.2625000000000002</v>
      </c>
      <c r="W545" s="57">
        <f>(1000*CHOOSE(CONTROL!$C$42, 0.1146, 0.1146)*CHOOSE(CONTROL!$C$42, 121.5, 121.5)*CHOOSE(CONTROL!$C$42, 31, 31))/1000000</f>
        <v>0.43164089999999994</v>
      </c>
      <c r="X545" s="57">
        <f>(31*0.1790888*245000/1000000)+(31*0.2374*100000/1000000)</f>
        <v>2.0961194359999999</v>
      </c>
      <c r="Y545" s="57"/>
      <c r="Z545" s="14"/>
      <c r="AA545" s="56"/>
      <c r="AB545" s="50">
        <f>(B545*194.205+C545*267.466+D545*133.845+E545*53.484+F545*40+G545*185+H545*0+I545*100+J545*300)/(194.205+267.466+133.845+53.484+0+40+185+100+300)</f>
        <v>25.784516752982729</v>
      </c>
      <c r="AC545" s="45">
        <f>(M545*'RAP TEMPLATE-GAS AVAILABILITY'!O544+N545*'RAP TEMPLATE-GAS AVAILABILITY'!P544+O545*'RAP TEMPLATE-GAS AVAILABILITY'!Q544+P545*'RAP TEMPLATE-GAS AVAILABILITY'!R544)/('RAP TEMPLATE-GAS AVAILABILITY'!O544+'RAP TEMPLATE-GAS AVAILABILITY'!P544+'RAP TEMPLATE-GAS AVAILABILITY'!Q544+'RAP TEMPLATE-GAS AVAILABILITY'!R544)</f>
        <v>25.564872661870499</v>
      </c>
    </row>
    <row r="546" spans="1:29" ht="15.75" x14ac:dyDescent="0.25">
      <c r="A546" s="32">
        <v>57526</v>
      </c>
      <c r="B546" s="14">
        <f>CHOOSE(CONTROL!$C$42, 26.487, 26.487) * CHOOSE(CONTROL!$C$21, $C$9, 100%, $E$9)</f>
        <v>26.486999999999998</v>
      </c>
      <c r="C546" s="14">
        <f>CHOOSE(CONTROL!$C$42, 26.4949, 26.4949) * CHOOSE(CONTROL!$C$21, $C$9, 100%, $E$9)</f>
        <v>26.494900000000001</v>
      </c>
      <c r="D546" s="14">
        <f>CHOOSE(CONTROL!$C$42, 26.6925, 26.6925) * CHOOSE(CONTROL!$C$21, $C$9, 100%, $E$9)</f>
        <v>26.692499999999999</v>
      </c>
      <c r="E546" s="14">
        <f>CHOOSE(CONTROL!$C$42, 26.7237, 26.7237) * CHOOSE(CONTROL!$C$21, $C$9, 100%, $E$9)</f>
        <v>26.723700000000001</v>
      </c>
      <c r="F546" s="14">
        <f>CHOOSE(CONTROL!$C$42, 26.4709, 26.4709)*CHOOSE(CONTROL!$C$21, $C$9, 100%, $E$9)</f>
        <v>26.4709</v>
      </c>
      <c r="G546" s="14">
        <f>CHOOSE(CONTROL!$C$42, 26.4871, 26.4871)*CHOOSE(CONTROL!$C$21, $C$9, 100%, $E$9)</f>
        <v>26.487100000000002</v>
      </c>
      <c r="H546" s="14">
        <f>CHOOSE(CONTROL!$C$42, 26.7123, 26.7123) * CHOOSE(CONTROL!$C$21, $C$9, 100%, $E$9)</f>
        <v>26.712299999999999</v>
      </c>
      <c r="I546" s="14">
        <f>CHOOSE(CONTROL!$C$42, 26.4984, 26.4984)* CHOOSE(CONTROL!$C$21, $C$9, 100%, $E$9)</f>
        <v>26.4984</v>
      </c>
      <c r="J546" s="14">
        <f>CHOOSE(CONTROL!$C$42, 26.4639, 26.4639)* CHOOSE(CONTROL!$C$21, $C$9, 100%, $E$9)</f>
        <v>26.463899999999999</v>
      </c>
      <c r="K546" s="53">
        <f>CHOOSE(CONTROL!$C$42, 26.4945, 26.4945) * CHOOSE(CONTROL!$C$21, $C$9, 100%, $E$9)</f>
        <v>26.494499999999999</v>
      </c>
      <c r="L546" s="14">
        <f>CHOOSE(CONTROL!$C$42, 27.2993, 27.2993) * CHOOSE(CONTROL!$C$21, $C$9, 100%, $E$9)</f>
        <v>27.299299999999999</v>
      </c>
      <c r="M546" s="14">
        <f>CHOOSE(CONTROL!$C$42, 26.2106, 26.2106) * CHOOSE(CONTROL!$C$21, $C$9, 100%, $E$9)</f>
        <v>26.210599999999999</v>
      </c>
      <c r="N546" s="14">
        <f>CHOOSE(CONTROL!$C$42, 26.2266, 26.2266) * CHOOSE(CONTROL!$C$21, $C$9, 100%, $E$9)</f>
        <v>26.226600000000001</v>
      </c>
      <c r="O546" s="14">
        <f>CHOOSE(CONTROL!$C$42, 26.4565, 26.4565) * CHOOSE(CONTROL!$C$21, $C$9, 100%, $E$9)</f>
        <v>26.456499999999998</v>
      </c>
      <c r="P546" s="14">
        <f>CHOOSE(CONTROL!$C$42, 26.2448, 26.2448) * CHOOSE(CONTROL!$C$21, $C$9, 100%, $E$9)</f>
        <v>26.244800000000001</v>
      </c>
      <c r="Q546" s="14">
        <f>CHOOSE(CONTROL!$C$42, 27.0518, 27.0518) * CHOOSE(CONTROL!$C$21, $C$9, 100%, $E$9)</f>
        <v>27.0518</v>
      </c>
      <c r="R546" s="14">
        <f>CHOOSE(CONTROL!$C$42, 27.7065, 27.7065) * CHOOSE(CONTROL!$C$21, $C$9, 100%, $E$9)</f>
        <v>27.706499999999998</v>
      </c>
      <c r="S546" s="14">
        <f>CHOOSE(CONTROL!$C$42, 25.7173, 25.7173) * CHOOSE(CONTROL!$C$21, $C$9, 100%, $E$9)</f>
        <v>25.717300000000002</v>
      </c>
      <c r="T54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46" s="57">
        <f>(1000*CHOOSE(CONTROL!$C$42, 695, 695)*CHOOSE(CONTROL!$C$42, 0.5599, 0.5599)*CHOOSE(CONTROL!$C$42, 30, 30))/1000000</f>
        <v>11.673914999999997</v>
      </c>
      <c r="V546" s="57">
        <f>(1000*CHOOSE(CONTROL!$C$42, 500, 500)*CHOOSE(CONTROL!$C$42, 0.275, 0.275)*CHOOSE(CONTROL!$C$42, 30, 30))/1000000</f>
        <v>4.125</v>
      </c>
      <c r="W546" s="57">
        <f>(1000*CHOOSE(CONTROL!$C$42, 0.1146, 0.1146)*CHOOSE(CONTROL!$C$42, 121.5, 121.5)*CHOOSE(CONTROL!$C$42, 30, 30))/1000000</f>
        <v>0.417717</v>
      </c>
      <c r="X546" s="57">
        <f>(30*0.1790888*245000/1000000)+(30*0.2374*100000/1000000)</f>
        <v>2.0285026799999999</v>
      </c>
      <c r="Y546" s="57"/>
      <c r="Z546" s="14"/>
      <c r="AA546" s="56"/>
      <c r="AB546" s="50">
        <f>(B546*194.205+C546*267.466+D546*133.845+E546*53.484+F546*40+G546*185+H546*0+I546*100+J546*300)/(194.205+267.466+133.845+53.484+0+40+185+100+300)</f>
        <v>26.5151493655416</v>
      </c>
      <c r="AC546" s="45">
        <f>(M546*'RAP TEMPLATE-GAS AVAILABILITY'!O545+N546*'RAP TEMPLATE-GAS AVAILABILITY'!P545+O546*'RAP TEMPLATE-GAS AVAILABILITY'!Q545+P546*'RAP TEMPLATE-GAS AVAILABILITY'!R545)/('RAP TEMPLATE-GAS AVAILABILITY'!O545+'RAP TEMPLATE-GAS AVAILABILITY'!P545+'RAP TEMPLATE-GAS AVAILABILITY'!Q545+'RAP TEMPLATE-GAS AVAILABILITY'!R545)</f>
        <v>26.288197841726621</v>
      </c>
    </row>
    <row r="547" spans="1:29" ht="15.75" x14ac:dyDescent="0.25">
      <c r="A547" s="32">
        <v>57557</v>
      </c>
      <c r="B547" s="14">
        <f>CHOOSE(CONTROL!$C$42, 25.979, 25.979) * CHOOSE(CONTROL!$C$21, $C$9, 100%, $E$9)</f>
        <v>25.978999999999999</v>
      </c>
      <c r="C547" s="14">
        <f>CHOOSE(CONTROL!$C$42, 25.9869, 25.9869) * CHOOSE(CONTROL!$C$21, $C$9, 100%, $E$9)</f>
        <v>25.986899999999999</v>
      </c>
      <c r="D547" s="14">
        <f>CHOOSE(CONTROL!$C$42, 26.1845, 26.1845) * CHOOSE(CONTROL!$C$21, $C$9, 100%, $E$9)</f>
        <v>26.1845</v>
      </c>
      <c r="E547" s="14">
        <f>CHOOSE(CONTROL!$C$42, 26.2156, 26.2156) * CHOOSE(CONTROL!$C$21, $C$9, 100%, $E$9)</f>
        <v>26.215599999999998</v>
      </c>
      <c r="F547" s="14">
        <f>CHOOSE(CONTROL!$C$42, 25.9632, 25.9632)*CHOOSE(CONTROL!$C$21, $C$9, 100%, $E$9)</f>
        <v>25.963200000000001</v>
      </c>
      <c r="G547" s="14">
        <f>CHOOSE(CONTROL!$C$42, 25.9795, 25.9795)*CHOOSE(CONTROL!$C$21, $C$9, 100%, $E$9)</f>
        <v>25.979500000000002</v>
      </c>
      <c r="H547" s="14">
        <f>CHOOSE(CONTROL!$C$42, 26.2043, 26.2043) * CHOOSE(CONTROL!$C$21, $C$9, 100%, $E$9)</f>
        <v>26.2043</v>
      </c>
      <c r="I547" s="14">
        <f>CHOOSE(CONTROL!$C$42, 25.9903, 25.9903)* CHOOSE(CONTROL!$C$21, $C$9, 100%, $E$9)</f>
        <v>25.990300000000001</v>
      </c>
      <c r="J547" s="14">
        <f>CHOOSE(CONTROL!$C$42, 25.9562, 25.9562)* CHOOSE(CONTROL!$C$21, $C$9, 100%, $E$9)</f>
        <v>25.956199999999999</v>
      </c>
      <c r="K547" s="53">
        <f>CHOOSE(CONTROL!$C$42, 25.9865, 25.9865) * CHOOSE(CONTROL!$C$21, $C$9, 100%, $E$9)</f>
        <v>25.986499999999999</v>
      </c>
      <c r="L547" s="14">
        <f>CHOOSE(CONTROL!$C$42, 26.7913, 26.7913) * CHOOSE(CONTROL!$C$21, $C$9, 100%, $E$9)</f>
        <v>26.7913</v>
      </c>
      <c r="M547" s="14">
        <f>CHOOSE(CONTROL!$C$42, 25.7081, 25.7081) * CHOOSE(CONTROL!$C$21, $C$9, 100%, $E$9)</f>
        <v>25.708100000000002</v>
      </c>
      <c r="N547" s="14">
        <f>CHOOSE(CONTROL!$C$42, 25.7243, 25.7243) * CHOOSE(CONTROL!$C$21, $C$9, 100%, $E$9)</f>
        <v>25.724299999999999</v>
      </c>
      <c r="O547" s="14">
        <f>CHOOSE(CONTROL!$C$42, 25.9536, 25.9536) * CHOOSE(CONTROL!$C$21, $C$9, 100%, $E$9)</f>
        <v>25.953600000000002</v>
      </c>
      <c r="P547" s="14">
        <f>CHOOSE(CONTROL!$C$42, 25.7419, 25.7419) * CHOOSE(CONTROL!$C$21, $C$9, 100%, $E$9)</f>
        <v>25.741900000000001</v>
      </c>
      <c r="Q547" s="14">
        <f>CHOOSE(CONTROL!$C$42, 26.5489, 26.5489) * CHOOSE(CONTROL!$C$21, $C$9, 100%, $E$9)</f>
        <v>26.5489</v>
      </c>
      <c r="R547" s="14">
        <f>CHOOSE(CONTROL!$C$42, 27.2023, 27.2023) * CHOOSE(CONTROL!$C$21, $C$9, 100%, $E$9)</f>
        <v>27.202300000000001</v>
      </c>
      <c r="S547" s="14">
        <f>CHOOSE(CONTROL!$C$42, 25.2239, 25.2239) * CHOOSE(CONTROL!$C$21, $C$9, 100%, $E$9)</f>
        <v>25.2239</v>
      </c>
      <c r="T54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47" s="57">
        <f>(1000*CHOOSE(CONTROL!$C$42, 695, 695)*CHOOSE(CONTROL!$C$42, 0.5599, 0.5599)*CHOOSE(CONTROL!$C$42, 31, 31))/1000000</f>
        <v>12.063045499999998</v>
      </c>
      <c r="V547" s="57">
        <f>(1000*CHOOSE(CONTROL!$C$42, 500, 500)*CHOOSE(CONTROL!$C$42, 0.275, 0.275)*CHOOSE(CONTROL!$C$42, 31, 31))/1000000</f>
        <v>4.2625000000000002</v>
      </c>
      <c r="W547" s="57">
        <f>(1000*CHOOSE(CONTROL!$C$42, 0.1146, 0.1146)*CHOOSE(CONTROL!$C$42, 121.5, 121.5)*CHOOSE(CONTROL!$C$42, 31, 31))/1000000</f>
        <v>0.43164089999999994</v>
      </c>
      <c r="X547" s="57">
        <f>(31*0.1790888*245000/1000000)+(31*0.2374*100000/1000000)</f>
        <v>2.0961194359999999</v>
      </c>
      <c r="Y547" s="57"/>
      <c r="Z547" s="14"/>
      <c r="AA547" s="56"/>
      <c r="AB547" s="50">
        <f>(B547*194.205+C547*267.466+D547*133.845+E547*53.484+F547*40+G547*185+H547*0+I547*100+J547*300)/(194.205+267.466+133.845+53.484+0+40+185+100+300)</f>
        <v>26.007275465698584</v>
      </c>
      <c r="AC547" s="45">
        <f>(M547*'RAP TEMPLATE-GAS AVAILABILITY'!O546+N547*'RAP TEMPLATE-GAS AVAILABILITY'!P546+O547*'RAP TEMPLATE-GAS AVAILABILITY'!Q546+P547*'RAP TEMPLATE-GAS AVAILABILITY'!R546)/('RAP TEMPLATE-GAS AVAILABILITY'!O546+'RAP TEMPLATE-GAS AVAILABILITY'!P546+'RAP TEMPLATE-GAS AVAILABILITY'!Q546+'RAP TEMPLATE-GAS AVAILABILITY'!R546)</f>
        <v>25.785574100719423</v>
      </c>
    </row>
    <row r="548" spans="1:29" ht="15.75" x14ac:dyDescent="0.25">
      <c r="A548" s="32">
        <v>57588</v>
      </c>
      <c r="B548" s="14">
        <f>CHOOSE(CONTROL!$C$42, 24.696, 24.696) * CHOOSE(CONTROL!$C$21, $C$9, 100%, $E$9)</f>
        <v>24.696000000000002</v>
      </c>
      <c r="C548" s="14">
        <f>CHOOSE(CONTROL!$C$42, 24.7039, 24.7039) * CHOOSE(CONTROL!$C$21, $C$9, 100%, $E$9)</f>
        <v>24.703900000000001</v>
      </c>
      <c r="D548" s="14">
        <f>CHOOSE(CONTROL!$C$42, 24.9015, 24.9015) * CHOOSE(CONTROL!$C$21, $C$9, 100%, $E$9)</f>
        <v>24.901499999999999</v>
      </c>
      <c r="E548" s="14">
        <f>CHOOSE(CONTROL!$C$42, 24.9327, 24.9327) * CHOOSE(CONTROL!$C$21, $C$9, 100%, $E$9)</f>
        <v>24.932700000000001</v>
      </c>
      <c r="F548" s="14">
        <f>CHOOSE(CONTROL!$C$42, 24.6805, 24.6805)*CHOOSE(CONTROL!$C$21, $C$9, 100%, $E$9)</f>
        <v>24.680499999999999</v>
      </c>
      <c r="G548" s="14">
        <f>CHOOSE(CONTROL!$C$42, 24.6968, 24.6968)*CHOOSE(CONTROL!$C$21, $C$9, 100%, $E$9)</f>
        <v>24.6968</v>
      </c>
      <c r="H548" s="14">
        <f>CHOOSE(CONTROL!$C$42, 24.9213, 24.9213) * CHOOSE(CONTROL!$C$21, $C$9, 100%, $E$9)</f>
        <v>24.921299999999999</v>
      </c>
      <c r="I548" s="14">
        <f>CHOOSE(CONTROL!$C$42, 24.7074, 24.7074)* CHOOSE(CONTROL!$C$21, $C$9, 100%, $E$9)</f>
        <v>24.7074</v>
      </c>
      <c r="J548" s="14">
        <f>CHOOSE(CONTROL!$C$42, 24.6735, 24.6735)* CHOOSE(CONTROL!$C$21, $C$9, 100%, $E$9)</f>
        <v>24.673500000000001</v>
      </c>
      <c r="K548" s="53">
        <f>CHOOSE(CONTROL!$C$42, 24.7035, 24.7035) * CHOOSE(CONTROL!$C$21, $C$9, 100%, $E$9)</f>
        <v>24.703499999999998</v>
      </c>
      <c r="L548" s="14">
        <f>CHOOSE(CONTROL!$C$42, 25.5083, 25.5083) * CHOOSE(CONTROL!$C$21, $C$9, 100%, $E$9)</f>
        <v>25.508299999999998</v>
      </c>
      <c r="M548" s="14">
        <f>CHOOSE(CONTROL!$C$42, 24.4383, 24.4383) * CHOOSE(CONTROL!$C$21, $C$9, 100%, $E$9)</f>
        <v>24.438300000000002</v>
      </c>
      <c r="N548" s="14">
        <f>CHOOSE(CONTROL!$C$42, 24.4545, 24.4545) * CHOOSE(CONTROL!$C$21, $C$9, 100%, $E$9)</f>
        <v>24.454499999999999</v>
      </c>
      <c r="O548" s="14">
        <f>CHOOSE(CONTROL!$C$42, 24.6836, 24.6836) * CHOOSE(CONTROL!$C$21, $C$9, 100%, $E$9)</f>
        <v>24.683599999999998</v>
      </c>
      <c r="P548" s="14">
        <f>CHOOSE(CONTROL!$C$42, 24.4719, 24.4719) * CHOOSE(CONTROL!$C$21, $C$9, 100%, $E$9)</f>
        <v>24.471900000000002</v>
      </c>
      <c r="Q548" s="14">
        <f>CHOOSE(CONTROL!$C$42, 25.2789, 25.2789) * CHOOSE(CONTROL!$C$21, $C$9, 100%, $E$9)</f>
        <v>25.2789</v>
      </c>
      <c r="R548" s="14">
        <f>CHOOSE(CONTROL!$C$42, 25.9291, 25.9291) * CHOOSE(CONTROL!$C$21, $C$9, 100%, $E$9)</f>
        <v>25.929099999999998</v>
      </c>
      <c r="S548" s="14">
        <f>CHOOSE(CONTROL!$C$42, 23.9781, 23.9781) * CHOOSE(CONTROL!$C$21, $C$9, 100%, $E$9)</f>
        <v>23.978100000000001</v>
      </c>
      <c r="T54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48" s="57">
        <f>(1000*CHOOSE(CONTROL!$C$42, 695, 695)*CHOOSE(CONTROL!$C$42, 0.5599, 0.5599)*CHOOSE(CONTROL!$C$42, 31, 31))/1000000</f>
        <v>12.063045499999998</v>
      </c>
      <c r="V548" s="57">
        <f>(1000*CHOOSE(CONTROL!$C$42, 500, 500)*CHOOSE(CONTROL!$C$42, 0.275, 0.275)*CHOOSE(CONTROL!$C$42, 31, 31))/1000000</f>
        <v>4.2625000000000002</v>
      </c>
      <c r="W548" s="57">
        <f>(1000*CHOOSE(CONTROL!$C$42, 0.1146, 0.1146)*CHOOSE(CONTROL!$C$42, 121.5, 121.5)*CHOOSE(CONTROL!$C$42, 31, 31))/1000000</f>
        <v>0.43164089999999994</v>
      </c>
      <c r="X548" s="57">
        <f>(31*0.1790888*245000/1000000)+(31*0.2374*100000/1000000)</f>
        <v>2.0961194359999999</v>
      </c>
      <c r="Y548" s="57"/>
      <c r="Z548" s="14"/>
      <c r="AA548" s="56"/>
      <c r="AB548" s="50">
        <f>(B548*194.205+C548*267.466+D548*133.845+E548*53.484+F548*40+G548*185+H548*0+I548*100+J548*300)/(194.205+267.466+133.845+53.484+0+40+185+100+300)</f>
        <v>24.724411139481944</v>
      </c>
      <c r="AC548" s="45">
        <f>(M548*'RAP TEMPLATE-GAS AVAILABILITY'!O547+N548*'RAP TEMPLATE-GAS AVAILABILITY'!P547+O548*'RAP TEMPLATE-GAS AVAILABILITY'!Q547+P548*'RAP TEMPLATE-GAS AVAILABILITY'!R547)/('RAP TEMPLATE-GAS AVAILABILITY'!O547+'RAP TEMPLATE-GAS AVAILABILITY'!P547+'RAP TEMPLATE-GAS AVAILABILITY'!Q547+'RAP TEMPLATE-GAS AVAILABILITY'!R547)</f>
        <v>24.515689208633091</v>
      </c>
    </row>
    <row r="549" spans="1:29" ht="15.75" x14ac:dyDescent="0.25">
      <c r="A549" s="32">
        <v>57618</v>
      </c>
      <c r="B549" s="14">
        <f>CHOOSE(CONTROL!$C$42, 23.1281, 23.1281) * CHOOSE(CONTROL!$C$21, $C$9, 100%, $E$9)</f>
        <v>23.1281</v>
      </c>
      <c r="C549" s="14">
        <f>CHOOSE(CONTROL!$C$42, 23.136, 23.136) * CHOOSE(CONTROL!$C$21, $C$9, 100%, $E$9)</f>
        <v>23.135999999999999</v>
      </c>
      <c r="D549" s="14">
        <f>CHOOSE(CONTROL!$C$42, 23.3336, 23.3336) * CHOOSE(CONTROL!$C$21, $C$9, 100%, $E$9)</f>
        <v>23.333600000000001</v>
      </c>
      <c r="E549" s="14">
        <f>CHOOSE(CONTROL!$C$42, 23.3647, 23.3647) * CHOOSE(CONTROL!$C$21, $C$9, 100%, $E$9)</f>
        <v>23.364699999999999</v>
      </c>
      <c r="F549" s="14">
        <f>CHOOSE(CONTROL!$C$42, 23.1125, 23.1125)*CHOOSE(CONTROL!$C$21, $C$9, 100%, $E$9)</f>
        <v>23.112500000000001</v>
      </c>
      <c r="G549" s="14">
        <f>CHOOSE(CONTROL!$C$42, 23.1288, 23.1288)*CHOOSE(CONTROL!$C$21, $C$9, 100%, $E$9)</f>
        <v>23.128799999999998</v>
      </c>
      <c r="H549" s="14">
        <f>CHOOSE(CONTROL!$C$42, 23.3533, 23.3533) * CHOOSE(CONTROL!$C$21, $C$9, 100%, $E$9)</f>
        <v>23.353300000000001</v>
      </c>
      <c r="I549" s="14">
        <f>CHOOSE(CONTROL!$C$42, 23.1394, 23.1394)* CHOOSE(CONTROL!$C$21, $C$9, 100%, $E$9)</f>
        <v>23.139399999999998</v>
      </c>
      <c r="J549" s="14">
        <f>CHOOSE(CONTROL!$C$42, 23.1055, 23.1055)* CHOOSE(CONTROL!$C$21, $C$9, 100%, $E$9)</f>
        <v>23.105499999999999</v>
      </c>
      <c r="K549" s="53">
        <f>CHOOSE(CONTROL!$C$42, 23.1356, 23.1356) * CHOOSE(CONTROL!$C$21, $C$9, 100%, $E$9)</f>
        <v>23.1356</v>
      </c>
      <c r="L549" s="14">
        <f>CHOOSE(CONTROL!$C$42, 23.9403, 23.9403) * CHOOSE(CONTROL!$C$21, $C$9, 100%, $E$9)</f>
        <v>23.940300000000001</v>
      </c>
      <c r="M549" s="14">
        <f>CHOOSE(CONTROL!$C$42, 22.8861, 22.8861) * CHOOSE(CONTROL!$C$21, $C$9, 100%, $E$9)</f>
        <v>22.886099999999999</v>
      </c>
      <c r="N549" s="14">
        <f>CHOOSE(CONTROL!$C$42, 22.9023, 22.9023) * CHOOSE(CONTROL!$C$21, $C$9, 100%, $E$9)</f>
        <v>22.9023</v>
      </c>
      <c r="O549" s="14">
        <f>CHOOSE(CONTROL!$C$42, 23.1315, 23.1315) * CHOOSE(CONTROL!$C$21, $C$9, 100%, $E$9)</f>
        <v>23.131499999999999</v>
      </c>
      <c r="P549" s="14">
        <f>CHOOSE(CONTROL!$C$42, 22.9198, 22.9198) * CHOOSE(CONTROL!$C$21, $C$9, 100%, $E$9)</f>
        <v>22.919799999999999</v>
      </c>
      <c r="Q549" s="14">
        <f>CHOOSE(CONTROL!$C$42, 23.7268, 23.7268) * CHOOSE(CONTROL!$C$21, $C$9, 100%, $E$9)</f>
        <v>23.726800000000001</v>
      </c>
      <c r="R549" s="14">
        <f>CHOOSE(CONTROL!$C$42, 24.3731, 24.3731) * CHOOSE(CONTROL!$C$21, $C$9, 100%, $E$9)</f>
        <v>24.373100000000001</v>
      </c>
      <c r="S549" s="14">
        <f>CHOOSE(CONTROL!$C$42, 22.4554, 22.4554) * CHOOSE(CONTROL!$C$21, $C$9, 100%, $E$9)</f>
        <v>22.455400000000001</v>
      </c>
      <c r="T54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49" s="57">
        <f>(1000*CHOOSE(CONTROL!$C$42, 695, 695)*CHOOSE(CONTROL!$C$42, 0.5599, 0.5599)*CHOOSE(CONTROL!$C$42, 30, 30))/1000000</f>
        <v>11.673914999999997</v>
      </c>
      <c r="V549" s="57">
        <f>(1000*CHOOSE(CONTROL!$C$42, 500, 500)*CHOOSE(CONTROL!$C$42, 0.275, 0.275)*CHOOSE(CONTROL!$C$42, 30, 30))/1000000</f>
        <v>4.125</v>
      </c>
      <c r="W549" s="57">
        <f>(1000*CHOOSE(CONTROL!$C$42, 0.1146, 0.1146)*CHOOSE(CONTROL!$C$42, 121.5, 121.5)*CHOOSE(CONTROL!$C$42, 30, 30))/1000000</f>
        <v>0.417717</v>
      </c>
      <c r="X549" s="57">
        <f>(30*0.1790888*245000/1000000)+(30*0.2374*100000/1000000)</f>
        <v>2.0285026799999999</v>
      </c>
      <c r="Y549" s="57"/>
      <c r="Z549" s="14"/>
      <c r="AA549" s="56"/>
      <c r="AB549" s="50">
        <f>(B549*194.205+C549*267.466+D549*133.845+E549*53.484+F549*40+G549*185+H549*0+I549*100+J549*300)/(194.205+267.466+133.845+53.484+0+40+185+100+300)</f>
        <v>23.156457883281004</v>
      </c>
      <c r="AC549" s="45">
        <f>(M549*'RAP TEMPLATE-GAS AVAILABILITY'!O548+N549*'RAP TEMPLATE-GAS AVAILABILITY'!P548+O549*'RAP TEMPLATE-GAS AVAILABILITY'!Q548+P549*'RAP TEMPLATE-GAS AVAILABILITY'!R548)/('RAP TEMPLATE-GAS AVAILABILITY'!O548+'RAP TEMPLATE-GAS AVAILABILITY'!P548+'RAP TEMPLATE-GAS AVAILABILITY'!Q548+'RAP TEMPLATE-GAS AVAILABILITY'!R548)</f>
        <v>22.963531654676256</v>
      </c>
    </row>
    <row r="550" spans="1:29" ht="15.75" x14ac:dyDescent="0.25">
      <c r="A550" s="32">
        <v>57649</v>
      </c>
      <c r="B550" s="14">
        <f>CHOOSE(CONTROL!$C$42, 22.6568, 22.6568) * CHOOSE(CONTROL!$C$21, $C$9, 100%, $E$9)</f>
        <v>22.6568</v>
      </c>
      <c r="C550" s="14">
        <f>CHOOSE(CONTROL!$C$42, 22.662, 22.662) * CHOOSE(CONTROL!$C$21, $C$9, 100%, $E$9)</f>
        <v>22.661999999999999</v>
      </c>
      <c r="D550" s="14">
        <f>CHOOSE(CONTROL!$C$42, 22.8646, 22.8646) * CHOOSE(CONTROL!$C$21, $C$9, 100%, $E$9)</f>
        <v>22.864599999999999</v>
      </c>
      <c r="E550" s="14">
        <f>CHOOSE(CONTROL!$C$42, 22.8934, 22.8934) * CHOOSE(CONTROL!$C$21, $C$9, 100%, $E$9)</f>
        <v>22.8934</v>
      </c>
      <c r="F550" s="14">
        <f>CHOOSE(CONTROL!$C$42, 22.6432, 22.6432)*CHOOSE(CONTROL!$C$21, $C$9, 100%, $E$9)</f>
        <v>22.6432</v>
      </c>
      <c r="G550" s="14">
        <f>CHOOSE(CONTROL!$C$42, 22.6592, 22.6592)*CHOOSE(CONTROL!$C$21, $C$9, 100%, $E$9)</f>
        <v>22.659199999999998</v>
      </c>
      <c r="H550" s="14">
        <f>CHOOSE(CONTROL!$C$42, 22.8839, 22.8839) * CHOOSE(CONTROL!$C$21, $C$9, 100%, $E$9)</f>
        <v>22.883900000000001</v>
      </c>
      <c r="I550" s="14">
        <f>CHOOSE(CONTROL!$C$42, 22.67, 22.67)* CHOOSE(CONTROL!$C$21, $C$9, 100%, $E$9)</f>
        <v>22.67</v>
      </c>
      <c r="J550" s="14">
        <f>CHOOSE(CONTROL!$C$42, 22.6362, 22.6362)* CHOOSE(CONTROL!$C$21, $C$9, 100%, $E$9)</f>
        <v>22.636199999999999</v>
      </c>
      <c r="K550" s="53">
        <f>CHOOSE(CONTROL!$C$42, 22.6661, 22.6661) * CHOOSE(CONTROL!$C$21, $C$9, 100%, $E$9)</f>
        <v>22.6661</v>
      </c>
      <c r="L550" s="14">
        <f>CHOOSE(CONTROL!$C$42, 23.4709, 23.4709) * CHOOSE(CONTROL!$C$21, $C$9, 100%, $E$9)</f>
        <v>23.4709</v>
      </c>
      <c r="M550" s="14">
        <f>CHOOSE(CONTROL!$C$42, 22.4216, 22.4216) * CHOOSE(CONTROL!$C$21, $C$9, 100%, $E$9)</f>
        <v>22.421600000000002</v>
      </c>
      <c r="N550" s="14">
        <f>CHOOSE(CONTROL!$C$42, 22.4374, 22.4374) * CHOOSE(CONTROL!$C$21, $C$9, 100%, $E$9)</f>
        <v>22.4374</v>
      </c>
      <c r="O550" s="14">
        <f>CHOOSE(CONTROL!$C$42, 22.6668, 22.6668) * CHOOSE(CONTROL!$C$21, $C$9, 100%, $E$9)</f>
        <v>22.666799999999999</v>
      </c>
      <c r="P550" s="14">
        <f>CHOOSE(CONTROL!$C$42, 22.455, 22.455) * CHOOSE(CONTROL!$C$21, $C$9, 100%, $E$9)</f>
        <v>22.454999999999998</v>
      </c>
      <c r="Q550" s="14">
        <f>CHOOSE(CONTROL!$C$42, 23.2621, 23.2621) * CHOOSE(CONTROL!$C$21, $C$9, 100%, $E$9)</f>
        <v>23.2621</v>
      </c>
      <c r="R550" s="14">
        <f>CHOOSE(CONTROL!$C$42, 23.9072, 23.9072) * CHOOSE(CONTROL!$C$21, $C$9, 100%, $E$9)</f>
        <v>23.9072</v>
      </c>
      <c r="S550" s="14">
        <f>CHOOSE(CONTROL!$C$42, 21.9995, 21.9995) * CHOOSE(CONTROL!$C$21, $C$9, 100%, $E$9)</f>
        <v>21.999500000000001</v>
      </c>
      <c r="T55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50" s="57">
        <f>(1000*CHOOSE(CONTROL!$C$42, 695, 695)*CHOOSE(CONTROL!$C$42, 0.5599, 0.5599)*CHOOSE(CONTROL!$C$42, 31, 31))/1000000</f>
        <v>12.063045499999998</v>
      </c>
      <c r="V550" s="57">
        <f>(1000*CHOOSE(CONTROL!$C$42, 500, 500)*CHOOSE(CONTROL!$C$42, 0.275, 0.275)*CHOOSE(CONTROL!$C$42, 31, 31))/1000000</f>
        <v>4.2625000000000002</v>
      </c>
      <c r="W550" s="57">
        <f>(1000*CHOOSE(CONTROL!$C$42, 0.1146, 0.1146)*CHOOSE(CONTROL!$C$42, 121.5, 121.5)*CHOOSE(CONTROL!$C$42, 31, 31))/1000000</f>
        <v>0.43164089999999994</v>
      </c>
      <c r="X550" s="57">
        <f>(31*0.1790888*245000/1000000)+(31*0.2374*100000/1000000)</f>
        <v>2.0961194359999999</v>
      </c>
      <c r="Y550" s="57"/>
      <c r="Z550" s="14"/>
      <c r="AA550" s="56"/>
      <c r="AB550" s="50">
        <f>(B550*131.881+C550*277.167+D550*79.08+E550*125.872+F550*40+G550*185+H550*0+I550*100+J550*300)/(131.881+277.167+79.08+125.872+0+40+185+100+300)</f>
        <v>22.691259570298627</v>
      </c>
      <c r="AC550" s="45">
        <f>(M550*'RAP TEMPLATE-GAS AVAILABILITY'!O549+N550*'RAP TEMPLATE-GAS AVAILABILITY'!P549+O550*'RAP TEMPLATE-GAS AVAILABILITY'!Q549+P550*'RAP TEMPLATE-GAS AVAILABILITY'!R549)/('RAP TEMPLATE-GAS AVAILABILITY'!O549+'RAP TEMPLATE-GAS AVAILABILITY'!P549+'RAP TEMPLATE-GAS AVAILABILITY'!Q549+'RAP TEMPLATE-GAS AVAILABILITY'!R549)</f>
        <v>22.498840287769784</v>
      </c>
    </row>
    <row r="551" spans="1:29" ht="15.75" x14ac:dyDescent="0.25">
      <c r="A551" s="32">
        <v>57679</v>
      </c>
      <c r="B551" s="14">
        <f>CHOOSE(CONTROL!$C$42, 23.2532, 23.2532) * CHOOSE(CONTROL!$C$21, $C$9, 100%, $E$9)</f>
        <v>23.2532</v>
      </c>
      <c r="C551" s="14">
        <f>CHOOSE(CONTROL!$C$42, 23.2582, 23.2582) * CHOOSE(CONTROL!$C$21, $C$9, 100%, $E$9)</f>
        <v>23.258199999999999</v>
      </c>
      <c r="D551" s="14">
        <f>CHOOSE(CONTROL!$C$42, 23.3212, 23.3212) * CHOOSE(CONTROL!$C$21, $C$9, 100%, $E$9)</f>
        <v>23.321200000000001</v>
      </c>
      <c r="E551" s="14">
        <f>CHOOSE(CONTROL!$C$42, 23.355, 23.355) * CHOOSE(CONTROL!$C$21, $C$9, 100%, $E$9)</f>
        <v>23.355</v>
      </c>
      <c r="F551" s="14">
        <f>CHOOSE(CONTROL!$C$42, 23.2539, 23.2539)*CHOOSE(CONTROL!$C$21, $C$9, 100%, $E$9)</f>
        <v>23.253900000000002</v>
      </c>
      <c r="G551" s="14">
        <f>CHOOSE(CONTROL!$C$42, 23.2702, 23.2702)*CHOOSE(CONTROL!$C$21, $C$9, 100%, $E$9)</f>
        <v>23.270199999999999</v>
      </c>
      <c r="H551" s="14">
        <f>CHOOSE(CONTROL!$C$42, 23.3442, 23.3442) * CHOOSE(CONTROL!$C$21, $C$9, 100%, $E$9)</f>
        <v>23.344200000000001</v>
      </c>
      <c r="I551" s="14">
        <f>CHOOSE(CONTROL!$C$42, 23.2668, 23.2668)* CHOOSE(CONTROL!$C$21, $C$9, 100%, $E$9)</f>
        <v>23.2668</v>
      </c>
      <c r="J551" s="14">
        <f>CHOOSE(CONTROL!$C$42, 23.2469, 23.2469)* CHOOSE(CONTROL!$C$21, $C$9, 100%, $E$9)</f>
        <v>23.2469</v>
      </c>
      <c r="K551" s="53">
        <f>CHOOSE(CONTROL!$C$42, 23.2629, 23.2629) * CHOOSE(CONTROL!$C$21, $C$9, 100%, $E$9)</f>
        <v>23.262899999999998</v>
      </c>
      <c r="L551" s="14">
        <f>CHOOSE(CONTROL!$C$42, 23.9312, 23.9312) * CHOOSE(CONTROL!$C$21, $C$9, 100%, $E$9)</f>
        <v>23.9312</v>
      </c>
      <c r="M551" s="14">
        <f>CHOOSE(CONTROL!$C$42, 23.0261, 23.0261) * CHOOSE(CONTROL!$C$21, $C$9, 100%, $E$9)</f>
        <v>23.0261</v>
      </c>
      <c r="N551" s="14">
        <f>CHOOSE(CONTROL!$C$42, 23.0423, 23.0423) * CHOOSE(CONTROL!$C$21, $C$9, 100%, $E$9)</f>
        <v>23.042300000000001</v>
      </c>
      <c r="O551" s="14">
        <f>CHOOSE(CONTROL!$C$42, 23.1225, 23.1225) * CHOOSE(CONTROL!$C$21, $C$9, 100%, $E$9)</f>
        <v>23.122499999999999</v>
      </c>
      <c r="P551" s="14">
        <f>CHOOSE(CONTROL!$C$42, 23.0458, 23.0458) * CHOOSE(CONTROL!$C$21, $C$9, 100%, $E$9)</f>
        <v>23.0458</v>
      </c>
      <c r="Q551" s="14">
        <f>CHOOSE(CONTROL!$C$42, 23.7178, 23.7178) * CHOOSE(CONTROL!$C$21, $C$9, 100%, $E$9)</f>
        <v>23.7178</v>
      </c>
      <c r="R551" s="14">
        <f>CHOOSE(CONTROL!$C$42, 24.3641, 24.3641) * CHOOSE(CONTROL!$C$21, $C$9, 100%, $E$9)</f>
        <v>24.364100000000001</v>
      </c>
      <c r="S551" s="14">
        <f>CHOOSE(CONTROL!$C$42, 22.5791, 22.5791) * CHOOSE(CONTROL!$C$21, $C$9, 100%, $E$9)</f>
        <v>22.5791</v>
      </c>
      <c r="T55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51" s="57">
        <f>(1000*CHOOSE(CONTROL!$C$42, 695, 695)*CHOOSE(CONTROL!$C$42, 0.5599, 0.5599)*CHOOSE(CONTROL!$C$42, 30, 30))/1000000</f>
        <v>11.673914999999997</v>
      </c>
      <c r="V551" s="57">
        <f>(1000*CHOOSE(CONTROL!$C$42, 500, 500)*CHOOSE(CONTROL!$C$42, 0.275, 0.275)*CHOOSE(CONTROL!$C$42, 30, 30))/1000000</f>
        <v>4.125</v>
      </c>
      <c r="W551" s="57">
        <f>(1000*CHOOSE(CONTROL!$C$42, 0.1146, 0.1146)*CHOOSE(CONTROL!$C$42, 121.5, 121.5)*CHOOSE(CONTROL!$C$42, 30, 30))/1000000</f>
        <v>0.417717</v>
      </c>
      <c r="X551" s="57">
        <f>(30*0.1790888*100000/1000000)+(30*0.2374*100000/1000000)</f>
        <v>1.2494664</v>
      </c>
      <c r="Y551" s="57"/>
      <c r="Z551" s="14"/>
      <c r="AA551" s="56"/>
      <c r="AB551" s="50">
        <f>(B551*122.58+C551*297.941+D551*89.177+E551*40.302+F551*40+G551*160+H551*0+I551*100+J551*300)/(122.58+297.941+89.177+40.302+0+40+160+100+300)</f>
        <v>23.265264769217389</v>
      </c>
      <c r="AC551" s="45">
        <f>(M551*'RAP TEMPLATE-GAS AVAILABILITY'!O550+N551*'RAP TEMPLATE-GAS AVAILABILITY'!P550+O551*'RAP TEMPLATE-GAS AVAILABILITY'!Q550+P551*'RAP TEMPLATE-GAS AVAILABILITY'!R550)/('RAP TEMPLATE-GAS AVAILABILITY'!O550+'RAP TEMPLATE-GAS AVAILABILITY'!P550+'RAP TEMPLATE-GAS AVAILABILITY'!Q550+'RAP TEMPLATE-GAS AVAILABILITY'!R550)</f>
        <v>23.073558992805754</v>
      </c>
    </row>
    <row r="552" spans="1:29" ht="15.75" x14ac:dyDescent="0.25">
      <c r="A552" s="32">
        <v>57710</v>
      </c>
      <c r="B552" s="14">
        <f>CHOOSE(CONTROL!$C$42, 24.8384, 24.8384) * CHOOSE(CONTROL!$C$21, $C$9, 100%, $E$9)</f>
        <v>24.8384</v>
      </c>
      <c r="C552" s="14">
        <f>CHOOSE(CONTROL!$C$42, 24.8434, 24.8434) * CHOOSE(CONTROL!$C$21, $C$9, 100%, $E$9)</f>
        <v>24.843399999999999</v>
      </c>
      <c r="D552" s="14">
        <f>CHOOSE(CONTROL!$C$42, 24.9064, 24.9064) * CHOOSE(CONTROL!$C$21, $C$9, 100%, $E$9)</f>
        <v>24.906400000000001</v>
      </c>
      <c r="E552" s="14">
        <f>CHOOSE(CONTROL!$C$42, 24.9402, 24.9402) * CHOOSE(CONTROL!$C$21, $C$9, 100%, $E$9)</f>
        <v>24.940200000000001</v>
      </c>
      <c r="F552" s="14">
        <f>CHOOSE(CONTROL!$C$42, 24.8411, 24.8411)*CHOOSE(CONTROL!$C$21, $C$9, 100%, $E$9)</f>
        <v>24.841100000000001</v>
      </c>
      <c r="G552" s="14">
        <f>CHOOSE(CONTROL!$C$42, 24.858, 24.858)*CHOOSE(CONTROL!$C$21, $C$9, 100%, $E$9)</f>
        <v>24.858000000000001</v>
      </c>
      <c r="H552" s="14">
        <f>CHOOSE(CONTROL!$C$42, 24.9294, 24.9294) * CHOOSE(CONTROL!$C$21, $C$9, 100%, $E$9)</f>
        <v>24.929400000000001</v>
      </c>
      <c r="I552" s="14">
        <f>CHOOSE(CONTROL!$C$42, 24.8519, 24.8519)* CHOOSE(CONTROL!$C$21, $C$9, 100%, $E$9)</f>
        <v>24.851900000000001</v>
      </c>
      <c r="J552" s="14">
        <f>CHOOSE(CONTROL!$C$42, 24.8341, 24.8341)* CHOOSE(CONTROL!$C$21, $C$9, 100%, $E$9)</f>
        <v>24.834099999999999</v>
      </c>
      <c r="K552" s="53">
        <f>CHOOSE(CONTROL!$C$42, 24.8481, 24.8481) * CHOOSE(CONTROL!$C$21, $C$9, 100%, $E$9)</f>
        <v>24.848099999999999</v>
      </c>
      <c r="L552" s="14">
        <f>CHOOSE(CONTROL!$C$42, 25.5164, 25.5164) * CHOOSE(CONTROL!$C$21, $C$9, 100%, $E$9)</f>
        <v>25.516400000000001</v>
      </c>
      <c r="M552" s="14">
        <f>CHOOSE(CONTROL!$C$42, 24.5974, 24.5974) * CHOOSE(CONTROL!$C$21, $C$9, 100%, $E$9)</f>
        <v>24.5974</v>
      </c>
      <c r="N552" s="14">
        <f>CHOOSE(CONTROL!$C$42, 24.614, 24.614) * CHOOSE(CONTROL!$C$21, $C$9, 100%, $E$9)</f>
        <v>24.614000000000001</v>
      </c>
      <c r="O552" s="14">
        <f>CHOOSE(CONTROL!$C$42, 24.6917, 24.6917) * CHOOSE(CONTROL!$C$21, $C$9, 100%, $E$9)</f>
        <v>24.691700000000001</v>
      </c>
      <c r="P552" s="14">
        <f>CHOOSE(CONTROL!$C$42, 24.615, 24.615) * CHOOSE(CONTROL!$C$21, $C$9, 100%, $E$9)</f>
        <v>24.614999999999998</v>
      </c>
      <c r="Q552" s="14">
        <f>CHOOSE(CONTROL!$C$42, 25.287, 25.287) * CHOOSE(CONTROL!$C$21, $C$9, 100%, $E$9)</f>
        <v>25.286999999999999</v>
      </c>
      <c r="R552" s="14">
        <f>CHOOSE(CONTROL!$C$42, 25.9372, 25.9372) * CHOOSE(CONTROL!$C$21, $C$9, 100%, $E$9)</f>
        <v>25.937200000000001</v>
      </c>
      <c r="S552" s="14">
        <f>CHOOSE(CONTROL!$C$42, 24.1184, 24.1184) * CHOOSE(CONTROL!$C$21, $C$9, 100%, $E$9)</f>
        <v>24.118400000000001</v>
      </c>
      <c r="T55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52" s="57">
        <f>(1000*CHOOSE(CONTROL!$C$42, 695, 695)*CHOOSE(CONTROL!$C$42, 0.5599, 0.5599)*CHOOSE(CONTROL!$C$42, 31, 31))/1000000</f>
        <v>12.063045499999998</v>
      </c>
      <c r="V552" s="57">
        <f>(1000*CHOOSE(CONTROL!$C$42, 500, 500)*CHOOSE(CONTROL!$C$42, 0.275, 0.275)*CHOOSE(CONTROL!$C$42, 31, 31))/1000000</f>
        <v>4.2625000000000002</v>
      </c>
      <c r="W552" s="57">
        <f>(1000*CHOOSE(CONTROL!$C$42, 0.1146, 0.1146)*CHOOSE(CONTROL!$C$42, 121.5, 121.5)*CHOOSE(CONTROL!$C$42, 31, 31))/1000000</f>
        <v>0.43164089999999994</v>
      </c>
      <c r="X552" s="57">
        <f>(31*0.1790888*100000/1000000)+(31*0.2374*100000/1000000)</f>
        <v>1.2911152800000001</v>
      </c>
      <c r="Y552" s="57"/>
      <c r="Z552" s="14"/>
      <c r="AA552" s="56"/>
      <c r="AB552" s="50">
        <f>(B552*122.58+C552*297.941+D552*89.177+E552*40.302+F552*40+G552*160+H552*0+I552*100+J552*300)/(122.58+297.941+89.177+40.302+0+40+160+100+300)</f>
        <v>24.851409117043474</v>
      </c>
      <c r="AC552" s="45">
        <f>(M552*'RAP TEMPLATE-GAS AVAILABILITY'!O551+N552*'RAP TEMPLATE-GAS AVAILABILITY'!P551+O552*'RAP TEMPLATE-GAS AVAILABILITY'!Q551+P552*'RAP TEMPLATE-GAS AVAILABILITY'!R551)/('RAP TEMPLATE-GAS AVAILABILITY'!O551+'RAP TEMPLATE-GAS AVAILABILITY'!P551+'RAP TEMPLATE-GAS AVAILABILITY'!Q551+'RAP TEMPLATE-GAS AVAILABILITY'!R551)</f>
        <v>24.643628057553961</v>
      </c>
    </row>
    <row r="553" spans="1:29" ht="15.75" x14ac:dyDescent="0.25">
      <c r="A553" s="32">
        <v>57741</v>
      </c>
      <c r="B553" s="14">
        <f>CHOOSE(CONTROL!$C$42, 26.8733, 26.8733) * CHOOSE(CONTROL!$C$21, $C$9, 100%, $E$9)</f>
        <v>26.8733</v>
      </c>
      <c r="C553" s="14">
        <f>CHOOSE(CONTROL!$C$42, 26.8783, 26.8783) * CHOOSE(CONTROL!$C$21, $C$9, 100%, $E$9)</f>
        <v>26.878299999999999</v>
      </c>
      <c r="D553" s="14">
        <f>CHOOSE(CONTROL!$C$42, 26.9426, 26.9426) * CHOOSE(CONTROL!$C$21, $C$9, 100%, $E$9)</f>
        <v>26.942599999999999</v>
      </c>
      <c r="E553" s="14">
        <f>CHOOSE(CONTROL!$C$42, 26.9763, 26.9763) * CHOOSE(CONTROL!$C$21, $C$9, 100%, $E$9)</f>
        <v>26.976299999999998</v>
      </c>
      <c r="F553" s="14">
        <f>CHOOSE(CONTROL!$C$42, 26.8749, 26.8749)*CHOOSE(CONTROL!$C$21, $C$9, 100%, $E$9)</f>
        <v>26.8749</v>
      </c>
      <c r="G553" s="14">
        <f>CHOOSE(CONTROL!$C$42, 26.8908, 26.8908)*CHOOSE(CONTROL!$C$21, $C$9, 100%, $E$9)</f>
        <v>26.890799999999999</v>
      </c>
      <c r="H553" s="14">
        <f>CHOOSE(CONTROL!$C$42, 26.9655, 26.9655) * CHOOSE(CONTROL!$C$21, $C$9, 100%, $E$9)</f>
        <v>26.965499999999999</v>
      </c>
      <c r="I553" s="14">
        <f>CHOOSE(CONTROL!$C$42, 26.8933, 26.8933)* CHOOSE(CONTROL!$C$21, $C$9, 100%, $E$9)</f>
        <v>26.8933</v>
      </c>
      <c r="J553" s="14">
        <f>CHOOSE(CONTROL!$C$42, 26.8679, 26.8679)* CHOOSE(CONTROL!$C$21, $C$9, 100%, $E$9)</f>
        <v>26.867899999999999</v>
      </c>
      <c r="K553" s="53">
        <f>CHOOSE(CONTROL!$C$42, 26.8894, 26.8894) * CHOOSE(CONTROL!$C$21, $C$9, 100%, $E$9)</f>
        <v>26.889399999999998</v>
      </c>
      <c r="L553" s="14">
        <f>CHOOSE(CONTROL!$C$42, 27.5525, 27.5525) * CHOOSE(CONTROL!$C$21, $C$9, 100%, $E$9)</f>
        <v>27.552499999999998</v>
      </c>
      <c r="M553" s="14">
        <f>CHOOSE(CONTROL!$C$42, 26.6105, 26.6105) * CHOOSE(CONTROL!$C$21, $C$9, 100%, $E$9)</f>
        <v>26.610499999999998</v>
      </c>
      <c r="N553" s="14">
        <f>CHOOSE(CONTROL!$C$42, 26.6263, 26.6263) * CHOOSE(CONTROL!$C$21, $C$9, 100%, $E$9)</f>
        <v>26.626300000000001</v>
      </c>
      <c r="O553" s="14">
        <f>CHOOSE(CONTROL!$C$42, 26.7072, 26.7072) * CHOOSE(CONTROL!$C$21, $C$9, 100%, $E$9)</f>
        <v>26.7072</v>
      </c>
      <c r="P553" s="14">
        <f>CHOOSE(CONTROL!$C$42, 26.6358, 26.6358) * CHOOSE(CONTROL!$C$21, $C$9, 100%, $E$9)</f>
        <v>26.6358</v>
      </c>
      <c r="Q553" s="14">
        <f>CHOOSE(CONTROL!$C$42, 27.3025, 27.3025) * CHOOSE(CONTROL!$C$21, $C$9, 100%, $E$9)</f>
        <v>27.302499999999998</v>
      </c>
      <c r="R553" s="14">
        <f>CHOOSE(CONTROL!$C$42, 27.9578, 27.9578) * CHOOSE(CONTROL!$C$21, $C$9, 100%, $E$9)</f>
        <v>27.957799999999999</v>
      </c>
      <c r="S553" s="14">
        <f>CHOOSE(CONTROL!$C$42, 26.0946, 26.0946) * CHOOSE(CONTROL!$C$21, $C$9, 100%, $E$9)</f>
        <v>26.0946</v>
      </c>
      <c r="T55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53" s="57">
        <f>(1000*CHOOSE(CONTROL!$C$42, 695, 695)*CHOOSE(CONTROL!$C$42, 0.5599, 0.5599)*CHOOSE(CONTROL!$C$42, 31, 31))/1000000</f>
        <v>12.063045499999998</v>
      </c>
      <c r="V553" s="57">
        <f>(1000*CHOOSE(CONTROL!$C$42, 500, 500)*CHOOSE(CONTROL!$C$42, 0.275, 0.275)*CHOOSE(CONTROL!$C$42, 31, 31))/1000000</f>
        <v>4.2625000000000002</v>
      </c>
      <c r="W553" s="57">
        <f>(1000*CHOOSE(CONTROL!$C$42, 0.1146, 0.1146)*CHOOSE(CONTROL!$C$42, 121.5, 121.5)*CHOOSE(CONTROL!$C$42, 31, 31))/1000000</f>
        <v>0.43164089999999994</v>
      </c>
      <c r="X553" s="57">
        <f>(31*0.1790888*100000/1000000)+(31*0.2374*100000/1000000)</f>
        <v>1.2911152800000001</v>
      </c>
      <c r="Y553" s="57"/>
      <c r="Z553" s="14"/>
      <c r="AA553" s="56"/>
      <c r="AB553" s="50">
        <f>(B553*122.58+C553*297.941+D553*89.177+E553*40.302+F553*40+G553*160+H553*0+I553*100+J553*300)/(122.58+297.941+89.177+40.302+0+40+160+100+300)</f>
        <v>26.886399806173916</v>
      </c>
      <c r="AC553" s="45">
        <f>(M553*'RAP TEMPLATE-GAS AVAILABILITY'!O552+N553*'RAP TEMPLATE-GAS AVAILABILITY'!P552+O553*'RAP TEMPLATE-GAS AVAILABILITY'!Q552+P553*'RAP TEMPLATE-GAS AVAILABILITY'!R552)/('RAP TEMPLATE-GAS AVAILABILITY'!O552+'RAP TEMPLATE-GAS AVAILABILITY'!P552+'RAP TEMPLATE-GAS AVAILABILITY'!Q552+'RAP TEMPLATE-GAS AVAILABILITY'!R552)</f>
        <v>26.658877697841724</v>
      </c>
    </row>
    <row r="554" spans="1:29" ht="15.75" x14ac:dyDescent="0.25">
      <c r="A554" s="32">
        <v>57769</v>
      </c>
      <c r="B554" s="14">
        <f>CHOOSE(CONTROL!$C$42, 27.3517, 27.3517) * CHOOSE(CONTROL!$C$21, $C$9, 100%, $E$9)</f>
        <v>27.351700000000001</v>
      </c>
      <c r="C554" s="14">
        <f>CHOOSE(CONTROL!$C$42, 27.3566, 27.3566) * CHOOSE(CONTROL!$C$21, $C$9, 100%, $E$9)</f>
        <v>27.3566</v>
      </c>
      <c r="D554" s="14">
        <f>CHOOSE(CONTROL!$C$42, 27.4209, 27.4209) * CHOOSE(CONTROL!$C$21, $C$9, 100%, $E$9)</f>
        <v>27.4209</v>
      </c>
      <c r="E554" s="14">
        <f>CHOOSE(CONTROL!$C$42, 27.4547, 27.4547) * CHOOSE(CONTROL!$C$21, $C$9, 100%, $E$9)</f>
        <v>27.454699999999999</v>
      </c>
      <c r="F554" s="14">
        <f>CHOOSE(CONTROL!$C$42, 27.3532, 27.3532)*CHOOSE(CONTROL!$C$21, $C$9, 100%, $E$9)</f>
        <v>27.353200000000001</v>
      </c>
      <c r="G554" s="14">
        <f>CHOOSE(CONTROL!$C$42, 27.3692, 27.3692)*CHOOSE(CONTROL!$C$21, $C$9, 100%, $E$9)</f>
        <v>27.369199999999999</v>
      </c>
      <c r="H554" s="14">
        <f>CHOOSE(CONTROL!$C$42, 27.4439, 27.4439) * CHOOSE(CONTROL!$C$21, $C$9, 100%, $E$9)</f>
        <v>27.443899999999999</v>
      </c>
      <c r="I554" s="14">
        <f>CHOOSE(CONTROL!$C$42, 27.3717, 27.3717)* CHOOSE(CONTROL!$C$21, $C$9, 100%, $E$9)</f>
        <v>27.371700000000001</v>
      </c>
      <c r="J554" s="14">
        <f>CHOOSE(CONTROL!$C$42, 27.3462, 27.3462)* CHOOSE(CONTROL!$C$21, $C$9, 100%, $E$9)</f>
        <v>27.3462</v>
      </c>
      <c r="K554" s="53">
        <f>CHOOSE(CONTROL!$C$42, 27.3678, 27.3678) * CHOOSE(CONTROL!$C$21, $C$9, 100%, $E$9)</f>
        <v>27.367799999999999</v>
      </c>
      <c r="L554" s="14">
        <f>CHOOSE(CONTROL!$C$42, 28.0309, 28.0309) * CHOOSE(CONTROL!$C$21, $C$9, 100%, $E$9)</f>
        <v>28.030899999999999</v>
      </c>
      <c r="M554" s="14">
        <f>CHOOSE(CONTROL!$C$42, 27.0841, 27.0841) * CHOOSE(CONTROL!$C$21, $C$9, 100%, $E$9)</f>
        <v>27.084099999999999</v>
      </c>
      <c r="N554" s="14">
        <f>CHOOSE(CONTROL!$C$42, 27.0999, 27.0999) * CHOOSE(CONTROL!$C$21, $C$9, 100%, $E$9)</f>
        <v>27.099900000000002</v>
      </c>
      <c r="O554" s="14">
        <f>CHOOSE(CONTROL!$C$42, 27.1807, 27.1807) * CHOOSE(CONTROL!$C$21, $C$9, 100%, $E$9)</f>
        <v>27.180700000000002</v>
      </c>
      <c r="P554" s="14">
        <f>CHOOSE(CONTROL!$C$42, 27.1093, 27.1093) * CHOOSE(CONTROL!$C$21, $C$9, 100%, $E$9)</f>
        <v>27.109300000000001</v>
      </c>
      <c r="Q554" s="14">
        <f>CHOOSE(CONTROL!$C$42, 27.776, 27.776) * CHOOSE(CONTROL!$C$21, $C$9, 100%, $E$9)</f>
        <v>27.776</v>
      </c>
      <c r="R554" s="14">
        <f>CHOOSE(CONTROL!$C$42, 28.4325, 28.4325) * CHOOSE(CONTROL!$C$21, $C$9, 100%, $E$9)</f>
        <v>28.432500000000001</v>
      </c>
      <c r="S554" s="14">
        <f>CHOOSE(CONTROL!$C$42, 26.5591, 26.5591) * CHOOSE(CONTROL!$C$21, $C$9, 100%, $E$9)</f>
        <v>26.559100000000001</v>
      </c>
      <c r="T55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54" s="57">
        <f>(1000*CHOOSE(CONTROL!$C$42, 695, 695)*CHOOSE(CONTROL!$C$42, 0.5599, 0.5599)*CHOOSE(CONTROL!$C$42, 28, 28))/1000000</f>
        <v>10.895653999999999</v>
      </c>
      <c r="V554" s="57">
        <f>(1000*CHOOSE(CONTROL!$C$42, 500, 500)*CHOOSE(CONTROL!$C$42, 0.275, 0.275)*CHOOSE(CONTROL!$C$42, 28, 28))/1000000</f>
        <v>3.85</v>
      </c>
      <c r="W554" s="57">
        <f>(1000*CHOOSE(CONTROL!$C$42, 0.1146, 0.1146)*CHOOSE(CONTROL!$C$42, 121.5, 121.5)*CHOOSE(CONTROL!$C$42, 28, 28))/1000000</f>
        <v>0.38986920000000003</v>
      </c>
      <c r="X554" s="57">
        <f>(28*0.1790888*100000/1000000)+(28*0.2374*100000/1000000)</f>
        <v>1.16616864</v>
      </c>
      <c r="Y554" s="57"/>
      <c r="Z554" s="14"/>
      <c r="AA554" s="56"/>
      <c r="AB554" s="50">
        <f>(B554*122.58+C554*297.941+D554*89.177+E554*40.302+F554*40+G554*160+H554*0+I554*100+J554*300)/(122.58+297.941+89.177+40.302+0+40+160+100+300)</f>
        <v>27.364736578521736</v>
      </c>
      <c r="AC554" s="45">
        <f>(M554*'RAP TEMPLATE-GAS AVAILABILITY'!O553+N554*'RAP TEMPLATE-GAS AVAILABILITY'!P553+O554*'RAP TEMPLATE-GAS AVAILABILITY'!Q553+P554*'RAP TEMPLATE-GAS AVAILABILITY'!R553)/('RAP TEMPLATE-GAS AVAILABILITY'!O553+'RAP TEMPLATE-GAS AVAILABILITY'!P553+'RAP TEMPLATE-GAS AVAILABILITY'!Q553+'RAP TEMPLATE-GAS AVAILABILITY'!R553)</f>
        <v>27.132417985611511</v>
      </c>
    </row>
    <row r="555" spans="1:29" ht="15.75" x14ac:dyDescent="0.25">
      <c r="A555" s="32">
        <v>57800</v>
      </c>
      <c r="B555" s="14">
        <f>CHOOSE(CONTROL!$C$42, 26.5752, 26.5752) * CHOOSE(CONTROL!$C$21, $C$9, 100%, $E$9)</f>
        <v>26.575199999999999</v>
      </c>
      <c r="C555" s="14">
        <f>CHOOSE(CONTROL!$C$42, 26.5802, 26.5802) * CHOOSE(CONTROL!$C$21, $C$9, 100%, $E$9)</f>
        <v>26.580200000000001</v>
      </c>
      <c r="D555" s="14">
        <f>CHOOSE(CONTROL!$C$42, 26.6445, 26.6445) * CHOOSE(CONTROL!$C$21, $C$9, 100%, $E$9)</f>
        <v>26.644500000000001</v>
      </c>
      <c r="E555" s="14">
        <f>CHOOSE(CONTROL!$C$42, 26.6782, 26.6782) * CHOOSE(CONTROL!$C$21, $C$9, 100%, $E$9)</f>
        <v>26.6782</v>
      </c>
      <c r="F555" s="14">
        <f>CHOOSE(CONTROL!$C$42, 26.5765, 26.5765)*CHOOSE(CONTROL!$C$21, $C$9, 100%, $E$9)</f>
        <v>26.576499999999999</v>
      </c>
      <c r="G555" s="14">
        <f>CHOOSE(CONTROL!$C$42, 26.5923, 26.5923)*CHOOSE(CONTROL!$C$21, $C$9, 100%, $E$9)</f>
        <v>26.592300000000002</v>
      </c>
      <c r="H555" s="14">
        <f>CHOOSE(CONTROL!$C$42, 26.6674, 26.6674) * CHOOSE(CONTROL!$C$21, $C$9, 100%, $E$9)</f>
        <v>26.667400000000001</v>
      </c>
      <c r="I555" s="14">
        <f>CHOOSE(CONTROL!$C$42, 26.5952, 26.5952)* CHOOSE(CONTROL!$C$21, $C$9, 100%, $E$9)</f>
        <v>26.595199999999998</v>
      </c>
      <c r="J555" s="14">
        <f>CHOOSE(CONTROL!$C$42, 26.5695, 26.5695)* CHOOSE(CONTROL!$C$21, $C$9, 100%, $E$9)</f>
        <v>26.569500000000001</v>
      </c>
      <c r="K555" s="53">
        <f>CHOOSE(CONTROL!$C$42, 26.5913, 26.5913) * CHOOSE(CONTROL!$C$21, $C$9, 100%, $E$9)</f>
        <v>26.5913</v>
      </c>
      <c r="L555" s="14">
        <f>CHOOSE(CONTROL!$C$42, 27.2544, 27.2544) * CHOOSE(CONTROL!$C$21, $C$9, 100%, $E$9)</f>
        <v>27.2544</v>
      </c>
      <c r="M555" s="14">
        <f>CHOOSE(CONTROL!$C$42, 26.3152, 26.3152) * CHOOSE(CONTROL!$C$21, $C$9, 100%, $E$9)</f>
        <v>26.315200000000001</v>
      </c>
      <c r="N555" s="14">
        <f>CHOOSE(CONTROL!$C$42, 26.3309, 26.3309) * CHOOSE(CONTROL!$C$21, $C$9, 100%, $E$9)</f>
        <v>26.3309</v>
      </c>
      <c r="O555" s="14">
        <f>CHOOSE(CONTROL!$C$42, 26.4121, 26.4121) * CHOOSE(CONTROL!$C$21, $C$9, 100%, $E$9)</f>
        <v>26.412099999999999</v>
      </c>
      <c r="P555" s="14">
        <f>CHOOSE(CONTROL!$C$42, 26.3407, 26.3407) * CHOOSE(CONTROL!$C$21, $C$9, 100%, $E$9)</f>
        <v>26.340699999999998</v>
      </c>
      <c r="Q555" s="14">
        <f>CHOOSE(CONTROL!$C$42, 27.0074, 27.0074) * CHOOSE(CONTROL!$C$21, $C$9, 100%, $E$9)</f>
        <v>27.007400000000001</v>
      </c>
      <c r="R555" s="14">
        <f>CHOOSE(CONTROL!$C$42, 27.662, 27.662) * CHOOSE(CONTROL!$C$21, $C$9, 100%, $E$9)</f>
        <v>27.661999999999999</v>
      </c>
      <c r="S555" s="14">
        <f>CHOOSE(CONTROL!$C$42, 25.8051, 25.8051) * CHOOSE(CONTROL!$C$21, $C$9, 100%, $E$9)</f>
        <v>25.805099999999999</v>
      </c>
      <c r="T55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55" s="57">
        <f>(1000*CHOOSE(CONTROL!$C$42, 695, 695)*CHOOSE(CONTROL!$C$42, 0.5599, 0.5599)*CHOOSE(CONTROL!$C$42, 31, 31))/1000000</f>
        <v>12.063045499999998</v>
      </c>
      <c r="V555" s="57">
        <f>(1000*CHOOSE(CONTROL!$C$42, 500, 500)*CHOOSE(CONTROL!$C$42, 0.275, 0.275)*CHOOSE(CONTROL!$C$42, 31, 31))/1000000</f>
        <v>4.2625000000000002</v>
      </c>
      <c r="W555" s="57">
        <f>(1000*CHOOSE(CONTROL!$C$42, 0.1146, 0.1146)*CHOOSE(CONTROL!$C$42, 121.5, 121.5)*CHOOSE(CONTROL!$C$42, 31, 31))/1000000</f>
        <v>0.43164089999999994</v>
      </c>
      <c r="X555" s="57">
        <f>(31*0.1790888*100000/1000000)+(31*0.2374*100000/1000000)</f>
        <v>1.2911152800000001</v>
      </c>
      <c r="Y555" s="57"/>
      <c r="Z555" s="14"/>
      <c r="AA555" s="56"/>
      <c r="AB555" s="50">
        <f>(B555*122.58+C555*297.941+D555*89.177+E555*40.302+F555*40+G555*160+H555*0+I555*100+J555*300)/(122.58+297.941+89.177+40.302+0+40+160+100+300)</f>
        <v>26.588155458347824</v>
      </c>
      <c r="AC555" s="45">
        <f>(M555*'RAP TEMPLATE-GAS AVAILABILITY'!O554+N555*'RAP TEMPLATE-GAS AVAILABILITY'!P554+O555*'RAP TEMPLATE-GAS AVAILABILITY'!Q554+P555*'RAP TEMPLATE-GAS AVAILABILITY'!R554)/('RAP TEMPLATE-GAS AVAILABILITY'!O554+'RAP TEMPLATE-GAS AVAILABILITY'!P554+'RAP TEMPLATE-GAS AVAILABILITY'!Q554+'RAP TEMPLATE-GAS AVAILABILITY'!R554)</f>
        <v>26.363691366906476</v>
      </c>
    </row>
    <row r="556" spans="1:29" ht="15.75" x14ac:dyDescent="0.25">
      <c r="A556" s="32">
        <v>57830</v>
      </c>
      <c r="B556" s="14">
        <f>CHOOSE(CONTROL!$C$42, 26.4968, 26.4968) * CHOOSE(CONTROL!$C$21, $C$9, 100%, $E$9)</f>
        <v>26.4968</v>
      </c>
      <c r="C556" s="14">
        <f>CHOOSE(CONTROL!$C$42, 26.5012, 26.5012) * CHOOSE(CONTROL!$C$21, $C$9, 100%, $E$9)</f>
        <v>26.501200000000001</v>
      </c>
      <c r="D556" s="14">
        <f>CHOOSE(CONTROL!$C$42, 26.7019, 26.7019) * CHOOSE(CONTROL!$C$21, $C$9, 100%, $E$9)</f>
        <v>26.701899999999998</v>
      </c>
      <c r="E556" s="14">
        <f>CHOOSE(CONTROL!$C$42, 26.7337, 26.7337) * CHOOSE(CONTROL!$C$21, $C$9, 100%, $E$9)</f>
        <v>26.733699999999999</v>
      </c>
      <c r="F556" s="14">
        <f>CHOOSE(CONTROL!$C$42, 26.4814, 26.4814)*CHOOSE(CONTROL!$C$21, $C$9, 100%, $E$9)</f>
        <v>26.481400000000001</v>
      </c>
      <c r="G556" s="14">
        <f>CHOOSE(CONTROL!$C$42, 26.497, 26.497)*CHOOSE(CONTROL!$C$21, $C$9, 100%, $E$9)</f>
        <v>26.497</v>
      </c>
      <c r="H556" s="14">
        <f>CHOOSE(CONTROL!$C$42, 26.7235, 26.7235) * CHOOSE(CONTROL!$C$21, $C$9, 100%, $E$9)</f>
        <v>26.723500000000001</v>
      </c>
      <c r="I556" s="14">
        <f>CHOOSE(CONTROL!$C$42, 26.5096, 26.5096)* CHOOSE(CONTROL!$C$21, $C$9, 100%, $E$9)</f>
        <v>26.509599999999999</v>
      </c>
      <c r="J556" s="14">
        <f>CHOOSE(CONTROL!$C$42, 26.4744, 26.4744)* CHOOSE(CONTROL!$C$21, $C$9, 100%, $E$9)</f>
        <v>26.474399999999999</v>
      </c>
      <c r="K556" s="53">
        <f>CHOOSE(CONTROL!$C$42, 26.5057, 26.5057) * CHOOSE(CONTROL!$C$21, $C$9, 100%, $E$9)</f>
        <v>26.505700000000001</v>
      </c>
      <c r="L556" s="14">
        <f>CHOOSE(CONTROL!$C$42, 27.3105, 27.3105) * CHOOSE(CONTROL!$C$21, $C$9, 100%, $E$9)</f>
        <v>27.310500000000001</v>
      </c>
      <c r="M556" s="14">
        <f>CHOOSE(CONTROL!$C$42, 26.2211, 26.2211) * CHOOSE(CONTROL!$C$21, $C$9, 100%, $E$9)</f>
        <v>26.2211</v>
      </c>
      <c r="N556" s="14">
        <f>CHOOSE(CONTROL!$C$42, 26.2365, 26.2365) * CHOOSE(CONTROL!$C$21, $C$9, 100%, $E$9)</f>
        <v>26.236499999999999</v>
      </c>
      <c r="O556" s="14">
        <f>CHOOSE(CONTROL!$C$42, 26.4676, 26.4676) * CHOOSE(CONTROL!$C$21, $C$9, 100%, $E$9)</f>
        <v>26.467600000000001</v>
      </c>
      <c r="P556" s="14">
        <f>CHOOSE(CONTROL!$C$42, 26.2559, 26.2559) * CHOOSE(CONTROL!$C$21, $C$9, 100%, $E$9)</f>
        <v>26.2559</v>
      </c>
      <c r="Q556" s="14">
        <f>CHOOSE(CONTROL!$C$42, 27.0629, 27.0629) * CHOOSE(CONTROL!$C$21, $C$9, 100%, $E$9)</f>
        <v>27.062899999999999</v>
      </c>
      <c r="R556" s="14">
        <f>CHOOSE(CONTROL!$C$42, 27.7176, 27.7176) * CHOOSE(CONTROL!$C$21, $C$9, 100%, $E$9)</f>
        <v>27.717600000000001</v>
      </c>
      <c r="S556" s="14">
        <f>CHOOSE(CONTROL!$C$42, 25.7282, 25.7282) * CHOOSE(CONTROL!$C$21, $C$9, 100%, $E$9)</f>
        <v>25.728200000000001</v>
      </c>
      <c r="T55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56" s="57">
        <f>(1000*CHOOSE(CONTROL!$C$42, 695, 695)*CHOOSE(CONTROL!$C$42, 0.5599, 0.5599)*CHOOSE(CONTROL!$C$42, 30, 30))/1000000</f>
        <v>11.673914999999997</v>
      </c>
      <c r="V556" s="57">
        <f>(1000*CHOOSE(CONTROL!$C$42, 500, 500)*CHOOSE(CONTROL!$C$42, 0.275, 0.275)*CHOOSE(CONTROL!$C$42, 30, 30))/1000000</f>
        <v>4.125</v>
      </c>
      <c r="W556" s="57">
        <f>(1000*CHOOSE(CONTROL!$C$42, 0.1146, 0.1146)*CHOOSE(CONTROL!$C$42, 121.5, 121.5)*CHOOSE(CONTROL!$C$42, 30, 30))/1000000</f>
        <v>0.417717</v>
      </c>
      <c r="X556" s="57">
        <f>(30*0.1790888*245000/1000000)+(30*0.2374*100000/1000000)</f>
        <v>2.0285026799999999</v>
      </c>
      <c r="Y556" s="57"/>
      <c r="Z556" s="14"/>
      <c r="AA556" s="56"/>
      <c r="AB556" s="50">
        <f>(B556*141.293+C556*267.993+D556*115.016+E556*89.698+F556*40+G556*185+H556*0+I556*100+J556*300)/(141.293+267.993+115.016+89.698+0+40+185+100+300)</f>
        <v>26.529083621468928</v>
      </c>
      <c r="AC556" s="45">
        <f>(M556*'RAP TEMPLATE-GAS AVAILABILITY'!O555+N556*'RAP TEMPLATE-GAS AVAILABILITY'!P555+O556*'RAP TEMPLATE-GAS AVAILABILITY'!Q555+P556*'RAP TEMPLATE-GAS AVAILABILITY'!R555)/('RAP TEMPLATE-GAS AVAILABILITY'!O555+'RAP TEMPLATE-GAS AVAILABILITY'!P555+'RAP TEMPLATE-GAS AVAILABILITY'!Q555+'RAP TEMPLATE-GAS AVAILABILITY'!R555)</f>
        <v>26.298814388489209</v>
      </c>
    </row>
    <row r="557" spans="1:29" ht="15.75" x14ac:dyDescent="0.25">
      <c r="A557" s="32">
        <v>57861</v>
      </c>
      <c r="B557" s="14">
        <f>CHOOSE(CONTROL!$C$42, 26.7321, 26.7321) * CHOOSE(CONTROL!$C$21, $C$9, 100%, $E$9)</f>
        <v>26.732099999999999</v>
      </c>
      <c r="C557" s="14">
        <f>CHOOSE(CONTROL!$C$42, 26.74, 26.74) * CHOOSE(CONTROL!$C$21, $C$9, 100%, $E$9)</f>
        <v>26.74</v>
      </c>
      <c r="D557" s="14">
        <f>CHOOSE(CONTROL!$C$42, 26.9376, 26.9376) * CHOOSE(CONTROL!$C$21, $C$9, 100%, $E$9)</f>
        <v>26.9376</v>
      </c>
      <c r="E557" s="14">
        <f>CHOOSE(CONTROL!$C$42, 26.9687, 26.9687) * CHOOSE(CONTROL!$C$21, $C$9, 100%, $E$9)</f>
        <v>26.968699999999998</v>
      </c>
      <c r="F557" s="14">
        <f>CHOOSE(CONTROL!$C$42, 26.7155, 26.7155)*CHOOSE(CONTROL!$C$21, $C$9, 100%, $E$9)</f>
        <v>26.715499999999999</v>
      </c>
      <c r="G557" s="14">
        <f>CHOOSE(CONTROL!$C$42, 26.7316, 26.7316)*CHOOSE(CONTROL!$C$21, $C$9, 100%, $E$9)</f>
        <v>26.7316</v>
      </c>
      <c r="H557" s="14">
        <f>CHOOSE(CONTROL!$C$42, 26.9573, 26.9573) * CHOOSE(CONTROL!$C$21, $C$9, 100%, $E$9)</f>
        <v>26.9573</v>
      </c>
      <c r="I557" s="14">
        <f>CHOOSE(CONTROL!$C$42, 26.7434, 26.7434)* CHOOSE(CONTROL!$C$21, $C$9, 100%, $E$9)</f>
        <v>26.743400000000001</v>
      </c>
      <c r="J557" s="14">
        <f>CHOOSE(CONTROL!$C$42, 26.7085, 26.7085)* CHOOSE(CONTROL!$C$21, $C$9, 100%, $E$9)</f>
        <v>26.708500000000001</v>
      </c>
      <c r="K557" s="53">
        <f>CHOOSE(CONTROL!$C$42, 26.7395, 26.7395) * CHOOSE(CONTROL!$C$21, $C$9, 100%, $E$9)</f>
        <v>26.7395</v>
      </c>
      <c r="L557" s="14">
        <f>CHOOSE(CONTROL!$C$42, 27.5443, 27.5443) * CHOOSE(CONTROL!$C$21, $C$9, 100%, $E$9)</f>
        <v>27.5443</v>
      </c>
      <c r="M557" s="14">
        <f>CHOOSE(CONTROL!$C$42, 26.4528, 26.4528) * CHOOSE(CONTROL!$C$21, $C$9, 100%, $E$9)</f>
        <v>26.4528</v>
      </c>
      <c r="N557" s="14">
        <f>CHOOSE(CONTROL!$C$42, 26.4687, 26.4687) * CHOOSE(CONTROL!$C$21, $C$9, 100%, $E$9)</f>
        <v>26.468699999999998</v>
      </c>
      <c r="O557" s="14">
        <f>CHOOSE(CONTROL!$C$42, 26.6991, 26.6991) * CHOOSE(CONTROL!$C$21, $C$9, 100%, $E$9)</f>
        <v>26.699100000000001</v>
      </c>
      <c r="P557" s="14">
        <f>CHOOSE(CONTROL!$C$42, 26.4874, 26.4874) * CHOOSE(CONTROL!$C$21, $C$9, 100%, $E$9)</f>
        <v>26.487400000000001</v>
      </c>
      <c r="Q557" s="14">
        <f>CHOOSE(CONTROL!$C$42, 27.2944, 27.2944) * CHOOSE(CONTROL!$C$21, $C$9, 100%, $E$9)</f>
        <v>27.2944</v>
      </c>
      <c r="R557" s="14">
        <f>CHOOSE(CONTROL!$C$42, 27.9496, 27.9496) * CHOOSE(CONTROL!$C$21, $C$9, 100%, $E$9)</f>
        <v>27.9496</v>
      </c>
      <c r="S557" s="14">
        <f>CHOOSE(CONTROL!$C$42, 25.9553, 25.9553) * CHOOSE(CONTROL!$C$21, $C$9, 100%, $E$9)</f>
        <v>25.955300000000001</v>
      </c>
      <c r="T55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57" s="57">
        <f>(1000*CHOOSE(CONTROL!$C$42, 695, 695)*CHOOSE(CONTROL!$C$42, 0.5599, 0.5599)*CHOOSE(CONTROL!$C$42, 31, 31))/1000000</f>
        <v>12.063045499999998</v>
      </c>
      <c r="V557" s="57">
        <f>(1000*CHOOSE(CONTROL!$C$42, 500, 500)*CHOOSE(CONTROL!$C$42, 0.275, 0.275)*CHOOSE(CONTROL!$C$42, 31, 31))/1000000</f>
        <v>4.2625000000000002</v>
      </c>
      <c r="W557" s="57">
        <f>(1000*CHOOSE(CONTROL!$C$42, 0.1146, 0.1146)*CHOOSE(CONTROL!$C$42, 121.5, 121.5)*CHOOSE(CONTROL!$C$42, 31, 31))/1000000</f>
        <v>0.43164089999999994</v>
      </c>
      <c r="X557" s="57">
        <f>(31*0.1790888*245000/1000000)+(31*0.2374*100000/1000000)</f>
        <v>2.0961194359999999</v>
      </c>
      <c r="Y557" s="57"/>
      <c r="Z557" s="14"/>
      <c r="AA557" s="56"/>
      <c r="AB557" s="50">
        <f>(B557*194.205+C557*267.466+D557*133.845+E557*53.484+F557*40+G557*185+H557*0+I557*100+J557*300)/(194.205+267.466+133.845+53.484+0+40+185+100+300)</f>
        <v>26.760016752982732</v>
      </c>
      <c r="AC557" s="45">
        <f>(M557*'RAP TEMPLATE-GAS AVAILABILITY'!O556+N557*'RAP TEMPLATE-GAS AVAILABILITY'!P556+O557*'RAP TEMPLATE-GAS AVAILABILITY'!Q556+P557*'RAP TEMPLATE-GAS AVAILABILITY'!R556)/('RAP TEMPLATE-GAS AVAILABILITY'!O556+'RAP TEMPLATE-GAS AVAILABILITY'!P556+'RAP TEMPLATE-GAS AVAILABILITY'!Q556+'RAP TEMPLATE-GAS AVAILABILITY'!R556)</f>
        <v>26.53054460431655</v>
      </c>
    </row>
    <row r="558" spans="1:29" ht="15.75" x14ac:dyDescent="0.25">
      <c r="A558" s="32">
        <v>57891</v>
      </c>
      <c r="B558" s="14">
        <f>CHOOSE(CONTROL!$C$42, 27.4902, 27.4902) * CHOOSE(CONTROL!$C$21, $C$9, 100%, $E$9)</f>
        <v>27.490200000000002</v>
      </c>
      <c r="C558" s="14">
        <f>CHOOSE(CONTROL!$C$42, 27.4981, 27.4981) * CHOOSE(CONTROL!$C$21, $C$9, 100%, $E$9)</f>
        <v>27.498100000000001</v>
      </c>
      <c r="D558" s="14">
        <f>CHOOSE(CONTROL!$C$42, 27.6957, 27.6957) * CHOOSE(CONTROL!$C$21, $C$9, 100%, $E$9)</f>
        <v>27.695699999999999</v>
      </c>
      <c r="E558" s="14">
        <f>CHOOSE(CONTROL!$C$42, 27.7268, 27.7268) * CHOOSE(CONTROL!$C$21, $C$9, 100%, $E$9)</f>
        <v>27.726800000000001</v>
      </c>
      <c r="F558" s="14">
        <f>CHOOSE(CONTROL!$C$42, 27.474, 27.474)*CHOOSE(CONTROL!$C$21, $C$9, 100%, $E$9)</f>
        <v>27.474</v>
      </c>
      <c r="G558" s="14">
        <f>CHOOSE(CONTROL!$C$42, 27.4902, 27.4902)*CHOOSE(CONTROL!$C$21, $C$9, 100%, $E$9)</f>
        <v>27.490200000000002</v>
      </c>
      <c r="H558" s="14">
        <f>CHOOSE(CONTROL!$C$42, 27.7155, 27.7155) * CHOOSE(CONTROL!$C$21, $C$9, 100%, $E$9)</f>
        <v>27.715499999999999</v>
      </c>
      <c r="I558" s="14">
        <f>CHOOSE(CONTROL!$C$42, 27.5016, 27.5016)* CHOOSE(CONTROL!$C$21, $C$9, 100%, $E$9)</f>
        <v>27.5016</v>
      </c>
      <c r="J558" s="14">
        <f>CHOOSE(CONTROL!$C$42, 27.467, 27.467)* CHOOSE(CONTROL!$C$21, $C$9, 100%, $E$9)</f>
        <v>27.466999999999999</v>
      </c>
      <c r="K558" s="53">
        <f>CHOOSE(CONTROL!$C$42, 27.4977, 27.4977) * CHOOSE(CONTROL!$C$21, $C$9, 100%, $E$9)</f>
        <v>27.497699999999998</v>
      </c>
      <c r="L558" s="14">
        <f>CHOOSE(CONTROL!$C$42, 28.3025, 28.3025) * CHOOSE(CONTROL!$C$21, $C$9, 100%, $E$9)</f>
        <v>28.302499999999998</v>
      </c>
      <c r="M558" s="14">
        <f>CHOOSE(CONTROL!$C$42, 27.2037, 27.2037) * CHOOSE(CONTROL!$C$21, $C$9, 100%, $E$9)</f>
        <v>27.203700000000001</v>
      </c>
      <c r="N558" s="14">
        <f>CHOOSE(CONTROL!$C$42, 27.2197, 27.2197) * CHOOSE(CONTROL!$C$21, $C$9, 100%, $E$9)</f>
        <v>27.2197</v>
      </c>
      <c r="O558" s="14">
        <f>CHOOSE(CONTROL!$C$42, 27.4496, 27.4496) * CHOOSE(CONTROL!$C$21, $C$9, 100%, $E$9)</f>
        <v>27.4496</v>
      </c>
      <c r="P558" s="14">
        <f>CHOOSE(CONTROL!$C$42, 27.2379, 27.2379) * CHOOSE(CONTROL!$C$21, $C$9, 100%, $E$9)</f>
        <v>27.2379</v>
      </c>
      <c r="Q558" s="14">
        <f>CHOOSE(CONTROL!$C$42, 28.0449, 28.0449) * CHOOSE(CONTROL!$C$21, $C$9, 100%, $E$9)</f>
        <v>28.044899999999998</v>
      </c>
      <c r="R558" s="14">
        <f>CHOOSE(CONTROL!$C$42, 28.702, 28.702) * CHOOSE(CONTROL!$C$21, $C$9, 100%, $E$9)</f>
        <v>28.702000000000002</v>
      </c>
      <c r="S558" s="14">
        <f>CHOOSE(CONTROL!$C$42, 26.6915, 26.6915) * CHOOSE(CONTROL!$C$21, $C$9, 100%, $E$9)</f>
        <v>26.691500000000001</v>
      </c>
      <c r="T55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58" s="57">
        <f>(1000*CHOOSE(CONTROL!$C$42, 695, 695)*CHOOSE(CONTROL!$C$42, 0.5599, 0.5599)*CHOOSE(CONTROL!$C$42, 30, 30))/1000000</f>
        <v>11.673914999999997</v>
      </c>
      <c r="V558" s="57">
        <f>(1000*CHOOSE(CONTROL!$C$42, 500, 500)*CHOOSE(CONTROL!$C$42, 0.275, 0.275)*CHOOSE(CONTROL!$C$42, 30, 30))/1000000</f>
        <v>4.125</v>
      </c>
      <c r="W558" s="57">
        <f>(1000*CHOOSE(CONTROL!$C$42, 0.1146, 0.1146)*CHOOSE(CONTROL!$C$42, 121.5, 121.5)*CHOOSE(CONTROL!$C$42, 30, 30))/1000000</f>
        <v>0.417717</v>
      </c>
      <c r="X558" s="57">
        <f>(30*0.1790888*245000/1000000)+(30*0.2374*100000/1000000)</f>
        <v>2.0285026799999999</v>
      </c>
      <c r="Y558" s="57"/>
      <c r="Z558" s="14"/>
      <c r="AA558" s="56"/>
      <c r="AB558" s="50">
        <f>(B558*194.205+C558*267.466+D558*133.845+E558*53.484+F558*40+G558*185+H558*0+I558*100+J558*300)/(194.205+267.466+133.845+53.484+0+40+185+100+300)</f>
        <v>27.518303958634224</v>
      </c>
      <c r="AC558" s="45">
        <f>(M558*'RAP TEMPLATE-GAS AVAILABILITY'!O557+N558*'RAP TEMPLATE-GAS AVAILABILITY'!P557+O558*'RAP TEMPLATE-GAS AVAILABILITY'!Q557+P558*'RAP TEMPLATE-GAS AVAILABILITY'!R557)/('RAP TEMPLATE-GAS AVAILABILITY'!O557+'RAP TEMPLATE-GAS AVAILABILITY'!P557+'RAP TEMPLATE-GAS AVAILABILITY'!Q557+'RAP TEMPLATE-GAS AVAILABILITY'!R557)</f>
        <v>27.281297841726619</v>
      </c>
    </row>
    <row r="559" spans="1:29" ht="15.75" x14ac:dyDescent="0.25">
      <c r="A559" s="32">
        <v>57922</v>
      </c>
      <c r="B559" s="14">
        <f>CHOOSE(CONTROL!$C$42, 26.9629, 26.9629) * CHOOSE(CONTROL!$C$21, $C$9, 100%, $E$9)</f>
        <v>26.962900000000001</v>
      </c>
      <c r="C559" s="14">
        <f>CHOOSE(CONTROL!$C$42, 26.9708, 26.9708) * CHOOSE(CONTROL!$C$21, $C$9, 100%, $E$9)</f>
        <v>26.970800000000001</v>
      </c>
      <c r="D559" s="14">
        <f>CHOOSE(CONTROL!$C$42, 27.1684, 27.1684) * CHOOSE(CONTROL!$C$21, $C$9, 100%, $E$9)</f>
        <v>27.168399999999998</v>
      </c>
      <c r="E559" s="14">
        <f>CHOOSE(CONTROL!$C$42, 27.1995, 27.1995) * CHOOSE(CONTROL!$C$21, $C$9, 100%, $E$9)</f>
        <v>27.1995</v>
      </c>
      <c r="F559" s="14">
        <f>CHOOSE(CONTROL!$C$42, 26.9472, 26.9472)*CHOOSE(CONTROL!$C$21, $C$9, 100%, $E$9)</f>
        <v>26.947199999999999</v>
      </c>
      <c r="G559" s="14">
        <f>CHOOSE(CONTROL!$C$42, 26.9635, 26.9635)*CHOOSE(CONTROL!$C$21, $C$9, 100%, $E$9)</f>
        <v>26.9635</v>
      </c>
      <c r="H559" s="14">
        <f>CHOOSE(CONTROL!$C$42, 27.1882, 27.1882) * CHOOSE(CONTROL!$C$21, $C$9, 100%, $E$9)</f>
        <v>27.188199999999998</v>
      </c>
      <c r="I559" s="14">
        <f>CHOOSE(CONTROL!$C$42, 26.9743, 26.9743)* CHOOSE(CONTROL!$C$21, $C$9, 100%, $E$9)</f>
        <v>26.974299999999999</v>
      </c>
      <c r="J559" s="14">
        <f>CHOOSE(CONTROL!$C$42, 26.9402, 26.9402)* CHOOSE(CONTROL!$C$21, $C$9, 100%, $E$9)</f>
        <v>26.940200000000001</v>
      </c>
      <c r="K559" s="53">
        <f>CHOOSE(CONTROL!$C$42, 26.9704, 26.9704) * CHOOSE(CONTROL!$C$21, $C$9, 100%, $E$9)</f>
        <v>26.970400000000001</v>
      </c>
      <c r="L559" s="14">
        <f>CHOOSE(CONTROL!$C$42, 27.7752, 27.7752) * CHOOSE(CONTROL!$C$21, $C$9, 100%, $E$9)</f>
        <v>27.775200000000002</v>
      </c>
      <c r="M559" s="14">
        <f>CHOOSE(CONTROL!$C$42, 26.6821, 26.6821) * CHOOSE(CONTROL!$C$21, $C$9, 100%, $E$9)</f>
        <v>26.682099999999998</v>
      </c>
      <c r="N559" s="14">
        <f>CHOOSE(CONTROL!$C$42, 26.6983, 26.6983) * CHOOSE(CONTROL!$C$21, $C$9, 100%, $E$9)</f>
        <v>26.6983</v>
      </c>
      <c r="O559" s="14">
        <f>CHOOSE(CONTROL!$C$42, 26.9276, 26.9276) * CHOOSE(CONTROL!$C$21, $C$9, 100%, $E$9)</f>
        <v>26.927600000000002</v>
      </c>
      <c r="P559" s="14">
        <f>CHOOSE(CONTROL!$C$42, 26.7159, 26.7159) * CHOOSE(CONTROL!$C$21, $C$9, 100%, $E$9)</f>
        <v>26.715900000000001</v>
      </c>
      <c r="Q559" s="14">
        <f>CHOOSE(CONTROL!$C$42, 27.5229, 27.5229) * CHOOSE(CONTROL!$C$21, $C$9, 100%, $E$9)</f>
        <v>27.5229</v>
      </c>
      <c r="R559" s="14">
        <f>CHOOSE(CONTROL!$C$42, 28.1787, 28.1787) * CHOOSE(CONTROL!$C$21, $C$9, 100%, $E$9)</f>
        <v>28.178699999999999</v>
      </c>
      <c r="S559" s="14">
        <f>CHOOSE(CONTROL!$C$42, 26.1794, 26.1794) * CHOOSE(CONTROL!$C$21, $C$9, 100%, $E$9)</f>
        <v>26.179400000000001</v>
      </c>
      <c r="T55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59" s="57">
        <f>(1000*CHOOSE(CONTROL!$C$42, 695, 695)*CHOOSE(CONTROL!$C$42, 0.5599, 0.5599)*CHOOSE(CONTROL!$C$42, 31, 31))/1000000</f>
        <v>12.063045499999998</v>
      </c>
      <c r="V559" s="57">
        <f>(1000*CHOOSE(CONTROL!$C$42, 500, 500)*CHOOSE(CONTROL!$C$42, 0.275, 0.275)*CHOOSE(CONTROL!$C$42, 31, 31))/1000000</f>
        <v>4.2625000000000002</v>
      </c>
      <c r="W559" s="57">
        <f>(1000*CHOOSE(CONTROL!$C$42, 0.1146, 0.1146)*CHOOSE(CONTROL!$C$42, 121.5, 121.5)*CHOOSE(CONTROL!$C$42, 31, 31))/1000000</f>
        <v>0.43164089999999994</v>
      </c>
      <c r="X559" s="57">
        <f>(31*0.1790888*245000/1000000)+(31*0.2374*100000/1000000)</f>
        <v>2.0961194359999999</v>
      </c>
      <c r="Y559" s="57"/>
      <c r="Z559" s="14"/>
      <c r="AA559" s="56"/>
      <c r="AB559" s="50">
        <f>(B559*194.205+C559*267.466+D559*133.845+E559*53.484+F559*40+G559*185+H559*0+I559*100+J559*300)/(194.205+267.466+133.845+53.484+0+40+185+100+300)</f>
        <v>26.991224523783362</v>
      </c>
      <c r="AC559" s="45">
        <f>(M559*'RAP TEMPLATE-GAS AVAILABILITY'!O558+N559*'RAP TEMPLATE-GAS AVAILABILITY'!P558+O559*'RAP TEMPLATE-GAS AVAILABILITY'!Q558+P559*'RAP TEMPLATE-GAS AVAILABILITY'!R558)/('RAP TEMPLATE-GAS AVAILABILITY'!O558+'RAP TEMPLATE-GAS AVAILABILITY'!P558+'RAP TEMPLATE-GAS AVAILABILITY'!Q558+'RAP TEMPLATE-GAS AVAILABILITY'!R558)</f>
        <v>26.759574100719426</v>
      </c>
    </row>
    <row r="560" spans="1:29" ht="15.75" x14ac:dyDescent="0.25">
      <c r="A560" s="32">
        <v>57953</v>
      </c>
      <c r="B560" s="14">
        <f>CHOOSE(CONTROL!$C$42, 25.6313, 25.6313) * CHOOSE(CONTROL!$C$21, $C$9, 100%, $E$9)</f>
        <v>25.6313</v>
      </c>
      <c r="C560" s="14">
        <f>CHOOSE(CONTROL!$C$42, 25.6393, 25.6393) * CHOOSE(CONTROL!$C$21, $C$9, 100%, $E$9)</f>
        <v>25.639299999999999</v>
      </c>
      <c r="D560" s="14">
        <f>CHOOSE(CONTROL!$C$42, 25.8368, 25.8368) * CHOOSE(CONTROL!$C$21, $C$9, 100%, $E$9)</f>
        <v>25.8368</v>
      </c>
      <c r="E560" s="14">
        <f>CHOOSE(CONTROL!$C$42, 25.868, 25.868) * CHOOSE(CONTROL!$C$21, $C$9, 100%, $E$9)</f>
        <v>25.867999999999999</v>
      </c>
      <c r="F560" s="14">
        <f>CHOOSE(CONTROL!$C$42, 25.6158, 25.6158)*CHOOSE(CONTROL!$C$21, $C$9, 100%, $E$9)</f>
        <v>25.6158</v>
      </c>
      <c r="G560" s="14">
        <f>CHOOSE(CONTROL!$C$42, 25.6321, 25.6321)*CHOOSE(CONTROL!$C$21, $C$9, 100%, $E$9)</f>
        <v>25.632100000000001</v>
      </c>
      <c r="H560" s="14">
        <f>CHOOSE(CONTROL!$C$42, 25.8566, 25.8566) * CHOOSE(CONTROL!$C$21, $C$9, 100%, $E$9)</f>
        <v>25.8566</v>
      </c>
      <c r="I560" s="14">
        <f>CHOOSE(CONTROL!$C$42, 25.6427, 25.6427)* CHOOSE(CONTROL!$C$21, $C$9, 100%, $E$9)</f>
        <v>25.642700000000001</v>
      </c>
      <c r="J560" s="14">
        <f>CHOOSE(CONTROL!$C$42, 25.6088, 25.6088)* CHOOSE(CONTROL!$C$21, $C$9, 100%, $E$9)</f>
        <v>25.608799999999999</v>
      </c>
      <c r="K560" s="53">
        <f>CHOOSE(CONTROL!$C$42, 25.6388, 25.6388) * CHOOSE(CONTROL!$C$21, $C$9, 100%, $E$9)</f>
        <v>25.6388</v>
      </c>
      <c r="L560" s="14">
        <f>CHOOSE(CONTROL!$C$42, 26.4436, 26.4436) * CHOOSE(CONTROL!$C$21, $C$9, 100%, $E$9)</f>
        <v>26.4436</v>
      </c>
      <c r="M560" s="14">
        <f>CHOOSE(CONTROL!$C$42, 25.3642, 25.3642) * CHOOSE(CONTROL!$C$21, $C$9, 100%, $E$9)</f>
        <v>25.3642</v>
      </c>
      <c r="N560" s="14">
        <f>CHOOSE(CONTROL!$C$42, 25.3804, 25.3804) * CHOOSE(CONTROL!$C$21, $C$9, 100%, $E$9)</f>
        <v>25.380400000000002</v>
      </c>
      <c r="O560" s="14">
        <f>CHOOSE(CONTROL!$C$42, 25.6095, 25.6095) * CHOOSE(CONTROL!$C$21, $C$9, 100%, $E$9)</f>
        <v>25.609500000000001</v>
      </c>
      <c r="P560" s="14">
        <f>CHOOSE(CONTROL!$C$42, 25.3978, 25.3978) * CHOOSE(CONTROL!$C$21, $C$9, 100%, $E$9)</f>
        <v>25.3978</v>
      </c>
      <c r="Q560" s="14">
        <f>CHOOSE(CONTROL!$C$42, 26.2048, 26.2048) * CHOOSE(CONTROL!$C$21, $C$9, 100%, $E$9)</f>
        <v>26.204799999999999</v>
      </c>
      <c r="R560" s="14">
        <f>CHOOSE(CONTROL!$C$42, 26.8573, 26.8573) * CHOOSE(CONTROL!$C$21, $C$9, 100%, $E$9)</f>
        <v>26.857299999999999</v>
      </c>
      <c r="S560" s="14">
        <f>CHOOSE(CONTROL!$C$42, 24.8863, 24.8863) * CHOOSE(CONTROL!$C$21, $C$9, 100%, $E$9)</f>
        <v>24.886299999999999</v>
      </c>
      <c r="T56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60" s="57">
        <f>(1000*CHOOSE(CONTROL!$C$42, 695, 695)*CHOOSE(CONTROL!$C$42, 0.5599, 0.5599)*CHOOSE(CONTROL!$C$42, 31, 31))/1000000</f>
        <v>12.063045499999998</v>
      </c>
      <c r="V560" s="57">
        <f>(1000*CHOOSE(CONTROL!$C$42, 500, 500)*CHOOSE(CONTROL!$C$42, 0.275, 0.275)*CHOOSE(CONTROL!$C$42, 31, 31))/1000000</f>
        <v>4.2625000000000002</v>
      </c>
      <c r="W560" s="57">
        <f>(1000*CHOOSE(CONTROL!$C$42, 0.1146, 0.1146)*CHOOSE(CONTROL!$C$42, 121.5, 121.5)*CHOOSE(CONTROL!$C$42, 31, 31))/1000000</f>
        <v>0.43164089999999994</v>
      </c>
      <c r="X560" s="57">
        <f>(31*0.1790888*245000/1000000)+(31*0.2374*100000/1000000)</f>
        <v>2.0961194359999999</v>
      </c>
      <c r="Y560" s="57"/>
      <c r="Z560" s="14"/>
      <c r="AA560" s="56"/>
      <c r="AB560" s="50">
        <f>(B560*194.205+C560*267.466+D560*133.845+E560*53.484+F560*40+G560*185+H560*0+I560*100+J560*300)/(194.205+267.466+133.845+53.484+0+40+185+100+300)</f>
        <v>25.659732133673469</v>
      </c>
      <c r="AC560" s="45">
        <f>(M560*'RAP TEMPLATE-GAS AVAILABILITY'!O559+N560*'RAP TEMPLATE-GAS AVAILABILITY'!P559+O560*'RAP TEMPLATE-GAS AVAILABILITY'!Q559+P560*'RAP TEMPLATE-GAS AVAILABILITY'!R559)/('RAP TEMPLATE-GAS AVAILABILITY'!O559+'RAP TEMPLATE-GAS AVAILABILITY'!P559+'RAP TEMPLATE-GAS AVAILABILITY'!Q559+'RAP TEMPLATE-GAS AVAILABILITY'!R559)</f>
        <v>25.441589208633093</v>
      </c>
    </row>
    <row r="561" spans="1:29" ht="15.75" x14ac:dyDescent="0.25">
      <c r="A561" s="32">
        <v>57983</v>
      </c>
      <c r="B561" s="14">
        <f>CHOOSE(CONTROL!$C$42, 24.004, 24.004) * CHOOSE(CONTROL!$C$21, $C$9, 100%, $E$9)</f>
        <v>24.004000000000001</v>
      </c>
      <c r="C561" s="14">
        <f>CHOOSE(CONTROL!$C$42, 24.0119, 24.0119) * CHOOSE(CONTROL!$C$21, $C$9, 100%, $E$9)</f>
        <v>24.011900000000001</v>
      </c>
      <c r="D561" s="14">
        <f>CHOOSE(CONTROL!$C$42, 24.2095, 24.2095) * CHOOSE(CONTROL!$C$21, $C$9, 100%, $E$9)</f>
        <v>24.209499999999998</v>
      </c>
      <c r="E561" s="14">
        <f>CHOOSE(CONTROL!$C$42, 24.2407, 24.2407) * CHOOSE(CONTROL!$C$21, $C$9, 100%, $E$9)</f>
        <v>24.2407</v>
      </c>
      <c r="F561" s="14">
        <f>CHOOSE(CONTROL!$C$42, 23.9884, 23.9884)*CHOOSE(CONTROL!$C$21, $C$9, 100%, $E$9)</f>
        <v>23.988399999999999</v>
      </c>
      <c r="G561" s="14">
        <f>CHOOSE(CONTROL!$C$42, 24.0047, 24.0047)*CHOOSE(CONTROL!$C$21, $C$9, 100%, $E$9)</f>
        <v>24.0047</v>
      </c>
      <c r="H561" s="14">
        <f>CHOOSE(CONTROL!$C$42, 24.2293, 24.2293) * CHOOSE(CONTROL!$C$21, $C$9, 100%, $E$9)</f>
        <v>24.229299999999999</v>
      </c>
      <c r="I561" s="14">
        <f>CHOOSE(CONTROL!$C$42, 24.0154, 24.0154)* CHOOSE(CONTROL!$C$21, $C$9, 100%, $E$9)</f>
        <v>24.0154</v>
      </c>
      <c r="J561" s="14">
        <f>CHOOSE(CONTROL!$C$42, 23.9814, 23.9814)* CHOOSE(CONTROL!$C$21, $C$9, 100%, $E$9)</f>
        <v>23.981400000000001</v>
      </c>
      <c r="K561" s="53">
        <f>CHOOSE(CONTROL!$C$42, 24.0115, 24.0115) * CHOOSE(CONTROL!$C$21, $C$9, 100%, $E$9)</f>
        <v>24.011500000000002</v>
      </c>
      <c r="L561" s="14">
        <f>CHOOSE(CONTROL!$C$42, 24.8163, 24.8163) * CHOOSE(CONTROL!$C$21, $C$9, 100%, $E$9)</f>
        <v>24.816299999999998</v>
      </c>
      <c r="M561" s="14">
        <f>CHOOSE(CONTROL!$C$42, 23.7532, 23.7532) * CHOOSE(CONTROL!$C$21, $C$9, 100%, $E$9)</f>
        <v>23.7532</v>
      </c>
      <c r="N561" s="14">
        <f>CHOOSE(CONTROL!$C$42, 23.7694, 23.7694) * CHOOSE(CONTROL!$C$21, $C$9, 100%, $E$9)</f>
        <v>23.769400000000001</v>
      </c>
      <c r="O561" s="14">
        <f>CHOOSE(CONTROL!$C$42, 23.9986, 23.9986) * CHOOSE(CONTROL!$C$21, $C$9, 100%, $E$9)</f>
        <v>23.9986</v>
      </c>
      <c r="P561" s="14">
        <f>CHOOSE(CONTROL!$C$42, 23.7869, 23.7869) * CHOOSE(CONTROL!$C$21, $C$9, 100%, $E$9)</f>
        <v>23.786899999999999</v>
      </c>
      <c r="Q561" s="14">
        <f>CHOOSE(CONTROL!$C$42, 24.5939, 24.5939) * CHOOSE(CONTROL!$C$21, $C$9, 100%, $E$9)</f>
        <v>24.593900000000001</v>
      </c>
      <c r="R561" s="14">
        <f>CHOOSE(CONTROL!$C$42, 25.2424, 25.2424) * CHOOSE(CONTROL!$C$21, $C$9, 100%, $E$9)</f>
        <v>25.2424</v>
      </c>
      <c r="S561" s="14">
        <f>CHOOSE(CONTROL!$C$42, 23.3061, 23.3061) * CHOOSE(CONTROL!$C$21, $C$9, 100%, $E$9)</f>
        <v>23.306100000000001</v>
      </c>
      <c r="T56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61" s="57">
        <f>(1000*CHOOSE(CONTROL!$C$42, 695, 695)*CHOOSE(CONTROL!$C$42, 0.5599, 0.5599)*CHOOSE(CONTROL!$C$42, 30, 30))/1000000</f>
        <v>11.673914999999997</v>
      </c>
      <c r="V561" s="57">
        <f>(1000*CHOOSE(CONTROL!$C$42, 500, 500)*CHOOSE(CONTROL!$C$42, 0.275, 0.275)*CHOOSE(CONTROL!$C$42, 30, 30))/1000000</f>
        <v>4.125</v>
      </c>
      <c r="W561" s="57">
        <f>(1000*CHOOSE(CONTROL!$C$42, 0.1146, 0.1146)*CHOOSE(CONTROL!$C$42, 121.5, 121.5)*CHOOSE(CONTROL!$C$42, 30, 30))/1000000</f>
        <v>0.417717</v>
      </c>
      <c r="X561" s="57">
        <f>(30*0.1790888*245000/1000000)+(30*0.2374*100000/1000000)</f>
        <v>2.0285026799999999</v>
      </c>
      <c r="Y561" s="57"/>
      <c r="Z561" s="14"/>
      <c r="AA561" s="56"/>
      <c r="AB561" s="50">
        <f>(B561*194.205+C561*267.466+D561*133.845+E561*53.484+F561*40+G561*185+H561*0+I561*100+J561*300)/(194.205+267.466+133.845+53.484+0+40+185+100+300)</f>
        <v>24.032369930690741</v>
      </c>
      <c r="AC561" s="45">
        <f>(M561*'RAP TEMPLATE-GAS AVAILABILITY'!O560+N561*'RAP TEMPLATE-GAS AVAILABILITY'!P560+O561*'RAP TEMPLATE-GAS AVAILABILITY'!Q560+P561*'RAP TEMPLATE-GAS AVAILABILITY'!R560)/('RAP TEMPLATE-GAS AVAILABILITY'!O560+'RAP TEMPLATE-GAS AVAILABILITY'!P560+'RAP TEMPLATE-GAS AVAILABILITY'!Q560+'RAP TEMPLATE-GAS AVAILABILITY'!R560)</f>
        <v>23.830631654676253</v>
      </c>
    </row>
    <row r="562" spans="1:29" ht="15.75" x14ac:dyDescent="0.25">
      <c r="A562" s="32">
        <v>58014</v>
      </c>
      <c r="B562" s="14">
        <f>CHOOSE(CONTROL!$C$42, 23.515, 23.515) * CHOOSE(CONTROL!$C$21, $C$9, 100%, $E$9)</f>
        <v>23.515000000000001</v>
      </c>
      <c r="C562" s="14">
        <f>CHOOSE(CONTROL!$C$42, 23.5202, 23.5202) * CHOOSE(CONTROL!$C$21, $C$9, 100%, $E$9)</f>
        <v>23.520199999999999</v>
      </c>
      <c r="D562" s="14">
        <f>CHOOSE(CONTROL!$C$42, 23.7228, 23.7228) * CHOOSE(CONTROL!$C$21, $C$9, 100%, $E$9)</f>
        <v>23.722799999999999</v>
      </c>
      <c r="E562" s="14">
        <f>CHOOSE(CONTROL!$C$42, 23.7515, 23.7515) * CHOOSE(CONTROL!$C$21, $C$9, 100%, $E$9)</f>
        <v>23.7515</v>
      </c>
      <c r="F562" s="14">
        <f>CHOOSE(CONTROL!$C$42, 23.5014, 23.5014)*CHOOSE(CONTROL!$C$21, $C$9, 100%, $E$9)</f>
        <v>23.5014</v>
      </c>
      <c r="G562" s="14">
        <f>CHOOSE(CONTROL!$C$42, 23.5174, 23.5174)*CHOOSE(CONTROL!$C$21, $C$9, 100%, $E$9)</f>
        <v>23.517399999999999</v>
      </c>
      <c r="H562" s="14">
        <f>CHOOSE(CONTROL!$C$42, 23.742, 23.742) * CHOOSE(CONTROL!$C$21, $C$9, 100%, $E$9)</f>
        <v>23.742000000000001</v>
      </c>
      <c r="I562" s="14">
        <f>CHOOSE(CONTROL!$C$42, 23.5281, 23.5281)* CHOOSE(CONTROL!$C$21, $C$9, 100%, $E$9)</f>
        <v>23.528099999999998</v>
      </c>
      <c r="J562" s="14">
        <f>CHOOSE(CONTROL!$C$42, 23.4944, 23.4944)* CHOOSE(CONTROL!$C$21, $C$9, 100%, $E$9)</f>
        <v>23.494399999999999</v>
      </c>
      <c r="K562" s="53">
        <f>CHOOSE(CONTROL!$C$42, 23.5242, 23.5242) * CHOOSE(CONTROL!$C$21, $C$9, 100%, $E$9)</f>
        <v>23.5242</v>
      </c>
      <c r="L562" s="14">
        <f>CHOOSE(CONTROL!$C$42, 24.329, 24.329) * CHOOSE(CONTROL!$C$21, $C$9, 100%, $E$9)</f>
        <v>24.329000000000001</v>
      </c>
      <c r="M562" s="14">
        <f>CHOOSE(CONTROL!$C$42, 23.2711, 23.2711) * CHOOSE(CONTROL!$C$21, $C$9, 100%, $E$9)</f>
        <v>23.271100000000001</v>
      </c>
      <c r="N562" s="14">
        <f>CHOOSE(CONTROL!$C$42, 23.2869, 23.2869) * CHOOSE(CONTROL!$C$21, $C$9, 100%, $E$9)</f>
        <v>23.286899999999999</v>
      </c>
      <c r="O562" s="14">
        <f>CHOOSE(CONTROL!$C$42, 23.5162, 23.5162) * CHOOSE(CONTROL!$C$21, $C$9, 100%, $E$9)</f>
        <v>23.516200000000001</v>
      </c>
      <c r="P562" s="14">
        <f>CHOOSE(CONTROL!$C$42, 23.3045, 23.3045) * CHOOSE(CONTROL!$C$21, $C$9, 100%, $E$9)</f>
        <v>23.304500000000001</v>
      </c>
      <c r="Q562" s="14">
        <f>CHOOSE(CONTROL!$C$42, 24.1115, 24.1115) * CHOOSE(CONTROL!$C$21, $C$9, 100%, $E$9)</f>
        <v>24.111499999999999</v>
      </c>
      <c r="R562" s="14">
        <f>CHOOSE(CONTROL!$C$42, 24.7588, 24.7588) * CHOOSE(CONTROL!$C$21, $C$9, 100%, $E$9)</f>
        <v>24.758800000000001</v>
      </c>
      <c r="S562" s="14">
        <f>CHOOSE(CONTROL!$C$42, 22.8329, 22.8329) * CHOOSE(CONTROL!$C$21, $C$9, 100%, $E$9)</f>
        <v>22.832899999999999</v>
      </c>
      <c r="T56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62" s="57">
        <f>(1000*CHOOSE(CONTROL!$C$42, 695, 695)*CHOOSE(CONTROL!$C$42, 0.5599, 0.5599)*CHOOSE(CONTROL!$C$42, 31, 31))/1000000</f>
        <v>12.063045499999998</v>
      </c>
      <c r="V562" s="57">
        <f>(1000*CHOOSE(CONTROL!$C$42, 500, 500)*CHOOSE(CONTROL!$C$42, 0.275, 0.275)*CHOOSE(CONTROL!$C$42, 31, 31))/1000000</f>
        <v>4.2625000000000002</v>
      </c>
      <c r="W562" s="57">
        <f>(1000*CHOOSE(CONTROL!$C$42, 0.1146, 0.1146)*CHOOSE(CONTROL!$C$42, 121.5, 121.5)*CHOOSE(CONTROL!$C$42, 31, 31))/1000000</f>
        <v>0.43164089999999994</v>
      </c>
      <c r="X562" s="57">
        <f>(31*0.1790888*245000/1000000)+(31*0.2374*100000/1000000)</f>
        <v>2.0961194359999999</v>
      </c>
      <c r="Y562" s="57"/>
      <c r="Z562" s="14"/>
      <c r="AA562" s="56"/>
      <c r="AB562" s="50">
        <f>(B562*131.881+C562*277.167+D562*79.08+E562*125.872+F562*40+G562*185+H562*0+I562*100+J562*300)/(131.881+277.167+79.08+125.872+0+40+185+100+300)</f>
        <v>23.549441340112995</v>
      </c>
      <c r="AC562" s="45">
        <f>(M562*'RAP TEMPLATE-GAS AVAILABILITY'!O561+N562*'RAP TEMPLATE-GAS AVAILABILITY'!P561+O562*'RAP TEMPLATE-GAS AVAILABILITY'!Q561+P562*'RAP TEMPLATE-GAS AVAILABILITY'!R561)/('RAP TEMPLATE-GAS AVAILABILITY'!O561+'RAP TEMPLATE-GAS AVAILABILITY'!P561+'RAP TEMPLATE-GAS AVAILABILITY'!Q561+'RAP TEMPLATE-GAS AVAILABILITY'!R561)</f>
        <v>23.348312230215829</v>
      </c>
    </row>
    <row r="563" spans="1:29" ht="15.75" x14ac:dyDescent="0.25">
      <c r="A563" s="32">
        <v>58044</v>
      </c>
      <c r="B563" s="14">
        <f>CHOOSE(CONTROL!$C$42, 24.134, 24.134) * CHOOSE(CONTROL!$C$21, $C$9, 100%, $E$9)</f>
        <v>24.134</v>
      </c>
      <c r="C563" s="14">
        <f>CHOOSE(CONTROL!$C$42, 24.1389, 24.1389) * CHOOSE(CONTROL!$C$21, $C$9, 100%, $E$9)</f>
        <v>24.1389</v>
      </c>
      <c r="D563" s="14">
        <f>CHOOSE(CONTROL!$C$42, 24.202, 24.202) * CHOOSE(CONTROL!$C$21, $C$9, 100%, $E$9)</f>
        <v>24.202000000000002</v>
      </c>
      <c r="E563" s="14">
        <f>CHOOSE(CONTROL!$C$42, 24.2358, 24.2358) * CHOOSE(CONTROL!$C$21, $C$9, 100%, $E$9)</f>
        <v>24.235800000000001</v>
      </c>
      <c r="F563" s="14">
        <f>CHOOSE(CONTROL!$C$42, 24.1347, 24.1347)*CHOOSE(CONTROL!$C$21, $C$9, 100%, $E$9)</f>
        <v>24.134699999999999</v>
      </c>
      <c r="G563" s="14">
        <f>CHOOSE(CONTROL!$C$42, 24.151, 24.151)*CHOOSE(CONTROL!$C$21, $C$9, 100%, $E$9)</f>
        <v>24.151</v>
      </c>
      <c r="H563" s="14">
        <f>CHOOSE(CONTROL!$C$42, 24.225, 24.225) * CHOOSE(CONTROL!$C$21, $C$9, 100%, $E$9)</f>
        <v>24.225000000000001</v>
      </c>
      <c r="I563" s="14">
        <f>CHOOSE(CONTROL!$C$42, 24.1475, 24.1475)* CHOOSE(CONTROL!$C$21, $C$9, 100%, $E$9)</f>
        <v>24.147500000000001</v>
      </c>
      <c r="J563" s="14">
        <f>CHOOSE(CONTROL!$C$42, 24.1277, 24.1277)* CHOOSE(CONTROL!$C$21, $C$9, 100%, $E$9)</f>
        <v>24.127700000000001</v>
      </c>
      <c r="K563" s="53">
        <f>CHOOSE(CONTROL!$C$42, 24.1436, 24.1436) * CHOOSE(CONTROL!$C$21, $C$9, 100%, $E$9)</f>
        <v>24.143599999999999</v>
      </c>
      <c r="L563" s="14">
        <f>CHOOSE(CONTROL!$C$42, 24.812, 24.812) * CHOOSE(CONTROL!$C$21, $C$9, 100%, $E$9)</f>
        <v>24.812000000000001</v>
      </c>
      <c r="M563" s="14">
        <f>CHOOSE(CONTROL!$C$42, 23.898, 23.898) * CHOOSE(CONTROL!$C$21, $C$9, 100%, $E$9)</f>
        <v>23.898</v>
      </c>
      <c r="N563" s="14">
        <f>CHOOSE(CONTROL!$C$42, 23.9141, 23.9141) * CHOOSE(CONTROL!$C$21, $C$9, 100%, $E$9)</f>
        <v>23.914100000000001</v>
      </c>
      <c r="O563" s="14">
        <f>CHOOSE(CONTROL!$C$42, 23.9943, 23.9943) * CHOOSE(CONTROL!$C$21, $C$9, 100%, $E$9)</f>
        <v>23.994299999999999</v>
      </c>
      <c r="P563" s="14">
        <f>CHOOSE(CONTROL!$C$42, 23.9177, 23.9177) * CHOOSE(CONTROL!$C$21, $C$9, 100%, $E$9)</f>
        <v>23.9177</v>
      </c>
      <c r="Q563" s="14">
        <f>CHOOSE(CONTROL!$C$42, 24.5896, 24.5896) * CHOOSE(CONTROL!$C$21, $C$9, 100%, $E$9)</f>
        <v>24.589600000000001</v>
      </c>
      <c r="R563" s="14">
        <f>CHOOSE(CONTROL!$C$42, 25.2381, 25.2381) * CHOOSE(CONTROL!$C$21, $C$9, 100%, $E$9)</f>
        <v>25.238099999999999</v>
      </c>
      <c r="S563" s="14">
        <f>CHOOSE(CONTROL!$C$42, 23.4344, 23.4344) * CHOOSE(CONTROL!$C$21, $C$9, 100%, $E$9)</f>
        <v>23.4344</v>
      </c>
      <c r="T56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63" s="57">
        <f>(1000*CHOOSE(CONTROL!$C$42, 695, 695)*CHOOSE(CONTROL!$C$42, 0.5599, 0.5599)*CHOOSE(CONTROL!$C$42, 30, 30))/1000000</f>
        <v>11.673914999999997</v>
      </c>
      <c r="V563" s="57">
        <f>(1000*CHOOSE(CONTROL!$C$42, 500, 500)*CHOOSE(CONTROL!$C$42, 0.275, 0.275)*CHOOSE(CONTROL!$C$42, 30, 30))/1000000</f>
        <v>4.125</v>
      </c>
      <c r="W563" s="57">
        <f>(1000*CHOOSE(CONTROL!$C$42, 0.1146, 0.1146)*CHOOSE(CONTROL!$C$42, 121.5, 121.5)*CHOOSE(CONTROL!$C$42, 30, 30))/1000000</f>
        <v>0.417717</v>
      </c>
      <c r="X563" s="57">
        <f>(30*0.1790888*100000/1000000)+(30*0.2374*100000/1000000)</f>
        <v>1.2494664</v>
      </c>
      <c r="Y563" s="57"/>
      <c r="Z563" s="14"/>
      <c r="AA563" s="56"/>
      <c r="AB563" s="50">
        <f>(B563*122.58+C563*297.941+D563*89.177+E563*40.302+F563*40+G563*160+H563*0+I563*100+J563*300)/(122.58+297.941+89.177+40.302+0+40+160+100+300)</f>
        <v>24.146030165652171</v>
      </c>
      <c r="AC563" s="45">
        <f>(M563*'RAP TEMPLATE-GAS AVAILABILITY'!O562+N563*'RAP TEMPLATE-GAS AVAILABILITY'!P562+O563*'RAP TEMPLATE-GAS AVAILABILITY'!Q562+P563*'RAP TEMPLATE-GAS AVAILABILITY'!R562)/('RAP TEMPLATE-GAS AVAILABILITY'!O562+'RAP TEMPLATE-GAS AVAILABILITY'!P562+'RAP TEMPLATE-GAS AVAILABILITY'!Q562+'RAP TEMPLATE-GAS AVAILABILITY'!R562)</f>
        <v>23.945407913669065</v>
      </c>
    </row>
    <row r="564" spans="1:29" ht="15.75" x14ac:dyDescent="0.25">
      <c r="A564" s="32">
        <v>58075</v>
      </c>
      <c r="B564" s="14">
        <f>CHOOSE(CONTROL!$C$42, 25.7792, 25.7792) * CHOOSE(CONTROL!$C$21, $C$9, 100%, $E$9)</f>
        <v>25.779199999999999</v>
      </c>
      <c r="C564" s="14">
        <f>CHOOSE(CONTROL!$C$42, 25.7842, 25.7842) * CHOOSE(CONTROL!$C$21, $C$9, 100%, $E$9)</f>
        <v>25.784199999999998</v>
      </c>
      <c r="D564" s="14">
        <f>CHOOSE(CONTROL!$C$42, 25.8472, 25.8472) * CHOOSE(CONTROL!$C$21, $C$9, 100%, $E$9)</f>
        <v>25.847200000000001</v>
      </c>
      <c r="E564" s="14">
        <f>CHOOSE(CONTROL!$C$42, 25.881, 25.881) * CHOOSE(CONTROL!$C$21, $C$9, 100%, $E$9)</f>
        <v>25.881</v>
      </c>
      <c r="F564" s="14">
        <f>CHOOSE(CONTROL!$C$42, 25.782, 25.782)*CHOOSE(CONTROL!$C$21, $C$9, 100%, $E$9)</f>
        <v>25.782</v>
      </c>
      <c r="G564" s="14">
        <f>CHOOSE(CONTROL!$C$42, 25.7988, 25.7988)*CHOOSE(CONTROL!$C$21, $C$9, 100%, $E$9)</f>
        <v>25.7988</v>
      </c>
      <c r="H564" s="14">
        <f>CHOOSE(CONTROL!$C$42, 25.8702, 25.8702) * CHOOSE(CONTROL!$C$21, $C$9, 100%, $E$9)</f>
        <v>25.870200000000001</v>
      </c>
      <c r="I564" s="14">
        <f>CHOOSE(CONTROL!$C$42, 25.7928, 25.7928)* CHOOSE(CONTROL!$C$21, $C$9, 100%, $E$9)</f>
        <v>25.7928</v>
      </c>
      <c r="J564" s="14">
        <f>CHOOSE(CONTROL!$C$42, 25.775, 25.775)* CHOOSE(CONTROL!$C$21, $C$9, 100%, $E$9)</f>
        <v>25.774999999999999</v>
      </c>
      <c r="K564" s="53">
        <f>CHOOSE(CONTROL!$C$42, 25.7889, 25.7889) * CHOOSE(CONTROL!$C$21, $C$9, 100%, $E$9)</f>
        <v>25.788900000000002</v>
      </c>
      <c r="L564" s="14">
        <f>CHOOSE(CONTROL!$C$42, 26.4572, 26.4572) * CHOOSE(CONTROL!$C$21, $C$9, 100%, $E$9)</f>
        <v>26.4572</v>
      </c>
      <c r="M564" s="14">
        <f>CHOOSE(CONTROL!$C$42, 25.5287, 25.5287) * CHOOSE(CONTROL!$C$21, $C$9, 100%, $E$9)</f>
        <v>25.528700000000001</v>
      </c>
      <c r="N564" s="14">
        <f>CHOOSE(CONTROL!$C$42, 25.5453, 25.5453) * CHOOSE(CONTROL!$C$21, $C$9, 100%, $E$9)</f>
        <v>25.545300000000001</v>
      </c>
      <c r="O564" s="14">
        <f>CHOOSE(CONTROL!$C$42, 25.623, 25.623) * CHOOSE(CONTROL!$C$21, $C$9, 100%, $E$9)</f>
        <v>25.623000000000001</v>
      </c>
      <c r="P564" s="14">
        <f>CHOOSE(CONTROL!$C$42, 25.5463, 25.5463) * CHOOSE(CONTROL!$C$21, $C$9, 100%, $E$9)</f>
        <v>25.546299999999999</v>
      </c>
      <c r="Q564" s="14">
        <f>CHOOSE(CONTROL!$C$42, 26.2183, 26.2183) * CHOOSE(CONTROL!$C$21, $C$9, 100%, $E$9)</f>
        <v>26.218299999999999</v>
      </c>
      <c r="R564" s="14">
        <f>CHOOSE(CONTROL!$C$42, 26.8708, 26.8708) * CHOOSE(CONTROL!$C$21, $C$9, 100%, $E$9)</f>
        <v>26.870799999999999</v>
      </c>
      <c r="S564" s="14">
        <f>CHOOSE(CONTROL!$C$42, 25.0321, 25.0321) * CHOOSE(CONTROL!$C$21, $C$9, 100%, $E$9)</f>
        <v>25.0321</v>
      </c>
      <c r="T56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64" s="57">
        <f>(1000*CHOOSE(CONTROL!$C$42, 695, 695)*CHOOSE(CONTROL!$C$42, 0.5599, 0.5599)*CHOOSE(CONTROL!$C$42, 31, 31))/1000000</f>
        <v>12.063045499999998</v>
      </c>
      <c r="V564" s="57">
        <f>(1000*CHOOSE(CONTROL!$C$42, 500, 500)*CHOOSE(CONTROL!$C$42, 0.275, 0.275)*CHOOSE(CONTROL!$C$42, 31, 31))/1000000</f>
        <v>4.2625000000000002</v>
      </c>
      <c r="W564" s="57">
        <f>(1000*CHOOSE(CONTROL!$C$42, 0.1146, 0.1146)*CHOOSE(CONTROL!$C$42, 121.5, 121.5)*CHOOSE(CONTROL!$C$42, 31, 31))/1000000</f>
        <v>0.43164089999999994</v>
      </c>
      <c r="X564" s="57">
        <f>(31*0.1790888*100000/1000000)+(31*0.2374*100000/1000000)</f>
        <v>1.2911152800000001</v>
      </c>
      <c r="Y564" s="57"/>
      <c r="Z564" s="14"/>
      <c r="AA564" s="56"/>
      <c r="AB564" s="50">
        <f>(B564*122.58+C564*297.941+D564*89.177+E564*40.302+F564*40+G564*160+H564*0+I564*100+J564*300)/(122.58+297.941+89.177+40.302+0+40+160+100+300)</f>
        <v>25.792247377913039</v>
      </c>
      <c r="AC564" s="45">
        <f>(M564*'RAP TEMPLATE-GAS AVAILABILITY'!O563+N564*'RAP TEMPLATE-GAS AVAILABILITY'!P563+O564*'RAP TEMPLATE-GAS AVAILABILITY'!Q563+P564*'RAP TEMPLATE-GAS AVAILABILITY'!R563)/('RAP TEMPLATE-GAS AVAILABILITY'!O563+'RAP TEMPLATE-GAS AVAILABILITY'!P563+'RAP TEMPLATE-GAS AVAILABILITY'!Q563+'RAP TEMPLATE-GAS AVAILABILITY'!R563)</f>
        <v>25.574928057553958</v>
      </c>
    </row>
    <row r="565" spans="1:29" ht="15.75" x14ac:dyDescent="0.25">
      <c r="A565" s="32">
        <v>58106</v>
      </c>
      <c r="B565" s="14">
        <f>CHOOSE(CONTROL!$C$42, 27.8912, 27.8912) * CHOOSE(CONTROL!$C$21, $C$9, 100%, $E$9)</f>
        <v>27.891200000000001</v>
      </c>
      <c r="C565" s="14">
        <f>CHOOSE(CONTROL!$C$42, 27.8962, 27.8962) * CHOOSE(CONTROL!$C$21, $C$9, 100%, $E$9)</f>
        <v>27.8962</v>
      </c>
      <c r="D565" s="14">
        <f>CHOOSE(CONTROL!$C$42, 27.9605, 27.9605) * CHOOSE(CONTROL!$C$21, $C$9, 100%, $E$9)</f>
        <v>27.9605</v>
      </c>
      <c r="E565" s="14">
        <f>CHOOSE(CONTROL!$C$42, 27.9943, 27.9943) * CHOOSE(CONTROL!$C$21, $C$9, 100%, $E$9)</f>
        <v>27.994299999999999</v>
      </c>
      <c r="F565" s="14">
        <f>CHOOSE(CONTROL!$C$42, 27.8928, 27.8928)*CHOOSE(CONTROL!$C$21, $C$9, 100%, $E$9)</f>
        <v>27.892800000000001</v>
      </c>
      <c r="G565" s="14">
        <f>CHOOSE(CONTROL!$C$42, 27.9087, 27.9087)*CHOOSE(CONTROL!$C$21, $C$9, 100%, $E$9)</f>
        <v>27.9087</v>
      </c>
      <c r="H565" s="14">
        <f>CHOOSE(CONTROL!$C$42, 27.9834, 27.9834) * CHOOSE(CONTROL!$C$21, $C$9, 100%, $E$9)</f>
        <v>27.9834</v>
      </c>
      <c r="I565" s="14">
        <f>CHOOSE(CONTROL!$C$42, 27.9112, 27.9112)* CHOOSE(CONTROL!$C$21, $C$9, 100%, $E$9)</f>
        <v>27.911200000000001</v>
      </c>
      <c r="J565" s="14">
        <f>CHOOSE(CONTROL!$C$42, 27.8858, 27.8858)* CHOOSE(CONTROL!$C$21, $C$9, 100%, $E$9)</f>
        <v>27.8858</v>
      </c>
      <c r="K565" s="53">
        <f>CHOOSE(CONTROL!$C$42, 27.9073, 27.9073) * CHOOSE(CONTROL!$C$21, $C$9, 100%, $E$9)</f>
        <v>27.907299999999999</v>
      </c>
      <c r="L565" s="14">
        <f>CHOOSE(CONTROL!$C$42, 28.5704, 28.5704) * CHOOSE(CONTROL!$C$21, $C$9, 100%, $E$9)</f>
        <v>28.570399999999999</v>
      </c>
      <c r="M565" s="14">
        <f>CHOOSE(CONTROL!$C$42, 27.6182, 27.6182) * CHOOSE(CONTROL!$C$21, $C$9, 100%, $E$9)</f>
        <v>27.618200000000002</v>
      </c>
      <c r="N565" s="14">
        <f>CHOOSE(CONTROL!$C$42, 27.6339, 27.6339) * CHOOSE(CONTROL!$C$21, $C$9, 100%, $E$9)</f>
        <v>27.633900000000001</v>
      </c>
      <c r="O565" s="14">
        <f>CHOOSE(CONTROL!$C$42, 27.7149, 27.7149) * CHOOSE(CONTROL!$C$21, $C$9, 100%, $E$9)</f>
        <v>27.7149</v>
      </c>
      <c r="P565" s="14">
        <f>CHOOSE(CONTROL!$C$42, 27.6434, 27.6434) * CHOOSE(CONTROL!$C$21, $C$9, 100%, $E$9)</f>
        <v>27.6434</v>
      </c>
      <c r="Q565" s="14">
        <f>CHOOSE(CONTROL!$C$42, 28.3102, 28.3102) * CHOOSE(CONTROL!$C$21, $C$9, 100%, $E$9)</f>
        <v>28.310199999999998</v>
      </c>
      <c r="R565" s="14">
        <f>CHOOSE(CONTROL!$C$42, 28.9679, 28.9679) * CHOOSE(CONTROL!$C$21, $C$9, 100%, $E$9)</f>
        <v>28.9679</v>
      </c>
      <c r="S565" s="14">
        <f>CHOOSE(CONTROL!$C$42, 27.0831, 27.0831) * CHOOSE(CONTROL!$C$21, $C$9, 100%, $E$9)</f>
        <v>27.083100000000002</v>
      </c>
      <c r="T56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65" s="57">
        <f>(1000*CHOOSE(CONTROL!$C$42, 695, 695)*CHOOSE(CONTROL!$C$42, 0.5599, 0.5599)*CHOOSE(CONTROL!$C$42, 31, 31))/1000000</f>
        <v>12.063045499999998</v>
      </c>
      <c r="V565" s="57">
        <f>(1000*CHOOSE(CONTROL!$C$42, 500, 500)*CHOOSE(CONTROL!$C$42, 0.275, 0.275)*CHOOSE(CONTROL!$C$42, 31, 31))/1000000</f>
        <v>4.2625000000000002</v>
      </c>
      <c r="W565" s="57">
        <f>(1000*CHOOSE(CONTROL!$C$42, 0.1146, 0.1146)*CHOOSE(CONTROL!$C$42, 121.5, 121.5)*CHOOSE(CONTROL!$C$42, 31, 31))/1000000</f>
        <v>0.43164089999999994</v>
      </c>
      <c r="X565" s="57">
        <f>(31*0.1790888*100000/1000000)+(31*0.2374*100000/1000000)</f>
        <v>1.2911152800000001</v>
      </c>
      <c r="Y565" s="57"/>
      <c r="Z565" s="14"/>
      <c r="AA565" s="56"/>
      <c r="AB565" s="50">
        <f>(B565*122.58+C565*297.941+D565*89.177+E565*40.302+F565*40+G565*160+H565*0+I565*100+J565*300)/(122.58+297.941+89.177+40.302+0+40+160+100+300)</f>
        <v>27.904303310695649</v>
      </c>
      <c r="AC565" s="45">
        <f>(M565*'RAP TEMPLATE-GAS AVAILABILITY'!O564+N565*'RAP TEMPLATE-GAS AVAILABILITY'!P564+O565*'RAP TEMPLATE-GAS AVAILABILITY'!Q564+P565*'RAP TEMPLATE-GAS AVAILABILITY'!R564)/('RAP TEMPLATE-GAS AVAILABILITY'!O564+'RAP TEMPLATE-GAS AVAILABILITY'!P564+'RAP TEMPLATE-GAS AVAILABILITY'!Q564+'RAP TEMPLATE-GAS AVAILABILITY'!R564)</f>
        <v>27.666557553956835</v>
      </c>
    </row>
    <row r="566" spans="1:29" ht="15.75" x14ac:dyDescent="0.25">
      <c r="A566" s="32">
        <v>58134</v>
      </c>
      <c r="B566" s="14">
        <f>CHOOSE(CONTROL!$C$42, 28.3877, 28.3877) * CHOOSE(CONTROL!$C$21, $C$9, 100%, $E$9)</f>
        <v>28.387699999999999</v>
      </c>
      <c r="C566" s="14">
        <f>CHOOSE(CONTROL!$C$42, 28.3926, 28.3926) * CHOOSE(CONTROL!$C$21, $C$9, 100%, $E$9)</f>
        <v>28.392600000000002</v>
      </c>
      <c r="D566" s="14">
        <f>CHOOSE(CONTROL!$C$42, 28.4569, 28.4569) * CHOOSE(CONTROL!$C$21, $C$9, 100%, $E$9)</f>
        <v>28.456900000000001</v>
      </c>
      <c r="E566" s="14">
        <f>CHOOSE(CONTROL!$C$42, 28.4907, 28.4907) * CHOOSE(CONTROL!$C$21, $C$9, 100%, $E$9)</f>
        <v>28.4907</v>
      </c>
      <c r="F566" s="14">
        <f>CHOOSE(CONTROL!$C$42, 28.3893, 28.3893)*CHOOSE(CONTROL!$C$21, $C$9, 100%, $E$9)</f>
        <v>28.389299999999999</v>
      </c>
      <c r="G566" s="14">
        <f>CHOOSE(CONTROL!$C$42, 28.4052, 28.4052)*CHOOSE(CONTROL!$C$21, $C$9, 100%, $E$9)</f>
        <v>28.405200000000001</v>
      </c>
      <c r="H566" s="14">
        <f>CHOOSE(CONTROL!$C$42, 28.4799, 28.4799) * CHOOSE(CONTROL!$C$21, $C$9, 100%, $E$9)</f>
        <v>28.479900000000001</v>
      </c>
      <c r="I566" s="14">
        <f>CHOOSE(CONTROL!$C$42, 28.4077, 28.4077)* CHOOSE(CONTROL!$C$21, $C$9, 100%, $E$9)</f>
        <v>28.407699999999998</v>
      </c>
      <c r="J566" s="14">
        <f>CHOOSE(CONTROL!$C$42, 28.3823, 28.3823)* CHOOSE(CONTROL!$C$21, $C$9, 100%, $E$9)</f>
        <v>28.382300000000001</v>
      </c>
      <c r="K566" s="53">
        <f>CHOOSE(CONTROL!$C$42, 28.4038, 28.4038) * CHOOSE(CONTROL!$C$21, $C$9, 100%, $E$9)</f>
        <v>28.4038</v>
      </c>
      <c r="L566" s="14">
        <f>CHOOSE(CONTROL!$C$42, 29.0669, 29.0669) * CHOOSE(CONTROL!$C$21, $C$9, 100%, $E$9)</f>
        <v>29.0669</v>
      </c>
      <c r="M566" s="14">
        <f>CHOOSE(CONTROL!$C$42, 28.1097, 28.1097) * CHOOSE(CONTROL!$C$21, $C$9, 100%, $E$9)</f>
        <v>28.1097</v>
      </c>
      <c r="N566" s="14">
        <f>CHOOSE(CONTROL!$C$42, 28.1254, 28.1254) * CHOOSE(CONTROL!$C$21, $C$9, 100%, $E$9)</f>
        <v>28.125399999999999</v>
      </c>
      <c r="O566" s="14">
        <f>CHOOSE(CONTROL!$C$42, 28.2063, 28.2063) * CHOOSE(CONTROL!$C$21, $C$9, 100%, $E$9)</f>
        <v>28.206299999999999</v>
      </c>
      <c r="P566" s="14">
        <f>CHOOSE(CONTROL!$C$42, 28.1349, 28.1349) * CHOOSE(CONTROL!$C$21, $C$9, 100%, $E$9)</f>
        <v>28.134899999999998</v>
      </c>
      <c r="Q566" s="14">
        <f>CHOOSE(CONTROL!$C$42, 28.8016, 28.8016) * CHOOSE(CONTROL!$C$21, $C$9, 100%, $E$9)</f>
        <v>28.801600000000001</v>
      </c>
      <c r="R566" s="14">
        <f>CHOOSE(CONTROL!$C$42, 29.4606, 29.4606) * CHOOSE(CONTROL!$C$21, $C$9, 100%, $E$9)</f>
        <v>29.460599999999999</v>
      </c>
      <c r="S566" s="14">
        <f>CHOOSE(CONTROL!$C$42, 27.5652, 27.5652) * CHOOSE(CONTROL!$C$21, $C$9, 100%, $E$9)</f>
        <v>27.565200000000001</v>
      </c>
      <c r="T56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66" s="57">
        <f>(1000*CHOOSE(CONTROL!$C$42, 695, 695)*CHOOSE(CONTROL!$C$42, 0.5599, 0.5599)*CHOOSE(CONTROL!$C$42, 28, 28))/1000000</f>
        <v>10.895653999999999</v>
      </c>
      <c r="V566" s="57">
        <f>(1000*CHOOSE(CONTROL!$C$42, 500, 500)*CHOOSE(CONTROL!$C$42, 0.275, 0.275)*CHOOSE(CONTROL!$C$42, 28, 28))/1000000</f>
        <v>3.85</v>
      </c>
      <c r="W566" s="57">
        <f>(1000*CHOOSE(CONTROL!$C$42, 0.1146, 0.1146)*CHOOSE(CONTROL!$C$42, 121.5, 121.5)*CHOOSE(CONTROL!$C$42, 28, 28))/1000000</f>
        <v>0.38986920000000003</v>
      </c>
      <c r="X566" s="57">
        <f>(28*0.1790888*100000/1000000)+(28*0.2374*100000/1000000)</f>
        <v>1.16616864</v>
      </c>
      <c r="Y566" s="57"/>
      <c r="Z566" s="14"/>
      <c r="AA566" s="56"/>
      <c r="AB566" s="50">
        <f>(B566*122.58+C566*297.941+D566*89.177+E566*40.302+F566*40+G566*160+H566*0+I566*100+J566*300)/(122.58+297.941+89.177+40.302+0+40+160+100+300)</f>
        <v>28.400766143739126</v>
      </c>
      <c r="AC566" s="45">
        <f>(M566*'RAP TEMPLATE-GAS AVAILABILITY'!O565+N566*'RAP TEMPLATE-GAS AVAILABILITY'!P565+O566*'RAP TEMPLATE-GAS AVAILABILITY'!Q565+P566*'RAP TEMPLATE-GAS AVAILABILITY'!R565)/('RAP TEMPLATE-GAS AVAILABILITY'!O565+'RAP TEMPLATE-GAS AVAILABILITY'!P565+'RAP TEMPLATE-GAS AVAILABILITY'!Q565+'RAP TEMPLATE-GAS AVAILABILITY'!R565)</f>
        <v>28.158012230215828</v>
      </c>
    </row>
    <row r="567" spans="1:29" ht="15.75" x14ac:dyDescent="0.25">
      <c r="A567" s="32">
        <v>58165</v>
      </c>
      <c r="B567" s="14">
        <f>CHOOSE(CONTROL!$C$42, 27.5818, 27.5818) * CHOOSE(CONTROL!$C$21, $C$9, 100%, $E$9)</f>
        <v>27.581800000000001</v>
      </c>
      <c r="C567" s="14">
        <f>CHOOSE(CONTROL!$C$42, 27.5868, 27.5868) * CHOOSE(CONTROL!$C$21, $C$9, 100%, $E$9)</f>
        <v>27.5868</v>
      </c>
      <c r="D567" s="14">
        <f>CHOOSE(CONTROL!$C$42, 27.6511, 27.6511) * CHOOSE(CONTROL!$C$21, $C$9, 100%, $E$9)</f>
        <v>27.6511</v>
      </c>
      <c r="E567" s="14">
        <f>CHOOSE(CONTROL!$C$42, 27.6848, 27.6848) * CHOOSE(CONTROL!$C$21, $C$9, 100%, $E$9)</f>
        <v>27.684799999999999</v>
      </c>
      <c r="F567" s="14">
        <f>CHOOSE(CONTROL!$C$42, 27.5831, 27.5831)*CHOOSE(CONTROL!$C$21, $C$9, 100%, $E$9)</f>
        <v>27.583100000000002</v>
      </c>
      <c r="G567" s="14">
        <f>CHOOSE(CONTROL!$C$42, 27.5989, 27.5989)*CHOOSE(CONTROL!$C$21, $C$9, 100%, $E$9)</f>
        <v>27.5989</v>
      </c>
      <c r="H567" s="14">
        <f>CHOOSE(CONTROL!$C$42, 27.674, 27.674) * CHOOSE(CONTROL!$C$21, $C$9, 100%, $E$9)</f>
        <v>27.673999999999999</v>
      </c>
      <c r="I567" s="14">
        <f>CHOOSE(CONTROL!$C$42, 27.6018, 27.6018)* CHOOSE(CONTROL!$C$21, $C$9, 100%, $E$9)</f>
        <v>27.601800000000001</v>
      </c>
      <c r="J567" s="14">
        <f>CHOOSE(CONTROL!$C$42, 27.5761, 27.5761)* CHOOSE(CONTROL!$C$21, $C$9, 100%, $E$9)</f>
        <v>27.5761</v>
      </c>
      <c r="K567" s="53">
        <f>CHOOSE(CONTROL!$C$42, 27.5979, 27.5979) * CHOOSE(CONTROL!$C$21, $C$9, 100%, $E$9)</f>
        <v>27.597899999999999</v>
      </c>
      <c r="L567" s="14">
        <f>CHOOSE(CONTROL!$C$42, 28.261, 28.261) * CHOOSE(CONTROL!$C$21, $C$9, 100%, $E$9)</f>
        <v>28.260999999999999</v>
      </c>
      <c r="M567" s="14">
        <f>CHOOSE(CONTROL!$C$42, 27.3116, 27.3116) * CHOOSE(CONTROL!$C$21, $C$9, 100%, $E$9)</f>
        <v>27.311599999999999</v>
      </c>
      <c r="N567" s="14">
        <f>CHOOSE(CONTROL!$C$42, 27.3273, 27.3273) * CHOOSE(CONTROL!$C$21, $C$9, 100%, $E$9)</f>
        <v>27.327300000000001</v>
      </c>
      <c r="O567" s="14">
        <f>CHOOSE(CONTROL!$C$42, 27.4086, 27.4086) * CHOOSE(CONTROL!$C$21, $C$9, 100%, $E$9)</f>
        <v>27.4086</v>
      </c>
      <c r="P567" s="14">
        <f>CHOOSE(CONTROL!$C$42, 27.3371, 27.3371) * CHOOSE(CONTROL!$C$21, $C$9, 100%, $E$9)</f>
        <v>27.3371</v>
      </c>
      <c r="Q567" s="14">
        <f>CHOOSE(CONTROL!$C$42, 28.0039, 28.0039) * CHOOSE(CONTROL!$C$21, $C$9, 100%, $E$9)</f>
        <v>28.003900000000002</v>
      </c>
      <c r="R567" s="14">
        <f>CHOOSE(CONTROL!$C$42, 28.6609, 28.6609) * CHOOSE(CONTROL!$C$21, $C$9, 100%, $E$9)</f>
        <v>28.660900000000002</v>
      </c>
      <c r="S567" s="14">
        <f>CHOOSE(CONTROL!$C$42, 26.7826, 26.7826) * CHOOSE(CONTROL!$C$21, $C$9, 100%, $E$9)</f>
        <v>26.782599999999999</v>
      </c>
      <c r="T56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67" s="57">
        <f>(1000*CHOOSE(CONTROL!$C$42, 695, 695)*CHOOSE(CONTROL!$C$42, 0.5599, 0.5599)*CHOOSE(CONTROL!$C$42, 31, 31))/1000000</f>
        <v>12.063045499999998</v>
      </c>
      <c r="V567" s="57">
        <f>(1000*CHOOSE(CONTROL!$C$42, 500, 500)*CHOOSE(CONTROL!$C$42, 0.275, 0.275)*CHOOSE(CONTROL!$C$42, 31, 31))/1000000</f>
        <v>4.2625000000000002</v>
      </c>
      <c r="W567" s="57">
        <f>(1000*CHOOSE(CONTROL!$C$42, 0.1146, 0.1146)*CHOOSE(CONTROL!$C$42, 121.5, 121.5)*CHOOSE(CONTROL!$C$42, 31, 31))/1000000</f>
        <v>0.43164089999999994</v>
      </c>
      <c r="X567" s="57">
        <f>(31*0.1790888*100000/1000000)+(31*0.2374*100000/1000000)</f>
        <v>1.2911152800000001</v>
      </c>
      <c r="Y567" s="57"/>
      <c r="Z567" s="14"/>
      <c r="AA567" s="56"/>
      <c r="AB567" s="50">
        <f>(B567*122.58+C567*297.941+D567*89.177+E567*40.302+F567*40+G567*160+H567*0+I567*100+J567*300)/(122.58+297.941+89.177+40.302+0+40+160+100+300)</f>
        <v>27.59475545834783</v>
      </c>
      <c r="AC567" s="45">
        <f>(M567*'RAP TEMPLATE-GAS AVAILABILITY'!O566+N567*'RAP TEMPLATE-GAS AVAILABILITY'!P566+O567*'RAP TEMPLATE-GAS AVAILABILITY'!Q566+P567*'RAP TEMPLATE-GAS AVAILABILITY'!R566)/('RAP TEMPLATE-GAS AVAILABILITY'!O566+'RAP TEMPLATE-GAS AVAILABILITY'!P566+'RAP TEMPLATE-GAS AVAILABILITY'!Q566+'RAP TEMPLATE-GAS AVAILABILITY'!R566)</f>
        <v>27.360136690647483</v>
      </c>
    </row>
    <row r="568" spans="1:29" ht="15.75" x14ac:dyDescent="0.25">
      <c r="A568" s="32">
        <v>58195</v>
      </c>
      <c r="B568" s="14">
        <f>CHOOSE(CONTROL!$C$42, 27.5004, 27.5004) * CHOOSE(CONTROL!$C$21, $C$9, 100%, $E$9)</f>
        <v>27.500399999999999</v>
      </c>
      <c r="C568" s="14">
        <f>CHOOSE(CONTROL!$C$42, 27.5048, 27.5048) * CHOOSE(CONTROL!$C$21, $C$9, 100%, $E$9)</f>
        <v>27.504799999999999</v>
      </c>
      <c r="D568" s="14">
        <f>CHOOSE(CONTROL!$C$42, 27.7055, 27.7055) * CHOOSE(CONTROL!$C$21, $C$9, 100%, $E$9)</f>
        <v>27.705500000000001</v>
      </c>
      <c r="E568" s="14">
        <f>CHOOSE(CONTROL!$C$42, 27.7373, 27.7373) * CHOOSE(CONTROL!$C$21, $C$9, 100%, $E$9)</f>
        <v>27.737300000000001</v>
      </c>
      <c r="F568" s="14">
        <f>CHOOSE(CONTROL!$C$42, 27.485, 27.485)*CHOOSE(CONTROL!$C$21, $C$9, 100%, $E$9)</f>
        <v>27.484999999999999</v>
      </c>
      <c r="G568" s="14">
        <f>CHOOSE(CONTROL!$C$42, 27.5006, 27.5006)*CHOOSE(CONTROL!$C$21, $C$9, 100%, $E$9)</f>
        <v>27.500599999999999</v>
      </c>
      <c r="H568" s="14">
        <f>CHOOSE(CONTROL!$C$42, 27.7271, 27.7271) * CHOOSE(CONTROL!$C$21, $C$9, 100%, $E$9)</f>
        <v>27.7271</v>
      </c>
      <c r="I568" s="14">
        <f>CHOOSE(CONTROL!$C$42, 27.5132, 27.5132)* CHOOSE(CONTROL!$C$21, $C$9, 100%, $E$9)</f>
        <v>27.513200000000001</v>
      </c>
      <c r="J568" s="14">
        <f>CHOOSE(CONTROL!$C$42, 27.478, 27.478)* CHOOSE(CONTROL!$C$21, $C$9, 100%, $E$9)</f>
        <v>27.478000000000002</v>
      </c>
      <c r="K568" s="53">
        <f>CHOOSE(CONTROL!$C$42, 27.5093, 27.5093) * CHOOSE(CONTROL!$C$21, $C$9, 100%, $E$9)</f>
        <v>27.5093</v>
      </c>
      <c r="L568" s="14">
        <f>CHOOSE(CONTROL!$C$42, 28.3141, 28.3141) * CHOOSE(CONTROL!$C$21, $C$9, 100%, $E$9)</f>
        <v>28.3141</v>
      </c>
      <c r="M568" s="14">
        <f>CHOOSE(CONTROL!$C$42, 27.2145, 27.2145) * CHOOSE(CONTROL!$C$21, $C$9, 100%, $E$9)</f>
        <v>27.214500000000001</v>
      </c>
      <c r="N568" s="14">
        <f>CHOOSE(CONTROL!$C$42, 27.23, 27.23) * CHOOSE(CONTROL!$C$21, $C$9, 100%, $E$9)</f>
        <v>27.23</v>
      </c>
      <c r="O568" s="14">
        <f>CHOOSE(CONTROL!$C$42, 27.4611, 27.4611) * CHOOSE(CONTROL!$C$21, $C$9, 100%, $E$9)</f>
        <v>27.461099999999998</v>
      </c>
      <c r="P568" s="14">
        <f>CHOOSE(CONTROL!$C$42, 27.2494, 27.2494) * CHOOSE(CONTROL!$C$21, $C$9, 100%, $E$9)</f>
        <v>27.249400000000001</v>
      </c>
      <c r="Q568" s="14">
        <f>CHOOSE(CONTROL!$C$42, 28.0564, 28.0564) * CHOOSE(CONTROL!$C$21, $C$9, 100%, $E$9)</f>
        <v>28.0564</v>
      </c>
      <c r="R568" s="14">
        <f>CHOOSE(CONTROL!$C$42, 28.7135, 28.7135) * CHOOSE(CONTROL!$C$21, $C$9, 100%, $E$9)</f>
        <v>28.7135</v>
      </c>
      <c r="S568" s="14">
        <f>CHOOSE(CONTROL!$C$42, 26.7028, 26.7028) * CHOOSE(CONTROL!$C$21, $C$9, 100%, $E$9)</f>
        <v>26.7028</v>
      </c>
      <c r="T56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68" s="57">
        <f>(1000*CHOOSE(CONTROL!$C$42, 695, 695)*CHOOSE(CONTROL!$C$42, 0.5599, 0.5599)*CHOOSE(CONTROL!$C$42, 30, 30))/1000000</f>
        <v>11.673914999999997</v>
      </c>
      <c r="V568" s="57">
        <f>(1000*CHOOSE(CONTROL!$C$42, 500, 500)*CHOOSE(CONTROL!$C$42, 0.275, 0.275)*CHOOSE(CONTROL!$C$42, 30, 30))/1000000</f>
        <v>4.125</v>
      </c>
      <c r="W568" s="57">
        <f>(1000*CHOOSE(CONTROL!$C$42, 0.1146, 0.1146)*CHOOSE(CONTROL!$C$42, 121.5, 121.5)*CHOOSE(CONTROL!$C$42, 30, 30))/1000000</f>
        <v>0.417717</v>
      </c>
      <c r="X568" s="57">
        <f>(30*0.1790888*245000/1000000)+(30*0.2374*100000/1000000)</f>
        <v>2.0285026799999999</v>
      </c>
      <c r="Y568" s="57"/>
      <c r="Z568" s="14"/>
      <c r="AA568" s="56"/>
      <c r="AB568" s="50">
        <f>(B568*141.293+C568*267.993+D568*115.016+E568*89.698+F568*40+G568*185+H568*0+I568*100+J568*300)/(141.293+267.993+115.016+89.698+0+40+185+100+300)</f>
        <v>27.53268362146893</v>
      </c>
      <c r="AC568" s="45">
        <f>(M568*'RAP TEMPLATE-GAS AVAILABILITY'!O567+N568*'RAP TEMPLATE-GAS AVAILABILITY'!P567+O568*'RAP TEMPLATE-GAS AVAILABILITY'!Q567+P568*'RAP TEMPLATE-GAS AVAILABILITY'!R567)/('RAP TEMPLATE-GAS AVAILABILITY'!O567+'RAP TEMPLATE-GAS AVAILABILITY'!P567+'RAP TEMPLATE-GAS AVAILABILITY'!Q567+'RAP TEMPLATE-GAS AVAILABILITY'!R567)</f>
        <v>27.292279856115108</v>
      </c>
    </row>
    <row r="569" spans="1:29" ht="15.75" x14ac:dyDescent="0.25">
      <c r="A569" s="32">
        <v>58226</v>
      </c>
      <c r="B569" s="14">
        <f>CHOOSE(CONTROL!$C$42, 27.7445, 27.7445) * CHOOSE(CONTROL!$C$21, $C$9, 100%, $E$9)</f>
        <v>27.744499999999999</v>
      </c>
      <c r="C569" s="14">
        <f>CHOOSE(CONTROL!$C$42, 27.7524, 27.7524) * CHOOSE(CONTROL!$C$21, $C$9, 100%, $E$9)</f>
        <v>27.752400000000002</v>
      </c>
      <c r="D569" s="14">
        <f>CHOOSE(CONTROL!$C$42, 27.95, 27.95) * CHOOSE(CONTROL!$C$21, $C$9, 100%, $E$9)</f>
        <v>27.95</v>
      </c>
      <c r="E569" s="14">
        <f>CHOOSE(CONTROL!$C$42, 27.9811, 27.9811) * CHOOSE(CONTROL!$C$21, $C$9, 100%, $E$9)</f>
        <v>27.981100000000001</v>
      </c>
      <c r="F569" s="14">
        <f>CHOOSE(CONTROL!$C$42, 27.7279, 27.7279)*CHOOSE(CONTROL!$C$21, $C$9, 100%, $E$9)</f>
        <v>27.727900000000002</v>
      </c>
      <c r="G569" s="14">
        <f>CHOOSE(CONTROL!$C$42, 27.744, 27.744)*CHOOSE(CONTROL!$C$21, $C$9, 100%, $E$9)</f>
        <v>27.744</v>
      </c>
      <c r="H569" s="14">
        <f>CHOOSE(CONTROL!$C$42, 27.9698, 27.9698) * CHOOSE(CONTROL!$C$21, $C$9, 100%, $E$9)</f>
        <v>27.969799999999999</v>
      </c>
      <c r="I569" s="14">
        <f>CHOOSE(CONTROL!$C$42, 27.7559, 27.7559)* CHOOSE(CONTROL!$C$21, $C$9, 100%, $E$9)</f>
        <v>27.7559</v>
      </c>
      <c r="J569" s="14">
        <f>CHOOSE(CONTROL!$C$42, 27.7209, 27.7209)* CHOOSE(CONTROL!$C$21, $C$9, 100%, $E$9)</f>
        <v>27.7209</v>
      </c>
      <c r="K569" s="53">
        <f>CHOOSE(CONTROL!$C$42, 27.752, 27.752) * CHOOSE(CONTROL!$C$21, $C$9, 100%, $E$9)</f>
        <v>27.751999999999999</v>
      </c>
      <c r="L569" s="14">
        <f>CHOOSE(CONTROL!$C$42, 28.5568, 28.5568) * CHOOSE(CONTROL!$C$21, $C$9, 100%, $E$9)</f>
        <v>28.556799999999999</v>
      </c>
      <c r="M569" s="14">
        <f>CHOOSE(CONTROL!$C$42, 27.455, 27.455) * CHOOSE(CONTROL!$C$21, $C$9, 100%, $E$9)</f>
        <v>27.454999999999998</v>
      </c>
      <c r="N569" s="14">
        <f>CHOOSE(CONTROL!$C$42, 27.4709, 27.4709) * CHOOSE(CONTROL!$C$21, $C$9, 100%, $E$9)</f>
        <v>27.4709</v>
      </c>
      <c r="O569" s="14">
        <f>CHOOSE(CONTROL!$C$42, 27.7013, 27.7013) * CHOOSE(CONTROL!$C$21, $C$9, 100%, $E$9)</f>
        <v>27.7013</v>
      </c>
      <c r="P569" s="14">
        <f>CHOOSE(CONTROL!$C$42, 27.4896, 27.4896) * CHOOSE(CONTROL!$C$21, $C$9, 100%, $E$9)</f>
        <v>27.489599999999999</v>
      </c>
      <c r="Q569" s="14">
        <f>CHOOSE(CONTROL!$C$42, 28.2966, 28.2966) * CHOOSE(CONTROL!$C$21, $C$9, 100%, $E$9)</f>
        <v>28.296600000000002</v>
      </c>
      <c r="R569" s="14">
        <f>CHOOSE(CONTROL!$C$42, 28.9544, 28.9544) * CHOOSE(CONTROL!$C$21, $C$9, 100%, $E$9)</f>
        <v>28.9544</v>
      </c>
      <c r="S569" s="14">
        <f>CHOOSE(CONTROL!$C$42, 26.9384, 26.9384) * CHOOSE(CONTROL!$C$21, $C$9, 100%, $E$9)</f>
        <v>26.938400000000001</v>
      </c>
      <c r="T56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69" s="57">
        <f>(1000*CHOOSE(CONTROL!$C$42, 695, 695)*CHOOSE(CONTROL!$C$42, 0.5599, 0.5599)*CHOOSE(CONTROL!$C$42, 31, 31))/1000000</f>
        <v>12.063045499999998</v>
      </c>
      <c r="V569" s="57">
        <f>(1000*CHOOSE(CONTROL!$C$42, 500, 500)*CHOOSE(CONTROL!$C$42, 0.275, 0.275)*CHOOSE(CONTROL!$C$42, 31, 31))/1000000</f>
        <v>4.2625000000000002</v>
      </c>
      <c r="W569" s="57">
        <f>(1000*CHOOSE(CONTROL!$C$42, 0.1146, 0.1146)*CHOOSE(CONTROL!$C$42, 121.5, 121.5)*CHOOSE(CONTROL!$C$42, 31, 31))/1000000</f>
        <v>0.43164089999999994</v>
      </c>
      <c r="X569" s="57">
        <f>(31*0.1790888*245000/1000000)+(31*0.2374*100000/1000000)</f>
        <v>2.0961194359999999</v>
      </c>
      <c r="Y569" s="57"/>
      <c r="Z569" s="14"/>
      <c r="AA569" s="56"/>
      <c r="AB569" s="50">
        <f>(B569*194.205+C569*267.466+D569*133.845+E569*53.484+F569*40+G569*185+H569*0+I569*100+J569*300)/(194.205+267.466+133.845+53.484+0+40+185+100+300)</f>
        <v>27.772424602276296</v>
      </c>
      <c r="AC569" s="45">
        <f>(M569*'RAP TEMPLATE-GAS AVAILABILITY'!O568+N569*'RAP TEMPLATE-GAS AVAILABILITY'!P568+O569*'RAP TEMPLATE-GAS AVAILABILITY'!Q568+P569*'RAP TEMPLATE-GAS AVAILABILITY'!R568)/('RAP TEMPLATE-GAS AVAILABILITY'!O568+'RAP TEMPLATE-GAS AVAILABILITY'!P568+'RAP TEMPLATE-GAS AVAILABILITY'!Q568+'RAP TEMPLATE-GAS AVAILABILITY'!R568)</f>
        <v>27.532744604316548</v>
      </c>
    </row>
    <row r="570" spans="1:29" ht="15.75" x14ac:dyDescent="0.25">
      <c r="A570" s="32">
        <v>58256</v>
      </c>
      <c r="B570" s="14">
        <f>CHOOSE(CONTROL!$C$42, 28.5314, 28.5314) * CHOOSE(CONTROL!$C$21, $C$9, 100%, $E$9)</f>
        <v>28.531400000000001</v>
      </c>
      <c r="C570" s="14">
        <f>CHOOSE(CONTROL!$C$42, 28.5393, 28.5393) * CHOOSE(CONTROL!$C$21, $C$9, 100%, $E$9)</f>
        <v>28.539300000000001</v>
      </c>
      <c r="D570" s="14">
        <f>CHOOSE(CONTROL!$C$42, 28.7369, 28.7369) * CHOOSE(CONTROL!$C$21, $C$9, 100%, $E$9)</f>
        <v>28.736899999999999</v>
      </c>
      <c r="E570" s="14">
        <f>CHOOSE(CONTROL!$C$42, 28.768, 28.768) * CHOOSE(CONTROL!$C$21, $C$9, 100%, $E$9)</f>
        <v>28.768000000000001</v>
      </c>
      <c r="F570" s="14">
        <f>CHOOSE(CONTROL!$C$42, 28.5152, 28.5152)*CHOOSE(CONTROL!$C$21, $C$9, 100%, $E$9)</f>
        <v>28.5152</v>
      </c>
      <c r="G570" s="14">
        <f>CHOOSE(CONTROL!$C$42, 28.5314, 28.5314)*CHOOSE(CONTROL!$C$21, $C$9, 100%, $E$9)</f>
        <v>28.531400000000001</v>
      </c>
      <c r="H570" s="14">
        <f>CHOOSE(CONTROL!$C$42, 28.7566, 28.7566) * CHOOSE(CONTROL!$C$21, $C$9, 100%, $E$9)</f>
        <v>28.756599999999999</v>
      </c>
      <c r="I570" s="14">
        <f>CHOOSE(CONTROL!$C$42, 28.5427, 28.5427)* CHOOSE(CONTROL!$C$21, $C$9, 100%, $E$9)</f>
        <v>28.5427</v>
      </c>
      <c r="J570" s="14">
        <f>CHOOSE(CONTROL!$C$42, 28.5082, 28.5082)* CHOOSE(CONTROL!$C$21, $C$9, 100%, $E$9)</f>
        <v>28.508199999999999</v>
      </c>
      <c r="K570" s="53">
        <f>CHOOSE(CONTROL!$C$42, 28.5388, 28.5388) * CHOOSE(CONTROL!$C$21, $C$9, 100%, $E$9)</f>
        <v>28.538799999999998</v>
      </c>
      <c r="L570" s="14">
        <f>CHOOSE(CONTROL!$C$42, 29.3436, 29.3436) * CHOOSE(CONTROL!$C$21, $C$9, 100%, $E$9)</f>
        <v>29.343599999999999</v>
      </c>
      <c r="M570" s="14">
        <f>CHOOSE(CONTROL!$C$42, 28.2343, 28.2343) * CHOOSE(CONTROL!$C$21, $C$9, 100%, $E$9)</f>
        <v>28.234300000000001</v>
      </c>
      <c r="N570" s="14">
        <f>CHOOSE(CONTROL!$C$42, 28.2504, 28.2504) * CHOOSE(CONTROL!$C$21, $C$9, 100%, $E$9)</f>
        <v>28.250399999999999</v>
      </c>
      <c r="O570" s="14">
        <f>CHOOSE(CONTROL!$C$42, 28.4803, 28.4803) * CHOOSE(CONTROL!$C$21, $C$9, 100%, $E$9)</f>
        <v>28.4803</v>
      </c>
      <c r="P570" s="14">
        <f>CHOOSE(CONTROL!$C$42, 28.2686, 28.2686) * CHOOSE(CONTROL!$C$21, $C$9, 100%, $E$9)</f>
        <v>28.268599999999999</v>
      </c>
      <c r="Q570" s="14">
        <f>CHOOSE(CONTROL!$C$42, 29.0756, 29.0756) * CHOOSE(CONTROL!$C$21, $C$9, 100%, $E$9)</f>
        <v>29.075600000000001</v>
      </c>
      <c r="R570" s="14">
        <f>CHOOSE(CONTROL!$C$42, 29.7352, 29.7352) * CHOOSE(CONTROL!$C$21, $C$9, 100%, $E$9)</f>
        <v>29.735199999999999</v>
      </c>
      <c r="S570" s="14">
        <f>CHOOSE(CONTROL!$C$42, 27.7026, 27.7026) * CHOOSE(CONTROL!$C$21, $C$9, 100%, $E$9)</f>
        <v>27.7026</v>
      </c>
      <c r="T57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70" s="57">
        <f>(1000*CHOOSE(CONTROL!$C$42, 695, 695)*CHOOSE(CONTROL!$C$42, 0.5599, 0.5599)*CHOOSE(CONTROL!$C$42, 30, 30))/1000000</f>
        <v>11.673914999999997</v>
      </c>
      <c r="V570" s="57">
        <f>(1000*CHOOSE(CONTROL!$C$42, 500, 500)*CHOOSE(CONTROL!$C$42, 0.275, 0.275)*CHOOSE(CONTROL!$C$42, 30, 30))/1000000</f>
        <v>4.125</v>
      </c>
      <c r="W570" s="57">
        <f>(1000*CHOOSE(CONTROL!$C$42, 0.1146, 0.1146)*CHOOSE(CONTROL!$C$42, 121.5, 121.5)*CHOOSE(CONTROL!$C$42, 30, 30))/1000000</f>
        <v>0.417717</v>
      </c>
      <c r="X570" s="57">
        <f>(30*0.1790888*245000/1000000)+(30*0.2374*100000/1000000)</f>
        <v>2.0285026799999999</v>
      </c>
      <c r="Y570" s="57"/>
      <c r="Z570" s="14"/>
      <c r="AA570" s="56"/>
      <c r="AB570" s="50">
        <f>(B570*194.205+C570*267.466+D570*133.845+E570*53.484+F570*40+G570*185+H570*0+I570*100+J570*300)/(194.205+267.466+133.845+53.484+0+40+185+100+300)</f>
        <v>28.559496109340664</v>
      </c>
      <c r="AC570" s="45">
        <f>(M570*'RAP TEMPLATE-GAS AVAILABILITY'!O569+N570*'RAP TEMPLATE-GAS AVAILABILITY'!P569+O570*'RAP TEMPLATE-GAS AVAILABILITY'!Q569+P570*'RAP TEMPLATE-GAS AVAILABILITY'!R569)/('RAP TEMPLATE-GAS AVAILABILITY'!O569+'RAP TEMPLATE-GAS AVAILABILITY'!P569+'RAP TEMPLATE-GAS AVAILABILITY'!Q569+'RAP TEMPLATE-GAS AVAILABILITY'!R569)</f>
        <v>28.311963309352517</v>
      </c>
    </row>
    <row r="571" spans="1:29" ht="15.75" x14ac:dyDescent="0.25">
      <c r="A571" s="32">
        <v>58287</v>
      </c>
      <c r="B571" s="14">
        <f>CHOOSE(CONTROL!$C$42, 27.9841, 27.9841) * CHOOSE(CONTROL!$C$21, $C$9, 100%, $E$9)</f>
        <v>27.984100000000002</v>
      </c>
      <c r="C571" s="14">
        <f>CHOOSE(CONTROL!$C$42, 27.992, 27.992) * CHOOSE(CONTROL!$C$21, $C$9, 100%, $E$9)</f>
        <v>27.992000000000001</v>
      </c>
      <c r="D571" s="14">
        <f>CHOOSE(CONTROL!$C$42, 28.1896, 28.1896) * CHOOSE(CONTROL!$C$21, $C$9, 100%, $E$9)</f>
        <v>28.189599999999999</v>
      </c>
      <c r="E571" s="14">
        <f>CHOOSE(CONTROL!$C$42, 28.2207, 28.2207) * CHOOSE(CONTROL!$C$21, $C$9, 100%, $E$9)</f>
        <v>28.220700000000001</v>
      </c>
      <c r="F571" s="14">
        <f>CHOOSE(CONTROL!$C$42, 27.9684, 27.9684)*CHOOSE(CONTROL!$C$21, $C$9, 100%, $E$9)</f>
        <v>27.968399999999999</v>
      </c>
      <c r="G571" s="14">
        <f>CHOOSE(CONTROL!$C$42, 27.9847, 27.9847)*CHOOSE(CONTROL!$C$21, $C$9, 100%, $E$9)</f>
        <v>27.9847</v>
      </c>
      <c r="H571" s="14">
        <f>CHOOSE(CONTROL!$C$42, 28.2094, 28.2094) * CHOOSE(CONTROL!$C$21, $C$9, 100%, $E$9)</f>
        <v>28.209399999999999</v>
      </c>
      <c r="I571" s="14">
        <f>CHOOSE(CONTROL!$C$42, 27.9955, 27.9955)* CHOOSE(CONTROL!$C$21, $C$9, 100%, $E$9)</f>
        <v>27.9955</v>
      </c>
      <c r="J571" s="14">
        <f>CHOOSE(CONTROL!$C$42, 27.9614, 27.9614)* CHOOSE(CONTROL!$C$21, $C$9, 100%, $E$9)</f>
        <v>27.961400000000001</v>
      </c>
      <c r="K571" s="53">
        <f>CHOOSE(CONTROL!$C$42, 27.9916, 27.9916) * CHOOSE(CONTROL!$C$21, $C$9, 100%, $E$9)</f>
        <v>27.991599999999998</v>
      </c>
      <c r="L571" s="14">
        <f>CHOOSE(CONTROL!$C$42, 28.7964, 28.7964) * CHOOSE(CONTROL!$C$21, $C$9, 100%, $E$9)</f>
        <v>28.796399999999998</v>
      </c>
      <c r="M571" s="14">
        <f>CHOOSE(CONTROL!$C$42, 27.693, 27.693) * CHOOSE(CONTROL!$C$21, $C$9, 100%, $E$9)</f>
        <v>27.693000000000001</v>
      </c>
      <c r="N571" s="14">
        <f>CHOOSE(CONTROL!$C$42, 27.7091, 27.7091) * CHOOSE(CONTROL!$C$21, $C$9, 100%, $E$9)</f>
        <v>27.709099999999999</v>
      </c>
      <c r="O571" s="14">
        <f>CHOOSE(CONTROL!$C$42, 27.9385, 27.9385) * CHOOSE(CONTROL!$C$21, $C$9, 100%, $E$9)</f>
        <v>27.938500000000001</v>
      </c>
      <c r="P571" s="14">
        <f>CHOOSE(CONTROL!$C$42, 27.7268, 27.7268) * CHOOSE(CONTROL!$C$21, $C$9, 100%, $E$9)</f>
        <v>27.726800000000001</v>
      </c>
      <c r="Q571" s="14">
        <f>CHOOSE(CONTROL!$C$42, 28.5338, 28.5338) * CHOOSE(CONTROL!$C$21, $C$9, 100%, $E$9)</f>
        <v>28.533799999999999</v>
      </c>
      <c r="R571" s="14">
        <f>CHOOSE(CONTROL!$C$42, 29.1922, 29.1922) * CHOOSE(CONTROL!$C$21, $C$9, 100%, $E$9)</f>
        <v>29.1922</v>
      </c>
      <c r="S571" s="14">
        <f>CHOOSE(CONTROL!$C$42, 27.1711, 27.1711) * CHOOSE(CONTROL!$C$21, $C$9, 100%, $E$9)</f>
        <v>27.171099999999999</v>
      </c>
      <c r="T57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71" s="57">
        <f>(1000*CHOOSE(CONTROL!$C$42, 695, 695)*CHOOSE(CONTROL!$C$42, 0.5599, 0.5599)*CHOOSE(CONTROL!$C$42, 31, 31))/1000000</f>
        <v>12.063045499999998</v>
      </c>
      <c r="V571" s="57">
        <f>(1000*CHOOSE(CONTROL!$C$42, 500, 500)*CHOOSE(CONTROL!$C$42, 0.275, 0.275)*CHOOSE(CONTROL!$C$42, 31, 31))/1000000</f>
        <v>4.2625000000000002</v>
      </c>
      <c r="W571" s="57">
        <f>(1000*CHOOSE(CONTROL!$C$42, 0.1146, 0.1146)*CHOOSE(CONTROL!$C$42, 121.5, 121.5)*CHOOSE(CONTROL!$C$42, 31, 31))/1000000</f>
        <v>0.43164089999999994</v>
      </c>
      <c r="X571" s="57">
        <f>(31*0.1790888*245000/1000000)+(31*0.2374*100000/1000000)</f>
        <v>2.0961194359999999</v>
      </c>
      <c r="Y571" s="57"/>
      <c r="Z571" s="14"/>
      <c r="AA571" s="56"/>
      <c r="AB571" s="50">
        <f>(B571*194.205+C571*267.466+D571*133.845+E571*53.484+F571*40+G571*185+H571*0+I571*100+J571*300)/(194.205+267.466+133.845+53.484+0+40+185+100+300)</f>
        <v>28.012424523783359</v>
      </c>
      <c r="AC571" s="45">
        <f>(M571*'RAP TEMPLATE-GAS AVAILABILITY'!O570+N571*'RAP TEMPLATE-GAS AVAILABILITY'!P570+O571*'RAP TEMPLATE-GAS AVAILABILITY'!Q570+P571*'RAP TEMPLATE-GAS AVAILABILITY'!R570)/('RAP TEMPLATE-GAS AVAILABILITY'!O570+'RAP TEMPLATE-GAS AVAILABILITY'!P570+'RAP TEMPLATE-GAS AVAILABILITY'!Q570+'RAP TEMPLATE-GAS AVAILABILITY'!R570)</f>
        <v>27.770451079136691</v>
      </c>
    </row>
    <row r="572" spans="1:29" ht="15.75" x14ac:dyDescent="0.25">
      <c r="A572" s="32">
        <v>58318</v>
      </c>
      <c r="B572" s="14">
        <f>CHOOSE(CONTROL!$C$42, 26.6021, 26.6021) * CHOOSE(CONTROL!$C$21, $C$9, 100%, $E$9)</f>
        <v>26.6021</v>
      </c>
      <c r="C572" s="14">
        <f>CHOOSE(CONTROL!$C$42, 26.61, 26.61) * CHOOSE(CONTROL!$C$21, $C$9, 100%, $E$9)</f>
        <v>26.61</v>
      </c>
      <c r="D572" s="14">
        <f>CHOOSE(CONTROL!$C$42, 26.8076, 26.8076) * CHOOSE(CONTROL!$C$21, $C$9, 100%, $E$9)</f>
        <v>26.807600000000001</v>
      </c>
      <c r="E572" s="14">
        <f>CHOOSE(CONTROL!$C$42, 26.8387, 26.8387) * CHOOSE(CONTROL!$C$21, $C$9, 100%, $E$9)</f>
        <v>26.838699999999999</v>
      </c>
      <c r="F572" s="14">
        <f>CHOOSE(CONTROL!$C$42, 26.5865, 26.5865)*CHOOSE(CONTROL!$C$21, $C$9, 100%, $E$9)</f>
        <v>26.586500000000001</v>
      </c>
      <c r="G572" s="14">
        <f>CHOOSE(CONTROL!$C$42, 26.6029, 26.6029)*CHOOSE(CONTROL!$C$21, $C$9, 100%, $E$9)</f>
        <v>26.602900000000002</v>
      </c>
      <c r="H572" s="14">
        <f>CHOOSE(CONTROL!$C$42, 26.8274, 26.8274) * CHOOSE(CONTROL!$C$21, $C$9, 100%, $E$9)</f>
        <v>26.827400000000001</v>
      </c>
      <c r="I572" s="14">
        <f>CHOOSE(CONTROL!$C$42, 26.6135, 26.6135)* CHOOSE(CONTROL!$C$21, $C$9, 100%, $E$9)</f>
        <v>26.613499999999998</v>
      </c>
      <c r="J572" s="14">
        <f>CHOOSE(CONTROL!$C$42, 26.5795, 26.5795)* CHOOSE(CONTROL!$C$21, $C$9, 100%, $E$9)</f>
        <v>26.579499999999999</v>
      </c>
      <c r="K572" s="53">
        <f>CHOOSE(CONTROL!$C$42, 26.6096, 26.6096) * CHOOSE(CONTROL!$C$21, $C$9, 100%, $E$9)</f>
        <v>26.6096</v>
      </c>
      <c r="L572" s="14">
        <f>CHOOSE(CONTROL!$C$42, 27.4144, 27.4144) * CHOOSE(CONTROL!$C$21, $C$9, 100%, $E$9)</f>
        <v>27.414400000000001</v>
      </c>
      <c r="M572" s="14">
        <f>CHOOSE(CONTROL!$C$42, 26.3251, 26.3251) * CHOOSE(CONTROL!$C$21, $C$9, 100%, $E$9)</f>
        <v>26.325099999999999</v>
      </c>
      <c r="N572" s="14">
        <f>CHOOSE(CONTROL!$C$42, 26.3413, 26.3413) * CHOOSE(CONTROL!$C$21, $C$9, 100%, $E$9)</f>
        <v>26.3413</v>
      </c>
      <c r="O572" s="14">
        <f>CHOOSE(CONTROL!$C$42, 26.5705, 26.5705) * CHOOSE(CONTROL!$C$21, $C$9, 100%, $E$9)</f>
        <v>26.570499999999999</v>
      </c>
      <c r="P572" s="14">
        <f>CHOOSE(CONTROL!$C$42, 26.3587, 26.3587) * CHOOSE(CONTROL!$C$21, $C$9, 100%, $E$9)</f>
        <v>26.358699999999999</v>
      </c>
      <c r="Q572" s="14">
        <f>CHOOSE(CONTROL!$C$42, 27.1658, 27.1658) * CHOOSE(CONTROL!$C$21, $C$9, 100%, $E$9)</f>
        <v>27.165800000000001</v>
      </c>
      <c r="R572" s="14">
        <f>CHOOSE(CONTROL!$C$42, 27.8207, 27.8207) * CHOOSE(CONTROL!$C$21, $C$9, 100%, $E$9)</f>
        <v>27.820699999999999</v>
      </c>
      <c r="S572" s="14">
        <f>CHOOSE(CONTROL!$C$42, 25.829, 25.829) * CHOOSE(CONTROL!$C$21, $C$9, 100%, $E$9)</f>
        <v>25.829000000000001</v>
      </c>
      <c r="T57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72" s="57">
        <f>(1000*CHOOSE(CONTROL!$C$42, 695, 695)*CHOOSE(CONTROL!$C$42, 0.5599, 0.5599)*CHOOSE(CONTROL!$C$42, 31, 31))/1000000</f>
        <v>12.063045499999998</v>
      </c>
      <c r="V572" s="57">
        <f>(1000*CHOOSE(CONTROL!$C$42, 500, 500)*CHOOSE(CONTROL!$C$42, 0.275, 0.275)*CHOOSE(CONTROL!$C$42, 31, 31))/1000000</f>
        <v>4.2625000000000002</v>
      </c>
      <c r="W572" s="57">
        <f>(1000*CHOOSE(CONTROL!$C$42, 0.1146, 0.1146)*CHOOSE(CONTROL!$C$42, 121.5, 121.5)*CHOOSE(CONTROL!$C$42, 31, 31))/1000000</f>
        <v>0.43164089999999994</v>
      </c>
      <c r="X572" s="57">
        <f>(31*0.1790888*245000/1000000)+(31*0.2374*100000/1000000)</f>
        <v>2.0961194359999999</v>
      </c>
      <c r="Y572" s="57"/>
      <c r="Z572" s="14"/>
      <c r="AA572" s="56"/>
      <c r="AB572" s="50">
        <f>(B572*194.205+C572*267.466+D572*133.845+E572*53.484+F572*40+G572*185+H572*0+I572*100+J572*300)/(194.205+267.466+133.845+53.484+0+40+185+100+300)</f>
        <v>26.630480253767658</v>
      </c>
      <c r="AC572" s="45">
        <f>(M572*'RAP TEMPLATE-GAS AVAILABILITY'!O571+N572*'RAP TEMPLATE-GAS AVAILABILITY'!P571+O572*'RAP TEMPLATE-GAS AVAILABILITY'!Q571+P572*'RAP TEMPLATE-GAS AVAILABILITY'!R571)/('RAP TEMPLATE-GAS AVAILABILITY'!O571+'RAP TEMPLATE-GAS AVAILABILITY'!P571+'RAP TEMPLATE-GAS AVAILABILITY'!Q571+'RAP TEMPLATE-GAS AVAILABILITY'!R571)</f>
        <v>26.402517266187047</v>
      </c>
    </row>
    <row r="573" spans="1:29" ht="15.75" x14ac:dyDescent="0.25">
      <c r="A573" s="32">
        <v>58348</v>
      </c>
      <c r="B573" s="14">
        <f>CHOOSE(CONTROL!$C$42, 24.9131, 24.9131) * CHOOSE(CONTROL!$C$21, $C$9, 100%, $E$9)</f>
        <v>24.9131</v>
      </c>
      <c r="C573" s="14">
        <f>CHOOSE(CONTROL!$C$42, 24.9211, 24.9211) * CHOOSE(CONTROL!$C$21, $C$9, 100%, $E$9)</f>
        <v>24.921099999999999</v>
      </c>
      <c r="D573" s="14">
        <f>CHOOSE(CONTROL!$C$42, 25.1186, 25.1186) * CHOOSE(CONTROL!$C$21, $C$9, 100%, $E$9)</f>
        <v>25.118600000000001</v>
      </c>
      <c r="E573" s="14">
        <f>CHOOSE(CONTROL!$C$42, 25.1498, 25.1498) * CHOOSE(CONTROL!$C$21, $C$9, 100%, $E$9)</f>
        <v>25.149799999999999</v>
      </c>
      <c r="F573" s="14">
        <f>CHOOSE(CONTROL!$C$42, 24.8975, 24.8975)*CHOOSE(CONTROL!$C$21, $C$9, 100%, $E$9)</f>
        <v>24.897500000000001</v>
      </c>
      <c r="G573" s="14">
        <f>CHOOSE(CONTROL!$C$42, 24.9139, 24.9139)*CHOOSE(CONTROL!$C$21, $C$9, 100%, $E$9)</f>
        <v>24.913900000000002</v>
      </c>
      <c r="H573" s="14">
        <f>CHOOSE(CONTROL!$C$42, 25.1384, 25.1384) * CHOOSE(CONTROL!$C$21, $C$9, 100%, $E$9)</f>
        <v>25.138400000000001</v>
      </c>
      <c r="I573" s="14">
        <f>CHOOSE(CONTROL!$C$42, 24.9245, 24.9245)* CHOOSE(CONTROL!$C$21, $C$9, 100%, $E$9)</f>
        <v>24.924499999999998</v>
      </c>
      <c r="J573" s="14">
        <f>CHOOSE(CONTROL!$C$42, 24.8905, 24.8905)* CHOOSE(CONTROL!$C$21, $C$9, 100%, $E$9)</f>
        <v>24.890499999999999</v>
      </c>
      <c r="K573" s="53">
        <f>CHOOSE(CONTROL!$C$42, 24.9206, 24.9206) * CHOOSE(CONTROL!$C$21, $C$9, 100%, $E$9)</f>
        <v>24.9206</v>
      </c>
      <c r="L573" s="14">
        <f>CHOOSE(CONTROL!$C$42, 25.7254, 25.7254) * CHOOSE(CONTROL!$C$21, $C$9, 100%, $E$9)</f>
        <v>25.7254</v>
      </c>
      <c r="M573" s="14">
        <f>CHOOSE(CONTROL!$C$42, 24.6532, 24.6532) * CHOOSE(CONTROL!$C$21, $C$9, 100%, $E$9)</f>
        <v>24.653199999999998</v>
      </c>
      <c r="N573" s="14">
        <f>CHOOSE(CONTROL!$C$42, 24.6693, 24.6693) * CHOOSE(CONTROL!$C$21, $C$9, 100%, $E$9)</f>
        <v>24.6693</v>
      </c>
      <c r="O573" s="14">
        <f>CHOOSE(CONTROL!$C$42, 24.8985, 24.8985) * CHOOSE(CONTROL!$C$21, $C$9, 100%, $E$9)</f>
        <v>24.898499999999999</v>
      </c>
      <c r="P573" s="14">
        <f>CHOOSE(CONTROL!$C$42, 24.6868, 24.6868) * CHOOSE(CONTROL!$C$21, $C$9, 100%, $E$9)</f>
        <v>24.686800000000002</v>
      </c>
      <c r="Q573" s="14">
        <f>CHOOSE(CONTROL!$C$42, 25.4938, 25.4938) * CHOOSE(CONTROL!$C$21, $C$9, 100%, $E$9)</f>
        <v>25.4938</v>
      </c>
      <c r="R573" s="14">
        <f>CHOOSE(CONTROL!$C$42, 26.1446, 26.1446) * CHOOSE(CONTROL!$C$21, $C$9, 100%, $E$9)</f>
        <v>26.144600000000001</v>
      </c>
      <c r="S573" s="14">
        <f>CHOOSE(CONTROL!$C$42, 24.1889, 24.1889) * CHOOSE(CONTROL!$C$21, $C$9, 100%, $E$9)</f>
        <v>24.1889</v>
      </c>
      <c r="T57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73" s="57">
        <f>(1000*CHOOSE(CONTROL!$C$42, 695, 695)*CHOOSE(CONTROL!$C$42, 0.5599, 0.5599)*CHOOSE(CONTROL!$C$42, 30, 30))/1000000</f>
        <v>11.673914999999997</v>
      </c>
      <c r="V573" s="57">
        <f>(1000*CHOOSE(CONTROL!$C$42, 500, 500)*CHOOSE(CONTROL!$C$42, 0.275, 0.275)*CHOOSE(CONTROL!$C$42, 30, 30))/1000000</f>
        <v>4.125</v>
      </c>
      <c r="W573" s="57">
        <f>(1000*CHOOSE(CONTROL!$C$42, 0.1146, 0.1146)*CHOOSE(CONTROL!$C$42, 121.5, 121.5)*CHOOSE(CONTROL!$C$42, 30, 30))/1000000</f>
        <v>0.417717</v>
      </c>
      <c r="X573" s="57">
        <f>(30*0.1790888*245000/1000000)+(30*0.2374*100000/1000000)</f>
        <v>2.0285026799999999</v>
      </c>
      <c r="Y573" s="57"/>
      <c r="Z573" s="14"/>
      <c r="AA573" s="56"/>
      <c r="AB573" s="50">
        <f>(B573*194.205+C573*267.466+D573*133.845+E573*53.484+F573*40+G573*185+H573*0+I573*100+J573*300)/(194.205+267.466+133.845+53.484+0+40+185+100+300)</f>
        <v>24.941505446075354</v>
      </c>
      <c r="AC573" s="45">
        <f>(M573*'RAP TEMPLATE-GAS AVAILABILITY'!O572+N573*'RAP TEMPLATE-GAS AVAILABILITY'!P572+O573*'RAP TEMPLATE-GAS AVAILABILITY'!Q572+P573*'RAP TEMPLATE-GAS AVAILABILITY'!R572)/('RAP TEMPLATE-GAS AVAILABILITY'!O572+'RAP TEMPLATE-GAS AVAILABILITY'!P572+'RAP TEMPLATE-GAS AVAILABILITY'!Q572+'RAP TEMPLATE-GAS AVAILABILITY'!R572)</f>
        <v>24.730566187050361</v>
      </c>
    </row>
    <row r="574" spans="1:29" ht="15.75" x14ac:dyDescent="0.25">
      <c r="A574" s="32">
        <v>58379</v>
      </c>
      <c r="B574" s="14">
        <f>CHOOSE(CONTROL!$C$42, 24.4056, 24.4056) * CHOOSE(CONTROL!$C$21, $C$9, 100%, $E$9)</f>
        <v>24.4056</v>
      </c>
      <c r="C574" s="14">
        <f>CHOOSE(CONTROL!$C$42, 24.4109, 24.4109) * CHOOSE(CONTROL!$C$21, $C$9, 100%, $E$9)</f>
        <v>24.410900000000002</v>
      </c>
      <c r="D574" s="14">
        <f>CHOOSE(CONTROL!$C$42, 24.6134, 24.6134) * CHOOSE(CONTROL!$C$21, $C$9, 100%, $E$9)</f>
        <v>24.613399999999999</v>
      </c>
      <c r="E574" s="14">
        <f>CHOOSE(CONTROL!$C$42, 24.6422, 24.6422) * CHOOSE(CONTROL!$C$21, $C$9, 100%, $E$9)</f>
        <v>24.642199999999999</v>
      </c>
      <c r="F574" s="14">
        <f>CHOOSE(CONTROL!$C$42, 24.392, 24.392)*CHOOSE(CONTROL!$C$21, $C$9, 100%, $E$9)</f>
        <v>24.391999999999999</v>
      </c>
      <c r="G574" s="14">
        <f>CHOOSE(CONTROL!$C$42, 24.408, 24.408)*CHOOSE(CONTROL!$C$21, $C$9, 100%, $E$9)</f>
        <v>24.408000000000001</v>
      </c>
      <c r="H574" s="14">
        <f>CHOOSE(CONTROL!$C$42, 24.6327, 24.6327) * CHOOSE(CONTROL!$C$21, $C$9, 100%, $E$9)</f>
        <v>24.6327</v>
      </c>
      <c r="I574" s="14">
        <f>CHOOSE(CONTROL!$C$42, 24.4188, 24.4188)* CHOOSE(CONTROL!$C$21, $C$9, 100%, $E$9)</f>
        <v>24.418800000000001</v>
      </c>
      <c r="J574" s="14">
        <f>CHOOSE(CONTROL!$C$42, 24.385, 24.385)* CHOOSE(CONTROL!$C$21, $C$9, 100%, $E$9)</f>
        <v>24.385000000000002</v>
      </c>
      <c r="K574" s="53">
        <f>CHOOSE(CONTROL!$C$42, 24.4149, 24.4149) * CHOOSE(CONTROL!$C$21, $C$9, 100%, $E$9)</f>
        <v>24.414899999999999</v>
      </c>
      <c r="L574" s="14">
        <f>CHOOSE(CONTROL!$C$42, 25.2197, 25.2197) * CHOOSE(CONTROL!$C$21, $C$9, 100%, $E$9)</f>
        <v>25.2197</v>
      </c>
      <c r="M574" s="14">
        <f>CHOOSE(CONTROL!$C$42, 24.1528, 24.1528) * CHOOSE(CONTROL!$C$21, $C$9, 100%, $E$9)</f>
        <v>24.152799999999999</v>
      </c>
      <c r="N574" s="14">
        <f>CHOOSE(CONTROL!$C$42, 24.1686, 24.1686) * CHOOSE(CONTROL!$C$21, $C$9, 100%, $E$9)</f>
        <v>24.168600000000001</v>
      </c>
      <c r="O574" s="14">
        <f>CHOOSE(CONTROL!$C$42, 24.3979, 24.3979) * CHOOSE(CONTROL!$C$21, $C$9, 100%, $E$9)</f>
        <v>24.3979</v>
      </c>
      <c r="P574" s="14">
        <f>CHOOSE(CONTROL!$C$42, 24.1862, 24.1862) * CHOOSE(CONTROL!$C$21, $C$9, 100%, $E$9)</f>
        <v>24.186199999999999</v>
      </c>
      <c r="Q574" s="14">
        <f>CHOOSE(CONTROL!$C$42, 24.9932, 24.9932) * CHOOSE(CONTROL!$C$21, $C$9, 100%, $E$9)</f>
        <v>24.993200000000002</v>
      </c>
      <c r="R574" s="14">
        <f>CHOOSE(CONTROL!$C$42, 25.6427, 25.6427) * CHOOSE(CONTROL!$C$21, $C$9, 100%, $E$9)</f>
        <v>25.642700000000001</v>
      </c>
      <c r="S574" s="14">
        <f>CHOOSE(CONTROL!$C$42, 23.6978, 23.6978) * CHOOSE(CONTROL!$C$21, $C$9, 100%, $E$9)</f>
        <v>23.697800000000001</v>
      </c>
      <c r="T57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74" s="57">
        <f>(1000*CHOOSE(CONTROL!$C$42, 695, 695)*CHOOSE(CONTROL!$C$42, 0.5599, 0.5599)*CHOOSE(CONTROL!$C$42, 31, 31))/1000000</f>
        <v>12.063045499999998</v>
      </c>
      <c r="V574" s="57">
        <f>(1000*CHOOSE(CONTROL!$C$42, 500, 500)*CHOOSE(CONTROL!$C$42, 0.275, 0.275)*CHOOSE(CONTROL!$C$42, 31, 31))/1000000</f>
        <v>4.2625000000000002</v>
      </c>
      <c r="W574" s="57">
        <f>(1000*CHOOSE(CONTROL!$C$42, 0.1146, 0.1146)*CHOOSE(CONTROL!$C$42, 121.5, 121.5)*CHOOSE(CONTROL!$C$42, 31, 31))/1000000</f>
        <v>0.43164089999999994</v>
      </c>
      <c r="X574" s="57">
        <f>(31*0.1790888*245000/1000000)+(31*0.2374*100000/1000000)</f>
        <v>2.0961194359999999</v>
      </c>
      <c r="Y574" s="57"/>
      <c r="Z574" s="14"/>
      <c r="AA574" s="56"/>
      <c r="AB574" s="50">
        <f>(B574*131.881+C574*277.167+D574*79.08+E574*125.872+F574*40+G574*185+H574*0+I574*100+J574*300)/(131.881+277.167+79.08+125.872+0+40+185+100+300)</f>
        <v>24.440081940516546</v>
      </c>
      <c r="AC574" s="45">
        <f>(M574*'RAP TEMPLATE-GAS AVAILABILITY'!O573+N574*'RAP TEMPLATE-GAS AVAILABILITY'!P573+O574*'RAP TEMPLATE-GAS AVAILABILITY'!Q573+P574*'RAP TEMPLATE-GAS AVAILABILITY'!R573)/('RAP TEMPLATE-GAS AVAILABILITY'!O573+'RAP TEMPLATE-GAS AVAILABILITY'!P573+'RAP TEMPLATE-GAS AVAILABILITY'!Q573+'RAP TEMPLATE-GAS AVAILABILITY'!R573)</f>
        <v>24.230012230215824</v>
      </c>
    </row>
    <row r="575" spans="1:29" ht="15.75" x14ac:dyDescent="0.25">
      <c r="A575" s="32">
        <v>58409</v>
      </c>
      <c r="B575" s="14">
        <f>CHOOSE(CONTROL!$C$42, 25.0481, 25.0481) * CHOOSE(CONTROL!$C$21, $C$9, 100%, $E$9)</f>
        <v>25.048100000000002</v>
      </c>
      <c r="C575" s="14">
        <f>CHOOSE(CONTROL!$C$42, 25.0531, 25.0531) * CHOOSE(CONTROL!$C$21, $C$9, 100%, $E$9)</f>
        <v>25.053100000000001</v>
      </c>
      <c r="D575" s="14">
        <f>CHOOSE(CONTROL!$C$42, 25.1161, 25.1161) * CHOOSE(CONTROL!$C$21, $C$9, 100%, $E$9)</f>
        <v>25.116099999999999</v>
      </c>
      <c r="E575" s="14">
        <f>CHOOSE(CONTROL!$C$42, 25.1499, 25.1499) * CHOOSE(CONTROL!$C$21, $C$9, 100%, $E$9)</f>
        <v>25.149899999999999</v>
      </c>
      <c r="F575" s="14">
        <f>CHOOSE(CONTROL!$C$42, 25.0488, 25.0488)*CHOOSE(CONTROL!$C$21, $C$9, 100%, $E$9)</f>
        <v>25.0488</v>
      </c>
      <c r="G575" s="14">
        <f>CHOOSE(CONTROL!$C$42, 25.0651, 25.0651)*CHOOSE(CONTROL!$C$21, $C$9, 100%, $E$9)</f>
        <v>25.065100000000001</v>
      </c>
      <c r="H575" s="14">
        <f>CHOOSE(CONTROL!$C$42, 25.1391, 25.1391) * CHOOSE(CONTROL!$C$21, $C$9, 100%, $E$9)</f>
        <v>25.139099999999999</v>
      </c>
      <c r="I575" s="14">
        <f>CHOOSE(CONTROL!$C$42, 25.0616, 25.0616)* CHOOSE(CONTROL!$C$21, $C$9, 100%, $E$9)</f>
        <v>25.061599999999999</v>
      </c>
      <c r="J575" s="14">
        <f>CHOOSE(CONTROL!$C$42, 25.0418, 25.0418)* CHOOSE(CONTROL!$C$21, $C$9, 100%, $E$9)</f>
        <v>25.041799999999999</v>
      </c>
      <c r="K575" s="53">
        <f>CHOOSE(CONTROL!$C$42, 25.0578, 25.0578) * CHOOSE(CONTROL!$C$21, $C$9, 100%, $E$9)</f>
        <v>25.0578</v>
      </c>
      <c r="L575" s="14">
        <f>CHOOSE(CONTROL!$C$42, 25.7261, 25.7261) * CHOOSE(CONTROL!$C$21, $C$9, 100%, $E$9)</f>
        <v>25.726099999999999</v>
      </c>
      <c r="M575" s="14">
        <f>CHOOSE(CONTROL!$C$42, 24.8029, 24.8029) * CHOOSE(CONTROL!$C$21, $C$9, 100%, $E$9)</f>
        <v>24.802900000000001</v>
      </c>
      <c r="N575" s="14">
        <f>CHOOSE(CONTROL!$C$42, 24.819, 24.819) * CHOOSE(CONTROL!$C$21, $C$9, 100%, $E$9)</f>
        <v>24.818999999999999</v>
      </c>
      <c r="O575" s="14">
        <f>CHOOSE(CONTROL!$C$42, 24.8992, 24.8992) * CHOOSE(CONTROL!$C$21, $C$9, 100%, $E$9)</f>
        <v>24.8992</v>
      </c>
      <c r="P575" s="14">
        <f>CHOOSE(CONTROL!$C$42, 24.8226, 24.8226) * CHOOSE(CONTROL!$C$21, $C$9, 100%, $E$9)</f>
        <v>24.822600000000001</v>
      </c>
      <c r="Q575" s="14">
        <f>CHOOSE(CONTROL!$C$42, 25.4945, 25.4945) * CHOOSE(CONTROL!$C$21, $C$9, 100%, $E$9)</f>
        <v>25.494499999999999</v>
      </c>
      <c r="R575" s="14">
        <f>CHOOSE(CONTROL!$C$42, 26.1453, 26.1453) * CHOOSE(CONTROL!$C$21, $C$9, 100%, $E$9)</f>
        <v>26.145299999999999</v>
      </c>
      <c r="S575" s="14">
        <f>CHOOSE(CONTROL!$C$42, 24.3221, 24.3221) * CHOOSE(CONTROL!$C$21, $C$9, 100%, $E$9)</f>
        <v>24.322099999999999</v>
      </c>
      <c r="T57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75" s="57">
        <f>(1000*CHOOSE(CONTROL!$C$42, 695, 695)*CHOOSE(CONTROL!$C$42, 0.5599, 0.5599)*CHOOSE(CONTROL!$C$42, 30, 30))/1000000</f>
        <v>11.673914999999997</v>
      </c>
      <c r="V575" s="57">
        <f>(1000*CHOOSE(CONTROL!$C$42, 500, 500)*CHOOSE(CONTROL!$C$42, 0.275, 0.275)*CHOOSE(CONTROL!$C$42, 30, 30))/1000000</f>
        <v>4.125</v>
      </c>
      <c r="W575" s="57">
        <f>(1000*CHOOSE(CONTROL!$C$42, 0.1146, 0.1146)*CHOOSE(CONTROL!$C$42, 121.5, 121.5)*CHOOSE(CONTROL!$C$42, 30, 30))/1000000</f>
        <v>0.417717</v>
      </c>
      <c r="X575" s="57">
        <f>(30*0.1790888*100000/1000000)+(30*0.2374*100000/1000000)</f>
        <v>1.2494664</v>
      </c>
      <c r="Y575" s="57"/>
      <c r="Z575" s="14"/>
      <c r="AA575" s="56"/>
      <c r="AB575" s="50">
        <f>(B575*122.58+C575*297.941+D575*89.177+E575*40.302+F575*40+G575*160+H575*0+I575*100+J575*300)/(122.58+297.941+89.177+40.302+0+40+160+100+300)</f>
        <v>25.060156073565214</v>
      </c>
      <c r="AC575" s="45">
        <f>(M575*'RAP TEMPLATE-GAS AVAILABILITY'!O574+N575*'RAP TEMPLATE-GAS AVAILABILITY'!P574+O575*'RAP TEMPLATE-GAS AVAILABILITY'!Q574+P575*'RAP TEMPLATE-GAS AVAILABILITY'!R574)/('RAP TEMPLATE-GAS AVAILABILITY'!O574+'RAP TEMPLATE-GAS AVAILABILITY'!P574+'RAP TEMPLATE-GAS AVAILABILITY'!Q574+'RAP TEMPLATE-GAS AVAILABILITY'!R574)</f>
        <v>24.850307913669063</v>
      </c>
    </row>
    <row r="576" spans="1:29" ht="15.75" x14ac:dyDescent="0.25">
      <c r="A576" s="32">
        <v>58440</v>
      </c>
      <c r="B576" s="14">
        <f>CHOOSE(CONTROL!$C$42, 26.7557, 26.7557) * CHOOSE(CONTROL!$C$21, $C$9, 100%, $E$9)</f>
        <v>26.755700000000001</v>
      </c>
      <c r="C576" s="14">
        <f>CHOOSE(CONTROL!$C$42, 26.7606, 26.7606) * CHOOSE(CONTROL!$C$21, $C$9, 100%, $E$9)</f>
        <v>26.7606</v>
      </c>
      <c r="D576" s="14">
        <f>CHOOSE(CONTROL!$C$42, 26.8237, 26.8237) * CHOOSE(CONTROL!$C$21, $C$9, 100%, $E$9)</f>
        <v>26.823699999999999</v>
      </c>
      <c r="E576" s="14">
        <f>CHOOSE(CONTROL!$C$42, 26.8575, 26.8575) * CHOOSE(CONTROL!$C$21, $C$9, 100%, $E$9)</f>
        <v>26.857500000000002</v>
      </c>
      <c r="F576" s="14">
        <f>CHOOSE(CONTROL!$C$42, 26.7584, 26.7584)*CHOOSE(CONTROL!$C$21, $C$9, 100%, $E$9)</f>
        <v>26.758400000000002</v>
      </c>
      <c r="G576" s="14">
        <f>CHOOSE(CONTROL!$C$42, 26.7752, 26.7752)*CHOOSE(CONTROL!$C$21, $C$9, 100%, $E$9)</f>
        <v>26.775200000000002</v>
      </c>
      <c r="H576" s="14">
        <f>CHOOSE(CONTROL!$C$42, 26.8467, 26.8467) * CHOOSE(CONTROL!$C$21, $C$9, 100%, $E$9)</f>
        <v>26.846699999999998</v>
      </c>
      <c r="I576" s="14">
        <f>CHOOSE(CONTROL!$C$42, 26.7692, 26.7692)* CHOOSE(CONTROL!$C$21, $C$9, 100%, $E$9)</f>
        <v>26.769200000000001</v>
      </c>
      <c r="J576" s="14">
        <f>CHOOSE(CONTROL!$C$42, 26.7514, 26.7514)* CHOOSE(CONTROL!$C$21, $C$9, 100%, $E$9)</f>
        <v>26.7514</v>
      </c>
      <c r="K576" s="53">
        <f>CHOOSE(CONTROL!$C$42, 26.7653, 26.7653) * CHOOSE(CONTROL!$C$21, $C$9, 100%, $E$9)</f>
        <v>26.7653</v>
      </c>
      <c r="L576" s="14">
        <f>CHOOSE(CONTROL!$C$42, 27.4337, 27.4337) * CHOOSE(CONTROL!$C$21, $C$9, 100%, $E$9)</f>
        <v>27.433700000000002</v>
      </c>
      <c r="M576" s="14">
        <f>CHOOSE(CONTROL!$C$42, 26.4953, 26.4953) * CHOOSE(CONTROL!$C$21, $C$9, 100%, $E$9)</f>
        <v>26.4953</v>
      </c>
      <c r="N576" s="14">
        <f>CHOOSE(CONTROL!$C$42, 26.5119, 26.5119) * CHOOSE(CONTROL!$C$21, $C$9, 100%, $E$9)</f>
        <v>26.511900000000001</v>
      </c>
      <c r="O576" s="14">
        <f>CHOOSE(CONTROL!$C$42, 26.5896, 26.5896) * CHOOSE(CONTROL!$C$21, $C$9, 100%, $E$9)</f>
        <v>26.589600000000001</v>
      </c>
      <c r="P576" s="14">
        <f>CHOOSE(CONTROL!$C$42, 26.5129, 26.5129) * CHOOSE(CONTROL!$C$21, $C$9, 100%, $E$9)</f>
        <v>26.512899999999998</v>
      </c>
      <c r="Q576" s="14">
        <f>CHOOSE(CONTROL!$C$42, 27.1849, 27.1849) * CHOOSE(CONTROL!$C$21, $C$9, 100%, $E$9)</f>
        <v>27.184899999999999</v>
      </c>
      <c r="R576" s="14">
        <f>CHOOSE(CONTROL!$C$42, 27.8398, 27.8398) * CHOOSE(CONTROL!$C$21, $C$9, 100%, $E$9)</f>
        <v>27.8398</v>
      </c>
      <c r="S576" s="14">
        <f>CHOOSE(CONTROL!$C$42, 25.9803, 25.9803) * CHOOSE(CONTROL!$C$21, $C$9, 100%, $E$9)</f>
        <v>25.9803</v>
      </c>
      <c r="T57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76" s="57">
        <f>(1000*CHOOSE(CONTROL!$C$42, 695, 695)*CHOOSE(CONTROL!$C$42, 0.5599, 0.5599)*CHOOSE(CONTROL!$C$42, 31, 31))/1000000</f>
        <v>12.063045499999998</v>
      </c>
      <c r="V576" s="57">
        <f>(1000*CHOOSE(CONTROL!$C$42, 500, 500)*CHOOSE(CONTROL!$C$42, 0.275, 0.275)*CHOOSE(CONTROL!$C$42, 31, 31))/1000000</f>
        <v>4.2625000000000002</v>
      </c>
      <c r="W576" s="57">
        <f>(1000*CHOOSE(CONTROL!$C$42, 0.1146, 0.1146)*CHOOSE(CONTROL!$C$42, 121.5, 121.5)*CHOOSE(CONTROL!$C$42, 31, 31))/1000000</f>
        <v>0.43164089999999994</v>
      </c>
      <c r="X576" s="57">
        <f>(31*0.1790888*100000/1000000)+(31*0.2374*100000/1000000)</f>
        <v>1.2911152800000001</v>
      </c>
      <c r="Y576" s="57"/>
      <c r="Z576" s="14"/>
      <c r="AA576" s="56"/>
      <c r="AB576" s="50">
        <f>(B576*122.58+C576*297.941+D576*89.177+E576*40.302+F576*40+G576*160+H576*0+I576*100+J576*300)/(122.58+297.941+89.177+40.302+0+40+160+100+300)</f>
        <v>26.768669296086951</v>
      </c>
      <c r="AC576" s="45">
        <f>(M576*'RAP TEMPLATE-GAS AVAILABILITY'!O575+N576*'RAP TEMPLATE-GAS AVAILABILITY'!P575+O576*'RAP TEMPLATE-GAS AVAILABILITY'!Q575+P576*'RAP TEMPLATE-GAS AVAILABILITY'!R575)/('RAP TEMPLATE-GAS AVAILABILITY'!O575+'RAP TEMPLATE-GAS AVAILABILITY'!P575+'RAP TEMPLATE-GAS AVAILABILITY'!Q575+'RAP TEMPLATE-GAS AVAILABILITY'!R575)</f>
        <v>26.541528057553958</v>
      </c>
    </row>
    <row r="577" spans="1:29" ht="15.75" x14ac:dyDescent="0.25">
      <c r="A577" s="32">
        <v>58471</v>
      </c>
      <c r="B577" s="14">
        <f>CHOOSE(CONTROL!$C$42, 28.9477, 28.9477) * CHOOSE(CONTROL!$C$21, $C$9, 100%, $E$9)</f>
        <v>28.947700000000001</v>
      </c>
      <c r="C577" s="14">
        <f>CHOOSE(CONTROL!$C$42, 28.9527, 28.9527) * CHOOSE(CONTROL!$C$21, $C$9, 100%, $E$9)</f>
        <v>28.9527</v>
      </c>
      <c r="D577" s="14">
        <f>CHOOSE(CONTROL!$C$42, 29.0169, 29.0169) * CHOOSE(CONTROL!$C$21, $C$9, 100%, $E$9)</f>
        <v>29.0169</v>
      </c>
      <c r="E577" s="14">
        <f>CHOOSE(CONTROL!$C$42, 29.0507, 29.0507) * CHOOSE(CONTROL!$C$21, $C$9, 100%, $E$9)</f>
        <v>29.050699999999999</v>
      </c>
      <c r="F577" s="14">
        <f>CHOOSE(CONTROL!$C$42, 28.9492, 28.9492)*CHOOSE(CONTROL!$C$21, $C$9, 100%, $E$9)</f>
        <v>28.949200000000001</v>
      </c>
      <c r="G577" s="14">
        <f>CHOOSE(CONTROL!$C$42, 28.9651, 28.9651)*CHOOSE(CONTROL!$C$21, $C$9, 100%, $E$9)</f>
        <v>28.9651</v>
      </c>
      <c r="H577" s="14">
        <f>CHOOSE(CONTROL!$C$42, 29.0399, 29.0399) * CHOOSE(CONTROL!$C$21, $C$9, 100%, $E$9)</f>
        <v>29.039899999999999</v>
      </c>
      <c r="I577" s="14">
        <f>CHOOSE(CONTROL!$C$42, 28.9677, 28.9677)* CHOOSE(CONTROL!$C$21, $C$9, 100%, $E$9)</f>
        <v>28.967700000000001</v>
      </c>
      <c r="J577" s="14">
        <f>CHOOSE(CONTROL!$C$42, 28.9422, 28.9422)* CHOOSE(CONTROL!$C$21, $C$9, 100%, $E$9)</f>
        <v>28.9422</v>
      </c>
      <c r="K577" s="53">
        <f>CHOOSE(CONTROL!$C$42, 28.9638, 28.9638) * CHOOSE(CONTROL!$C$21, $C$9, 100%, $E$9)</f>
        <v>28.963799999999999</v>
      </c>
      <c r="L577" s="14">
        <f>CHOOSE(CONTROL!$C$42, 29.6269, 29.6269) * CHOOSE(CONTROL!$C$21, $C$9, 100%, $E$9)</f>
        <v>29.626899999999999</v>
      </c>
      <c r="M577" s="14">
        <f>CHOOSE(CONTROL!$C$42, 28.664, 28.664) * CHOOSE(CONTROL!$C$21, $C$9, 100%, $E$9)</f>
        <v>28.664000000000001</v>
      </c>
      <c r="N577" s="14">
        <f>CHOOSE(CONTROL!$C$42, 28.6797, 28.6797) * CHOOSE(CONTROL!$C$21, $C$9, 100%, $E$9)</f>
        <v>28.6797</v>
      </c>
      <c r="O577" s="14">
        <f>CHOOSE(CONTROL!$C$42, 28.7607, 28.7607) * CHOOSE(CONTROL!$C$21, $C$9, 100%, $E$9)</f>
        <v>28.7607</v>
      </c>
      <c r="P577" s="14">
        <f>CHOOSE(CONTROL!$C$42, 28.6892, 28.6892) * CHOOSE(CONTROL!$C$21, $C$9, 100%, $E$9)</f>
        <v>28.6892</v>
      </c>
      <c r="Q577" s="14">
        <f>CHOOSE(CONTROL!$C$42, 29.356, 29.356) * CHOOSE(CONTROL!$C$21, $C$9, 100%, $E$9)</f>
        <v>29.356000000000002</v>
      </c>
      <c r="R577" s="14">
        <f>CHOOSE(CONTROL!$C$42, 30.0164, 30.0164) * CHOOSE(CONTROL!$C$21, $C$9, 100%, $E$9)</f>
        <v>30.016400000000001</v>
      </c>
      <c r="S577" s="14">
        <f>CHOOSE(CONTROL!$C$42, 28.109, 28.109) * CHOOSE(CONTROL!$C$21, $C$9, 100%, $E$9)</f>
        <v>28.109000000000002</v>
      </c>
      <c r="T57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77" s="57">
        <f>(1000*CHOOSE(CONTROL!$C$42, 695, 695)*CHOOSE(CONTROL!$C$42, 0.5599, 0.5599)*CHOOSE(CONTROL!$C$42, 31, 31))/1000000</f>
        <v>12.063045499999998</v>
      </c>
      <c r="V577" s="57">
        <f>(1000*CHOOSE(CONTROL!$C$42, 500, 500)*CHOOSE(CONTROL!$C$42, 0.275, 0.275)*CHOOSE(CONTROL!$C$42, 31, 31))/1000000</f>
        <v>4.2625000000000002</v>
      </c>
      <c r="W577" s="57">
        <f>(1000*CHOOSE(CONTROL!$C$42, 0.1146, 0.1146)*CHOOSE(CONTROL!$C$42, 121.5, 121.5)*CHOOSE(CONTROL!$C$42, 31, 31))/1000000</f>
        <v>0.43164089999999994</v>
      </c>
      <c r="X577" s="57">
        <f>(31*0.1790888*100000/1000000)+(31*0.2374*100000/1000000)</f>
        <v>1.2911152800000001</v>
      </c>
      <c r="Y577" s="57"/>
      <c r="Z577" s="14"/>
      <c r="AA577" s="56"/>
      <c r="AB577" s="50">
        <f>(B577*122.58+C577*297.941+D577*89.177+E577*40.302+F577*40+G577*160+H577*0+I577*100+J577*300)/(122.58+297.941+89.177+40.302+0+40+160+100+300)</f>
        <v>28.960748573391299</v>
      </c>
      <c r="AC577" s="45">
        <f>(M577*'RAP TEMPLATE-GAS AVAILABILITY'!O576+N577*'RAP TEMPLATE-GAS AVAILABILITY'!P576+O577*'RAP TEMPLATE-GAS AVAILABILITY'!Q576+P577*'RAP TEMPLATE-GAS AVAILABILITY'!R576)/('RAP TEMPLATE-GAS AVAILABILITY'!O576+'RAP TEMPLATE-GAS AVAILABILITY'!P576+'RAP TEMPLATE-GAS AVAILABILITY'!Q576+'RAP TEMPLATE-GAS AVAILABILITY'!R576)</f>
        <v>28.712357553956831</v>
      </c>
    </row>
    <row r="578" spans="1:29" ht="15.75" x14ac:dyDescent="0.25">
      <c r="A578" s="32">
        <v>58499</v>
      </c>
      <c r="B578" s="14">
        <f>CHOOSE(CONTROL!$C$42, 29.463, 29.463) * CHOOSE(CONTROL!$C$21, $C$9, 100%, $E$9)</f>
        <v>29.463000000000001</v>
      </c>
      <c r="C578" s="14">
        <f>CHOOSE(CONTROL!$C$42, 29.4679, 29.4679) * CHOOSE(CONTROL!$C$21, $C$9, 100%, $E$9)</f>
        <v>29.4679</v>
      </c>
      <c r="D578" s="14">
        <f>CHOOSE(CONTROL!$C$42, 29.5322, 29.5322) * CHOOSE(CONTROL!$C$21, $C$9, 100%, $E$9)</f>
        <v>29.5322</v>
      </c>
      <c r="E578" s="14">
        <f>CHOOSE(CONTROL!$C$42, 29.566, 29.566) * CHOOSE(CONTROL!$C$21, $C$9, 100%, $E$9)</f>
        <v>29.565999999999999</v>
      </c>
      <c r="F578" s="14">
        <f>CHOOSE(CONTROL!$C$42, 29.4645, 29.4645)*CHOOSE(CONTROL!$C$21, $C$9, 100%, $E$9)</f>
        <v>29.464500000000001</v>
      </c>
      <c r="G578" s="14">
        <f>CHOOSE(CONTROL!$C$42, 29.4805, 29.4805)*CHOOSE(CONTROL!$C$21, $C$9, 100%, $E$9)</f>
        <v>29.480499999999999</v>
      </c>
      <c r="H578" s="14">
        <f>CHOOSE(CONTROL!$C$42, 29.5552, 29.5552) * CHOOSE(CONTROL!$C$21, $C$9, 100%, $E$9)</f>
        <v>29.555199999999999</v>
      </c>
      <c r="I578" s="14">
        <f>CHOOSE(CONTROL!$C$42, 29.4829, 29.4829)* CHOOSE(CONTROL!$C$21, $C$9, 100%, $E$9)</f>
        <v>29.482900000000001</v>
      </c>
      <c r="J578" s="14">
        <f>CHOOSE(CONTROL!$C$42, 29.4575, 29.4575)* CHOOSE(CONTROL!$C$21, $C$9, 100%, $E$9)</f>
        <v>29.4575</v>
      </c>
      <c r="K578" s="53">
        <f>CHOOSE(CONTROL!$C$42, 29.479, 29.479) * CHOOSE(CONTROL!$C$21, $C$9, 100%, $E$9)</f>
        <v>29.478999999999999</v>
      </c>
      <c r="L578" s="14">
        <f>CHOOSE(CONTROL!$C$42, 30.1422, 30.1422) * CHOOSE(CONTROL!$C$21, $C$9, 100%, $E$9)</f>
        <v>30.142199999999999</v>
      </c>
      <c r="M578" s="14">
        <f>CHOOSE(CONTROL!$C$42, 29.1741, 29.1741) * CHOOSE(CONTROL!$C$21, $C$9, 100%, $E$9)</f>
        <v>29.174099999999999</v>
      </c>
      <c r="N578" s="14">
        <f>CHOOSE(CONTROL!$C$42, 29.1899, 29.1899) * CHOOSE(CONTROL!$C$21, $C$9, 100%, $E$9)</f>
        <v>29.189900000000002</v>
      </c>
      <c r="O578" s="14">
        <f>CHOOSE(CONTROL!$C$42, 29.2707, 29.2707) * CHOOSE(CONTROL!$C$21, $C$9, 100%, $E$9)</f>
        <v>29.270700000000001</v>
      </c>
      <c r="P578" s="14">
        <f>CHOOSE(CONTROL!$C$42, 29.1993, 29.1993) * CHOOSE(CONTROL!$C$21, $C$9, 100%, $E$9)</f>
        <v>29.199300000000001</v>
      </c>
      <c r="Q578" s="14">
        <f>CHOOSE(CONTROL!$C$42, 29.866, 29.866) * CHOOSE(CONTROL!$C$21, $C$9, 100%, $E$9)</f>
        <v>29.866</v>
      </c>
      <c r="R578" s="14">
        <f>CHOOSE(CONTROL!$C$42, 30.5277, 30.5277) * CHOOSE(CONTROL!$C$21, $C$9, 100%, $E$9)</f>
        <v>30.527699999999999</v>
      </c>
      <c r="S578" s="14">
        <f>CHOOSE(CONTROL!$C$42, 28.6093, 28.6093) * CHOOSE(CONTROL!$C$21, $C$9, 100%, $E$9)</f>
        <v>28.609300000000001</v>
      </c>
      <c r="T57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578" s="57">
        <f>(1000*CHOOSE(CONTROL!$C$42, 695, 695)*CHOOSE(CONTROL!$C$42, 0.5599, 0.5599)*CHOOSE(CONTROL!$C$42, 29, 29))/1000000</f>
        <v>11.284784499999999</v>
      </c>
      <c r="V578" s="57">
        <f>(1000*CHOOSE(CONTROL!$C$42, 500, 500)*CHOOSE(CONTROL!$C$42, 0.275, 0.275)*CHOOSE(CONTROL!$C$42, 29, 29))/1000000</f>
        <v>3.9874999999999998</v>
      </c>
      <c r="W578" s="57">
        <f>(1000*CHOOSE(CONTROL!$C$42, 0.1146, 0.1146)*CHOOSE(CONTROL!$C$42, 121.5, 121.5)*CHOOSE(CONTROL!$C$42, 29, 29))/1000000</f>
        <v>0.40379309999999996</v>
      </c>
      <c r="X578" s="57">
        <f>(29*0.1790888*100000/1000000)+(29*0.2374*100000/1000000)</f>
        <v>1.2078175199999999</v>
      </c>
      <c r="Y578" s="57"/>
      <c r="Z578" s="14"/>
      <c r="AA578" s="56"/>
      <c r="AB578" s="50">
        <f>(B578*122.58+C578*297.941+D578*89.177+E578*40.302+F578*40+G578*160+H578*0+I578*100+J578*300)/(122.58+297.941+89.177+40.302+0+40+160+100+300)</f>
        <v>29.47602788286957</v>
      </c>
      <c r="AC578" s="45">
        <f>(M578*'RAP TEMPLATE-GAS AVAILABILITY'!O577+N578*'RAP TEMPLATE-GAS AVAILABILITY'!P577+O578*'RAP TEMPLATE-GAS AVAILABILITY'!Q577+P578*'RAP TEMPLATE-GAS AVAILABILITY'!R577)/('RAP TEMPLATE-GAS AVAILABILITY'!O577+'RAP TEMPLATE-GAS AVAILABILITY'!P577+'RAP TEMPLATE-GAS AVAILABILITY'!Q577+'RAP TEMPLATE-GAS AVAILABILITY'!R577)</f>
        <v>29.222417985611511</v>
      </c>
    </row>
    <row r="579" spans="1:29" ht="15.75" x14ac:dyDescent="0.25">
      <c r="A579" s="32">
        <v>58531</v>
      </c>
      <c r="B579" s="14">
        <f>CHOOSE(CONTROL!$C$42, 28.6266, 28.6266) * CHOOSE(CONTROL!$C$21, $C$9, 100%, $E$9)</f>
        <v>28.6266</v>
      </c>
      <c r="C579" s="14">
        <f>CHOOSE(CONTROL!$C$42, 28.6315, 28.6315) * CHOOSE(CONTROL!$C$21, $C$9, 100%, $E$9)</f>
        <v>28.631499999999999</v>
      </c>
      <c r="D579" s="14">
        <f>CHOOSE(CONTROL!$C$42, 28.6958, 28.6958) * CHOOSE(CONTROL!$C$21, $C$9, 100%, $E$9)</f>
        <v>28.695799999999998</v>
      </c>
      <c r="E579" s="14">
        <f>CHOOSE(CONTROL!$C$42, 28.7296, 28.7296) * CHOOSE(CONTROL!$C$21, $C$9, 100%, $E$9)</f>
        <v>28.729600000000001</v>
      </c>
      <c r="F579" s="14">
        <f>CHOOSE(CONTROL!$C$42, 28.6278, 28.6278)*CHOOSE(CONTROL!$C$21, $C$9, 100%, $E$9)</f>
        <v>28.627800000000001</v>
      </c>
      <c r="G579" s="14">
        <f>CHOOSE(CONTROL!$C$42, 28.6437, 28.6437)*CHOOSE(CONTROL!$C$21, $C$9, 100%, $E$9)</f>
        <v>28.643699999999999</v>
      </c>
      <c r="H579" s="14">
        <f>CHOOSE(CONTROL!$C$42, 28.7188, 28.7188) * CHOOSE(CONTROL!$C$21, $C$9, 100%, $E$9)</f>
        <v>28.718800000000002</v>
      </c>
      <c r="I579" s="14">
        <f>CHOOSE(CONTROL!$C$42, 28.6465, 28.6465)* CHOOSE(CONTROL!$C$21, $C$9, 100%, $E$9)</f>
        <v>28.6465</v>
      </c>
      <c r="J579" s="14">
        <f>CHOOSE(CONTROL!$C$42, 28.6208, 28.6208)* CHOOSE(CONTROL!$C$21, $C$9, 100%, $E$9)</f>
        <v>28.620799999999999</v>
      </c>
      <c r="K579" s="53">
        <f>CHOOSE(CONTROL!$C$42, 28.6427, 28.6427) * CHOOSE(CONTROL!$C$21, $C$9, 100%, $E$9)</f>
        <v>28.642700000000001</v>
      </c>
      <c r="L579" s="14">
        <f>CHOOSE(CONTROL!$C$42, 29.3058, 29.3058) * CHOOSE(CONTROL!$C$21, $C$9, 100%, $E$9)</f>
        <v>29.305800000000001</v>
      </c>
      <c r="M579" s="14">
        <f>CHOOSE(CONTROL!$C$42, 28.3458, 28.3458) * CHOOSE(CONTROL!$C$21, $C$9, 100%, $E$9)</f>
        <v>28.345800000000001</v>
      </c>
      <c r="N579" s="14">
        <f>CHOOSE(CONTROL!$C$42, 28.3615, 28.3615) * CHOOSE(CONTROL!$C$21, $C$9, 100%, $E$9)</f>
        <v>28.361499999999999</v>
      </c>
      <c r="O579" s="14">
        <f>CHOOSE(CONTROL!$C$42, 28.4428, 28.4428) * CHOOSE(CONTROL!$C$21, $C$9, 100%, $E$9)</f>
        <v>28.442799999999998</v>
      </c>
      <c r="P579" s="14">
        <f>CHOOSE(CONTROL!$C$42, 28.3713, 28.3713) * CHOOSE(CONTROL!$C$21, $C$9, 100%, $E$9)</f>
        <v>28.371300000000002</v>
      </c>
      <c r="Q579" s="14">
        <f>CHOOSE(CONTROL!$C$42, 29.0381, 29.0381) * CHOOSE(CONTROL!$C$21, $C$9, 100%, $E$9)</f>
        <v>29.0381</v>
      </c>
      <c r="R579" s="14">
        <f>CHOOSE(CONTROL!$C$42, 29.6977, 29.6977) * CHOOSE(CONTROL!$C$21, $C$9, 100%, $E$9)</f>
        <v>29.697700000000001</v>
      </c>
      <c r="S579" s="14">
        <f>CHOOSE(CONTROL!$C$42, 27.7971, 27.7971) * CHOOSE(CONTROL!$C$21, $C$9, 100%, $E$9)</f>
        <v>27.7971</v>
      </c>
      <c r="T57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79" s="57">
        <f>(1000*CHOOSE(CONTROL!$C$42, 695, 695)*CHOOSE(CONTROL!$C$42, 0.5599, 0.5599)*CHOOSE(CONTROL!$C$42, 31, 31))/1000000</f>
        <v>12.063045499999998</v>
      </c>
      <c r="V579" s="57">
        <f>(1000*CHOOSE(CONTROL!$C$42, 500, 500)*CHOOSE(CONTROL!$C$42, 0.275, 0.275)*CHOOSE(CONTROL!$C$42, 31, 31))/1000000</f>
        <v>4.2625000000000002</v>
      </c>
      <c r="W579" s="57">
        <f>(1000*CHOOSE(CONTROL!$C$42, 0.1146, 0.1146)*CHOOSE(CONTROL!$C$42, 121.5, 121.5)*CHOOSE(CONTROL!$C$42, 31, 31))/1000000</f>
        <v>0.43164089999999994</v>
      </c>
      <c r="X579" s="57">
        <f>(31*0.1790888*100000/1000000)+(31*0.2374*100000/1000000)</f>
        <v>1.2911152800000001</v>
      </c>
      <c r="Y579" s="57"/>
      <c r="Z579" s="14"/>
      <c r="AA579" s="56"/>
      <c r="AB579" s="50">
        <f>(B579*122.58+C579*297.941+D579*89.177+E579*40.302+F579*40+G579*160+H579*0+I579*100+J579*300)/(122.58+297.941+89.177+40.302+0+40+160+100+300)</f>
        <v>28.639483535043475</v>
      </c>
      <c r="AC579" s="45">
        <f>(M579*'RAP TEMPLATE-GAS AVAILABILITY'!O578+N579*'RAP TEMPLATE-GAS AVAILABILITY'!P578+O579*'RAP TEMPLATE-GAS AVAILABILITY'!Q578+P579*'RAP TEMPLATE-GAS AVAILABILITY'!R578)/('RAP TEMPLATE-GAS AVAILABILITY'!O578+'RAP TEMPLATE-GAS AVAILABILITY'!P578+'RAP TEMPLATE-GAS AVAILABILITY'!Q578+'RAP TEMPLATE-GAS AVAILABILITY'!R578)</f>
        <v>28.394336690647485</v>
      </c>
    </row>
    <row r="580" spans="1:29" ht="15.75" x14ac:dyDescent="0.25">
      <c r="A580" s="32">
        <v>58561</v>
      </c>
      <c r="B580" s="14">
        <f>CHOOSE(CONTROL!$C$42, 28.542, 28.542) * CHOOSE(CONTROL!$C$21, $C$9, 100%, $E$9)</f>
        <v>28.542000000000002</v>
      </c>
      <c r="C580" s="14">
        <f>CHOOSE(CONTROL!$C$42, 28.5464, 28.5464) * CHOOSE(CONTROL!$C$21, $C$9, 100%, $E$9)</f>
        <v>28.546399999999998</v>
      </c>
      <c r="D580" s="14">
        <f>CHOOSE(CONTROL!$C$42, 28.7471, 28.7471) * CHOOSE(CONTROL!$C$21, $C$9, 100%, $E$9)</f>
        <v>28.7471</v>
      </c>
      <c r="E580" s="14">
        <f>CHOOSE(CONTROL!$C$42, 28.7789, 28.7789) * CHOOSE(CONTROL!$C$21, $C$9, 100%, $E$9)</f>
        <v>28.7789</v>
      </c>
      <c r="F580" s="14">
        <f>CHOOSE(CONTROL!$C$42, 28.5266, 28.5266)*CHOOSE(CONTROL!$C$21, $C$9, 100%, $E$9)</f>
        <v>28.526599999999998</v>
      </c>
      <c r="G580" s="14">
        <f>CHOOSE(CONTROL!$C$42, 28.5422, 28.5422)*CHOOSE(CONTROL!$C$21, $C$9, 100%, $E$9)</f>
        <v>28.542200000000001</v>
      </c>
      <c r="H580" s="14">
        <f>CHOOSE(CONTROL!$C$42, 28.7687, 28.7687) * CHOOSE(CONTROL!$C$21, $C$9, 100%, $E$9)</f>
        <v>28.768699999999999</v>
      </c>
      <c r="I580" s="14">
        <f>CHOOSE(CONTROL!$C$42, 28.5548, 28.5548)* CHOOSE(CONTROL!$C$21, $C$9, 100%, $E$9)</f>
        <v>28.5548</v>
      </c>
      <c r="J580" s="14">
        <f>CHOOSE(CONTROL!$C$42, 28.5196, 28.5196)* CHOOSE(CONTROL!$C$21, $C$9, 100%, $E$9)</f>
        <v>28.519600000000001</v>
      </c>
      <c r="K580" s="53">
        <f>CHOOSE(CONTROL!$C$42, 28.5509, 28.5509) * CHOOSE(CONTROL!$C$21, $C$9, 100%, $E$9)</f>
        <v>28.550899999999999</v>
      </c>
      <c r="L580" s="14">
        <f>CHOOSE(CONTROL!$C$42, 29.3557, 29.3557) * CHOOSE(CONTROL!$C$21, $C$9, 100%, $E$9)</f>
        <v>29.355699999999999</v>
      </c>
      <c r="M580" s="14">
        <f>CHOOSE(CONTROL!$C$42, 28.2456, 28.2456) * CHOOSE(CONTROL!$C$21, $C$9, 100%, $E$9)</f>
        <v>28.2456</v>
      </c>
      <c r="N580" s="14">
        <f>CHOOSE(CONTROL!$C$42, 28.2611, 28.2611) * CHOOSE(CONTROL!$C$21, $C$9, 100%, $E$9)</f>
        <v>28.261099999999999</v>
      </c>
      <c r="O580" s="14">
        <f>CHOOSE(CONTROL!$C$42, 28.4922, 28.4922) * CHOOSE(CONTROL!$C$21, $C$9, 100%, $E$9)</f>
        <v>28.4922</v>
      </c>
      <c r="P580" s="14">
        <f>CHOOSE(CONTROL!$C$42, 28.2805, 28.2805) * CHOOSE(CONTROL!$C$21, $C$9, 100%, $E$9)</f>
        <v>28.2805</v>
      </c>
      <c r="Q580" s="14">
        <f>CHOOSE(CONTROL!$C$42, 29.0875, 29.0875) * CHOOSE(CONTROL!$C$21, $C$9, 100%, $E$9)</f>
        <v>29.087499999999999</v>
      </c>
      <c r="R580" s="14">
        <f>CHOOSE(CONTROL!$C$42, 29.7472, 29.7472) * CHOOSE(CONTROL!$C$21, $C$9, 100%, $E$9)</f>
        <v>29.747199999999999</v>
      </c>
      <c r="S580" s="14">
        <f>CHOOSE(CONTROL!$C$42, 27.7143, 27.7143) * CHOOSE(CONTROL!$C$21, $C$9, 100%, $E$9)</f>
        <v>27.714300000000001</v>
      </c>
      <c r="T58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80" s="57">
        <f>(1000*CHOOSE(CONTROL!$C$42, 695, 695)*CHOOSE(CONTROL!$C$42, 0.5599, 0.5599)*CHOOSE(CONTROL!$C$42, 30, 30))/1000000</f>
        <v>11.673914999999997</v>
      </c>
      <c r="V580" s="57">
        <f>(1000*CHOOSE(CONTROL!$C$42, 500, 500)*CHOOSE(CONTROL!$C$42, 0.275, 0.275)*CHOOSE(CONTROL!$C$42, 30, 30))/1000000</f>
        <v>4.125</v>
      </c>
      <c r="W580" s="57">
        <f>(1000*CHOOSE(CONTROL!$C$42, 0.1146, 0.1146)*CHOOSE(CONTROL!$C$42, 121.5, 121.5)*CHOOSE(CONTROL!$C$42, 30, 30))/1000000</f>
        <v>0.417717</v>
      </c>
      <c r="X580" s="57">
        <f>(30*0.1790888*245000/1000000)+(30*0.2374*100000/1000000)</f>
        <v>2.0285026799999999</v>
      </c>
      <c r="Y580" s="57"/>
      <c r="Z580" s="14"/>
      <c r="AA580" s="56"/>
      <c r="AB580" s="50">
        <f>(B580*141.293+C580*267.993+D580*115.016+E580*89.698+F580*40+G580*185+H580*0+I580*100+J580*300)/(141.293+267.993+115.016+89.698+0+40+185+100+300)</f>
        <v>28.574283621468922</v>
      </c>
      <c r="AC580" s="45">
        <f>(M580*'RAP TEMPLATE-GAS AVAILABILITY'!O579+N580*'RAP TEMPLATE-GAS AVAILABILITY'!P579+O580*'RAP TEMPLATE-GAS AVAILABILITY'!Q579+P580*'RAP TEMPLATE-GAS AVAILABILITY'!R579)/('RAP TEMPLATE-GAS AVAILABILITY'!O579+'RAP TEMPLATE-GAS AVAILABILITY'!P579+'RAP TEMPLATE-GAS AVAILABILITY'!Q579+'RAP TEMPLATE-GAS AVAILABILITY'!R579)</f>
        <v>28.323379856115107</v>
      </c>
    </row>
    <row r="581" spans="1:29" ht="15.75" x14ac:dyDescent="0.25">
      <c r="A581" s="32">
        <v>58592</v>
      </c>
      <c r="B581" s="14">
        <f>CHOOSE(CONTROL!$C$42, 28.7953, 28.7953) * CHOOSE(CONTROL!$C$21, $C$9, 100%, $E$9)</f>
        <v>28.795300000000001</v>
      </c>
      <c r="C581" s="14">
        <f>CHOOSE(CONTROL!$C$42, 28.8032, 28.8032) * CHOOSE(CONTROL!$C$21, $C$9, 100%, $E$9)</f>
        <v>28.8032</v>
      </c>
      <c r="D581" s="14">
        <f>CHOOSE(CONTROL!$C$42, 29.0008, 29.0008) * CHOOSE(CONTROL!$C$21, $C$9, 100%, $E$9)</f>
        <v>29.000800000000002</v>
      </c>
      <c r="E581" s="14">
        <f>CHOOSE(CONTROL!$C$42, 29.032, 29.032) * CHOOSE(CONTROL!$C$21, $C$9, 100%, $E$9)</f>
        <v>29.032</v>
      </c>
      <c r="F581" s="14">
        <f>CHOOSE(CONTROL!$C$42, 28.7787, 28.7787)*CHOOSE(CONTROL!$C$21, $C$9, 100%, $E$9)</f>
        <v>28.778700000000001</v>
      </c>
      <c r="G581" s="14">
        <f>CHOOSE(CONTROL!$C$42, 28.7948, 28.7948)*CHOOSE(CONTROL!$C$21, $C$9, 100%, $E$9)</f>
        <v>28.794799999999999</v>
      </c>
      <c r="H581" s="14">
        <f>CHOOSE(CONTROL!$C$42, 29.0206, 29.0206) * CHOOSE(CONTROL!$C$21, $C$9, 100%, $E$9)</f>
        <v>29.020600000000002</v>
      </c>
      <c r="I581" s="14">
        <f>CHOOSE(CONTROL!$C$42, 28.8067, 28.8067)* CHOOSE(CONTROL!$C$21, $C$9, 100%, $E$9)</f>
        <v>28.806699999999999</v>
      </c>
      <c r="J581" s="14">
        <f>CHOOSE(CONTROL!$C$42, 28.7717, 28.7717)* CHOOSE(CONTROL!$C$21, $C$9, 100%, $E$9)</f>
        <v>28.771699999999999</v>
      </c>
      <c r="K581" s="53">
        <f>CHOOSE(CONTROL!$C$42, 28.8028, 28.8028) * CHOOSE(CONTROL!$C$21, $C$9, 100%, $E$9)</f>
        <v>28.802800000000001</v>
      </c>
      <c r="L581" s="14">
        <f>CHOOSE(CONTROL!$C$42, 29.6076, 29.6076) * CHOOSE(CONTROL!$C$21, $C$9, 100%, $E$9)</f>
        <v>29.607600000000001</v>
      </c>
      <c r="M581" s="14">
        <f>CHOOSE(CONTROL!$C$42, 28.4952, 28.4952) * CHOOSE(CONTROL!$C$21, $C$9, 100%, $E$9)</f>
        <v>28.495200000000001</v>
      </c>
      <c r="N581" s="14">
        <f>CHOOSE(CONTROL!$C$42, 28.5111, 28.5111) * CHOOSE(CONTROL!$C$21, $C$9, 100%, $E$9)</f>
        <v>28.511099999999999</v>
      </c>
      <c r="O581" s="14">
        <f>CHOOSE(CONTROL!$C$42, 28.7415, 28.7415) * CHOOSE(CONTROL!$C$21, $C$9, 100%, $E$9)</f>
        <v>28.741499999999998</v>
      </c>
      <c r="P581" s="14">
        <f>CHOOSE(CONTROL!$C$42, 28.5298, 28.5298) * CHOOSE(CONTROL!$C$21, $C$9, 100%, $E$9)</f>
        <v>28.529800000000002</v>
      </c>
      <c r="Q581" s="14">
        <f>CHOOSE(CONTROL!$C$42, 29.3368, 29.3368) * CHOOSE(CONTROL!$C$21, $C$9, 100%, $E$9)</f>
        <v>29.3368</v>
      </c>
      <c r="R581" s="14">
        <f>CHOOSE(CONTROL!$C$42, 29.9972, 29.9972) * CHOOSE(CONTROL!$C$21, $C$9, 100%, $E$9)</f>
        <v>29.997199999999999</v>
      </c>
      <c r="S581" s="14">
        <f>CHOOSE(CONTROL!$C$42, 27.9589, 27.9589) * CHOOSE(CONTROL!$C$21, $C$9, 100%, $E$9)</f>
        <v>27.9589</v>
      </c>
      <c r="T58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81" s="57">
        <f>(1000*CHOOSE(CONTROL!$C$42, 695, 695)*CHOOSE(CONTROL!$C$42, 0.5599, 0.5599)*CHOOSE(CONTROL!$C$42, 31, 31))/1000000</f>
        <v>12.063045499999998</v>
      </c>
      <c r="V581" s="57">
        <f>(1000*CHOOSE(CONTROL!$C$42, 500, 500)*CHOOSE(CONTROL!$C$42, 0.275, 0.275)*CHOOSE(CONTROL!$C$42, 31, 31))/1000000</f>
        <v>4.2625000000000002</v>
      </c>
      <c r="W581" s="57">
        <f>(1000*CHOOSE(CONTROL!$C$42, 0.1146, 0.1146)*CHOOSE(CONTROL!$C$42, 121.5, 121.5)*CHOOSE(CONTROL!$C$42, 31, 31))/1000000</f>
        <v>0.43164089999999994</v>
      </c>
      <c r="X581" s="57">
        <f>(31*0.1790888*245000/1000000)+(31*0.2374*100000/1000000)</f>
        <v>2.0961194359999999</v>
      </c>
      <c r="Y581" s="57"/>
      <c r="Z581" s="14"/>
      <c r="AA581" s="56"/>
      <c r="AB581" s="50">
        <f>(B581*194.205+C581*267.466+D581*133.845+E581*53.484+F581*40+G581*185+H581*0+I581*100+J581*300)/(194.205+267.466+133.845+53.484+0+40+185+100+300)</f>
        <v>28.823228800392471</v>
      </c>
      <c r="AC581" s="45">
        <f>(M581*'RAP TEMPLATE-GAS AVAILABILITY'!O580+N581*'RAP TEMPLATE-GAS AVAILABILITY'!P580+O581*'RAP TEMPLATE-GAS AVAILABILITY'!Q580+P581*'RAP TEMPLATE-GAS AVAILABILITY'!R580)/('RAP TEMPLATE-GAS AVAILABILITY'!O580+'RAP TEMPLATE-GAS AVAILABILITY'!P580+'RAP TEMPLATE-GAS AVAILABILITY'!Q580+'RAP TEMPLATE-GAS AVAILABILITY'!R580)</f>
        <v>28.572944604316543</v>
      </c>
    </row>
    <row r="582" spans="1:29" ht="15.75" x14ac:dyDescent="0.25">
      <c r="A582" s="32">
        <v>58622</v>
      </c>
      <c r="B582" s="14">
        <f>CHOOSE(CONTROL!$C$42, 29.612, 29.612) * CHOOSE(CONTROL!$C$21, $C$9, 100%, $E$9)</f>
        <v>29.611999999999998</v>
      </c>
      <c r="C582" s="14">
        <f>CHOOSE(CONTROL!$C$42, 29.6199, 29.6199) * CHOOSE(CONTROL!$C$21, $C$9, 100%, $E$9)</f>
        <v>29.619900000000001</v>
      </c>
      <c r="D582" s="14">
        <f>CHOOSE(CONTROL!$C$42, 29.8175, 29.8175) * CHOOSE(CONTROL!$C$21, $C$9, 100%, $E$9)</f>
        <v>29.817499999999999</v>
      </c>
      <c r="E582" s="14">
        <f>CHOOSE(CONTROL!$C$42, 29.8486, 29.8486) * CHOOSE(CONTROL!$C$21, $C$9, 100%, $E$9)</f>
        <v>29.848600000000001</v>
      </c>
      <c r="F582" s="14">
        <f>CHOOSE(CONTROL!$C$42, 29.5958, 29.5958)*CHOOSE(CONTROL!$C$21, $C$9, 100%, $E$9)</f>
        <v>29.595800000000001</v>
      </c>
      <c r="G582" s="14">
        <f>CHOOSE(CONTROL!$C$42, 29.612, 29.612)*CHOOSE(CONTROL!$C$21, $C$9, 100%, $E$9)</f>
        <v>29.611999999999998</v>
      </c>
      <c r="H582" s="14">
        <f>CHOOSE(CONTROL!$C$42, 29.8372, 29.8372) * CHOOSE(CONTROL!$C$21, $C$9, 100%, $E$9)</f>
        <v>29.837199999999999</v>
      </c>
      <c r="I582" s="14">
        <f>CHOOSE(CONTROL!$C$42, 29.6233, 29.6233)* CHOOSE(CONTROL!$C$21, $C$9, 100%, $E$9)</f>
        <v>29.6233</v>
      </c>
      <c r="J582" s="14">
        <f>CHOOSE(CONTROL!$C$42, 29.5888, 29.5888)* CHOOSE(CONTROL!$C$21, $C$9, 100%, $E$9)</f>
        <v>29.588799999999999</v>
      </c>
      <c r="K582" s="53">
        <f>CHOOSE(CONTROL!$C$42, 29.6195, 29.6195) * CHOOSE(CONTROL!$C$21, $C$9, 100%, $E$9)</f>
        <v>29.619499999999999</v>
      </c>
      <c r="L582" s="14">
        <f>CHOOSE(CONTROL!$C$42, 30.4242, 30.4242) * CHOOSE(CONTROL!$C$21, $C$9, 100%, $E$9)</f>
        <v>30.424199999999999</v>
      </c>
      <c r="M582" s="14">
        <f>CHOOSE(CONTROL!$C$42, 29.304, 29.304) * CHOOSE(CONTROL!$C$21, $C$9, 100%, $E$9)</f>
        <v>29.303999999999998</v>
      </c>
      <c r="N582" s="14">
        <f>CHOOSE(CONTROL!$C$42, 29.3201, 29.3201) * CHOOSE(CONTROL!$C$21, $C$9, 100%, $E$9)</f>
        <v>29.3201</v>
      </c>
      <c r="O582" s="14">
        <f>CHOOSE(CONTROL!$C$42, 29.55, 29.55) * CHOOSE(CONTROL!$C$21, $C$9, 100%, $E$9)</f>
        <v>29.55</v>
      </c>
      <c r="P582" s="14">
        <f>CHOOSE(CONTROL!$C$42, 29.3383, 29.3383) * CHOOSE(CONTROL!$C$21, $C$9, 100%, $E$9)</f>
        <v>29.3383</v>
      </c>
      <c r="Q582" s="14">
        <f>CHOOSE(CONTROL!$C$42, 30.1453, 30.1453) * CHOOSE(CONTROL!$C$21, $C$9, 100%, $E$9)</f>
        <v>30.145299999999999</v>
      </c>
      <c r="R582" s="14">
        <f>CHOOSE(CONTROL!$C$42, 30.8076, 30.8076) * CHOOSE(CONTROL!$C$21, $C$9, 100%, $E$9)</f>
        <v>30.807600000000001</v>
      </c>
      <c r="S582" s="14">
        <f>CHOOSE(CONTROL!$C$42, 28.7519, 28.7519) * CHOOSE(CONTROL!$C$21, $C$9, 100%, $E$9)</f>
        <v>28.751899999999999</v>
      </c>
      <c r="T58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82" s="57">
        <f>(1000*CHOOSE(CONTROL!$C$42, 695, 695)*CHOOSE(CONTROL!$C$42, 0.5599, 0.5599)*CHOOSE(CONTROL!$C$42, 30, 30))/1000000</f>
        <v>11.673914999999997</v>
      </c>
      <c r="V582" s="57">
        <f>(1000*CHOOSE(CONTROL!$C$42, 500, 500)*CHOOSE(CONTROL!$C$42, 0.275, 0.275)*CHOOSE(CONTROL!$C$42, 30, 30))/1000000</f>
        <v>4.125</v>
      </c>
      <c r="W582" s="57">
        <f>(1000*CHOOSE(CONTROL!$C$42, 0.1146, 0.1146)*CHOOSE(CONTROL!$C$42, 121.5, 121.5)*CHOOSE(CONTROL!$C$42, 30, 30))/1000000</f>
        <v>0.417717</v>
      </c>
      <c r="X582" s="57">
        <f>(30*0.1790888*245000/1000000)+(30*0.2374*100000/1000000)</f>
        <v>2.0285026799999999</v>
      </c>
      <c r="Y582" s="57"/>
      <c r="Z582" s="14"/>
      <c r="AA582" s="56"/>
      <c r="AB582" s="50">
        <f>(B582*194.205+C582*267.466+D582*133.845+E582*53.484+F582*40+G582*185+H582*0+I582*100+J582*300)/(194.205+267.466+133.845+53.484+0+40+185+100+300)</f>
        <v>29.640096109340661</v>
      </c>
      <c r="AC582" s="45">
        <f>(M582*'RAP TEMPLATE-GAS AVAILABILITY'!O581+N582*'RAP TEMPLATE-GAS AVAILABILITY'!P581+O582*'RAP TEMPLATE-GAS AVAILABILITY'!Q581+P582*'RAP TEMPLATE-GAS AVAILABILITY'!R581)/('RAP TEMPLATE-GAS AVAILABILITY'!O581+'RAP TEMPLATE-GAS AVAILABILITY'!P581+'RAP TEMPLATE-GAS AVAILABILITY'!Q581+'RAP TEMPLATE-GAS AVAILABILITY'!R581)</f>
        <v>29.381663309352518</v>
      </c>
    </row>
    <row r="583" spans="1:29" ht="15.75" x14ac:dyDescent="0.25">
      <c r="A583" s="32">
        <v>58653</v>
      </c>
      <c r="B583" s="14">
        <f>CHOOSE(CONTROL!$C$42, 29.044, 29.044) * CHOOSE(CONTROL!$C$21, $C$9, 100%, $E$9)</f>
        <v>29.044</v>
      </c>
      <c r="C583" s="14">
        <f>CHOOSE(CONTROL!$C$42, 29.0519, 29.0519) * CHOOSE(CONTROL!$C$21, $C$9, 100%, $E$9)</f>
        <v>29.0519</v>
      </c>
      <c r="D583" s="14">
        <f>CHOOSE(CONTROL!$C$42, 29.2495, 29.2495) * CHOOSE(CONTROL!$C$21, $C$9, 100%, $E$9)</f>
        <v>29.249500000000001</v>
      </c>
      <c r="E583" s="14">
        <f>CHOOSE(CONTROL!$C$42, 29.2806, 29.2806) * CHOOSE(CONTROL!$C$21, $C$9, 100%, $E$9)</f>
        <v>29.2806</v>
      </c>
      <c r="F583" s="14">
        <f>CHOOSE(CONTROL!$C$42, 29.0282, 29.0282)*CHOOSE(CONTROL!$C$21, $C$9, 100%, $E$9)</f>
        <v>29.028199999999998</v>
      </c>
      <c r="G583" s="14">
        <f>CHOOSE(CONTROL!$C$42, 29.0445, 29.0445)*CHOOSE(CONTROL!$C$21, $C$9, 100%, $E$9)</f>
        <v>29.044499999999999</v>
      </c>
      <c r="H583" s="14">
        <f>CHOOSE(CONTROL!$C$42, 29.2693, 29.2693) * CHOOSE(CONTROL!$C$21, $C$9, 100%, $E$9)</f>
        <v>29.269300000000001</v>
      </c>
      <c r="I583" s="14">
        <f>CHOOSE(CONTROL!$C$42, 29.0553, 29.0553)* CHOOSE(CONTROL!$C$21, $C$9, 100%, $E$9)</f>
        <v>29.055299999999999</v>
      </c>
      <c r="J583" s="14">
        <f>CHOOSE(CONTROL!$C$42, 29.0212, 29.0212)* CHOOSE(CONTROL!$C$21, $C$9, 100%, $E$9)</f>
        <v>29.0212</v>
      </c>
      <c r="K583" s="53">
        <f>CHOOSE(CONTROL!$C$42, 29.0515, 29.0515) * CHOOSE(CONTROL!$C$21, $C$9, 100%, $E$9)</f>
        <v>29.051500000000001</v>
      </c>
      <c r="L583" s="14">
        <f>CHOOSE(CONTROL!$C$42, 29.8563, 29.8563) * CHOOSE(CONTROL!$C$21, $C$9, 100%, $E$9)</f>
        <v>29.856300000000001</v>
      </c>
      <c r="M583" s="14">
        <f>CHOOSE(CONTROL!$C$42, 28.7422, 28.7422) * CHOOSE(CONTROL!$C$21, $C$9, 100%, $E$9)</f>
        <v>28.7422</v>
      </c>
      <c r="N583" s="14">
        <f>CHOOSE(CONTROL!$C$42, 28.7583, 28.7583) * CHOOSE(CONTROL!$C$21, $C$9, 100%, $E$9)</f>
        <v>28.758299999999998</v>
      </c>
      <c r="O583" s="14">
        <f>CHOOSE(CONTROL!$C$42, 28.9877, 28.9877) * CHOOSE(CONTROL!$C$21, $C$9, 100%, $E$9)</f>
        <v>28.9877</v>
      </c>
      <c r="P583" s="14">
        <f>CHOOSE(CONTROL!$C$42, 28.776, 28.776) * CHOOSE(CONTROL!$C$21, $C$9, 100%, $E$9)</f>
        <v>28.776</v>
      </c>
      <c r="Q583" s="14">
        <f>CHOOSE(CONTROL!$C$42, 29.583, 29.583) * CHOOSE(CONTROL!$C$21, $C$9, 100%, $E$9)</f>
        <v>29.582999999999998</v>
      </c>
      <c r="R583" s="14">
        <f>CHOOSE(CONTROL!$C$42, 30.244, 30.244) * CHOOSE(CONTROL!$C$21, $C$9, 100%, $E$9)</f>
        <v>30.244</v>
      </c>
      <c r="S583" s="14">
        <f>CHOOSE(CONTROL!$C$42, 28.2004, 28.2004) * CHOOSE(CONTROL!$C$21, $C$9, 100%, $E$9)</f>
        <v>28.200399999999998</v>
      </c>
      <c r="T58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83" s="57">
        <f>(1000*CHOOSE(CONTROL!$C$42, 695, 695)*CHOOSE(CONTROL!$C$42, 0.5599, 0.5599)*CHOOSE(CONTROL!$C$42, 31, 31))/1000000</f>
        <v>12.063045499999998</v>
      </c>
      <c r="V583" s="57">
        <f>(1000*CHOOSE(CONTROL!$C$42, 500, 500)*CHOOSE(CONTROL!$C$42, 0.275, 0.275)*CHOOSE(CONTROL!$C$42, 31, 31))/1000000</f>
        <v>4.2625000000000002</v>
      </c>
      <c r="W583" s="57">
        <f>(1000*CHOOSE(CONTROL!$C$42, 0.1146, 0.1146)*CHOOSE(CONTROL!$C$42, 121.5, 121.5)*CHOOSE(CONTROL!$C$42, 31, 31))/1000000</f>
        <v>0.43164089999999994</v>
      </c>
      <c r="X583" s="57">
        <f>(31*0.1790888*245000/1000000)+(31*0.2374*100000/1000000)</f>
        <v>2.0961194359999999</v>
      </c>
      <c r="Y583" s="57"/>
      <c r="Z583" s="14"/>
      <c r="AA583" s="56"/>
      <c r="AB583" s="50">
        <f>(B583*194.205+C583*267.466+D583*133.845+E583*53.484+F583*40+G583*185+H583*0+I583*100+J583*300)/(194.205+267.466+133.845+53.484+0+40+185+100+300)</f>
        <v>29.072275465698588</v>
      </c>
      <c r="AC583" s="45">
        <f>(M583*'RAP TEMPLATE-GAS AVAILABILITY'!O582+N583*'RAP TEMPLATE-GAS AVAILABILITY'!P582+O583*'RAP TEMPLATE-GAS AVAILABILITY'!Q582+P583*'RAP TEMPLATE-GAS AVAILABILITY'!R582)/('RAP TEMPLATE-GAS AVAILABILITY'!O582+'RAP TEMPLATE-GAS AVAILABILITY'!P582+'RAP TEMPLATE-GAS AVAILABILITY'!Q582+'RAP TEMPLATE-GAS AVAILABILITY'!R582)</f>
        <v>28.819651079136687</v>
      </c>
    </row>
    <row r="584" spans="1:29" ht="15.75" x14ac:dyDescent="0.25">
      <c r="A584" s="32">
        <v>58684</v>
      </c>
      <c r="B584" s="14">
        <f>CHOOSE(CONTROL!$C$42, 27.6096, 27.6096) * CHOOSE(CONTROL!$C$21, $C$9, 100%, $E$9)</f>
        <v>27.6096</v>
      </c>
      <c r="C584" s="14">
        <f>CHOOSE(CONTROL!$C$42, 27.6175, 27.6175) * CHOOSE(CONTROL!$C$21, $C$9, 100%, $E$9)</f>
        <v>27.6175</v>
      </c>
      <c r="D584" s="14">
        <f>CHOOSE(CONTROL!$C$42, 27.8151, 27.8151) * CHOOSE(CONTROL!$C$21, $C$9, 100%, $E$9)</f>
        <v>27.815100000000001</v>
      </c>
      <c r="E584" s="14">
        <f>CHOOSE(CONTROL!$C$42, 27.8463, 27.8463) * CHOOSE(CONTROL!$C$21, $C$9, 100%, $E$9)</f>
        <v>27.846299999999999</v>
      </c>
      <c r="F584" s="14">
        <f>CHOOSE(CONTROL!$C$42, 27.5941, 27.5941)*CHOOSE(CONTROL!$C$21, $C$9, 100%, $E$9)</f>
        <v>27.594100000000001</v>
      </c>
      <c r="G584" s="14">
        <f>CHOOSE(CONTROL!$C$42, 27.6104, 27.6104)*CHOOSE(CONTROL!$C$21, $C$9, 100%, $E$9)</f>
        <v>27.610399999999998</v>
      </c>
      <c r="H584" s="14">
        <f>CHOOSE(CONTROL!$C$42, 27.8349, 27.8349) * CHOOSE(CONTROL!$C$21, $C$9, 100%, $E$9)</f>
        <v>27.834900000000001</v>
      </c>
      <c r="I584" s="14">
        <f>CHOOSE(CONTROL!$C$42, 27.621, 27.621)* CHOOSE(CONTROL!$C$21, $C$9, 100%, $E$9)</f>
        <v>27.620999999999999</v>
      </c>
      <c r="J584" s="14">
        <f>CHOOSE(CONTROL!$C$42, 27.5871, 27.5871)* CHOOSE(CONTROL!$C$21, $C$9, 100%, $E$9)</f>
        <v>27.5871</v>
      </c>
      <c r="K584" s="53">
        <f>CHOOSE(CONTROL!$C$42, 27.6171, 27.6171) * CHOOSE(CONTROL!$C$21, $C$9, 100%, $E$9)</f>
        <v>27.617100000000001</v>
      </c>
      <c r="L584" s="14">
        <f>CHOOSE(CONTROL!$C$42, 28.4219, 28.4219) * CHOOSE(CONTROL!$C$21, $C$9, 100%, $E$9)</f>
        <v>28.421900000000001</v>
      </c>
      <c r="M584" s="14">
        <f>CHOOSE(CONTROL!$C$42, 27.3225, 27.3225) * CHOOSE(CONTROL!$C$21, $C$9, 100%, $E$9)</f>
        <v>27.322500000000002</v>
      </c>
      <c r="N584" s="14">
        <f>CHOOSE(CONTROL!$C$42, 27.3387, 27.3387) * CHOOSE(CONTROL!$C$21, $C$9, 100%, $E$9)</f>
        <v>27.338699999999999</v>
      </c>
      <c r="O584" s="14">
        <f>CHOOSE(CONTROL!$C$42, 27.5678, 27.5678) * CHOOSE(CONTROL!$C$21, $C$9, 100%, $E$9)</f>
        <v>27.567799999999998</v>
      </c>
      <c r="P584" s="14">
        <f>CHOOSE(CONTROL!$C$42, 27.3561, 27.3561) * CHOOSE(CONTROL!$C$21, $C$9, 100%, $E$9)</f>
        <v>27.356100000000001</v>
      </c>
      <c r="Q584" s="14">
        <f>CHOOSE(CONTROL!$C$42, 28.1631, 28.1631) * CHOOSE(CONTROL!$C$21, $C$9, 100%, $E$9)</f>
        <v>28.1631</v>
      </c>
      <c r="R584" s="14">
        <f>CHOOSE(CONTROL!$C$42, 28.8205, 28.8205) * CHOOSE(CONTROL!$C$21, $C$9, 100%, $E$9)</f>
        <v>28.820499999999999</v>
      </c>
      <c r="S584" s="14">
        <f>CHOOSE(CONTROL!$C$42, 26.8075, 26.8075) * CHOOSE(CONTROL!$C$21, $C$9, 100%, $E$9)</f>
        <v>26.807500000000001</v>
      </c>
      <c r="T58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84" s="57">
        <f>(1000*CHOOSE(CONTROL!$C$42, 695, 695)*CHOOSE(CONTROL!$C$42, 0.5599, 0.5599)*CHOOSE(CONTROL!$C$42, 31, 31))/1000000</f>
        <v>12.063045499999998</v>
      </c>
      <c r="V584" s="57">
        <f>(1000*CHOOSE(CONTROL!$C$42, 500, 500)*CHOOSE(CONTROL!$C$42, 0.275, 0.275)*CHOOSE(CONTROL!$C$42, 31, 31))/1000000</f>
        <v>4.2625000000000002</v>
      </c>
      <c r="W584" s="57">
        <f>(1000*CHOOSE(CONTROL!$C$42, 0.1146, 0.1146)*CHOOSE(CONTROL!$C$42, 121.5, 121.5)*CHOOSE(CONTROL!$C$42, 31, 31))/1000000</f>
        <v>0.43164089999999994</v>
      </c>
      <c r="X584" s="57">
        <f>(31*0.1790888*245000/1000000)+(31*0.2374*100000/1000000)</f>
        <v>2.0961194359999999</v>
      </c>
      <c r="Y584" s="57"/>
      <c r="Z584" s="14"/>
      <c r="AA584" s="56"/>
      <c r="AB584" s="50">
        <f>(B584*194.205+C584*267.466+D584*133.845+E584*53.484+F584*40+G584*185+H584*0+I584*100+J584*300)/(194.205+267.466+133.845+53.484+0+40+185+100+300)</f>
        <v>27.638011139481947</v>
      </c>
      <c r="AC584" s="45">
        <f>(M584*'RAP TEMPLATE-GAS AVAILABILITY'!O583+N584*'RAP TEMPLATE-GAS AVAILABILITY'!P583+O584*'RAP TEMPLATE-GAS AVAILABILITY'!Q583+P584*'RAP TEMPLATE-GAS AVAILABILITY'!R583)/('RAP TEMPLATE-GAS AVAILABILITY'!O583+'RAP TEMPLATE-GAS AVAILABILITY'!P583+'RAP TEMPLATE-GAS AVAILABILITY'!Q583+'RAP TEMPLATE-GAS AVAILABILITY'!R583)</f>
        <v>27.399889208633091</v>
      </c>
    </row>
    <row r="585" spans="1:29" ht="15.75" x14ac:dyDescent="0.25">
      <c r="A585" s="32">
        <v>58714</v>
      </c>
      <c r="B585" s="14">
        <f>CHOOSE(CONTROL!$C$42, 25.8567, 25.8567) * CHOOSE(CONTROL!$C$21, $C$9, 100%, $E$9)</f>
        <v>25.8567</v>
      </c>
      <c r="C585" s="14">
        <f>CHOOSE(CONTROL!$C$42, 25.8646, 25.8646) * CHOOSE(CONTROL!$C$21, $C$9, 100%, $E$9)</f>
        <v>25.864599999999999</v>
      </c>
      <c r="D585" s="14">
        <f>CHOOSE(CONTROL!$C$42, 26.0622, 26.0622) * CHOOSE(CONTROL!$C$21, $C$9, 100%, $E$9)</f>
        <v>26.062200000000001</v>
      </c>
      <c r="E585" s="14">
        <f>CHOOSE(CONTROL!$C$42, 26.0933, 26.0933) * CHOOSE(CONTROL!$C$21, $C$9, 100%, $E$9)</f>
        <v>26.093299999999999</v>
      </c>
      <c r="F585" s="14">
        <f>CHOOSE(CONTROL!$C$42, 25.8411, 25.8411)*CHOOSE(CONTROL!$C$21, $C$9, 100%, $E$9)</f>
        <v>25.841100000000001</v>
      </c>
      <c r="G585" s="14">
        <f>CHOOSE(CONTROL!$C$42, 25.8574, 25.8574)*CHOOSE(CONTROL!$C$21, $C$9, 100%, $E$9)</f>
        <v>25.857399999999998</v>
      </c>
      <c r="H585" s="14">
        <f>CHOOSE(CONTROL!$C$42, 26.082, 26.082) * CHOOSE(CONTROL!$C$21, $C$9, 100%, $E$9)</f>
        <v>26.082000000000001</v>
      </c>
      <c r="I585" s="14">
        <f>CHOOSE(CONTROL!$C$42, 25.8681, 25.8681)* CHOOSE(CONTROL!$C$21, $C$9, 100%, $E$9)</f>
        <v>25.868099999999998</v>
      </c>
      <c r="J585" s="14">
        <f>CHOOSE(CONTROL!$C$42, 25.8341, 25.8341)* CHOOSE(CONTROL!$C$21, $C$9, 100%, $E$9)</f>
        <v>25.834099999999999</v>
      </c>
      <c r="K585" s="53">
        <f>CHOOSE(CONTROL!$C$42, 25.8642, 25.8642) * CHOOSE(CONTROL!$C$21, $C$9, 100%, $E$9)</f>
        <v>25.8642</v>
      </c>
      <c r="L585" s="14">
        <f>CHOOSE(CONTROL!$C$42, 26.669, 26.669) * CHOOSE(CONTROL!$C$21, $C$9, 100%, $E$9)</f>
        <v>26.669</v>
      </c>
      <c r="M585" s="14">
        <f>CHOOSE(CONTROL!$C$42, 25.5872, 25.5872) * CHOOSE(CONTROL!$C$21, $C$9, 100%, $E$9)</f>
        <v>25.587199999999999</v>
      </c>
      <c r="N585" s="14">
        <f>CHOOSE(CONTROL!$C$42, 25.6034, 25.6034) * CHOOSE(CONTROL!$C$21, $C$9, 100%, $E$9)</f>
        <v>25.603400000000001</v>
      </c>
      <c r="O585" s="14">
        <f>CHOOSE(CONTROL!$C$42, 25.8326, 25.8326) * CHOOSE(CONTROL!$C$21, $C$9, 100%, $E$9)</f>
        <v>25.832599999999999</v>
      </c>
      <c r="P585" s="14">
        <f>CHOOSE(CONTROL!$C$42, 25.6209, 25.6209) * CHOOSE(CONTROL!$C$21, $C$9, 100%, $E$9)</f>
        <v>25.620899999999999</v>
      </c>
      <c r="Q585" s="14">
        <f>CHOOSE(CONTROL!$C$42, 26.4279, 26.4279) * CHOOSE(CONTROL!$C$21, $C$9, 100%, $E$9)</f>
        <v>26.427900000000001</v>
      </c>
      <c r="R585" s="14">
        <f>CHOOSE(CONTROL!$C$42, 27.081, 27.081) * CHOOSE(CONTROL!$C$21, $C$9, 100%, $E$9)</f>
        <v>27.081</v>
      </c>
      <c r="S585" s="14">
        <f>CHOOSE(CONTROL!$C$42, 25.1052, 25.1052) * CHOOSE(CONTROL!$C$21, $C$9, 100%, $E$9)</f>
        <v>25.1052</v>
      </c>
      <c r="T58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85" s="57">
        <f>(1000*CHOOSE(CONTROL!$C$42, 695, 695)*CHOOSE(CONTROL!$C$42, 0.5599, 0.5599)*CHOOSE(CONTROL!$C$42, 30, 30))/1000000</f>
        <v>11.673914999999997</v>
      </c>
      <c r="V585" s="57">
        <f>(1000*CHOOSE(CONTROL!$C$42, 500, 500)*CHOOSE(CONTROL!$C$42, 0.275, 0.275)*CHOOSE(CONTROL!$C$42, 30, 30))/1000000</f>
        <v>4.125</v>
      </c>
      <c r="W585" s="57">
        <f>(1000*CHOOSE(CONTROL!$C$42, 0.1146, 0.1146)*CHOOSE(CONTROL!$C$42, 121.5, 121.5)*CHOOSE(CONTROL!$C$42, 30, 30))/1000000</f>
        <v>0.417717</v>
      </c>
      <c r="X585" s="57">
        <f>(30*0.1790888*245000/1000000)+(30*0.2374*100000/1000000)</f>
        <v>2.0285026799999999</v>
      </c>
      <c r="Y585" s="57"/>
      <c r="Z585" s="14"/>
      <c r="AA585" s="56"/>
      <c r="AB585" s="50">
        <f>(B585*194.205+C585*267.466+D585*133.845+E585*53.484+F585*40+G585*185+H585*0+I585*100+J585*300)/(194.205+267.466+133.845+53.484+0+40+185+100+300)</f>
        <v>25.885065732574571</v>
      </c>
      <c r="AC585" s="45">
        <f>(M585*'RAP TEMPLATE-GAS AVAILABILITY'!O584+N585*'RAP TEMPLATE-GAS AVAILABILITY'!P584+O585*'RAP TEMPLATE-GAS AVAILABILITY'!Q584+P585*'RAP TEMPLATE-GAS AVAILABILITY'!R584)/('RAP TEMPLATE-GAS AVAILABILITY'!O584+'RAP TEMPLATE-GAS AVAILABILITY'!P584+'RAP TEMPLATE-GAS AVAILABILITY'!Q584+'RAP TEMPLATE-GAS AVAILABILITY'!R584)</f>
        <v>25.664631654676256</v>
      </c>
    </row>
    <row r="586" spans="1:29" ht="15.75" x14ac:dyDescent="0.25">
      <c r="A586" s="32">
        <v>58745</v>
      </c>
      <c r="B586" s="14">
        <f>CHOOSE(CONTROL!$C$42, 25.3301, 25.3301) * CHOOSE(CONTROL!$C$21, $C$9, 100%, $E$9)</f>
        <v>25.330100000000002</v>
      </c>
      <c r="C586" s="14">
        <f>CHOOSE(CONTROL!$C$42, 25.3353, 25.3353) * CHOOSE(CONTROL!$C$21, $C$9, 100%, $E$9)</f>
        <v>25.3353</v>
      </c>
      <c r="D586" s="14">
        <f>CHOOSE(CONTROL!$C$42, 25.5378, 25.5378) * CHOOSE(CONTROL!$C$21, $C$9, 100%, $E$9)</f>
        <v>25.537800000000001</v>
      </c>
      <c r="E586" s="14">
        <f>CHOOSE(CONTROL!$C$42, 25.5666, 25.5666) * CHOOSE(CONTROL!$C$21, $C$9, 100%, $E$9)</f>
        <v>25.566600000000001</v>
      </c>
      <c r="F586" s="14">
        <f>CHOOSE(CONTROL!$C$42, 25.3164, 25.3164)*CHOOSE(CONTROL!$C$21, $C$9, 100%, $E$9)</f>
        <v>25.316400000000002</v>
      </c>
      <c r="G586" s="14">
        <f>CHOOSE(CONTROL!$C$42, 25.3324, 25.3324)*CHOOSE(CONTROL!$C$21, $C$9, 100%, $E$9)</f>
        <v>25.3324</v>
      </c>
      <c r="H586" s="14">
        <f>CHOOSE(CONTROL!$C$42, 25.5571, 25.5571) * CHOOSE(CONTROL!$C$21, $C$9, 100%, $E$9)</f>
        <v>25.557099999999998</v>
      </c>
      <c r="I586" s="14">
        <f>CHOOSE(CONTROL!$C$42, 25.3432, 25.3432)* CHOOSE(CONTROL!$C$21, $C$9, 100%, $E$9)</f>
        <v>25.3432</v>
      </c>
      <c r="J586" s="14">
        <f>CHOOSE(CONTROL!$C$42, 25.3094, 25.3094)* CHOOSE(CONTROL!$C$21, $C$9, 100%, $E$9)</f>
        <v>25.3094</v>
      </c>
      <c r="K586" s="53">
        <f>CHOOSE(CONTROL!$C$42, 25.3393, 25.3393) * CHOOSE(CONTROL!$C$21, $C$9, 100%, $E$9)</f>
        <v>25.339300000000001</v>
      </c>
      <c r="L586" s="14">
        <f>CHOOSE(CONTROL!$C$42, 26.1441, 26.1441) * CHOOSE(CONTROL!$C$21, $C$9, 100%, $E$9)</f>
        <v>26.144100000000002</v>
      </c>
      <c r="M586" s="14">
        <f>CHOOSE(CONTROL!$C$42, 25.0678, 25.0678) * CHOOSE(CONTROL!$C$21, $C$9, 100%, $E$9)</f>
        <v>25.067799999999998</v>
      </c>
      <c r="N586" s="14">
        <f>CHOOSE(CONTROL!$C$42, 25.0837, 25.0837) * CHOOSE(CONTROL!$C$21, $C$9, 100%, $E$9)</f>
        <v>25.0837</v>
      </c>
      <c r="O586" s="14">
        <f>CHOOSE(CONTROL!$C$42, 25.313, 25.313) * CHOOSE(CONTROL!$C$21, $C$9, 100%, $E$9)</f>
        <v>25.312999999999999</v>
      </c>
      <c r="P586" s="14">
        <f>CHOOSE(CONTROL!$C$42, 25.1013, 25.1013) * CHOOSE(CONTROL!$C$21, $C$9, 100%, $E$9)</f>
        <v>25.101299999999998</v>
      </c>
      <c r="Q586" s="14">
        <f>CHOOSE(CONTROL!$C$42, 25.9083, 25.9083) * CHOOSE(CONTROL!$C$21, $C$9, 100%, $E$9)</f>
        <v>25.908300000000001</v>
      </c>
      <c r="R586" s="14">
        <f>CHOOSE(CONTROL!$C$42, 26.5601, 26.5601) * CHOOSE(CONTROL!$C$21, $C$9, 100%, $E$9)</f>
        <v>26.560099999999998</v>
      </c>
      <c r="S586" s="14">
        <f>CHOOSE(CONTROL!$C$42, 24.5955, 24.5955) * CHOOSE(CONTROL!$C$21, $C$9, 100%, $E$9)</f>
        <v>24.595500000000001</v>
      </c>
      <c r="T58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86" s="57">
        <f>(1000*CHOOSE(CONTROL!$C$42, 695, 695)*CHOOSE(CONTROL!$C$42, 0.5599, 0.5599)*CHOOSE(CONTROL!$C$42, 31, 31))/1000000</f>
        <v>12.063045499999998</v>
      </c>
      <c r="V586" s="57">
        <f>(1000*CHOOSE(CONTROL!$C$42, 500, 500)*CHOOSE(CONTROL!$C$42, 0.275, 0.275)*CHOOSE(CONTROL!$C$42, 31, 31))/1000000</f>
        <v>4.2625000000000002</v>
      </c>
      <c r="W586" s="57">
        <f>(1000*CHOOSE(CONTROL!$C$42, 0.1146, 0.1146)*CHOOSE(CONTROL!$C$42, 121.5, 121.5)*CHOOSE(CONTROL!$C$42, 31, 31))/1000000</f>
        <v>0.43164089999999994</v>
      </c>
      <c r="X586" s="57">
        <f>(31*0.1790888*245000/1000000)+(31*0.2374*100000/1000000)</f>
        <v>2.0961194359999999</v>
      </c>
      <c r="Y586" s="57"/>
      <c r="Z586" s="14"/>
      <c r="AA586" s="56"/>
      <c r="AB586" s="50">
        <f>(B586*131.881+C586*277.167+D586*79.08+E586*125.872+F586*40+G586*185+H586*0+I586*100+J586*300)/(131.881+277.167+79.08+125.872+0+40+185+100+300)</f>
        <v>25.364492584665051</v>
      </c>
      <c r="AC586" s="45">
        <f>(M586*'RAP TEMPLATE-GAS AVAILABILITY'!O585+N586*'RAP TEMPLATE-GAS AVAILABILITY'!P585+O586*'RAP TEMPLATE-GAS AVAILABILITY'!Q585+P586*'RAP TEMPLATE-GAS AVAILABILITY'!R585)/('RAP TEMPLATE-GAS AVAILABILITY'!O585+'RAP TEMPLATE-GAS AVAILABILITY'!P585+'RAP TEMPLATE-GAS AVAILABILITY'!Q585+'RAP TEMPLATE-GAS AVAILABILITY'!R585)</f>
        <v>25.145077697841728</v>
      </c>
    </row>
    <row r="587" spans="1:29" ht="15.75" x14ac:dyDescent="0.25">
      <c r="A587" s="32">
        <v>58775</v>
      </c>
      <c r="B587" s="14">
        <f>CHOOSE(CONTROL!$C$42, 25.9969, 25.9969) * CHOOSE(CONTROL!$C$21, $C$9, 100%, $E$9)</f>
        <v>25.9969</v>
      </c>
      <c r="C587" s="14">
        <f>CHOOSE(CONTROL!$C$42, 26.0018, 26.0018) * CHOOSE(CONTROL!$C$21, $C$9, 100%, $E$9)</f>
        <v>26.001799999999999</v>
      </c>
      <c r="D587" s="14">
        <f>CHOOSE(CONTROL!$C$42, 26.0649, 26.0649) * CHOOSE(CONTROL!$C$21, $C$9, 100%, $E$9)</f>
        <v>26.064900000000002</v>
      </c>
      <c r="E587" s="14">
        <f>CHOOSE(CONTROL!$C$42, 26.0987, 26.0987) * CHOOSE(CONTROL!$C$21, $C$9, 100%, $E$9)</f>
        <v>26.098700000000001</v>
      </c>
      <c r="F587" s="14">
        <f>CHOOSE(CONTROL!$C$42, 25.9976, 25.9976)*CHOOSE(CONTROL!$C$21, $C$9, 100%, $E$9)</f>
        <v>25.997599999999998</v>
      </c>
      <c r="G587" s="14">
        <f>CHOOSE(CONTROL!$C$42, 26.0138, 26.0138)*CHOOSE(CONTROL!$C$21, $C$9, 100%, $E$9)</f>
        <v>26.0138</v>
      </c>
      <c r="H587" s="14">
        <f>CHOOSE(CONTROL!$C$42, 26.0879, 26.0879) * CHOOSE(CONTROL!$C$21, $C$9, 100%, $E$9)</f>
        <v>26.087900000000001</v>
      </c>
      <c r="I587" s="14">
        <f>CHOOSE(CONTROL!$C$42, 26.0104, 26.0104)* CHOOSE(CONTROL!$C$21, $C$9, 100%, $E$9)</f>
        <v>26.010400000000001</v>
      </c>
      <c r="J587" s="14">
        <f>CHOOSE(CONTROL!$C$42, 25.9906, 25.9906)* CHOOSE(CONTROL!$C$21, $C$9, 100%, $E$9)</f>
        <v>25.990600000000001</v>
      </c>
      <c r="K587" s="53">
        <f>CHOOSE(CONTROL!$C$42, 26.0065, 26.0065) * CHOOSE(CONTROL!$C$21, $C$9, 100%, $E$9)</f>
        <v>26.006499999999999</v>
      </c>
      <c r="L587" s="14">
        <f>CHOOSE(CONTROL!$C$42, 26.6749, 26.6749) * CHOOSE(CONTROL!$C$21, $C$9, 100%, $E$9)</f>
        <v>26.674900000000001</v>
      </c>
      <c r="M587" s="14">
        <f>CHOOSE(CONTROL!$C$42, 25.7421, 25.7421) * CHOOSE(CONTROL!$C$21, $C$9, 100%, $E$9)</f>
        <v>25.742100000000001</v>
      </c>
      <c r="N587" s="14">
        <f>CHOOSE(CONTROL!$C$42, 25.7582, 25.7582) * CHOOSE(CONTROL!$C$21, $C$9, 100%, $E$9)</f>
        <v>25.758199999999999</v>
      </c>
      <c r="O587" s="14">
        <f>CHOOSE(CONTROL!$C$42, 25.8384, 25.8384) * CHOOSE(CONTROL!$C$21, $C$9, 100%, $E$9)</f>
        <v>25.8384</v>
      </c>
      <c r="P587" s="14">
        <f>CHOOSE(CONTROL!$C$42, 25.7618, 25.7618) * CHOOSE(CONTROL!$C$21, $C$9, 100%, $E$9)</f>
        <v>25.761800000000001</v>
      </c>
      <c r="Q587" s="14">
        <f>CHOOSE(CONTROL!$C$42, 26.4337, 26.4337) * CHOOSE(CONTROL!$C$21, $C$9, 100%, $E$9)</f>
        <v>26.433700000000002</v>
      </c>
      <c r="R587" s="14">
        <f>CHOOSE(CONTROL!$C$42, 27.0868, 27.0868) * CHOOSE(CONTROL!$C$21, $C$9, 100%, $E$9)</f>
        <v>27.0868</v>
      </c>
      <c r="S587" s="14">
        <f>CHOOSE(CONTROL!$C$42, 25.2434, 25.2434) * CHOOSE(CONTROL!$C$21, $C$9, 100%, $E$9)</f>
        <v>25.243400000000001</v>
      </c>
      <c r="T58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87" s="57">
        <f>(1000*CHOOSE(CONTROL!$C$42, 695, 695)*CHOOSE(CONTROL!$C$42, 0.5599, 0.5599)*CHOOSE(CONTROL!$C$42, 30, 30))/1000000</f>
        <v>11.673914999999997</v>
      </c>
      <c r="V587" s="57">
        <f>(1000*CHOOSE(CONTROL!$C$42, 500, 500)*CHOOSE(CONTROL!$C$42, 0.275, 0.275)*CHOOSE(CONTROL!$C$42, 30, 30))/1000000</f>
        <v>4.125</v>
      </c>
      <c r="W587" s="57">
        <f>(1000*CHOOSE(CONTROL!$C$42, 0.1146, 0.1146)*CHOOSE(CONTROL!$C$42, 121.5, 121.5)*CHOOSE(CONTROL!$C$42, 30, 30))/1000000</f>
        <v>0.417717</v>
      </c>
      <c r="X587" s="57">
        <f>(30*0.1790888*100000/1000000)+(30*0.2374*100000/1000000)</f>
        <v>1.2494664</v>
      </c>
      <c r="Y587" s="57"/>
      <c r="Z587" s="14"/>
      <c r="AA587" s="56"/>
      <c r="AB587" s="50">
        <f>(B587*122.58+C587*297.941+D587*89.177+E587*40.302+F587*40+G587*160+H587*0+I587*100+J587*300)/(122.58+297.941+89.177+40.302+0+40+160+100+300)</f>
        <v>26.008916252608696</v>
      </c>
      <c r="AC587" s="45">
        <f>(M587*'RAP TEMPLATE-GAS AVAILABILITY'!O586+N587*'RAP TEMPLATE-GAS AVAILABILITY'!P586+O587*'RAP TEMPLATE-GAS AVAILABILITY'!Q586+P587*'RAP TEMPLATE-GAS AVAILABILITY'!R586)/('RAP TEMPLATE-GAS AVAILABILITY'!O586+'RAP TEMPLATE-GAS AVAILABILITY'!P586+'RAP TEMPLATE-GAS AVAILABILITY'!Q586+'RAP TEMPLATE-GAS AVAILABILITY'!R586)</f>
        <v>25.78950791366907</v>
      </c>
    </row>
    <row r="588" spans="1:29" ht="15.75" x14ac:dyDescent="0.25">
      <c r="A588" s="32">
        <v>58806</v>
      </c>
      <c r="B588" s="14">
        <f>CHOOSE(CONTROL!$C$42, 27.7691, 27.7691) * CHOOSE(CONTROL!$C$21, $C$9, 100%, $E$9)</f>
        <v>27.769100000000002</v>
      </c>
      <c r="C588" s="14">
        <f>CHOOSE(CONTROL!$C$42, 27.7741, 27.7741) * CHOOSE(CONTROL!$C$21, $C$9, 100%, $E$9)</f>
        <v>27.774100000000001</v>
      </c>
      <c r="D588" s="14">
        <f>CHOOSE(CONTROL!$C$42, 27.8371, 27.8371) * CHOOSE(CONTROL!$C$21, $C$9, 100%, $E$9)</f>
        <v>27.8371</v>
      </c>
      <c r="E588" s="14">
        <f>CHOOSE(CONTROL!$C$42, 27.8709, 27.8709) * CHOOSE(CONTROL!$C$21, $C$9, 100%, $E$9)</f>
        <v>27.870899999999999</v>
      </c>
      <c r="F588" s="14">
        <f>CHOOSE(CONTROL!$C$42, 27.7719, 27.7719)*CHOOSE(CONTROL!$C$21, $C$9, 100%, $E$9)</f>
        <v>27.771899999999999</v>
      </c>
      <c r="G588" s="14">
        <f>CHOOSE(CONTROL!$C$42, 27.7887, 27.7887)*CHOOSE(CONTROL!$C$21, $C$9, 100%, $E$9)</f>
        <v>27.788699999999999</v>
      </c>
      <c r="H588" s="14">
        <f>CHOOSE(CONTROL!$C$42, 27.8601, 27.8601) * CHOOSE(CONTROL!$C$21, $C$9, 100%, $E$9)</f>
        <v>27.860099999999999</v>
      </c>
      <c r="I588" s="14">
        <f>CHOOSE(CONTROL!$C$42, 27.7827, 27.7827)* CHOOSE(CONTROL!$C$21, $C$9, 100%, $E$9)</f>
        <v>27.782699999999998</v>
      </c>
      <c r="J588" s="14">
        <f>CHOOSE(CONTROL!$C$42, 27.7649, 27.7649)* CHOOSE(CONTROL!$C$21, $C$9, 100%, $E$9)</f>
        <v>27.764900000000001</v>
      </c>
      <c r="K588" s="53">
        <f>CHOOSE(CONTROL!$C$42, 27.7788, 27.7788) * CHOOSE(CONTROL!$C$21, $C$9, 100%, $E$9)</f>
        <v>27.7788</v>
      </c>
      <c r="L588" s="14">
        <f>CHOOSE(CONTROL!$C$42, 28.4471, 28.4471) * CHOOSE(CONTROL!$C$21, $C$9, 100%, $E$9)</f>
        <v>28.447099999999999</v>
      </c>
      <c r="M588" s="14">
        <f>CHOOSE(CONTROL!$C$42, 27.4985, 27.4985) * CHOOSE(CONTROL!$C$21, $C$9, 100%, $E$9)</f>
        <v>27.4985</v>
      </c>
      <c r="N588" s="14">
        <f>CHOOSE(CONTROL!$C$42, 27.5151, 27.5151) * CHOOSE(CONTROL!$C$21, $C$9, 100%, $E$9)</f>
        <v>27.5151</v>
      </c>
      <c r="O588" s="14">
        <f>CHOOSE(CONTROL!$C$42, 27.5928, 27.5928) * CHOOSE(CONTROL!$C$21, $C$9, 100%, $E$9)</f>
        <v>27.5928</v>
      </c>
      <c r="P588" s="14">
        <f>CHOOSE(CONTROL!$C$42, 27.5161, 27.5161) * CHOOSE(CONTROL!$C$21, $C$9, 100%, $E$9)</f>
        <v>27.516100000000002</v>
      </c>
      <c r="Q588" s="14">
        <f>CHOOSE(CONTROL!$C$42, 28.1881, 28.1881) * CHOOSE(CONTROL!$C$21, $C$9, 100%, $E$9)</f>
        <v>28.188099999999999</v>
      </c>
      <c r="R588" s="14">
        <f>CHOOSE(CONTROL!$C$42, 28.8456, 28.8456) * CHOOSE(CONTROL!$C$21, $C$9, 100%, $E$9)</f>
        <v>28.845600000000001</v>
      </c>
      <c r="S588" s="14">
        <f>CHOOSE(CONTROL!$C$42, 26.9644, 26.9644) * CHOOSE(CONTROL!$C$21, $C$9, 100%, $E$9)</f>
        <v>26.964400000000001</v>
      </c>
      <c r="T58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588" s="57">
        <f>(1000*CHOOSE(CONTROL!$C$42, 695, 695)*CHOOSE(CONTROL!$C$42, 0.5599, 0.5599)*CHOOSE(CONTROL!$C$42, 31, 31))/1000000</f>
        <v>12.063045499999998</v>
      </c>
      <c r="V588" s="57">
        <f>(1000*CHOOSE(CONTROL!$C$42, 500, 500)*CHOOSE(CONTROL!$C$42, 0.275, 0.275)*CHOOSE(CONTROL!$C$42, 31, 31))/1000000</f>
        <v>4.2625000000000002</v>
      </c>
      <c r="W588" s="57">
        <f>(1000*CHOOSE(CONTROL!$C$42, 0.1146, 0.1146)*CHOOSE(CONTROL!$C$42, 121.5, 121.5)*CHOOSE(CONTROL!$C$42, 31, 31))/1000000</f>
        <v>0.43164089999999994</v>
      </c>
      <c r="X588" s="57">
        <f>(31*0.1790888*100000/1000000)+(31*0.2374*100000/1000000)</f>
        <v>1.2911152800000001</v>
      </c>
      <c r="Y588" s="57"/>
      <c r="Z588" s="14"/>
      <c r="AA588" s="56"/>
      <c r="AB588" s="50">
        <f>(B588*122.58+C588*297.941+D588*89.177+E588*40.302+F588*40+G588*160+H588*0+I588*100+J588*300)/(122.58+297.941+89.177+40.302+0+40+160+100+300)</f>
        <v>27.782147377913041</v>
      </c>
      <c r="AC588" s="45">
        <f>(M588*'RAP TEMPLATE-GAS AVAILABILITY'!O587+N588*'RAP TEMPLATE-GAS AVAILABILITY'!P587+O588*'RAP TEMPLATE-GAS AVAILABILITY'!Q587+P588*'RAP TEMPLATE-GAS AVAILABILITY'!R587)/('RAP TEMPLATE-GAS AVAILABILITY'!O587+'RAP TEMPLATE-GAS AVAILABILITY'!P587+'RAP TEMPLATE-GAS AVAILABILITY'!Q587+'RAP TEMPLATE-GAS AVAILABILITY'!R587)</f>
        <v>27.544728057553961</v>
      </c>
    </row>
    <row r="589" spans="1:29" ht="15.75" x14ac:dyDescent="0.25">
      <c r="A589" s="32">
        <v>58837</v>
      </c>
      <c r="B589" s="14">
        <f>CHOOSE(CONTROL!$C$42, 30.0442, 30.0442) * CHOOSE(CONTROL!$C$21, $C$9, 100%, $E$9)</f>
        <v>30.0442</v>
      </c>
      <c r="C589" s="14">
        <f>CHOOSE(CONTROL!$C$42, 30.0491, 30.0491) * CHOOSE(CONTROL!$C$21, $C$9, 100%, $E$9)</f>
        <v>30.049099999999999</v>
      </c>
      <c r="D589" s="14">
        <f>CHOOSE(CONTROL!$C$42, 30.1134, 30.1134) * CHOOSE(CONTROL!$C$21, $C$9, 100%, $E$9)</f>
        <v>30.113399999999999</v>
      </c>
      <c r="E589" s="14">
        <f>CHOOSE(CONTROL!$C$42, 30.1472, 30.1472) * CHOOSE(CONTROL!$C$21, $C$9, 100%, $E$9)</f>
        <v>30.147200000000002</v>
      </c>
      <c r="F589" s="14">
        <f>CHOOSE(CONTROL!$C$42, 30.0457, 30.0457)*CHOOSE(CONTROL!$C$21, $C$9, 100%, $E$9)</f>
        <v>30.0457</v>
      </c>
      <c r="G589" s="14">
        <f>CHOOSE(CONTROL!$C$42, 30.0616, 30.0616)*CHOOSE(CONTROL!$C$21, $C$9, 100%, $E$9)</f>
        <v>30.061599999999999</v>
      </c>
      <c r="H589" s="14">
        <f>CHOOSE(CONTROL!$C$42, 30.1364, 30.1364) * CHOOSE(CONTROL!$C$21, $C$9, 100%, $E$9)</f>
        <v>30.136399999999998</v>
      </c>
      <c r="I589" s="14">
        <f>CHOOSE(CONTROL!$C$42, 30.0642, 30.0642)* CHOOSE(CONTROL!$C$21, $C$9, 100%, $E$9)</f>
        <v>30.0642</v>
      </c>
      <c r="J589" s="14">
        <f>CHOOSE(CONTROL!$C$42, 30.0387, 30.0387)* CHOOSE(CONTROL!$C$21, $C$9, 100%, $E$9)</f>
        <v>30.038699999999999</v>
      </c>
      <c r="K589" s="53">
        <f>CHOOSE(CONTROL!$C$42, 30.0603, 30.0603) * CHOOSE(CONTROL!$C$21, $C$9, 100%, $E$9)</f>
        <v>30.060300000000002</v>
      </c>
      <c r="L589" s="14">
        <f>CHOOSE(CONTROL!$C$42, 30.7234, 30.7234) * CHOOSE(CONTROL!$C$21, $C$9, 100%, $E$9)</f>
        <v>30.723400000000002</v>
      </c>
      <c r="M589" s="14">
        <f>CHOOSE(CONTROL!$C$42, 29.7494, 29.7494) * CHOOSE(CONTROL!$C$21, $C$9, 100%, $E$9)</f>
        <v>29.749400000000001</v>
      </c>
      <c r="N589" s="14">
        <f>CHOOSE(CONTROL!$C$42, 29.7651, 29.7651) * CHOOSE(CONTROL!$C$21, $C$9, 100%, $E$9)</f>
        <v>29.7651</v>
      </c>
      <c r="O589" s="14">
        <f>CHOOSE(CONTROL!$C$42, 29.8461, 29.8461) * CHOOSE(CONTROL!$C$21, $C$9, 100%, $E$9)</f>
        <v>29.8461</v>
      </c>
      <c r="P589" s="14">
        <f>CHOOSE(CONTROL!$C$42, 29.7746, 29.7746) * CHOOSE(CONTROL!$C$21, $C$9, 100%, $E$9)</f>
        <v>29.7746</v>
      </c>
      <c r="Q589" s="14">
        <f>CHOOSE(CONTROL!$C$42, 30.4414, 30.4414) * CHOOSE(CONTROL!$C$21, $C$9, 100%, $E$9)</f>
        <v>30.441400000000002</v>
      </c>
      <c r="R589" s="14">
        <f>CHOOSE(CONTROL!$C$42, 31.1045, 31.1045) * CHOOSE(CONTROL!$C$21, $C$9, 100%, $E$9)</f>
        <v>31.104500000000002</v>
      </c>
      <c r="S589" s="14">
        <f>CHOOSE(CONTROL!$C$42, 29.1738, 29.1738) * CHOOSE(CONTROL!$C$21, $C$9, 100%, $E$9)</f>
        <v>29.1738</v>
      </c>
      <c r="T58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589" s="57">
        <f>(1000*CHOOSE(CONTROL!$C$42, 695, 695)*CHOOSE(CONTROL!$C$42, 0.5599, 0.5599)*CHOOSE(CONTROL!$C$42, 31, 31))/1000000</f>
        <v>12.063045499999998</v>
      </c>
      <c r="V589" s="57">
        <f>(1000*CHOOSE(CONTROL!$C$42, 500, 500)*CHOOSE(CONTROL!$C$42, 0.275, 0.275)*CHOOSE(CONTROL!$C$42, 31, 31))/1000000</f>
        <v>4.2625000000000002</v>
      </c>
      <c r="W589" s="57">
        <f>(1000*CHOOSE(CONTROL!$C$42, 0.1146, 0.1146)*CHOOSE(CONTROL!$C$42, 121.5, 121.5)*CHOOSE(CONTROL!$C$42, 31, 31))/1000000</f>
        <v>0.43164089999999994</v>
      </c>
      <c r="X589" s="57">
        <f>(31*0.1790888*100000/1000000)+(31*0.2374*100000/1000000)</f>
        <v>1.2911152800000001</v>
      </c>
      <c r="Y589" s="57"/>
      <c r="Z589" s="14"/>
      <c r="AA589" s="56"/>
      <c r="AB589" s="50">
        <f>(B589*122.58+C589*297.941+D589*89.177+E589*40.302+F589*40+G589*160+H589*0+I589*100+J589*300)/(122.58+297.941+89.177+40.302+0+40+160+100+300)</f>
        <v>30.05722266547826</v>
      </c>
      <c r="AC589" s="45">
        <f>(M589*'RAP TEMPLATE-GAS AVAILABILITY'!O588+N589*'RAP TEMPLATE-GAS AVAILABILITY'!P588+O589*'RAP TEMPLATE-GAS AVAILABILITY'!Q588+P589*'RAP TEMPLATE-GAS AVAILABILITY'!R588)/('RAP TEMPLATE-GAS AVAILABILITY'!O588+'RAP TEMPLATE-GAS AVAILABILITY'!P588+'RAP TEMPLATE-GAS AVAILABILITY'!Q588+'RAP TEMPLATE-GAS AVAILABILITY'!R588)</f>
        <v>29.797757553956835</v>
      </c>
    </row>
    <row r="590" spans="1:29" ht="15.75" x14ac:dyDescent="0.25">
      <c r="A590" s="32">
        <v>58865</v>
      </c>
      <c r="B590" s="14">
        <f>CHOOSE(CONTROL!$C$42, 30.579, 30.579) * CHOOSE(CONTROL!$C$21, $C$9, 100%, $E$9)</f>
        <v>30.579000000000001</v>
      </c>
      <c r="C590" s="14">
        <f>CHOOSE(CONTROL!$C$42, 30.5839, 30.5839) * CHOOSE(CONTROL!$C$21, $C$9, 100%, $E$9)</f>
        <v>30.5839</v>
      </c>
      <c r="D590" s="14">
        <f>CHOOSE(CONTROL!$C$42, 30.6482, 30.6482) * CHOOSE(CONTROL!$C$21, $C$9, 100%, $E$9)</f>
        <v>30.648199999999999</v>
      </c>
      <c r="E590" s="14">
        <f>CHOOSE(CONTROL!$C$42, 30.682, 30.682) * CHOOSE(CONTROL!$C$21, $C$9, 100%, $E$9)</f>
        <v>30.681999999999999</v>
      </c>
      <c r="F590" s="14">
        <f>CHOOSE(CONTROL!$C$42, 30.5805, 30.5805)*CHOOSE(CONTROL!$C$21, $C$9, 100%, $E$9)</f>
        <v>30.580500000000001</v>
      </c>
      <c r="G590" s="14">
        <f>CHOOSE(CONTROL!$C$42, 30.5965, 30.5965)*CHOOSE(CONTROL!$C$21, $C$9, 100%, $E$9)</f>
        <v>30.596499999999999</v>
      </c>
      <c r="H590" s="14">
        <f>CHOOSE(CONTROL!$C$42, 30.6712, 30.6712) * CHOOSE(CONTROL!$C$21, $C$9, 100%, $E$9)</f>
        <v>30.671199999999999</v>
      </c>
      <c r="I590" s="14">
        <f>CHOOSE(CONTROL!$C$42, 30.5989, 30.5989)* CHOOSE(CONTROL!$C$21, $C$9, 100%, $E$9)</f>
        <v>30.5989</v>
      </c>
      <c r="J590" s="14">
        <f>CHOOSE(CONTROL!$C$42, 30.5735, 30.5735)* CHOOSE(CONTROL!$C$21, $C$9, 100%, $E$9)</f>
        <v>30.573499999999999</v>
      </c>
      <c r="K590" s="53">
        <f>CHOOSE(CONTROL!$C$42, 30.595, 30.595) * CHOOSE(CONTROL!$C$21, $C$9, 100%, $E$9)</f>
        <v>30.594999999999999</v>
      </c>
      <c r="L590" s="14">
        <f>CHOOSE(CONTROL!$C$42, 31.2582, 31.2582) * CHOOSE(CONTROL!$C$21, $C$9, 100%, $E$9)</f>
        <v>31.258199999999999</v>
      </c>
      <c r="M590" s="14">
        <f>CHOOSE(CONTROL!$C$42, 30.2788, 30.2788) * CHOOSE(CONTROL!$C$21, $C$9, 100%, $E$9)</f>
        <v>30.2788</v>
      </c>
      <c r="N590" s="14">
        <f>CHOOSE(CONTROL!$C$42, 30.2946, 30.2946) * CHOOSE(CONTROL!$C$21, $C$9, 100%, $E$9)</f>
        <v>30.294599999999999</v>
      </c>
      <c r="O590" s="14">
        <f>CHOOSE(CONTROL!$C$42, 30.3755, 30.3755) * CHOOSE(CONTROL!$C$21, $C$9, 100%, $E$9)</f>
        <v>30.375499999999999</v>
      </c>
      <c r="P590" s="14">
        <f>CHOOSE(CONTROL!$C$42, 30.304, 30.304) * CHOOSE(CONTROL!$C$21, $C$9, 100%, $E$9)</f>
        <v>30.303999999999998</v>
      </c>
      <c r="Q590" s="14">
        <f>CHOOSE(CONTROL!$C$42, 30.9708, 30.9708) * CHOOSE(CONTROL!$C$21, $C$9, 100%, $E$9)</f>
        <v>30.970800000000001</v>
      </c>
      <c r="R590" s="14">
        <f>CHOOSE(CONTROL!$C$42, 31.6352, 31.6352) * CHOOSE(CONTROL!$C$21, $C$9, 100%, $E$9)</f>
        <v>31.635200000000001</v>
      </c>
      <c r="S590" s="14">
        <f>CHOOSE(CONTROL!$C$42, 29.6931, 29.6931) * CHOOSE(CONTROL!$C$21, $C$9, 100%, $E$9)</f>
        <v>29.693100000000001</v>
      </c>
      <c r="T59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590" s="57">
        <f>(1000*CHOOSE(CONTROL!$C$42, 695, 695)*CHOOSE(CONTROL!$C$42, 0.5599, 0.5599)*CHOOSE(CONTROL!$C$42, 28, 28))/1000000</f>
        <v>10.895653999999999</v>
      </c>
      <c r="V590" s="57">
        <f>(1000*CHOOSE(CONTROL!$C$42, 500, 500)*CHOOSE(CONTROL!$C$42, 0.275, 0.275)*CHOOSE(CONTROL!$C$42, 28, 28))/1000000</f>
        <v>3.85</v>
      </c>
      <c r="W590" s="57">
        <f>(1000*CHOOSE(CONTROL!$C$42, 0.1146, 0.1146)*CHOOSE(CONTROL!$C$42, 121.5, 121.5)*CHOOSE(CONTROL!$C$42, 28, 28))/1000000</f>
        <v>0.38986920000000003</v>
      </c>
      <c r="X590" s="57">
        <f>(28*0.1790888*100000/1000000)+(28*0.2374*100000/1000000)</f>
        <v>1.16616864</v>
      </c>
      <c r="Y590" s="57"/>
      <c r="Z590" s="14"/>
      <c r="AA590" s="56"/>
      <c r="AB590" s="50">
        <f>(B590*122.58+C590*297.941+D590*89.177+E590*40.302+F590*40+G590*160+H590*0+I590*100+J590*300)/(122.58+297.941+89.177+40.302+0+40+160+100+300)</f>
        <v>30.592027882869562</v>
      </c>
      <c r="AC590" s="45">
        <f>(M590*'RAP TEMPLATE-GAS AVAILABILITY'!O589+N590*'RAP TEMPLATE-GAS AVAILABILITY'!P589+O590*'RAP TEMPLATE-GAS AVAILABILITY'!Q589+P590*'RAP TEMPLATE-GAS AVAILABILITY'!R589)/('RAP TEMPLATE-GAS AVAILABILITY'!O589+'RAP TEMPLATE-GAS AVAILABILITY'!P589+'RAP TEMPLATE-GAS AVAILABILITY'!Q589+'RAP TEMPLATE-GAS AVAILABILITY'!R589)</f>
        <v>30.327163309352517</v>
      </c>
    </row>
    <row r="591" spans="1:29" ht="15.75" x14ac:dyDescent="0.25">
      <c r="A591" s="32">
        <v>58893</v>
      </c>
      <c r="B591" s="14">
        <f>CHOOSE(CONTROL!$C$42, 29.7109, 29.7109) * CHOOSE(CONTROL!$C$21, $C$9, 100%, $E$9)</f>
        <v>29.710899999999999</v>
      </c>
      <c r="C591" s="14">
        <f>CHOOSE(CONTROL!$C$42, 29.7158, 29.7158) * CHOOSE(CONTROL!$C$21, $C$9, 100%, $E$9)</f>
        <v>29.715800000000002</v>
      </c>
      <c r="D591" s="14">
        <f>CHOOSE(CONTROL!$C$42, 29.7801, 29.7801) * CHOOSE(CONTROL!$C$21, $C$9, 100%, $E$9)</f>
        <v>29.780100000000001</v>
      </c>
      <c r="E591" s="14">
        <f>CHOOSE(CONTROL!$C$42, 29.8139, 29.8139) * CHOOSE(CONTROL!$C$21, $C$9, 100%, $E$9)</f>
        <v>29.8139</v>
      </c>
      <c r="F591" s="14">
        <f>CHOOSE(CONTROL!$C$42, 29.7121, 29.7121)*CHOOSE(CONTROL!$C$21, $C$9, 100%, $E$9)</f>
        <v>29.7121</v>
      </c>
      <c r="G591" s="14">
        <f>CHOOSE(CONTROL!$C$42, 29.728, 29.728)*CHOOSE(CONTROL!$C$21, $C$9, 100%, $E$9)</f>
        <v>29.728000000000002</v>
      </c>
      <c r="H591" s="14">
        <f>CHOOSE(CONTROL!$C$42, 29.8031, 29.8031) * CHOOSE(CONTROL!$C$21, $C$9, 100%, $E$9)</f>
        <v>29.803100000000001</v>
      </c>
      <c r="I591" s="14">
        <f>CHOOSE(CONTROL!$C$42, 29.7309, 29.7309)* CHOOSE(CONTROL!$C$21, $C$9, 100%, $E$9)</f>
        <v>29.730899999999998</v>
      </c>
      <c r="J591" s="14">
        <f>CHOOSE(CONTROL!$C$42, 29.7051, 29.7051)* CHOOSE(CONTROL!$C$21, $C$9, 100%, $E$9)</f>
        <v>29.705100000000002</v>
      </c>
      <c r="K591" s="53">
        <f>CHOOSE(CONTROL!$C$42, 29.727, 29.727) * CHOOSE(CONTROL!$C$21, $C$9, 100%, $E$9)</f>
        <v>29.727</v>
      </c>
      <c r="L591" s="14">
        <f>CHOOSE(CONTROL!$C$42, 30.3901, 30.3901) * CHOOSE(CONTROL!$C$21, $C$9, 100%, $E$9)</f>
        <v>30.3901</v>
      </c>
      <c r="M591" s="14">
        <f>CHOOSE(CONTROL!$C$42, 29.4192, 29.4192) * CHOOSE(CONTROL!$C$21, $C$9, 100%, $E$9)</f>
        <v>29.4192</v>
      </c>
      <c r="N591" s="14">
        <f>CHOOSE(CONTROL!$C$42, 29.4349, 29.4349) * CHOOSE(CONTROL!$C$21, $C$9, 100%, $E$9)</f>
        <v>29.434899999999999</v>
      </c>
      <c r="O591" s="14">
        <f>CHOOSE(CONTROL!$C$42, 29.5162, 29.5162) * CHOOSE(CONTROL!$C$21, $C$9, 100%, $E$9)</f>
        <v>29.516200000000001</v>
      </c>
      <c r="P591" s="14">
        <f>CHOOSE(CONTROL!$C$42, 29.4447, 29.4447) * CHOOSE(CONTROL!$C$21, $C$9, 100%, $E$9)</f>
        <v>29.444700000000001</v>
      </c>
      <c r="Q591" s="14">
        <f>CHOOSE(CONTROL!$C$42, 30.1115, 30.1115) * CHOOSE(CONTROL!$C$21, $C$9, 100%, $E$9)</f>
        <v>30.111499999999999</v>
      </c>
      <c r="R591" s="14">
        <f>CHOOSE(CONTROL!$C$42, 30.7737, 30.7737) * CHOOSE(CONTROL!$C$21, $C$9, 100%, $E$9)</f>
        <v>30.773700000000002</v>
      </c>
      <c r="S591" s="14">
        <f>CHOOSE(CONTROL!$C$42, 28.8501, 28.8501) * CHOOSE(CONTROL!$C$21, $C$9, 100%, $E$9)</f>
        <v>28.850100000000001</v>
      </c>
      <c r="T59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591" s="57">
        <f>(1000*CHOOSE(CONTROL!$C$42, 695, 695)*CHOOSE(CONTROL!$C$42, 0.5599, 0.5599)*CHOOSE(CONTROL!$C$42, 31, 31))/1000000</f>
        <v>12.063045499999998</v>
      </c>
      <c r="V591" s="57">
        <f>(1000*CHOOSE(CONTROL!$C$42, 500, 500)*CHOOSE(CONTROL!$C$42, 0.275, 0.275)*CHOOSE(CONTROL!$C$42, 31, 31))/1000000</f>
        <v>4.2625000000000002</v>
      </c>
      <c r="W591" s="57">
        <f>(1000*CHOOSE(CONTROL!$C$42, 0.1146, 0.1146)*CHOOSE(CONTROL!$C$42, 121.5, 121.5)*CHOOSE(CONTROL!$C$42, 31, 31))/1000000</f>
        <v>0.43164089999999994</v>
      </c>
      <c r="X591" s="57">
        <f>(31*0.1790888*100000/1000000)+(31*0.2374*100000/1000000)</f>
        <v>1.2911152800000001</v>
      </c>
      <c r="Y591" s="57"/>
      <c r="Z591" s="14"/>
      <c r="AA591" s="56"/>
      <c r="AB591" s="50">
        <f>(B591*122.58+C591*297.941+D591*89.177+E591*40.302+F591*40+G591*160+H591*0+I591*100+J591*300)/(122.58+297.941+89.177+40.302+0+40+160+100+300)</f>
        <v>29.723792230695651</v>
      </c>
      <c r="AC591" s="45">
        <f>(M591*'RAP TEMPLATE-GAS AVAILABILITY'!O590+N591*'RAP TEMPLATE-GAS AVAILABILITY'!P590+O591*'RAP TEMPLATE-GAS AVAILABILITY'!Q590+P591*'RAP TEMPLATE-GAS AVAILABILITY'!R590)/('RAP TEMPLATE-GAS AVAILABILITY'!O590+'RAP TEMPLATE-GAS AVAILABILITY'!P590+'RAP TEMPLATE-GAS AVAILABILITY'!Q590+'RAP TEMPLATE-GAS AVAILABILITY'!R590)</f>
        <v>29.467736690647488</v>
      </c>
    </row>
    <row r="592" spans="1:29" ht="15.75" x14ac:dyDescent="0.25">
      <c r="A592" s="32">
        <v>58926</v>
      </c>
      <c r="B592" s="14">
        <f>CHOOSE(CONTROL!$C$42, 29.6231, 29.6231) * CHOOSE(CONTROL!$C$21, $C$9, 100%, $E$9)</f>
        <v>29.623100000000001</v>
      </c>
      <c r="C592" s="14">
        <f>CHOOSE(CONTROL!$C$42, 29.6275, 29.6275) * CHOOSE(CONTROL!$C$21, $C$9, 100%, $E$9)</f>
        <v>29.627500000000001</v>
      </c>
      <c r="D592" s="14">
        <f>CHOOSE(CONTROL!$C$42, 29.8282, 29.8282) * CHOOSE(CONTROL!$C$21, $C$9, 100%, $E$9)</f>
        <v>29.828199999999999</v>
      </c>
      <c r="E592" s="14">
        <f>CHOOSE(CONTROL!$C$42, 29.86, 29.86) * CHOOSE(CONTROL!$C$21, $C$9, 100%, $E$9)</f>
        <v>29.86</v>
      </c>
      <c r="F592" s="14">
        <f>CHOOSE(CONTROL!$C$42, 29.6077, 29.6077)*CHOOSE(CONTROL!$C$21, $C$9, 100%, $E$9)</f>
        <v>29.607700000000001</v>
      </c>
      <c r="G592" s="14">
        <f>CHOOSE(CONTROL!$C$42, 29.6233, 29.6233)*CHOOSE(CONTROL!$C$21, $C$9, 100%, $E$9)</f>
        <v>29.6233</v>
      </c>
      <c r="H592" s="14">
        <f>CHOOSE(CONTROL!$C$42, 29.8498, 29.8498) * CHOOSE(CONTROL!$C$21, $C$9, 100%, $E$9)</f>
        <v>29.849799999999998</v>
      </c>
      <c r="I592" s="14">
        <f>CHOOSE(CONTROL!$C$42, 29.6359, 29.6359)* CHOOSE(CONTROL!$C$21, $C$9, 100%, $E$9)</f>
        <v>29.635899999999999</v>
      </c>
      <c r="J592" s="14">
        <f>CHOOSE(CONTROL!$C$42, 29.6007, 29.6007)* CHOOSE(CONTROL!$C$21, $C$9, 100%, $E$9)</f>
        <v>29.6007</v>
      </c>
      <c r="K592" s="53">
        <f>CHOOSE(CONTROL!$C$42, 29.632, 29.632) * CHOOSE(CONTROL!$C$21, $C$9, 100%, $E$9)</f>
        <v>29.632000000000001</v>
      </c>
      <c r="L592" s="14">
        <f>CHOOSE(CONTROL!$C$42, 30.4368, 30.4368) * CHOOSE(CONTROL!$C$21, $C$9, 100%, $E$9)</f>
        <v>30.436800000000002</v>
      </c>
      <c r="M592" s="14">
        <f>CHOOSE(CONTROL!$C$42, 29.3158, 29.3158) * CHOOSE(CONTROL!$C$21, $C$9, 100%, $E$9)</f>
        <v>29.315799999999999</v>
      </c>
      <c r="N592" s="14">
        <f>CHOOSE(CONTROL!$C$42, 29.3313, 29.3313) * CHOOSE(CONTROL!$C$21, $C$9, 100%, $E$9)</f>
        <v>29.331299999999999</v>
      </c>
      <c r="O592" s="14">
        <f>CHOOSE(CONTROL!$C$42, 29.5624, 29.5624) * CHOOSE(CONTROL!$C$21, $C$9, 100%, $E$9)</f>
        <v>29.5624</v>
      </c>
      <c r="P592" s="14">
        <f>CHOOSE(CONTROL!$C$42, 29.3507, 29.3507) * CHOOSE(CONTROL!$C$21, $C$9, 100%, $E$9)</f>
        <v>29.3507</v>
      </c>
      <c r="Q592" s="14">
        <f>CHOOSE(CONTROL!$C$42, 30.1577, 30.1577) * CHOOSE(CONTROL!$C$21, $C$9, 100%, $E$9)</f>
        <v>30.157699999999998</v>
      </c>
      <c r="R592" s="14">
        <f>CHOOSE(CONTROL!$C$42, 30.8201, 30.8201) * CHOOSE(CONTROL!$C$21, $C$9, 100%, $E$9)</f>
        <v>30.8201</v>
      </c>
      <c r="S592" s="14">
        <f>CHOOSE(CONTROL!$C$42, 28.7641, 28.7641) * CHOOSE(CONTROL!$C$21, $C$9, 100%, $E$9)</f>
        <v>28.764099999999999</v>
      </c>
      <c r="T59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592" s="57">
        <f>(1000*CHOOSE(CONTROL!$C$42, 695, 695)*CHOOSE(CONTROL!$C$42, 0.5599, 0.5599)*CHOOSE(CONTROL!$C$42, 30, 30))/1000000</f>
        <v>11.673914999999997</v>
      </c>
      <c r="V592" s="57">
        <f>(1000*CHOOSE(CONTROL!$C$42, 500, 500)*CHOOSE(CONTROL!$C$42, 0.275, 0.275)*CHOOSE(CONTROL!$C$42, 30, 30))/1000000</f>
        <v>4.125</v>
      </c>
      <c r="W592" s="57">
        <f>(1000*CHOOSE(CONTROL!$C$42, 0.1146, 0.1146)*CHOOSE(CONTROL!$C$42, 121.5, 121.5)*CHOOSE(CONTROL!$C$42, 30, 30))/1000000</f>
        <v>0.417717</v>
      </c>
      <c r="X592" s="57">
        <f>(30*0.1790888*245000/1000000)+(30*0.2374*100000/1000000)</f>
        <v>2.0285026799999999</v>
      </c>
      <c r="Y592" s="57"/>
      <c r="Z592" s="14"/>
      <c r="AA592" s="56"/>
      <c r="AB592" s="50">
        <f>(B592*141.293+C592*267.993+D592*115.016+E592*89.698+F592*40+G592*185+H592*0+I592*100+J592*300)/(141.293+267.993+115.016+89.698+0+40+185+100+300)</f>
        <v>29.655383621468925</v>
      </c>
      <c r="AC592" s="45">
        <f>(M592*'RAP TEMPLATE-GAS AVAILABILITY'!O591+N592*'RAP TEMPLATE-GAS AVAILABILITY'!P591+O592*'RAP TEMPLATE-GAS AVAILABILITY'!Q591+P592*'RAP TEMPLATE-GAS AVAILABILITY'!R591)/('RAP TEMPLATE-GAS AVAILABILITY'!O591+'RAP TEMPLATE-GAS AVAILABILITY'!P591+'RAP TEMPLATE-GAS AVAILABILITY'!Q591+'RAP TEMPLATE-GAS AVAILABILITY'!R591)</f>
        <v>29.39357985611511</v>
      </c>
    </row>
    <row r="593" spans="1:29" ht="15.75" x14ac:dyDescent="0.25">
      <c r="A593" s="32">
        <v>58957</v>
      </c>
      <c r="B593" s="14">
        <f>CHOOSE(CONTROL!$C$42, 29.8859, 29.8859) * CHOOSE(CONTROL!$C$21, $C$9, 100%, $E$9)</f>
        <v>29.885899999999999</v>
      </c>
      <c r="C593" s="14">
        <f>CHOOSE(CONTROL!$C$42, 29.8938, 29.8938) * CHOOSE(CONTROL!$C$21, $C$9, 100%, $E$9)</f>
        <v>29.893799999999999</v>
      </c>
      <c r="D593" s="14">
        <f>CHOOSE(CONTROL!$C$42, 30.0914, 30.0914) * CHOOSE(CONTROL!$C$21, $C$9, 100%, $E$9)</f>
        <v>30.0914</v>
      </c>
      <c r="E593" s="14">
        <f>CHOOSE(CONTROL!$C$42, 30.1226, 30.1226) * CHOOSE(CONTROL!$C$21, $C$9, 100%, $E$9)</f>
        <v>30.122599999999998</v>
      </c>
      <c r="F593" s="14">
        <f>CHOOSE(CONTROL!$C$42, 29.8693, 29.8693)*CHOOSE(CONTROL!$C$21, $C$9, 100%, $E$9)</f>
        <v>29.869299999999999</v>
      </c>
      <c r="G593" s="14">
        <f>CHOOSE(CONTROL!$C$42, 29.8854, 29.8854)*CHOOSE(CONTROL!$C$21, $C$9, 100%, $E$9)</f>
        <v>29.885400000000001</v>
      </c>
      <c r="H593" s="14">
        <f>CHOOSE(CONTROL!$C$42, 30.1112, 30.1112) * CHOOSE(CONTROL!$C$21, $C$9, 100%, $E$9)</f>
        <v>30.1112</v>
      </c>
      <c r="I593" s="14">
        <f>CHOOSE(CONTROL!$C$42, 29.8973, 29.8973)* CHOOSE(CONTROL!$C$21, $C$9, 100%, $E$9)</f>
        <v>29.897300000000001</v>
      </c>
      <c r="J593" s="14">
        <f>CHOOSE(CONTROL!$C$42, 29.8623, 29.8623)* CHOOSE(CONTROL!$C$21, $C$9, 100%, $E$9)</f>
        <v>29.862300000000001</v>
      </c>
      <c r="K593" s="53">
        <f>CHOOSE(CONTROL!$C$42, 29.8934, 29.8934) * CHOOSE(CONTROL!$C$21, $C$9, 100%, $E$9)</f>
        <v>29.8934</v>
      </c>
      <c r="L593" s="14">
        <f>CHOOSE(CONTROL!$C$42, 30.6982, 30.6982) * CHOOSE(CONTROL!$C$21, $C$9, 100%, $E$9)</f>
        <v>30.6982</v>
      </c>
      <c r="M593" s="14">
        <f>CHOOSE(CONTROL!$C$42, 29.5748, 29.5748) * CHOOSE(CONTROL!$C$21, $C$9, 100%, $E$9)</f>
        <v>29.5748</v>
      </c>
      <c r="N593" s="14">
        <f>CHOOSE(CONTROL!$C$42, 29.5907, 29.5907) * CHOOSE(CONTROL!$C$21, $C$9, 100%, $E$9)</f>
        <v>29.590699999999998</v>
      </c>
      <c r="O593" s="14">
        <f>CHOOSE(CONTROL!$C$42, 29.8211, 29.8211) * CHOOSE(CONTROL!$C$21, $C$9, 100%, $E$9)</f>
        <v>29.821100000000001</v>
      </c>
      <c r="P593" s="14">
        <f>CHOOSE(CONTROL!$C$42, 29.6094, 29.6094) * CHOOSE(CONTROL!$C$21, $C$9, 100%, $E$9)</f>
        <v>29.609400000000001</v>
      </c>
      <c r="Q593" s="14">
        <f>CHOOSE(CONTROL!$C$42, 30.4164, 30.4164) * CHOOSE(CONTROL!$C$21, $C$9, 100%, $E$9)</f>
        <v>30.416399999999999</v>
      </c>
      <c r="R593" s="14">
        <f>CHOOSE(CONTROL!$C$42, 31.0795, 31.0795) * CHOOSE(CONTROL!$C$21, $C$9, 100%, $E$9)</f>
        <v>31.079499999999999</v>
      </c>
      <c r="S593" s="14">
        <f>CHOOSE(CONTROL!$C$42, 29.018, 29.018) * CHOOSE(CONTROL!$C$21, $C$9, 100%, $E$9)</f>
        <v>29.018000000000001</v>
      </c>
      <c r="T59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593" s="57">
        <f>(1000*CHOOSE(CONTROL!$C$42, 695, 695)*CHOOSE(CONTROL!$C$42, 0.5599, 0.5599)*CHOOSE(CONTROL!$C$42, 31, 31))/1000000</f>
        <v>12.063045499999998</v>
      </c>
      <c r="V593" s="57">
        <f>(1000*CHOOSE(CONTROL!$C$42, 500, 500)*CHOOSE(CONTROL!$C$42, 0.275, 0.275)*CHOOSE(CONTROL!$C$42, 31, 31))/1000000</f>
        <v>4.2625000000000002</v>
      </c>
      <c r="W593" s="57">
        <f>(1000*CHOOSE(CONTROL!$C$42, 0.1146, 0.1146)*CHOOSE(CONTROL!$C$42, 121.5, 121.5)*CHOOSE(CONTROL!$C$42, 31, 31))/1000000</f>
        <v>0.43164089999999994</v>
      </c>
      <c r="X593" s="57">
        <f>(31*0.1790888*245000/1000000)+(31*0.2374*100000/1000000)</f>
        <v>2.0961194359999999</v>
      </c>
      <c r="Y593" s="57"/>
      <c r="Z593" s="14"/>
      <c r="AA593" s="56"/>
      <c r="AB593" s="50">
        <f>(B593*194.205+C593*267.466+D593*133.845+E593*53.484+F593*40+G593*185+H593*0+I593*100+J593*300)/(194.205+267.466+133.845+53.484+0+40+185+100+300)</f>
        <v>29.913828800392462</v>
      </c>
      <c r="AC593" s="45">
        <f>(M593*'RAP TEMPLATE-GAS AVAILABILITY'!O592+N593*'RAP TEMPLATE-GAS AVAILABILITY'!P592+O593*'RAP TEMPLATE-GAS AVAILABILITY'!Q592+P593*'RAP TEMPLATE-GAS AVAILABILITY'!R592)/('RAP TEMPLATE-GAS AVAILABILITY'!O592+'RAP TEMPLATE-GAS AVAILABILITY'!P592+'RAP TEMPLATE-GAS AVAILABILITY'!Q592+'RAP TEMPLATE-GAS AVAILABILITY'!R592)</f>
        <v>29.652544604316546</v>
      </c>
    </row>
    <row r="594" spans="1:29" ht="15.75" x14ac:dyDescent="0.25">
      <c r="A594" s="32">
        <v>58987</v>
      </c>
      <c r="B594" s="14">
        <f>CHOOSE(CONTROL!$C$42, 30.7335, 30.7335) * CHOOSE(CONTROL!$C$21, $C$9, 100%, $E$9)</f>
        <v>30.733499999999999</v>
      </c>
      <c r="C594" s="14">
        <f>CHOOSE(CONTROL!$C$42, 30.7414, 30.7414) * CHOOSE(CONTROL!$C$21, $C$9, 100%, $E$9)</f>
        <v>30.741399999999999</v>
      </c>
      <c r="D594" s="14">
        <f>CHOOSE(CONTROL!$C$42, 30.939, 30.939) * CHOOSE(CONTROL!$C$21, $C$9, 100%, $E$9)</f>
        <v>30.939</v>
      </c>
      <c r="E594" s="14">
        <f>CHOOSE(CONTROL!$C$42, 30.9702, 30.9702) * CHOOSE(CONTROL!$C$21, $C$9, 100%, $E$9)</f>
        <v>30.970199999999998</v>
      </c>
      <c r="F594" s="14">
        <f>CHOOSE(CONTROL!$C$42, 30.7174, 30.7174)*CHOOSE(CONTROL!$C$21, $C$9, 100%, $E$9)</f>
        <v>30.717400000000001</v>
      </c>
      <c r="G594" s="14">
        <f>CHOOSE(CONTROL!$C$42, 30.7336, 30.7336)*CHOOSE(CONTROL!$C$21, $C$9, 100%, $E$9)</f>
        <v>30.733599999999999</v>
      </c>
      <c r="H594" s="14">
        <f>CHOOSE(CONTROL!$C$42, 30.9588, 30.9588) * CHOOSE(CONTROL!$C$21, $C$9, 100%, $E$9)</f>
        <v>30.9588</v>
      </c>
      <c r="I594" s="14">
        <f>CHOOSE(CONTROL!$C$42, 30.7449, 30.7449)* CHOOSE(CONTROL!$C$21, $C$9, 100%, $E$9)</f>
        <v>30.744900000000001</v>
      </c>
      <c r="J594" s="14">
        <f>CHOOSE(CONTROL!$C$42, 30.7104, 30.7104)* CHOOSE(CONTROL!$C$21, $C$9, 100%, $E$9)</f>
        <v>30.7104</v>
      </c>
      <c r="K594" s="53">
        <f>CHOOSE(CONTROL!$C$42, 30.741, 30.741) * CHOOSE(CONTROL!$C$21, $C$9, 100%, $E$9)</f>
        <v>30.741</v>
      </c>
      <c r="L594" s="14">
        <f>CHOOSE(CONTROL!$C$42, 31.5458, 31.5458) * CHOOSE(CONTROL!$C$21, $C$9, 100%, $E$9)</f>
        <v>31.5458</v>
      </c>
      <c r="M594" s="14">
        <f>CHOOSE(CONTROL!$C$42, 30.4143, 30.4143) * CHOOSE(CONTROL!$C$21, $C$9, 100%, $E$9)</f>
        <v>30.414300000000001</v>
      </c>
      <c r="N594" s="14">
        <f>CHOOSE(CONTROL!$C$42, 30.4303, 30.4303) * CHOOSE(CONTROL!$C$21, $C$9, 100%, $E$9)</f>
        <v>30.430299999999999</v>
      </c>
      <c r="O594" s="14">
        <f>CHOOSE(CONTROL!$C$42, 30.6602, 30.6602) * CHOOSE(CONTROL!$C$21, $C$9, 100%, $E$9)</f>
        <v>30.6602</v>
      </c>
      <c r="P594" s="14">
        <f>CHOOSE(CONTROL!$C$42, 30.4485, 30.4485) * CHOOSE(CONTROL!$C$21, $C$9, 100%, $E$9)</f>
        <v>30.448499999999999</v>
      </c>
      <c r="Q594" s="14">
        <f>CHOOSE(CONTROL!$C$42, 31.2555, 31.2555) * CHOOSE(CONTROL!$C$21, $C$9, 100%, $E$9)</f>
        <v>31.255500000000001</v>
      </c>
      <c r="R594" s="14">
        <f>CHOOSE(CONTROL!$C$42, 31.9206, 31.9206) * CHOOSE(CONTROL!$C$21, $C$9, 100%, $E$9)</f>
        <v>31.9206</v>
      </c>
      <c r="S594" s="14">
        <f>CHOOSE(CONTROL!$C$42, 29.8411, 29.8411) * CHOOSE(CONTROL!$C$21, $C$9, 100%, $E$9)</f>
        <v>29.841100000000001</v>
      </c>
      <c r="T59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594" s="57">
        <f>(1000*CHOOSE(CONTROL!$C$42, 695, 695)*CHOOSE(CONTROL!$C$42, 0.5599, 0.5599)*CHOOSE(CONTROL!$C$42, 30, 30))/1000000</f>
        <v>11.673914999999997</v>
      </c>
      <c r="V594" s="57">
        <f>(1000*CHOOSE(CONTROL!$C$42, 500, 500)*CHOOSE(CONTROL!$C$42, 0.275, 0.275)*CHOOSE(CONTROL!$C$42, 30, 30))/1000000</f>
        <v>4.125</v>
      </c>
      <c r="W594" s="57">
        <f>(1000*CHOOSE(CONTROL!$C$42, 0.1146, 0.1146)*CHOOSE(CONTROL!$C$42, 121.5, 121.5)*CHOOSE(CONTROL!$C$42, 30, 30))/1000000</f>
        <v>0.417717</v>
      </c>
      <c r="X594" s="57">
        <f>(30*0.1790888*245000/1000000)+(30*0.2374*100000/1000000)</f>
        <v>2.0285026799999999</v>
      </c>
      <c r="Y594" s="57"/>
      <c r="Z594" s="14"/>
      <c r="AA594" s="56"/>
      <c r="AB594" s="50">
        <f>(B594*194.205+C594*267.466+D594*133.845+E594*53.484+F594*40+G594*185+H594*0+I594*100+J594*300)/(194.205+267.466+133.845+53.484+0+40+185+100+300)</f>
        <v>30.761649365541604</v>
      </c>
      <c r="AC594" s="45">
        <f>(M594*'RAP TEMPLATE-GAS AVAILABILITY'!O593+N594*'RAP TEMPLATE-GAS AVAILABILITY'!P593+O594*'RAP TEMPLATE-GAS AVAILABILITY'!Q593+P594*'RAP TEMPLATE-GAS AVAILABILITY'!R593)/('RAP TEMPLATE-GAS AVAILABILITY'!O593+'RAP TEMPLATE-GAS AVAILABILITY'!P593+'RAP TEMPLATE-GAS AVAILABILITY'!Q593+'RAP TEMPLATE-GAS AVAILABILITY'!R593)</f>
        <v>30.491897841726615</v>
      </c>
    </row>
    <row r="595" spans="1:29" ht="15.75" x14ac:dyDescent="0.25">
      <c r="A595" s="32">
        <v>59018</v>
      </c>
      <c r="B595" s="14">
        <f>CHOOSE(CONTROL!$C$42, 30.144, 30.144) * CHOOSE(CONTROL!$C$21, $C$9, 100%, $E$9)</f>
        <v>30.143999999999998</v>
      </c>
      <c r="C595" s="14">
        <f>CHOOSE(CONTROL!$C$42, 30.1519, 30.1519) * CHOOSE(CONTROL!$C$21, $C$9, 100%, $E$9)</f>
        <v>30.151900000000001</v>
      </c>
      <c r="D595" s="14">
        <f>CHOOSE(CONTROL!$C$42, 30.3495, 30.3495) * CHOOSE(CONTROL!$C$21, $C$9, 100%, $E$9)</f>
        <v>30.349499999999999</v>
      </c>
      <c r="E595" s="14">
        <f>CHOOSE(CONTROL!$C$42, 30.3807, 30.3807) * CHOOSE(CONTROL!$C$21, $C$9, 100%, $E$9)</f>
        <v>30.380700000000001</v>
      </c>
      <c r="F595" s="14">
        <f>CHOOSE(CONTROL!$C$42, 30.1283, 30.1283)*CHOOSE(CONTROL!$C$21, $C$9, 100%, $E$9)</f>
        <v>30.128299999999999</v>
      </c>
      <c r="G595" s="14">
        <f>CHOOSE(CONTROL!$C$42, 30.1446, 30.1446)*CHOOSE(CONTROL!$C$21, $C$9, 100%, $E$9)</f>
        <v>30.144600000000001</v>
      </c>
      <c r="H595" s="14">
        <f>CHOOSE(CONTROL!$C$42, 30.3693, 30.3693) * CHOOSE(CONTROL!$C$21, $C$9, 100%, $E$9)</f>
        <v>30.369299999999999</v>
      </c>
      <c r="I595" s="14">
        <f>CHOOSE(CONTROL!$C$42, 30.1554, 30.1554)* CHOOSE(CONTROL!$C$21, $C$9, 100%, $E$9)</f>
        <v>30.1554</v>
      </c>
      <c r="J595" s="14">
        <f>CHOOSE(CONTROL!$C$42, 30.1213, 30.1213)* CHOOSE(CONTROL!$C$21, $C$9, 100%, $E$9)</f>
        <v>30.121300000000002</v>
      </c>
      <c r="K595" s="53">
        <f>CHOOSE(CONTROL!$C$42, 30.1515, 30.1515) * CHOOSE(CONTROL!$C$21, $C$9, 100%, $E$9)</f>
        <v>30.151499999999999</v>
      </c>
      <c r="L595" s="14">
        <f>CHOOSE(CONTROL!$C$42, 30.9563, 30.9563) * CHOOSE(CONTROL!$C$21, $C$9, 100%, $E$9)</f>
        <v>30.956299999999999</v>
      </c>
      <c r="M595" s="14">
        <f>CHOOSE(CONTROL!$C$42, 29.8311, 29.8311) * CHOOSE(CONTROL!$C$21, $C$9, 100%, $E$9)</f>
        <v>29.831099999999999</v>
      </c>
      <c r="N595" s="14">
        <f>CHOOSE(CONTROL!$C$42, 29.8473, 29.8473) * CHOOSE(CONTROL!$C$21, $C$9, 100%, $E$9)</f>
        <v>29.847300000000001</v>
      </c>
      <c r="O595" s="14">
        <f>CHOOSE(CONTROL!$C$42, 30.0766, 30.0766) * CHOOSE(CONTROL!$C$21, $C$9, 100%, $E$9)</f>
        <v>30.076599999999999</v>
      </c>
      <c r="P595" s="14">
        <f>CHOOSE(CONTROL!$C$42, 29.8649, 29.8649) * CHOOSE(CONTROL!$C$21, $C$9, 100%, $E$9)</f>
        <v>29.864899999999999</v>
      </c>
      <c r="Q595" s="14">
        <f>CHOOSE(CONTROL!$C$42, 30.6719, 30.6719) * CHOOSE(CONTROL!$C$21, $C$9, 100%, $E$9)</f>
        <v>30.671900000000001</v>
      </c>
      <c r="R595" s="14">
        <f>CHOOSE(CONTROL!$C$42, 31.3356, 31.3356) * CHOOSE(CONTROL!$C$21, $C$9, 100%, $E$9)</f>
        <v>31.335599999999999</v>
      </c>
      <c r="S595" s="14">
        <f>CHOOSE(CONTROL!$C$42, 29.2686, 29.2686) * CHOOSE(CONTROL!$C$21, $C$9, 100%, $E$9)</f>
        <v>29.268599999999999</v>
      </c>
      <c r="T59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595" s="57">
        <f>(1000*CHOOSE(CONTROL!$C$42, 695, 695)*CHOOSE(CONTROL!$C$42, 0.5599, 0.5599)*CHOOSE(CONTROL!$C$42, 31, 31))/1000000</f>
        <v>12.063045499999998</v>
      </c>
      <c r="V595" s="57">
        <f>(1000*CHOOSE(CONTROL!$C$42, 500, 500)*CHOOSE(CONTROL!$C$42, 0.275, 0.275)*CHOOSE(CONTROL!$C$42, 31, 31))/1000000</f>
        <v>4.2625000000000002</v>
      </c>
      <c r="W595" s="57">
        <f>(1000*CHOOSE(CONTROL!$C$42, 0.1146, 0.1146)*CHOOSE(CONTROL!$C$42, 121.5, 121.5)*CHOOSE(CONTROL!$C$42, 31, 31))/1000000</f>
        <v>0.43164089999999994</v>
      </c>
      <c r="X595" s="57">
        <f>(31*0.1790888*245000/1000000)+(31*0.2374*100000/1000000)</f>
        <v>2.0961194359999999</v>
      </c>
      <c r="Y595" s="57"/>
      <c r="Z595" s="14"/>
      <c r="AA595" s="56"/>
      <c r="AB595" s="50">
        <f>(B595*194.205+C595*267.466+D595*133.845+E595*53.484+F595*40+G595*185+H595*0+I595*100+J595*300)/(194.205+267.466+133.845+53.484+0+40+185+100+300)</f>
        <v>30.172328721899532</v>
      </c>
      <c r="AC595" s="45">
        <f>(M595*'RAP TEMPLATE-GAS AVAILABILITY'!O594+N595*'RAP TEMPLATE-GAS AVAILABILITY'!P594+O595*'RAP TEMPLATE-GAS AVAILABILITY'!Q594+P595*'RAP TEMPLATE-GAS AVAILABILITY'!R594)/('RAP TEMPLATE-GAS AVAILABILITY'!O594+'RAP TEMPLATE-GAS AVAILABILITY'!P594+'RAP TEMPLATE-GAS AVAILABILITY'!Q594+'RAP TEMPLATE-GAS AVAILABILITY'!R594)</f>
        <v>29.908574100719417</v>
      </c>
    </row>
    <row r="596" spans="1:29" ht="15.75" x14ac:dyDescent="0.25">
      <c r="A596" s="32">
        <v>59049</v>
      </c>
      <c r="B596" s="14">
        <f>CHOOSE(CONTROL!$C$42, 28.6553, 28.6553) * CHOOSE(CONTROL!$C$21, $C$9, 100%, $E$9)</f>
        <v>28.6553</v>
      </c>
      <c r="C596" s="14">
        <f>CHOOSE(CONTROL!$C$42, 28.6632, 28.6632) * CHOOSE(CONTROL!$C$21, $C$9, 100%, $E$9)</f>
        <v>28.6632</v>
      </c>
      <c r="D596" s="14">
        <f>CHOOSE(CONTROL!$C$42, 28.8608, 28.8608) * CHOOSE(CONTROL!$C$21, $C$9, 100%, $E$9)</f>
        <v>28.860800000000001</v>
      </c>
      <c r="E596" s="14">
        <f>CHOOSE(CONTROL!$C$42, 28.892, 28.892) * CHOOSE(CONTROL!$C$21, $C$9, 100%, $E$9)</f>
        <v>28.891999999999999</v>
      </c>
      <c r="F596" s="14">
        <f>CHOOSE(CONTROL!$C$42, 28.6398, 28.6398)*CHOOSE(CONTROL!$C$21, $C$9, 100%, $E$9)</f>
        <v>28.639800000000001</v>
      </c>
      <c r="G596" s="14">
        <f>CHOOSE(CONTROL!$C$42, 28.6561, 28.6561)*CHOOSE(CONTROL!$C$21, $C$9, 100%, $E$9)</f>
        <v>28.656099999999999</v>
      </c>
      <c r="H596" s="14">
        <f>CHOOSE(CONTROL!$C$42, 28.8806, 28.8806) * CHOOSE(CONTROL!$C$21, $C$9, 100%, $E$9)</f>
        <v>28.880600000000001</v>
      </c>
      <c r="I596" s="14">
        <f>CHOOSE(CONTROL!$C$42, 28.6667, 28.6667)* CHOOSE(CONTROL!$C$21, $C$9, 100%, $E$9)</f>
        <v>28.666699999999999</v>
      </c>
      <c r="J596" s="14">
        <f>CHOOSE(CONTROL!$C$42, 28.6328, 28.6328)* CHOOSE(CONTROL!$C$21, $C$9, 100%, $E$9)</f>
        <v>28.6328</v>
      </c>
      <c r="K596" s="53">
        <f>CHOOSE(CONTROL!$C$42, 28.6628, 28.6628) * CHOOSE(CONTROL!$C$21, $C$9, 100%, $E$9)</f>
        <v>28.662800000000001</v>
      </c>
      <c r="L596" s="14">
        <f>CHOOSE(CONTROL!$C$42, 29.4676, 29.4676) * CHOOSE(CONTROL!$C$21, $C$9, 100%, $E$9)</f>
        <v>29.467600000000001</v>
      </c>
      <c r="M596" s="14">
        <f>CHOOSE(CONTROL!$C$42, 28.3576, 28.3576) * CHOOSE(CONTROL!$C$21, $C$9, 100%, $E$9)</f>
        <v>28.357600000000001</v>
      </c>
      <c r="N596" s="14">
        <f>CHOOSE(CONTROL!$C$42, 28.3738, 28.3738) * CHOOSE(CONTROL!$C$21, $C$9, 100%, $E$9)</f>
        <v>28.373799999999999</v>
      </c>
      <c r="O596" s="14">
        <f>CHOOSE(CONTROL!$C$42, 28.603, 28.603) * CHOOSE(CONTROL!$C$21, $C$9, 100%, $E$9)</f>
        <v>28.603000000000002</v>
      </c>
      <c r="P596" s="14">
        <f>CHOOSE(CONTROL!$C$42, 28.3912, 28.3912) * CHOOSE(CONTROL!$C$21, $C$9, 100%, $E$9)</f>
        <v>28.391200000000001</v>
      </c>
      <c r="Q596" s="14">
        <f>CHOOSE(CONTROL!$C$42, 29.1983, 29.1983) * CHOOSE(CONTROL!$C$21, $C$9, 100%, $E$9)</f>
        <v>29.1983</v>
      </c>
      <c r="R596" s="14">
        <f>CHOOSE(CONTROL!$C$42, 29.8583, 29.8583) * CHOOSE(CONTROL!$C$21, $C$9, 100%, $E$9)</f>
        <v>29.8583</v>
      </c>
      <c r="S596" s="14">
        <f>CHOOSE(CONTROL!$C$42, 27.8229, 27.8229) * CHOOSE(CONTROL!$C$21, $C$9, 100%, $E$9)</f>
        <v>27.822900000000001</v>
      </c>
      <c r="T59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596" s="57">
        <f>(1000*CHOOSE(CONTROL!$C$42, 695, 695)*CHOOSE(CONTROL!$C$42, 0.5599, 0.5599)*CHOOSE(CONTROL!$C$42, 31, 31))/1000000</f>
        <v>12.063045499999998</v>
      </c>
      <c r="V596" s="57">
        <f>(1000*CHOOSE(CONTROL!$C$42, 500, 500)*CHOOSE(CONTROL!$C$42, 0.275, 0.275)*CHOOSE(CONTROL!$C$42, 31, 31))/1000000</f>
        <v>4.2625000000000002</v>
      </c>
      <c r="W596" s="57">
        <f>(1000*CHOOSE(CONTROL!$C$42, 0.1146, 0.1146)*CHOOSE(CONTROL!$C$42, 121.5, 121.5)*CHOOSE(CONTROL!$C$42, 31, 31))/1000000</f>
        <v>0.43164089999999994</v>
      </c>
      <c r="X596" s="57">
        <f>(31*0.1790888*245000/1000000)+(31*0.2374*100000/1000000)</f>
        <v>2.0961194359999999</v>
      </c>
      <c r="Y596" s="57"/>
      <c r="Z596" s="14"/>
      <c r="AA596" s="56"/>
      <c r="AB596" s="50">
        <f>(B596*194.205+C596*267.466+D596*133.845+E596*53.484+F596*40+G596*185+H596*0+I596*100+J596*300)/(194.205+267.466+133.845+53.484+0+40+185+100+300)</f>
        <v>28.68371113948195</v>
      </c>
      <c r="AC596" s="45">
        <f>(M596*'RAP TEMPLATE-GAS AVAILABILITY'!O595+N596*'RAP TEMPLATE-GAS AVAILABILITY'!P595+O596*'RAP TEMPLATE-GAS AVAILABILITY'!Q595+P596*'RAP TEMPLATE-GAS AVAILABILITY'!R595)/('RAP TEMPLATE-GAS AVAILABILITY'!O595+'RAP TEMPLATE-GAS AVAILABILITY'!P595+'RAP TEMPLATE-GAS AVAILABILITY'!Q595+'RAP TEMPLATE-GAS AVAILABILITY'!R595)</f>
        <v>28.43501726618705</v>
      </c>
    </row>
    <row r="597" spans="1:29" ht="15.75" x14ac:dyDescent="0.25">
      <c r="A597" s="32">
        <v>59079</v>
      </c>
      <c r="B597" s="14">
        <f>CHOOSE(CONTROL!$C$42, 26.836, 26.836) * CHOOSE(CONTROL!$C$21, $C$9, 100%, $E$9)</f>
        <v>26.835999999999999</v>
      </c>
      <c r="C597" s="14">
        <f>CHOOSE(CONTROL!$C$42, 26.8439, 26.8439) * CHOOSE(CONTROL!$C$21, $C$9, 100%, $E$9)</f>
        <v>26.843900000000001</v>
      </c>
      <c r="D597" s="14">
        <f>CHOOSE(CONTROL!$C$42, 27.0415, 27.0415) * CHOOSE(CONTROL!$C$21, $C$9, 100%, $E$9)</f>
        <v>27.041499999999999</v>
      </c>
      <c r="E597" s="14">
        <f>CHOOSE(CONTROL!$C$42, 27.0726, 27.0726) * CHOOSE(CONTROL!$C$21, $C$9, 100%, $E$9)</f>
        <v>27.072600000000001</v>
      </c>
      <c r="F597" s="14">
        <f>CHOOSE(CONTROL!$C$42, 26.8204, 26.8204)*CHOOSE(CONTROL!$C$21, $C$9, 100%, $E$9)</f>
        <v>26.820399999999999</v>
      </c>
      <c r="G597" s="14">
        <f>CHOOSE(CONTROL!$C$42, 26.8367, 26.8367)*CHOOSE(CONTROL!$C$21, $C$9, 100%, $E$9)</f>
        <v>26.8367</v>
      </c>
      <c r="H597" s="14">
        <f>CHOOSE(CONTROL!$C$42, 27.0613, 27.0613) * CHOOSE(CONTROL!$C$21, $C$9, 100%, $E$9)</f>
        <v>27.061299999999999</v>
      </c>
      <c r="I597" s="14">
        <f>CHOOSE(CONTROL!$C$42, 26.8474, 26.8474)* CHOOSE(CONTROL!$C$21, $C$9, 100%, $E$9)</f>
        <v>26.8474</v>
      </c>
      <c r="J597" s="14">
        <f>CHOOSE(CONTROL!$C$42, 26.8134, 26.8134)* CHOOSE(CONTROL!$C$21, $C$9, 100%, $E$9)</f>
        <v>26.813400000000001</v>
      </c>
      <c r="K597" s="53">
        <f>CHOOSE(CONTROL!$C$42, 26.8435, 26.8435) * CHOOSE(CONTROL!$C$21, $C$9, 100%, $E$9)</f>
        <v>26.843499999999999</v>
      </c>
      <c r="L597" s="14">
        <f>CHOOSE(CONTROL!$C$42, 27.6483, 27.6483) * CHOOSE(CONTROL!$C$21, $C$9, 100%, $E$9)</f>
        <v>27.648299999999999</v>
      </c>
      <c r="M597" s="14">
        <f>CHOOSE(CONTROL!$C$42, 26.5566, 26.5566) * CHOOSE(CONTROL!$C$21, $C$9, 100%, $E$9)</f>
        <v>26.5566</v>
      </c>
      <c r="N597" s="14">
        <f>CHOOSE(CONTROL!$C$42, 26.5728, 26.5728) * CHOOSE(CONTROL!$C$21, $C$9, 100%, $E$9)</f>
        <v>26.572800000000001</v>
      </c>
      <c r="O597" s="14">
        <f>CHOOSE(CONTROL!$C$42, 26.802, 26.802) * CHOOSE(CONTROL!$C$21, $C$9, 100%, $E$9)</f>
        <v>26.802</v>
      </c>
      <c r="P597" s="14">
        <f>CHOOSE(CONTROL!$C$42, 26.5903, 26.5903) * CHOOSE(CONTROL!$C$21, $C$9, 100%, $E$9)</f>
        <v>26.590299999999999</v>
      </c>
      <c r="Q597" s="14">
        <f>CHOOSE(CONTROL!$C$42, 27.3973, 27.3973) * CHOOSE(CONTROL!$C$21, $C$9, 100%, $E$9)</f>
        <v>27.397300000000001</v>
      </c>
      <c r="R597" s="14">
        <f>CHOOSE(CONTROL!$C$42, 28.0528, 28.0528) * CHOOSE(CONTROL!$C$21, $C$9, 100%, $E$9)</f>
        <v>28.052800000000001</v>
      </c>
      <c r="S597" s="14">
        <f>CHOOSE(CONTROL!$C$42, 26.0562, 26.0562) * CHOOSE(CONTROL!$C$21, $C$9, 100%, $E$9)</f>
        <v>26.0562</v>
      </c>
      <c r="T59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597" s="57">
        <f>(1000*CHOOSE(CONTROL!$C$42, 695, 695)*CHOOSE(CONTROL!$C$42, 0.5599, 0.5599)*CHOOSE(CONTROL!$C$42, 30, 30))/1000000</f>
        <v>11.673914999999997</v>
      </c>
      <c r="V597" s="57">
        <f>(1000*CHOOSE(CONTROL!$C$42, 500, 500)*CHOOSE(CONTROL!$C$42, 0.275, 0.275)*CHOOSE(CONTROL!$C$42, 30, 30))/1000000</f>
        <v>4.125</v>
      </c>
      <c r="W597" s="57">
        <f>(1000*CHOOSE(CONTROL!$C$42, 0.1146, 0.1146)*CHOOSE(CONTROL!$C$42, 121.5, 121.5)*CHOOSE(CONTROL!$C$42, 30, 30))/1000000</f>
        <v>0.417717</v>
      </c>
      <c r="X597" s="57">
        <f>(30*0.1790888*245000/1000000)+(30*0.2374*100000/1000000)</f>
        <v>2.0285026799999999</v>
      </c>
      <c r="Y597" s="57"/>
      <c r="Z597" s="14"/>
      <c r="AA597" s="56"/>
      <c r="AB597" s="50">
        <f>(B597*194.205+C597*267.466+D597*133.845+E597*53.484+F597*40+G597*185+H597*0+I597*100+J597*300)/(194.205+267.466+133.845+53.484+0+40+185+100+300)</f>
        <v>26.864365732574566</v>
      </c>
      <c r="AC597" s="45">
        <f>(M597*'RAP TEMPLATE-GAS AVAILABILITY'!O596+N597*'RAP TEMPLATE-GAS AVAILABILITY'!P596+O597*'RAP TEMPLATE-GAS AVAILABILITY'!Q596+P597*'RAP TEMPLATE-GAS AVAILABILITY'!R596)/('RAP TEMPLATE-GAS AVAILABILITY'!O596+'RAP TEMPLATE-GAS AVAILABILITY'!P596+'RAP TEMPLATE-GAS AVAILABILITY'!Q596+'RAP TEMPLATE-GAS AVAILABILITY'!R596)</f>
        <v>26.634031654676257</v>
      </c>
    </row>
    <row r="598" spans="1:29" ht="15.75" x14ac:dyDescent="0.25">
      <c r="A598" s="32">
        <v>59110</v>
      </c>
      <c r="B598" s="14">
        <f>CHOOSE(CONTROL!$C$42, 26.2895, 26.2895) * CHOOSE(CONTROL!$C$21, $C$9, 100%, $E$9)</f>
        <v>26.2895</v>
      </c>
      <c r="C598" s="14">
        <f>CHOOSE(CONTROL!$C$42, 26.2947, 26.2947) * CHOOSE(CONTROL!$C$21, $C$9, 100%, $E$9)</f>
        <v>26.294699999999999</v>
      </c>
      <c r="D598" s="14">
        <f>CHOOSE(CONTROL!$C$42, 26.4972, 26.4972) * CHOOSE(CONTROL!$C$21, $C$9, 100%, $E$9)</f>
        <v>26.497199999999999</v>
      </c>
      <c r="E598" s="14">
        <f>CHOOSE(CONTROL!$C$42, 26.526, 26.526) * CHOOSE(CONTROL!$C$21, $C$9, 100%, $E$9)</f>
        <v>26.526</v>
      </c>
      <c r="F598" s="14">
        <f>CHOOSE(CONTROL!$C$42, 26.2758, 26.2758)*CHOOSE(CONTROL!$C$21, $C$9, 100%, $E$9)</f>
        <v>26.2758</v>
      </c>
      <c r="G598" s="14">
        <f>CHOOSE(CONTROL!$C$42, 26.2919, 26.2919)*CHOOSE(CONTROL!$C$21, $C$9, 100%, $E$9)</f>
        <v>26.291899999999998</v>
      </c>
      <c r="H598" s="14">
        <f>CHOOSE(CONTROL!$C$42, 26.5165, 26.5165) * CHOOSE(CONTROL!$C$21, $C$9, 100%, $E$9)</f>
        <v>26.516500000000001</v>
      </c>
      <c r="I598" s="14">
        <f>CHOOSE(CONTROL!$C$42, 26.3026, 26.3026)* CHOOSE(CONTROL!$C$21, $C$9, 100%, $E$9)</f>
        <v>26.302600000000002</v>
      </c>
      <c r="J598" s="14">
        <f>CHOOSE(CONTROL!$C$42, 26.2688, 26.2688)* CHOOSE(CONTROL!$C$21, $C$9, 100%, $E$9)</f>
        <v>26.268799999999999</v>
      </c>
      <c r="K598" s="53">
        <f>CHOOSE(CONTROL!$C$42, 26.2987, 26.2987) * CHOOSE(CONTROL!$C$21, $C$9, 100%, $E$9)</f>
        <v>26.2987</v>
      </c>
      <c r="L598" s="14">
        <f>CHOOSE(CONTROL!$C$42, 27.1035, 27.1035) * CHOOSE(CONTROL!$C$21, $C$9, 100%, $E$9)</f>
        <v>27.1035</v>
      </c>
      <c r="M598" s="14">
        <f>CHOOSE(CONTROL!$C$42, 26.0176, 26.0176) * CHOOSE(CONTROL!$C$21, $C$9, 100%, $E$9)</f>
        <v>26.017600000000002</v>
      </c>
      <c r="N598" s="14">
        <f>CHOOSE(CONTROL!$C$42, 26.0334, 26.0334) * CHOOSE(CONTROL!$C$21, $C$9, 100%, $E$9)</f>
        <v>26.0334</v>
      </c>
      <c r="O598" s="14">
        <f>CHOOSE(CONTROL!$C$42, 26.2627, 26.2627) * CHOOSE(CONTROL!$C$21, $C$9, 100%, $E$9)</f>
        <v>26.262699999999999</v>
      </c>
      <c r="P598" s="14">
        <f>CHOOSE(CONTROL!$C$42, 26.051, 26.051) * CHOOSE(CONTROL!$C$21, $C$9, 100%, $E$9)</f>
        <v>26.050999999999998</v>
      </c>
      <c r="Q598" s="14">
        <f>CHOOSE(CONTROL!$C$42, 26.858, 26.858) * CHOOSE(CONTROL!$C$21, $C$9, 100%, $E$9)</f>
        <v>26.858000000000001</v>
      </c>
      <c r="R598" s="14">
        <f>CHOOSE(CONTROL!$C$42, 27.5122, 27.5122) * CHOOSE(CONTROL!$C$21, $C$9, 100%, $E$9)</f>
        <v>27.5122</v>
      </c>
      <c r="S598" s="14">
        <f>CHOOSE(CONTROL!$C$42, 25.5272, 25.5272) * CHOOSE(CONTROL!$C$21, $C$9, 100%, $E$9)</f>
        <v>25.527200000000001</v>
      </c>
      <c r="T59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598" s="57">
        <f>(1000*CHOOSE(CONTROL!$C$42, 695, 695)*CHOOSE(CONTROL!$C$42, 0.5599, 0.5599)*CHOOSE(CONTROL!$C$42, 31, 31))/1000000</f>
        <v>12.063045499999998</v>
      </c>
      <c r="V598" s="57">
        <f>(1000*CHOOSE(CONTROL!$C$42, 500, 500)*CHOOSE(CONTROL!$C$42, 0.275, 0.275)*CHOOSE(CONTROL!$C$42, 31, 31))/1000000</f>
        <v>4.2625000000000002</v>
      </c>
      <c r="W598" s="57">
        <f>(1000*CHOOSE(CONTROL!$C$42, 0.1146, 0.1146)*CHOOSE(CONTROL!$C$42, 121.5, 121.5)*CHOOSE(CONTROL!$C$42, 31, 31))/1000000</f>
        <v>0.43164089999999994</v>
      </c>
      <c r="X598" s="57">
        <f>(31*0.1790888*245000/1000000)+(31*0.2374*100000/1000000)</f>
        <v>2.0961194359999999</v>
      </c>
      <c r="Y598" s="57"/>
      <c r="Z598" s="14"/>
      <c r="AA598" s="56"/>
      <c r="AB598" s="50">
        <f>(B598*131.881+C598*277.167+D598*79.08+E598*125.872+F598*40+G598*185+H598*0+I598*100+J598*300)/(131.881+277.167+79.08+125.872+0+40+185+100+300)</f>
        <v>26.323907516061336</v>
      </c>
      <c r="AC598" s="45">
        <f>(M598*'RAP TEMPLATE-GAS AVAILABILITY'!O597+N598*'RAP TEMPLATE-GAS AVAILABILITY'!P597+O598*'RAP TEMPLATE-GAS AVAILABILITY'!Q597+P598*'RAP TEMPLATE-GAS AVAILABILITY'!R597)/('RAP TEMPLATE-GAS AVAILABILITY'!O597+'RAP TEMPLATE-GAS AVAILABILITY'!P597+'RAP TEMPLATE-GAS AVAILABILITY'!Q597+'RAP TEMPLATE-GAS AVAILABILITY'!R597)</f>
        <v>26.094812230215826</v>
      </c>
    </row>
    <row r="599" spans="1:29" ht="15.75" x14ac:dyDescent="0.25">
      <c r="A599" s="32">
        <v>59140</v>
      </c>
      <c r="B599" s="14">
        <f>CHOOSE(CONTROL!$C$42, 26.9816, 26.9816) * CHOOSE(CONTROL!$C$21, $C$9, 100%, $E$9)</f>
        <v>26.9816</v>
      </c>
      <c r="C599" s="14">
        <f>CHOOSE(CONTROL!$C$42, 26.9865, 26.9865) * CHOOSE(CONTROL!$C$21, $C$9, 100%, $E$9)</f>
        <v>26.986499999999999</v>
      </c>
      <c r="D599" s="14">
        <f>CHOOSE(CONTROL!$C$42, 27.0496, 27.0496) * CHOOSE(CONTROL!$C$21, $C$9, 100%, $E$9)</f>
        <v>27.049600000000002</v>
      </c>
      <c r="E599" s="14">
        <f>CHOOSE(CONTROL!$C$42, 27.0834, 27.0834) * CHOOSE(CONTROL!$C$21, $C$9, 100%, $E$9)</f>
        <v>27.083400000000001</v>
      </c>
      <c r="F599" s="14">
        <f>CHOOSE(CONTROL!$C$42, 26.9823, 26.9823)*CHOOSE(CONTROL!$C$21, $C$9, 100%, $E$9)</f>
        <v>26.982299999999999</v>
      </c>
      <c r="G599" s="14">
        <f>CHOOSE(CONTROL!$C$42, 26.9985, 26.9985)*CHOOSE(CONTROL!$C$21, $C$9, 100%, $E$9)</f>
        <v>26.9985</v>
      </c>
      <c r="H599" s="14">
        <f>CHOOSE(CONTROL!$C$42, 27.0726, 27.0726) * CHOOSE(CONTROL!$C$21, $C$9, 100%, $E$9)</f>
        <v>27.072600000000001</v>
      </c>
      <c r="I599" s="14">
        <f>CHOOSE(CONTROL!$C$42, 26.9951, 26.9951)* CHOOSE(CONTROL!$C$21, $C$9, 100%, $E$9)</f>
        <v>26.995100000000001</v>
      </c>
      <c r="J599" s="14">
        <f>CHOOSE(CONTROL!$C$42, 26.9753, 26.9753)* CHOOSE(CONTROL!$C$21, $C$9, 100%, $E$9)</f>
        <v>26.975300000000001</v>
      </c>
      <c r="K599" s="53">
        <f>CHOOSE(CONTROL!$C$42, 26.9912, 26.9912) * CHOOSE(CONTROL!$C$21, $C$9, 100%, $E$9)</f>
        <v>26.991199999999999</v>
      </c>
      <c r="L599" s="14">
        <f>CHOOSE(CONTROL!$C$42, 27.6596, 27.6596) * CHOOSE(CONTROL!$C$21, $C$9, 100%, $E$9)</f>
        <v>27.659600000000001</v>
      </c>
      <c r="M599" s="14">
        <f>CHOOSE(CONTROL!$C$42, 26.7169, 26.7169) * CHOOSE(CONTROL!$C$21, $C$9, 100%, $E$9)</f>
        <v>26.716899999999999</v>
      </c>
      <c r="N599" s="14">
        <f>CHOOSE(CONTROL!$C$42, 26.733, 26.733) * CHOOSE(CONTROL!$C$21, $C$9, 100%, $E$9)</f>
        <v>26.733000000000001</v>
      </c>
      <c r="O599" s="14">
        <f>CHOOSE(CONTROL!$C$42, 26.8132, 26.8132) * CHOOSE(CONTROL!$C$21, $C$9, 100%, $E$9)</f>
        <v>26.813199999999998</v>
      </c>
      <c r="P599" s="14">
        <f>CHOOSE(CONTROL!$C$42, 26.7365, 26.7365) * CHOOSE(CONTROL!$C$21, $C$9, 100%, $E$9)</f>
        <v>26.736499999999999</v>
      </c>
      <c r="Q599" s="14">
        <f>CHOOSE(CONTROL!$C$42, 27.4085, 27.4085) * CHOOSE(CONTROL!$C$21, $C$9, 100%, $E$9)</f>
        <v>27.4085</v>
      </c>
      <c r="R599" s="14">
        <f>CHOOSE(CONTROL!$C$42, 28.064, 28.064) * CHOOSE(CONTROL!$C$21, $C$9, 100%, $E$9)</f>
        <v>28.064</v>
      </c>
      <c r="S599" s="14">
        <f>CHOOSE(CONTROL!$C$42, 26.1997, 26.1997) * CHOOSE(CONTROL!$C$21, $C$9, 100%, $E$9)</f>
        <v>26.1997</v>
      </c>
      <c r="T59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599" s="57">
        <f>(1000*CHOOSE(CONTROL!$C$42, 695, 695)*CHOOSE(CONTROL!$C$42, 0.5599, 0.5599)*CHOOSE(CONTROL!$C$42, 30, 30))/1000000</f>
        <v>11.673914999999997</v>
      </c>
      <c r="V599" s="57">
        <f>(1000*CHOOSE(CONTROL!$C$42, 500, 500)*CHOOSE(CONTROL!$C$42, 0.275, 0.275)*CHOOSE(CONTROL!$C$42, 30, 30))/1000000</f>
        <v>4.125</v>
      </c>
      <c r="W599" s="57">
        <f>(1000*CHOOSE(CONTROL!$C$42, 0.1146, 0.1146)*CHOOSE(CONTROL!$C$42, 121.5, 121.5)*CHOOSE(CONTROL!$C$42, 30, 30))/1000000</f>
        <v>0.417717</v>
      </c>
      <c r="X599" s="57">
        <f>(30*0.1790888*100000/1000000)+(30*0.2374*100000/1000000)</f>
        <v>1.2494664</v>
      </c>
      <c r="Y599" s="57"/>
      <c r="Z599" s="14"/>
      <c r="AA599" s="56"/>
      <c r="AB599" s="50">
        <f>(B599*122.58+C599*297.941+D599*89.177+E599*40.302+F599*40+G599*160+H599*0+I599*100+J599*300)/(122.58+297.941+89.177+40.302+0+40+160+100+300)</f>
        <v>26.993616252608692</v>
      </c>
      <c r="AC599" s="45">
        <f>(M599*'RAP TEMPLATE-GAS AVAILABILITY'!O598+N599*'RAP TEMPLATE-GAS AVAILABILITY'!P598+O599*'RAP TEMPLATE-GAS AVAILABILITY'!Q598+P599*'RAP TEMPLATE-GAS AVAILABILITY'!R598)/('RAP TEMPLATE-GAS AVAILABILITY'!O598+'RAP TEMPLATE-GAS AVAILABILITY'!P598+'RAP TEMPLATE-GAS AVAILABILITY'!Q598+'RAP TEMPLATE-GAS AVAILABILITY'!R598)</f>
        <v>26.764293525179859</v>
      </c>
    </row>
    <row r="600" spans="1:29" ht="15.75" x14ac:dyDescent="0.25">
      <c r="A600" s="32">
        <v>59171</v>
      </c>
      <c r="B600" s="14">
        <f>CHOOSE(CONTROL!$C$42, 28.8209, 28.8209) * CHOOSE(CONTROL!$C$21, $C$9, 100%, $E$9)</f>
        <v>28.820900000000002</v>
      </c>
      <c r="C600" s="14">
        <f>CHOOSE(CONTROL!$C$42, 28.8259, 28.8259) * CHOOSE(CONTROL!$C$21, $C$9, 100%, $E$9)</f>
        <v>28.825900000000001</v>
      </c>
      <c r="D600" s="14">
        <f>CHOOSE(CONTROL!$C$42, 28.889, 28.889) * CHOOSE(CONTROL!$C$21, $C$9, 100%, $E$9)</f>
        <v>28.888999999999999</v>
      </c>
      <c r="E600" s="14">
        <f>CHOOSE(CONTROL!$C$42, 28.9228, 28.9228) * CHOOSE(CONTROL!$C$21, $C$9, 100%, $E$9)</f>
        <v>28.922799999999999</v>
      </c>
      <c r="F600" s="14">
        <f>CHOOSE(CONTROL!$C$42, 28.8237, 28.8237)*CHOOSE(CONTROL!$C$21, $C$9, 100%, $E$9)</f>
        <v>28.823699999999999</v>
      </c>
      <c r="G600" s="14">
        <f>CHOOSE(CONTROL!$C$42, 28.8405, 28.8405)*CHOOSE(CONTROL!$C$21, $C$9, 100%, $E$9)</f>
        <v>28.840499999999999</v>
      </c>
      <c r="H600" s="14">
        <f>CHOOSE(CONTROL!$C$42, 28.9119, 28.9119) * CHOOSE(CONTROL!$C$21, $C$9, 100%, $E$9)</f>
        <v>28.911899999999999</v>
      </c>
      <c r="I600" s="14">
        <f>CHOOSE(CONTROL!$C$42, 28.8345, 28.8345)* CHOOSE(CONTROL!$C$21, $C$9, 100%, $E$9)</f>
        <v>28.834499999999998</v>
      </c>
      <c r="J600" s="14">
        <f>CHOOSE(CONTROL!$C$42, 28.8167, 28.8167)* CHOOSE(CONTROL!$C$21, $C$9, 100%, $E$9)</f>
        <v>28.816700000000001</v>
      </c>
      <c r="K600" s="53">
        <f>CHOOSE(CONTROL!$C$42, 28.8306, 28.8306) * CHOOSE(CONTROL!$C$21, $C$9, 100%, $E$9)</f>
        <v>28.8306</v>
      </c>
      <c r="L600" s="14">
        <f>CHOOSE(CONTROL!$C$42, 29.4989, 29.4989) * CHOOSE(CONTROL!$C$21, $C$9, 100%, $E$9)</f>
        <v>29.498899999999999</v>
      </c>
      <c r="M600" s="14">
        <f>CHOOSE(CONTROL!$C$42, 28.5397, 28.5397) * CHOOSE(CONTROL!$C$21, $C$9, 100%, $E$9)</f>
        <v>28.5397</v>
      </c>
      <c r="N600" s="14">
        <f>CHOOSE(CONTROL!$C$42, 28.5564, 28.5564) * CHOOSE(CONTROL!$C$21, $C$9, 100%, $E$9)</f>
        <v>28.5564</v>
      </c>
      <c r="O600" s="14">
        <f>CHOOSE(CONTROL!$C$42, 28.634, 28.634) * CHOOSE(CONTROL!$C$21, $C$9, 100%, $E$9)</f>
        <v>28.634</v>
      </c>
      <c r="P600" s="14">
        <f>CHOOSE(CONTROL!$C$42, 28.5574, 28.5574) * CHOOSE(CONTROL!$C$21, $C$9, 100%, $E$9)</f>
        <v>28.557400000000001</v>
      </c>
      <c r="Q600" s="14">
        <f>CHOOSE(CONTROL!$C$42, 29.2293, 29.2293) * CHOOSE(CONTROL!$C$21, $C$9, 100%, $E$9)</f>
        <v>29.229299999999999</v>
      </c>
      <c r="R600" s="14">
        <f>CHOOSE(CONTROL!$C$42, 29.8894, 29.8894) * CHOOSE(CONTROL!$C$21, $C$9, 100%, $E$9)</f>
        <v>29.889399999999998</v>
      </c>
      <c r="S600" s="14">
        <f>CHOOSE(CONTROL!$C$42, 27.9859, 27.9859) * CHOOSE(CONTROL!$C$21, $C$9, 100%, $E$9)</f>
        <v>27.985900000000001</v>
      </c>
      <c r="T60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00" s="57">
        <f>(1000*CHOOSE(CONTROL!$C$42, 695, 695)*CHOOSE(CONTROL!$C$42, 0.5599, 0.5599)*CHOOSE(CONTROL!$C$42, 31, 31))/1000000</f>
        <v>12.063045499999998</v>
      </c>
      <c r="V600" s="57">
        <f>(1000*CHOOSE(CONTROL!$C$42, 500, 500)*CHOOSE(CONTROL!$C$42, 0.275, 0.275)*CHOOSE(CONTROL!$C$42, 31, 31))/1000000</f>
        <v>4.2625000000000002</v>
      </c>
      <c r="W600" s="57">
        <f>(1000*CHOOSE(CONTROL!$C$42, 0.1146, 0.1146)*CHOOSE(CONTROL!$C$42, 121.5, 121.5)*CHOOSE(CONTROL!$C$42, 31, 31))/1000000</f>
        <v>0.43164089999999994</v>
      </c>
      <c r="X600" s="57">
        <f>(31*0.1790888*100000/1000000)+(31*0.2374*100000/1000000)</f>
        <v>1.2911152800000001</v>
      </c>
      <c r="Y600" s="57"/>
      <c r="Z600" s="14"/>
      <c r="AA600" s="56"/>
      <c r="AB600" s="50">
        <f>(B600*122.58+C600*297.941+D600*89.177+E600*40.302+F600*40+G600*160+H600*0+I600*100+J600*300)/(122.58+297.941+89.177+40.302+0+40+160+100+300)</f>
        <v>28.833958636956524</v>
      </c>
      <c r="AC600" s="45">
        <f>(M600*'RAP TEMPLATE-GAS AVAILABILITY'!O599+N600*'RAP TEMPLATE-GAS AVAILABILITY'!P599+O600*'RAP TEMPLATE-GAS AVAILABILITY'!Q599+P600*'RAP TEMPLATE-GAS AVAILABILITY'!R599)/('RAP TEMPLATE-GAS AVAILABILITY'!O599+'RAP TEMPLATE-GAS AVAILABILITY'!P599+'RAP TEMPLATE-GAS AVAILABILITY'!Q599+'RAP TEMPLATE-GAS AVAILABILITY'!R599)</f>
        <v>28.585948201438853</v>
      </c>
    </row>
    <row r="601" spans="1:29" ht="15.75" x14ac:dyDescent="0.25">
      <c r="A601" s="32">
        <v>59202</v>
      </c>
      <c r="B601" s="14">
        <f>CHOOSE(CONTROL!$C$42, 31.1822, 31.1822) * CHOOSE(CONTROL!$C$21, $C$9, 100%, $E$9)</f>
        <v>31.182200000000002</v>
      </c>
      <c r="C601" s="14">
        <f>CHOOSE(CONTROL!$C$42, 31.1872, 31.1872) * CHOOSE(CONTROL!$C$21, $C$9, 100%, $E$9)</f>
        <v>31.187200000000001</v>
      </c>
      <c r="D601" s="14">
        <f>CHOOSE(CONTROL!$C$42, 31.2514, 31.2514) * CHOOSE(CONTROL!$C$21, $C$9, 100%, $E$9)</f>
        <v>31.2514</v>
      </c>
      <c r="E601" s="14">
        <f>CHOOSE(CONTROL!$C$42, 31.2852, 31.2852) * CHOOSE(CONTROL!$C$21, $C$9, 100%, $E$9)</f>
        <v>31.2852</v>
      </c>
      <c r="F601" s="14">
        <f>CHOOSE(CONTROL!$C$42, 31.1837, 31.1837)*CHOOSE(CONTROL!$C$21, $C$9, 100%, $E$9)</f>
        <v>31.183700000000002</v>
      </c>
      <c r="G601" s="14">
        <f>CHOOSE(CONTROL!$C$42, 31.1996, 31.1996)*CHOOSE(CONTROL!$C$21, $C$9, 100%, $E$9)</f>
        <v>31.1996</v>
      </c>
      <c r="H601" s="14">
        <f>CHOOSE(CONTROL!$C$42, 31.2744, 31.2744) * CHOOSE(CONTROL!$C$21, $C$9, 100%, $E$9)</f>
        <v>31.2744</v>
      </c>
      <c r="I601" s="14">
        <f>CHOOSE(CONTROL!$C$42, 31.2022, 31.2022)* CHOOSE(CONTROL!$C$21, $C$9, 100%, $E$9)</f>
        <v>31.202200000000001</v>
      </c>
      <c r="J601" s="14">
        <f>CHOOSE(CONTROL!$C$42, 31.1767, 31.1767)* CHOOSE(CONTROL!$C$21, $C$9, 100%, $E$9)</f>
        <v>31.1767</v>
      </c>
      <c r="K601" s="53">
        <f>CHOOSE(CONTROL!$C$42, 31.1983, 31.1983) * CHOOSE(CONTROL!$C$21, $C$9, 100%, $E$9)</f>
        <v>31.1983</v>
      </c>
      <c r="L601" s="14">
        <f>CHOOSE(CONTROL!$C$42, 31.8614, 31.8614) * CHOOSE(CONTROL!$C$21, $C$9, 100%, $E$9)</f>
        <v>31.8614</v>
      </c>
      <c r="M601" s="14">
        <f>CHOOSE(CONTROL!$C$42, 30.8759, 30.8759) * CHOOSE(CONTROL!$C$21, $C$9, 100%, $E$9)</f>
        <v>30.875900000000001</v>
      </c>
      <c r="N601" s="14">
        <f>CHOOSE(CONTROL!$C$42, 30.8917, 30.8917) * CHOOSE(CONTROL!$C$21, $C$9, 100%, $E$9)</f>
        <v>30.8917</v>
      </c>
      <c r="O601" s="14">
        <f>CHOOSE(CONTROL!$C$42, 30.9726, 30.9726) * CHOOSE(CONTROL!$C$21, $C$9, 100%, $E$9)</f>
        <v>30.9726</v>
      </c>
      <c r="P601" s="14">
        <f>CHOOSE(CONTROL!$C$42, 30.9012, 30.9012) * CHOOSE(CONTROL!$C$21, $C$9, 100%, $E$9)</f>
        <v>30.901199999999999</v>
      </c>
      <c r="Q601" s="14">
        <f>CHOOSE(CONTROL!$C$42, 31.5679, 31.5679) * CHOOSE(CONTROL!$C$21, $C$9, 100%, $E$9)</f>
        <v>31.567900000000002</v>
      </c>
      <c r="R601" s="14">
        <f>CHOOSE(CONTROL!$C$42, 32.2338, 32.2338) * CHOOSE(CONTROL!$C$21, $C$9, 100%, $E$9)</f>
        <v>32.233800000000002</v>
      </c>
      <c r="S601" s="14">
        <f>CHOOSE(CONTROL!$C$42, 30.2789, 30.2789) * CHOOSE(CONTROL!$C$21, $C$9, 100%, $E$9)</f>
        <v>30.2789</v>
      </c>
      <c r="T60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01" s="57">
        <f>(1000*CHOOSE(CONTROL!$C$42, 695, 695)*CHOOSE(CONTROL!$C$42, 0.5599, 0.5599)*CHOOSE(CONTROL!$C$42, 31, 31))/1000000</f>
        <v>12.063045499999998</v>
      </c>
      <c r="V601" s="57">
        <f>(1000*CHOOSE(CONTROL!$C$42, 500, 500)*CHOOSE(CONTROL!$C$42, 0.275, 0.275)*CHOOSE(CONTROL!$C$42, 31, 31))/1000000</f>
        <v>4.2625000000000002</v>
      </c>
      <c r="W601" s="57">
        <f>(1000*CHOOSE(CONTROL!$C$42, 0.1146, 0.1146)*CHOOSE(CONTROL!$C$42, 121.5, 121.5)*CHOOSE(CONTROL!$C$42, 31, 31))/1000000</f>
        <v>0.43164089999999994</v>
      </c>
      <c r="X601" s="57">
        <f>(31*0.1790888*100000/1000000)+(31*0.2374*100000/1000000)</f>
        <v>1.2911152800000001</v>
      </c>
      <c r="Y601" s="57"/>
      <c r="Z601" s="14"/>
      <c r="AA601" s="56"/>
      <c r="AB601" s="50">
        <f>(B601*122.58+C601*297.941+D601*89.177+E601*40.302+F601*40+G601*160+H601*0+I601*100+J601*300)/(122.58+297.941+89.177+40.302+0+40+160+100+300)</f>
        <v>31.195248573391311</v>
      </c>
      <c r="AC601" s="45">
        <f>(M601*'RAP TEMPLATE-GAS AVAILABILITY'!O600+N601*'RAP TEMPLATE-GAS AVAILABILITY'!P600+O601*'RAP TEMPLATE-GAS AVAILABILITY'!Q600+P601*'RAP TEMPLATE-GAS AVAILABILITY'!R600)/('RAP TEMPLATE-GAS AVAILABILITY'!O600+'RAP TEMPLATE-GAS AVAILABILITY'!P600+'RAP TEMPLATE-GAS AVAILABILITY'!Q600+'RAP TEMPLATE-GAS AVAILABILITY'!R600)</f>
        <v>30.924277697841728</v>
      </c>
    </row>
    <row r="602" spans="1:29" ht="15.75" x14ac:dyDescent="0.25">
      <c r="A602" s="32">
        <v>59230</v>
      </c>
      <c r="B602" s="14">
        <f>CHOOSE(CONTROL!$C$42, 31.7372, 31.7372) * CHOOSE(CONTROL!$C$21, $C$9, 100%, $E$9)</f>
        <v>31.737200000000001</v>
      </c>
      <c r="C602" s="14">
        <f>CHOOSE(CONTROL!$C$42, 31.7422, 31.7422) * CHOOSE(CONTROL!$C$21, $C$9, 100%, $E$9)</f>
        <v>31.7422</v>
      </c>
      <c r="D602" s="14">
        <f>CHOOSE(CONTROL!$C$42, 31.8065, 31.8065) * CHOOSE(CONTROL!$C$21, $C$9, 100%, $E$9)</f>
        <v>31.8065</v>
      </c>
      <c r="E602" s="14">
        <f>CHOOSE(CONTROL!$C$42, 31.8402, 31.8402) * CHOOSE(CONTROL!$C$21, $C$9, 100%, $E$9)</f>
        <v>31.840199999999999</v>
      </c>
      <c r="F602" s="14">
        <f>CHOOSE(CONTROL!$C$42, 31.7388, 31.7388)*CHOOSE(CONTROL!$C$21, $C$9, 100%, $E$9)</f>
        <v>31.738800000000001</v>
      </c>
      <c r="G602" s="14">
        <f>CHOOSE(CONTROL!$C$42, 31.7547, 31.7547)*CHOOSE(CONTROL!$C$21, $C$9, 100%, $E$9)</f>
        <v>31.7547</v>
      </c>
      <c r="H602" s="14">
        <f>CHOOSE(CONTROL!$C$42, 31.8294, 31.8294) * CHOOSE(CONTROL!$C$21, $C$9, 100%, $E$9)</f>
        <v>31.8294</v>
      </c>
      <c r="I602" s="14">
        <f>CHOOSE(CONTROL!$C$42, 31.7572, 31.7572)* CHOOSE(CONTROL!$C$21, $C$9, 100%, $E$9)</f>
        <v>31.757200000000001</v>
      </c>
      <c r="J602" s="14">
        <f>CHOOSE(CONTROL!$C$42, 31.7318, 31.7318)* CHOOSE(CONTROL!$C$21, $C$9, 100%, $E$9)</f>
        <v>31.7318</v>
      </c>
      <c r="K602" s="53">
        <f>CHOOSE(CONTROL!$C$42, 31.7533, 31.7533) * CHOOSE(CONTROL!$C$21, $C$9, 100%, $E$9)</f>
        <v>31.753299999999999</v>
      </c>
      <c r="L602" s="14">
        <f>CHOOSE(CONTROL!$C$42, 32.4164, 32.4164) * CHOOSE(CONTROL!$C$21, $C$9, 100%, $E$9)</f>
        <v>32.416400000000003</v>
      </c>
      <c r="M602" s="14">
        <f>CHOOSE(CONTROL!$C$42, 31.4254, 31.4254) * CHOOSE(CONTROL!$C$21, $C$9, 100%, $E$9)</f>
        <v>31.4254</v>
      </c>
      <c r="N602" s="14">
        <f>CHOOSE(CONTROL!$C$42, 31.4412, 31.4412) * CHOOSE(CONTROL!$C$21, $C$9, 100%, $E$9)</f>
        <v>31.441199999999998</v>
      </c>
      <c r="O602" s="14">
        <f>CHOOSE(CONTROL!$C$42, 31.5221, 31.5221) * CHOOSE(CONTROL!$C$21, $C$9, 100%, $E$9)</f>
        <v>31.522099999999998</v>
      </c>
      <c r="P602" s="14">
        <f>CHOOSE(CONTROL!$C$42, 31.4506, 31.4506) * CHOOSE(CONTROL!$C$21, $C$9, 100%, $E$9)</f>
        <v>31.450600000000001</v>
      </c>
      <c r="Q602" s="14">
        <f>CHOOSE(CONTROL!$C$42, 32.1174, 32.1174) * CHOOSE(CONTROL!$C$21, $C$9, 100%, $E$9)</f>
        <v>32.117400000000004</v>
      </c>
      <c r="R602" s="14">
        <f>CHOOSE(CONTROL!$C$42, 32.7846, 32.7846) * CHOOSE(CONTROL!$C$21, $C$9, 100%, $E$9)</f>
        <v>32.784599999999998</v>
      </c>
      <c r="S602" s="14">
        <f>CHOOSE(CONTROL!$C$42, 30.8179, 30.8179) * CHOOSE(CONTROL!$C$21, $C$9, 100%, $E$9)</f>
        <v>30.817900000000002</v>
      </c>
      <c r="T60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02" s="57">
        <f>(1000*CHOOSE(CONTROL!$C$42, 695, 695)*CHOOSE(CONTROL!$C$42, 0.5599, 0.5599)*CHOOSE(CONTROL!$C$42, 28, 28))/1000000</f>
        <v>10.895653999999999</v>
      </c>
      <c r="V602" s="57">
        <f>(1000*CHOOSE(CONTROL!$C$42, 500, 500)*CHOOSE(CONTROL!$C$42, 0.275, 0.275)*CHOOSE(CONTROL!$C$42, 28, 28))/1000000</f>
        <v>3.85</v>
      </c>
      <c r="W602" s="57">
        <f>(1000*CHOOSE(CONTROL!$C$42, 0.1146, 0.1146)*CHOOSE(CONTROL!$C$42, 121.5, 121.5)*CHOOSE(CONTROL!$C$42, 28, 28))/1000000</f>
        <v>0.38986920000000003</v>
      </c>
      <c r="X602" s="57">
        <f>(28*0.1790888*100000/1000000)+(28*0.2374*100000/1000000)</f>
        <v>1.16616864</v>
      </c>
      <c r="Y602" s="57"/>
      <c r="Z602" s="14"/>
      <c r="AA602" s="56"/>
      <c r="AB602" s="50">
        <f>(B602*122.58+C602*297.941+D602*89.177+E602*40.302+F602*40+G602*160+H602*0+I602*100+J602*300)/(122.58+297.941+89.177+40.302+0+40+160+100+300)</f>
        <v>31.750299806173913</v>
      </c>
      <c r="AC602" s="45">
        <f>(M602*'RAP TEMPLATE-GAS AVAILABILITY'!O601+N602*'RAP TEMPLATE-GAS AVAILABILITY'!P601+O602*'RAP TEMPLATE-GAS AVAILABILITY'!Q601+P602*'RAP TEMPLATE-GAS AVAILABILITY'!R601)/('RAP TEMPLATE-GAS AVAILABILITY'!O601+'RAP TEMPLATE-GAS AVAILABILITY'!P601+'RAP TEMPLATE-GAS AVAILABILITY'!Q601+'RAP TEMPLATE-GAS AVAILABILITY'!R601)</f>
        <v>31.473763309352513</v>
      </c>
    </row>
    <row r="603" spans="1:29" ht="15.75" x14ac:dyDescent="0.25">
      <c r="A603" s="32">
        <v>59261</v>
      </c>
      <c r="B603" s="14">
        <f>CHOOSE(CONTROL!$C$42, 30.8363, 30.8363) * CHOOSE(CONTROL!$C$21, $C$9, 100%, $E$9)</f>
        <v>30.836300000000001</v>
      </c>
      <c r="C603" s="14">
        <f>CHOOSE(CONTROL!$C$42, 30.8412, 30.8412) * CHOOSE(CONTROL!$C$21, $C$9, 100%, $E$9)</f>
        <v>30.841200000000001</v>
      </c>
      <c r="D603" s="14">
        <f>CHOOSE(CONTROL!$C$42, 30.9055, 30.9055) * CHOOSE(CONTROL!$C$21, $C$9, 100%, $E$9)</f>
        <v>30.9055</v>
      </c>
      <c r="E603" s="14">
        <f>CHOOSE(CONTROL!$C$42, 30.9393, 30.9393) * CHOOSE(CONTROL!$C$21, $C$9, 100%, $E$9)</f>
        <v>30.939299999999999</v>
      </c>
      <c r="F603" s="14">
        <f>CHOOSE(CONTROL!$C$42, 30.8375, 30.8375)*CHOOSE(CONTROL!$C$21, $C$9, 100%, $E$9)</f>
        <v>30.837499999999999</v>
      </c>
      <c r="G603" s="14">
        <f>CHOOSE(CONTROL!$C$42, 30.8534, 30.8534)*CHOOSE(CONTROL!$C$21, $C$9, 100%, $E$9)</f>
        <v>30.853400000000001</v>
      </c>
      <c r="H603" s="14">
        <f>CHOOSE(CONTROL!$C$42, 30.9285, 30.9285) * CHOOSE(CONTROL!$C$21, $C$9, 100%, $E$9)</f>
        <v>30.9285</v>
      </c>
      <c r="I603" s="14">
        <f>CHOOSE(CONTROL!$C$42, 30.8563, 30.8563)* CHOOSE(CONTROL!$C$21, $C$9, 100%, $E$9)</f>
        <v>30.856300000000001</v>
      </c>
      <c r="J603" s="14">
        <f>CHOOSE(CONTROL!$C$42, 30.8305, 30.8305)* CHOOSE(CONTROL!$C$21, $C$9, 100%, $E$9)</f>
        <v>30.830500000000001</v>
      </c>
      <c r="K603" s="53">
        <f>CHOOSE(CONTROL!$C$42, 30.8524, 30.8524) * CHOOSE(CONTROL!$C$21, $C$9, 100%, $E$9)</f>
        <v>30.852399999999999</v>
      </c>
      <c r="L603" s="14">
        <f>CHOOSE(CONTROL!$C$42, 31.5155, 31.5155) * CHOOSE(CONTROL!$C$21, $C$9, 100%, $E$9)</f>
        <v>31.515499999999999</v>
      </c>
      <c r="M603" s="14">
        <f>CHOOSE(CONTROL!$C$42, 30.5332, 30.5332) * CHOOSE(CONTROL!$C$21, $C$9, 100%, $E$9)</f>
        <v>30.533200000000001</v>
      </c>
      <c r="N603" s="14">
        <f>CHOOSE(CONTROL!$C$42, 30.5489, 30.5489) * CHOOSE(CONTROL!$C$21, $C$9, 100%, $E$9)</f>
        <v>30.5489</v>
      </c>
      <c r="O603" s="14">
        <f>CHOOSE(CONTROL!$C$42, 30.6302, 30.6302) * CHOOSE(CONTROL!$C$21, $C$9, 100%, $E$9)</f>
        <v>30.630199999999999</v>
      </c>
      <c r="P603" s="14">
        <f>CHOOSE(CONTROL!$C$42, 30.5587, 30.5587) * CHOOSE(CONTROL!$C$21, $C$9, 100%, $E$9)</f>
        <v>30.558700000000002</v>
      </c>
      <c r="Q603" s="14">
        <f>CHOOSE(CONTROL!$C$42, 31.2255, 31.2255) * CHOOSE(CONTROL!$C$21, $C$9, 100%, $E$9)</f>
        <v>31.2255</v>
      </c>
      <c r="R603" s="14">
        <f>CHOOSE(CONTROL!$C$42, 31.8906, 31.8906) * CHOOSE(CONTROL!$C$21, $C$9, 100%, $E$9)</f>
        <v>31.890599999999999</v>
      </c>
      <c r="S603" s="14">
        <f>CHOOSE(CONTROL!$C$42, 29.943, 29.943) * CHOOSE(CONTROL!$C$21, $C$9, 100%, $E$9)</f>
        <v>29.943000000000001</v>
      </c>
      <c r="T60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03" s="57">
        <f>(1000*CHOOSE(CONTROL!$C$42, 695, 695)*CHOOSE(CONTROL!$C$42, 0.5599, 0.5599)*CHOOSE(CONTROL!$C$42, 31, 31))/1000000</f>
        <v>12.063045499999998</v>
      </c>
      <c r="V603" s="57">
        <f>(1000*CHOOSE(CONTROL!$C$42, 500, 500)*CHOOSE(CONTROL!$C$42, 0.275, 0.275)*CHOOSE(CONTROL!$C$42, 31, 31))/1000000</f>
        <v>4.2625000000000002</v>
      </c>
      <c r="W603" s="57">
        <f>(1000*CHOOSE(CONTROL!$C$42, 0.1146, 0.1146)*CHOOSE(CONTROL!$C$42, 121.5, 121.5)*CHOOSE(CONTROL!$C$42, 31, 31))/1000000</f>
        <v>0.43164089999999994</v>
      </c>
      <c r="X603" s="57">
        <f>(31*0.1790888*100000/1000000)+(31*0.2374*100000/1000000)</f>
        <v>1.2911152800000001</v>
      </c>
      <c r="Y603" s="57"/>
      <c r="Z603" s="14"/>
      <c r="AA603" s="56"/>
      <c r="AB603" s="50">
        <f>(B603*122.58+C603*297.941+D603*89.177+E603*40.302+F603*40+G603*160+H603*0+I603*100+J603*300)/(122.58+297.941+89.177+40.302+0+40+160+100+300)</f>
        <v>30.84919223069565</v>
      </c>
      <c r="AC603" s="45">
        <f>(M603*'RAP TEMPLATE-GAS AVAILABILITY'!O602+N603*'RAP TEMPLATE-GAS AVAILABILITY'!P602+O603*'RAP TEMPLATE-GAS AVAILABILITY'!Q602+P603*'RAP TEMPLATE-GAS AVAILABILITY'!R602)/('RAP TEMPLATE-GAS AVAILABILITY'!O602+'RAP TEMPLATE-GAS AVAILABILITY'!P602+'RAP TEMPLATE-GAS AVAILABILITY'!Q602+'RAP TEMPLATE-GAS AVAILABILITY'!R602)</f>
        <v>30.581736690647478</v>
      </c>
    </row>
    <row r="604" spans="1:29" ht="15.75" x14ac:dyDescent="0.25">
      <c r="A604" s="32">
        <v>59291</v>
      </c>
      <c r="B604" s="14">
        <f>CHOOSE(CONTROL!$C$42, 30.7451, 30.7451) * CHOOSE(CONTROL!$C$21, $C$9, 100%, $E$9)</f>
        <v>30.745100000000001</v>
      </c>
      <c r="C604" s="14">
        <f>CHOOSE(CONTROL!$C$42, 30.7495, 30.7495) * CHOOSE(CONTROL!$C$21, $C$9, 100%, $E$9)</f>
        <v>30.749500000000001</v>
      </c>
      <c r="D604" s="14">
        <f>CHOOSE(CONTROL!$C$42, 30.9502, 30.9502) * CHOOSE(CONTROL!$C$21, $C$9, 100%, $E$9)</f>
        <v>30.950199999999999</v>
      </c>
      <c r="E604" s="14">
        <f>CHOOSE(CONTROL!$C$42, 30.982, 30.982) * CHOOSE(CONTROL!$C$21, $C$9, 100%, $E$9)</f>
        <v>30.981999999999999</v>
      </c>
      <c r="F604" s="14">
        <f>CHOOSE(CONTROL!$C$42, 30.7297, 30.7297)*CHOOSE(CONTROL!$C$21, $C$9, 100%, $E$9)</f>
        <v>30.729700000000001</v>
      </c>
      <c r="G604" s="14">
        <f>CHOOSE(CONTROL!$C$42, 30.7453, 30.7453)*CHOOSE(CONTROL!$C$21, $C$9, 100%, $E$9)</f>
        <v>30.7453</v>
      </c>
      <c r="H604" s="14">
        <f>CHOOSE(CONTROL!$C$42, 30.9718, 30.9718) * CHOOSE(CONTROL!$C$21, $C$9, 100%, $E$9)</f>
        <v>30.971800000000002</v>
      </c>
      <c r="I604" s="14">
        <f>CHOOSE(CONTROL!$C$42, 30.7579, 30.7579)* CHOOSE(CONTROL!$C$21, $C$9, 100%, $E$9)</f>
        <v>30.757899999999999</v>
      </c>
      <c r="J604" s="14">
        <f>CHOOSE(CONTROL!$C$42, 30.7227, 30.7227)* CHOOSE(CONTROL!$C$21, $C$9, 100%, $E$9)</f>
        <v>30.7227</v>
      </c>
      <c r="K604" s="53">
        <f>CHOOSE(CONTROL!$C$42, 30.754, 30.754) * CHOOSE(CONTROL!$C$21, $C$9, 100%, $E$9)</f>
        <v>30.754000000000001</v>
      </c>
      <c r="L604" s="14">
        <f>CHOOSE(CONTROL!$C$42, 31.5588, 31.5588) * CHOOSE(CONTROL!$C$21, $C$9, 100%, $E$9)</f>
        <v>31.558800000000002</v>
      </c>
      <c r="M604" s="14">
        <f>CHOOSE(CONTROL!$C$42, 30.4265, 30.4265) * CHOOSE(CONTROL!$C$21, $C$9, 100%, $E$9)</f>
        <v>30.426500000000001</v>
      </c>
      <c r="N604" s="14">
        <f>CHOOSE(CONTROL!$C$42, 30.442, 30.442) * CHOOSE(CONTROL!$C$21, $C$9, 100%, $E$9)</f>
        <v>30.442</v>
      </c>
      <c r="O604" s="14">
        <f>CHOOSE(CONTROL!$C$42, 30.6731, 30.6731) * CHOOSE(CONTROL!$C$21, $C$9, 100%, $E$9)</f>
        <v>30.673100000000002</v>
      </c>
      <c r="P604" s="14">
        <f>CHOOSE(CONTROL!$C$42, 30.4614, 30.4614) * CHOOSE(CONTROL!$C$21, $C$9, 100%, $E$9)</f>
        <v>30.461400000000001</v>
      </c>
      <c r="Q604" s="14">
        <f>CHOOSE(CONTROL!$C$42, 31.2684, 31.2684) * CHOOSE(CONTROL!$C$21, $C$9, 100%, $E$9)</f>
        <v>31.2684</v>
      </c>
      <c r="R604" s="14">
        <f>CHOOSE(CONTROL!$C$42, 31.9335, 31.9335) * CHOOSE(CONTROL!$C$21, $C$9, 100%, $E$9)</f>
        <v>31.933499999999999</v>
      </c>
      <c r="S604" s="14">
        <f>CHOOSE(CONTROL!$C$42, 29.8537, 29.8537) * CHOOSE(CONTROL!$C$21, $C$9, 100%, $E$9)</f>
        <v>29.8537</v>
      </c>
      <c r="T60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04" s="57">
        <f>(1000*CHOOSE(CONTROL!$C$42, 695, 695)*CHOOSE(CONTROL!$C$42, 0.5599, 0.5599)*CHOOSE(CONTROL!$C$42, 30, 30))/1000000</f>
        <v>11.673914999999997</v>
      </c>
      <c r="V604" s="57">
        <f>(1000*CHOOSE(CONTROL!$C$42, 500, 500)*CHOOSE(CONTROL!$C$42, 0.275, 0.275)*CHOOSE(CONTROL!$C$42, 30, 30))/1000000</f>
        <v>4.125</v>
      </c>
      <c r="W604" s="57">
        <f>(1000*CHOOSE(CONTROL!$C$42, 0.1146, 0.1146)*CHOOSE(CONTROL!$C$42, 121.5, 121.5)*CHOOSE(CONTROL!$C$42, 30, 30))/1000000</f>
        <v>0.417717</v>
      </c>
      <c r="X604" s="57">
        <f>(30*0.1790888*245000/1000000)+(30*0.2374*100000/1000000)</f>
        <v>2.0285026799999999</v>
      </c>
      <c r="Y604" s="57"/>
      <c r="Z604" s="14"/>
      <c r="AA604" s="56"/>
      <c r="AB604" s="50">
        <f>(B604*141.293+C604*267.993+D604*115.016+E604*89.698+F604*40+G604*185+H604*0+I604*100+J604*300)/(141.293+267.993+115.016+89.698+0+40+185+100+300)</f>
        <v>30.777383621468928</v>
      </c>
      <c r="AC604" s="45">
        <f>(M604*'RAP TEMPLATE-GAS AVAILABILITY'!O603+N604*'RAP TEMPLATE-GAS AVAILABILITY'!P603+O604*'RAP TEMPLATE-GAS AVAILABILITY'!Q603+P604*'RAP TEMPLATE-GAS AVAILABILITY'!R603)/('RAP TEMPLATE-GAS AVAILABILITY'!O603+'RAP TEMPLATE-GAS AVAILABILITY'!P603+'RAP TEMPLATE-GAS AVAILABILITY'!Q603+'RAP TEMPLATE-GAS AVAILABILITY'!R603)</f>
        <v>30.54418201438849</v>
      </c>
    </row>
    <row r="605" spans="1:29" ht="15.75" x14ac:dyDescent="0.25">
      <c r="A605" s="32">
        <v>59322</v>
      </c>
      <c r="B605" s="14">
        <f>CHOOSE(CONTROL!$C$42, 31.0179, 31.0179) * CHOOSE(CONTROL!$C$21, $C$9, 100%, $E$9)</f>
        <v>31.017900000000001</v>
      </c>
      <c r="C605" s="14">
        <f>CHOOSE(CONTROL!$C$42, 31.0258, 31.0258) * CHOOSE(CONTROL!$C$21, $C$9, 100%, $E$9)</f>
        <v>31.0258</v>
      </c>
      <c r="D605" s="14">
        <f>CHOOSE(CONTROL!$C$42, 31.2234, 31.2234) * CHOOSE(CONTROL!$C$21, $C$9, 100%, $E$9)</f>
        <v>31.223400000000002</v>
      </c>
      <c r="E605" s="14">
        <f>CHOOSE(CONTROL!$C$42, 31.2545, 31.2545) * CHOOSE(CONTROL!$C$21, $C$9, 100%, $E$9)</f>
        <v>31.2545</v>
      </c>
      <c r="F605" s="14">
        <f>CHOOSE(CONTROL!$C$42, 31.0013, 31.0013)*CHOOSE(CONTROL!$C$21, $C$9, 100%, $E$9)</f>
        <v>31.001300000000001</v>
      </c>
      <c r="G605" s="14">
        <f>CHOOSE(CONTROL!$C$42, 31.0174, 31.0174)*CHOOSE(CONTROL!$C$21, $C$9, 100%, $E$9)</f>
        <v>31.017399999999999</v>
      </c>
      <c r="H605" s="14">
        <f>CHOOSE(CONTROL!$C$42, 31.2431, 31.2431) * CHOOSE(CONTROL!$C$21, $C$9, 100%, $E$9)</f>
        <v>31.243099999999998</v>
      </c>
      <c r="I605" s="14">
        <f>CHOOSE(CONTROL!$C$42, 31.0292, 31.0292)* CHOOSE(CONTROL!$C$21, $C$9, 100%, $E$9)</f>
        <v>31.029199999999999</v>
      </c>
      <c r="J605" s="14">
        <f>CHOOSE(CONTROL!$C$42, 30.9943, 30.9943)* CHOOSE(CONTROL!$C$21, $C$9, 100%, $E$9)</f>
        <v>30.994299999999999</v>
      </c>
      <c r="K605" s="53">
        <f>CHOOSE(CONTROL!$C$42, 31.0253, 31.0253) * CHOOSE(CONTROL!$C$21, $C$9, 100%, $E$9)</f>
        <v>31.025300000000001</v>
      </c>
      <c r="L605" s="14">
        <f>CHOOSE(CONTROL!$C$42, 31.8301, 31.8301) * CHOOSE(CONTROL!$C$21, $C$9, 100%, $E$9)</f>
        <v>31.830100000000002</v>
      </c>
      <c r="M605" s="14">
        <f>CHOOSE(CONTROL!$C$42, 30.6953, 30.6953) * CHOOSE(CONTROL!$C$21, $C$9, 100%, $E$9)</f>
        <v>30.6953</v>
      </c>
      <c r="N605" s="14">
        <f>CHOOSE(CONTROL!$C$42, 30.7112, 30.7112) * CHOOSE(CONTROL!$C$21, $C$9, 100%, $E$9)</f>
        <v>30.711200000000002</v>
      </c>
      <c r="O605" s="14">
        <f>CHOOSE(CONTROL!$C$42, 30.9416, 30.9416) * CHOOSE(CONTROL!$C$21, $C$9, 100%, $E$9)</f>
        <v>30.941600000000001</v>
      </c>
      <c r="P605" s="14">
        <f>CHOOSE(CONTROL!$C$42, 30.7299, 30.7299) * CHOOSE(CONTROL!$C$21, $C$9, 100%, $E$9)</f>
        <v>30.729900000000001</v>
      </c>
      <c r="Q605" s="14">
        <f>CHOOSE(CONTROL!$C$42, 31.5369, 31.5369) * CHOOSE(CONTROL!$C$21, $C$9, 100%, $E$9)</f>
        <v>31.536899999999999</v>
      </c>
      <c r="R605" s="14">
        <f>CHOOSE(CONTROL!$C$42, 32.2028, 32.2028) * CHOOSE(CONTROL!$C$21, $C$9, 100%, $E$9)</f>
        <v>32.202800000000003</v>
      </c>
      <c r="S605" s="14">
        <f>CHOOSE(CONTROL!$C$42, 30.1172, 30.1172) * CHOOSE(CONTROL!$C$21, $C$9, 100%, $E$9)</f>
        <v>30.1172</v>
      </c>
      <c r="T60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05" s="57">
        <f>(1000*CHOOSE(CONTROL!$C$42, 695, 695)*CHOOSE(CONTROL!$C$42, 0.5599, 0.5599)*CHOOSE(CONTROL!$C$42, 31, 31))/1000000</f>
        <v>12.063045499999998</v>
      </c>
      <c r="V605" s="57">
        <f>(1000*CHOOSE(CONTROL!$C$42, 500, 500)*CHOOSE(CONTROL!$C$42, 0.275, 0.275)*CHOOSE(CONTROL!$C$42, 31, 31))/1000000</f>
        <v>4.2625000000000002</v>
      </c>
      <c r="W605" s="57">
        <f>(1000*CHOOSE(CONTROL!$C$42, 0.1146, 0.1146)*CHOOSE(CONTROL!$C$42, 121.5, 121.5)*CHOOSE(CONTROL!$C$42, 31, 31))/1000000</f>
        <v>0.43164089999999994</v>
      </c>
      <c r="X605" s="57">
        <f>(31*0.1790888*245000/1000000)+(31*0.2374*100000/1000000)</f>
        <v>2.0961194359999999</v>
      </c>
      <c r="Y605" s="57"/>
      <c r="Z605" s="14"/>
      <c r="AA605" s="56"/>
      <c r="AB605" s="50">
        <f>(B605*194.205+C605*267.466+D605*133.845+E605*53.484+F605*40+G605*185+H605*0+I605*100+J605*300)/(194.205+267.466+133.845+53.484+0+40+185+100+300)</f>
        <v>31.045816752982731</v>
      </c>
      <c r="AC605" s="45">
        <f>(M605*'RAP TEMPLATE-GAS AVAILABILITY'!O604+N605*'RAP TEMPLATE-GAS AVAILABILITY'!P604+O605*'RAP TEMPLATE-GAS AVAILABILITY'!Q604+P605*'RAP TEMPLATE-GAS AVAILABILITY'!R604)/('RAP TEMPLATE-GAS AVAILABILITY'!O604+'RAP TEMPLATE-GAS AVAILABILITY'!P604+'RAP TEMPLATE-GAS AVAILABILITY'!Q604+'RAP TEMPLATE-GAS AVAILABILITY'!R604)</f>
        <v>30.812825899280575</v>
      </c>
    </row>
    <row r="606" spans="1:29" ht="15.75" x14ac:dyDescent="0.25">
      <c r="A606" s="32">
        <v>59352</v>
      </c>
      <c r="B606" s="14">
        <f>CHOOSE(CONTROL!$C$42, 31.8976, 31.8976) * CHOOSE(CONTROL!$C$21, $C$9, 100%, $E$9)</f>
        <v>31.897600000000001</v>
      </c>
      <c r="C606" s="14">
        <f>CHOOSE(CONTROL!$C$42, 31.9055, 31.9055) * CHOOSE(CONTROL!$C$21, $C$9, 100%, $E$9)</f>
        <v>31.9055</v>
      </c>
      <c r="D606" s="14">
        <f>CHOOSE(CONTROL!$C$42, 32.1031, 32.1031) * CHOOSE(CONTROL!$C$21, $C$9, 100%, $E$9)</f>
        <v>32.103099999999998</v>
      </c>
      <c r="E606" s="14">
        <f>CHOOSE(CONTROL!$C$42, 32.1342, 32.1342) * CHOOSE(CONTROL!$C$21, $C$9, 100%, $E$9)</f>
        <v>32.1342</v>
      </c>
      <c r="F606" s="14">
        <f>CHOOSE(CONTROL!$C$42, 31.8814, 31.8814)*CHOOSE(CONTROL!$C$21, $C$9, 100%, $E$9)</f>
        <v>31.881399999999999</v>
      </c>
      <c r="G606" s="14">
        <f>CHOOSE(CONTROL!$C$42, 31.8976, 31.8976)*CHOOSE(CONTROL!$C$21, $C$9, 100%, $E$9)</f>
        <v>31.897600000000001</v>
      </c>
      <c r="H606" s="14">
        <f>CHOOSE(CONTROL!$C$42, 32.1228, 32.1228) * CHOOSE(CONTROL!$C$21, $C$9, 100%, $E$9)</f>
        <v>32.122799999999998</v>
      </c>
      <c r="I606" s="14">
        <f>CHOOSE(CONTROL!$C$42, 31.9089, 31.9089)* CHOOSE(CONTROL!$C$21, $C$9, 100%, $E$9)</f>
        <v>31.908899999999999</v>
      </c>
      <c r="J606" s="14">
        <f>CHOOSE(CONTROL!$C$42, 31.8744, 31.8744)* CHOOSE(CONTROL!$C$21, $C$9, 100%, $E$9)</f>
        <v>31.874400000000001</v>
      </c>
      <c r="K606" s="53">
        <f>CHOOSE(CONTROL!$C$42, 31.905, 31.905) * CHOOSE(CONTROL!$C$21, $C$9, 100%, $E$9)</f>
        <v>31.905000000000001</v>
      </c>
      <c r="L606" s="14">
        <f>CHOOSE(CONTROL!$C$42, 32.7098, 32.7098) * CHOOSE(CONTROL!$C$21, $C$9, 100%, $E$9)</f>
        <v>32.709800000000001</v>
      </c>
      <c r="M606" s="14">
        <f>CHOOSE(CONTROL!$C$42, 31.5665, 31.5665) * CHOOSE(CONTROL!$C$21, $C$9, 100%, $E$9)</f>
        <v>31.566500000000001</v>
      </c>
      <c r="N606" s="14">
        <f>CHOOSE(CONTROL!$C$42, 31.5826, 31.5826) * CHOOSE(CONTROL!$C$21, $C$9, 100%, $E$9)</f>
        <v>31.582599999999999</v>
      </c>
      <c r="O606" s="14">
        <f>CHOOSE(CONTROL!$C$42, 31.8125, 31.8125) * CHOOSE(CONTROL!$C$21, $C$9, 100%, $E$9)</f>
        <v>31.8125</v>
      </c>
      <c r="P606" s="14">
        <f>CHOOSE(CONTROL!$C$42, 31.6008, 31.6008) * CHOOSE(CONTROL!$C$21, $C$9, 100%, $E$9)</f>
        <v>31.6008</v>
      </c>
      <c r="Q606" s="14">
        <f>CHOOSE(CONTROL!$C$42, 32.4078, 32.4078) * CHOOSE(CONTROL!$C$21, $C$9, 100%, $E$9)</f>
        <v>32.407800000000002</v>
      </c>
      <c r="R606" s="14">
        <f>CHOOSE(CONTROL!$C$42, 33.0758, 33.0758) * CHOOSE(CONTROL!$C$21, $C$9, 100%, $E$9)</f>
        <v>33.075800000000001</v>
      </c>
      <c r="S606" s="14">
        <f>CHOOSE(CONTROL!$C$42, 30.9715, 30.9715) * CHOOSE(CONTROL!$C$21, $C$9, 100%, $E$9)</f>
        <v>30.971499999999999</v>
      </c>
      <c r="T60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06" s="57">
        <f>(1000*CHOOSE(CONTROL!$C$42, 695, 695)*CHOOSE(CONTROL!$C$42, 0.5599, 0.5599)*CHOOSE(CONTROL!$C$42, 30, 30))/1000000</f>
        <v>11.673914999999997</v>
      </c>
      <c r="V606" s="57">
        <f>(1000*CHOOSE(CONTROL!$C$42, 500, 500)*CHOOSE(CONTROL!$C$42, 0.275, 0.275)*CHOOSE(CONTROL!$C$42, 30, 30))/1000000</f>
        <v>4.125</v>
      </c>
      <c r="W606" s="57">
        <f>(1000*CHOOSE(CONTROL!$C$42, 0.1146, 0.1146)*CHOOSE(CONTROL!$C$42, 121.5, 121.5)*CHOOSE(CONTROL!$C$42, 30, 30))/1000000</f>
        <v>0.417717</v>
      </c>
      <c r="X606" s="57">
        <f>(30*0.1790888*245000/1000000)+(30*0.2374*100000/1000000)</f>
        <v>2.0285026799999999</v>
      </c>
      <c r="Y606" s="57"/>
      <c r="Z606" s="14"/>
      <c r="AA606" s="56"/>
      <c r="AB606" s="50">
        <f>(B606*194.205+C606*267.466+D606*133.845+E606*53.484+F606*40+G606*185+H606*0+I606*100+J606*300)/(194.205+267.466+133.845+53.484+0+40+185+100+300)</f>
        <v>31.925696109340659</v>
      </c>
      <c r="AC606" s="45">
        <f>(M606*'RAP TEMPLATE-GAS AVAILABILITY'!O605+N606*'RAP TEMPLATE-GAS AVAILABILITY'!P605+O606*'RAP TEMPLATE-GAS AVAILABILITY'!Q605+P606*'RAP TEMPLATE-GAS AVAILABILITY'!R605)/('RAP TEMPLATE-GAS AVAILABILITY'!O605+'RAP TEMPLATE-GAS AVAILABILITY'!P605+'RAP TEMPLATE-GAS AVAILABILITY'!Q605+'RAP TEMPLATE-GAS AVAILABILITY'!R605)</f>
        <v>31.68385827338129</v>
      </c>
    </row>
    <row r="607" spans="1:29" ht="15.75" x14ac:dyDescent="0.25">
      <c r="A607" s="32">
        <v>59383</v>
      </c>
      <c r="B607" s="14">
        <f>CHOOSE(CONTROL!$C$42, 31.2857, 31.2857) * CHOOSE(CONTROL!$C$21, $C$9, 100%, $E$9)</f>
        <v>31.285699999999999</v>
      </c>
      <c r="C607" s="14">
        <f>CHOOSE(CONTROL!$C$42, 31.2936, 31.2936) * CHOOSE(CONTROL!$C$21, $C$9, 100%, $E$9)</f>
        <v>31.293600000000001</v>
      </c>
      <c r="D607" s="14">
        <f>CHOOSE(CONTROL!$C$42, 31.4912, 31.4912) * CHOOSE(CONTROL!$C$21, $C$9, 100%, $E$9)</f>
        <v>31.491199999999999</v>
      </c>
      <c r="E607" s="14">
        <f>CHOOSE(CONTROL!$C$42, 31.5224, 31.5224) * CHOOSE(CONTROL!$C$21, $C$9, 100%, $E$9)</f>
        <v>31.522400000000001</v>
      </c>
      <c r="F607" s="14">
        <f>CHOOSE(CONTROL!$C$42, 31.27, 31.27)*CHOOSE(CONTROL!$C$21, $C$9, 100%, $E$9)</f>
        <v>31.27</v>
      </c>
      <c r="G607" s="14">
        <f>CHOOSE(CONTROL!$C$42, 31.2863, 31.2863)*CHOOSE(CONTROL!$C$21, $C$9, 100%, $E$9)</f>
        <v>31.286300000000001</v>
      </c>
      <c r="H607" s="14">
        <f>CHOOSE(CONTROL!$C$42, 31.511, 31.511) * CHOOSE(CONTROL!$C$21, $C$9, 100%, $E$9)</f>
        <v>31.510999999999999</v>
      </c>
      <c r="I607" s="14">
        <f>CHOOSE(CONTROL!$C$42, 31.2971, 31.2971)* CHOOSE(CONTROL!$C$21, $C$9, 100%, $E$9)</f>
        <v>31.2971</v>
      </c>
      <c r="J607" s="14">
        <f>CHOOSE(CONTROL!$C$42, 31.263, 31.263)* CHOOSE(CONTROL!$C$21, $C$9, 100%, $E$9)</f>
        <v>31.263000000000002</v>
      </c>
      <c r="K607" s="53">
        <f>CHOOSE(CONTROL!$C$42, 31.2932, 31.2932) * CHOOSE(CONTROL!$C$21, $C$9, 100%, $E$9)</f>
        <v>31.293199999999999</v>
      </c>
      <c r="L607" s="14">
        <f>CHOOSE(CONTROL!$C$42, 32.098, 32.098) * CHOOSE(CONTROL!$C$21, $C$9, 100%, $E$9)</f>
        <v>32.097999999999999</v>
      </c>
      <c r="M607" s="14">
        <f>CHOOSE(CONTROL!$C$42, 30.9613, 30.9613) * CHOOSE(CONTROL!$C$21, $C$9, 100%, $E$9)</f>
        <v>30.961300000000001</v>
      </c>
      <c r="N607" s="14">
        <f>CHOOSE(CONTROL!$C$42, 30.9774, 30.9774) * CHOOSE(CONTROL!$C$21, $C$9, 100%, $E$9)</f>
        <v>30.977399999999999</v>
      </c>
      <c r="O607" s="14">
        <f>CHOOSE(CONTROL!$C$42, 31.2068, 31.2068) * CHOOSE(CONTROL!$C$21, $C$9, 100%, $E$9)</f>
        <v>31.206800000000001</v>
      </c>
      <c r="P607" s="14">
        <f>CHOOSE(CONTROL!$C$42, 30.9951, 30.9951) * CHOOSE(CONTROL!$C$21, $C$9, 100%, $E$9)</f>
        <v>30.995100000000001</v>
      </c>
      <c r="Q607" s="14">
        <f>CHOOSE(CONTROL!$C$42, 31.8021, 31.8021) * CHOOSE(CONTROL!$C$21, $C$9, 100%, $E$9)</f>
        <v>31.802099999999999</v>
      </c>
      <c r="R607" s="14">
        <f>CHOOSE(CONTROL!$C$42, 32.4686, 32.4686) * CHOOSE(CONTROL!$C$21, $C$9, 100%, $E$9)</f>
        <v>32.468600000000002</v>
      </c>
      <c r="S607" s="14">
        <f>CHOOSE(CONTROL!$C$42, 30.3773, 30.3773) * CHOOSE(CONTROL!$C$21, $C$9, 100%, $E$9)</f>
        <v>30.377300000000002</v>
      </c>
      <c r="T60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07" s="57">
        <f>(1000*CHOOSE(CONTROL!$C$42, 695, 695)*CHOOSE(CONTROL!$C$42, 0.5599, 0.5599)*CHOOSE(CONTROL!$C$42, 31, 31))/1000000</f>
        <v>12.063045499999998</v>
      </c>
      <c r="V607" s="57">
        <f>(1000*CHOOSE(CONTROL!$C$42, 500, 500)*CHOOSE(CONTROL!$C$42, 0.275, 0.275)*CHOOSE(CONTROL!$C$42, 31, 31))/1000000</f>
        <v>4.2625000000000002</v>
      </c>
      <c r="W607" s="57">
        <f>(1000*CHOOSE(CONTROL!$C$42, 0.1146, 0.1146)*CHOOSE(CONTROL!$C$42, 121.5, 121.5)*CHOOSE(CONTROL!$C$42, 31, 31))/1000000</f>
        <v>0.43164089999999994</v>
      </c>
      <c r="X607" s="57">
        <f>(31*0.1790888*245000/1000000)+(31*0.2374*100000/1000000)</f>
        <v>2.0961194359999999</v>
      </c>
      <c r="Y607" s="57"/>
      <c r="Z607" s="14"/>
      <c r="AA607" s="56"/>
      <c r="AB607" s="50">
        <f>(B607*194.205+C607*267.466+D607*133.845+E607*53.484+F607*40+G607*185+H607*0+I607*100+J607*300)/(194.205+267.466+133.845+53.484+0+40+185+100+300)</f>
        <v>31.314028721899529</v>
      </c>
      <c r="AC607" s="45">
        <f>(M607*'RAP TEMPLATE-GAS AVAILABILITY'!O606+N607*'RAP TEMPLATE-GAS AVAILABILITY'!P606+O607*'RAP TEMPLATE-GAS AVAILABILITY'!Q606+P607*'RAP TEMPLATE-GAS AVAILABILITY'!R606)/('RAP TEMPLATE-GAS AVAILABILITY'!O606+'RAP TEMPLATE-GAS AVAILABILITY'!P606+'RAP TEMPLATE-GAS AVAILABILITY'!Q606+'RAP TEMPLATE-GAS AVAILABILITY'!R606)</f>
        <v>31.078359712230213</v>
      </c>
    </row>
    <row r="608" spans="1:29" ht="15.75" x14ac:dyDescent="0.25">
      <c r="A608" s="32">
        <v>59414</v>
      </c>
      <c r="B608" s="14">
        <f>CHOOSE(CONTROL!$C$42, 29.7406, 29.7406) * CHOOSE(CONTROL!$C$21, $C$9, 100%, $E$9)</f>
        <v>29.740600000000001</v>
      </c>
      <c r="C608" s="14">
        <f>CHOOSE(CONTROL!$C$42, 29.7485, 29.7485) * CHOOSE(CONTROL!$C$21, $C$9, 100%, $E$9)</f>
        <v>29.7485</v>
      </c>
      <c r="D608" s="14">
        <f>CHOOSE(CONTROL!$C$42, 29.9461, 29.9461) * CHOOSE(CONTROL!$C$21, $C$9, 100%, $E$9)</f>
        <v>29.946100000000001</v>
      </c>
      <c r="E608" s="14">
        <f>CHOOSE(CONTROL!$C$42, 29.9773, 29.9773) * CHOOSE(CONTROL!$C$21, $C$9, 100%, $E$9)</f>
        <v>29.9773</v>
      </c>
      <c r="F608" s="14">
        <f>CHOOSE(CONTROL!$C$42, 29.7251, 29.7251)*CHOOSE(CONTROL!$C$21, $C$9, 100%, $E$9)</f>
        <v>29.725100000000001</v>
      </c>
      <c r="G608" s="14">
        <f>CHOOSE(CONTROL!$C$42, 29.7414, 29.7414)*CHOOSE(CONTROL!$C$21, $C$9, 100%, $E$9)</f>
        <v>29.741399999999999</v>
      </c>
      <c r="H608" s="14">
        <f>CHOOSE(CONTROL!$C$42, 29.9659, 29.9659) * CHOOSE(CONTROL!$C$21, $C$9, 100%, $E$9)</f>
        <v>29.965900000000001</v>
      </c>
      <c r="I608" s="14">
        <f>CHOOSE(CONTROL!$C$42, 29.752, 29.752)* CHOOSE(CONTROL!$C$21, $C$9, 100%, $E$9)</f>
        <v>29.751999999999999</v>
      </c>
      <c r="J608" s="14">
        <f>CHOOSE(CONTROL!$C$42, 29.7181, 29.7181)* CHOOSE(CONTROL!$C$21, $C$9, 100%, $E$9)</f>
        <v>29.7181</v>
      </c>
      <c r="K608" s="53">
        <f>CHOOSE(CONTROL!$C$42, 29.7481, 29.7481) * CHOOSE(CONTROL!$C$21, $C$9, 100%, $E$9)</f>
        <v>29.748100000000001</v>
      </c>
      <c r="L608" s="14">
        <f>CHOOSE(CONTROL!$C$42, 30.5529, 30.5529) * CHOOSE(CONTROL!$C$21, $C$9, 100%, $E$9)</f>
        <v>30.552900000000001</v>
      </c>
      <c r="M608" s="14">
        <f>CHOOSE(CONTROL!$C$42, 29.432, 29.432) * CHOOSE(CONTROL!$C$21, $C$9, 100%, $E$9)</f>
        <v>29.431999999999999</v>
      </c>
      <c r="N608" s="14">
        <f>CHOOSE(CONTROL!$C$42, 29.4482, 29.4482) * CHOOSE(CONTROL!$C$21, $C$9, 100%, $E$9)</f>
        <v>29.4482</v>
      </c>
      <c r="O608" s="14">
        <f>CHOOSE(CONTROL!$C$42, 29.6773, 29.6773) * CHOOSE(CONTROL!$C$21, $C$9, 100%, $E$9)</f>
        <v>29.677299999999999</v>
      </c>
      <c r="P608" s="14">
        <f>CHOOSE(CONTROL!$C$42, 29.4656, 29.4656) * CHOOSE(CONTROL!$C$21, $C$9, 100%, $E$9)</f>
        <v>29.465599999999998</v>
      </c>
      <c r="Q608" s="14">
        <f>CHOOSE(CONTROL!$C$42, 30.2726, 30.2726) * CHOOSE(CONTROL!$C$21, $C$9, 100%, $E$9)</f>
        <v>30.272600000000001</v>
      </c>
      <c r="R608" s="14">
        <f>CHOOSE(CONTROL!$C$42, 30.9353, 30.9353) * CHOOSE(CONTROL!$C$21, $C$9, 100%, $E$9)</f>
        <v>30.935300000000002</v>
      </c>
      <c r="S608" s="14">
        <f>CHOOSE(CONTROL!$C$42, 28.8769, 28.8769) * CHOOSE(CONTROL!$C$21, $C$9, 100%, $E$9)</f>
        <v>28.876899999999999</v>
      </c>
      <c r="T60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08" s="57">
        <f>(1000*CHOOSE(CONTROL!$C$42, 695, 695)*CHOOSE(CONTROL!$C$42, 0.5599, 0.5599)*CHOOSE(CONTROL!$C$42, 31, 31))/1000000</f>
        <v>12.063045499999998</v>
      </c>
      <c r="V608" s="57">
        <f>(1000*CHOOSE(CONTROL!$C$42, 500, 500)*CHOOSE(CONTROL!$C$42, 0.275, 0.275)*CHOOSE(CONTROL!$C$42, 31, 31))/1000000</f>
        <v>4.2625000000000002</v>
      </c>
      <c r="W608" s="57">
        <f>(1000*CHOOSE(CONTROL!$C$42, 0.1146, 0.1146)*CHOOSE(CONTROL!$C$42, 121.5, 121.5)*CHOOSE(CONTROL!$C$42, 31, 31))/1000000</f>
        <v>0.43164089999999994</v>
      </c>
      <c r="X608" s="57">
        <f>(31*0.1790888*245000/1000000)+(31*0.2374*100000/1000000)</f>
        <v>2.0961194359999999</v>
      </c>
      <c r="Y608" s="57"/>
      <c r="Z608" s="14"/>
      <c r="AA608" s="56"/>
      <c r="AB608" s="50">
        <f>(B608*194.205+C608*267.466+D608*133.845+E608*53.484+F608*40+G608*185+H608*0+I608*100+J608*300)/(194.205+267.466+133.845+53.484+0+40+185+100+300)</f>
        <v>29.76901113948195</v>
      </c>
      <c r="AC608" s="45">
        <f>(M608*'RAP TEMPLATE-GAS AVAILABILITY'!O607+N608*'RAP TEMPLATE-GAS AVAILABILITY'!P607+O608*'RAP TEMPLATE-GAS AVAILABILITY'!Q607+P608*'RAP TEMPLATE-GAS AVAILABILITY'!R607)/('RAP TEMPLATE-GAS AVAILABILITY'!O607+'RAP TEMPLATE-GAS AVAILABILITY'!P607+'RAP TEMPLATE-GAS AVAILABILITY'!Q607+'RAP TEMPLATE-GAS AVAILABILITY'!R607)</f>
        <v>29.548946043165468</v>
      </c>
    </row>
    <row r="609" spans="1:29" ht="15.75" x14ac:dyDescent="0.25">
      <c r="A609" s="32">
        <v>59444</v>
      </c>
      <c r="B609" s="14">
        <f>CHOOSE(CONTROL!$C$42, 27.8524, 27.8524) * CHOOSE(CONTROL!$C$21, $C$9, 100%, $E$9)</f>
        <v>27.852399999999999</v>
      </c>
      <c r="C609" s="14">
        <f>CHOOSE(CONTROL!$C$42, 27.8603, 27.8603) * CHOOSE(CONTROL!$C$21, $C$9, 100%, $E$9)</f>
        <v>27.860299999999999</v>
      </c>
      <c r="D609" s="14">
        <f>CHOOSE(CONTROL!$C$42, 28.0579, 28.0579) * CHOOSE(CONTROL!$C$21, $C$9, 100%, $E$9)</f>
        <v>28.0579</v>
      </c>
      <c r="E609" s="14">
        <f>CHOOSE(CONTROL!$C$42, 28.0891, 28.0891) * CHOOSE(CONTROL!$C$21, $C$9, 100%, $E$9)</f>
        <v>28.089099999999998</v>
      </c>
      <c r="F609" s="14">
        <f>CHOOSE(CONTROL!$C$42, 27.8368, 27.8368)*CHOOSE(CONTROL!$C$21, $C$9, 100%, $E$9)</f>
        <v>27.8368</v>
      </c>
      <c r="G609" s="14">
        <f>CHOOSE(CONTROL!$C$42, 27.8531, 27.8531)*CHOOSE(CONTROL!$C$21, $C$9, 100%, $E$9)</f>
        <v>27.853100000000001</v>
      </c>
      <c r="H609" s="14">
        <f>CHOOSE(CONTROL!$C$42, 28.0777, 28.0777) * CHOOSE(CONTROL!$C$21, $C$9, 100%, $E$9)</f>
        <v>28.0777</v>
      </c>
      <c r="I609" s="14">
        <f>CHOOSE(CONTROL!$C$42, 27.8638, 27.8638)* CHOOSE(CONTROL!$C$21, $C$9, 100%, $E$9)</f>
        <v>27.863800000000001</v>
      </c>
      <c r="J609" s="14">
        <f>CHOOSE(CONTROL!$C$42, 27.8298, 27.8298)* CHOOSE(CONTROL!$C$21, $C$9, 100%, $E$9)</f>
        <v>27.829799999999999</v>
      </c>
      <c r="K609" s="53">
        <f>CHOOSE(CONTROL!$C$42, 27.8599, 27.8599) * CHOOSE(CONTROL!$C$21, $C$9, 100%, $E$9)</f>
        <v>27.8599</v>
      </c>
      <c r="L609" s="14">
        <f>CHOOSE(CONTROL!$C$42, 28.6647, 28.6647) * CHOOSE(CONTROL!$C$21, $C$9, 100%, $E$9)</f>
        <v>28.6647</v>
      </c>
      <c r="M609" s="14">
        <f>CHOOSE(CONTROL!$C$42, 27.5628, 27.5628) * CHOOSE(CONTROL!$C$21, $C$9, 100%, $E$9)</f>
        <v>27.562799999999999</v>
      </c>
      <c r="N609" s="14">
        <f>CHOOSE(CONTROL!$C$42, 27.5789, 27.5789) * CHOOSE(CONTROL!$C$21, $C$9, 100%, $E$9)</f>
        <v>27.578900000000001</v>
      </c>
      <c r="O609" s="14">
        <f>CHOOSE(CONTROL!$C$42, 27.8082, 27.8082) * CHOOSE(CONTROL!$C$21, $C$9, 100%, $E$9)</f>
        <v>27.808199999999999</v>
      </c>
      <c r="P609" s="14">
        <f>CHOOSE(CONTROL!$C$42, 27.5965, 27.5965) * CHOOSE(CONTROL!$C$21, $C$9, 100%, $E$9)</f>
        <v>27.596499999999999</v>
      </c>
      <c r="Q609" s="14">
        <f>CHOOSE(CONTROL!$C$42, 28.4035, 28.4035) * CHOOSE(CONTROL!$C$21, $C$9, 100%, $E$9)</f>
        <v>28.403500000000001</v>
      </c>
      <c r="R609" s="14">
        <f>CHOOSE(CONTROL!$C$42, 29.0615, 29.0615) * CHOOSE(CONTROL!$C$21, $C$9, 100%, $E$9)</f>
        <v>29.061499999999999</v>
      </c>
      <c r="S609" s="14">
        <f>CHOOSE(CONTROL!$C$42, 27.0432, 27.0432) * CHOOSE(CONTROL!$C$21, $C$9, 100%, $E$9)</f>
        <v>27.043199999999999</v>
      </c>
      <c r="T60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09" s="57">
        <f>(1000*CHOOSE(CONTROL!$C$42, 695, 695)*CHOOSE(CONTROL!$C$42, 0.5599, 0.5599)*CHOOSE(CONTROL!$C$42, 30, 30))/1000000</f>
        <v>11.673914999999997</v>
      </c>
      <c r="V609" s="57">
        <f>(1000*CHOOSE(CONTROL!$C$42, 500, 500)*CHOOSE(CONTROL!$C$42, 0.275, 0.275)*CHOOSE(CONTROL!$C$42, 30, 30))/1000000</f>
        <v>4.125</v>
      </c>
      <c r="W609" s="57">
        <f>(1000*CHOOSE(CONTROL!$C$42, 0.1146, 0.1146)*CHOOSE(CONTROL!$C$42, 121.5, 121.5)*CHOOSE(CONTROL!$C$42, 30, 30))/1000000</f>
        <v>0.417717</v>
      </c>
      <c r="X609" s="57">
        <f>(30*0.1790888*245000/1000000)+(30*0.2374*100000/1000000)</f>
        <v>2.0285026799999999</v>
      </c>
      <c r="Y609" s="57"/>
      <c r="Z609" s="14"/>
      <c r="AA609" s="56"/>
      <c r="AB609" s="50">
        <f>(B609*194.205+C609*267.466+D609*133.845+E609*53.484+F609*40+G609*185+H609*0+I609*100+J609*300)/(194.205+267.466+133.845+53.484+0+40+185+100+300)</f>
        <v>27.880769930690739</v>
      </c>
      <c r="AC609" s="45">
        <f>(M609*'RAP TEMPLATE-GAS AVAILABILITY'!O608+N609*'RAP TEMPLATE-GAS AVAILABILITY'!P608+O609*'RAP TEMPLATE-GAS AVAILABILITY'!Q608+P609*'RAP TEMPLATE-GAS AVAILABILITY'!R608)/('RAP TEMPLATE-GAS AVAILABILITY'!O608+'RAP TEMPLATE-GAS AVAILABILITY'!P608+'RAP TEMPLATE-GAS AVAILABILITY'!Q608+'RAP TEMPLATE-GAS AVAILABILITY'!R608)</f>
        <v>27.679800000000004</v>
      </c>
    </row>
    <row r="610" spans="1:29" ht="15.75" x14ac:dyDescent="0.25">
      <c r="A610" s="32">
        <v>59475</v>
      </c>
      <c r="B610" s="14">
        <f>CHOOSE(CONTROL!$C$42, 27.2852, 27.2852) * CHOOSE(CONTROL!$C$21, $C$9, 100%, $E$9)</f>
        <v>27.2852</v>
      </c>
      <c r="C610" s="14">
        <f>CHOOSE(CONTROL!$C$42, 27.2905, 27.2905) * CHOOSE(CONTROL!$C$21, $C$9, 100%, $E$9)</f>
        <v>27.290500000000002</v>
      </c>
      <c r="D610" s="14">
        <f>CHOOSE(CONTROL!$C$42, 27.493, 27.493) * CHOOSE(CONTROL!$C$21, $C$9, 100%, $E$9)</f>
        <v>27.492999999999999</v>
      </c>
      <c r="E610" s="14">
        <f>CHOOSE(CONTROL!$C$42, 27.5218, 27.5218) * CHOOSE(CONTROL!$C$21, $C$9, 100%, $E$9)</f>
        <v>27.521799999999999</v>
      </c>
      <c r="F610" s="14">
        <f>CHOOSE(CONTROL!$C$42, 27.2716, 27.2716)*CHOOSE(CONTROL!$C$21, $C$9, 100%, $E$9)</f>
        <v>27.271599999999999</v>
      </c>
      <c r="G610" s="14">
        <f>CHOOSE(CONTROL!$C$42, 27.2876, 27.2876)*CHOOSE(CONTROL!$C$21, $C$9, 100%, $E$9)</f>
        <v>27.287600000000001</v>
      </c>
      <c r="H610" s="14">
        <f>CHOOSE(CONTROL!$C$42, 27.5123, 27.5123) * CHOOSE(CONTROL!$C$21, $C$9, 100%, $E$9)</f>
        <v>27.5123</v>
      </c>
      <c r="I610" s="14">
        <f>CHOOSE(CONTROL!$C$42, 27.2984, 27.2984)* CHOOSE(CONTROL!$C$21, $C$9, 100%, $E$9)</f>
        <v>27.298400000000001</v>
      </c>
      <c r="J610" s="14">
        <f>CHOOSE(CONTROL!$C$42, 27.2646, 27.2646)* CHOOSE(CONTROL!$C$21, $C$9, 100%, $E$9)</f>
        <v>27.264600000000002</v>
      </c>
      <c r="K610" s="53">
        <f>CHOOSE(CONTROL!$C$42, 27.2945, 27.2945) * CHOOSE(CONTROL!$C$21, $C$9, 100%, $E$9)</f>
        <v>27.294499999999999</v>
      </c>
      <c r="L610" s="14">
        <f>CHOOSE(CONTROL!$C$42, 28.0993, 28.0993) * CHOOSE(CONTROL!$C$21, $C$9, 100%, $E$9)</f>
        <v>28.099299999999999</v>
      </c>
      <c r="M610" s="14">
        <f>CHOOSE(CONTROL!$C$42, 27.0033, 27.0033) * CHOOSE(CONTROL!$C$21, $C$9, 100%, $E$9)</f>
        <v>27.003299999999999</v>
      </c>
      <c r="N610" s="14">
        <f>CHOOSE(CONTROL!$C$42, 27.0191, 27.0191) * CHOOSE(CONTROL!$C$21, $C$9, 100%, $E$9)</f>
        <v>27.019100000000002</v>
      </c>
      <c r="O610" s="14">
        <f>CHOOSE(CONTROL!$C$42, 27.2485, 27.2485) * CHOOSE(CONTROL!$C$21, $C$9, 100%, $E$9)</f>
        <v>27.2485</v>
      </c>
      <c r="P610" s="14">
        <f>CHOOSE(CONTROL!$C$42, 27.0367, 27.0367) * CHOOSE(CONTROL!$C$21, $C$9, 100%, $E$9)</f>
        <v>27.0367</v>
      </c>
      <c r="Q610" s="14">
        <f>CHOOSE(CONTROL!$C$42, 27.8438, 27.8438) * CHOOSE(CONTROL!$C$21, $C$9, 100%, $E$9)</f>
        <v>27.843800000000002</v>
      </c>
      <c r="R610" s="14">
        <f>CHOOSE(CONTROL!$C$42, 28.5004, 28.5004) * CHOOSE(CONTROL!$C$21, $C$9, 100%, $E$9)</f>
        <v>28.500399999999999</v>
      </c>
      <c r="S610" s="14">
        <f>CHOOSE(CONTROL!$C$42, 26.4942, 26.4942) * CHOOSE(CONTROL!$C$21, $C$9, 100%, $E$9)</f>
        <v>26.494199999999999</v>
      </c>
      <c r="T61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10" s="57">
        <f>(1000*CHOOSE(CONTROL!$C$42, 695, 695)*CHOOSE(CONTROL!$C$42, 0.5599, 0.5599)*CHOOSE(CONTROL!$C$42, 31, 31))/1000000</f>
        <v>12.063045499999998</v>
      </c>
      <c r="V610" s="57">
        <f>(1000*CHOOSE(CONTROL!$C$42, 500, 500)*CHOOSE(CONTROL!$C$42, 0.275, 0.275)*CHOOSE(CONTROL!$C$42, 31, 31))/1000000</f>
        <v>4.2625000000000002</v>
      </c>
      <c r="W610" s="57">
        <f>(1000*CHOOSE(CONTROL!$C$42, 0.1146, 0.1146)*CHOOSE(CONTROL!$C$42, 121.5, 121.5)*CHOOSE(CONTROL!$C$42, 31, 31))/1000000</f>
        <v>0.43164089999999994</v>
      </c>
      <c r="X610" s="57">
        <f>(31*0.1790888*245000/1000000)+(31*0.2374*100000/1000000)</f>
        <v>2.0961194359999999</v>
      </c>
      <c r="Y610" s="57"/>
      <c r="Z610" s="14"/>
      <c r="AA610" s="56"/>
      <c r="AB610" s="50">
        <f>(B610*131.881+C610*277.167+D610*79.08+E610*125.872+F610*40+G610*185+H610*0+I610*100+J610*300)/(131.881+277.167+79.08+125.872+0+40+185+100+300)</f>
        <v>27.319681940516546</v>
      </c>
      <c r="AC610" s="45">
        <f>(M610*'RAP TEMPLATE-GAS AVAILABILITY'!O609+N610*'RAP TEMPLATE-GAS AVAILABILITY'!P609+O610*'RAP TEMPLATE-GAS AVAILABILITY'!Q609+P610*'RAP TEMPLATE-GAS AVAILABILITY'!R609)/('RAP TEMPLATE-GAS AVAILABILITY'!O609+'RAP TEMPLATE-GAS AVAILABILITY'!P609+'RAP TEMPLATE-GAS AVAILABILITY'!Q609+'RAP TEMPLATE-GAS AVAILABILITY'!R609)</f>
        <v>27.120148920863308</v>
      </c>
    </row>
    <row r="611" spans="1:29" ht="15.75" x14ac:dyDescent="0.25">
      <c r="A611" s="32">
        <v>59505</v>
      </c>
      <c r="B611" s="14">
        <f>CHOOSE(CONTROL!$C$42, 28.0036, 28.0036) * CHOOSE(CONTROL!$C$21, $C$9, 100%, $E$9)</f>
        <v>28.003599999999999</v>
      </c>
      <c r="C611" s="14">
        <f>CHOOSE(CONTROL!$C$42, 28.0085, 28.0085) * CHOOSE(CONTROL!$C$21, $C$9, 100%, $E$9)</f>
        <v>28.008500000000002</v>
      </c>
      <c r="D611" s="14">
        <f>CHOOSE(CONTROL!$C$42, 28.0716, 28.0716) * CHOOSE(CONTROL!$C$21, $C$9, 100%, $E$9)</f>
        <v>28.0716</v>
      </c>
      <c r="E611" s="14">
        <f>CHOOSE(CONTROL!$C$42, 28.1054, 28.1054) * CHOOSE(CONTROL!$C$21, $C$9, 100%, $E$9)</f>
        <v>28.105399999999999</v>
      </c>
      <c r="F611" s="14">
        <f>CHOOSE(CONTROL!$C$42, 28.0043, 28.0043)*CHOOSE(CONTROL!$C$21, $C$9, 100%, $E$9)</f>
        <v>28.004300000000001</v>
      </c>
      <c r="G611" s="14">
        <f>CHOOSE(CONTROL!$C$42, 28.0205, 28.0205)*CHOOSE(CONTROL!$C$21, $C$9, 100%, $E$9)</f>
        <v>28.020499999999998</v>
      </c>
      <c r="H611" s="14">
        <f>CHOOSE(CONTROL!$C$42, 28.0946, 28.0946) * CHOOSE(CONTROL!$C$21, $C$9, 100%, $E$9)</f>
        <v>28.0946</v>
      </c>
      <c r="I611" s="14">
        <f>CHOOSE(CONTROL!$C$42, 28.0171, 28.0171)* CHOOSE(CONTROL!$C$21, $C$9, 100%, $E$9)</f>
        <v>28.017099999999999</v>
      </c>
      <c r="J611" s="14">
        <f>CHOOSE(CONTROL!$C$42, 27.9973, 27.9973)* CHOOSE(CONTROL!$C$21, $C$9, 100%, $E$9)</f>
        <v>27.997299999999999</v>
      </c>
      <c r="K611" s="53">
        <f>CHOOSE(CONTROL!$C$42, 28.0132, 28.0132) * CHOOSE(CONTROL!$C$21, $C$9, 100%, $E$9)</f>
        <v>28.013200000000001</v>
      </c>
      <c r="L611" s="14">
        <f>CHOOSE(CONTROL!$C$42, 28.6816, 28.6816) * CHOOSE(CONTROL!$C$21, $C$9, 100%, $E$9)</f>
        <v>28.6816</v>
      </c>
      <c r="M611" s="14">
        <f>CHOOSE(CONTROL!$C$42, 27.7285, 27.7285) * CHOOSE(CONTROL!$C$21, $C$9, 100%, $E$9)</f>
        <v>27.7285</v>
      </c>
      <c r="N611" s="14">
        <f>CHOOSE(CONTROL!$C$42, 27.7447, 27.7447) * CHOOSE(CONTROL!$C$21, $C$9, 100%, $E$9)</f>
        <v>27.744700000000002</v>
      </c>
      <c r="O611" s="14">
        <f>CHOOSE(CONTROL!$C$42, 27.8249, 27.8249) * CHOOSE(CONTROL!$C$21, $C$9, 100%, $E$9)</f>
        <v>27.8249</v>
      </c>
      <c r="P611" s="14">
        <f>CHOOSE(CONTROL!$C$42, 27.7482, 27.7482) * CHOOSE(CONTROL!$C$21, $C$9, 100%, $E$9)</f>
        <v>27.748200000000001</v>
      </c>
      <c r="Q611" s="14">
        <f>CHOOSE(CONTROL!$C$42, 28.4202, 28.4202) * CHOOSE(CONTROL!$C$21, $C$9, 100%, $E$9)</f>
        <v>28.420200000000001</v>
      </c>
      <c r="R611" s="14">
        <f>CHOOSE(CONTROL!$C$42, 29.0782, 29.0782) * CHOOSE(CONTROL!$C$21, $C$9, 100%, $E$9)</f>
        <v>29.078199999999999</v>
      </c>
      <c r="S611" s="14">
        <f>CHOOSE(CONTROL!$C$42, 27.1921, 27.1921) * CHOOSE(CONTROL!$C$21, $C$9, 100%, $E$9)</f>
        <v>27.1921</v>
      </c>
      <c r="T61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11" s="57">
        <f>(1000*CHOOSE(CONTROL!$C$42, 695, 695)*CHOOSE(CONTROL!$C$42, 0.5599, 0.5599)*CHOOSE(CONTROL!$C$42, 30, 30))/1000000</f>
        <v>11.673914999999997</v>
      </c>
      <c r="V611" s="57">
        <f>(1000*CHOOSE(CONTROL!$C$42, 500, 500)*CHOOSE(CONTROL!$C$42, 0.275, 0.275)*CHOOSE(CONTROL!$C$42, 30, 30))/1000000</f>
        <v>4.125</v>
      </c>
      <c r="W611" s="57">
        <f>(1000*CHOOSE(CONTROL!$C$42, 0.1146, 0.1146)*CHOOSE(CONTROL!$C$42, 121.5, 121.5)*CHOOSE(CONTROL!$C$42, 30, 30))/1000000</f>
        <v>0.417717</v>
      </c>
      <c r="X611" s="57">
        <f>(30*0.1790888*100000/1000000)+(30*0.2374*100000/1000000)</f>
        <v>1.2494664</v>
      </c>
      <c r="Y611" s="57"/>
      <c r="Z611" s="14"/>
      <c r="AA611" s="56"/>
      <c r="AB611" s="50">
        <f>(B611*122.58+C611*297.941+D611*89.177+E611*40.302+F611*40+G611*160+H611*0+I611*100+J611*300)/(122.58+297.941+89.177+40.302+0+40+160+100+300)</f>
        <v>28.015616252608691</v>
      </c>
      <c r="AC611" s="45">
        <f>(M611*'RAP TEMPLATE-GAS AVAILABILITY'!O610+N611*'RAP TEMPLATE-GAS AVAILABILITY'!P610+O611*'RAP TEMPLATE-GAS AVAILABILITY'!Q610+P611*'RAP TEMPLATE-GAS AVAILABILITY'!R610)/('RAP TEMPLATE-GAS AVAILABILITY'!O610+'RAP TEMPLATE-GAS AVAILABILITY'!P610+'RAP TEMPLATE-GAS AVAILABILITY'!Q610+'RAP TEMPLATE-GAS AVAILABILITY'!R610)</f>
        <v>27.775958992805755</v>
      </c>
    </row>
    <row r="612" spans="1:29" ht="15.75" x14ac:dyDescent="0.25">
      <c r="A612" s="32">
        <v>59536</v>
      </c>
      <c r="B612" s="14">
        <f>CHOOSE(CONTROL!$C$42, 29.9126, 29.9126) * CHOOSE(CONTROL!$C$21, $C$9, 100%, $E$9)</f>
        <v>29.912600000000001</v>
      </c>
      <c r="C612" s="14">
        <f>CHOOSE(CONTROL!$C$42, 29.9176, 29.9176) * CHOOSE(CONTROL!$C$21, $C$9, 100%, $E$9)</f>
        <v>29.9176</v>
      </c>
      <c r="D612" s="14">
        <f>CHOOSE(CONTROL!$C$42, 29.9807, 29.9807) * CHOOSE(CONTROL!$C$21, $C$9, 100%, $E$9)</f>
        <v>29.980699999999999</v>
      </c>
      <c r="E612" s="14">
        <f>CHOOSE(CONTROL!$C$42, 30.0144, 30.0144) * CHOOSE(CONTROL!$C$21, $C$9, 100%, $E$9)</f>
        <v>30.014399999999998</v>
      </c>
      <c r="F612" s="14">
        <f>CHOOSE(CONTROL!$C$42, 29.9154, 29.9154)*CHOOSE(CONTROL!$C$21, $C$9, 100%, $E$9)</f>
        <v>29.915400000000002</v>
      </c>
      <c r="G612" s="14">
        <f>CHOOSE(CONTROL!$C$42, 29.9322, 29.9322)*CHOOSE(CONTROL!$C$21, $C$9, 100%, $E$9)</f>
        <v>29.932200000000002</v>
      </c>
      <c r="H612" s="14">
        <f>CHOOSE(CONTROL!$C$42, 30.0036, 30.0036) * CHOOSE(CONTROL!$C$21, $C$9, 100%, $E$9)</f>
        <v>30.003599999999999</v>
      </c>
      <c r="I612" s="14">
        <f>CHOOSE(CONTROL!$C$42, 29.9262, 29.9262)* CHOOSE(CONTROL!$C$21, $C$9, 100%, $E$9)</f>
        <v>29.926200000000001</v>
      </c>
      <c r="J612" s="14">
        <f>CHOOSE(CONTROL!$C$42, 29.9084, 29.9084)* CHOOSE(CONTROL!$C$21, $C$9, 100%, $E$9)</f>
        <v>29.9084</v>
      </c>
      <c r="K612" s="53">
        <f>CHOOSE(CONTROL!$C$42, 29.9223, 29.9223) * CHOOSE(CONTROL!$C$21, $C$9, 100%, $E$9)</f>
        <v>29.9223</v>
      </c>
      <c r="L612" s="14">
        <f>CHOOSE(CONTROL!$C$42, 30.5906, 30.5906) * CHOOSE(CONTROL!$C$21, $C$9, 100%, $E$9)</f>
        <v>30.590599999999998</v>
      </c>
      <c r="M612" s="14">
        <f>CHOOSE(CONTROL!$C$42, 29.6204, 29.6204) * CHOOSE(CONTROL!$C$21, $C$9, 100%, $E$9)</f>
        <v>29.6204</v>
      </c>
      <c r="N612" s="14">
        <f>CHOOSE(CONTROL!$C$42, 29.637, 29.637) * CHOOSE(CONTROL!$C$21, $C$9, 100%, $E$9)</f>
        <v>29.637</v>
      </c>
      <c r="O612" s="14">
        <f>CHOOSE(CONTROL!$C$42, 29.7147, 29.7147) * CHOOSE(CONTROL!$C$21, $C$9, 100%, $E$9)</f>
        <v>29.714700000000001</v>
      </c>
      <c r="P612" s="14">
        <f>CHOOSE(CONTROL!$C$42, 29.638, 29.638) * CHOOSE(CONTROL!$C$21, $C$9, 100%, $E$9)</f>
        <v>29.638000000000002</v>
      </c>
      <c r="Q612" s="14">
        <f>CHOOSE(CONTROL!$C$42, 30.31, 30.31) * CHOOSE(CONTROL!$C$21, $C$9, 100%, $E$9)</f>
        <v>30.31</v>
      </c>
      <c r="R612" s="14">
        <f>CHOOSE(CONTROL!$C$42, 30.9727, 30.9727) * CHOOSE(CONTROL!$C$21, $C$9, 100%, $E$9)</f>
        <v>30.9727</v>
      </c>
      <c r="S612" s="14">
        <f>CHOOSE(CONTROL!$C$42, 29.046, 29.046) * CHOOSE(CONTROL!$C$21, $C$9, 100%, $E$9)</f>
        <v>29.045999999999999</v>
      </c>
      <c r="T61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12" s="57">
        <f>(1000*CHOOSE(CONTROL!$C$42, 695, 695)*CHOOSE(CONTROL!$C$42, 0.5599, 0.5599)*CHOOSE(CONTROL!$C$42, 31, 31))/1000000</f>
        <v>12.063045499999998</v>
      </c>
      <c r="V612" s="57">
        <f>(1000*CHOOSE(CONTROL!$C$42, 500, 500)*CHOOSE(CONTROL!$C$42, 0.275, 0.275)*CHOOSE(CONTROL!$C$42, 31, 31))/1000000</f>
        <v>4.2625000000000002</v>
      </c>
      <c r="W612" s="57">
        <f>(1000*CHOOSE(CONTROL!$C$42, 0.1146, 0.1146)*CHOOSE(CONTROL!$C$42, 121.5, 121.5)*CHOOSE(CONTROL!$C$42, 31, 31))/1000000</f>
        <v>0.43164089999999994</v>
      </c>
      <c r="X612" s="57">
        <f>(31*0.1790888*100000/1000000)+(31*0.2374*100000/1000000)</f>
        <v>1.2911152800000001</v>
      </c>
      <c r="Y612" s="57"/>
      <c r="Z612" s="14"/>
      <c r="AA612" s="56"/>
      <c r="AB612" s="50">
        <f>(B612*122.58+C612*297.941+D612*89.177+E612*40.302+F612*40+G612*160+H612*0+I612*100+J612*300)/(122.58+297.941+89.177+40.302+0+40+160+100+300)</f>
        <v>29.925655132434787</v>
      </c>
      <c r="AC612" s="45">
        <f>(M612*'RAP TEMPLATE-GAS AVAILABILITY'!O611+N612*'RAP TEMPLATE-GAS AVAILABILITY'!P611+O612*'RAP TEMPLATE-GAS AVAILABILITY'!Q611+P612*'RAP TEMPLATE-GAS AVAILABILITY'!R611)/('RAP TEMPLATE-GAS AVAILABILITY'!O611+'RAP TEMPLATE-GAS AVAILABILITY'!P611+'RAP TEMPLATE-GAS AVAILABILITY'!Q611+'RAP TEMPLATE-GAS AVAILABILITY'!R611)</f>
        <v>29.666628057553954</v>
      </c>
    </row>
    <row r="613" spans="1:29" ht="15.75" x14ac:dyDescent="0.25">
      <c r="A613" s="32">
        <v>59567</v>
      </c>
      <c r="B613" s="14">
        <f>CHOOSE(CONTROL!$C$42, 32.3633, 32.3633) * CHOOSE(CONTROL!$C$21, $C$9, 100%, $E$9)</f>
        <v>32.363300000000002</v>
      </c>
      <c r="C613" s="14">
        <f>CHOOSE(CONTROL!$C$42, 32.3683, 32.3683) * CHOOSE(CONTROL!$C$21, $C$9, 100%, $E$9)</f>
        <v>32.368299999999998</v>
      </c>
      <c r="D613" s="14">
        <f>CHOOSE(CONTROL!$C$42, 32.4326, 32.4326) * CHOOSE(CONTROL!$C$21, $C$9, 100%, $E$9)</f>
        <v>32.432600000000001</v>
      </c>
      <c r="E613" s="14">
        <f>CHOOSE(CONTROL!$C$42, 32.4663, 32.4663) * CHOOSE(CONTROL!$C$21, $C$9, 100%, $E$9)</f>
        <v>32.466299999999997</v>
      </c>
      <c r="F613" s="14">
        <f>CHOOSE(CONTROL!$C$42, 32.3648, 32.3648)*CHOOSE(CONTROL!$C$21, $C$9, 100%, $E$9)</f>
        <v>32.364800000000002</v>
      </c>
      <c r="G613" s="14">
        <f>CHOOSE(CONTROL!$C$42, 32.3808, 32.3808)*CHOOSE(CONTROL!$C$21, $C$9, 100%, $E$9)</f>
        <v>32.380800000000001</v>
      </c>
      <c r="H613" s="14">
        <f>CHOOSE(CONTROL!$C$42, 32.4555, 32.4555) * CHOOSE(CONTROL!$C$21, $C$9, 100%, $E$9)</f>
        <v>32.455500000000001</v>
      </c>
      <c r="I613" s="14">
        <f>CHOOSE(CONTROL!$C$42, 32.3833, 32.3833)* CHOOSE(CONTROL!$C$21, $C$9, 100%, $E$9)</f>
        <v>32.383299999999998</v>
      </c>
      <c r="J613" s="14">
        <f>CHOOSE(CONTROL!$C$42, 32.3578, 32.3578)* CHOOSE(CONTROL!$C$21, $C$9, 100%, $E$9)</f>
        <v>32.357799999999997</v>
      </c>
      <c r="K613" s="53">
        <f>CHOOSE(CONTROL!$C$42, 32.3794, 32.3794) * CHOOSE(CONTROL!$C$21, $C$9, 100%, $E$9)</f>
        <v>32.379399999999997</v>
      </c>
      <c r="L613" s="14">
        <f>CHOOSE(CONTROL!$C$42, 33.0425, 33.0425) * CHOOSE(CONTROL!$C$21, $C$9, 100%, $E$9)</f>
        <v>33.042499999999997</v>
      </c>
      <c r="M613" s="14">
        <f>CHOOSE(CONTROL!$C$42, 32.0451, 32.0451) * CHOOSE(CONTROL!$C$21, $C$9, 100%, $E$9)</f>
        <v>32.045099999999998</v>
      </c>
      <c r="N613" s="14">
        <f>CHOOSE(CONTROL!$C$42, 32.0609, 32.0609) * CHOOSE(CONTROL!$C$21, $C$9, 100%, $E$9)</f>
        <v>32.060899999999997</v>
      </c>
      <c r="O613" s="14">
        <f>CHOOSE(CONTROL!$C$42, 32.1418, 32.1418) * CHOOSE(CONTROL!$C$21, $C$9, 100%, $E$9)</f>
        <v>32.141800000000003</v>
      </c>
      <c r="P613" s="14">
        <f>CHOOSE(CONTROL!$C$42, 32.0704, 32.0704) * CHOOSE(CONTROL!$C$21, $C$9, 100%, $E$9)</f>
        <v>32.070399999999999</v>
      </c>
      <c r="Q613" s="14">
        <f>CHOOSE(CONTROL!$C$42, 32.7371, 32.7371) * CHOOSE(CONTROL!$C$21, $C$9, 100%, $E$9)</f>
        <v>32.737099999999998</v>
      </c>
      <c r="R613" s="14">
        <f>CHOOSE(CONTROL!$C$42, 33.406, 33.406) * CHOOSE(CONTROL!$C$21, $C$9, 100%, $E$9)</f>
        <v>33.405999999999999</v>
      </c>
      <c r="S613" s="14">
        <f>CHOOSE(CONTROL!$C$42, 31.4259, 31.4259) * CHOOSE(CONTROL!$C$21, $C$9, 100%, $E$9)</f>
        <v>31.425899999999999</v>
      </c>
      <c r="T61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13" s="57">
        <f>(1000*CHOOSE(CONTROL!$C$42, 695, 695)*CHOOSE(CONTROL!$C$42, 0.5599, 0.5599)*CHOOSE(CONTROL!$C$42, 31, 31))/1000000</f>
        <v>12.063045499999998</v>
      </c>
      <c r="V613" s="57">
        <f>(1000*CHOOSE(CONTROL!$C$42, 500, 500)*CHOOSE(CONTROL!$C$42, 0.275, 0.275)*CHOOSE(CONTROL!$C$42, 31, 31))/1000000</f>
        <v>4.2625000000000002</v>
      </c>
      <c r="W613" s="57">
        <f>(1000*CHOOSE(CONTROL!$C$42, 0.1146, 0.1146)*CHOOSE(CONTROL!$C$42, 121.5, 121.5)*CHOOSE(CONTROL!$C$42, 31, 31))/1000000</f>
        <v>0.43164089999999994</v>
      </c>
      <c r="X613" s="57">
        <f>(31*0.1790888*100000/1000000)+(31*0.2374*100000/1000000)</f>
        <v>1.2911152800000001</v>
      </c>
      <c r="Y613" s="57"/>
      <c r="Z613" s="14"/>
      <c r="AA613" s="56"/>
      <c r="AB613" s="50">
        <f>(B613*122.58+C613*297.941+D613*89.177+E613*40.302+F613*40+G613*160+H613*0+I613*100+J613*300)/(122.58+297.941+89.177+40.302+0+40+160+100+300)</f>
        <v>32.376370240956525</v>
      </c>
      <c r="AC613" s="45">
        <f>(M613*'RAP TEMPLATE-GAS AVAILABILITY'!O612+N613*'RAP TEMPLATE-GAS AVAILABILITY'!P612+O613*'RAP TEMPLATE-GAS AVAILABILITY'!Q612+P613*'RAP TEMPLATE-GAS AVAILABILITY'!R612)/('RAP TEMPLATE-GAS AVAILABILITY'!O612+'RAP TEMPLATE-GAS AVAILABILITY'!P612+'RAP TEMPLATE-GAS AVAILABILITY'!Q612+'RAP TEMPLATE-GAS AVAILABILITY'!R612)</f>
        <v>32.093477697841735</v>
      </c>
    </row>
    <row r="614" spans="1:29" ht="15.75" x14ac:dyDescent="0.25">
      <c r="A614" s="32">
        <v>59595</v>
      </c>
      <c r="B614" s="14">
        <f>CHOOSE(CONTROL!$C$42, 32.9394, 32.9394) * CHOOSE(CONTROL!$C$21, $C$9, 100%, $E$9)</f>
        <v>32.939399999999999</v>
      </c>
      <c r="C614" s="14">
        <f>CHOOSE(CONTROL!$C$42, 32.9443, 32.9443) * CHOOSE(CONTROL!$C$21, $C$9, 100%, $E$9)</f>
        <v>32.944299999999998</v>
      </c>
      <c r="D614" s="14">
        <f>CHOOSE(CONTROL!$C$42, 33.0086, 33.0086) * CHOOSE(CONTROL!$C$21, $C$9, 100%, $E$9)</f>
        <v>33.008600000000001</v>
      </c>
      <c r="E614" s="14">
        <f>CHOOSE(CONTROL!$C$42, 33.0424, 33.0424) * CHOOSE(CONTROL!$C$21, $C$9, 100%, $E$9)</f>
        <v>33.042400000000001</v>
      </c>
      <c r="F614" s="14">
        <f>CHOOSE(CONTROL!$C$42, 32.941, 32.941)*CHOOSE(CONTROL!$C$21, $C$9, 100%, $E$9)</f>
        <v>32.941000000000003</v>
      </c>
      <c r="G614" s="14">
        <f>CHOOSE(CONTROL!$C$42, 32.9569, 32.9569)*CHOOSE(CONTROL!$C$21, $C$9, 100%, $E$9)</f>
        <v>32.956899999999997</v>
      </c>
      <c r="H614" s="14">
        <f>CHOOSE(CONTROL!$C$42, 33.0316, 33.0316) * CHOOSE(CONTROL!$C$21, $C$9, 100%, $E$9)</f>
        <v>33.031599999999997</v>
      </c>
      <c r="I614" s="14">
        <f>CHOOSE(CONTROL!$C$42, 32.9594, 32.9594)* CHOOSE(CONTROL!$C$21, $C$9, 100%, $E$9)</f>
        <v>32.959400000000002</v>
      </c>
      <c r="J614" s="14">
        <f>CHOOSE(CONTROL!$C$42, 32.934, 32.934)* CHOOSE(CONTROL!$C$21, $C$9, 100%, $E$9)</f>
        <v>32.933999999999997</v>
      </c>
      <c r="K614" s="53">
        <f>CHOOSE(CONTROL!$C$42, 32.9555, 32.9555) * CHOOSE(CONTROL!$C$21, $C$9, 100%, $E$9)</f>
        <v>32.955500000000001</v>
      </c>
      <c r="L614" s="14">
        <f>CHOOSE(CONTROL!$C$42, 33.6186, 33.6186) * CHOOSE(CONTROL!$C$21, $C$9, 100%, $E$9)</f>
        <v>33.618600000000001</v>
      </c>
      <c r="M614" s="14">
        <f>CHOOSE(CONTROL!$C$42, 32.6154, 32.6154) * CHOOSE(CONTROL!$C$21, $C$9, 100%, $E$9)</f>
        <v>32.615400000000001</v>
      </c>
      <c r="N614" s="14">
        <f>CHOOSE(CONTROL!$C$42, 32.6312, 32.6312) * CHOOSE(CONTROL!$C$21, $C$9, 100%, $E$9)</f>
        <v>32.6312</v>
      </c>
      <c r="O614" s="14">
        <f>CHOOSE(CONTROL!$C$42, 32.7121, 32.7121) * CHOOSE(CONTROL!$C$21, $C$9, 100%, $E$9)</f>
        <v>32.7121</v>
      </c>
      <c r="P614" s="14">
        <f>CHOOSE(CONTROL!$C$42, 32.6406, 32.6406) * CHOOSE(CONTROL!$C$21, $C$9, 100%, $E$9)</f>
        <v>32.640599999999999</v>
      </c>
      <c r="Q614" s="14">
        <f>CHOOSE(CONTROL!$C$42, 33.3074, 33.3074) * CHOOSE(CONTROL!$C$21, $C$9, 100%, $E$9)</f>
        <v>33.307400000000001</v>
      </c>
      <c r="R614" s="14">
        <f>CHOOSE(CONTROL!$C$42, 33.9776, 33.9776) * CHOOSE(CONTROL!$C$21, $C$9, 100%, $E$9)</f>
        <v>33.977600000000002</v>
      </c>
      <c r="S614" s="14">
        <f>CHOOSE(CONTROL!$C$42, 31.9853, 31.9853) * CHOOSE(CONTROL!$C$21, $C$9, 100%, $E$9)</f>
        <v>31.985299999999999</v>
      </c>
      <c r="T61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14" s="57">
        <f>(1000*CHOOSE(CONTROL!$C$42, 695, 695)*CHOOSE(CONTROL!$C$42, 0.5599, 0.5599)*CHOOSE(CONTROL!$C$42, 28, 28))/1000000</f>
        <v>10.895653999999999</v>
      </c>
      <c r="V614" s="57">
        <f>(1000*CHOOSE(CONTROL!$C$42, 500, 500)*CHOOSE(CONTROL!$C$42, 0.275, 0.275)*CHOOSE(CONTROL!$C$42, 28, 28))/1000000</f>
        <v>3.85</v>
      </c>
      <c r="W614" s="57">
        <f>(1000*CHOOSE(CONTROL!$C$42, 0.1146, 0.1146)*CHOOSE(CONTROL!$C$42, 121.5, 121.5)*CHOOSE(CONTROL!$C$42, 28, 28))/1000000</f>
        <v>0.38986920000000003</v>
      </c>
      <c r="X614" s="57">
        <f>(28*0.1790888*100000/1000000)+(28*0.2374*100000/1000000)</f>
        <v>1.16616864</v>
      </c>
      <c r="Y614" s="57"/>
      <c r="Z614" s="14"/>
      <c r="AA614" s="56"/>
      <c r="AB614" s="50">
        <f>(B614*122.58+C614*297.941+D614*89.177+E614*40.302+F614*40+G614*160+H614*0+I614*100+J614*300)/(122.58+297.941+89.177+40.302+0+40+160+100+300)</f>
        <v>32.95246614373913</v>
      </c>
      <c r="AC614" s="45">
        <f>(M614*'RAP TEMPLATE-GAS AVAILABILITY'!O613+N614*'RAP TEMPLATE-GAS AVAILABILITY'!P613+O614*'RAP TEMPLATE-GAS AVAILABILITY'!Q613+P614*'RAP TEMPLATE-GAS AVAILABILITY'!R613)/('RAP TEMPLATE-GAS AVAILABILITY'!O613+'RAP TEMPLATE-GAS AVAILABILITY'!P613+'RAP TEMPLATE-GAS AVAILABILITY'!Q613+'RAP TEMPLATE-GAS AVAILABILITY'!R613)</f>
        <v>32.663763309352518</v>
      </c>
    </row>
    <row r="615" spans="1:29" ht="15.75" x14ac:dyDescent="0.25">
      <c r="A615" s="32">
        <v>59626</v>
      </c>
      <c r="B615" s="14">
        <f>CHOOSE(CONTROL!$C$42, 32.0043, 32.0043) * CHOOSE(CONTROL!$C$21, $C$9, 100%, $E$9)</f>
        <v>32.004300000000001</v>
      </c>
      <c r="C615" s="14">
        <f>CHOOSE(CONTROL!$C$42, 32.0093, 32.0093) * CHOOSE(CONTROL!$C$21, $C$9, 100%, $E$9)</f>
        <v>32.009300000000003</v>
      </c>
      <c r="D615" s="14">
        <f>CHOOSE(CONTROL!$C$42, 32.0735, 32.0735) * CHOOSE(CONTROL!$C$21, $C$9, 100%, $E$9)</f>
        <v>32.073500000000003</v>
      </c>
      <c r="E615" s="14">
        <f>CHOOSE(CONTROL!$C$42, 32.1073, 32.1073) * CHOOSE(CONTROL!$C$21, $C$9, 100%, $E$9)</f>
        <v>32.107300000000002</v>
      </c>
      <c r="F615" s="14">
        <f>CHOOSE(CONTROL!$C$42, 32.0056, 32.0056)*CHOOSE(CONTROL!$C$21, $C$9, 100%, $E$9)</f>
        <v>32.005600000000001</v>
      </c>
      <c r="G615" s="14">
        <f>CHOOSE(CONTROL!$C$42, 32.0214, 32.0214)*CHOOSE(CONTROL!$C$21, $C$9, 100%, $E$9)</f>
        <v>32.0214</v>
      </c>
      <c r="H615" s="14">
        <f>CHOOSE(CONTROL!$C$42, 32.0965, 32.0965) * CHOOSE(CONTROL!$C$21, $C$9, 100%, $E$9)</f>
        <v>32.096499999999999</v>
      </c>
      <c r="I615" s="14">
        <f>CHOOSE(CONTROL!$C$42, 32.0243, 32.0243)* CHOOSE(CONTROL!$C$21, $C$9, 100%, $E$9)</f>
        <v>32.024299999999997</v>
      </c>
      <c r="J615" s="14">
        <f>CHOOSE(CONTROL!$C$42, 31.9986, 31.9986)* CHOOSE(CONTROL!$C$21, $C$9, 100%, $E$9)</f>
        <v>31.9986</v>
      </c>
      <c r="K615" s="53">
        <f>CHOOSE(CONTROL!$C$42, 32.0204, 32.0204) * CHOOSE(CONTROL!$C$21, $C$9, 100%, $E$9)</f>
        <v>32.020400000000002</v>
      </c>
      <c r="L615" s="14">
        <f>CHOOSE(CONTROL!$C$42, 32.6835, 32.6835) * CHOOSE(CONTROL!$C$21, $C$9, 100%, $E$9)</f>
        <v>32.683500000000002</v>
      </c>
      <c r="M615" s="14">
        <f>CHOOSE(CONTROL!$C$42, 31.6895, 31.6895) * CHOOSE(CONTROL!$C$21, $C$9, 100%, $E$9)</f>
        <v>31.689499999999999</v>
      </c>
      <c r="N615" s="14">
        <f>CHOOSE(CONTROL!$C$42, 31.7051, 31.7051) * CHOOSE(CONTROL!$C$21, $C$9, 100%, $E$9)</f>
        <v>31.705100000000002</v>
      </c>
      <c r="O615" s="14">
        <f>CHOOSE(CONTROL!$C$42, 31.7864, 31.7864) * CHOOSE(CONTROL!$C$21, $C$9, 100%, $E$9)</f>
        <v>31.7864</v>
      </c>
      <c r="P615" s="14">
        <f>CHOOSE(CONTROL!$C$42, 31.715, 31.715) * CHOOSE(CONTROL!$C$21, $C$9, 100%, $E$9)</f>
        <v>31.715</v>
      </c>
      <c r="Q615" s="14">
        <f>CHOOSE(CONTROL!$C$42, 32.3817, 32.3817) * CHOOSE(CONTROL!$C$21, $C$9, 100%, $E$9)</f>
        <v>32.381700000000002</v>
      </c>
      <c r="R615" s="14">
        <f>CHOOSE(CONTROL!$C$42, 33.0497, 33.0497) * CHOOSE(CONTROL!$C$21, $C$9, 100%, $E$9)</f>
        <v>33.049700000000001</v>
      </c>
      <c r="S615" s="14">
        <f>CHOOSE(CONTROL!$C$42, 31.0772, 31.0772) * CHOOSE(CONTROL!$C$21, $C$9, 100%, $E$9)</f>
        <v>31.077200000000001</v>
      </c>
      <c r="T61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15" s="57">
        <f>(1000*CHOOSE(CONTROL!$C$42, 695, 695)*CHOOSE(CONTROL!$C$42, 0.5599, 0.5599)*CHOOSE(CONTROL!$C$42, 31, 31))/1000000</f>
        <v>12.063045499999998</v>
      </c>
      <c r="V615" s="57">
        <f>(1000*CHOOSE(CONTROL!$C$42, 500, 500)*CHOOSE(CONTROL!$C$42, 0.275, 0.275)*CHOOSE(CONTROL!$C$42, 31, 31))/1000000</f>
        <v>4.2625000000000002</v>
      </c>
      <c r="W615" s="57">
        <f>(1000*CHOOSE(CONTROL!$C$42, 0.1146, 0.1146)*CHOOSE(CONTROL!$C$42, 121.5, 121.5)*CHOOSE(CONTROL!$C$42, 31, 31))/1000000</f>
        <v>0.43164089999999994</v>
      </c>
      <c r="X615" s="57">
        <f>(31*0.1790888*100000/1000000)+(31*0.2374*100000/1000000)</f>
        <v>1.2911152800000001</v>
      </c>
      <c r="Y615" s="57"/>
      <c r="Z615" s="14"/>
      <c r="AA615" s="56"/>
      <c r="AB615" s="50">
        <f>(B615*122.58+C615*297.941+D615*89.177+E615*40.302+F615*40+G615*160+H615*0+I615*100+J615*300)/(122.58+297.941+89.177+40.302+0+40+160+100+300)</f>
        <v>32.017247703826094</v>
      </c>
      <c r="AC615" s="45">
        <f>(M615*'RAP TEMPLATE-GAS AVAILABILITY'!O614+N615*'RAP TEMPLATE-GAS AVAILABILITY'!P614+O615*'RAP TEMPLATE-GAS AVAILABILITY'!Q614+P615*'RAP TEMPLATE-GAS AVAILABILITY'!R614)/('RAP TEMPLATE-GAS AVAILABILITY'!O614+'RAP TEMPLATE-GAS AVAILABILITY'!P614+'RAP TEMPLATE-GAS AVAILABILITY'!Q614+'RAP TEMPLATE-GAS AVAILABILITY'!R614)</f>
        <v>31.737985611510794</v>
      </c>
    </row>
    <row r="616" spans="1:29" ht="15.75" x14ac:dyDescent="0.25">
      <c r="A616" s="32">
        <v>59656</v>
      </c>
      <c r="B616" s="14">
        <f>CHOOSE(CONTROL!$C$42, 31.9097, 31.9097) * CHOOSE(CONTROL!$C$21, $C$9, 100%, $E$9)</f>
        <v>31.909700000000001</v>
      </c>
      <c r="C616" s="14">
        <f>CHOOSE(CONTROL!$C$42, 31.914, 31.914) * CHOOSE(CONTROL!$C$21, $C$9, 100%, $E$9)</f>
        <v>31.914000000000001</v>
      </c>
      <c r="D616" s="14">
        <f>CHOOSE(CONTROL!$C$42, 32.1148, 32.1148) * CHOOSE(CONTROL!$C$21, $C$9, 100%, $E$9)</f>
        <v>32.114800000000002</v>
      </c>
      <c r="E616" s="14">
        <f>CHOOSE(CONTROL!$C$42, 32.1465, 32.1465) * CHOOSE(CONTROL!$C$21, $C$9, 100%, $E$9)</f>
        <v>32.146500000000003</v>
      </c>
      <c r="F616" s="14">
        <f>CHOOSE(CONTROL!$C$42, 31.8942, 31.8942)*CHOOSE(CONTROL!$C$21, $C$9, 100%, $E$9)</f>
        <v>31.894200000000001</v>
      </c>
      <c r="G616" s="14">
        <f>CHOOSE(CONTROL!$C$42, 31.9099, 31.9099)*CHOOSE(CONTROL!$C$21, $C$9, 100%, $E$9)</f>
        <v>31.9099</v>
      </c>
      <c r="H616" s="14">
        <f>CHOOSE(CONTROL!$C$42, 32.1363, 32.1363) * CHOOSE(CONTROL!$C$21, $C$9, 100%, $E$9)</f>
        <v>32.136299999999999</v>
      </c>
      <c r="I616" s="14">
        <f>CHOOSE(CONTROL!$C$42, 31.9224, 31.9224)* CHOOSE(CONTROL!$C$21, $C$9, 100%, $E$9)</f>
        <v>31.9224</v>
      </c>
      <c r="J616" s="14">
        <f>CHOOSE(CONTROL!$C$42, 31.8872, 31.8872)* CHOOSE(CONTROL!$C$21, $C$9, 100%, $E$9)</f>
        <v>31.8872</v>
      </c>
      <c r="K616" s="53">
        <f>CHOOSE(CONTROL!$C$42, 31.9185, 31.9185) * CHOOSE(CONTROL!$C$21, $C$9, 100%, $E$9)</f>
        <v>31.918500000000002</v>
      </c>
      <c r="L616" s="14">
        <f>CHOOSE(CONTROL!$C$42, 32.7233, 32.7233) * CHOOSE(CONTROL!$C$21, $C$9, 100%, $E$9)</f>
        <v>32.723300000000002</v>
      </c>
      <c r="M616" s="14">
        <f>CHOOSE(CONTROL!$C$42, 31.5793, 31.5793) * CHOOSE(CONTROL!$C$21, $C$9, 100%, $E$9)</f>
        <v>31.5793</v>
      </c>
      <c r="N616" s="14">
        <f>CHOOSE(CONTROL!$C$42, 31.5947, 31.5947) * CHOOSE(CONTROL!$C$21, $C$9, 100%, $E$9)</f>
        <v>31.5947</v>
      </c>
      <c r="O616" s="14">
        <f>CHOOSE(CONTROL!$C$42, 31.8258, 31.8258) * CHOOSE(CONTROL!$C$21, $C$9, 100%, $E$9)</f>
        <v>31.825800000000001</v>
      </c>
      <c r="P616" s="14">
        <f>CHOOSE(CONTROL!$C$42, 31.6141, 31.6141) * CHOOSE(CONTROL!$C$21, $C$9, 100%, $E$9)</f>
        <v>31.614100000000001</v>
      </c>
      <c r="Q616" s="14">
        <f>CHOOSE(CONTROL!$C$42, 32.4211, 32.4211) * CHOOSE(CONTROL!$C$21, $C$9, 100%, $E$9)</f>
        <v>32.421100000000003</v>
      </c>
      <c r="R616" s="14">
        <f>CHOOSE(CONTROL!$C$42, 33.0892, 33.0892) * CHOOSE(CONTROL!$C$21, $C$9, 100%, $E$9)</f>
        <v>33.089199999999998</v>
      </c>
      <c r="S616" s="14">
        <f>CHOOSE(CONTROL!$C$42, 30.9846, 30.9846) * CHOOSE(CONTROL!$C$21, $C$9, 100%, $E$9)</f>
        <v>30.9846</v>
      </c>
      <c r="T61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16" s="57">
        <f>(1000*CHOOSE(CONTROL!$C$42, 695, 695)*CHOOSE(CONTROL!$C$42, 0.5599, 0.5599)*CHOOSE(CONTROL!$C$42, 30, 30))/1000000</f>
        <v>11.673914999999997</v>
      </c>
      <c r="V616" s="57">
        <f>(1000*CHOOSE(CONTROL!$C$42, 500, 500)*CHOOSE(CONTROL!$C$42, 0.275, 0.275)*CHOOSE(CONTROL!$C$42, 30, 30))/1000000</f>
        <v>4.125</v>
      </c>
      <c r="W616" s="57">
        <f>(1000*CHOOSE(CONTROL!$C$42, 0.1146, 0.1146)*CHOOSE(CONTROL!$C$42, 121.5, 121.5)*CHOOSE(CONTROL!$C$42, 30, 30))/1000000</f>
        <v>0.417717</v>
      </c>
      <c r="X616" s="57">
        <f>(30*0.1790888*245000/1000000)+(30*0.2374*100000/1000000)</f>
        <v>2.0285026799999999</v>
      </c>
      <c r="Y616" s="57"/>
      <c r="Z616" s="14"/>
      <c r="AA616" s="56"/>
      <c r="AB616" s="50">
        <f>(B616*141.293+C616*267.993+D616*115.016+E616*89.698+F616*40+G616*185+H616*0+I616*100+J616*300)/(141.293+267.993+115.016+89.698+0+40+185+100+300)</f>
        <v>31.941919239628739</v>
      </c>
      <c r="AC616" s="45">
        <f>(M616*'RAP TEMPLATE-GAS AVAILABILITY'!O615+N616*'RAP TEMPLATE-GAS AVAILABILITY'!P615+O616*'RAP TEMPLATE-GAS AVAILABILITY'!Q615+P616*'RAP TEMPLATE-GAS AVAILABILITY'!R615)/('RAP TEMPLATE-GAS AVAILABILITY'!O615+'RAP TEMPLATE-GAS AVAILABILITY'!P615+'RAP TEMPLATE-GAS AVAILABILITY'!Q615+'RAP TEMPLATE-GAS AVAILABILITY'!R615)</f>
        <v>31.696916546762591</v>
      </c>
    </row>
    <row r="617" spans="1:29" ht="15.75" x14ac:dyDescent="0.25">
      <c r="A617" s="32">
        <v>59687</v>
      </c>
      <c r="B617" s="14">
        <f>CHOOSE(CONTROL!$C$42, 32.1927, 32.1927) * CHOOSE(CONTROL!$C$21, $C$9, 100%, $E$9)</f>
        <v>32.192700000000002</v>
      </c>
      <c r="C617" s="14">
        <f>CHOOSE(CONTROL!$C$42, 32.2006, 32.2006) * CHOOSE(CONTROL!$C$21, $C$9, 100%, $E$9)</f>
        <v>32.200600000000001</v>
      </c>
      <c r="D617" s="14">
        <f>CHOOSE(CONTROL!$C$42, 32.3982, 32.3982) * CHOOSE(CONTROL!$C$21, $C$9, 100%, $E$9)</f>
        <v>32.398200000000003</v>
      </c>
      <c r="E617" s="14">
        <f>CHOOSE(CONTROL!$C$42, 32.4293, 32.4293) * CHOOSE(CONTROL!$C$21, $C$9, 100%, $E$9)</f>
        <v>32.429299999999998</v>
      </c>
      <c r="F617" s="14">
        <f>CHOOSE(CONTROL!$C$42, 32.1761, 32.1761)*CHOOSE(CONTROL!$C$21, $C$9, 100%, $E$9)</f>
        <v>32.176099999999998</v>
      </c>
      <c r="G617" s="14">
        <f>CHOOSE(CONTROL!$C$42, 32.1922, 32.1922)*CHOOSE(CONTROL!$C$21, $C$9, 100%, $E$9)</f>
        <v>32.1922</v>
      </c>
      <c r="H617" s="14">
        <f>CHOOSE(CONTROL!$C$42, 32.4179, 32.4179) * CHOOSE(CONTROL!$C$21, $C$9, 100%, $E$9)</f>
        <v>32.417900000000003</v>
      </c>
      <c r="I617" s="14">
        <f>CHOOSE(CONTROL!$C$42, 32.204, 32.204)* CHOOSE(CONTROL!$C$21, $C$9, 100%, $E$9)</f>
        <v>32.204000000000001</v>
      </c>
      <c r="J617" s="14">
        <f>CHOOSE(CONTROL!$C$42, 32.1691, 32.1691)* CHOOSE(CONTROL!$C$21, $C$9, 100%, $E$9)</f>
        <v>32.1691</v>
      </c>
      <c r="K617" s="53">
        <f>CHOOSE(CONTROL!$C$42, 32.2001, 32.2001) * CHOOSE(CONTROL!$C$21, $C$9, 100%, $E$9)</f>
        <v>32.200099999999999</v>
      </c>
      <c r="L617" s="14">
        <f>CHOOSE(CONTROL!$C$42, 33.0049, 33.0049) * CHOOSE(CONTROL!$C$21, $C$9, 100%, $E$9)</f>
        <v>33.004899999999999</v>
      </c>
      <c r="M617" s="14">
        <f>CHOOSE(CONTROL!$C$42, 31.8583, 31.8583) * CHOOSE(CONTROL!$C$21, $C$9, 100%, $E$9)</f>
        <v>31.8583</v>
      </c>
      <c r="N617" s="14">
        <f>CHOOSE(CONTROL!$C$42, 31.8742, 31.8742) * CHOOSE(CONTROL!$C$21, $C$9, 100%, $E$9)</f>
        <v>31.874199999999998</v>
      </c>
      <c r="O617" s="14">
        <f>CHOOSE(CONTROL!$C$42, 32.1046, 32.1046) * CHOOSE(CONTROL!$C$21, $C$9, 100%, $E$9)</f>
        <v>32.104599999999998</v>
      </c>
      <c r="P617" s="14">
        <f>CHOOSE(CONTROL!$C$42, 31.8929, 31.8929) * CHOOSE(CONTROL!$C$21, $C$9, 100%, $E$9)</f>
        <v>31.892900000000001</v>
      </c>
      <c r="Q617" s="14">
        <f>CHOOSE(CONTROL!$C$42, 32.6999, 32.6999) * CHOOSE(CONTROL!$C$21, $C$9, 100%, $E$9)</f>
        <v>32.6999</v>
      </c>
      <c r="R617" s="14">
        <f>CHOOSE(CONTROL!$C$42, 33.3686, 33.3686) * CHOOSE(CONTROL!$C$21, $C$9, 100%, $E$9)</f>
        <v>33.368600000000001</v>
      </c>
      <c r="S617" s="14">
        <f>CHOOSE(CONTROL!$C$42, 31.258, 31.258) * CHOOSE(CONTROL!$C$21, $C$9, 100%, $E$9)</f>
        <v>31.257999999999999</v>
      </c>
      <c r="T61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17" s="57">
        <f>(1000*CHOOSE(CONTROL!$C$42, 695, 695)*CHOOSE(CONTROL!$C$42, 0.5599, 0.5599)*CHOOSE(CONTROL!$C$42, 31, 31))/1000000</f>
        <v>12.063045499999998</v>
      </c>
      <c r="V617" s="57">
        <f>(1000*CHOOSE(CONTROL!$C$42, 500, 500)*CHOOSE(CONTROL!$C$42, 0.275, 0.275)*CHOOSE(CONTROL!$C$42, 31, 31))/1000000</f>
        <v>4.2625000000000002</v>
      </c>
      <c r="W617" s="57">
        <f>(1000*CHOOSE(CONTROL!$C$42, 0.1146, 0.1146)*CHOOSE(CONTROL!$C$42, 121.5, 121.5)*CHOOSE(CONTROL!$C$42, 31, 31))/1000000</f>
        <v>0.43164089999999994</v>
      </c>
      <c r="X617" s="57">
        <f>(31*0.1790888*245000/1000000)+(31*0.2374*100000/1000000)</f>
        <v>2.0961194359999999</v>
      </c>
      <c r="Y617" s="57"/>
      <c r="Z617" s="14"/>
      <c r="AA617" s="56"/>
      <c r="AB617" s="50">
        <f>(B617*194.205+C617*267.466+D617*133.845+E617*53.484+F617*40+G617*185+H617*0+I617*100+J617*300)/(194.205+267.466+133.845+53.484+0+40+185+100+300)</f>
        <v>32.220616752982735</v>
      </c>
      <c r="AC617" s="45">
        <f>(M617*'RAP TEMPLATE-GAS AVAILABILITY'!O616+N617*'RAP TEMPLATE-GAS AVAILABILITY'!P616+O617*'RAP TEMPLATE-GAS AVAILABILITY'!Q616+P617*'RAP TEMPLATE-GAS AVAILABILITY'!R616)/('RAP TEMPLATE-GAS AVAILABILITY'!O616+'RAP TEMPLATE-GAS AVAILABILITY'!P616+'RAP TEMPLATE-GAS AVAILABILITY'!Q616+'RAP TEMPLATE-GAS AVAILABILITY'!R616)</f>
        <v>31.975825899280576</v>
      </c>
    </row>
    <row r="618" spans="1:29" ht="15.75" x14ac:dyDescent="0.25">
      <c r="A618" s="32">
        <v>59717</v>
      </c>
      <c r="B618" s="14">
        <f>CHOOSE(CONTROL!$C$42, 33.1057, 33.1057) * CHOOSE(CONTROL!$C$21, $C$9, 100%, $E$9)</f>
        <v>33.105699999999999</v>
      </c>
      <c r="C618" s="14">
        <f>CHOOSE(CONTROL!$C$42, 33.1136, 33.1136) * CHOOSE(CONTROL!$C$21, $C$9, 100%, $E$9)</f>
        <v>33.113599999999998</v>
      </c>
      <c r="D618" s="14">
        <f>CHOOSE(CONTROL!$C$42, 33.3112, 33.3112) * CHOOSE(CONTROL!$C$21, $C$9, 100%, $E$9)</f>
        <v>33.311199999999999</v>
      </c>
      <c r="E618" s="14">
        <f>CHOOSE(CONTROL!$C$42, 33.3423, 33.3423) * CHOOSE(CONTROL!$C$21, $C$9, 100%, $E$9)</f>
        <v>33.342300000000002</v>
      </c>
      <c r="F618" s="14">
        <f>CHOOSE(CONTROL!$C$42, 33.0895, 33.0895)*CHOOSE(CONTROL!$C$21, $C$9, 100%, $E$9)</f>
        <v>33.089500000000001</v>
      </c>
      <c r="G618" s="14">
        <f>CHOOSE(CONTROL!$C$42, 33.1057, 33.1057)*CHOOSE(CONTROL!$C$21, $C$9, 100%, $E$9)</f>
        <v>33.105699999999999</v>
      </c>
      <c r="H618" s="14">
        <f>CHOOSE(CONTROL!$C$42, 33.331, 33.331) * CHOOSE(CONTROL!$C$21, $C$9, 100%, $E$9)</f>
        <v>33.331000000000003</v>
      </c>
      <c r="I618" s="14">
        <f>CHOOSE(CONTROL!$C$42, 33.1171, 33.1171)* CHOOSE(CONTROL!$C$21, $C$9, 100%, $E$9)</f>
        <v>33.117100000000001</v>
      </c>
      <c r="J618" s="14">
        <f>CHOOSE(CONTROL!$C$42, 33.0825, 33.0825)* CHOOSE(CONTROL!$C$21, $C$9, 100%, $E$9)</f>
        <v>33.082500000000003</v>
      </c>
      <c r="K618" s="53">
        <f>CHOOSE(CONTROL!$C$42, 33.1132, 33.1132) * CHOOSE(CONTROL!$C$21, $C$9, 100%, $E$9)</f>
        <v>33.113199999999999</v>
      </c>
      <c r="L618" s="14">
        <f>CHOOSE(CONTROL!$C$42, 33.918, 33.918) * CHOOSE(CONTROL!$C$21, $C$9, 100%, $E$9)</f>
        <v>33.917999999999999</v>
      </c>
      <c r="M618" s="14">
        <f>CHOOSE(CONTROL!$C$42, 32.7625, 32.7625) * CHOOSE(CONTROL!$C$21, $C$9, 100%, $E$9)</f>
        <v>32.762500000000003</v>
      </c>
      <c r="N618" s="14">
        <f>CHOOSE(CONTROL!$C$42, 32.7785, 32.7785) * CHOOSE(CONTROL!$C$21, $C$9, 100%, $E$9)</f>
        <v>32.778500000000001</v>
      </c>
      <c r="O618" s="14">
        <f>CHOOSE(CONTROL!$C$42, 33.0084, 33.0084) * CHOOSE(CONTROL!$C$21, $C$9, 100%, $E$9)</f>
        <v>33.008400000000002</v>
      </c>
      <c r="P618" s="14">
        <f>CHOOSE(CONTROL!$C$42, 32.7967, 32.7967) * CHOOSE(CONTROL!$C$21, $C$9, 100%, $E$9)</f>
        <v>32.796700000000001</v>
      </c>
      <c r="Q618" s="14">
        <f>CHOOSE(CONTROL!$C$42, 33.6037, 33.6037) * CHOOSE(CONTROL!$C$21, $C$9, 100%, $E$9)</f>
        <v>33.603700000000003</v>
      </c>
      <c r="R618" s="14">
        <f>CHOOSE(CONTROL!$C$42, 34.2747, 34.2747) * CHOOSE(CONTROL!$C$21, $C$9, 100%, $E$9)</f>
        <v>34.274700000000003</v>
      </c>
      <c r="S618" s="14">
        <f>CHOOSE(CONTROL!$C$42, 32.1447, 32.1447) * CHOOSE(CONTROL!$C$21, $C$9, 100%, $E$9)</f>
        <v>32.1447</v>
      </c>
      <c r="T61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18" s="57">
        <f>(1000*CHOOSE(CONTROL!$C$42, 695, 695)*CHOOSE(CONTROL!$C$42, 0.5599, 0.5599)*CHOOSE(CONTROL!$C$42, 30, 30))/1000000</f>
        <v>11.673914999999997</v>
      </c>
      <c r="V618" s="57">
        <f>(1000*CHOOSE(CONTROL!$C$42, 500, 500)*CHOOSE(CONTROL!$C$42, 0.275, 0.275)*CHOOSE(CONTROL!$C$42, 30, 30))/1000000</f>
        <v>4.125</v>
      </c>
      <c r="W618" s="57">
        <f>(1000*CHOOSE(CONTROL!$C$42, 0.1146, 0.1146)*CHOOSE(CONTROL!$C$42, 121.5, 121.5)*CHOOSE(CONTROL!$C$42, 30, 30))/1000000</f>
        <v>0.417717</v>
      </c>
      <c r="X618" s="57">
        <f>(30*0.1790888*245000/1000000)+(30*0.2374*100000/1000000)</f>
        <v>2.0285026799999999</v>
      </c>
      <c r="Y618" s="57"/>
      <c r="Z618" s="14"/>
      <c r="AA618" s="56"/>
      <c r="AB618" s="50">
        <f>(B618*194.205+C618*267.466+D618*133.845+E618*53.484+F618*40+G618*185+H618*0+I618*100+J618*300)/(194.205+267.466+133.845+53.484+0+40+185+100+300)</f>
        <v>33.133803958634218</v>
      </c>
      <c r="AC618" s="45">
        <f>(M618*'RAP TEMPLATE-GAS AVAILABILITY'!O617+N618*'RAP TEMPLATE-GAS AVAILABILITY'!P617+O618*'RAP TEMPLATE-GAS AVAILABILITY'!Q617+P618*'RAP TEMPLATE-GAS AVAILABILITY'!R617)/('RAP TEMPLATE-GAS AVAILABILITY'!O617+'RAP TEMPLATE-GAS AVAILABILITY'!P617+'RAP TEMPLATE-GAS AVAILABILITY'!Q617+'RAP TEMPLATE-GAS AVAILABILITY'!R617)</f>
        <v>32.879792805755393</v>
      </c>
    </row>
    <row r="619" spans="1:29" ht="15.75" x14ac:dyDescent="0.25">
      <c r="A619" s="32">
        <v>59748</v>
      </c>
      <c r="B619" s="14">
        <f>CHOOSE(CONTROL!$C$42, 32.4707, 32.4707) * CHOOSE(CONTROL!$C$21, $C$9, 100%, $E$9)</f>
        <v>32.470700000000001</v>
      </c>
      <c r="C619" s="14">
        <f>CHOOSE(CONTROL!$C$42, 32.4786, 32.4786) * CHOOSE(CONTROL!$C$21, $C$9, 100%, $E$9)</f>
        <v>32.4786</v>
      </c>
      <c r="D619" s="14">
        <f>CHOOSE(CONTROL!$C$42, 32.6762, 32.6762) * CHOOSE(CONTROL!$C$21, $C$9, 100%, $E$9)</f>
        <v>32.676200000000001</v>
      </c>
      <c r="E619" s="14">
        <f>CHOOSE(CONTROL!$C$42, 32.7073, 32.7073) * CHOOSE(CONTROL!$C$21, $C$9, 100%, $E$9)</f>
        <v>32.707299999999996</v>
      </c>
      <c r="F619" s="14">
        <f>CHOOSE(CONTROL!$C$42, 32.4549, 32.4549)*CHOOSE(CONTROL!$C$21, $C$9, 100%, $E$9)</f>
        <v>32.454900000000002</v>
      </c>
      <c r="G619" s="14">
        <f>CHOOSE(CONTROL!$C$42, 32.4712, 32.4712)*CHOOSE(CONTROL!$C$21, $C$9, 100%, $E$9)</f>
        <v>32.471200000000003</v>
      </c>
      <c r="H619" s="14">
        <f>CHOOSE(CONTROL!$C$42, 32.6959, 32.6959) * CHOOSE(CONTROL!$C$21, $C$9, 100%, $E$9)</f>
        <v>32.695900000000002</v>
      </c>
      <c r="I619" s="14">
        <f>CHOOSE(CONTROL!$C$42, 32.482, 32.482)* CHOOSE(CONTROL!$C$21, $C$9, 100%, $E$9)</f>
        <v>32.481999999999999</v>
      </c>
      <c r="J619" s="14">
        <f>CHOOSE(CONTROL!$C$42, 32.4479, 32.4479)* CHOOSE(CONTROL!$C$21, $C$9, 100%, $E$9)</f>
        <v>32.447899999999997</v>
      </c>
      <c r="K619" s="53">
        <f>CHOOSE(CONTROL!$C$42, 32.4781, 32.4781) * CHOOSE(CONTROL!$C$21, $C$9, 100%, $E$9)</f>
        <v>32.478099999999998</v>
      </c>
      <c r="L619" s="14">
        <f>CHOOSE(CONTROL!$C$42, 33.2829, 33.2829) * CHOOSE(CONTROL!$C$21, $C$9, 100%, $E$9)</f>
        <v>33.282899999999998</v>
      </c>
      <c r="M619" s="14">
        <f>CHOOSE(CONTROL!$C$42, 32.1343, 32.1343) * CHOOSE(CONTROL!$C$21, $C$9, 100%, $E$9)</f>
        <v>32.134300000000003</v>
      </c>
      <c r="N619" s="14">
        <f>CHOOSE(CONTROL!$C$42, 32.1504, 32.1504) * CHOOSE(CONTROL!$C$21, $C$9, 100%, $E$9)</f>
        <v>32.150399999999998</v>
      </c>
      <c r="O619" s="14">
        <f>CHOOSE(CONTROL!$C$42, 32.3798, 32.3798) * CHOOSE(CONTROL!$C$21, $C$9, 100%, $E$9)</f>
        <v>32.379800000000003</v>
      </c>
      <c r="P619" s="14">
        <f>CHOOSE(CONTROL!$C$42, 32.1681, 32.1681) * CHOOSE(CONTROL!$C$21, $C$9, 100%, $E$9)</f>
        <v>32.168100000000003</v>
      </c>
      <c r="Q619" s="14">
        <f>CHOOSE(CONTROL!$C$42, 32.9751, 32.9751) * CHOOSE(CONTROL!$C$21, $C$9, 100%, $E$9)</f>
        <v>32.975099999999998</v>
      </c>
      <c r="R619" s="14">
        <f>CHOOSE(CONTROL!$C$42, 33.6445, 33.6445) * CHOOSE(CONTROL!$C$21, $C$9, 100%, $E$9)</f>
        <v>33.644500000000001</v>
      </c>
      <c r="S619" s="14">
        <f>CHOOSE(CONTROL!$C$42, 31.528, 31.528) * CHOOSE(CONTROL!$C$21, $C$9, 100%, $E$9)</f>
        <v>31.527999999999999</v>
      </c>
      <c r="T61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19" s="57">
        <f>(1000*CHOOSE(CONTROL!$C$42, 695, 695)*CHOOSE(CONTROL!$C$42, 0.5599, 0.5599)*CHOOSE(CONTROL!$C$42, 31, 31))/1000000</f>
        <v>12.063045499999998</v>
      </c>
      <c r="V619" s="57">
        <f>(1000*CHOOSE(CONTROL!$C$42, 500, 500)*CHOOSE(CONTROL!$C$42, 0.275, 0.275)*CHOOSE(CONTROL!$C$42, 31, 31))/1000000</f>
        <v>4.2625000000000002</v>
      </c>
      <c r="W619" s="57">
        <f>(1000*CHOOSE(CONTROL!$C$42, 0.1146, 0.1146)*CHOOSE(CONTROL!$C$42, 121.5, 121.5)*CHOOSE(CONTROL!$C$42, 31, 31))/1000000</f>
        <v>0.43164089999999994</v>
      </c>
      <c r="X619" s="57">
        <f>(31*0.1790888*245000/1000000)+(31*0.2374*100000/1000000)</f>
        <v>2.0961194359999999</v>
      </c>
      <c r="Y619" s="57"/>
      <c r="Z619" s="14"/>
      <c r="AA619" s="56"/>
      <c r="AB619" s="50">
        <f>(B619*194.205+C619*267.466+D619*133.845+E619*53.484+F619*40+G619*185+H619*0+I619*100+J619*300)/(194.205+267.466+133.845+53.484+0+40+185+100+300)</f>
        <v>32.498975465698592</v>
      </c>
      <c r="AC619" s="45">
        <f>(M619*'RAP TEMPLATE-GAS AVAILABILITY'!O618+N619*'RAP TEMPLATE-GAS AVAILABILITY'!P618+O619*'RAP TEMPLATE-GAS AVAILABILITY'!Q618+P619*'RAP TEMPLATE-GAS AVAILABILITY'!R618)/('RAP TEMPLATE-GAS AVAILABILITY'!O618+'RAP TEMPLATE-GAS AVAILABILITY'!P618+'RAP TEMPLATE-GAS AVAILABILITY'!Q618+'RAP TEMPLATE-GAS AVAILABILITY'!R618)</f>
        <v>32.251359712230219</v>
      </c>
    </row>
    <row r="620" spans="1:29" ht="15.75" x14ac:dyDescent="0.25">
      <c r="A620" s="32">
        <v>59779</v>
      </c>
      <c r="B620" s="14">
        <f>CHOOSE(CONTROL!$C$42, 30.867, 30.867) * CHOOSE(CONTROL!$C$21, $C$9, 100%, $E$9)</f>
        <v>30.867000000000001</v>
      </c>
      <c r="C620" s="14">
        <f>CHOOSE(CONTROL!$C$42, 30.875, 30.875) * CHOOSE(CONTROL!$C$21, $C$9, 100%, $E$9)</f>
        <v>30.875</v>
      </c>
      <c r="D620" s="14">
        <f>CHOOSE(CONTROL!$C$42, 31.0725, 31.0725) * CHOOSE(CONTROL!$C$21, $C$9, 100%, $E$9)</f>
        <v>31.072500000000002</v>
      </c>
      <c r="E620" s="14">
        <f>CHOOSE(CONTROL!$C$42, 31.1037, 31.1037) * CHOOSE(CONTROL!$C$21, $C$9, 100%, $E$9)</f>
        <v>31.1037</v>
      </c>
      <c r="F620" s="14">
        <f>CHOOSE(CONTROL!$C$42, 30.8515, 30.8515)*CHOOSE(CONTROL!$C$21, $C$9, 100%, $E$9)</f>
        <v>30.851500000000001</v>
      </c>
      <c r="G620" s="14">
        <f>CHOOSE(CONTROL!$C$42, 30.8678, 30.8678)*CHOOSE(CONTROL!$C$21, $C$9, 100%, $E$9)</f>
        <v>30.867799999999999</v>
      </c>
      <c r="H620" s="14">
        <f>CHOOSE(CONTROL!$C$42, 31.0923, 31.0923) * CHOOSE(CONTROL!$C$21, $C$9, 100%, $E$9)</f>
        <v>31.092300000000002</v>
      </c>
      <c r="I620" s="14">
        <f>CHOOSE(CONTROL!$C$42, 30.8784, 30.8784)* CHOOSE(CONTROL!$C$21, $C$9, 100%, $E$9)</f>
        <v>30.878399999999999</v>
      </c>
      <c r="J620" s="14">
        <f>CHOOSE(CONTROL!$C$42, 30.8445, 30.8445)* CHOOSE(CONTROL!$C$21, $C$9, 100%, $E$9)</f>
        <v>30.8445</v>
      </c>
      <c r="K620" s="53">
        <f>CHOOSE(CONTROL!$C$42, 30.8745, 30.8745) * CHOOSE(CONTROL!$C$21, $C$9, 100%, $E$9)</f>
        <v>30.874500000000001</v>
      </c>
      <c r="L620" s="14">
        <f>CHOOSE(CONTROL!$C$42, 31.6793, 31.6793) * CHOOSE(CONTROL!$C$21, $C$9, 100%, $E$9)</f>
        <v>31.679300000000001</v>
      </c>
      <c r="M620" s="14">
        <f>CHOOSE(CONTROL!$C$42, 30.547, 30.547) * CHOOSE(CONTROL!$C$21, $C$9, 100%, $E$9)</f>
        <v>30.547000000000001</v>
      </c>
      <c r="N620" s="14">
        <f>CHOOSE(CONTROL!$C$42, 30.5632, 30.5632) * CHOOSE(CONTROL!$C$21, $C$9, 100%, $E$9)</f>
        <v>30.563199999999998</v>
      </c>
      <c r="O620" s="14">
        <f>CHOOSE(CONTROL!$C$42, 30.7924, 30.7924) * CHOOSE(CONTROL!$C$21, $C$9, 100%, $E$9)</f>
        <v>30.792400000000001</v>
      </c>
      <c r="P620" s="14">
        <f>CHOOSE(CONTROL!$C$42, 30.5807, 30.5807) * CHOOSE(CONTROL!$C$21, $C$9, 100%, $E$9)</f>
        <v>30.5807</v>
      </c>
      <c r="Q620" s="14">
        <f>CHOOSE(CONTROL!$C$42, 31.3877, 31.3877) * CHOOSE(CONTROL!$C$21, $C$9, 100%, $E$9)</f>
        <v>31.387699999999999</v>
      </c>
      <c r="R620" s="14">
        <f>CHOOSE(CONTROL!$C$42, 32.0531, 32.0531) * CHOOSE(CONTROL!$C$21, $C$9, 100%, $E$9)</f>
        <v>32.053100000000001</v>
      </c>
      <c r="S620" s="14">
        <f>CHOOSE(CONTROL!$C$42, 29.9707, 29.9707) * CHOOSE(CONTROL!$C$21, $C$9, 100%, $E$9)</f>
        <v>29.970700000000001</v>
      </c>
      <c r="T62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20" s="57">
        <f>(1000*CHOOSE(CONTROL!$C$42, 695, 695)*CHOOSE(CONTROL!$C$42, 0.5599, 0.5599)*CHOOSE(CONTROL!$C$42, 31, 31))/1000000</f>
        <v>12.063045499999998</v>
      </c>
      <c r="V620" s="57">
        <f>(1000*CHOOSE(CONTROL!$C$42, 500, 500)*CHOOSE(CONTROL!$C$42, 0.275, 0.275)*CHOOSE(CONTROL!$C$42, 31, 31))/1000000</f>
        <v>4.2625000000000002</v>
      </c>
      <c r="W620" s="57">
        <f>(1000*CHOOSE(CONTROL!$C$42, 0.1146, 0.1146)*CHOOSE(CONTROL!$C$42, 121.5, 121.5)*CHOOSE(CONTROL!$C$42, 31, 31))/1000000</f>
        <v>0.43164089999999994</v>
      </c>
      <c r="X620" s="57">
        <f>(31*0.1790888*245000/1000000)+(31*0.2374*100000/1000000)</f>
        <v>2.0961194359999999</v>
      </c>
      <c r="Y620" s="57"/>
      <c r="Z620" s="14"/>
      <c r="AA620" s="56"/>
      <c r="AB620" s="50">
        <f>(B620*194.205+C620*267.466+D620*133.845+E620*53.484+F620*40+G620*185+H620*0+I620*100+J620*300)/(194.205+267.466+133.845+53.484+0+40+185+100+300)</f>
        <v>30.895432133673477</v>
      </c>
      <c r="AC620" s="45">
        <f>(M620*'RAP TEMPLATE-GAS AVAILABILITY'!O619+N620*'RAP TEMPLATE-GAS AVAILABILITY'!P619+O620*'RAP TEMPLATE-GAS AVAILABILITY'!Q619+P620*'RAP TEMPLATE-GAS AVAILABILITY'!R619)/('RAP TEMPLATE-GAS AVAILABILITY'!O619+'RAP TEMPLATE-GAS AVAILABILITY'!P619+'RAP TEMPLATE-GAS AVAILABILITY'!Q619+'RAP TEMPLATE-GAS AVAILABILITY'!R619)</f>
        <v>30.664005755395678</v>
      </c>
    </row>
    <row r="621" spans="1:29" ht="15.75" x14ac:dyDescent="0.25">
      <c r="A621" s="32">
        <v>59809</v>
      </c>
      <c r="B621" s="14">
        <f>CHOOSE(CONTROL!$C$42, 28.9073, 28.9073) * CHOOSE(CONTROL!$C$21, $C$9, 100%, $E$9)</f>
        <v>28.907299999999999</v>
      </c>
      <c r="C621" s="14">
        <f>CHOOSE(CONTROL!$C$42, 28.9152, 28.9152) * CHOOSE(CONTROL!$C$21, $C$9, 100%, $E$9)</f>
        <v>28.915199999999999</v>
      </c>
      <c r="D621" s="14">
        <f>CHOOSE(CONTROL!$C$42, 29.1128, 29.1128) * CHOOSE(CONTROL!$C$21, $C$9, 100%, $E$9)</f>
        <v>29.1128</v>
      </c>
      <c r="E621" s="14">
        <f>CHOOSE(CONTROL!$C$42, 29.144, 29.144) * CHOOSE(CONTROL!$C$21, $C$9, 100%, $E$9)</f>
        <v>29.143999999999998</v>
      </c>
      <c r="F621" s="14">
        <f>CHOOSE(CONTROL!$C$42, 28.8917, 28.8917)*CHOOSE(CONTROL!$C$21, $C$9, 100%, $E$9)</f>
        <v>28.8917</v>
      </c>
      <c r="G621" s="14">
        <f>CHOOSE(CONTROL!$C$42, 28.908, 28.908)*CHOOSE(CONTROL!$C$21, $C$9, 100%, $E$9)</f>
        <v>28.908000000000001</v>
      </c>
      <c r="H621" s="14">
        <f>CHOOSE(CONTROL!$C$42, 29.1326, 29.1326) * CHOOSE(CONTROL!$C$21, $C$9, 100%, $E$9)</f>
        <v>29.1326</v>
      </c>
      <c r="I621" s="14">
        <f>CHOOSE(CONTROL!$C$42, 28.9187, 28.9187)* CHOOSE(CONTROL!$C$21, $C$9, 100%, $E$9)</f>
        <v>28.918700000000001</v>
      </c>
      <c r="J621" s="14">
        <f>CHOOSE(CONTROL!$C$42, 28.8847, 28.8847)* CHOOSE(CONTROL!$C$21, $C$9, 100%, $E$9)</f>
        <v>28.884699999999999</v>
      </c>
      <c r="K621" s="53">
        <f>CHOOSE(CONTROL!$C$42, 28.9148, 28.9148) * CHOOSE(CONTROL!$C$21, $C$9, 100%, $E$9)</f>
        <v>28.9148</v>
      </c>
      <c r="L621" s="14">
        <f>CHOOSE(CONTROL!$C$42, 29.7196, 29.7196) * CHOOSE(CONTROL!$C$21, $C$9, 100%, $E$9)</f>
        <v>29.7196</v>
      </c>
      <c r="M621" s="14">
        <f>CHOOSE(CONTROL!$C$42, 28.607, 28.607) * CHOOSE(CONTROL!$C$21, $C$9, 100%, $E$9)</f>
        <v>28.606999999999999</v>
      </c>
      <c r="N621" s="14">
        <f>CHOOSE(CONTROL!$C$42, 28.6232, 28.6232) * CHOOSE(CONTROL!$C$21, $C$9, 100%, $E$9)</f>
        <v>28.623200000000001</v>
      </c>
      <c r="O621" s="14">
        <f>CHOOSE(CONTROL!$C$42, 28.8524, 28.8524) * CHOOSE(CONTROL!$C$21, $C$9, 100%, $E$9)</f>
        <v>28.852399999999999</v>
      </c>
      <c r="P621" s="14">
        <f>CHOOSE(CONTROL!$C$42, 28.6407, 28.6407) * CHOOSE(CONTROL!$C$21, $C$9, 100%, $E$9)</f>
        <v>28.640699999999999</v>
      </c>
      <c r="Q621" s="14">
        <f>CHOOSE(CONTROL!$C$42, 29.4477, 29.4477) * CHOOSE(CONTROL!$C$21, $C$9, 100%, $E$9)</f>
        <v>29.447700000000001</v>
      </c>
      <c r="R621" s="14">
        <f>CHOOSE(CONTROL!$C$42, 30.1083, 30.1083) * CHOOSE(CONTROL!$C$21, $C$9, 100%, $E$9)</f>
        <v>30.1083</v>
      </c>
      <c r="S621" s="14">
        <f>CHOOSE(CONTROL!$C$42, 28.0677, 28.0677) * CHOOSE(CONTROL!$C$21, $C$9, 100%, $E$9)</f>
        <v>28.067699999999999</v>
      </c>
      <c r="T62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21" s="57">
        <f>(1000*CHOOSE(CONTROL!$C$42, 695, 695)*CHOOSE(CONTROL!$C$42, 0.5599, 0.5599)*CHOOSE(CONTROL!$C$42, 30, 30))/1000000</f>
        <v>11.673914999999997</v>
      </c>
      <c r="V621" s="57">
        <f>(1000*CHOOSE(CONTROL!$C$42, 500, 500)*CHOOSE(CONTROL!$C$42, 0.275, 0.275)*CHOOSE(CONTROL!$C$42, 30, 30))/1000000</f>
        <v>4.125</v>
      </c>
      <c r="W621" s="57">
        <f>(1000*CHOOSE(CONTROL!$C$42, 0.1146, 0.1146)*CHOOSE(CONTROL!$C$42, 121.5, 121.5)*CHOOSE(CONTROL!$C$42, 30, 30))/1000000</f>
        <v>0.417717</v>
      </c>
      <c r="X621" s="57">
        <f>(30*0.1790888*245000/1000000)+(30*0.2374*100000/1000000)</f>
        <v>2.0285026799999999</v>
      </c>
      <c r="Y621" s="57"/>
      <c r="Z621" s="14"/>
      <c r="AA621" s="56"/>
      <c r="AB621" s="50">
        <f>(B621*194.205+C621*267.466+D621*133.845+E621*53.484+F621*40+G621*185+H621*0+I621*100+J621*300)/(194.205+267.466+133.845+53.484+0+40+185+100+300)</f>
        <v>28.935669930690739</v>
      </c>
      <c r="AC621" s="45">
        <f>(M621*'RAP TEMPLATE-GAS AVAILABILITY'!O620+N621*'RAP TEMPLATE-GAS AVAILABILITY'!P620+O621*'RAP TEMPLATE-GAS AVAILABILITY'!Q620+P621*'RAP TEMPLATE-GAS AVAILABILITY'!R620)/('RAP TEMPLATE-GAS AVAILABILITY'!O620+'RAP TEMPLATE-GAS AVAILABILITY'!P620+'RAP TEMPLATE-GAS AVAILABILITY'!Q620+'RAP TEMPLATE-GAS AVAILABILITY'!R620)</f>
        <v>28.724005755395684</v>
      </c>
    </row>
    <row r="622" spans="1:29" ht="15.75" x14ac:dyDescent="0.25">
      <c r="A622" s="32">
        <v>59840</v>
      </c>
      <c r="B622" s="14">
        <f>CHOOSE(CONTROL!$C$42, 28.3187, 28.3187) * CHOOSE(CONTROL!$C$21, $C$9, 100%, $E$9)</f>
        <v>28.3187</v>
      </c>
      <c r="C622" s="14">
        <f>CHOOSE(CONTROL!$C$42, 28.3239, 28.3239) * CHOOSE(CONTROL!$C$21, $C$9, 100%, $E$9)</f>
        <v>28.323899999999998</v>
      </c>
      <c r="D622" s="14">
        <f>CHOOSE(CONTROL!$C$42, 28.5265, 28.5265) * CHOOSE(CONTROL!$C$21, $C$9, 100%, $E$9)</f>
        <v>28.526499999999999</v>
      </c>
      <c r="E622" s="14">
        <f>CHOOSE(CONTROL!$C$42, 28.5553, 28.5553) * CHOOSE(CONTROL!$C$21, $C$9, 100%, $E$9)</f>
        <v>28.555299999999999</v>
      </c>
      <c r="F622" s="14">
        <f>CHOOSE(CONTROL!$C$42, 28.3051, 28.3051)*CHOOSE(CONTROL!$C$21, $C$9, 100%, $E$9)</f>
        <v>28.305099999999999</v>
      </c>
      <c r="G622" s="14">
        <f>CHOOSE(CONTROL!$C$42, 28.3211, 28.3211)*CHOOSE(CONTROL!$C$21, $C$9, 100%, $E$9)</f>
        <v>28.321100000000001</v>
      </c>
      <c r="H622" s="14">
        <f>CHOOSE(CONTROL!$C$42, 28.5458, 28.5458) * CHOOSE(CONTROL!$C$21, $C$9, 100%, $E$9)</f>
        <v>28.5458</v>
      </c>
      <c r="I622" s="14">
        <f>CHOOSE(CONTROL!$C$42, 28.3319, 28.3319)* CHOOSE(CONTROL!$C$21, $C$9, 100%, $E$9)</f>
        <v>28.331900000000001</v>
      </c>
      <c r="J622" s="14">
        <f>CHOOSE(CONTROL!$C$42, 28.2981, 28.2981)* CHOOSE(CONTROL!$C$21, $C$9, 100%, $E$9)</f>
        <v>28.298100000000002</v>
      </c>
      <c r="K622" s="53">
        <f>CHOOSE(CONTROL!$C$42, 28.328, 28.328) * CHOOSE(CONTROL!$C$21, $C$9, 100%, $E$9)</f>
        <v>28.327999999999999</v>
      </c>
      <c r="L622" s="14">
        <f>CHOOSE(CONTROL!$C$42, 29.1328, 29.1328) * CHOOSE(CONTROL!$C$21, $C$9, 100%, $E$9)</f>
        <v>29.1328</v>
      </c>
      <c r="M622" s="14">
        <f>CHOOSE(CONTROL!$C$42, 28.0264, 28.0264) * CHOOSE(CONTROL!$C$21, $C$9, 100%, $E$9)</f>
        <v>28.026399999999999</v>
      </c>
      <c r="N622" s="14">
        <f>CHOOSE(CONTROL!$C$42, 28.0422, 28.0422) * CHOOSE(CONTROL!$C$21, $C$9, 100%, $E$9)</f>
        <v>28.042200000000001</v>
      </c>
      <c r="O622" s="14">
        <f>CHOOSE(CONTROL!$C$42, 28.2715, 28.2715) * CHOOSE(CONTROL!$C$21, $C$9, 100%, $E$9)</f>
        <v>28.2715</v>
      </c>
      <c r="P622" s="14">
        <f>CHOOSE(CONTROL!$C$42, 28.0598, 28.0598) * CHOOSE(CONTROL!$C$21, $C$9, 100%, $E$9)</f>
        <v>28.059799999999999</v>
      </c>
      <c r="Q622" s="14">
        <f>CHOOSE(CONTROL!$C$42, 28.8668, 28.8668) * CHOOSE(CONTROL!$C$21, $C$9, 100%, $E$9)</f>
        <v>28.866800000000001</v>
      </c>
      <c r="R622" s="14">
        <f>CHOOSE(CONTROL!$C$42, 29.526, 29.526) * CHOOSE(CONTROL!$C$21, $C$9, 100%, $E$9)</f>
        <v>29.526</v>
      </c>
      <c r="S622" s="14">
        <f>CHOOSE(CONTROL!$C$42, 27.4978, 27.4978) * CHOOSE(CONTROL!$C$21, $C$9, 100%, $E$9)</f>
        <v>27.497800000000002</v>
      </c>
      <c r="T62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22" s="57">
        <f>(1000*CHOOSE(CONTROL!$C$42, 695, 695)*CHOOSE(CONTROL!$C$42, 0.5599, 0.5599)*CHOOSE(CONTROL!$C$42, 31, 31))/1000000</f>
        <v>12.063045499999998</v>
      </c>
      <c r="V622" s="57">
        <f>(1000*CHOOSE(CONTROL!$C$42, 500, 500)*CHOOSE(CONTROL!$C$42, 0.275, 0.275)*CHOOSE(CONTROL!$C$42, 31, 31))/1000000</f>
        <v>4.2625000000000002</v>
      </c>
      <c r="W622" s="57">
        <f>(1000*CHOOSE(CONTROL!$C$42, 0.1146, 0.1146)*CHOOSE(CONTROL!$C$42, 121.5, 121.5)*CHOOSE(CONTROL!$C$42, 31, 31))/1000000</f>
        <v>0.43164089999999994</v>
      </c>
      <c r="X622" s="57">
        <f>(31*0.1790888*245000/1000000)+(31*0.2374*100000/1000000)</f>
        <v>2.0961194359999999</v>
      </c>
      <c r="Y622" s="57"/>
      <c r="Z622" s="14"/>
      <c r="AA622" s="56"/>
      <c r="AB622" s="50">
        <f>(B622*131.881+C622*277.167+D622*79.08+E622*125.872+F622*40+G622*185+H622*0+I622*100+J622*300)/(131.881+277.167+79.08+125.872+0+40+185+100+300)</f>
        <v>28.353159570298629</v>
      </c>
      <c r="AC622" s="45">
        <f>(M622*'RAP TEMPLATE-GAS AVAILABILITY'!O621+N622*'RAP TEMPLATE-GAS AVAILABILITY'!P621+O622*'RAP TEMPLATE-GAS AVAILABILITY'!Q621+P622*'RAP TEMPLATE-GAS AVAILABILITY'!R621)/('RAP TEMPLATE-GAS AVAILABILITY'!O621+'RAP TEMPLATE-GAS AVAILABILITY'!P621+'RAP TEMPLATE-GAS AVAILABILITY'!Q621+'RAP TEMPLATE-GAS AVAILABILITY'!R621)</f>
        <v>28.143203597122298</v>
      </c>
    </row>
    <row r="623" spans="1:29" ht="15.75" x14ac:dyDescent="0.25">
      <c r="A623" s="32">
        <v>59870</v>
      </c>
      <c r="B623" s="14">
        <f>CHOOSE(CONTROL!$C$42, 29.0643, 29.0643) * CHOOSE(CONTROL!$C$21, $C$9, 100%, $E$9)</f>
        <v>29.064299999999999</v>
      </c>
      <c r="C623" s="14">
        <f>CHOOSE(CONTROL!$C$42, 29.0692, 29.0692) * CHOOSE(CONTROL!$C$21, $C$9, 100%, $E$9)</f>
        <v>29.069199999999999</v>
      </c>
      <c r="D623" s="14">
        <f>CHOOSE(CONTROL!$C$42, 29.1323, 29.1323) * CHOOSE(CONTROL!$C$21, $C$9, 100%, $E$9)</f>
        <v>29.132300000000001</v>
      </c>
      <c r="E623" s="14">
        <f>CHOOSE(CONTROL!$C$42, 29.1661, 29.1661) * CHOOSE(CONTROL!$C$21, $C$9, 100%, $E$9)</f>
        <v>29.1661</v>
      </c>
      <c r="F623" s="14">
        <f>CHOOSE(CONTROL!$C$42, 29.065, 29.065)*CHOOSE(CONTROL!$C$21, $C$9, 100%, $E$9)</f>
        <v>29.065000000000001</v>
      </c>
      <c r="G623" s="14">
        <f>CHOOSE(CONTROL!$C$42, 29.0813, 29.0813)*CHOOSE(CONTROL!$C$21, $C$9, 100%, $E$9)</f>
        <v>29.081299999999999</v>
      </c>
      <c r="H623" s="14">
        <f>CHOOSE(CONTROL!$C$42, 29.1553, 29.1553) * CHOOSE(CONTROL!$C$21, $C$9, 100%, $E$9)</f>
        <v>29.1553</v>
      </c>
      <c r="I623" s="14">
        <f>CHOOSE(CONTROL!$C$42, 29.0778, 29.0778)* CHOOSE(CONTROL!$C$21, $C$9, 100%, $E$9)</f>
        <v>29.0778</v>
      </c>
      <c r="J623" s="14">
        <f>CHOOSE(CONTROL!$C$42, 29.058, 29.058)* CHOOSE(CONTROL!$C$21, $C$9, 100%, $E$9)</f>
        <v>29.058</v>
      </c>
      <c r="K623" s="53">
        <f>CHOOSE(CONTROL!$C$42, 29.0739, 29.0739) * CHOOSE(CONTROL!$C$21, $C$9, 100%, $E$9)</f>
        <v>29.073899999999998</v>
      </c>
      <c r="L623" s="14">
        <f>CHOOSE(CONTROL!$C$42, 29.7423, 29.7423) * CHOOSE(CONTROL!$C$21, $C$9, 100%, $E$9)</f>
        <v>29.7423</v>
      </c>
      <c r="M623" s="14">
        <f>CHOOSE(CONTROL!$C$42, 28.7786, 28.7786) * CHOOSE(CONTROL!$C$21, $C$9, 100%, $E$9)</f>
        <v>28.778600000000001</v>
      </c>
      <c r="N623" s="14">
        <f>CHOOSE(CONTROL!$C$42, 28.7947, 28.7947) * CHOOSE(CONTROL!$C$21, $C$9, 100%, $E$9)</f>
        <v>28.794699999999999</v>
      </c>
      <c r="O623" s="14">
        <f>CHOOSE(CONTROL!$C$42, 28.8749, 28.8749) * CHOOSE(CONTROL!$C$21, $C$9, 100%, $E$9)</f>
        <v>28.8749</v>
      </c>
      <c r="P623" s="14">
        <f>CHOOSE(CONTROL!$C$42, 28.7982, 28.7982) * CHOOSE(CONTROL!$C$21, $C$9, 100%, $E$9)</f>
        <v>28.798200000000001</v>
      </c>
      <c r="Q623" s="14">
        <f>CHOOSE(CONTROL!$C$42, 29.4702, 29.4702) * CHOOSE(CONTROL!$C$21, $C$9, 100%, $E$9)</f>
        <v>29.470199999999998</v>
      </c>
      <c r="R623" s="14">
        <f>CHOOSE(CONTROL!$C$42, 30.1309, 30.1309) * CHOOSE(CONTROL!$C$21, $C$9, 100%, $E$9)</f>
        <v>30.1309</v>
      </c>
      <c r="S623" s="14">
        <f>CHOOSE(CONTROL!$C$42, 28.2222, 28.2222) * CHOOSE(CONTROL!$C$21, $C$9, 100%, $E$9)</f>
        <v>28.222200000000001</v>
      </c>
      <c r="T62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23" s="57">
        <f>(1000*CHOOSE(CONTROL!$C$42, 695, 695)*CHOOSE(CONTROL!$C$42, 0.5599, 0.5599)*CHOOSE(CONTROL!$C$42, 30, 30))/1000000</f>
        <v>11.673914999999997</v>
      </c>
      <c r="V623" s="57">
        <f>(1000*CHOOSE(CONTROL!$C$42, 500, 500)*CHOOSE(CONTROL!$C$42, 0.275, 0.275)*CHOOSE(CONTROL!$C$42, 30, 30))/1000000</f>
        <v>4.125</v>
      </c>
      <c r="W623" s="57">
        <f>(1000*CHOOSE(CONTROL!$C$42, 0.1146, 0.1146)*CHOOSE(CONTROL!$C$42, 121.5, 121.5)*CHOOSE(CONTROL!$C$42, 30, 30))/1000000</f>
        <v>0.417717</v>
      </c>
      <c r="X623" s="57">
        <f>(30*0.1790888*100000/1000000)+(30*0.2374*100000/1000000)</f>
        <v>1.2494664</v>
      </c>
      <c r="Y623" s="57"/>
      <c r="Z623" s="14"/>
      <c r="AA623" s="56"/>
      <c r="AB623" s="50">
        <f>(B623*122.58+C623*297.941+D623*89.177+E623*40.302+F623*40+G623*160+H623*0+I623*100+J623*300)/(122.58+297.941+89.177+40.302+0+40+160+100+300)</f>
        <v>29.076330165652173</v>
      </c>
      <c r="AC623" s="45">
        <f>(M623*'RAP TEMPLATE-GAS AVAILABILITY'!O622+N623*'RAP TEMPLATE-GAS AVAILABILITY'!P622+O623*'RAP TEMPLATE-GAS AVAILABILITY'!Q622+P623*'RAP TEMPLATE-GAS AVAILABILITY'!R622)/('RAP TEMPLATE-GAS AVAILABILITY'!O622+'RAP TEMPLATE-GAS AVAILABILITY'!P622+'RAP TEMPLATE-GAS AVAILABILITY'!Q622+'RAP TEMPLATE-GAS AVAILABILITY'!R622)</f>
        <v>28.825993525179857</v>
      </c>
    </row>
    <row r="624" spans="1:29" ht="15.75" x14ac:dyDescent="0.25">
      <c r="A624" s="32">
        <v>59901</v>
      </c>
      <c r="B624" s="14">
        <f>CHOOSE(CONTROL!$C$42, 31.0457, 31.0457) * CHOOSE(CONTROL!$C$21, $C$9, 100%, $E$9)</f>
        <v>31.0457</v>
      </c>
      <c r="C624" s="14">
        <f>CHOOSE(CONTROL!$C$42, 31.0506, 31.0506) * CHOOSE(CONTROL!$C$21, $C$9, 100%, $E$9)</f>
        <v>31.050599999999999</v>
      </c>
      <c r="D624" s="14">
        <f>CHOOSE(CONTROL!$C$42, 31.1137, 31.1137) * CHOOSE(CONTROL!$C$21, $C$9, 100%, $E$9)</f>
        <v>31.113700000000001</v>
      </c>
      <c r="E624" s="14">
        <f>CHOOSE(CONTROL!$C$42, 31.1475, 31.1475) * CHOOSE(CONTROL!$C$21, $C$9, 100%, $E$9)</f>
        <v>31.147500000000001</v>
      </c>
      <c r="F624" s="14">
        <f>CHOOSE(CONTROL!$C$42, 31.0484, 31.0484)*CHOOSE(CONTROL!$C$21, $C$9, 100%, $E$9)</f>
        <v>31.048400000000001</v>
      </c>
      <c r="G624" s="14">
        <f>CHOOSE(CONTROL!$C$42, 31.0652, 31.0652)*CHOOSE(CONTROL!$C$21, $C$9, 100%, $E$9)</f>
        <v>31.065200000000001</v>
      </c>
      <c r="H624" s="14">
        <f>CHOOSE(CONTROL!$C$42, 31.1367, 31.1367) * CHOOSE(CONTROL!$C$21, $C$9, 100%, $E$9)</f>
        <v>31.136700000000001</v>
      </c>
      <c r="I624" s="14">
        <f>CHOOSE(CONTROL!$C$42, 31.0592, 31.0592)* CHOOSE(CONTROL!$C$21, $C$9, 100%, $E$9)</f>
        <v>31.059200000000001</v>
      </c>
      <c r="J624" s="14">
        <f>CHOOSE(CONTROL!$C$42, 31.0414, 31.0414)* CHOOSE(CONTROL!$C$21, $C$9, 100%, $E$9)</f>
        <v>31.041399999999999</v>
      </c>
      <c r="K624" s="53">
        <f>CHOOSE(CONTROL!$C$42, 31.0553, 31.0553) * CHOOSE(CONTROL!$C$21, $C$9, 100%, $E$9)</f>
        <v>31.055299999999999</v>
      </c>
      <c r="L624" s="14">
        <f>CHOOSE(CONTROL!$C$42, 31.7237, 31.7237) * CHOOSE(CONTROL!$C$21, $C$9, 100%, $E$9)</f>
        <v>31.723700000000001</v>
      </c>
      <c r="M624" s="14">
        <f>CHOOSE(CONTROL!$C$42, 30.742, 30.742) * CHOOSE(CONTROL!$C$21, $C$9, 100%, $E$9)</f>
        <v>30.742000000000001</v>
      </c>
      <c r="N624" s="14">
        <f>CHOOSE(CONTROL!$C$42, 30.7586, 30.7586) * CHOOSE(CONTROL!$C$21, $C$9, 100%, $E$9)</f>
        <v>30.758600000000001</v>
      </c>
      <c r="O624" s="14">
        <f>CHOOSE(CONTROL!$C$42, 30.8363, 30.8363) * CHOOSE(CONTROL!$C$21, $C$9, 100%, $E$9)</f>
        <v>30.836300000000001</v>
      </c>
      <c r="P624" s="14">
        <f>CHOOSE(CONTROL!$C$42, 30.7596, 30.7596) * CHOOSE(CONTROL!$C$21, $C$9, 100%, $E$9)</f>
        <v>30.759599999999999</v>
      </c>
      <c r="Q624" s="14">
        <f>CHOOSE(CONTROL!$C$42, 31.4316, 31.4316) * CHOOSE(CONTROL!$C$21, $C$9, 100%, $E$9)</f>
        <v>31.4316</v>
      </c>
      <c r="R624" s="14">
        <f>CHOOSE(CONTROL!$C$42, 32.0971, 32.0971) * CHOOSE(CONTROL!$C$21, $C$9, 100%, $E$9)</f>
        <v>32.097099999999998</v>
      </c>
      <c r="S624" s="14">
        <f>CHOOSE(CONTROL!$C$42, 30.1463, 30.1463) * CHOOSE(CONTROL!$C$21, $C$9, 100%, $E$9)</f>
        <v>30.1463</v>
      </c>
      <c r="T62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24" s="57">
        <f>(1000*CHOOSE(CONTROL!$C$42, 695, 695)*CHOOSE(CONTROL!$C$42, 0.5599, 0.5599)*CHOOSE(CONTROL!$C$42, 31, 31))/1000000</f>
        <v>12.063045499999998</v>
      </c>
      <c r="V624" s="57">
        <f>(1000*CHOOSE(CONTROL!$C$42, 500, 500)*CHOOSE(CONTROL!$C$42, 0.275, 0.275)*CHOOSE(CONTROL!$C$42, 31, 31))/1000000</f>
        <v>4.2625000000000002</v>
      </c>
      <c r="W624" s="57">
        <f>(1000*CHOOSE(CONTROL!$C$42, 0.1146, 0.1146)*CHOOSE(CONTROL!$C$42, 121.5, 121.5)*CHOOSE(CONTROL!$C$42, 31, 31))/1000000</f>
        <v>0.43164089999999994</v>
      </c>
      <c r="X624" s="57">
        <f>(31*0.1790888*100000/1000000)+(31*0.2374*100000/1000000)</f>
        <v>1.2911152800000001</v>
      </c>
      <c r="Y624" s="57"/>
      <c r="Z624" s="14"/>
      <c r="AA624" s="56"/>
      <c r="AB624" s="50">
        <f>(B624*122.58+C624*297.941+D624*89.177+E624*40.302+F624*40+G624*160+H624*0+I624*100+J624*300)/(122.58+297.941+89.177+40.302+0+40+160+100+300)</f>
        <v>31.058669296086958</v>
      </c>
      <c r="AC624" s="45">
        <f>(M624*'RAP TEMPLATE-GAS AVAILABILITY'!O623+N624*'RAP TEMPLATE-GAS AVAILABILITY'!P623+O624*'RAP TEMPLATE-GAS AVAILABILITY'!Q623+P624*'RAP TEMPLATE-GAS AVAILABILITY'!R623)/('RAP TEMPLATE-GAS AVAILABILITY'!O623+'RAP TEMPLATE-GAS AVAILABILITY'!P623+'RAP TEMPLATE-GAS AVAILABILITY'!Q623+'RAP TEMPLATE-GAS AVAILABILITY'!R623)</f>
        <v>30.788228057553958</v>
      </c>
    </row>
    <row r="625" spans="1:29" ht="15.75" x14ac:dyDescent="0.25">
      <c r="A625" s="32">
        <v>59932</v>
      </c>
      <c r="B625" s="14">
        <f>CHOOSE(CONTROL!$C$42, 33.5892, 33.5892) * CHOOSE(CONTROL!$C$21, $C$9, 100%, $E$9)</f>
        <v>33.589199999999998</v>
      </c>
      <c r="C625" s="14">
        <f>CHOOSE(CONTROL!$C$42, 33.5942, 33.5942) * CHOOSE(CONTROL!$C$21, $C$9, 100%, $E$9)</f>
        <v>33.594200000000001</v>
      </c>
      <c r="D625" s="14">
        <f>CHOOSE(CONTROL!$C$42, 33.6584, 33.6584) * CHOOSE(CONTROL!$C$21, $C$9, 100%, $E$9)</f>
        <v>33.6584</v>
      </c>
      <c r="E625" s="14">
        <f>CHOOSE(CONTROL!$C$42, 33.6922, 33.6922) * CHOOSE(CONTROL!$C$21, $C$9, 100%, $E$9)</f>
        <v>33.6922</v>
      </c>
      <c r="F625" s="14">
        <f>CHOOSE(CONTROL!$C$42, 33.5907, 33.5907)*CHOOSE(CONTROL!$C$21, $C$9, 100%, $E$9)</f>
        <v>33.590699999999998</v>
      </c>
      <c r="G625" s="14">
        <f>CHOOSE(CONTROL!$C$42, 33.6066, 33.6066)*CHOOSE(CONTROL!$C$21, $C$9, 100%, $E$9)</f>
        <v>33.6066</v>
      </c>
      <c r="H625" s="14">
        <f>CHOOSE(CONTROL!$C$42, 33.6814, 33.6814) * CHOOSE(CONTROL!$C$21, $C$9, 100%, $E$9)</f>
        <v>33.681399999999996</v>
      </c>
      <c r="I625" s="14">
        <f>CHOOSE(CONTROL!$C$42, 33.6092, 33.6092)* CHOOSE(CONTROL!$C$21, $C$9, 100%, $E$9)</f>
        <v>33.609200000000001</v>
      </c>
      <c r="J625" s="14">
        <f>CHOOSE(CONTROL!$C$42, 33.5837, 33.5837)* CHOOSE(CONTROL!$C$21, $C$9, 100%, $E$9)</f>
        <v>33.5837</v>
      </c>
      <c r="K625" s="53">
        <f>CHOOSE(CONTROL!$C$42, 33.6053, 33.6053) * CHOOSE(CONTROL!$C$21, $C$9, 100%, $E$9)</f>
        <v>33.6053</v>
      </c>
      <c r="L625" s="14">
        <f>CHOOSE(CONTROL!$C$42, 34.2684, 34.2684) * CHOOSE(CONTROL!$C$21, $C$9, 100%, $E$9)</f>
        <v>34.2684</v>
      </c>
      <c r="M625" s="14">
        <f>CHOOSE(CONTROL!$C$42, 33.2586, 33.2586) * CHOOSE(CONTROL!$C$21, $C$9, 100%, $E$9)</f>
        <v>33.258600000000001</v>
      </c>
      <c r="N625" s="14">
        <f>CHOOSE(CONTROL!$C$42, 33.2744, 33.2744) * CHOOSE(CONTROL!$C$21, $C$9, 100%, $E$9)</f>
        <v>33.2744</v>
      </c>
      <c r="O625" s="14">
        <f>CHOOSE(CONTROL!$C$42, 33.3553, 33.3553) * CHOOSE(CONTROL!$C$21, $C$9, 100%, $E$9)</f>
        <v>33.3553</v>
      </c>
      <c r="P625" s="14">
        <f>CHOOSE(CONTROL!$C$42, 33.2839, 33.2839) * CHOOSE(CONTROL!$C$21, $C$9, 100%, $E$9)</f>
        <v>33.283900000000003</v>
      </c>
      <c r="Q625" s="14">
        <f>CHOOSE(CONTROL!$C$42, 33.9506, 33.9506) * CHOOSE(CONTROL!$C$21, $C$9, 100%, $E$9)</f>
        <v>33.950600000000001</v>
      </c>
      <c r="R625" s="14">
        <f>CHOOSE(CONTROL!$C$42, 34.6225, 34.6225) * CHOOSE(CONTROL!$C$21, $C$9, 100%, $E$9)</f>
        <v>34.622500000000002</v>
      </c>
      <c r="S625" s="14">
        <f>CHOOSE(CONTROL!$C$42, 32.6163, 32.6163) * CHOOSE(CONTROL!$C$21, $C$9, 100%, $E$9)</f>
        <v>32.616300000000003</v>
      </c>
      <c r="T62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25" s="57">
        <f>(1000*CHOOSE(CONTROL!$C$42, 695, 695)*CHOOSE(CONTROL!$C$42, 0.5599, 0.5599)*CHOOSE(CONTROL!$C$42, 31, 31))/1000000</f>
        <v>12.063045499999998</v>
      </c>
      <c r="V625" s="57">
        <f>(1000*CHOOSE(CONTROL!$C$42, 500, 500)*CHOOSE(CONTROL!$C$42, 0.275, 0.275)*CHOOSE(CONTROL!$C$42, 31, 31))/1000000</f>
        <v>4.2625000000000002</v>
      </c>
      <c r="W625" s="57">
        <f>(1000*CHOOSE(CONTROL!$C$42, 0.1146, 0.1146)*CHOOSE(CONTROL!$C$42, 121.5, 121.5)*CHOOSE(CONTROL!$C$42, 31, 31))/1000000</f>
        <v>0.43164089999999994</v>
      </c>
      <c r="X625" s="57">
        <f>(31*0.1790888*100000/1000000)+(31*0.2374*100000/1000000)</f>
        <v>1.2911152800000001</v>
      </c>
      <c r="Y625" s="57"/>
      <c r="Z625" s="14"/>
      <c r="AA625" s="56"/>
      <c r="AB625" s="50">
        <f>(B625*122.58+C625*297.941+D625*89.177+E625*40.302+F625*40+G625*160+H625*0+I625*100+J625*300)/(122.58+297.941+89.177+40.302+0+40+160+100+300)</f>
        <v>33.602248573391307</v>
      </c>
      <c r="AC625" s="45">
        <f>(M625*'RAP TEMPLATE-GAS AVAILABILITY'!O624+N625*'RAP TEMPLATE-GAS AVAILABILITY'!P624+O625*'RAP TEMPLATE-GAS AVAILABILITY'!Q624+P625*'RAP TEMPLATE-GAS AVAILABILITY'!R624)/('RAP TEMPLATE-GAS AVAILABILITY'!O624+'RAP TEMPLATE-GAS AVAILABILITY'!P624+'RAP TEMPLATE-GAS AVAILABILITY'!Q624+'RAP TEMPLATE-GAS AVAILABILITY'!R624)</f>
        <v>33.306977697841724</v>
      </c>
    </row>
    <row r="626" spans="1:29" ht="15.75" x14ac:dyDescent="0.25">
      <c r="A626" s="32">
        <v>59961</v>
      </c>
      <c r="B626" s="14">
        <f>CHOOSE(CONTROL!$C$42, 34.1871, 34.1871) * CHOOSE(CONTROL!$C$21, $C$9, 100%, $E$9)</f>
        <v>34.187100000000001</v>
      </c>
      <c r="C626" s="14">
        <f>CHOOSE(CONTROL!$C$42, 34.192, 34.192) * CHOOSE(CONTROL!$C$21, $C$9, 100%, $E$9)</f>
        <v>34.192</v>
      </c>
      <c r="D626" s="14">
        <f>CHOOSE(CONTROL!$C$42, 34.2563, 34.2563) * CHOOSE(CONTROL!$C$21, $C$9, 100%, $E$9)</f>
        <v>34.256300000000003</v>
      </c>
      <c r="E626" s="14">
        <f>CHOOSE(CONTROL!$C$42, 34.2901, 34.2901) * CHOOSE(CONTROL!$C$21, $C$9, 100%, $E$9)</f>
        <v>34.290100000000002</v>
      </c>
      <c r="F626" s="14">
        <f>CHOOSE(CONTROL!$C$42, 34.1887, 34.1887)*CHOOSE(CONTROL!$C$21, $C$9, 100%, $E$9)</f>
        <v>34.188699999999997</v>
      </c>
      <c r="G626" s="14">
        <f>CHOOSE(CONTROL!$C$42, 34.2046, 34.2046)*CHOOSE(CONTROL!$C$21, $C$9, 100%, $E$9)</f>
        <v>34.204599999999999</v>
      </c>
      <c r="H626" s="14">
        <f>CHOOSE(CONTROL!$C$42, 34.2793, 34.2793) * CHOOSE(CONTROL!$C$21, $C$9, 100%, $E$9)</f>
        <v>34.279299999999999</v>
      </c>
      <c r="I626" s="14">
        <f>CHOOSE(CONTROL!$C$42, 34.2071, 34.2071)* CHOOSE(CONTROL!$C$21, $C$9, 100%, $E$9)</f>
        <v>34.207099999999997</v>
      </c>
      <c r="J626" s="14">
        <f>CHOOSE(CONTROL!$C$42, 34.1817, 34.1817)* CHOOSE(CONTROL!$C$21, $C$9, 100%, $E$9)</f>
        <v>34.181699999999999</v>
      </c>
      <c r="K626" s="53">
        <f>CHOOSE(CONTROL!$C$42, 34.2032, 34.2032) * CHOOSE(CONTROL!$C$21, $C$9, 100%, $E$9)</f>
        <v>34.203200000000002</v>
      </c>
      <c r="L626" s="14">
        <f>CHOOSE(CONTROL!$C$42, 34.8663, 34.8663) * CHOOSE(CONTROL!$C$21, $C$9, 100%, $E$9)</f>
        <v>34.866300000000003</v>
      </c>
      <c r="M626" s="14">
        <f>CHOOSE(CONTROL!$C$42, 33.8505, 33.8505) * CHOOSE(CONTROL!$C$21, $C$9, 100%, $E$9)</f>
        <v>33.850499999999997</v>
      </c>
      <c r="N626" s="14">
        <f>CHOOSE(CONTROL!$C$42, 33.8663, 33.8663) * CHOOSE(CONTROL!$C$21, $C$9, 100%, $E$9)</f>
        <v>33.866300000000003</v>
      </c>
      <c r="O626" s="14">
        <f>CHOOSE(CONTROL!$C$42, 33.9472, 33.9472) * CHOOSE(CONTROL!$C$21, $C$9, 100%, $E$9)</f>
        <v>33.947200000000002</v>
      </c>
      <c r="P626" s="14">
        <f>CHOOSE(CONTROL!$C$42, 33.8757, 33.8757) * CHOOSE(CONTROL!$C$21, $C$9, 100%, $E$9)</f>
        <v>33.875700000000002</v>
      </c>
      <c r="Q626" s="14">
        <f>CHOOSE(CONTROL!$C$42, 34.5425, 34.5425) * CHOOSE(CONTROL!$C$21, $C$9, 100%, $E$9)</f>
        <v>34.542499999999997</v>
      </c>
      <c r="R626" s="14">
        <f>CHOOSE(CONTROL!$C$42, 35.2158, 35.2158) * CHOOSE(CONTROL!$C$21, $C$9, 100%, $E$9)</f>
        <v>35.215800000000002</v>
      </c>
      <c r="S626" s="14">
        <f>CHOOSE(CONTROL!$C$42, 33.1969, 33.1969) * CHOOSE(CONTROL!$C$21, $C$9, 100%, $E$9)</f>
        <v>33.196899999999999</v>
      </c>
      <c r="T626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626" s="57">
        <f>(1000*CHOOSE(CONTROL!$C$42, 695, 695)*CHOOSE(CONTROL!$C$42, 0.5599, 0.5599)*CHOOSE(CONTROL!$C$42, 29, 29))/1000000</f>
        <v>11.284784499999999</v>
      </c>
      <c r="V626" s="57">
        <f>(1000*CHOOSE(CONTROL!$C$42, 500, 500)*CHOOSE(CONTROL!$C$42, 0.275, 0.275)*CHOOSE(CONTROL!$C$42, 29, 29))/1000000</f>
        <v>3.9874999999999998</v>
      </c>
      <c r="W626" s="57">
        <f>(1000*CHOOSE(CONTROL!$C$42, 0.1146, 0.1146)*CHOOSE(CONTROL!$C$42, 121.5, 121.5)*CHOOSE(CONTROL!$C$42, 29, 29))/1000000</f>
        <v>0.40379309999999996</v>
      </c>
      <c r="X626" s="57">
        <f>(29*0.1790888*100000/1000000)+(29*0.2374*100000/1000000)</f>
        <v>1.2078175199999999</v>
      </c>
      <c r="Y626" s="57"/>
      <c r="Z626" s="14"/>
      <c r="AA626" s="56"/>
      <c r="AB626" s="50">
        <f>(B626*122.58+C626*297.941+D626*89.177+E626*40.302+F626*40+G626*160+H626*0+I626*100+J626*300)/(122.58+297.941+89.177+40.302+0+40+160+100+300)</f>
        <v>34.200166143739125</v>
      </c>
      <c r="AC626" s="45">
        <f>(M626*'RAP TEMPLATE-GAS AVAILABILITY'!O625+N626*'RAP TEMPLATE-GAS AVAILABILITY'!P625+O626*'RAP TEMPLATE-GAS AVAILABILITY'!Q625+P626*'RAP TEMPLATE-GAS AVAILABILITY'!R625)/('RAP TEMPLATE-GAS AVAILABILITY'!O625+'RAP TEMPLATE-GAS AVAILABILITY'!P625+'RAP TEMPLATE-GAS AVAILABILITY'!Q625+'RAP TEMPLATE-GAS AVAILABILITY'!R625)</f>
        <v>33.898863309352514</v>
      </c>
    </row>
    <row r="627" spans="1:29" ht="15.75" x14ac:dyDescent="0.25">
      <c r="A627" s="32">
        <v>59992</v>
      </c>
      <c r="B627" s="14">
        <f>CHOOSE(CONTROL!$C$42, 33.2166, 33.2166) * CHOOSE(CONTROL!$C$21, $C$9, 100%, $E$9)</f>
        <v>33.2166</v>
      </c>
      <c r="C627" s="14">
        <f>CHOOSE(CONTROL!$C$42, 33.2215, 33.2215) * CHOOSE(CONTROL!$C$21, $C$9, 100%, $E$9)</f>
        <v>33.221499999999999</v>
      </c>
      <c r="D627" s="14">
        <f>CHOOSE(CONTROL!$C$42, 33.2858, 33.2858) * CHOOSE(CONTROL!$C$21, $C$9, 100%, $E$9)</f>
        <v>33.285800000000002</v>
      </c>
      <c r="E627" s="14">
        <f>CHOOSE(CONTROL!$C$42, 33.3196, 33.3196) * CHOOSE(CONTROL!$C$21, $C$9, 100%, $E$9)</f>
        <v>33.319600000000001</v>
      </c>
      <c r="F627" s="14">
        <f>CHOOSE(CONTROL!$C$42, 33.2178, 33.2178)*CHOOSE(CONTROL!$C$21, $C$9, 100%, $E$9)</f>
        <v>33.217799999999997</v>
      </c>
      <c r="G627" s="14">
        <f>CHOOSE(CONTROL!$C$42, 33.2337, 33.2337)*CHOOSE(CONTROL!$C$21, $C$9, 100%, $E$9)</f>
        <v>33.233699999999999</v>
      </c>
      <c r="H627" s="14">
        <f>CHOOSE(CONTROL!$C$42, 33.3088, 33.3088) * CHOOSE(CONTROL!$C$21, $C$9, 100%, $E$9)</f>
        <v>33.308799999999998</v>
      </c>
      <c r="I627" s="14">
        <f>CHOOSE(CONTROL!$C$42, 33.2366, 33.2366)* CHOOSE(CONTROL!$C$21, $C$9, 100%, $E$9)</f>
        <v>33.236600000000003</v>
      </c>
      <c r="J627" s="14">
        <f>CHOOSE(CONTROL!$C$42, 33.2108, 33.2108)* CHOOSE(CONTROL!$C$21, $C$9, 100%, $E$9)</f>
        <v>33.210799999999999</v>
      </c>
      <c r="K627" s="53">
        <f>CHOOSE(CONTROL!$C$42, 33.2327, 33.2327) * CHOOSE(CONTROL!$C$21, $C$9, 100%, $E$9)</f>
        <v>33.232700000000001</v>
      </c>
      <c r="L627" s="14">
        <f>CHOOSE(CONTROL!$C$42, 33.8958, 33.8958) * CHOOSE(CONTROL!$C$21, $C$9, 100%, $E$9)</f>
        <v>33.895800000000001</v>
      </c>
      <c r="M627" s="14">
        <f>CHOOSE(CONTROL!$C$42, 32.8895, 32.8895) * CHOOSE(CONTROL!$C$21, $C$9, 100%, $E$9)</f>
        <v>32.889499999999998</v>
      </c>
      <c r="N627" s="14">
        <f>CHOOSE(CONTROL!$C$42, 32.9052, 32.9052) * CHOOSE(CONTROL!$C$21, $C$9, 100%, $E$9)</f>
        <v>32.905200000000001</v>
      </c>
      <c r="O627" s="14">
        <f>CHOOSE(CONTROL!$C$42, 32.9865, 32.9865) * CHOOSE(CONTROL!$C$21, $C$9, 100%, $E$9)</f>
        <v>32.986499999999999</v>
      </c>
      <c r="P627" s="14">
        <f>CHOOSE(CONTROL!$C$42, 32.915, 32.915) * CHOOSE(CONTROL!$C$21, $C$9, 100%, $E$9)</f>
        <v>32.914999999999999</v>
      </c>
      <c r="Q627" s="14">
        <f>CHOOSE(CONTROL!$C$42, 33.5818, 33.5818) * CHOOSE(CONTROL!$C$21, $C$9, 100%, $E$9)</f>
        <v>33.581800000000001</v>
      </c>
      <c r="R627" s="14">
        <f>CHOOSE(CONTROL!$C$42, 34.2527, 34.2527) * CHOOSE(CONTROL!$C$21, $C$9, 100%, $E$9)</f>
        <v>34.252699999999997</v>
      </c>
      <c r="S627" s="14">
        <f>CHOOSE(CONTROL!$C$42, 32.2545, 32.2545) * CHOOSE(CONTROL!$C$21, $C$9, 100%, $E$9)</f>
        <v>32.2545</v>
      </c>
      <c r="T62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27" s="57">
        <f>(1000*CHOOSE(CONTROL!$C$42, 695, 695)*CHOOSE(CONTROL!$C$42, 0.5599, 0.5599)*CHOOSE(CONTROL!$C$42, 31, 31))/1000000</f>
        <v>12.063045499999998</v>
      </c>
      <c r="V627" s="57">
        <f>(1000*CHOOSE(CONTROL!$C$42, 500, 500)*CHOOSE(CONTROL!$C$42, 0.275, 0.275)*CHOOSE(CONTROL!$C$42, 31, 31))/1000000</f>
        <v>4.2625000000000002</v>
      </c>
      <c r="W627" s="57">
        <f>(1000*CHOOSE(CONTROL!$C$42, 0.1146, 0.1146)*CHOOSE(CONTROL!$C$42, 121.5, 121.5)*CHOOSE(CONTROL!$C$42, 31, 31))/1000000</f>
        <v>0.43164089999999994</v>
      </c>
      <c r="X627" s="57">
        <f>(31*0.1790888*100000/1000000)+(31*0.2374*100000/1000000)</f>
        <v>1.2911152800000001</v>
      </c>
      <c r="Y627" s="57"/>
      <c r="Z627" s="14"/>
      <c r="AA627" s="56"/>
      <c r="AB627" s="50">
        <f>(B627*122.58+C627*297.941+D627*89.177+E627*40.302+F627*40+G627*160+H627*0+I627*100+J627*300)/(122.58+297.941+89.177+40.302+0+40+160+100+300)</f>
        <v>33.229492230695655</v>
      </c>
      <c r="AC627" s="45">
        <f>(M627*'RAP TEMPLATE-GAS AVAILABILITY'!O626+N627*'RAP TEMPLATE-GAS AVAILABILITY'!P626+O627*'RAP TEMPLATE-GAS AVAILABILITY'!Q626+P627*'RAP TEMPLATE-GAS AVAILABILITY'!R626)/('RAP TEMPLATE-GAS AVAILABILITY'!O626+'RAP TEMPLATE-GAS AVAILABILITY'!P626+'RAP TEMPLATE-GAS AVAILABILITY'!Q626+'RAP TEMPLATE-GAS AVAILABILITY'!R626)</f>
        <v>32.938036690647479</v>
      </c>
    </row>
    <row r="628" spans="1:29" ht="15.75" x14ac:dyDescent="0.25">
      <c r="A628" s="32">
        <v>60022</v>
      </c>
      <c r="B628" s="14">
        <f>CHOOSE(CONTROL!$C$42, 33.1183, 33.1183) * CHOOSE(CONTROL!$C$21, $C$9, 100%, $E$9)</f>
        <v>33.118299999999998</v>
      </c>
      <c r="C628" s="14">
        <f>CHOOSE(CONTROL!$C$42, 33.1227, 33.1227) * CHOOSE(CONTROL!$C$21, $C$9, 100%, $E$9)</f>
        <v>33.122700000000002</v>
      </c>
      <c r="D628" s="14">
        <f>CHOOSE(CONTROL!$C$42, 33.3234, 33.3234) * CHOOSE(CONTROL!$C$21, $C$9, 100%, $E$9)</f>
        <v>33.323399999999999</v>
      </c>
      <c r="E628" s="14">
        <f>CHOOSE(CONTROL!$C$42, 33.3552, 33.3552) * CHOOSE(CONTROL!$C$21, $C$9, 100%, $E$9)</f>
        <v>33.355200000000004</v>
      </c>
      <c r="F628" s="14">
        <f>CHOOSE(CONTROL!$C$42, 33.1029, 33.1029)*CHOOSE(CONTROL!$C$21, $C$9, 100%, $E$9)</f>
        <v>33.102899999999998</v>
      </c>
      <c r="G628" s="14">
        <f>CHOOSE(CONTROL!$C$42, 33.1185, 33.1185)*CHOOSE(CONTROL!$C$21, $C$9, 100%, $E$9)</f>
        <v>33.118499999999997</v>
      </c>
      <c r="H628" s="14">
        <f>CHOOSE(CONTROL!$C$42, 33.345, 33.345) * CHOOSE(CONTROL!$C$21, $C$9, 100%, $E$9)</f>
        <v>33.344999999999999</v>
      </c>
      <c r="I628" s="14">
        <f>CHOOSE(CONTROL!$C$42, 33.1311, 33.1311)* CHOOSE(CONTROL!$C$21, $C$9, 100%, $E$9)</f>
        <v>33.131100000000004</v>
      </c>
      <c r="J628" s="14">
        <f>CHOOSE(CONTROL!$C$42, 33.0959, 33.0959)* CHOOSE(CONTROL!$C$21, $C$9, 100%, $E$9)</f>
        <v>33.0959</v>
      </c>
      <c r="K628" s="53">
        <f>CHOOSE(CONTROL!$C$42, 33.1272, 33.1272) * CHOOSE(CONTROL!$C$21, $C$9, 100%, $E$9)</f>
        <v>33.127200000000002</v>
      </c>
      <c r="L628" s="14">
        <f>CHOOSE(CONTROL!$C$42, 33.932, 33.932) * CHOOSE(CONTROL!$C$21, $C$9, 100%, $E$9)</f>
        <v>33.932000000000002</v>
      </c>
      <c r="M628" s="14">
        <f>CHOOSE(CONTROL!$C$42, 32.7757, 32.7757) * CHOOSE(CONTROL!$C$21, $C$9, 100%, $E$9)</f>
        <v>32.775700000000001</v>
      </c>
      <c r="N628" s="14">
        <f>CHOOSE(CONTROL!$C$42, 32.7912, 32.7912) * CHOOSE(CONTROL!$C$21, $C$9, 100%, $E$9)</f>
        <v>32.791200000000003</v>
      </c>
      <c r="O628" s="14">
        <f>CHOOSE(CONTROL!$C$42, 33.0223, 33.0223) * CHOOSE(CONTROL!$C$21, $C$9, 100%, $E$9)</f>
        <v>33.022300000000001</v>
      </c>
      <c r="P628" s="14">
        <f>CHOOSE(CONTROL!$C$42, 32.8106, 32.8106) * CHOOSE(CONTROL!$C$21, $C$9, 100%, $E$9)</f>
        <v>32.810600000000001</v>
      </c>
      <c r="Q628" s="14">
        <f>CHOOSE(CONTROL!$C$42, 33.6176, 33.6176) * CHOOSE(CONTROL!$C$21, $C$9, 100%, $E$9)</f>
        <v>33.617600000000003</v>
      </c>
      <c r="R628" s="14">
        <f>CHOOSE(CONTROL!$C$42, 34.2886, 34.2886) * CHOOSE(CONTROL!$C$21, $C$9, 100%, $E$9)</f>
        <v>34.288600000000002</v>
      </c>
      <c r="S628" s="14">
        <f>CHOOSE(CONTROL!$C$42, 32.1583, 32.1583) * CHOOSE(CONTROL!$C$21, $C$9, 100%, $E$9)</f>
        <v>32.158299999999997</v>
      </c>
      <c r="T62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28" s="57">
        <f>(1000*CHOOSE(CONTROL!$C$42, 695, 695)*CHOOSE(CONTROL!$C$42, 0.5599, 0.5599)*CHOOSE(CONTROL!$C$42, 30, 30))/1000000</f>
        <v>11.673914999999997</v>
      </c>
      <c r="V628" s="57">
        <f>(1000*CHOOSE(CONTROL!$C$42, 500, 500)*CHOOSE(CONTROL!$C$42, 0.275, 0.275)*CHOOSE(CONTROL!$C$42, 30, 30))/1000000</f>
        <v>4.125</v>
      </c>
      <c r="W628" s="57">
        <f>(1000*CHOOSE(CONTROL!$C$42, 0.1146, 0.1146)*CHOOSE(CONTROL!$C$42, 121.5, 121.5)*CHOOSE(CONTROL!$C$42, 30, 30))/1000000</f>
        <v>0.417717</v>
      </c>
      <c r="X628" s="57">
        <f>(30*0.1790888*245000/1000000)+(30*0.2374*100000/1000000)</f>
        <v>2.0285026799999999</v>
      </c>
      <c r="Y628" s="57"/>
      <c r="Z628" s="14"/>
      <c r="AA628" s="56"/>
      <c r="AB628" s="50">
        <f>(B628*141.293+C628*267.993+D628*115.016+E628*89.698+F628*40+G628*185+H628*0+I628*100+J628*300)/(141.293+267.993+115.016+89.698+0+40+185+100+300)</f>
        <v>33.150583621468932</v>
      </c>
      <c r="AC628" s="45">
        <f>(M628*'RAP TEMPLATE-GAS AVAILABILITY'!O627+N628*'RAP TEMPLATE-GAS AVAILABILITY'!P627+O628*'RAP TEMPLATE-GAS AVAILABILITY'!Q627+P628*'RAP TEMPLATE-GAS AVAILABILITY'!R627)/('RAP TEMPLATE-GAS AVAILABILITY'!O627+'RAP TEMPLATE-GAS AVAILABILITY'!P627+'RAP TEMPLATE-GAS AVAILABILITY'!Q627+'RAP TEMPLATE-GAS AVAILABILITY'!R627)</f>
        <v>32.893382014388486</v>
      </c>
    </row>
    <row r="629" spans="1:29" ht="15.75" x14ac:dyDescent="0.25">
      <c r="A629" s="32">
        <v>60053</v>
      </c>
      <c r="B629" s="14">
        <f>CHOOSE(CONTROL!$C$42, 33.412, 33.412) * CHOOSE(CONTROL!$C$21, $C$9, 100%, $E$9)</f>
        <v>33.411999999999999</v>
      </c>
      <c r="C629" s="14">
        <f>CHOOSE(CONTROL!$C$42, 33.4199, 33.4199) * CHOOSE(CONTROL!$C$21, $C$9, 100%, $E$9)</f>
        <v>33.419899999999998</v>
      </c>
      <c r="D629" s="14">
        <f>CHOOSE(CONTROL!$C$42, 33.6175, 33.6175) * CHOOSE(CONTROL!$C$21, $C$9, 100%, $E$9)</f>
        <v>33.6175</v>
      </c>
      <c r="E629" s="14">
        <f>CHOOSE(CONTROL!$C$42, 33.6486, 33.6486) * CHOOSE(CONTROL!$C$21, $C$9, 100%, $E$9)</f>
        <v>33.648600000000002</v>
      </c>
      <c r="F629" s="14">
        <f>CHOOSE(CONTROL!$C$42, 33.3954, 33.3954)*CHOOSE(CONTROL!$C$21, $C$9, 100%, $E$9)</f>
        <v>33.395400000000002</v>
      </c>
      <c r="G629" s="14">
        <f>CHOOSE(CONTROL!$C$42, 33.4115, 33.4115)*CHOOSE(CONTROL!$C$21, $C$9, 100%, $E$9)</f>
        <v>33.411499999999997</v>
      </c>
      <c r="H629" s="14">
        <f>CHOOSE(CONTROL!$C$42, 33.6372, 33.6372) * CHOOSE(CONTROL!$C$21, $C$9, 100%, $E$9)</f>
        <v>33.6372</v>
      </c>
      <c r="I629" s="14">
        <f>CHOOSE(CONTROL!$C$42, 33.4233, 33.4233)* CHOOSE(CONTROL!$C$21, $C$9, 100%, $E$9)</f>
        <v>33.423299999999998</v>
      </c>
      <c r="J629" s="14">
        <f>CHOOSE(CONTROL!$C$42, 33.3884, 33.3884)* CHOOSE(CONTROL!$C$21, $C$9, 100%, $E$9)</f>
        <v>33.388399999999997</v>
      </c>
      <c r="K629" s="53">
        <f>CHOOSE(CONTROL!$C$42, 33.4194, 33.4194) * CHOOSE(CONTROL!$C$21, $C$9, 100%, $E$9)</f>
        <v>33.419400000000003</v>
      </c>
      <c r="L629" s="14">
        <f>CHOOSE(CONTROL!$C$42, 34.2242, 34.2242) * CHOOSE(CONTROL!$C$21, $C$9, 100%, $E$9)</f>
        <v>34.224200000000003</v>
      </c>
      <c r="M629" s="14">
        <f>CHOOSE(CONTROL!$C$42, 33.0653, 33.0653) * CHOOSE(CONTROL!$C$21, $C$9, 100%, $E$9)</f>
        <v>33.065300000000001</v>
      </c>
      <c r="N629" s="14">
        <f>CHOOSE(CONTROL!$C$42, 33.0812, 33.0812) * CHOOSE(CONTROL!$C$21, $C$9, 100%, $E$9)</f>
        <v>33.081200000000003</v>
      </c>
      <c r="O629" s="14">
        <f>CHOOSE(CONTROL!$C$42, 33.3116, 33.3116) * CHOOSE(CONTROL!$C$21, $C$9, 100%, $E$9)</f>
        <v>33.311599999999999</v>
      </c>
      <c r="P629" s="14">
        <f>CHOOSE(CONTROL!$C$42, 33.0999, 33.0999) * CHOOSE(CONTROL!$C$21, $C$9, 100%, $E$9)</f>
        <v>33.099899999999998</v>
      </c>
      <c r="Q629" s="14">
        <f>CHOOSE(CONTROL!$C$42, 33.9069, 33.9069) * CHOOSE(CONTROL!$C$21, $C$9, 100%, $E$9)</f>
        <v>33.9069</v>
      </c>
      <c r="R629" s="14">
        <f>CHOOSE(CONTROL!$C$42, 34.5787, 34.5787) * CHOOSE(CONTROL!$C$21, $C$9, 100%, $E$9)</f>
        <v>34.578699999999998</v>
      </c>
      <c r="S629" s="14">
        <f>CHOOSE(CONTROL!$C$42, 32.4421, 32.4421) * CHOOSE(CONTROL!$C$21, $C$9, 100%, $E$9)</f>
        <v>32.442100000000003</v>
      </c>
      <c r="T62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29" s="57">
        <f>(1000*CHOOSE(CONTROL!$C$42, 695, 695)*CHOOSE(CONTROL!$C$42, 0.5599, 0.5599)*CHOOSE(CONTROL!$C$42, 31, 31))/1000000</f>
        <v>12.063045499999998</v>
      </c>
      <c r="V629" s="57">
        <f>(1000*CHOOSE(CONTROL!$C$42, 500, 500)*CHOOSE(CONTROL!$C$42, 0.275, 0.275)*CHOOSE(CONTROL!$C$42, 31, 31))/1000000</f>
        <v>4.2625000000000002</v>
      </c>
      <c r="W629" s="57">
        <f>(1000*CHOOSE(CONTROL!$C$42, 0.1146, 0.1146)*CHOOSE(CONTROL!$C$42, 121.5, 121.5)*CHOOSE(CONTROL!$C$42, 31, 31))/1000000</f>
        <v>0.43164089999999994</v>
      </c>
      <c r="X629" s="57">
        <f>(31*0.1790888*245000/1000000)+(31*0.2374*100000/1000000)</f>
        <v>2.0961194359999999</v>
      </c>
      <c r="Y629" s="57"/>
      <c r="Z629" s="14"/>
      <c r="AA629" s="56"/>
      <c r="AB629" s="50">
        <f>(B629*194.205+C629*267.466+D629*133.845+E629*53.484+F629*40+G629*185+H629*0+I629*100+J629*300)/(194.205+267.466+133.845+53.484+0+40+185+100+300)</f>
        <v>33.439916752982725</v>
      </c>
      <c r="AC629" s="45">
        <f>(M629*'RAP TEMPLATE-GAS AVAILABILITY'!O628+N629*'RAP TEMPLATE-GAS AVAILABILITY'!P628+O629*'RAP TEMPLATE-GAS AVAILABILITY'!Q628+P629*'RAP TEMPLATE-GAS AVAILABILITY'!R628)/('RAP TEMPLATE-GAS AVAILABILITY'!O628+'RAP TEMPLATE-GAS AVAILABILITY'!P628+'RAP TEMPLATE-GAS AVAILABILITY'!Q628+'RAP TEMPLATE-GAS AVAILABILITY'!R628)</f>
        <v>33.182825899280573</v>
      </c>
    </row>
    <row r="630" spans="1:29" ht="15.75" x14ac:dyDescent="0.25">
      <c r="A630" s="32">
        <v>60083</v>
      </c>
      <c r="B630" s="14">
        <f>CHOOSE(CONTROL!$C$42, 34.3596, 34.3596) * CHOOSE(CONTROL!$C$21, $C$9, 100%, $E$9)</f>
        <v>34.3596</v>
      </c>
      <c r="C630" s="14">
        <f>CHOOSE(CONTROL!$C$42, 34.3675, 34.3675) * CHOOSE(CONTROL!$C$21, $C$9, 100%, $E$9)</f>
        <v>34.3675</v>
      </c>
      <c r="D630" s="14">
        <f>CHOOSE(CONTROL!$C$42, 34.5651, 34.5651) * CHOOSE(CONTROL!$C$21, $C$9, 100%, $E$9)</f>
        <v>34.565100000000001</v>
      </c>
      <c r="E630" s="14">
        <f>CHOOSE(CONTROL!$C$42, 34.5962, 34.5962) * CHOOSE(CONTROL!$C$21, $C$9, 100%, $E$9)</f>
        <v>34.596200000000003</v>
      </c>
      <c r="F630" s="14">
        <f>CHOOSE(CONTROL!$C$42, 34.3434, 34.3434)*CHOOSE(CONTROL!$C$21, $C$9, 100%, $E$9)</f>
        <v>34.343400000000003</v>
      </c>
      <c r="G630" s="14">
        <f>CHOOSE(CONTROL!$C$42, 34.3596, 34.3596)*CHOOSE(CONTROL!$C$21, $C$9, 100%, $E$9)</f>
        <v>34.3596</v>
      </c>
      <c r="H630" s="14">
        <f>CHOOSE(CONTROL!$C$42, 34.5849, 34.5849) * CHOOSE(CONTROL!$C$21, $C$9, 100%, $E$9)</f>
        <v>34.584899999999998</v>
      </c>
      <c r="I630" s="14">
        <f>CHOOSE(CONTROL!$C$42, 34.371, 34.371)* CHOOSE(CONTROL!$C$21, $C$9, 100%, $E$9)</f>
        <v>34.371000000000002</v>
      </c>
      <c r="J630" s="14">
        <f>CHOOSE(CONTROL!$C$42, 34.3364, 34.3364)* CHOOSE(CONTROL!$C$21, $C$9, 100%, $E$9)</f>
        <v>34.336399999999998</v>
      </c>
      <c r="K630" s="53">
        <f>CHOOSE(CONTROL!$C$42, 34.3671, 34.3671) * CHOOSE(CONTROL!$C$21, $C$9, 100%, $E$9)</f>
        <v>34.367100000000001</v>
      </c>
      <c r="L630" s="14">
        <f>CHOOSE(CONTROL!$C$42, 35.1719, 35.1719) * CHOOSE(CONTROL!$C$21, $C$9, 100%, $E$9)</f>
        <v>35.171900000000001</v>
      </c>
      <c r="M630" s="14">
        <f>CHOOSE(CONTROL!$C$42, 34.0037, 34.0037) * CHOOSE(CONTROL!$C$21, $C$9, 100%, $E$9)</f>
        <v>34.003700000000002</v>
      </c>
      <c r="N630" s="14">
        <f>CHOOSE(CONTROL!$C$42, 34.0198, 34.0198) * CHOOSE(CONTROL!$C$21, $C$9, 100%, $E$9)</f>
        <v>34.019799999999996</v>
      </c>
      <c r="O630" s="14">
        <f>CHOOSE(CONTROL!$C$42, 34.2497, 34.2497) * CHOOSE(CONTROL!$C$21, $C$9, 100%, $E$9)</f>
        <v>34.249699999999997</v>
      </c>
      <c r="P630" s="14">
        <f>CHOOSE(CONTROL!$C$42, 34.038, 34.038) * CHOOSE(CONTROL!$C$21, $C$9, 100%, $E$9)</f>
        <v>34.037999999999997</v>
      </c>
      <c r="Q630" s="14">
        <f>CHOOSE(CONTROL!$C$42, 34.845, 34.845) * CHOOSE(CONTROL!$C$21, $C$9, 100%, $E$9)</f>
        <v>34.844999999999999</v>
      </c>
      <c r="R630" s="14">
        <f>CHOOSE(CONTROL!$C$42, 35.5191, 35.5191) * CHOOSE(CONTROL!$C$21, $C$9, 100%, $E$9)</f>
        <v>35.519100000000002</v>
      </c>
      <c r="S630" s="14">
        <f>CHOOSE(CONTROL!$C$42, 33.3623, 33.3623) * CHOOSE(CONTROL!$C$21, $C$9, 100%, $E$9)</f>
        <v>33.362299999999998</v>
      </c>
      <c r="T63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30" s="57">
        <f>(1000*CHOOSE(CONTROL!$C$42, 695, 695)*CHOOSE(CONTROL!$C$42, 0.5599, 0.5599)*CHOOSE(CONTROL!$C$42, 30, 30))/1000000</f>
        <v>11.673914999999997</v>
      </c>
      <c r="V630" s="57">
        <f>(1000*CHOOSE(CONTROL!$C$42, 500, 500)*CHOOSE(CONTROL!$C$42, 0.275, 0.275)*CHOOSE(CONTROL!$C$42, 30, 30))/1000000</f>
        <v>4.125</v>
      </c>
      <c r="W630" s="57">
        <f>(1000*CHOOSE(CONTROL!$C$42, 0.1146, 0.1146)*CHOOSE(CONTROL!$C$42, 121.5, 121.5)*CHOOSE(CONTROL!$C$42, 30, 30))/1000000</f>
        <v>0.417717</v>
      </c>
      <c r="X630" s="57">
        <f>(30*0.1790888*245000/1000000)+(30*0.2374*100000/1000000)</f>
        <v>2.0285026799999999</v>
      </c>
      <c r="Y630" s="57"/>
      <c r="Z630" s="14"/>
      <c r="AA630" s="56"/>
      <c r="AB630" s="50">
        <f>(B630*194.205+C630*267.466+D630*133.845+E630*53.484+F630*40+G630*185+H630*0+I630*100+J630*300)/(194.205+267.466+133.845+53.484+0+40+185+100+300)</f>
        <v>34.387703958634219</v>
      </c>
      <c r="AC630" s="45">
        <f>(M630*'RAP TEMPLATE-GAS AVAILABILITY'!O629+N630*'RAP TEMPLATE-GAS AVAILABILITY'!P629+O630*'RAP TEMPLATE-GAS AVAILABILITY'!Q629+P630*'RAP TEMPLATE-GAS AVAILABILITY'!R629)/('RAP TEMPLATE-GAS AVAILABILITY'!O629+'RAP TEMPLATE-GAS AVAILABILITY'!P629+'RAP TEMPLATE-GAS AVAILABILITY'!Q629+'RAP TEMPLATE-GAS AVAILABILITY'!R629)</f>
        <v>34.121058273381294</v>
      </c>
    </row>
    <row r="631" spans="1:29" ht="15.75" x14ac:dyDescent="0.25">
      <c r="A631" s="32">
        <v>60114</v>
      </c>
      <c r="B631" s="14">
        <f>CHOOSE(CONTROL!$C$42, 33.7005, 33.7005) * CHOOSE(CONTROL!$C$21, $C$9, 100%, $E$9)</f>
        <v>33.700499999999998</v>
      </c>
      <c r="C631" s="14">
        <f>CHOOSE(CONTROL!$C$42, 33.7084, 33.7084) * CHOOSE(CONTROL!$C$21, $C$9, 100%, $E$9)</f>
        <v>33.708399999999997</v>
      </c>
      <c r="D631" s="14">
        <f>CHOOSE(CONTROL!$C$42, 33.906, 33.906) * CHOOSE(CONTROL!$C$21, $C$9, 100%, $E$9)</f>
        <v>33.905999999999999</v>
      </c>
      <c r="E631" s="14">
        <f>CHOOSE(CONTROL!$C$42, 33.9371, 33.9371) * CHOOSE(CONTROL!$C$21, $C$9, 100%, $E$9)</f>
        <v>33.937100000000001</v>
      </c>
      <c r="F631" s="14">
        <f>CHOOSE(CONTROL!$C$42, 33.6848, 33.6848)*CHOOSE(CONTROL!$C$21, $C$9, 100%, $E$9)</f>
        <v>33.684800000000003</v>
      </c>
      <c r="G631" s="14">
        <f>CHOOSE(CONTROL!$C$42, 33.7011, 33.7011)*CHOOSE(CONTROL!$C$21, $C$9, 100%, $E$9)</f>
        <v>33.701099999999997</v>
      </c>
      <c r="H631" s="14">
        <f>CHOOSE(CONTROL!$C$42, 33.9258, 33.9258) * CHOOSE(CONTROL!$C$21, $C$9, 100%, $E$9)</f>
        <v>33.925800000000002</v>
      </c>
      <c r="I631" s="14">
        <f>CHOOSE(CONTROL!$C$42, 33.7119, 33.7119)* CHOOSE(CONTROL!$C$21, $C$9, 100%, $E$9)</f>
        <v>33.7119</v>
      </c>
      <c r="J631" s="14">
        <f>CHOOSE(CONTROL!$C$42, 33.6778, 33.6778)* CHOOSE(CONTROL!$C$21, $C$9, 100%, $E$9)</f>
        <v>33.677799999999998</v>
      </c>
      <c r="K631" s="53">
        <f>CHOOSE(CONTROL!$C$42, 33.708, 33.708) * CHOOSE(CONTROL!$C$21, $C$9, 100%, $E$9)</f>
        <v>33.707999999999998</v>
      </c>
      <c r="L631" s="14">
        <f>CHOOSE(CONTROL!$C$42, 34.5128, 34.5128) * CHOOSE(CONTROL!$C$21, $C$9, 100%, $E$9)</f>
        <v>34.512799999999999</v>
      </c>
      <c r="M631" s="14">
        <f>CHOOSE(CONTROL!$C$42, 33.3517, 33.3517) * CHOOSE(CONTROL!$C$21, $C$9, 100%, $E$9)</f>
        <v>33.351700000000001</v>
      </c>
      <c r="N631" s="14">
        <f>CHOOSE(CONTROL!$C$42, 33.3679, 33.3679) * CHOOSE(CONTROL!$C$21, $C$9, 100%, $E$9)</f>
        <v>33.367899999999999</v>
      </c>
      <c r="O631" s="14">
        <f>CHOOSE(CONTROL!$C$42, 33.5972, 33.5972) * CHOOSE(CONTROL!$C$21, $C$9, 100%, $E$9)</f>
        <v>33.597200000000001</v>
      </c>
      <c r="P631" s="14">
        <f>CHOOSE(CONTROL!$C$42, 33.3855, 33.3855) * CHOOSE(CONTROL!$C$21, $C$9, 100%, $E$9)</f>
        <v>33.3855</v>
      </c>
      <c r="Q631" s="14">
        <f>CHOOSE(CONTROL!$C$42, 34.1925, 34.1925) * CHOOSE(CONTROL!$C$21, $C$9, 100%, $E$9)</f>
        <v>34.192500000000003</v>
      </c>
      <c r="R631" s="14">
        <f>CHOOSE(CONTROL!$C$42, 34.865, 34.865) * CHOOSE(CONTROL!$C$21, $C$9, 100%, $E$9)</f>
        <v>34.865000000000002</v>
      </c>
      <c r="S631" s="14">
        <f>CHOOSE(CONTROL!$C$42, 32.7223, 32.7223) * CHOOSE(CONTROL!$C$21, $C$9, 100%, $E$9)</f>
        <v>32.722299999999997</v>
      </c>
      <c r="T63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31" s="57">
        <f>(1000*CHOOSE(CONTROL!$C$42, 695, 695)*CHOOSE(CONTROL!$C$42, 0.5599, 0.5599)*CHOOSE(CONTROL!$C$42, 31, 31))/1000000</f>
        <v>12.063045499999998</v>
      </c>
      <c r="V631" s="57">
        <f>(1000*CHOOSE(CONTROL!$C$42, 500, 500)*CHOOSE(CONTROL!$C$42, 0.275, 0.275)*CHOOSE(CONTROL!$C$42, 31, 31))/1000000</f>
        <v>4.2625000000000002</v>
      </c>
      <c r="W631" s="57">
        <f>(1000*CHOOSE(CONTROL!$C$42, 0.1146, 0.1146)*CHOOSE(CONTROL!$C$42, 121.5, 121.5)*CHOOSE(CONTROL!$C$42, 31, 31))/1000000</f>
        <v>0.43164089999999994</v>
      </c>
      <c r="X631" s="57">
        <f>(31*0.1790888*245000/1000000)+(31*0.2374*100000/1000000)</f>
        <v>2.0961194359999999</v>
      </c>
      <c r="Y631" s="57"/>
      <c r="Z631" s="14"/>
      <c r="AA631" s="56"/>
      <c r="AB631" s="50">
        <f>(B631*194.205+C631*267.466+D631*133.845+E631*53.484+F631*40+G631*185+H631*0+I631*100+J631*300)/(194.205+267.466+133.845+53.484+0+40+185+100+300)</f>
        <v>33.728824523783359</v>
      </c>
      <c r="AC631" s="45">
        <f>(M631*'RAP TEMPLATE-GAS AVAILABILITY'!O630+N631*'RAP TEMPLATE-GAS AVAILABILITY'!P630+O631*'RAP TEMPLATE-GAS AVAILABILITY'!Q630+P631*'RAP TEMPLATE-GAS AVAILABILITY'!R630)/('RAP TEMPLATE-GAS AVAILABILITY'!O630+'RAP TEMPLATE-GAS AVAILABILITY'!P630+'RAP TEMPLATE-GAS AVAILABILITY'!Q630+'RAP TEMPLATE-GAS AVAILABILITY'!R630)</f>
        <v>33.468765467625893</v>
      </c>
    </row>
    <row r="632" spans="1:29" ht="15.75" x14ac:dyDescent="0.25">
      <c r="A632" s="32">
        <v>60145</v>
      </c>
      <c r="B632" s="14">
        <f>CHOOSE(CONTROL!$C$42, 32.0361, 32.0361) * CHOOSE(CONTROL!$C$21, $C$9, 100%, $E$9)</f>
        <v>32.036099999999998</v>
      </c>
      <c r="C632" s="14">
        <f>CHOOSE(CONTROL!$C$42, 32.0441, 32.0441) * CHOOSE(CONTROL!$C$21, $C$9, 100%, $E$9)</f>
        <v>32.0441</v>
      </c>
      <c r="D632" s="14">
        <f>CHOOSE(CONTROL!$C$42, 32.2416, 32.2416) * CHOOSE(CONTROL!$C$21, $C$9, 100%, $E$9)</f>
        <v>32.241599999999998</v>
      </c>
      <c r="E632" s="14">
        <f>CHOOSE(CONTROL!$C$42, 32.2728, 32.2728) * CHOOSE(CONTROL!$C$21, $C$9, 100%, $E$9)</f>
        <v>32.272799999999997</v>
      </c>
      <c r="F632" s="14">
        <f>CHOOSE(CONTROL!$C$42, 32.0206, 32.0206)*CHOOSE(CONTROL!$C$21, $C$9, 100%, $E$9)</f>
        <v>32.020600000000002</v>
      </c>
      <c r="G632" s="14">
        <f>CHOOSE(CONTROL!$C$42, 32.0369, 32.0369)*CHOOSE(CONTROL!$C$21, $C$9, 100%, $E$9)</f>
        <v>32.036900000000003</v>
      </c>
      <c r="H632" s="14">
        <f>CHOOSE(CONTROL!$C$42, 32.2614, 32.2614) * CHOOSE(CONTROL!$C$21, $C$9, 100%, $E$9)</f>
        <v>32.261400000000002</v>
      </c>
      <c r="I632" s="14">
        <f>CHOOSE(CONTROL!$C$42, 32.0475, 32.0475)* CHOOSE(CONTROL!$C$21, $C$9, 100%, $E$9)</f>
        <v>32.047499999999999</v>
      </c>
      <c r="J632" s="14">
        <f>CHOOSE(CONTROL!$C$42, 32.0136, 32.0136)* CHOOSE(CONTROL!$C$21, $C$9, 100%, $E$9)</f>
        <v>32.013599999999997</v>
      </c>
      <c r="K632" s="53">
        <f>CHOOSE(CONTROL!$C$42, 32.0436, 32.0436) * CHOOSE(CONTROL!$C$21, $C$9, 100%, $E$9)</f>
        <v>32.043599999999998</v>
      </c>
      <c r="L632" s="14">
        <f>CHOOSE(CONTROL!$C$42, 32.8484, 32.8484) * CHOOSE(CONTROL!$C$21, $C$9, 100%, $E$9)</f>
        <v>32.848399999999998</v>
      </c>
      <c r="M632" s="14">
        <f>CHOOSE(CONTROL!$C$42, 31.7043, 31.7043) * CHOOSE(CONTROL!$C$21, $C$9, 100%, $E$9)</f>
        <v>31.7043</v>
      </c>
      <c r="N632" s="14">
        <f>CHOOSE(CONTROL!$C$42, 31.7205, 31.7205) * CHOOSE(CONTROL!$C$21, $C$9, 100%, $E$9)</f>
        <v>31.720500000000001</v>
      </c>
      <c r="O632" s="14">
        <f>CHOOSE(CONTROL!$C$42, 31.9497, 31.9497) * CHOOSE(CONTROL!$C$21, $C$9, 100%, $E$9)</f>
        <v>31.9497</v>
      </c>
      <c r="P632" s="14">
        <f>CHOOSE(CONTROL!$C$42, 31.738, 31.738) * CHOOSE(CONTROL!$C$21, $C$9, 100%, $E$9)</f>
        <v>31.738</v>
      </c>
      <c r="Q632" s="14">
        <f>CHOOSE(CONTROL!$C$42, 32.545, 32.545) * CHOOSE(CONTROL!$C$21, $C$9, 100%, $E$9)</f>
        <v>32.545000000000002</v>
      </c>
      <c r="R632" s="14">
        <f>CHOOSE(CONTROL!$C$42, 33.2133, 33.2133) * CHOOSE(CONTROL!$C$21, $C$9, 100%, $E$9)</f>
        <v>33.213299999999997</v>
      </c>
      <c r="S632" s="14">
        <f>CHOOSE(CONTROL!$C$42, 31.106, 31.106) * CHOOSE(CONTROL!$C$21, $C$9, 100%, $E$9)</f>
        <v>31.106000000000002</v>
      </c>
      <c r="T63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32" s="57">
        <f>(1000*CHOOSE(CONTROL!$C$42, 695, 695)*CHOOSE(CONTROL!$C$42, 0.5599, 0.5599)*CHOOSE(CONTROL!$C$42, 31, 31))/1000000</f>
        <v>12.063045499999998</v>
      </c>
      <c r="V632" s="57">
        <f>(1000*CHOOSE(CONTROL!$C$42, 500, 500)*CHOOSE(CONTROL!$C$42, 0.275, 0.275)*CHOOSE(CONTROL!$C$42, 31, 31))/1000000</f>
        <v>4.2625000000000002</v>
      </c>
      <c r="W632" s="57">
        <f>(1000*CHOOSE(CONTROL!$C$42, 0.1146, 0.1146)*CHOOSE(CONTROL!$C$42, 121.5, 121.5)*CHOOSE(CONTROL!$C$42, 31, 31))/1000000</f>
        <v>0.43164089999999994</v>
      </c>
      <c r="X632" s="57">
        <f>(31*0.1790888*245000/1000000)+(31*0.2374*100000/1000000)</f>
        <v>2.0961194359999999</v>
      </c>
      <c r="Y632" s="57"/>
      <c r="Z632" s="14"/>
      <c r="AA632" s="56"/>
      <c r="AB632" s="50">
        <f>(B632*194.205+C632*267.466+D632*133.845+E632*53.484+F632*40+G632*185+H632*0+I632*100+J632*300)/(194.205+267.466+133.845+53.484+0+40+185+100+300)</f>
        <v>32.064532133673474</v>
      </c>
      <c r="AC632" s="45">
        <f>(M632*'RAP TEMPLATE-GAS AVAILABILITY'!O631+N632*'RAP TEMPLATE-GAS AVAILABILITY'!P631+O632*'RAP TEMPLATE-GAS AVAILABILITY'!Q631+P632*'RAP TEMPLATE-GAS AVAILABILITY'!R631)/('RAP TEMPLATE-GAS AVAILABILITY'!O631+'RAP TEMPLATE-GAS AVAILABILITY'!P631+'RAP TEMPLATE-GAS AVAILABILITY'!Q631+'RAP TEMPLATE-GAS AVAILABILITY'!R631)</f>
        <v>31.821305755395681</v>
      </c>
    </row>
    <row r="633" spans="1:29" ht="15.75" x14ac:dyDescent="0.25">
      <c r="A633" s="32">
        <v>60175</v>
      </c>
      <c r="B633" s="14">
        <f>CHOOSE(CONTROL!$C$42, 30.0022, 30.0022) * CHOOSE(CONTROL!$C$21, $C$9, 100%, $E$9)</f>
        <v>30.002199999999998</v>
      </c>
      <c r="C633" s="14">
        <f>CHOOSE(CONTROL!$C$42, 30.0101, 30.0101) * CHOOSE(CONTROL!$C$21, $C$9, 100%, $E$9)</f>
        <v>30.010100000000001</v>
      </c>
      <c r="D633" s="14">
        <f>CHOOSE(CONTROL!$C$42, 30.2077, 30.2077) * CHOOSE(CONTROL!$C$21, $C$9, 100%, $E$9)</f>
        <v>30.207699999999999</v>
      </c>
      <c r="E633" s="14">
        <f>CHOOSE(CONTROL!$C$42, 30.2388, 30.2388) * CHOOSE(CONTROL!$C$21, $C$9, 100%, $E$9)</f>
        <v>30.238800000000001</v>
      </c>
      <c r="F633" s="14">
        <f>CHOOSE(CONTROL!$C$42, 29.9866, 29.9866)*CHOOSE(CONTROL!$C$21, $C$9, 100%, $E$9)</f>
        <v>29.986599999999999</v>
      </c>
      <c r="G633" s="14">
        <f>CHOOSE(CONTROL!$C$42, 30.0029, 30.0029)*CHOOSE(CONTROL!$C$21, $C$9, 100%, $E$9)</f>
        <v>30.0029</v>
      </c>
      <c r="H633" s="14">
        <f>CHOOSE(CONTROL!$C$42, 30.2275, 30.2275) * CHOOSE(CONTROL!$C$21, $C$9, 100%, $E$9)</f>
        <v>30.227499999999999</v>
      </c>
      <c r="I633" s="14">
        <f>CHOOSE(CONTROL!$C$42, 30.0136, 30.0136)* CHOOSE(CONTROL!$C$21, $C$9, 100%, $E$9)</f>
        <v>30.0136</v>
      </c>
      <c r="J633" s="14">
        <f>CHOOSE(CONTROL!$C$42, 29.9796, 29.9796)* CHOOSE(CONTROL!$C$21, $C$9, 100%, $E$9)</f>
        <v>29.979600000000001</v>
      </c>
      <c r="K633" s="53">
        <f>CHOOSE(CONTROL!$C$42, 30.0097, 30.0097) * CHOOSE(CONTROL!$C$21, $C$9, 100%, $E$9)</f>
        <v>30.009699999999999</v>
      </c>
      <c r="L633" s="14">
        <f>CHOOSE(CONTROL!$C$42, 30.8145, 30.8145) * CHOOSE(CONTROL!$C$21, $C$9, 100%, $E$9)</f>
        <v>30.814499999999999</v>
      </c>
      <c r="M633" s="14">
        <f>CHOOSE(CONTROL!$C$42, 29.6908, 29.6908) * CHOOSE(CONTROL!$C$21, $C$9, 100%, $E$9)</f>
        <v>29.690799999999999</v>
      </c>
      <c r="N633" s="14">
        <f>CHOOSE(CONTROL!$C$42, 29.707, 29.707) * CHOOSE(CONTROL!$C$21, $C$9, 100%, $E$9)</f>
        <v>29.707000000000001</v>
      </c>
      <c r="O633" s="14">
        <f>CHOOSE(CONTROL!$C$42, 29.9362, 29.9362) * CHOOSE(CONTROL!$C$21, $C$9, 100%, $E$9)</f>
        <v>29.936199999999999</v>
      </c>
      <c r="P633" s="14">
        <f>CHOOSE(CONTROL!$C$42, 29.7245, 29.7245) * CHOOSE(CONTROL!$C$21, $C$9, 100%, $E$9)</f>
        <v>29.724499999999999</v>
      </c>
      <c r="Q633" s="14">
        <f>CHOOSE(CONTROL!$C$42, 30.5315, 30.5315) * CHOOSE(CONTROL!$C$21, $C$9, 100%, $E$9)</f>
        <v>30.531500000000001</v>
      </c>
      <c r="R633" s="14">
        <f>CHOOSE(CONTROL!$C$42, 31.1949, 31.1949) * CHOOSE(CONTROL!$C$21, $C$9, 100%, $E$9)</f>
        <v>31.194900000000001</v>
      </c>
      <c r="S633" s="14">
        <f>CHOOSE(CONTROL!$C$42, 29.1309, 29.1309) * CHOOSE(CONTROL!$C$21, $C$9, 100%, $E$9)</f>
        <v>29.1309</v>
      </c>
      <c r="T63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33" s="57">
        <f>(1000*CHOOSE(CONTROL!$C$42, 695, 695)*CHOOSE(CONTROL!$C$42, 0.5599, 0.5599)*CHOOSE(CONTROL!$C$42, 30, 30))/1000000</f>
        <v>11.673914999999997</v>
      </c>
      <c r="V633" s="57">
        <f>(1000*CHOOSE(CONTROL!$C$42, 500, 500)*CHOOSE(CONTROL!$C$42, 0.275, 0.275)*CHOOSE(CONTROL!$C$42, 30, 30))/1000000</f>
        <v>4.125</v>
      </c>
      <c r="W633" s="57">
        <f>(1000*CHOOSE(CONTROL!$C$42, 0.1146, 0.1146)*CHOOSE(CONTROL!$C$42, 121.5, 121.5)*CHOOSE(CONTROL!$C$42, 30, 30))/1000000</f>
        <v>0.417717</v>
      </c>
      <c r="X633" s="57">
        <f>(30*0.1790888*245000/1000000)+(30*0.2374*100000/1000000)</f>
        <v>2.0285026799999999</v>
      </c>
      <c r="Y633" s="57"/>
      <c r="Z633" s="14"/>
      <c r="AA633" s="56"/>
      <c r="AB633" s="50">
        <f>(B633*194.205+C633*267.466+D633*133.845+E633*53.484+F633*40+G633*185+H633*0+I633*100+J633*300)/(194.205+267.466+133.845+53.484+0+40+185+100+300)</f>
        <v>30.030565732574569</v>
      </c>
      <c r="AC633" s="45">
        <f>(M633*'RAP TEMPLATE-GAS AVAILABILITY'!O632+N633*'RAP TEMPLATE-GAS AVAILABILITY'!P632+O633*'RAP TEMPLATE-GAS AVAILABILITY'!Q632+P633*'RAP TEMPLATE-GAS AVAILABILITY'!R632)/('RAP TEMPLATE-GAS AVAILABILITY'!O632+'RAP TEMPLATE-GAS AVAILABILITY'!P632+'RAP TEMPLATE-GAS AVAILABILITY'!Q632+'RAP TEMPLATE-GAS AVAILABILITY'!R632)</f>
        <v>29.807805755395684</v>
      </c>
    </row>
    <row r="634" spans="1:29" ht="15.75" x14ac:dyDescent="0.25">
      <c r="A634" s="32">
        <v>60206</v>
      </c>
      <c r="B634" s="14">
        <f>CHOOSE(CONTROL!$C$42, 29.3914, 29.3914) * CHOOSE(CONTROL!$C$21, $C$9, 100%, $E$9)</f>
        <v>29.391400000000001</v>
      </c>
      <c r="C634" s="14">
        <f>CHOOSE(CONTROL!$C$42, 29.3966, 29.3966) * CHOOSE(CONTROL!$C$21, $C$9, 100%, $E$9)</f>
        <v>29.396599999999999</v>
      </c>
      <c r="D634" s="14">
        <f>CHOOSE(CONTROL!$C$42, 29.5991, 29.5991) * CHOOSE(CONTROL!$C$21, $C$9, 100%, $E$9)</f>
        <v>29.5991</v>
      </c>
      <c r="E634" s="14">
        <f>CHOOSE(CONTROL!$C$42, 29.6279, 29.6279) * CHOOSE(CONTROL!$C$21, $C$9, 100%, $E$9)</f>
        <v>29.6279</v>
      </c>
      <c r="F634" s="14">
        <f>CHOOSE(CONTROL!$C$42, 29.3777, 29.3777)*CHOOSE(CONTROL!$C$21, $C$9, 100%, $E$9)</f>
        <v>29.377700000000001</v>
      </c>
      <c r="G634" s="14">
        <f>CHOOSE(CONTROL!$C$42, 29.3938, 29.3938)*CHOOSE(CONTROL!$C$21, $C$9, 100%, $E$9)</f>
        <v>29.393799999999999</v>
      </c>
      <c r="H634" s="14">
        <f>CHOOSE(CONTROL!$C$42, 29.6184, 29.6184) * CHOOSE(CONTROL!$C$21, $C$9, 100%, $E$9)</f>
        <v>29.618400000000001</v>
      </c>
      <c r="I634" s="14">
        <f>CHOOSE(CONTROL!$C$42, 29.4045, 29.4045)* CHOOSE(CONTROL!$C$21, $C$9, 100%, $E$9)</f>
        <v>29.404499999999999</v>
      </c>
      <c r="J634" s="14">
        <f>CHOOSE(CONTROL!$C$42, 29.3707, 29.3707)* CHOOSE(CONTROL!$C$21, $C$9, 100%, $E$9)</f>
        <v>29.370699999999999</v>
      </c>
      <c r="K634" s="53">
        <f>CHOOSE(CONTROL!$C$42, 29.4006, 29.4006) * CHOOSE(CONTROL!$C$21, $C$9, 100%, $E$9)</f>
        <v>29.400600000000001</v>
      </c>
      <c r="L634" s="14">
        <f>CHOOSE(CONTROL!$C$42, 30.2054, 30.2054) * CHOOSE(CONTROL!$C$21, $C$9, 100%, $E$9)</f>
        <v>30.205400000000001</v>
      </c>
      <c r="M634" s="14">
        <f>CHOOSE(CONTROL!$C$42, 29.0882, 29.0882) * CHOOSE(CONTROL!$C$21, $C$9, 100%, $E$9)</f>
        <v>29.088200000000001</v>
      </c>
      <c r="N634" s="14">
        <f>CHOOSE(CONTROL!$C$42, 29.104, 29.104) * CHOOSE(CONTROL!$C$21, $C$9, 100%, $E$9)</f>
        <v>29.103999999999999</v>
      </c>
      <c r="O634" s="14">
        <f>CHOOSE(CONTROL!$C$42, 29.3333, 29.3333) * CHOOSE(CONTROL!$C$21, $C$9, 100%, $E$9)</f>
        <v>29.333300000000001</v>
      </c>
      <c r="P634" s="14">
        <f>CHOOSE(CONTROL!$C$42, 29.1216, 29.1216) * CHOOSE(CONTROL!$C$21, $C$9, 100%, $E$9)</f>
        <v>29.121600000000001</v>
      </c>
      <c r="Q634" s="14">
        <f>CHOOSE(CONTROL!$C$42, 29.9286, 29.9286) * CHOOSE(CONTROL!$C$21, $C$9, 100%, $E$9)</f>
        <v>29.928599999999999</v>
      </c>
      <c r="R634" s="14">
        <f>CHOOSE(CONTROL!$C$42, 30.5904, 30.5904) * CHOOSE(CONTROL!$C$21, $C$9, 100%, $E$9)</f>
        <v>30.590399999999999</v>
      </c>
      <c r="S634" s="14">
        <f>CHOOSE(CONTROL!$C$42, 28.5394, 28.5394) * CHOOSE(CONTROL!$C$21, $C$9, 100%, $E$9)</f>
        <v>28.539400000000001</v>
      </c>
      <c r="T63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34" s="57">
        <f>(1000*CHOOSE(CONTROL!$C$42, 695, 695)*CHOOSE(CONTROL!$C$42, 0.5599, 0.5599)*CHOOSE(CONTROL!$C$42, 31, 31))/1000000</f>
        <v>12.063045499999998</v>
      </c>
      <c r="V634" s="57">
        <f>(1000*CHOOSE(CONTROL!$C$42, 500, 500)*CHOOSE(CONTROL!$C$42, 0.275, 0.275)*CHOOSE(CONTROL!$C$42, 31, 31))/1000000</f>
        <v>4.2625000000000002</v>
      </c>
      <c r="W634" s="57">
        <f>(1000*CHOOSE(CONTROL!$C$42, 0.1146, 0.1146)*CHOOSE(CONTROL!$C$42, 121.5, 121.5)*CHOOSE(CONTROL!$C$42, 31, 31))/1000000</f>
        <v>0.43164089999999994</v>
      </c>
      <c r="X634" s="57">
        <f>(31*0.1790888*245000/1000000)+(31*0.2374*100000/1000000)</f>
        <v>2.0961194359999999</v>
      </c>
      <c r="Y634" s="57"/>
      <c r="Z634" s="14"/>
      <c r="AA634" s="56"/>
      <c r="AB634" s="50">
        <f>(B634*131.881+C634*277.167+D634*79.08+E634*125.872+F634*40+G634*185+H634*0+I634*100+J634*300)/(131.881+277.167+79.08+125.872+0+40+185+100+300)</f>
        <v>29.42580751606134</v>
      </c>
      <c r="AC634" s="45">
        <f>(M634*'RAP TEMPLATE-GAS AVAILABILITY'!O633+N634*'RAP TEMPLATE-GAS AVAILABILITY'!P633+O634*'RAP TEMPLATE-GAS AVAILABILITY'!Q633+P634*'RAP TEMPLATE-GAS AVAILABILITY'!R633)/('RAP TEMPLATE-GAS AVAILABILITY'!O633+'RAP TEMPLATE-GAS AVAILABILITY'!P633+'RAP TEMPLATE-GAS AVAILABILITY'!Q633+'RAP TEMPLATE-GAS AVAILABILITY'!R633)</f>
        <v>29.2050035971223</v>
      </c>
    </row>
    <row r="635" spans="1:29" ht="15.75" x14ac:dyDescent="0.25">
      <c r="A635" s="32">
        <v>60236</v>
      </c>
      <c r="B635" s="14">
        <f>CHOOSE(CONTROL!$C$42, 30.1652, 30.1652) * CHOOSE(CONTROL!$C$21, $C$9, 100%, $E$9)</f>
        <v>30.165199999999999</v>
      </c>
      <c r="C635" s="14">
        <f>CHOOSE(CONTROL!$C$42, 30.1701, 30.1701) * CHOOSE(CONTROL!$C$21, $C$9, 100%, $E$9)</f>
        <v>30.170100000000001</v>
      </c>
      <c r="D635" s="14">
        <f>CHOOSE(CONTROL!$C$42, 30.2332, 30.2332) * CHOOSE(CONTROL!$C$21, $C$9, 100%, $E$9)</f>
        <v>30.2332</v>
      </c>
      <c r="E635" s="14">
        <f>CHOOSE(CONTROL!$C$42, 30.267, 30.267) * CHOOSE(CONTROL!$C$21, $C$9, 100%, $E$9)</f>
        <v>30.266999999999999</v>
      </c>
      <c r="F635" s="14">
        <f>CHOOSE(CONTROL!$C$42, 30.1659, 30.1659)*CHOOSE(CONTROL!$C$21, $C$9, 100%, $E$9)</f>
        <v>30.165900000000001</v>
      </c>
      <c r="G635" s="14">
        <f>CHOOSE(CONTROL!$C$42, 30.1822, 30.1822)*CHOOSE(CONTROL!$C$21, $C$9, 100%, $E$9)</f>
        <v>30.182200000000002</v>
      </c>
      <c r="H635" s="14">
        <f>CHOOSE(CONTROL!$C$42, 30.2562, 30.2562) * CHOOSE(CONTROL!$C$21, $C$9, 100%, $E$9)</f>
        <v>30.2562</v>
      </c>
      <c r="I635" s="14">
        <f>CHOOSE(CONTROL!$C$42, 30.1787, 30.1787)* CHOOSE(CONTROL!$C$21, $C$9, 100%, $E$9)</f>
        <v>30.178699999999999</v>
      </c>
      <c r="J635" s="14">
        <f>CHOOSE(CONTROL!$C$42, 30.1589, 30.1589)* CHOOSE(CONTROL!$C$21, $C$9, 100%, $E$9)</f>
        <v>30.158899999999999</v>
      </c>
      <c r="K635" s="53">
        <f>CHOOSE(CONTROL!$C$42, 30.1748, 30.1748) * CHOOSE(CONTROL!$C$21, $C$9, 100%, $E$9)</f>
        <v>30.174800000000001</v>
      </c>
      <c r="L635" s="14">
        <f>CHOOSE(CONTROL!$C$42, 30.8432, 30.8432) * CHOOSE(CONTROL!$C$21, $C$9, 100%, $E$9)</f>
        <v>30.8432</v>
      </c>
      <c r="M635" s="14">
        <f>CHOOSE(CONTROL!$C$42, 29.8683, 29.8683) * CHOOSE(CONTROL!$C$21, $C$9, 100%, $E$9)</f>
        <v>29.868300000000001</v>
      </c>
      <c r="N635" s="14">
        <f>CHOOSE(CONTROL!$C$42, 29.8845, 29.8845) * CHOOSE(CONTROL!$C$21, $C$9, 100%, $E$9)</f>
        <v>29.884499999999999</v>
      </c>
      <c r="O635" s="14">
        <f>CHOOSE(CONTROL!$C$42, 29.9647, 29.9647) * CHOOSE(CONTROL!$C$21, $C$9, 100%, $E$9)</f>
        <v>29.964700000000001</v>
      </c>
      <c r="P635" s="14">
        <f>CHOOSE(CONTROL!$C$42, 29.888, 29.888) * CHOOSE(CONTROL!$C$21, $C$9, 100%, $E$9)</f>
        <v>29.888000000000002</v>
      </c>
      <c r="Q635" s="14">
        <f>CHOOSE(CONTROL!$C$42, 30.56, 30.56) * CHOOSE(CONTROL!$C$21, $C$9, 100%, $E$9)</f>
        <v>30.56</v>
      </c>
      <c r="R635" s="14">
        <f>CHOOSE(CONTROL!$C$42, 31.2234, 31.2234) * CHOOSE(CONTROL!$C$21, $C$9, 100%, $E$9)</f>
        <v>31.223400000000002</v>
      </c>
      <c r="S635" s="14">
        <f>CHOOSE(CONTROL!$C$42, 29.2913, 29.2913) * CHOOSE(CONTROL!$C$21, $C$9, 100%, $E$9)</f>
        <v>29.2913</v>
      </c>
      <c r="T63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35" s="57">
        <f>(1000*CHOOSE(CONTROL!$C$42, 695, 695)*CHOOSE(CONTROL!$C$42, 0.5599, 0.5599)*CHOOSE(CONTROL!$C$42, 30, 30))/1000000</f>
        <v>11.673914999999997</v>
      </c>
      <c r="V635" s="57">
        <f>(1000*CHOOSE(CONTROL!$C$42, 500, 500)*CHOOSE(CONTROL!$C$42, 0.275, 0.275)*CHOOSE(CONTROL!$C$42, 30, 30))/1000000</f>
        <v>4.125</v>
      </c>
      <c r="W635" s="57">
        <f>(1000*CHOOSE(CONTROL!$C$42, 0.1146, 0.1146)*CHOOSE(CONTROL!$C$42, 121.5, 121.5)*CHOOSE(CONTROL!$C$42, 30, 30))/1000000</f>
        <v>0.417717</v>
      </c>
      <c r="X635" s="57">
        <f>(30*0.1790888*100000/1000000)+(30*0.2374*100000/1000000)</f>
        <v>1.2494664</v>
      </c>
      <c r="Y635" s="57"/>
      <c r="Z635" s="14"/>
      <c r="AA635" s="56"/>
      <c r="AB635" s="50">
        <f>(B635*122.58+C635*297.941+D635*89.177+E635*40.302+F635*40+G635*160+H635*0+I635*100+J635*300)/(122.58+297.941+89.177+40.302+0+40+160+100+300)</f>
        <v>30.177230165652169</v>
      </c>
      <c r="AC635" s="45">
        <f>(M635*'RAP TEMPLATE-GAS AVAILABILITY'!O634+N635*'RAP TEMPLATE-GAS AVAILABILITY'!P634+O635*'RAP TEMPLATE-GAS AVAILABILITY'!Q634+P635*'RAP TEMPLATE-GAS AVAILABILITY'!R634)/('RAP TEMPLATE-GAS AVAILABILITY'!O634+'RAP TEMPLATE-GAS AVAILABILITY'!P634+'RAP TEMPLATE-GAS AVAILABILITY'!Q634+'RAP TEMPLATE-GAS AVAILABILITY'!R634)</f>
        <v>29.915758992805756</v>
      </c>
    </row>
    <row r="636" spans="1:29" ht="15.75" x14ac:dyDescent="0.25">
      <c r="A636" s="32">
        <v>60267</v>
      </c>
      <c r="B636" s="14">
        <f>CHOOSE(CONTROL!$C$42, 32.2216, 32.2216) * CHOOSE(CONTROL!$C$21, $C$9, 100%, $E$9)</f>
        <v>32.221600000000002</v>
      </c>
      <c r="C636" s="14">
        <f>CHOOSE(CONTROL!$C$42, 32.2266, 32.2266) * CHOOSE(CONTROL!$C$21, $C$9, 100%, $E$9)</f>
        <v>32.226599999999998</v>
      </c>
      <c r="D636" s="14">
        <f>CHOOSE(CONTROL!$C$42, 32.2896, 32.2896) * CHOOSE(CONTROL!$C$21, $C$9, 100%, $E$9)</f>
        <v>32.2896</v>
      </c>
      <c r="E636" s="14">
        <f>CHOOSE(CONTROL!$C$42, 32.3234, 32.3234) * CHOOSE(CONTROL!$C$21, $C$9, 100%, $E$9)</f>
        <v>32.323399999999999</v>
      </c>
      <c r="F636" s="14">
        <f>CHOOSE(CONTROL!$C$42, 32.2244, 32.2244)*CHOOSE(CONTROL!$C$21, $C$9, 100%, $E$9)</f>
        <v>32.224400000000003</v>
      </c>
      <c r="G636" s="14">
        <f>CHOOSE(CONTROL!$C$42, 32.2412, 32.2412)*CHOOSE(CONTROL!$C$21, $C$9, 100%, $E$9)</f>
        <v>32.241199999999999</v>
      </c>
      <c r="H636" s="14">
        <f>CHOOSE(CONTROL!$C$42, 32.3126, 32.3126) * CHOOSE(CONTROL!$C$21, $C$9, 100%, $E$9)</f>
        <v>32.312600000000003</v>
      </c>
      <c r="I636" s="14">
        <f>CHOOSE(CONTROL!$C$42, 32.2352, 32.2352)* CHOOSE(CONTROL!$C$21, $C$9, 100%, $E$9)</f>
        <v>32.235199999999999</v>
      </c>
      <c r="J636" s="14">
        <f>CHOOSE(CONTROL!$C$42, 32.2174, 32.2174)* CHOOSE(CONTROL!$C$21, $C$9, 100%, $E$9)</f>
        <v>32.217399999999998</v>
      </c>
      <c r="K636" s="53">
        <f>CHOOSE(CONTROL!$C$42, 32.2313, 32.2313) * CHOOSE(CONTROL!$C$21, $C$9, 100%, $E$9)</f>
        <v>32.231299999999997</v>
      </c>
      <c r="L636" s="14">
        <f>CHOOSE(CONTROL!$C$42, 32.8996, 32.8996) * CHOOSE(CONTROL!$C$21, $C$9, 100%, $E$9)</f>
        <v>32.8996</v>
      </c>
      <c r="M636" s="14">
        <f>CHOOSE(CONTROL!$C$42, 31.9061, 31.9061) * CHOOSE(CONTROL!$C$21, $C$9, 100%, $E$9)</f>
        <v>31.906099999999999</v>
      </c>
      <c r="N636" s="14">
        <f>CHOOSE(CONTROL!$C$42, 31.9227, 31.9227) * CHOOSE(CONTROL!$C$21, $C$9, 100%, $E$9)</f>
        <v>31.922699999999999</v>
      </c>
      <c r="O636" s="14">
        <f>CHOOSE(CONTROL!$C$42, 32.0004, 32.0004) * CHOOSE(CONTROL!$C$21, $C$9, 100%, $E$9)</f>
        <v>32.000399999999999</v>
      </c>
      <c r="P636" s="14">
        <f>CHOOSE(CONTROL!$C$42, 31.9237, 31.9237) * CHOOSE(CONTROL!$C$21, $C$9, 100%, $E$9)</f>
        <v>31.9237</v>
      </c>
      <c r="Q636" s="14">
        <f>CHOOSE(CONTROL!$C$42, 32.5957, 32.5957) * CHOOSE(CONTROL!$C$21, $C$9, 100%, $E$9)</f>
        <v>32.595700000000001</v>
      </c>
      <c r="R636" s="14">
        <f>CHOOSE(CONTROL!$C$42, 33.2641, 33.2641) * CHOOSE(CONTROL!$C$21, $C$9, 100%, $E$9)</f>
        <v>33.264099999999999</v>
      </c>
      <c r="S636" s="14">
        <f>CHOOSE(CONTROL!$C$42, 31.2883, 31.2883) * CHOOSE(CONTROL!$C$21, $C$9, 100%, $E$9)</f>
        <v>31.2883</v>
      </c>
      <c r="T63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36" s="57">
        <f>(1000*CHOOSE(CONTROL!$C$42, 695, 695)*CHOOSE(CONTROL!$C$42, 0.5599, 0.5599)*CHOOSE(CONTROL!$C$42, 31, 31))/1000000</f>
        <v>12.063045499999998</v>
      </c>
      <c r="V636" s="57">
        <f>(1000*CHOOSE(CONTROL!$C$42, 500, 500)*CHOOSE(CONTROL!$C$42, 0.275, 0.275)*CHOOSE(CONTROL!$C$42, 31, 31))/1000000</f>
        <v>4.2625000000000002</v>
      </c>
      <c r="W636" s="57">
        <f>(1000*CHOOSE(CONTROL!$C$42, 0.1146, 0.1146)*CHOOSE(CONTROL!$C$42, 121.5, 121.5)*CHOOSE(CONTROL!$C$42, 31, 31))/1000000</f>
        <v>0.43164089999999994</v>
      </c>
      <c r="X636" s="57">
        <f>(31*0.1790888*100000/1000000)+(31*0.2374*100000/1000000)</f>
        <v>1.2911152800000001</v>
      </c>
      <c r="Y636" s="57"/>
      <c r="Z636" s="14"/>
      <c r="AA636" s="56"/>
      <c r="AB636" s="50">
        <f>(B636*122.58+C636*297.941+D636*89.177+E636*40.302+F636*40+G636*160+H636*0+I636*100+J636*300)/(122.58+297.941+89.177+40.302+0+40+160+100+300)</f>
        <v>32.234647377913042</v>
      </c>
      <c r="AC636" s="45">
        <f>(M636*'RAP TEMPLATE-GAS AVAILABILITY'!O635+N636*'RAP TEMPLATE-GAS AVAILABILITY'!P635+O636*'RAP TEMPLATE-GAS AVAILABILITY'!Q635+P636*'RAP TEMPLATE-GAS AVAILABILITY'!R635)/('RAP TEMPLATE-GAS AVAILABILITY'!O635+'RAP TEMPLATE-GAS AVAILABILITY'!P635+'RAP TEMPLATE-GAS AVAILABILITY'!Q635+'RAP TEMPLATE-GAS AVAILABILITY'!R635)</f>
        <v>31.952328057553956</v>
      </c>
    </row>
    <row r="637" spans="1:29" ht="15.75" x14ac:dyDescent="0.25">
      <c r="A637" s="32">
        <v>60298</v>
      </c>
      <c r="B637" s="14">
        <f>CHOOSE(CONTROL!$C$42, 34.8615, 34.8615) * CHOOSE(CONTROL!$C$21, $C$9, 100%, $E$9)</f>
        <v>34.861499999999999</v>
      </c>
      <c r="C637" s="14">
        <f>CHOOSE(CONTROL!$C$42, 34.8665, 34.8665) * CHOOSE(CONTROL!$C$21, $C$9, 100%, $E$9)</f>
        <v>34.866500000000002</v>
      </c>
      <c r="D637" s="14">
        <f>CHOOSE(CONTROL!$C$42, 34.9307, 34.9307) * CHOOSE(CONTROL!$C$21, $C$9, 100%, $E$9)</f>
        <v>34.930700000000002</v>
      </c>
      <c r="E637" s="14">
        <f>CHOOSE(CONTROL!$C$42, 34.9645, 34.9645) * CHOOSE(CONTROL!$C$21, $C$9, 100%, $E$9)</f>
        <v>34.964500000000001</v>
      </c>
      <c r="F637" s="14">
        <f>CHOOSE(CONTROL!$C$42, 34.863, 34.863)*CHOOSE(CONTROL!$C$21, $C$9, 100%, $E$9)</f>
        <v>34.863</v>
      </c>
      <c r="G637" s="14">
        <f>CHOOSE(CONTROL!$C$42, 34.8789, 34.8789)*CHOOSE(CONTROL!$C$21, $C$9, 100%, $E$9)</f>
        <v>34.878900000000002</v>
      </c>
      <c r="H637" s="14">
        <f>CHOOSE(CONTROL!$C$42, 34.9537, 34.9537) * CHOOSE(CONTROL!$C$21, $C$9, 100%, $E$9)</f>
        <v>34.953699999999998</v>
      </c>
      <c r="I637" s="14">
        <f>CHOOSE(CONTROL!$C$42, 34.8815, 34.8815)* CHOOSE(CONTROL!$C$21, $C$9, 100%, $E$9)</f>
        <v>34.881500000000003</v>
      </c>
      <c r="J637" s="14">
        <f>CHOOSE(CONTROL!$C$42, 34.856, 34.856)* CHOOSE(CONTROL!$C$21, $C$9, 100%, $E$9)</f>
        <v>34.856000000000002</v>
      </c>
      <c r="K637" s="53">
        <f>CHOOSE(CONTROL!$C$42, 34.8776, 34.8776) * CHOOSE(CONTROL!$C$21, $C$9, 100%, $E$9)</f>
        <v>34.877600000000001</v>
      </c>
      <c r="L637" s="14">
        <f>CHOOSE(CONTROL!$C$42, 35.5407, 35.5407) * CHOOSE(CONTROL!$C$21, $C$9, 100%, $E$9)</f>
        <v>35.540700000000001</v>
      </c>
      <c r="M637" s="14">
        <f>CHOOSE(CONTROL!$C$42, 34.5181, 34.5181) * CHOOSE(CONTROL!$C$21, $C$9, 100%, $E$9)</f>
        <v>34.518099999999997</v>
      </c>
      <c r="N637" s="14">
        <f>CHOOSE(CONTROL!$C$42, 34.5339, 34.5339) * CHOOSE(CONTROL!$C$21, $C$9, 100%, $E$9)</f>
        <v>34.533900000000003</v>
      </c>
      <c r="O637" s="14">
        <f>CHOOSE(CONTROL!$C$42, 34.6148, 34.6148) * CHOOSE(CONTROL!$C$21, $C$9, 100%, $E$9)</f>
        <v>34.614800000000002</v>
      </c>
      <c r="P637" s="14">
        <f>CHOOSE(CONTROL!$C$42, 34.5433, 34.5433) * CHOOSE(CONTROL!$C$21, $C$9, 100%, $E$9)</f>
        <v>34.543300000000002</v>
      </c>
      <c r="Q637" s="14">
        <f>CHOOSE(CONTROL!$C$42, 35.2101, 35.2101) * CHOOSE(CONTROL!$C$21, $C$9, 100%, $E$9)</f>
        <v>35.210099999999997</v>
      </c>
      <c r="R637" s="14">
        <f>CHOOSE(CONTROL!$C$42, 35.8851, 35.8851) * CHOOSE(CONTROL!$C$21, $C$9, 100%, $E$9)</f>
        <v>35.885100000000001</v>
      </c>
      <c r="S637" s="14">
        <f>CHOOSE(CONTROL!$C$42, 33.8519, 33.8519) * CHOOSE(CONTROL!$C$21, $C$9, 100%, $E$9)</f>
        <v>33.851900000000001</v>
      </c>
      <c r="T63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37" s="57">
        <f>(1000*CHOOSE(CONTROL!$C$42, 695, 695)*CHOOSE(CONTROL!$C$42, 0.5599, 0.5599)*CHOOSE(CONTROL!$C$42, 31, 31))/1000000</f>
        <v>12.063045499999998</v>
      </c>
      <c r="V637" s="57">
        <f>(1000*CHOOSE(CONTROL!$C$42, 500, 500)*CHOOSE(CONTROL!$C$42, 0.275, 0.275)*CHOOSE(CONTROL!$C$42, 31, 31))/1000000</f>
        <v>4.2625000000000002</v>
      </c>
      <c r="W637" s="57">
        <f>(1000*CHOOSE(CONTROL!$C$42, 0.1146, 0.1146)*CHOOSE(CONTROL!$C$42, 121.5, 121.5)*CHOOSE(CONTROL!$C$42, 31, 31))/1000000</f>
        <v>0.43164089999999994</v>
      </c>
      <c r="X637" s="57">
        <f>(31*0.1790888*100000/1000000)+(31*0.2374*100000/1000000)</f>
        <v>1.2911152800000001</v>
      </c>
      <c r="Y637" s="57"/>
      <c r="Z637" s="14"/>
      <c r="AA637" s="56"/>
      <c r="AB637" s="50">
        <f>(B637*122.58+C637*297.941+D637*89.177+E637*40.302+F637*40+G637*160+H637*0+I637*100+J637*300)/(122.58+297.941+89.177+40.302+0+40+160+100+300)</f>
        <v>34.874548573391301</v>
      </c>
      <c r="AC637" s="45">
        <f>(M637*'RAP TEMPLATE-GAS AVAILABILITY'!O636+N637*'RAP TEMPLATE-GAS AVAILABILITY'!P636+O637*'RAP TEMPLATE-GAS AVAILABILITY'!Q636+P637*'RAP TEMPLATE-GAS AVAILABILITY'!R636)/('RAP TEMPLATE-GAS AVAILABILITY'!O636+'RAP TEMPLATE-GAS AVAILABILITY'!P636+'RAP TEMPLATE-GAS AVAILABILITY'!Q636+'RAP TEMPLATE-GAS AVAILABILITY'!R636)</f>
        <v>34.566463309352521</v>
      </c>
    </row>
    <row r="638" spans="1:29" ht="15.75" x14ac:dyDescent="0.25">
      <c r="A638" s="32">
        <v>60326</v>
      </c>
      <c r="B638" s="14">
        <f>CHOOSE(CONTROL!$C$42, 35.482, 35.482) * CHOOSE(CONTROL!$C$21, $C$9, 100%, $E$9)</f>
        <v>35.481999999999999</v>
      </c>
      <c r="C638" s="14">
        <f>CHOOSE(CONTROL!$C$42, 35.487, 35.487) * CHOOSE(CONTROL!$C$21, $C$9, 100%, $E$9)</f>
        <v>35.487000000000002</v>
      </c>
      <c r="D638" s="14">
        <f>CHOOSE(CONTROL!$C$42, 35.5513, 35.5513) * CHOOSE(CONTROL!$C$21, $C$9, 100%, $E$9)</f>
        <v>35.551299999999998</v>
      </c>
      <c r="E638" s="14">
        <f>CHOOSE(CONTROL!$C$42, 35.5851, 35.5851) * CHOOSE(CONTROL!$C$21, $C$9, 100%, $E$9)</f>
        <v>35.585099999999997</v>
      </c>
      <c r="F638" s="14">
        <f>CHOOSE(CONTROL!$C$42, 35.4836, 35.4836)*CHOOSE(CONTROL!$C$21, $C$9, 100%, $E$9)</f>
        <v>35.483600000000003</v>
      </c>
      <c r="G638" s="14">
        <f>CHOOSE(CONTROL!$C$42, 35.4995, 35.4995)*CHOOSE(CONTROL!$C$21, $C$9, 100%, $E$9)</f>
        <v>35.499499999999998</v>
      </c>
      <c r="H638" s="14">
        <f>CHOOSE(CONTROL!$C$42, 35.5742, 35.5742) * CHOOSE(CONTROL!$C$21, $C$9, 100%, $E$9)</f>
        <v>35.574199999999998</v>
      </c>
      <c r="I638" s="14">
        <f>CHOOSE(CONTROL!$C$42, 35.502, 35.502)* CHOOSE(CONTROL!$C$21, $C$9, 100%, $E$9)</f>
        <v>35.502000000000002</v>
      </c>
      <c r="J638" s="14">
        <f>CHOOSE(CONTROL!$C$42, 35.4766, 35.4766)* CHOOSE(CONTROL!$C$21, $C$9, 100%, $E$9)</f>
        <v>35.476599999999998</v>
      </c>
      <c r="K638" s="53">
        <f>CHOOSE(CONTROL!$C$42, 35.4981, 35.4981) * CHOOSE(CONTROL!$C$21, $C$9, 100%, $E$9)</f>
        <v>35.498100000000001</v>
      </c>
      <c r="L638" s="14">
        <f>CHOOSE(CONTROL!$C$42, 36.1612, 36.1612) * CHOOSE(CONTROL!$C$21, $C$9, 100%, $E$9)</f>
        <v>36.161200000000001</v>
      </c>
      <c r="M638" s="14">
        <f>CHOOSE(CONTROL!$C$42, 35.1324, 35.1324) * CHOOSE(CONTROL!$C$21, $C$9, 100%, $E$9)</f>
        <v>35.132399999999997</v>
      </c>
      <c r="N638" s="14">
        <f>CHOOSE(CONTROL!$C$42, 35.1482, 35.1482) * CHOOSE(CONTROL!$C$21, $C$9, 100%, $E$9)</f>
        <v>35.148200000000003</v>
      </c>
      <c r="O638" s="14">
        <f>CHOOSE(CONTROL!$C$42, 35.2291, 35.2291) * CHOOSE(CONTROL!$C$21, $C$9, 100%, $E$9)</f>
        <v>35.229100000000003</v>
      </c>
      <c r="P638" s="14">
        <f>CHOOSE(CONTROL!$C$42, 35.1576, 35.1576) * CHOOSE(CONTROL!$C$21, $C$9, 100%, $E$9)</f>
        <v>35.157600000000002</v>
      </c>
      <c r="Q638" s="14">
        <f>CHOOSE(CONTROL!$C$42, 35.8244, 35.8244) * CHOOSE(CONTROL!$C$21, $C$9, 100%, $E$9)</f>
        <v>35.824399999999997</v>
      </c>
      <c r="R638" s="14">
        <f>CHOOSE(CONTROL!$C$42, 36.5009, 36.5009) * CHOOSE(CONTROL!$C$21, $C$9, 100%, $E$9)</f>
        <v>36.500900000000001</v>
      </c>
      <c r="S638" s="14">
        <f>CHOOSE(CONTROL!$C$42, 34.4545, 34.4545) * CHOOSE(CONTROL!$C$21, $C$9, 100%, $E$9)</f>
        <v>34.454500000000003</v>
      </c>
      <c r="T63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38" s="57">
        <f>(1000*CHOOSE(CONTROL!$C$42, 695, 695)*CHOOSE(CONTROL!$C$42, 0.5599, 0.5599)*CHOOSE(CONTROL!$C$42, 28, 28))/1000000</f>
        <v>10.895653999999999</v>
      </c>
      <c r="V638" s="57">
        <f>(1000*CHOOSE(CONTROL!$C$42, 500, 500)*CHOOSE(CONTROL!$C$42, 0.275, 0.275)*CHOOSE(CONTROL!$C$42, 28, 28))/1000000</f>
        <v>3.85</v>
      </c>
      <c r="W638" s="57">
        <f>(1000*CHOOSE(CONTROL!$C$42, 0.1146, 0.1146)*CHOOSE(CONTROL!$C$42, 121.5, 121.5)*CHOOSE(CONTROL!$C$42, 28, 28))/1000000</f>
        <v>0.38986920000000003</v>
      </c>
      <c r="X638" s="57">
        <f>(28*0.1790888*100000/1000000)+(28*0.2374*100000/1000000)</f>
        <v>1.16616864</v>
      </c>
      <c r="Y638" s="57"/>
      <c r="Z638" s="14"/>
      <c r="AA638" s="56"/>
      <c r="AB638" s="50">
        <f>(B638*122.58+C638*297.941+D638*89.177+E638*40.302+F638*40+G638*160+H638*0+I638*100+J638*300)/(122.58+297.941+89.177+40.302+0+40+160+100+300)</f>
        <v>35.495103310695654</v>
      </c>
      <c r="AC638" s="45">
        <f>(M638*'RAP TEMPLATE-GAS AVAILABILITY'!O637+N638*'RAP TEMPLATE-GAS AVAILABILITY'!P637+O638*'RAP TEMPLATE-GAS AVAILABILITY'!Q637+P638*'RAP TEMPLATE-GAS AVAILABILITY'!R637)/('RAP TEMPLATE-GAS AVAILABILITY'!O637+'RAP TEMPLATE-GAS AVAILABILITY'!P637+'RAP TEMPLATE-GAS AVAILABILITY'!Q637+'RAP TEMPLATE-GAS AVAILABILITY'!R637)</f>
        <v>35.180763309352514</v>
      </c>
    </row>
    <row r="639" spans="1:29" ht="15.75" x14ac:dyDescent="0.25">
      <c r="A639" s="32">
        <v>60357</v>
      </c>
      <c r="B639" s="14">
        <f>CHOOSE(CONTROL!$C$42, 34.4748, 34.4748) * CHOOSE(CONTROL!$C$21, $C$9, 100%, $E$9)</f>
        <v>34.474800000000002</v>
      </c>
      <c r="C639" s="14">
        <f>CHOOSE(CONTROL!$C$42, 34.4797, 34.4797) * CHOOSE(CONTROL!$C$21, $C$9, 100%, $E$9)</f>
        <v>34.479700000000001</v>
      </c>
      <c r="D639" s="14">
        <f>CHOOSE(CONTROL!$C$42, 34.544, 34.544) * CHOOSE(CONTROL!$C$21, $C$9, 100%, $E$9)</f>
        <v>34.543999999999997</v>
      </c>
      <c r="E639" s="14">
        <f>CHOOSE(CONTROL!$C$42, 34.5778, 34.5778) * CHOOSE(CONTROL!$C$21, $C$9, 100%, $E$9)</f>
        <v>34.577800000000003</v>
      </c>
      <c r="F639" s="14">
        <f>CHOOSE(CONTROL!$C$42, 34.476, 34.476)*CHOOSE(CONTROL!$C$21, $C$9, 100%, $E$9)</f>
        <v>34.475999999999999</v>
      </c>
      <c r="G639" s="14">
        <f>CHOOSE(CONTROL!$C$42, 34.4919, 34.4919)*CHOOSE(CONTROL!$C$21, $C$9, 100%, $E$9)</f>
        <v>34.491900000000001</v>
      </c>
      <c r="H639" s="14">
        <f>CHOOSE(CONTROL!$C$42, 34.567, 34.567) * CHOOSE(CONTROL!$C$21, $C$9, 100%, $E$9)</f>
        <v>34.567</v>
      </c>
      <c r="I639" s="14">
        <f>CHOOSE(CONTROL!$C$42, 34.4947, 34.4947)* CHOOSE(CONTROL!$C$21, $C$9, 100%, $E$9)</f>
        <v>34.494700000000002</v>
      </c>
      <c r="J639" s="14">
        <f>CHOOSE(CONTROL!$C$42, 34.469, 34.469)* CHOOSE(CONTROL!$C$21, $C$9, 100%, $E$9)</f>
        <v>34.469000000000001</v>
      </c>
      <c r="K639" s="53">
        <f>CHOOSE(CONTROL!$C$42, 34.4909, 34.4909) * CHOOSE(CONTROL!$C$21, $C$9, 100%, $E$9)</f>
        <v>34.490900000000003</v>
      </c>
      <c r="L639" s="14">
        <f>CHOOSE(CONTROL!$C$42, 35.154, 35.154) * CHOOSE(CONTROL!$C$21, $C$9, 100%, $E$9)</f>
        <v>35.154000000000003</v>
      </c>
      <c r="M639" s="14">
        <f>CHOOSE(CONTROL!$C$42, 34.135, 34.135) * CHOOSE(CONTROL!$C$21, $C$9, 100%, $E$9)</f>
        <v>34.134999999999998</v>
      </c>
      <c r="N639" s="14">
        <f>CHOOSE(CONTROL!$C$42, 34.1507, 34.1507) * CHOOSE(CONTROL!$C$21, $C$9, 100%, $E$9)</f>
        <v>34.150700000000001</v>
      </c>
      <c r="O639" s="14">
        <f>CHOOSE(CONTROL!$C$42, 34.232, 34.232) * CHOOSE(CONTROL!$C$21, $C$9, 100%, $E$9)</f>
        <v>34.231999999999999</v>
      </c>
      <c r="P639" s="14">
        <f>CHOOSE(CONTROL!$C$42, 34.1605, 34.1605) * CHOOSE(CONTROL!$C$21, $C$9, 100%, $E$9)</f>
        <v>34.160499999999999</v>
      </c>
      <c r="Q639" s="14">
        <f>CHOOSE(CONTROL!$C$42, 34.8273, 34.8273) * CHOOSE(CONTROL!$C$21, $C$9, 100%, $E$9)</f>
        <v>34.827300000000001</v>
      </c>
      <c r="R639" s="14">
        <f>CHOOSE(CONTROL!$C$42, 35.5013, 35.5013) * CHOOSE(CONTROL!$C$21, $C$9, 100%, $E$9)</f>
        <v>35.501300000000001</v>
      </c>
      <c r="S639" s="14">
        <f>CHOOSE(CONTROL!$C$42, 33.4763, 33.4763) * CHOOSE(CONTROL!$C$21, $C$9, 100%, $E$9)</f>
        <v>33.476300000000002</v>
      </c>
      <c r="T63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39" s="57">
        <f>(1000*CHOOSE(CONTROL!$C$42, 695, 695)*CHOOSE(CONTROL!$C$42, 0.5599, 0.5599)*CHOOSE(CONTROL!$C$42, 31, 31))/1000000</f>
        <v>12.063045499999998</v>
      </c>
      <c r="V639" s="57">
        <f>(1000*CHOOSE(CONTROL!$C$42, 500, 500)*CHOOSE(CONTROL!$C$42, 0.275, 0.275)*CHOOSE(CONTROL!$C$42, 31, 31))/1000000</f>
        <v>4.2625000000000002</v>
      </c>
      <c r="W639" s="57">
        <f>(1000*CHOOSE(CONTROL!$C$42, 0.1146, 0.1146)*CHOOSE(CONTROL!$C$42, 121.5, 121.5)*CHOOSE(CONTROL!$C$42, 31, 31))/1000000</f>
        <v>0.43164089999999994</v>
      </c>
      <c r="X639" s="57">
        <f>(31*0.1790888*100000/1000000)+(31*0.2374*100000/1000000)</f>
        <v>1.2911152800000001</v>
      </c>
      <c r="Y639" s="57"/>
      <c r="Z639" s="14"/>
      <c r="AA639" s="56"/>
      <c r="AB639" s="50">
        <f>(B639*122.58+C639*297.941+D639*89.177+E639*40.302+F639*40+G639*160+H639*0+I639*100+J639*300)/(122.58+297.941+89.177+40.302+0+40+160+100+300)</f>
        <v>34.487683535043473</v>
      </c>
      <c r="AC639" s="45">
        <f>(M639*'RAP TEMPLATE-GAS AVAILABILITY'!O638+N639*'RAP TEMPLATE-GAS AVAILABILITY'!P638+O639*'RAP TEMPLATE-GAS AVAILABILITY'!Q638+P639*'RAP TEMPLATE-GAS AVAILABILITY'!R638)/('RAP TEMPLATE-GAS AVAILABILITY'!O638+'RAP TEMPLATE-GAS AVAILABILITY'!P638+'RAP TEMPLATE-GAS AVAILABILITY'!Q638+'RAP TEMPLATE-GAS AVAILABILITY'!R638)</f>
        <v>34.183536690647486</v>
      </c>
    </row>
    <row r="640" spans="1:29" ht="15.75" x14ac:dyDescent="0.25">
      <c r="A640" s="32">
        <v>60387</v>
      </c>
      <c r="B640" s="14">
        <f>CHOOSE(CONTROL!$C$42, 34.3727, 34.3727) * CHOOSE(CONTROL!$C$21, $C$9, 100%, $E$9)</f>
        <v>34.372700000000002</v>
      </c>
      <c r="C640" s="14">
        <f>CHOOSE(CONTROL!$C$42, 34.3771, 34.3771) * CHOOSE(CONTROL!$C$21, $C$9, 100%, $E$9)</f>
        <v>34.377099999999999</v>
      </c>
      <c r="D640" s="14">
        <f>CHOOSE(CONTROL!$C$42, 34.5778, 34.5778) * CHOOSE(CONTROL!$C$21, $C$9, 100%, $E$9)</f>
        <v>34.577800000000003</v>
      </c>
      <c r="E640" s="14">
        <f>CHOOSE(CONTROL!$C$42, 34.6096, 34.6096) * CHOOSE(CONTROL!$C$21, $C$9, 100%, $E$9)</f>
        <v>34.6096</v>
      </c>
      <c r="F640" s="14">
        <f>CHOOSE(CONTROL!$C$42, 34.3573, 34.3573)*CHOOSE(CONTROL!$C$21, $C$9, 100%, $E$9)</f>
        <v>34.357300000000002</v>
      </c>
      <c r="G640" s="14">
        <f>CHOOSE(CONTROL!$C$42, 34.3729, 34.3729)*CHOOSE(CONTROL!$C$21, $C$9, 100%, $E$9)</f>
        <v>34.372900000000001</v>
      </c>
      <c r="H640" s="14">
        <f>CHOOSE(CONTROL!$C$42, 34.5994, 34.5994) * CHOOSE(CONTROL!$C$21, $C$9, 100%, $E$9)</f>
        <v>34.599400000000003</v>
      </c>
      <c r="I640" s="14">
        <f>CHOOSE(CONTROL!$C$42, 34.3855, 34.3855)* CHOOSE(CONTROL!$C$21, $C$9, 100%, $E$9)</f>
        <v>34.3855</v>
      </c>
      <c r="J640" s="14">
        <f>CHOOSE(CONTROL!$C$42, 34.3503, 34.3503)* CHOOSE(CONTROL!$C$21, $C$9, 100%, $E$9)</f>
        <v>34.350299999999997</v>
      </c>
      <c r="K640" s="53">
        <f>CHOOSE(CONTROL!$C$42, 34.3816, 34.3816) * CHOOSE(CONTROL!$C$21, $C$9, 100%, $E$9)</f>
        <v>34.381599999999999</v>
      </c>
      <c r="L640" s="14">
        <f>CHOOSE(CONTROL!$C$42, 35.1864, 35.1864) * CHOOSE(CONTROL!$C$21, $C$9, 100%, $E$9)</f>
        <v>35.186399999999999</v>
      </c>
      <c r="M640" s="14">
        <f>CHOOSE(CONTROL!$C$42, 34.0175, 34.0175) * CHOOSE(CONTROL!$C$21, $C$9, 100%, $E$9)</f>
        <v>34.017499999999998</v>
      </c>
      <c r="N640" s="14">
        <f>CHOOSE(CONTROL!$C$42, 34.0329, 34.0329) * CHOOSE(CONTROL!$C$21, $C$9, 100%, $E$9)</f>
        <v>34.032899999999998</v>
      </c>
      <c r="O640" s="14">
        <f>CHOOSE(CONTROL!$C$42, 34.264, 34.264) * CHOOSE(CONTROL!$C$21, $C$9, 100%, $E$9)</f>
        <v>34.264000000000003</v>
      </c>
      <c r="P640" s="14">
        <f>CHOOSE(CONTROL!$C$42, 34.0523, 34.0523) * CHOOSE(CONTROL!$C$21, $C$9, 100%, $E$9)</f>
        <v>34.052300000000002</v>
      </c>
      <c r="Q640" s="14">
        <f>CHOOSE(CONTROL!$C$42, 34.8593, 34.8593) * CHOOSE(CONTROL!$C$21, $C$9, 100%, $E$9)</f>
        <v>34.859299999999998</v>
      </c>
      <c r="R640" s="14">
        <f>CHOOSE(CONTROL!$C$42, 35.5335, 35.5335) * CHOOSE(CONTROL!$C$21, $C$9, 100%, $E$9)</f>
        <v>35.533499999999997</v>
      </c>
      <c r="S640" s="14">
        <f>CHOOSE(CONTROL!$C$42, 33.3765, 33.3765) * CHOOSE(CONTROL!$C$21, $C$9, 100%, $E$9)</f>
        <v>33.3765</v>
      </c>
      <c r="T64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40" s="57">
        <f>(1000*CHOOSE(CONTROL!$C$42, 695, 695)*CHOOSE(CONTROL!$C$42, 0.5599, 0.5599)*CHOOSE(CONTROL!$C$42, 30, 30))/1000000</f>
        <v>11.673914999999997</v>
      </c>
      <c r="V640" s="57">
        <f>(1000*CHOOSE(CONTROL!$C$42, 500, 500)*CHOOSE(CONTROL!$C$42, 0.275, 0.275)*CHOOSE(CONTROL!$C$42, 30, 30))/1000000</f>
        <v>4.125</v>
      </c>
      <c r="W640" s="57">
        <f>(1000*CHOOSE(CONTROL!$C$42, 0.1146, 0.1146)*CHOOSE(CONTROL!$C$42, 121.5, 121.5)*CHOOSE(CONTROL!$C$42, 30, 30))/1000000</f>
        <v>0.417717</v>
      </c>
      <c r="X640" s="57">
        <f>(30*0.1790888*245000/1000000)+(30*0.2374*100000/1000000)</f>
        <v>2.0285026799999999</v>
      </c>
      <c r="Y640" s="57"/>
      <c r="Z640" s="14"/>
      <c r="AA640" s="56"/>
      <c r="AB640" s="50">
        <f>(B640*141.293+C640*267.993+D640*115.016+E640*89.698+F640*40+G640*185+H640*0+I640*100+J640*300)/(141.293+267.993+115.016+89.698+0+40+185+100+300)</f>
        <v>34.404983621468929</v>
      </c>
      <c r="AC640" s="45">
        <f>(M640*'RAP TEMPLATE-GAS AVAILABILITY'!O639+N640*'RAP TEMPLATE-GAS AVAILABILITY'!P639+O640*'RAP TEMPLATE-GAS AVAILABILITY'!Q639+P640*'RAP TEMPLATE-GAS AVAILABILITY'!R639)/('RAP TEMPLATE-GAS AVAILABILITY'!O639+'RAP TEMPLATE-GAS AVAILABILITY'!P639+'RAP TEMPLATE-GAS AVAILABILITY'!Q639+'RAP TEMPLATE-GAS AVAILABILITY'!R639)</f>
        <v>34.135116546762589</v>
      </c>
    </row>
    <row r="641" spans="1:29" ht="15.75" x14ac:dyDescent="0.25">
      <c r="A641" s="32">
        <v>60418</v>
      </c>
      <c r="B641" s="14">
        <f>CHOOSE(CONTROL!$C$42, 34.6775, 34.6775) * CHOOSE(CONTROL!$C$21, $C$9, 100%, $E$9)</f>
        <v>34.677500000000002</v>
      </c>
      <c r="C641" s="14">
        <f>CHOOSE(CONTROL!$C$42, 34.6854, 34.6854) * CHOOSE(CONTROL!$C$21, $C$9, 100%, $E$9)</f>
        <v>34.685400000000001</v>
      </c>
      <c r="D641" s="14">
        <f>CHOOSE(CONTROL!$C$42, 34.883, 34.883) * CHOOSE(CONTROL!$C$21, $C$9, 100%, $E$9)</f>
        <v>34.883000000000003</v>
      </c>
      <c r="E641" s="14">
        <f>CHOOSE(CONTROL!$C$42, 34.9141, 34.9141) * CHOOSE(CONTROL!$C$21, $C$9, 100%, $E$9)</f>
        <v>34.914099999999998</v>
      </c>
      <c r="F641" s="14">
        <f>CHOOSE(CONTROL!$C$42, 34.6609, 34.6609)*CHOOSE(CONTROL!$C$21, $C$9, 100%, $E$9)</f>
        <v>34.660899999999998</v>
      </c>
      <c r="G641" s="14">
        <f>CHOOSE(CONTROL!$C$42, 34.677, 34.677)*CHOOSE(CONTROL!$C$21, $C$9, 100%, $E$9)</f>
        <v>34.677</v>
      </c>
      <c r="H641" s="14">
        <f>CHOOSE(CONTROL!$C$42, 34.9027, 34.9027) * CHOOSE(CONTROL!$C$21, $C$9, 100%, $E$9)</f>
        <v>34.902700000000003</v>
      </c>
      <c r="I641" s="14">
        <f>CHOOSE(CONTROL!$C$42, 34.6888, 34.6888)* CHOOSE(CONTROL!$C$21, $C$9, 100%, $E$9)</f>
        <v>34.688800000000001</v>
      </c>
      <c r="J641" s="14">
        <f>CHOOSE(CONTROL!$C$42, 34.6539, 34.6539)* CHOOSE(CONTROL!$C$21, $C$9, 100%, $E$9)</f>
        <v>34.6539</v>
      </c>
      <c r="K641" s="53">
        <f>CHOOSE(CONTROL!$C$42, 34.6849, 34.6849) * CHOOSE(CONTROL!$C$21, $C$9, 100%, $E$9)</f>
        <v>34.684899999999999</v>
      </c>
      <c r="L641" s="14">
        <f>CHOOSE(CONTROL!$C$42, 35.4897, 35.4897) * CHOOSE(CONTROL!$C$21, $C$9, 100%, $E$9)</f>
        <v>35.489699999999999</v>
      </c>
      <c r="M641" s="14">
        <f>CHOOSE(CONTROL!$C$42, 34.318, 34.318) * CHOOSE(CONTROL!$C$21, $C$9, 100%, $E$9)</f>
        <v>34.317999999999998</v>
      </c>
      <c r="N641" s="14">
        <f>CHOOSE(CONTROL!$C$42, 34.3339, 34.3339) * CHOOSE(CONTROL!$C$21, $C$9, 100%, $E$9)</f>
        <v>34.3339</v>
      </c>
      <c r="O641" s="14">
        <f>CHOOSE(CONTROL!$C$42, 34.5643, 34.5643) * CHOOSE(CONTROL!$C$21, $C$9, 100%, $E$9)</f>
        <v>34.564300000000003</v>
      </c>
      <c r="P641" s="14">
        <f>CHOOSE(CONTROL!$C$42, 34.3526, 34.3526) * CHOOSE(CONTROL!$C$21, $C$9, 100%, $E$9)</f>
        <v>34.352600000000002</v>
      </c>
      <c r="Q641" s="14">
        <f>CHOOSE(CONTROL!$C$42, 35.1596, 35.1596) * CHOOSE(CONTROL!$C$21, $C$9, 100%, $E$9)</f>
        <v>35.159599999999998</v>
      </c>
      <c r="R641" s="14">
        <f>CHOOSE(CONTROL!$C$42, 35.8345, 35.8345) * CHOOSE(CONTROL!$C$21, $C$9, 100%, $E$9)</f>
        <v>35.834499999999998</v>
      </c>
      <c r="S641" s="14">
        <f>CHOOSE(CONTROL!$C$42, 33.671, 33.671) * CHOOSE(CONTROL!$C$21, $C$9, 100%, $E$9)</f>
        <v>33.670999999999999</v>
      </c>
      <c r="T64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41" s="57">
        <f>(1000*CHOOSE(CONTROL!$C$42, 695, 695)*CHOOSE(CONTROL!$C$42, 0.5599, 0.5599)*CHOOSE(CONTROL!$C$42, 31, 31))/1000000</f>
        <v>12.063045499999998</v>
      </c>
      <c r="V641" s="57">
        <f>(1000*CHOOSE(CONTROL!$C$42, 500, 500)*CHOOSE(CONTROL!$C$42, 0.275, 0.275)*CHOOSE(CONTROL!$C$42, 31, 31))/1000000</f>
        <v>4.2625000000000002</v>
      </c>
      <c r="W641" s="57">
        <f>(1000*CHOOSE(CONTROL!$C$42, 0.1146, 0.1146)*CHOOSE(CONTROL!$C$42, 121.5, 121.5)*CHOOSE(CONTROL!$C$42, 31, 31))/1000000</f>
        <v>0.43164089999999994</v>
      </c>
      <c r="X641" s="57">
        <f>(31*0.1790888*245000/1000000)+(31*0.2374*100000/1000000)</f>
        <v>2.0961194359999999</v>
      </c>
      <c r="Y641" s="57"/>
      <c r="Z641" s="14"/>
      <c r="AA641" s="56"/>
      <c r="AB641" s="50">
        <f>(B641*194.205+C641*267.466+D641*133.845+E641*53.484+F641*40+G641*185+H641*0+I641*100+J641*300)/(194.205+267.466+133.845+53.484+0+40+185+100+300)</f>
        <v>34.705416752982728</v>
      </c>
      <c r="AC641" s="45">
        <f>(M641*'RAP TEMPLATE-GAS AVAILABILITY'!O640+N641*'RAP TEMPLATE-GAS AVAILABILITY'!P640+O641*'RAP TEMPLATE-GAS AVAILABILITY'!Q640+P641*'RAP TEMPLATE-GAS AVAILABILITY'!R640)/('RAP TEMPLATE-GAS AVAILABILITY'!O640+'RAP TEMPLATE-GAS AVAILABILITY'!P640+'RAP TEMPLATE-GAS AVAILABILITY'!Q640+'RAP TEMPLATE-GAS AVAILABILITY'!R640)</f>
        <v>34.435525899280584</v>
      </c>
    </row>
    <row r="642" spans="1:29" ht="15.75" x14ac:dyDescent="0.25">
      <c r="A642" s="32">
        <v>60448</v>
      </c>
      <c r="B642" s="14">
        <f>CHOOSE(CONTROL!$C$42, 35.661, 35.661) * CHOOSE(CONTROL!$C$21, $C$9, 100%, $E$9)</f>
        <v>35.661000000000001</v>
      </c>
      <c r="C642" s="14">
        <f>CHOOSE(CONTROL!$C$42, 35.6689, 35.6689) * CHOOSE(CONTROL!$C$21, $C$9, 100%, $E$9)</f>
        <v>35.668900000000001</v>
      </c>
      <c r="D642" s="14">
        <f>CHOOSE(CONTROL!$C$42, 35.8665, 35.8665) * CHOOSE(CONTROL!$C$21, $C$9, 100%, $E$9)</f>
        <v>35.866500000000002</v>
      </c>
      <c r="E642" s="14">
        <f>CHOOSE(CONTROL!$C$42, 35.8976, 35.8976) * CHOOSE(CONTROL!$C$21, $C$9, 100%, $E$9)</f>
        <v>35.897599999999997</v>
      </c>
      <c r="F642" s="14">
        <f>CHOOSE(CONTROL!$C$42, 35.6448, 35.6448)*CHOOSE(CONTROL!$C$21, $C$9, 100%, $E$9)</f>
        <v>35.644799999999996</v>
      </c>
      <c r="G642" s="14">
        <f>CHOOSE(CONTROL!$C$42, 35.661, 35.661)*CHOOSE(CONTROL!$C$21, $C$9, 100%, $E$9)</f>
        <v>35.661000000000001</v>
      </c>
      <c r="H642" s="14">
        <f>CHOOSE(CONTROL!$C$42, 35.8863, 35.8863) * CHOOSE(CONTROL!$C$21, $C$9, 100%, $E$9)</f>
        <v>35.886299999999999</v>
      </c>
      <c r="I642" s="14">
        <f>CHOOSE(CONTROL!$C$42, 35.6723, 35.6723)* CHOOSE(CONTROL!$C$21, $C$9, 100%, $E$9)</f>
        <v>35.6723</v>
      </c>
      <c r="J642" s="14">
        <f>CHOOSE(CONTROL!$C$42, 35.6378, 35.6378)* CHOOSE(CONTROL!$C$21, $C$9, 100%, $E$9)</f>
        <v>35.637799999999999</v>
      </c>
      <c r="K642" s="53">
        <f>CHOOSE(CONTROL!$C$42, 35.6685, 35.6685) * CHOOSE(CONTROL!$C$21, $C$9, 100%, $E$9)</f>
        <v>35.668500000000002</v>
      </c>
      <c r="L642" s="14">
        <f>CHOOSE(CONTROL!$C$42, 36.4733, 36.4733) * CHOOSE(CONTROL!$C$21, $C$9, 100%, $E$9)</f>
        <v>36.473300000000002</v>
      </c>
      <c r="M642" s="14">
        <f>CHOOSE(CONTROL!$C$42, 35.292, 35.292) * CHOOSE(CONTROL!$C$21, $C$9, 100%, $E$9)</f>
        <v>35.292000000000002</v>
      </c>
      <c r="N642" s="14">
        <f>CHOOSE(CONTROL!$C$42, 35.308, 35.308) * CHOOSE(CONTROL!$C$21, $C$9, 100%, $E$9)</f>
        <v>35.308</v>
      </c>
      <c r="O642" s="14">
        <f>CHOOSE(CONTROL!$C$42, 35.5379, 35.5379) * CHOOSE(CONTROL!$C$21, $C$9, 100%, $E$9)</f>
        <v>35.5379</v>
      </c>
      <c r="P642" s="14">
        <f>CHOOSE(CONTROL!$C$42, 35.3262, 35.3262) * CHOOSE(CONTROL!$C$21, $C$9, 100%, $E$9)</f>
        <v>35.3262</v>
      </c>
      <c r="Q642" s="14">
        <f>CHOOSE(CONTROL!$C$42, 36.1332, 36.1332) * CHOOSE(CONTROL!$C$21, $C$9, 100%, $E$9)</f>
        <v>36.133200000000002</v>
      </c>
      <c r="R642" s="14">
        <f>CHOOSE(CONTROL!$C$42, 36.8106, 36.8106) * CHOOSE(CONTROL!$C$21, $C$9, 100%, $E$9)</f>
        <v>36.810600000000001</v>
      </c>
      <c r="S642" s="14">
        <f>CHOOSE(CONTROL!$C$42, 34.6261, 34.6261) * CHOOSE(CONTROL!$C$21, $C$9, 100%, $E$9)</f>
        <v>34.626100000000001</v>
      </c>
      <c r="T64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42" s="57">
        <f>(1000*CHOOSE(CONTROL!$C$42, 695, 695)*CHOOSE(CONTROL!$C$42, 0.5599, 0.5599)*CHOOSE(CONTROL!$C$42, 30, 30))/1000000</f>
        <v>11.673914999999997</v>
      </c>
      <c r="V642" s="57">
        <f>(1000*CHOOSE(CONTROL!$C$42, 500, 500)*CHOOSE(CONTROL!$C$42, 0.275, 0.275)*CHOOSE(CONTROL!$C$42, 30, 30))/1000000</f>
        <v>4.125</v>
      </c>
      <c r="W642" s="57">
        <f>(1000*CHOOSE(CONTROL!$C$42, 0.1146, 0.1146)*CHOOSE(CONTROL!$C$42, 121.5, 121.5)*CHOOSE(CONTROL!$C$42, 30, 30))/1000000</f>
        <v>0.417717</v>
      </c>
      <c r="X642" s="57">
        <f>(30*0.1790888*245000/1000000)+(30*0.2374*100000/1000000)</f>
        <v>2.0285026799999999</v>
      </c>
      <c r="Y642" s="57"/>
      <c r="Z642" s="14"/>
      <c r="AA642" s="56"/>
      <c r="AB642" s="50">
        <f>(B642*194.205+C642*267.466+D642*133.845+E642*53.484+F642*40+G642*185+H642*0+I642*100+J642*300)/(194.205+267.466+133.845+53.484+0+40+185+100+300)</f>
        <v>35.689096109340667</v>
      </c>
      <c r="AC642" s="45">
        <f>(M642*'RAP TEMPLATE-GAS AVAILABILITY'!O641+N642*'RAP TEMPLATE-GAS AVAILABILITY'!P641+O642*'RAP TEMPLATE-GAS AVAILABILITY'!Q641+P642*'RAP TEMPLATE-GAS AVAILABILITY'!R641)/('RAP TEMPLATE-GAS AVAILABILITY'!O641+'RAP TEMPLATE-GAS AVAILABILITY'!P641+'RAP TEMPLATE-GAS AVAILABILITY'!Q641+'RAP TEMPLATE-GAS AVAILABILITY'!R641)</f>
        <v>35.409292805755392</v>
      </c>
    </row>
    <row r="643" spans="1:29" ht="15.75" x14ac:dyDescent="0.25">
      <c r="A643" s="32">
        <v>60479</v>
      </c>
      <c r="B643" s="14">
        <f>CHOOSE(CONTROL!$C$42, 34.9769, 34.9769) * CHOOSE(CONTROL!$C$21, $C$9, 100%, $E$9)</f>
        <v>34.976900000000001</v>
      </c>
      <c r="C643" s="14">
        <f>CHOOSE(CONTROL!$C$42, 34.9849, 34.9849) * CHOOSE(CONTROL!$C$21, $C$9, 100%, $E$9)</f>
        <v>34.984900000000003</v>
      </c>
      <c r="D643" s="14">
        <f>CHOOSE(CONTROL!$C$42, 35.1824, 35.1824) * CHOOSE(CONTROL!$C$21, $C$9, 100%, $E$9)</f>
        <v>35.182400000000001</v>
      </c>
      <c r="E643" s="14">
        <f>CHOOSE(CONTROL!$C$42, 35.2136, 35.2136) * CHOOSE(CONTROL!$C$21, $C$9, 100%, $E$9)</f>
        <v>35.2136</v>
      </c>
      <c r="F643" s="14">
        <f>CHOOSE(CONTROL!$C$42, 34.9612, 34.9612)*CHOOSE(CONTROL!$C$21, $C$9, 100%, $E$9)</f>
        <v>34.961199999999998</v>
      </c>
      <c r="G643" s="14">
        <f>CHOOSE(CONTROL!$C$42, 34.9775, 34.9775)*CHOOSE(CONTROL!$C$21, $C$9, 100%, $E$9)</f>
        <v>34.977499999999999</v>
      </c>
      <c r="H643" s="14">
        <f>CHOOSE(CONTROL!$C$42, 35.2022, 35.2022) * CHOOSE(CONTROL!$C$21, $C$9, 100%, $E$9)</f>
        <v>35.202199999999998</v>
      </c>
      <c r="I643" s="14">
        <f>CHOOSE(CONTROL!$C$42, 34.9883, 34.9883)* CHOOSE(CONTROL!$C$21, $C$9, 100%, $E$9)</f>
        <v>34.988300000000002</v>
      </c>
      <c r="J643" s="14">
        <f>CHOOSE(CONTROL!$C$42, 34.9542, 34.9542)* CHOOSE(CONTROL!$C$21, $C$9, 100%, $E$9)</f>
        <v>34.9542</v>
      </c>
      <c r="K643" s="53">
        <f>CHOOSE(CONTROL!$C$42, 34.9844, 34.9844) * CHOOSE(CONTROL!$C$21, $C$9, 100%, $E$9)</f>
        <v>34.984400000000001</v>
      </c>
      <c r="L643" s="14">
        <f>CHOOSE(CONTROL!$C$42, 35.7892, 35.7892) * CHOOSE(CONTROL!$C$21, $C$9, 100%, $E$9)</f>
        <v>35.789200000000001</v>
      </c>
      <c r="M643" s="14">
        <f>CHOOSE(CONTROL!$C$42, 34.6153, 34.6153) * CHOOSE(CONTROL!$C$21, $C$9, 100%, $E$9)</f>
        <v>34.615299999999998</v>
      </c>
      <c r="N643" s="14">
        <f>CHOOSE(CONTROL!$C$42, 34.6314, 34.6314) * CHOOSE(CONTROL!$C$21, $C$9, 100%, $E$9)</f>
        <v>34.631399999999999</v>
      </c>
      <c r="O643" s="14">
        <f>CHOOSE(CONTROL!$C$42, 34.8608, 34.8608) * CHOOSE(CONTROL!$C$21, $C$9, 100%, $E$9)</f>
        <v>34.860799999999998</v>
      </c>
      <c r="P643" s="14">
        <f>CHOOSE(CONTROL!$C$42, 34.6491, 34.6491) * CHOOSE(CONTROL!$C$21, $C$9, 100%, $E$9)</f>
        <v>34.649099999999997</v>
      </c>
      <c r="Q643" s="14">
        <f>CHOOSE(CONTROL!$C$42, 35.4561, 35.4561) * CHOOSE(CONTROL!$C$21, $C$9, 100%, $E$9)</f>
        <v>35.456099999999999</v>
      </c>
      <c r="R643" s="14">
        <f>CHOOSE(CONTROL!$C$42, 36.1317, 36.1317) * CHOOSE(CONTROL!$C$21, $C$9, 100%, $E$9)</f>
        <v>36.131700000000002</v>
      </c>
      <c r="S643" s="14">
        <f>CHOOSE(CONTROL!$C$42, 33.9619, 33.9619) * CHOOSE(CONTROL!$C$21, $C$9, 100%, $E$9)</f>
        <v>33.9619</v>
      </c>
      <c r="T64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43" s="57">
        <f>(1000*CHOOSE(CONTROL!$C$42, 695, 695)*CHOOSE(CONTROL!$C$42, 0.5599, 0.5599)*CHOOSE(CONTROL!$C$42, 31, 31))/1000000</f>
        <v>12.063045499999998</v>
      </c>
      <c r="V643" s="57">
        <f>(1000*CHOOSE(CONTROL!$C$42, 500, 500)*CHOOSE(CONTROL!$C$42, 0.275, 0.275)*CHOOSE(CONTROL!$C$42, 31, 31))/1000000</f>
        <v>4.2625000000000002</v>
      </c>
      <c r="W643" s="57">
        <f>(1000*CHOOSE(CONTROL!$C$42, 0.1146, 0.1146)*CHOOSE(CONTROL!$C$42, 121.5, 121.5)*CHOOSE(CONTROL!$C$42, 31, 31))/1000000</f>
        <v>0.43164089999999994</v>
      </c>
      <c r="X643" s="57">
        <f>(31*0.1790888*245000/1000000)+(31*0.2374*100000/1000000)</f>
        <v>2.0961194359999999</v>
      </c>
      <c r="Y643" s="57"/>
      <c r="Z643" s="14"/>
      <c r="AA643" s="56"/>
      <c r="AB643" s="50">
        <f>(B643*194.205+C643*267.466+D643*133.845+E643*53.484+F643*40+G643*185+H643*0+I643*100+J643*300)/(194.205+267.466+133.845+53.484+0+40+185+100+300)</f>
        <v>35.005249716091058</v>
      </c>
      <c r="AC643" s="45">
        <f>(M643*'RAP TEMPLATE-GAS AVAILABILITY'!O642+N643*'RAP TEMPLATE-GAS AVAILABILITY'!P642+O643*'RAP TEMPLATE-GAS AVAILABILITY'!Q642+P643*'RAP TEMPLATE-GAS AVAILABILITY'!R642)/('RAP TEMPLATE-GAS AVAILABILITY'!O642+'RAP TEMPLATE-GAS AVAILABILITY'!P642+'RAP TEMPLATE-GAS AVAILABILITY'!Q642+'RAP TEMPLATE-GAS AVAILABILITY'!R642)</f>
        <v>34.732359712230213</v>
      </c>
    </row>
    <row r="644" spans="1:29" ht="15.75" x14ac:dyDescent="0.25">
      <c r="A644" s="32">
        <v>60510</v>
      </c>
      <c r="B644" s="14">
        <f>CHOOSE(CONTROL!$C$42, 33.2495, 33.2495) * CHOOSE(CONTROL!$C$21, $C$9, 100%, $E$9)</f>
        <v>33.249499999999998</v>
      </c>
      <c r="C644" s="14">
        <f>CHOOSE(CONTROL!$C$42, 33.2574, 33.2574) * CHOOSE(CONTROL!$C$21, $C$9, 100%, $E$9)</f>
        <v>33.257399999999997</v>
      </c>
      <c r="D644" s="14">
        <f>CHOOSE(CONTROL!$C$42, 33.455, 33.455) * CHOOSE(CONTROL!$C$21, $C$9, 100%, $E$9)</f>
        <v>33.454999999999998</v>
      </c>
      <c r="E644" s="14">
        <f>CHOOSE(CONTROL!$C$42, 33.4862, 33.4862) * CHOOSE(CONTROL!$C$21, $C$9, 100%, $E$9)</f>
        <v>33.486199999999997</v>
      </c>
      <c r="F644" s="14">
        <f>CHOOSE(CONTROL!$C$42, 33.234, 33.234)*CHOOSE(CONTROL!$C$21, $C$9, 100%, $E$9)</f>
        <v>33.234000000000002</v>
      </c>
      <c r="G644" s="14">
        <f>CHOOSE(CONTROL!$C$42, 33.2503, 33.2503)*CHOOSE(CONTROL!$C$21, $C$9, 100%, $E$9)</f>
        <v>33.250300000000003</v>
      </c>
      <c r="H644" s="14">
        <f>CHOOSE(CONTROL!$C$42, 33.4748, 33.4748) * CHOOSE(CONTROL!$C$21, $C$9, 100%, $E$9)</f>
        <v>33.474800000000002</v>
      </c>
      <c r="I644" s="14">
        <f>CHOOSE(CONTROL!$C$42, 33.2609, 33.2609)* CHOOSE(CONTROL!$C$21, $C$9, 100%, $E$9)</f>
        <v>33.260899999999999</v>
      </c>
      <c r="J644" s="14">
        <f>CHOOSE(CONTROL!$C$42, 33.227, 33.227)* CHOOSE(CONTROL!$C$21, $C$9, 100%, $E$9)</f>
        <v>33.226999999999997</v>
      </c>
      <c r="K644" s="53">
        <f>CHOOSE(CONTROL!$C$42, 33.257, 33.257) * CHOOSE(CONTROL!$C$21, $C$9, 100%, $E$9)</f>
        <v>33.256999999999998</v>
      </c>
      <c r="L644" s="14">
        <f>CHOOSE(CONTROL!$C$42, 34.0618, 34.0618) * CHOOSE(CONTROL!$C$21, $C$9, 100%, $E$9)</f>
        <v>34.061799999999998</v>
      </c>
      <c r="M644" s="14">
        <f>CHOOSE(CONTROL!$C$42, 32.9055, 32.9055) * CHOOSE(CONTROL!$C$21, $C$9, 100%, $E$9)</f>
        <v>32.905500000000004</v>
      </c>
      <c r="N644" s="14">
        <f>CHOOSE(CONTROL!$C$42, 32.9217, 32.9217) * CHOOSE(CONTROL!$C$21, $C$9, 100%, $E$9)</f>
        <v>32.921700000000001</v>
      </c>
      <c r="O644" s="14">
        <f>CHOOSE(CONTROL!$C$42, 33.1508, 33.1508) * CHOOSE(CONTROL!$C$21, $C$9, 100%, $E$9)</f>
        <v>33.150799999999997</v>
      </c>
      <c r="P644" s="14">
        <f>CHOOSE(CONTROL!$C$42, 32.9391, 32.9391) * CHOOSE(CONTROL!$C$21, $C$9, 100%, $E$9)</f>
        <v>32.939100000000003</v>
      </c>
      <c r="Q644" s="14">
        <f>CHOOSE(CONTROL!$C$42, 33.7461, 33.7461) * CHOOSE(CONTROL!$C$21, $C$9, 100%, $E$9)</f>
        <v>33.746099999999998</v>
      </c>
      <c r="R644" s="14">
        <f>CHOOSE(CONTROL!$C$42, 34.4175, 34.4175) * CHOOSE(CONTROL!$C$21, $C$9, 100%, $E$9)</f>
        <v>34.417499999999997</v>
      </c>
      <c r="S644" s="14">
        <f>CHOOSE(CONTROL!$C$42, 32.2844, 32.2844) * CHOOSE(CONTROL!$C$21, $C$9, 100%, $E$9)</f>
        <v>32.284399999999998</v>
      </c>
      <c r="T64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44" s="57">
        <f>(1000*CHOOSE(CONTROL!$C$42, 695, 695)*CHOOSE(CONTROL!$C$42, 0.5599, 0.5599)*CHOOSE(CONTROL!$C$42, 31, 31))/1000000</f>
        <v>12.063045499999998</v>
      </c>
      <c r="V644" s="57">
        <f>(1000*CHOOSE(CONTROL!$C$42, 500, 500)*CHOOSE(CONTROL!$C$42, 0.275, 0.275)*CHOOSE(CONTROL!$C$42, 31, 31))/1000000</f>
        <v>4.2625000000000002</v>
      </c>
      <c r="W644" s="57">
        <f>(1000*CHOOSE(CONTROL!$C$42, 0.1146, 0.1146)*CHOOSE(CONTROL!$C$42, 121.5, 121.5)*CHOOSE(CONTROL!$C$42, 31, 31))/1000000</f>
        <v>0.43164089999999994</v>
      </c>
      <c r="X644" s="57">
        <f>(31*0.1790888*245000/1000000)+(31*0.2374*100000/1000000)</f>
        <v>2.0961194359999999</v>
      </c>
      <c r="Y644" s="57"/>
      <c r="Z644" s="14"/>
      <c r="AA644" s="56"/>
      <c r="AB644" s="50">
        <f>(B644*194.205+C644*267.466+D644*133.845+E644*53.484+F644*40+G644*185+H644*0+I644*100+J644*300)/(194.205+267.466+133.845+53.484+0+40+185+100+300)</f>
        <v>33.277911139481944</v>
      </c>
      <c r="AC644" s="45">
        <f>(M644*'RAP TEMPLATE-GAS AVAILABILITY'!O643+N644*'RAP TEMPLATE-GAS AVAILABILITY'!P643+O644*'RAP TEMPLATE-GAS AVAILABILITY'!Q643+P644*'RAP TEMPLATE-GAS AVAILABILITY'!R643)/('RAP TEMPLATE-GAS AVAILABILITY'!O643+'RAP TEMPLATE-GAS AVAILABILITY'!P643+'RAP TEMPLATE-GAS AVAILABILITY'!Q643+'RAP TEMPLATE-GAS AVAILABILITY'!R643)</f>
        <v>33.022446043165466</v>
      </c>
    </row>
    <row r="645" spans="1:29" ht="15.75" x14ac:dyDescent="0.25">
      <c r="A645" s="32">
        <v>60540</v>
      </c>
      <c r="B645" s="14">
        <f>CHOOSE(CONTROL!$C$42, 31.1385, 31.1385) * CHOOSE(CONTROL!$C$21, $C$9, 100%, $E$9)</f>
        <v>31.138500000000001</v>
      </c>
      <c r="C645" s="14">
        <f>CHOOSE(CONTROL!$C$42, 31.1465, 31.1465) * CHOOSE(CONTROL!$C$21, $C$9, 100%, $E$9)</f>
        <v>31.1465</v>
      </c>
      <c r="D645" s="14">
        <f>CHOOSE(CONTROL!$C$42, 31.344, 31.344) * CHOOSE(CONTROL!$C$21, $C$9, 100%, $E$9)</f>
        <v>31.344000000000001</v>
      </c>
      <c r="E645" s="14">
        <f>CHOOSE(CONTROL!$C$42, 31.3752, 31.3752) * CHOOSE(CONTROL!$C$21, $C$9, 100%, $E$9)</f>
        <v>31.3752</v>
      </c>
      <c r="F645" s="14">
        <f>CHOOSE(CONTROL!$C$42, 31.1229, 31.1229)*CHOOSE(CONTROL!$C$21, $C$9, 100%, $E$9)</f>
        <v>31.122900000000001</v>
      </c>
      <c r="G645" s="14">
        <f>CHOOSE(CONTROL!$C$42, 31.1392, 31.1392)*CHOOSE(CONTROL!$C$21, $C$9, 100%, $E$9)</f>
        <v>31.139199999999999</v>
      </c>
      <c r="H645" s="14">
        <f>CHOOSE(CONTROL!$C$42, 31.3638, 31.3638) * CHOOSE(CONTROL!$C$21, $C$9, 100%, $E$9)</f>
        <v>31.363800000000001</v>
      </c>
      <c r="I645" s="14">
        <f>CHOOSE(CONTROL!$C$42, 31.1499, 31.1499)* CHOOSE(CONTROL!$C$21, $C$9, 100%, $E$9)</f>
        <v>31.149899999999999</v>
      </c>
      <c r="J645" s="14">
        <f>CHOOSE(CONTROL!$C$42, 31.1159, 31.1159)* CHOOSE(CONTROL!$C$21, $C$9, 100%, $E$9)</f>
        <v>31.1159</v>
      </c>
      <c r="K645" s="53">
        <f>CHOOSE(CONTROL!$C$42, 31.146, 31.146) * CHOOSE(CONTROL!$C$21, $C$9, 100%, $E$9)</f>
        <v>31.146000000000001</v>
      </c>
      <c r="L645" s="14">
        <f>CHOOSE(CONTROL!$C$42, 31.9508, 31.9508) * CHOOSE(CONTROL!$C$21, $C$9, 100%, $E$9)</f>
        <v>31.950800000000001</v>
      </c>
      <c r="M645" s="14">
        <f>CHOOSE(CONTROL!$C$42, 30.8157, 30.8157) * CHOOSE(CONTROL!$C$21, $C$9, 100%, $E$9)</f>
        <v>30.8157</v>
      </c>
      <c r="N645" s="14">
        <f>CHOOSE(CONTROL!$C$42, 30.8319, 30.8319) * CHOOSE(CONTROL!$C$21, $C$9, 100%, $E$9)</f>
        <v>30.831900000000001</v>
      </c>
      <c r="O645" s="14">
        <f>CHOOSE(CONTROL!$C$42, 31.0611, 31.0611) * CHOOSE(CONTROL!$C$21, $C$9, 100%, $E$9)</f>
        <v>31.0611</v>
      </c>
      <c r="P645" s="14">
        <f>CHOOSE(CONTROL!$C$42, 30.8494, 30.8494) * CHOOSE(CONTROL!$C$21, $C$9, 100%, $E$9)</f>
        <v>30.849399999999999</v>
      </c>
      <c r="Q645" s="14">
        <f>CHOOSE(CONTROL!$C$42, 31.6564, 31.6564) * CHOOSE(CONTROL!$C$21, $C$9, 100%, $E$9)</f>
        <v>31.656400000000001</v>
      </c>
      <c r="R645" s="14">
        <f>CHOOSE(CONTROL!$C$42, 32.3226, 32.3226) * CHOOSE(CONTROL!$C$21, $C$9, 100%, $E$9)</f>
        <v>32.322600000000001</v>
      </c>
      <c r="S645" s="14">
        <f>CHOOSE(CONTROL!$C$42, 30.2344, 30.2344) * CHOOSE(CONTROL!$C$21, $C$9, 100%, $E$9)</f>
        <v>30.234400000000001</v>
      </c>
      <c r="T64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45" s="57">
        <f>(1000*CHOOSE(CONTROL!$C$42, 695, 695)*CHOOSE(CONTROL!$C$42, 0.5599, 0.5599)*CHOOSE(CONTROL!$C$42, 30, 30))/1000000</f>
        <v>11.673914999999997</v>
      </c>
      <c r="V645" s="57">
        <f>(1000*CHOOSE(CONTROL!$C$42, 500, 500)*CHOOSE(CONTROL!$C$42, 0.275, 0.275)*CHOOSE(CONTROL!$C$42, 30, 30))/1000000</f>
        <v>4.125</v>
      </c>
      <c r="W645" s="57">
        <f>(1000*CHOOSE(CONTROL!$C$42, 0.1146, 0.1146)*CHOOSE(CONTROL!$C$42, 121.5, 121.5)*CHOOSE(CONTROL!$C$42, 30, 30))/1000000</f>
        <v>0.417717</v>
      </c>
      <c r="X645" s="57">
        <f>(30*0.1790888*245000/1000000)+(30*0.2374*100000/1000000)</f>
        <v>2.0285026799999999</v>
      </c>
      <c r="Y645" s="57"/>
      <c r="Z645" s="14"/>
      <c r="AA645" s="56"/>
      <c r="AB645" s="50">
        <f>(B645*194.205+C645*267.466+D645*133.845+E645*53.484+F645*40+G645*185+H645*0+I645*100+J645*300)/(194.205+267.466+133.845+53.484+0+40+185+100+300)</f>
        <v>31.166890924882267</v>
      </c>
      <c r="AC645" s="45">
        <f>(M645*'RAP TEMPLATE-GAS AVAILABILITY'!O644+N645*'RAP TEMPLATE-GAS AVAILABILITY'!P644+O645*'RAP TEMPLATE-GAS AVAILABILITY'!Q644+P645*'RAP TEMPLATE-GAS AVAILABILITY'!R644)/('RAP TEMPLATE-GAS AVAILABILITY'!O644+'RAP TEMPLATE-GAS AVAILABILITY'!P644+'RAP TEMPLATE-GAS AVAILABILITY'!Q644+'RAP TEMPLATE-GAS AVAILABILITY'!R644)</f>
        <v>30.932705755395681</v>
      </c>
    </row>
    <row r="646" spans="1:29" ht="15.75" x14ac:dyDescent="0.25">
      <c r="A646" s="32">
        <v>60571</v>
      </c>
      <c r="B646" s="14">
        <f>CHOOSE(CONTROL!$C$42, 30.5046, 30.5046) * CHOOSE(CONTROL!$C$21, $C$9, 100%, $E$9)</f>
        <v>30.5046</v>
      </c>
      <c r="C646" s="14">
        <f>CHOOSE(CONTROL!$C$42, 30.5099, 30.5099) * CHOOSE(CONTROL!$C$21, $C$9, 100%, $E$9)</f>
        <v>30.509899999999998</v>
      </c>
      <c r="D646" s="14">
        <f>CHOOSE(CONTROL!$C$42, 30.7124, 30.7124) * CHOOSE(CONTROL!$C$21, $C$9, 100%, $E$9)</f>
        <v>30.712399999999999</v>
      </c>
      <c r="E646" s="14">
        <f>CHOOSE(CONTROL!$C$42, 30.7412, 30.7412) * CHOOSE(CONTROL!$C$21, $C$9, 100%, $E$9)</f>
        <v>30.741199999999999</v>
      </c>
      <c r="F646" s="14">
        <f>CHOOSE(CONTROL!$C$42, 30.491, 30.491)*CHOOSE(CONTROL!$C$21, $C$9, 100%, $E$9)</f>
        <v>30.491</v>
      </c>
      <c r="G646" s="14">
        <f>CHOOSE(CONTROL!$C$42, 30.507, 30.507)*CHOOSE(CONTROL!$C$21, $C$9, 100%, $E$9)</f>
        <v>30.507000000000001</v>
      </c>
      <c r="H646" s="14">
        <f>CHOOSE(CONTROL!$C$42, 30.7317, 30.7317) * CHOOSE(CONTROL!$C$21, $C$9, 100%, $E$9)</f>
        <v>30.7317</v>
      </c>
      <c r="I646" s="14">
        <f>CHOOSE(CONTROL!$C$42, 30.5178, 30.5178)* CHOOSE(CONTROL!$C$21, $C$9, 100%, $E$9)</f>
        <v>30.517800000000001</v>
      </c>
      <c r="J646" s="14">
        <f>CHOOSE(CONTROL!$C$42, 30.484, 30.484)* CHOOSE(CONTROL!$C$21, $C$9, 100%, $E$9)</f>
        <v>30.484000000000002</v>
      </c>
      <c r="K646" s="53">
        <f>CHOOSE(CONTROL!$C$42, 30.5139, 30.5139) * CHOOSE(CONTROL!$C$21, $C$9, 100%, $E$9)</f>
        <v>30.5139</v>
      </c>
      <c r="L646" s="14">
        <f>CHOOSE(CONTROL!$C$42, 31.3187, 31.3187) * CHOOSE(CONTROL!$C$21, $C$9, 100%, $E$9)</f>
        <v>31.3187</v>
      </c>
      <c r="M646" s="14">
        <f>CHOOSE(CONTROL!$C$42, 30.1902, 30.1902) * CHOOSE(CONTROL!$C$21, $C$9, 100%, $E$9)</f>
        <v>30.190200000000001</v>
      </c>
      <c r="N646" s="14">
        <f>CHOOSE(CONTROL!$C$42, 30.2061, 30.2061) * CHOOSE(CONTROL!$C$21, $C$9, 100%, $E$9)</f>
        <v>30.206099999999999</v>
      </c>
      <c r="O646" s="14">
        <f>CHOOSE(CONTROL!$C$42, 30.4354, 30.4354) * CHOOSE(CONTROL!$C$21, $C$9, 100%, $E$9)</f>
        <v>30.435400000000001</v>
      </c>
      <c r="P646" s="14">
        <f>CHOOSE(CONTROL!$C$42, 30.2237, 30.2237) * CHOOSE(CONTROL!$C$21, $C$9, 100%, $E$9)</f>
        <v>30.223700000000001</v>
      </c>
      <c r="Q646" s="14">
        <f>CHOOSE(CONTROL!$C$42, 31.0307, 31.0307) * CHOOSE(CONTROL!$C$21, $C$9, 100%, $E$9)</f>
        <v>31.0307</v>
      </c>
      <c r="R646" s="14">
        <f>CHOOSE(CONTROL!$C$42, 31.6952, 31.6952) * CHOOSE(CONTROL!$C$21, $C$9, 100%, $E$9)</f>
        <v>31.6952</v>
      </c>
      <c r="S646" s="14">
        <f>CHOOSE(CONTROL!$C$42, 29.6205, 29.6205) * CHOOSE(CONTROL!$C$21, $C$9, 100%, $E$9)</f>
        <v>29.6205</v>
      </c>
      <c r="T64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46" s="57">
        <f>(1000*CHOOSE(CONTROL!$C$42, 695, 695)*CHOOSE(CONTROL!$C$42, 0.5599, 0.5599)*CHOOSE(CONTROL!$C$42, 31, 31))/1000000</f>
        <v>12.063045499999998</v>
      </c>
      <c r="V646" s="57">
        <f>(1000*CHOOSE(CONTROL!$C$42, 500, 500)*CHOOSE(CONTROL!$C$42, 0.275, 0.275)*CHOOSE(CONTROL!$C$42, 31, 31))/1000000</f>
        <v>4.2625000000000002</v>
      </c>
      <c r="W646" s="57">
        <f>(1000*CHOOSE(CONTROL!$C$42, 0.1146, 0.1146)*CHOOSE(CONTROL!$C$42, 121.5, 121.5)*CHOOSE(CONTROL!$C$42, 31, 31))/1000000</f>
        <v>0.43164089999999994</v>
      </c>
      <c r="X646" s="57">
        <f>(31*0.1790888*245000/1000000)+(31*0.2374*100000/1000000)</f>
        <v>2.0961194359999999</v>
      </c>
      <c r="Y646" s="57"/>
      <c r="Z646" s="14"/>
      <c r="AA646" s="56"/>
      <c r="AB646" s="50">
        <f>(B646*131.881+C646*277.167+D646*79.08+E646*125.872+F646*40+G646*185+H646*0+I646*100+J646*300)/(131.881+277.167+79.08+125.872+0+40+185+100+300)</f>
        <v>30.539081940516542</v>
      </c>
      <c r="AC646" s="45">
        <f>(M646*'RAP TEMPLATE-GAS AVAILABILITY'!O645+N646*'RAP TEMPLATE-GAS AVAILABILITY'!P645+O646*'RAP TEMPLATE-GAS AVAILABILITY'!Q645+P646*'RAP TEMPLATE-GAS AVAILABILITY'!R645)/('RAP TEMPLATE-GAS AVAILABILITY'!O645+'RAP TEMPLATE-GAS AVAILABILITY'!P645+'RAP TEMPLATE-GAS AVAILABILITY'!Q645+'RAP TEMPLATE-GAS AVAILABILITY'!R645)</f>
        <v>30.307069064748198</v>
      </c>
    </row>
    <row r="647" spans="1:29" ht="15.75" x14ac:dyDescent="0.25">
      <c r="A647" s="32">
        <v>60601</v>
      </c>
      <c r="B647" s="14">
        <f>CHOOSE(CONTROL!$C$42, 31.3078, 31.3078) * CHOOSE(CONTROL!$C$21, $C$9, 100%, $E$9)</f>
        <v>31.3078</v>
      </c>
      <c r="C647" s="14">
        <f>CHOOSE(CONTROL!$C$42, 31.3127, 31.3127) * CHOOSE(CONTROL!$C$21, $C$9, 100%, $E$9)</f>
        <v>31.3127</v>
      </c>
      <c r="D647" s="14">
        <f>CHOOSE(CONTROL!$C$42, 31.3758, 31.3758) * CHOOSE(CONTROL!$C$21, $C$9, 100%, $E$9)</f>
        <v>31.375800000000002</v>
      </c>
      <c r="E647" s="14">
        <f>CHOOSE(CONTROL!$C$42, 31.4096, 31.4096) * CHOOSE(CONTROL!$C$21, $C$9, 100%, $E$9)</f>
        <v>31.409600000000001</v>
      </c>
      <c r="F647" s="14">
        <f>CHOOSE(CONTROL!$C$42, 31.3085, 31.3085)*CHOOSE(CONTROL!$C$21, $C$9, 100%, $E$9)</f>
        <v>31.308499999999999</v>
      </c>
      <c r="G647" s="14">
        <f>CHOOSE(CONTROL!$C$42, 31.3248, 31.3248)*CHOOSE(CONTROL!$C$21, $C$9, 100%, $E$9)</f>
        <v>31.3248</v>
      </c>
      <c r="H647" s="14">
        <f>CHOOSE(CONTROL!$C$42, 31.3988, 31.3988) * CHOOSE(CONTROL!$C$21, $C$9, 100%, $E$9)</f>
        <v>31.398800000000001</v>
      </c>
      <c r="I647" s="14">
        <f>CHOOSE(CONTROL!$C$42, 31.3213, 31.3213)* CHOOSE(CONTROL!$C$21, $C$9, 100%, $E$9)</f>
        <v>31.321300000000001</v>
      </c>
      <c r="J647" s="14">
        <f>CHOOSE(CONTROL!$C$42, 31.3015, 31.3015)* CHOOSE(CONTROL!$C$21, $C$9, 100%, $E$9)</f>
        <v>31.301500000000001</v>
      </c>
      <c r="K647" s="53">
        <f>CHOOSE(CONTROL!$C$42, 31.3174, 31.3174) * CHOOSE(CONTROL!$C$21, $C$9, 100%, $E$9)</f>
        <v>31.317399999999999</v>
      </c>
      <c r="L647" s="14">
        <f>CHOOSE(CONTROL!$C$42, 31.9858, 31.9858) * CHOOSE(CONTROL!$C$21, $C$9, 100%, $E$9)</f>
        <v>31.985800000000001</v>
      </c>
      <c r="M647" s="14">
        <f>CHOOSE(CONTROL!$C$42, 30.9994, 30.9994) * CHOOSE(CONTROL!$C$21, $C$9, 100%, $E$9)</f>
        <v>30.999400000000001</v>
      </c>
      <c r="N647" s="14">
        <f>CHOOSE(CONTROL!$C$42, 31.0155, 31.0155) * CHOOSE(CONTROL!$C$21, $C$9, 100%, $E$9)</f>
        <v>31.015499999999999</v>
      </c>
      <c r="O647" s="14">
        <f>CHOOSE(CONTROL!$C$42, 31.0957, 31.0957) * CHOOSE(CONTROL!$C$21, $C$9, 100%, $E$9)</f>
        <v>31.095700000000001</v>
      </c>
      <c r="P647" s="14">
        <f>CHOOSE(CONTROL!$C$42, 31.0191, 31.0191) * CHOOSE(CONTROL!$C$21, $C$9, 100%, $E$9)</f>
        <v>31.019100000000002</v>
      </c>
      <c r="Q647" s="14">
        <f>CHOOSE(CONTROL!$C$42, 31.691, 31.691) * CHOOSE(CONTROL!$C$21, $C$9, 100%, $E$9)</f>
        <v>31.690999999999999</v>
      </c>
      <c r="R647" s="14">
        <f>CHOOSE(CONTROL!$C$42, 32.3573, 32.3573) * CHOOSE(CONTROL!$C$21, $C$9, 100%, $E$9)</f>
        <v>32.357300000000002</v>
      </c>
      <c r="S647" s="14">
        <f>CHOOSE(CONTROL!$C$42, 30.4008, 30.4008) * CHOOSE(CONTROL!$C$21, $C$9, 100%, $E$9)</f>
        <v>30.4008</v>
      </c>
      <c r="T64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47" s="57">
        <f>(1000*CHOOSE(CONTROL!$C$42, 695, 695)*CHOOSE(CONTROL!$C$42, 0.5599, 0.5599)*CHOOSE(CONTROL!$C$42, 30, 30))/1000000</f>
        <v>11.673914999999997</v>
      </c>
      <c r="V647" s="57">
        <f>(1000*CHOOSE(CONTROL!$C$42, 500, 500)*CHOOSE(CONTROL!$C$42, 0.275, 0.275)*CHOOSE(CONTROL!$C$42, 30, 30))/1000000</f>
        <v>4.125</v>
      </c>
      <c r="W647" s="57">
        <f>(1000*CHOOSE(CONTROL!$C$42, 0.1146, 0.1146)*CHOOSE(CONTROL!$C$42, 121.5, 121.5)*CHOOSE(CONTROL!$C$42, 30, 30))/1000000</f>
        <v>0.417717</v>
      </c>
      <c r="X647" s="57">
        <f>(30*0.1790888*100000/1000000)+(30*0.2374*100000/1000000)</f>
        <v>1.2494664</v>
      </c>
      <c r="Y647" s="57"/>
      <c r="Z647" s="14"/>
      <c r="AA647" s="56"/>
      <c r="AB647" s="50">
        <f>(B647*122.58+C647*297.941+D647*89.177+E647*40.302+F647*40+G647*160+H647*0+I647*100+J647*300)/(122.58+297.941+89.177+40.302+0+40+160+100+300)</f>
        <v>31.319830165652174</v>
      </c>
      <c r="AC647" s="45">
        <f>(M647*'RAP TEMPLATE-GAS AVAILABILITY'!O646+N647*'RAP TEMPLATE-GAS AVAILABILITY'!P646+O647*'RAP TEMPLATE-GAS AVAILABILITY'!Q646+P647*'RAP TEMPLATE-GAS AVAILABILITY'!R646)/('RAP TEMPLATE-GAS AVAILABILITY'!O646+'RAP TEMPLATE-GAS AVAILABILITY'!P646+'RAP TEMPLATE-GAS AVAILABILITY'!Q646+'RAP TEMPLATE-GAS AVAILABILITY'!R646)</f>
        <v>31.046807913669067</v>
      </c>
    </row>
    <row r="648" spans="1:29" ht="15.75" x14ac:dyDescent="0.25">
      <c r="A648" s="32">
        <v>60632</v>
      </c>
      <c r="B648" s="14">
        <f>CHOOSE(CONTROL!$C$42, 33.4421, 33.4421) * CHOOSE(CONTROL!$C$21, $C$9, 100%, $E$9)</f>
        <v>33.442100000000003</v>
      </c>
      <c r="C648" s="14">
        <f>CHOOSE(CONTROL!$C$42, 33.4471, 33.4471) * CHOOSE(CONTROL!$C$21, $C$9, 100%, $E$9)</f>
        <v>33.447099999999999</v>
      </c>
      <c r="D648" s="14">
        <f>CHOOSE(CONTROL!$C$42, 33.5101, 33.5101) * CHOOSE(CONTROL!$C$21, $C$9, 100%, $E$9)</f>
        <v>33.510100000000001</v>
      </c>
      <c r="E648" s="14">
        <f>CHOOSE(CONTROL!$C$42, 33.5439, 33.5439) * CHOOSE(CONTROL!$C$21, $C$9, 100%, $E$9)</f>
        <v>33.543900000000001</v>
      </c>
      <c r="F648" s="14">
        <f>CHOOSE(CONTROL!$C$42, 33.4449, 33.4449)*CHOOSE(CONTROL!$C$21, $C$9, 100%, $E$9)</f>
        <v>33.444899999999997</v>
      </c>
      <c r="G648" s="14">
        <f>CHOOSE(CONTROL!$C$42, 33.4617, 33.4617)*CHOOSE(CONTROL!$C$21, $C$9, 100%, $E$9)</f>
        <v>33.4617</v>
      </c>
      <c r="H648" s="14">
        <f>CHOOSE(CONTROL!$C$42, 33.5331, 33.5331) * CHOOSE(CONTROL!$C$21, $C$9, 100%, $E$9)</f>
        <v>33.533099999999997</v>
      </c>
      <c r="I648" s="14">
        <f>CHOOSE(CONTROL!$C$42, 33.4557, 33.4557)* CHOOSE(CONTROL!$C$21, $C$9, 100%, $E$9)</f>
        <v>33.4557</v>
      </c>
      <c r="J648" s="14">
        <f>CHOOSE(CONTROL!$C$42, 33.4379, 33.4379)* CHOOSE(CONTROL!$C$21, $C$9, 100%, $E$9)</f>
        <v>33.437899999999999</v>
      </c>
      <c r="K648" s="53">
        <f>CHOOSE(CONTROL!$C$42, 33.4518, 33.4518) * CHOOSE(CONTROL!$C$21, $C$9, 100%, $E$9)</f>
        <v>33.451799999999999</v>
      </c>
      <c r="L648" s="14">
        <f>CHOOSE(CONTROL!$C$42, 34.1201, 34.1201) * CHOOSE(CONTROL!$C$21, $C$9, 100%, $E$9)</f>
        <v>34.120100000000001</v>
      </c>
      <c r="M648" s="14">
        <f>CHOOSE(CONTROL!$C$42, 33.1142, 33.1142) * CHOOSE(CONTROL!$C$21, $C$9, 100%, $E$9)</f>
        <v>33.114199999999997</v>
      </c>
      <c r="N648" s="14">
        <f>CHOOSE(CONTROL!$C$42, 33.1309, 33.1309) * CHOOSE(CONTROL!$C$21, $C$9, 100%, $E$9)</f>
        <v>33.130899999999997</v>
      </c>
      <c r="O648" s="14">
        <f>CHOOSE(CONTROL!$C$42, 33.2085, 33.2085) * CHOOSE(CONTROL!$C$21, $C$9, 100%, $E$9)</f>
        <v>33.208500000000001</v>
      </c>
      <c r="P648" s="14">
        <f>CHOOSE(CONTROL!$C$42, 33.1319, 33.1319) * CHOOSE(CONTROL!$C$21, $C$9, 100%, $E$9)</f>
        <v>33.131900000000002</v>
      </c>
      <c r="Q648" s="14">
        <f>CHOOSE(CONTROL!$C$42, 33.8038, 33.8038) * CHOOSE(CONTROL!$C$21, $C$9, 100%, $E$9)</f>
        <v>33.803800000000003</v>
      </c>
      <c r="R648" s="14">
        <f>CHOOSE(CONTROL!$C$42, 34.4754, 34.4754) * CHOOSE(CONTROL!$C$21, $C$9, 100%, $E$9)</f>
        <v>34.4754</v>
      </c>
      <c r="S648" s="14">
        <f>CHOOSE(CONTROL!$C$42, 32.4735, 32.4735) * CHOOSE(CONTROL!$C$21, $C$9, 100%, $E$9)</f>
        <v>32.473500000000001</v>
      </c>
      <c r="T64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48" s="57">
        <f>(1000*CHOOSE(CONTROL!$C$42, 695, 695)*CHOOSE(CONTROL!$C$42, 0.5599, 0.5599)*CHOOSE(CONTROL!$C$42, 31, 31))/1000000</f>
        <v>12.063045499999998</v>
      </c>
      <c r="V648" s="57">
        <f>(1000*CHOOSE(CONTROL!$C$42, 500, 500)*CHOOSE(CONTROL!$C$42, 0.275, 0.275)*CHOOSE(CONTROL!$C$42, 31, 31))/1000000</f>
        <v>4.2625000000000002</v>
      </c>
      <c r="W648" s="57">
        <f>(1000*CHOOSE(CONTROL!$C$42, 0.1146, 0.1146)*CHOOSE(CONTROL!$C$42, 121.5, 121.5)*CHOOSE(CONTROL!$C$42, 31, 31))/1000000</f>
        <v>0.43164089999999994</v>
      </c>
      <c r="X648" s="57">
        <f>(31*0.1790888*100000/1000000)+(31*0.2374*100000/1000000)</f>
        <v>1.2911152800000001</v>
      </c>
      <c r="Y648" s="57"/>
      <c r="Z648" s="14"/>
      <c r="AA648" s="56"/>
      <c r="AB648" s="50">
        <f>(B648*122.58+C648*297.941+D648*89.177+E648*40.302+F648*40+G648*160+H648*0+I648*100+J648*300)/(122.58+297.941+89.177+40.302+0+40+160+100+300)</f>
        <v>33.455147377913036</v>
      </c>
      <c r="AC648" s="45">
        <f>(M648*'RAP TEMPLATE-GAS AVAILABILITY'!O647+N648*'RAP TEMPLATE-GAS AVAILABILITY'!P647+O648*'RAP TEMPLATE-GAS AVAILABILITY'!Q647+P648*'RAP TEMPLATE-GAS AVAILABILITY'!R647)/('RAP TEMPLATE-GAS AVAILABILITY'!O647+'RAP TEMPLATE-GAS AVAILABILITY'!P647+'RAP TEMPLATE-GAS AVAILABILITY'!Q647+'RAP TEMPLATE-GAS AVAILABILITY'!R647)</f>
        <v>33.160448201438847</v>
      </c>
    </row>
    <row r="649" spans="1:29" ht="15.75" x14ac:dyDescent="0.25">
      <c r="A649" s="32">
        <v>60663</v>
      </c>
      <c r="B649" s="14">
        <f>CHOOSE(CONTROL!$C$42, 36.182, 36.182) * CHOOSE(CONTROL!$C$21, $C$9, 100%, $E$9)</f>
        <v>36.182000000000002</v>
      </c>
      <c r="C649" s="14">
        <f>CHOOSE(CONTROL!$C$42, 36.187, 36.187) * CHOOSE(CONTROL!$C$21, $C$9, 100%, $E$9)</f>
        <v>36.186999999999998</v>
      </c>
      <c r="D649" s="14">
        <f>CHOOSE(CONTROL!$C$42, 36.2513, 36.2513) * CHOOSE(CONTROL!$C$21, $C$9, 100%, $E$9)</f>
        <v>36.251300000000001</v>
      </c>
      <c r="E649" s="14">
        <f>CHOOSE(CONTROL!$C$42, 36.285, 36.285) * CHOOSE(CONTROL!$C$21, $C$9, 100%, $E$9)</f>
        <v>36.284999999999997</v>
      </c>
      <c r="F649" s="14">
        <f>CHOOSE(CONTROL!$C$42, 36.1835, 36.1835)*CHOOSE(CONTROL!$C$21, $C$9, 100%, $E$9)</f>
        <v>36.183500000000002</v>
      </c>
      <c r="G649" s="14">
        <f>CHOOSE(CONTROL!$C$42, 36.1995, 36.1995)*CHOOSE(CONTROL!$C$21, $C$9, 100%, $E$9)</f>
        <v>36.1995</v>
      </c>
      <c r="H649" s="14">
        <f>CHOOSE(CONTROL!$C$42, 36.2742, 36.2742) * CHOOSE(CONTROL!$C$21, $C$9, 100%, $E$9)</f>
        <v>36.2742</v>
      </c>
      <c r="I649" s="14">
        <f>CHOOSE(CONTROL!$C$42, 36.202, 36.202)* CHOOSE(CONTROL!$C$21, $C$9, 100%, $E$9)</f>
        <v>36.201999999999998</v>
      </c>
      <c r="J649" s="14">
        <f>CHOOSE(CONTROL!$C$42, 36.1765, 36.1765)* CHOOSE(CONTROL!$C$21, $C$9, 100%, $E$9)</f>
        <v>36.176499999999997</v>
      </c>
      <c r="K649" s="53">
        <f>CHOOSE(CONTROL!$C$42, 36.1981, 36.1981) * CHOOSE(CONTROL!$C$21, $C$9, 100%, $E$9)</f>
        <v>36.198099999999997</v>
      </c>
      <c r="L649" s="14">
        <f>CHOOSE(CONTROL!$C$42, 36.8612, 36.8612) * CHOOSE(CONTROL!$C$21, $C$9, 100%, $E$9)</f>
        <v>36.861199999999997</v>
      </c>
      <c r="M649" s="14">
        <f>CHOOSE(CONTROL!$C$42, 35.8253, 35.8253) * CHOOSE(CONTROL!$C$21, $C$9, 100%, $E$9)</f>
        <v>35.825299999999999</v>
      </c>
      <c r="N649" s="14">
        <f>CHOOSE(CONTROL!$C$42, 35.841, 35.841) * CHOOSE(CONTROL!$C$21, $C$9, 100%, $E$9)</f>
        <v>35.841000000000001</v>
      </c>
      <c r="O649" s="14">
        <f>CHOOSE(CONTROL!$C$42, 35.922, 35.922) * CHOOSE(CONTROL!$C$21, $C$9, 100%, $E$9)</f>
        <v>35.921999999999997</v>
      </c>
      <c r="P649" s="14">
        <f>CHOOSE(CONTROL!$C$42, 35.8505, 35.8505) * CHOOSE(CONTROL!$C$21, $C$9, 100%, $E$9)</f>
        <v>35.850499999999997</v>
      </c>
      <c r="Q649" s="14">
        <f>CHOOSE(CONTROL!$C$42, 36.5173, 36.5173) * CHOOSE(CONTROL!$C$21, $C$9, 100%, $E$9)</f>
        <v>36.517299999999999</v>
      </c>
      <c r="R649" s="14">
        <f>CHOOSE(CONTROL!$C$42, 37.1956, 37.1956) * CHOOSE(CONTROL!$C$21, $C$9, 100%, $E$9)</f>
        <v>37.195599999999999</v>
      </c>
      <c r="S649" s="14">
        <f>CHOOSE(CONTROL!$C$42, 35.1342, 35.1342) * CHOOSE(CONTROL!$C$21, $C$9, 100%, $E$9)</f>
        <v>35.1342</v>
      </c>
      <c r="T64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49" s="57">
        <f>(1000*CHOOSE(CONTROL!$C$42, 695, 695)*CHOOSE(CONTROL!$C$42, 0.5599, 0.5599)*CHOOSE(CONTROL!$C$42, 31, 31))/1000000</f>
        <v>12.063045499999998</v>
      </c>
      <c r="V649" s="57">
        <f>(1000*CHOOSE(CONTROL!$C$42, 500, 500)*CHOOSE(CONTROL!$C$42, 0.275, 0.275)*CHOOSE(CONTROL!$C$42, 31, 31))/1000000</f>
        <v>4.2625000000000002</v>
      </c>
      <c r="W649" s="57">
        <f>(1000*CHOOSE(CONTROL!$C$42, 0.1146, 0.1146)*CHOOSE(CONTROL!$C$42, 121.5, 121.5)*CHOOSE(CONTROL!$C$42, 31, 31))/1000000</f>
        <v>0.43164089999999994</v>
      </c>
      <c r="X649" s="57">
        <f>(31*0.1790888*100000/1000000)+(31*0.2374*100000/1000000)</f>
        <v>1.2911152800000001</v>
      </c>
      <c r="Y649" s="57"/>
      <c r="Z649" s="14"/>
      <c r="AA649" s="56"/>
      <c r="AB649" s="50">
        <f>(B649*122.58+C649*297.941+D649*89.177+E649*40.302+F649*40+G649*160+H649*0+I649*100+J649*300)/(122.58+297.941+89.177+40.302+0+40+160+100+300)</f>
        <v>36.195070240956518</v>
      </c>
      <c r="AC649" s="45">
        <f>(M649*'RAP TEMPLATE-GAS AVAILABILITY'!O648+N649*'RAP TEMPLATE-GAS AVAILABILITY'!P648+O649*'RAP TEMPLATE-GAS AVAILABILITY'!Q648+P649*'RAP TEMPLATE-GAS AVAILABILITY'!R648)/('RAP TEMPLATE-GAS AVAILABILITY'!O648+'RAP TEMPLATE-GAS AVAILABILITY'!P648+'RAP TEMPLATE-GAS AVAILABILITY'!Q648+'RAP TEMPLATE-GAS AVAILABILITY'!R648)</f>
        <v>35.873657553956832</v>
      </c>
    </row>
    <row r="650" spans="1:29" ht="15.75" x14ac:dyDescent="0.25">
      <c r="A650" s="32">
        <v>60691</v>
      </c>
      <c r="B650" s="14">
        <f>CHOOSE(CONTROL!$C$42, 36.8261, 36.8261) * CHOOSE(CONTROL!$C$21, $C$9, 100%, $E$9)</f>
        <v>36.826099999999997</v>
      </c>
      <c r="C650" s="14">
        <f>CHOOSE(CONTROL!$C$42, 36.831, 36.831) * CHOOSE(CONTROL!$C$21, $C$9, 100%, $E$9)</f>
        <v>36.831000000000003</v>
      </c>
      <c r="D650" s="14">
        <f>CHOOSE(CONTROL!$C$42, 36.8953, 36.8953) * CHOOSE(CONTROL!$C$21, $C$9, 100%, $E$9)</f>
        <v>36.895299999999999</v>
      </c>
      <c r="E650" s="14">
        <f>CHOOSE(CONTROL!$C$42, 36.9291, 36.9291) * CHOOSE(CONTROL!$C$21, $C$9, 100%, $E$9)</f>
        <v>36.929099999999998</v>
      </c>
      <c r="F650" s="14">
        <f>CHOOSE(CONTROL!$C$42, 36.8276, 36.8276)*CHOOSE(CONTROL!$C$21, $C$9, 100%, $E$9)</f>
        <v>36.827599999999997</v>
      </c>
      <c r="G650" s="14">
        <f>CHOOSE(CONTROL!$C$42, 36.8436, 36.8436)*CHOOSE(CONTROL!$C$21, $C$9, 100%, $E$9)</f>
        <v>36.843600000000002</v>
      </c>
      <c r="H650" s="14">
        <f>CHOOSE(CONTROL!$C$42, 36.9183, 36.9183) * CHOOSE(CONTROL!$C$21, $C$9, 100%, $E$9)</f>
        <v>36.918300000000002</v>
      </c>
      <c r="I650" s="14">
        <f>CHOOSE(CONTROL!$C$42, 36.846, 36.846)* CHOOSE(CONTROL!$C$21, $C$9, 100%, $E$9)</f>
        <v>36.845999999999997</v>
      </c>
      <c r="J650" s="14">
        <f>CHOOSE(CONTROL!$C$42, 36.8206, 36.8206)* CHOOSE(CONTROL!$C$21, $C$9, 100%, $E$9)</f>
        <v>36.820599999999999</v>
      </c>
      <c r="K650" s="53">
        <f>CHOOSE(CONTROL!$C$42, 36.8421, 36.8421) * CHOOSE(CONTROL!$C$21, $C$9, 100%, $E$9)</f>
        <v>36.842100000000002</v>
      </c>
      <c r="L650" s="14">
        <f>CHOOSE(CONTROL!$C$42, 37.5053, 37.5053) * CHOOSE(CONTROL!$C$21, $C$9, 100%, $E$9)</f>
        <v>37.505299999999998</v>
      </c>
      <c r="M650" s="14">
        <f>CHOOSE(CONTROL!$C$42, 36.4629, 36.4629) * CHOOSE(CONTROL!$C$21, $C$9, 100%, $E$9)</f>
        <v>36.462899999999998</v>
      </c>
      <c r="N650" s="14">
        <f>CHOOSE(CONTROL!$C$42, 36.4786, 36.4786) * CHOOSE(CONTROL!$C$21, $C$9, 100%, $E$9)</f>
        <v>36.4786</v>
      </c>
      <c r="O650" s="14">
        <f>CHOOSE(CONTROL!$C$42, 36.5595, 36.5595) * CHOOSE(CONTROL!$C$21, $C$9, 100%, $E$9)</f>
        <v>36.5595</v>
      </c>
      <c r="P650" s="14">
        <f>CHOOSE(CONTROL!$C$42, 36.4881, 36.4881) * CHOOSE(CONTROL!$C$21, $C$9, 100%, $E$9)</f>
        <v>36.488100000000003</v>
      </c>
      <c r="Q650" s="14">
        <f>CHOOSE(CONTROL!$C$42, 37.1548, 37.1548) * CHOOSE(CONTROL!$C$21, $C$9, 100%, $E$9)</f>
        <v>37.154800000000002</v>
      </c>
      <c r="R650" s="14">
        <f>CHOOSE(CONTROL!$C$42, 37.8347, 37.8347) * CHOOSE(CONTROL!$C$21, $C$9, 100%, $E$9)</f>
        <v>37.834699999999998</v>
      </c>
      <c r="S650" s="14">
        <f>CHOOSE(CONTROL!$C$42, 35.7597, 35.7597) * CHOOSE(CONTROL!$C$21, $C$9, 100%, $E$9)</f>
        <v>35.759700000000002</v>
      </c>
      <c r="T65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50" s="57">
        <f>(1000*CHOOSE(CONTROL!$C$42, 695, 695)*CHOOSE(CONTROL!$C$42, 0.5599, 0.5599)*CHOOSE(CONTROL!$C$42, 28, 28))/1000000</f>
        <v>10.895653999999999</v>
      </c>
      <c r="V650" s="57">
        <f>(1000*CHOOSE(CONTROL!$C$42, 500, 500)*CHOOSE(CONTROL!$C$42, 0.275, 0.275)*CHOOSE(CONTROL!$C$42, 28, 28))/1000000</f>
        <v>3.85</v>
      </c>
      <c r="W650" s="57">
        <f>(1000*CHOOSE(CONTROL!$C$42, 0.1146, 0.1146)*CHOOSE(CONTROL!$C$42, 121.5, 121.5)*CHOOSE(CONTROL!$C$42, 28, 28))/1000000</f>
        <v>0.38986920000000003</v>
      </c>
      <c r="X650" s="57">
        <f>(28*0.1790888*100000/1000000)+(28*0.2374*100000/1000000)</f>
        <v>1.16616864</v>
      </c>
      <c r="Y650" s="57"/>
      <c r="Z650" s="14"/>
      <c r="AA650" s="56"/>
      <c r="AB650" s="50">
        <f>(B650*122.58+C650*297.941+D650*89.177+E650*40.302+F650*40+G650*160+H650*0+I650*100+J650*300)/(122.58+297.941+89.177+40.302+0+40+160+100+300)</f>
        <v>36.839127882869562</v>
      </c>
      <c r="AC650" s="45">
        <f>(M650*'RAP TEMPLATE-GAS AVAILABILITY'!O649+N650*'RAP TEMPLATE-GAS AVAILABILITY'!P649+O650*'RAP TEMPLATE-GAS AVAILABILITY'!Q649+P650*'RAP TEMPLATE-GAS AVAILABILITY'!R649)/('RAP TEMPLATE-GAS AVAILABILITY'!O649+'RAP TEMPLATE-GAS AVAILABILITY'!P649+'RAP TEMPLATE-GAS AVAILABILITY'!Q649+'RAP TEMPLATE-GAS AVAILABILITY'!R649)</f>
        <v>36.511212230215826</v>
      </c>
    </row>
    <row r="651" spans="1:29" ht="15.75" x14ac:dyDescent="0.25">
      <c r="A651" s="32">
        <v>60722</v>
      </c>
      <c r="B651" s="14">
        <f>CHOOSE(CONTROL!$C$42, 35.7806, 35.7806) * CHOOSE(CONTROL!$C$21, $C$9, 100%, $E$9)</f>
        <v>35.7806</v>
      </c>
      <c r="C651" s="14">
        <f>CHOOSE(CONTROL!$C$42, 35.7856, 35.7856) * CHOOSE(CONTROL!$C$21, $C$9, 100%, $E$9)</f>
        <v>35.785600000000002</v>
      </c>
      <c r="D651" s="14">
        <f>CHOOSE(CONTROL!$C$42, 35.8499, 35.8499) * CHOOSE(CONTROL!$C$21, $C$9, 100%, $E$9)</f>
        <v>35.849899999999998</v>
      </c>
      <c r="E651" s="14">
        <f>CHOOSE(CONTROL!$C$42, 35.8836, 35.8836) * CHOOSE(CONTROL!$C$21, $C$9, 100%, $E$9)</f>
        <v>35.883600000000001</v>
      </c>
      <c r="F651" s="14">
        <f>CHOOSE(CONTROL!$C$42, 35.7819, 35.7819)*CHOOSE(CONTROL!$C$21, $C$9, 100%, $E$9)</f>
        <v>35.7819</v>
      </c>
      <c r="G651" s="14">
        <f>CHOOSE(CONTROL!$C$42, 35.7977, 35.7977)*CHOOSE(CONTROL!$C$21, $C$9, 100%, $E$9)</f>
        <v>35.797699999999999</v>
      </c>
      <c r="H651" s="14">
        <f>CHOOSE(CONTROL!$C$42, 35.8728, 35.8728) * CHOOSE(CONTROL!$C$21, $C$9, 100%, $E$9)</f>
        <v>35.872799999999998</v>
      </c>
      <c r="I651" s="14">
        <f>CHOOSE(CONTROL!$C$42, 35.8006, 35.8006)* CHOOSE(CONTROL!$C$21, $C$9, 100%, $E$9)</f>
        <v>35.800600000000003</v>
      </c>
      <c r="J651" s="14">
        <f>CHOOSE(CONTROL!$C$42, 35.7749, 35.7749)* CHOOSE(CONTROL!$C$21, $C$9, 100%, $E$9)</f>
        <v>35.774900000000002</v>
      </c>
      <c r="K651" s="53">
        <f>CHOOSE(CONTROL!$C$42, 35.7967, 35.7967) * CHOOSE(CONTROL!$C$21, $C$9, 100%, $E$9)</f>
        <v>35.796700000000001</v>
      </c>
      <c r="L651" s="14">
        <f>CHOOSE(CONTROL!$C$42, 36.4598, 36.4598) * CHOOSE(CONTROL!$C$21, $C$9, 100%, $E$9)</f>
        <v>36.459800000000001</v>
      </c>
      <c r="M651" s="14">
        <f>CHOOSE(CONTROL!$C$42, 35.4277, 35.4277) * CHOOSE(CONTROL!$C$21, $C$9, 100%, $E$9)</f>
        <v>35.427700000000002</v>
      </c>
      <c r="N651" s="14">
        <f>CHOOSE(CONTROL!$C$42, 35.4434, 35.4434) * CHOOSE(CONTROL!$C$21, $C$9, 100%, $E$9)</f>
        <v>35.443399999999997</v>
      </c>
      <c r="O651" s="14">
        <f>CHOOSE(CONTROL!$C$42, 35.5246, 35.5246) * CHOOSE(CONTROL!$C$21, $C$9, 100%, $E$9)</f>
        <v>35.5246</v>
      </c>
      <c r="P651" s="14">
        <f>CHOOSE(CONTROL!$C$42, 35.4532, 35.4532) * CHOOSE(CONTROL!$C$21, $C$9, 100%, $E$9)</f>
        <v>35.453200000000002</v>
      </c>
      <c r="Q651" s="14">
        <f>CHOOSE(CONTROL!$C$42, 36.1199, 36.1199) * CHOOSE(CONTROL!$C$21, $C$9, 100%, $E$9)</f>
        <v>36.119900000000001</v>
      </c>
      <c r="R651" s="14">
        <f>CHOOSE(CONTROL!$C$42, 36.7972, 36.7972) * CHOOSE(CONTROL!$C$21, $C$9, 100%, $E$9)</f>
        <v>36.797199999999997</v>
      </c>
      <c r="S651" s="14">
        <f>CHOOSE(CONTROL!$C$42, 34.7444, 34.7444) * CHOOSE(CONTROL!$C$21, $C$9, 100%, $E$9)</f>
        <v>34.744399999999999</v>
      </c>
      <c r="T65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51" s="57">
        <f>(1000*CHOOSE(CONTROL!$C$42, 695, 695)*CHOOSE(CONTROL!$C$42, 0.5599, 0.5599)*CHOOSE(CONTROL!$C$42, 31, 31))/1000000</f>
        <v>12.063045499999998</v>
      </c>
      <c r="V651" s="57">
        <f>(1000*CHOOSE(CONTROL!$C$42, 500, 500)*CHOOSE(CONTROL!$C$42, 0.275, 0.275)*CHOOSE(CONTROL!$C$42, 31, 31))/1000000</f>
        <v>4.2625000000000002</v>
      </c>
      <c r="W651" s="57">
        <f>(1000*CHOOSE(CONTROL!$C$42, 0.1146, 0.1146)*CHOOSE(CONTROL!$C$42, 121.5, 121.5)*CHOOSE(CONTROL!$C$42, 31, 31))/1000000</f>
        <v>0.43164089999999994</v>
      </c>
      <c r="X651" s="57">
        <f>(31*0.1790888*100000/1000000)+(31*0.2374*100000/1000000)</f>
        <v>1.2911152800000001</v>
      </c>
      <c r="Y651" s="57"/>
      <c r="Z651" s="14"/>
      <c r="AA651" s="56"/>
      <c r="AB651" s="50">
        <f>(B651*122.58+C651*297.941+D651*89.177+E651*40.302+F651*40+G651*160+H651*0+I651*100+J651*300)/(122.58+297.941+89.177+40.302+0+40+160+100+300)</f>
        <v>35.793555458347825</v>
      </c>
      <c r="AC651" s="45">
        <f>(M651*'RAP TEMPLATE-GAS AVAILABILITY'!O650+N651*'RAP TEMPLATE-GAS AVAILABILITY'!P650+O651*'RAP TEMPLATE-GAS AVAILABILITY'!Q650+P651*'RAP TEMPLATE-GAS AVAILABILITY'!R650)/('RAP TEMPLATE-GAS AVAILABILITY'!O650+'RAP TEMPLATE-GAS AVAILABILITY'!P650+'RAP TEMPLATE-GAS AVAILABILITY'!Q650+'RAP TEMPLATE-GAS AVAILABILITY'!R650)</f>
        <v>35.476191366906477</v>
      </c>
    </row>
    <row r="652" spans="1:29" ht="15.75" x14ac:dyDescent="0.25">
      <c r="A652" s="32">
        <v>60752</v>
      </c>
      <c r="B652" s="14">
        <f>CHOOSE(CONTROL!$C$42, 35.6747, 35.6747) * CHOOSE(CONTROL!$C$21, $C$9, 100%, $E$9)</f>
        <v>35.674700000000001</v>
      </c>
      <c r="C652" s="14">
        <f>CHOOSE(CONTROL!$C$42, 35.679, 35.679) * CHOOSE(CONTROL!$C$21, $C$9, 100%, $E$9)</f>
        <v>35.679000000000002</v>
      </c>
      <c r="D652" s="14">
        <f>CHOOSE(CONTROL!$C$42, 35.8798, 35.8798) * CHOOSE(CONTROL!$C$21, $C$9, 100%, $E$9)</f>
        <v>35.879800000000003</v>
      </c>
      <c r="E652" s="14">
        <f>CHOOSE(CONTROL!$C$42, 35.9116, 35.9116) * CHOOSE(CONTROL!$C$21, $C$9, 100%, $E$9)</f>
        <v>35.9116</v>
      </c>
      <c r="F652" s="14">
        <f>CHOOSE(CONTROL!$C$42, 35.6593, 35.6593)*CHOOSE(CONTROL!$C$21, $C$9, 100%, $E$9)</f>
        <v>35.659300000000002</v>
      </c>
      <c r="G652" s="14">
        <f>CHOOSE(CONTROL!$C$42, 35.6749, 35.6749)*CHOOSE(CONTROL!$C$21, $C$9, 100%, $E$9)</f>
        <v>35.674900000000001</v>
      </c>
      <c r="H652" s="14">
        <f>CHOOSE(CONTROL!$C$42, 35.9013, 35.9013) * CHOOSE(CONTROL!$C$21, $C$9, 100%, $E$9)</f>
        <v>35.901299999999999</v>
      </c>
      <c r="I652" s="14">
        <f>CHOOSE(CONTROL!$C$42, 35.6874, 35.6874)* CHOOSE(CONTROL!$C$21, $C$9, 100%, $E$9)</f>
        <v>35.687399999999997</v>
      </c>
      <c r="J652" s="14">
        <f>CHOOSE(CONTROL!$C$42, 35.6523, 35.6523)* CHOOSE(CONTROL!$C$21, $C$9, 100%, $E$9)</f>
        <v>35.652299999999997</v>
      </c>
      <c r="K652" s="53">
        <f>CHOOSE(CONTROL!$C$42, 35.6835, 35.6835) * CHOOSE(CONTROL!$C$21, $C$9, 100%, $E$9)</f>
        <v>35.683500000000002</v>
      </c>
      <c r="L652" s="14">
        <f>CHOOSE(CONTROL!$C$42, 36.4883, 36.4883) * CHOOSE(CONTROL!$C$21, $C$9, 100%, $E$9)</f>
        <v>36.488300000000002</v>
      </c>
      <c r="M652" s="14">
        <f>CHOOSE(CONTROL!$C$42, 35.3063, 35.3063) * CHOOSE(CONTROL!$C$21, $C$9, 100%, $E$9)</f>
        <v>35.3063</v>
      </c>
      <c r="N652" s="14">
        <f>CHOOSE(CONTROL!$C$42, 35.3218, 35.3218) * CHOOSE(CONTROL!$C$21, $C$9, 100%, $E$9)</f>
        <v>35.321800000000003</v>
      </c>
      <c r="O652" s="14">
        <f>CHOOSE(CONTROL!$C$42, 35.5529, 35.5529) * CHOOSE(CONTROL!$C$21, $C$9, 100%, $E$9)</f>
        <v>35.552900000000001</v>
      </c>
      <c r="P652" s="14">
        <f>CHOOSE(CONTROL!$C$42, 35.3412, 35.3412) * CHOOSE(CONTROL!$C$21, $C$9, 100%, $E$9)</f>
        <v>35.341200000000001</v>
      </c>
      <c r="Q652" s="14">
        <f>CHOOSE(CONTROL!$C$42, 36.1482, 36.1482) * CHOOSE(CONTROL!$C$21, $C$9, 100%, $E$9)</f>
        <v>36.148200000000003</v>
      </c>
      <c r="R652" s="14">
        <f>CHOOSE(CONTROL!$C$42, 36.8255, 36.8255) * CHOOSE(CONTROL!$C$21, $C$9, 100%, $E$9)</f>
        <v>36.825499999999998</v>
      </c>
      <c r="S652" s="14">
        <f>CHOOSE(CONTROL!$C$42, 34.6408, 34.6408) * CHOOSE(CONTROL!$C$21, $C$9, 100%, $E$9)</f>
        <v>34.640799999999999</v>
      </c>
      <c r="T65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52" s="57">
        <f>(1000*CHOOSE(CONTROL!$C$42, 695, 695)*CHOOSE(CONTROL!$C$42, 0.5599, 0.5599)*CHOOSE(CONTROL!$C$42, 30, 30))/1000000</f>
        <v>11.673914999999997</v>
      </c>
      <c r="V652" s="57">
        <f>(1000*CHOOSE(CONTROL!$C$42, 500, 500)*CHOOSE(CONTROL!$C$42, 0.275, 0.275)*CHOOSE(CONTROL!$C$42, 30, 30))/1000000</f>
        <v>4.125</v>
      </c>
      <c r="W652" s="57">
        <f>(1000*CHOOSE(CONTROL!$C$42, 0.1146, 0.1146)*CHOOSE(CONTROL!$C$42, 121.5, 121.5)*CHOOSE(CONTROL!$C$42, 30, 30))/1000000</f>
        <v>0.417717</v>
      </c>
      <c r="X652" s="57">
        <f>(30*0.1790888*245000/1000000)+(30*0.2374*100000/1000000)</f>
        <v>2.0285026799999999</v>
      </c>
      <c r="Y652" s="57"/>
      <c r="Z652" s="14"/>
      <c r="AA652" s="56"/>
      <c r="AB652" s="50">
        <f>(B652*141.293+C652*267.993+D652*115.016+E652*89.698+F652*40+G652*185+H652*0+I652*100+J652*300)/(141.293+267.993+115.016+89.698+0+40+185+100+300)</f>
        <v>35.706953920661817</v>
      </c>
      <c r="AC652" s="45">
        <f>(M652*'RAP TEMPLATE-GAS AVAILABILITY'!O651+N652*'RAP TEMPLATE-GAS AVAILABILITY'!P651+O652*'RAP TEMPLATE-GAS AVAILABILITY'!Q651+P652*'RAP TEMPLATE-GAS AVAILABILITY'!R651)/('RAP TEMPLATE-GAS AVAILABILITY'!O651+'RAP TEMPLATE-GAS AVAILABILITY'!P651+'RAP TEMPLATE-GAS AVAILABILITY'!Q651+'RAP TEMPLATE-GAS AVAILABILITY'!R651)</f>
        <v>35.423982014388486</v>
      </c>
    </row>
    <row r="653" spans="1:29" ht="15.75" x14ac:dyDescent="0.25">
      <c r="A653" s="32">
        <v>60783</v>
      </c>
      <c r="B653" s="14">
        <f>CHOOSE(CONTROL!$C$42, 35.9909, 35.9909) * CHOOSE(CONTROL!$C$21, $C$9, 100%, $E$9)</f>
        <v>35.990900000000003</v>
      </c>
      <c r="C653" s="14">
        <f>CHOOSE(CONTROL!$C$42, 35.9988, 35.9988) * CHOOSE(CONTROL!$C$21, $C$9, 100%, $E$9)</f>
        <v>35.998800000000003</v>
      </c>
      <c r="D653" s="14">
        <f>CHOOSE(CONTROL!$C$42, 36.1964, 36.1964) * CHOOSE(CONTROL!$C$21, $C$9, 100%, $E$9)</f>
        <v>36.196399999999997</v>
      </c>
      <c r="E653" s="14">
        <f>CHOOSE(CONTROL!$C$42, 36.2275, 36.2275) * CHOOSE(CONTROL!$C$21, $C$9, 100%, $E$9)</f>
        <v>36.227499999999999</v>
      </c>
      <c r="F653" s="14">
        <f>CHOOSE(CONTROL!$C$42, 35.9743, 35.9743)*CHOOSE(CONTROL!$C$21, $C$9, 100%, $E$9)</f>
        <v>35.974299999999999</v>
      </c>
      <c r="G653" s="14">
        <f>CHOOSE(CONTROL!$C$42, 35.9904, 35.9904)*CHOOSE(CONTROL!$C$21, $C$9, 100%, $E$9)</f>
        <v>35.990400000000001</v>
      </c>
      <c r="H653" s="14">
        <f>CHOOSE(CONTROL!$C$42, 36.2162, 36.2162) * CHOOSE(CONTROL!$C$21, $C$9, 100%, $E$9)</f>
        <v>36.216200000000001</v>
      </c>
      <c r="I653" s="14">
        <f>CHOOSE(CONTROL!$C$42, 36.0023, 36.0023)* CHOOSE(CONTROL!$C$21, $C$9, 100%, $E$9)</f>
        <v>36.002299999999998</v>
      </c>
      <c r="J653" s="14">
        <f>CHOOSE(CONTROL!$C$42, 35.9673, 35.9673)* CHOOSE(CONTROL!$C$21, $C$9, 100%, $E$9)</f>
        <v>35.967300000000002</v>
      </c>
      <c r="K653" s="53">
        <f>CHOOSE(CONTROL!$C$42, 35.9984, 35.9984) * CHOOSE(CONTROL!$C$21, $C$9, 100%, $E$9)</f>
        <v>35.998399999999997</v>
      </c>
      <c r="L653" s="14">
        <f>CHOOSE(CONTROL!$C$42, 36.8032, 36.8032) * CHOOSE(CONTROL!$C$21, $C$9, 100%, $E$9)</f>
        <v>36.803199999999997</v>
      </c>
      <c r="M653" s="14">
        <f>CHOOSE(CONTROL!$C$42, 35.6182, 35.6182) * CHOOSE(CONTROL!$C$21, $C$9, 100%, $E$9)</f>
        <v>35.618200000000002</v>
      </c>
      <c r="N653" s="14">
        <f>CHOOSE(CONTROL!$C$42, 35.6341, 35.6341) * CHOOSE(CONTROL!$C$21, $C$9, 100%, $E$9)</f>
        <v>35.634099999999997</v>
      </c>
      <c r="O653" s="14">
        <f>CHOOSE(CONTROL!$C$42, 35.8645, 35.8645) * CHOOSE(CONTROL!$C$21, $C$9, 100%, $E$9)</f>
        <v>35.8645</v>
      </c>
      <c r="P653" s="14">
        <f>CHOOSE(CONTROL!$C$42, 35.6528, 35.6528) * CHOOSE(CONTROL!$C$21, $C$9, 100%, $E$9)</f>
        <v>35.652799999999999</v>
      </c>
      <c r="Q653" s="14">
        <f>CHOOSE(CONTROL!$C$42, 36.4598, 36.4598) * CHOOSE(CONTROL!$C$21, $C$9, 100%, $E$9)</f>
        <v>36.459800000000001</v>
      </c>
      <c r="R653" s="14">
        <f>CHOOSE(CONTROL!$C$42, 37.138, 37.138) * CHOOSE(CONTROL!$C$21, $C$9, 100%, $E$9)</f>
        <v>37.137999999999998</v>
      </c>
      <c r="S653" s="14">
        <f>CHOOSE(CONTROL!$C$42, 34.9465, 34.9465) * CHOOSE(CONTROL!$C$21, $C$9, 100%, $E$9)</f>
        <v>34.9465</v>
      </c>
      <c r="T65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53" s="57">
        <f>(1000*CHOOSE(CONTROL!$C$42, 695, 695)*CHOOSE(CONTROL!$C$42, 0.5599, 0.5599)*CHOOSE(CONTROL!$C$42, 31, 31))/1000000</f>
        <v>12.063045499999998</v>
      </c>
      <c r="V653" s="57">
        <f>(1000*CHOOSE(CONTROL!$C$42, 500, 500)*CHOOSE(CONTROL!$C$42, 0.275, 0.275)*CHOOSE(CONTROL!$C$42, 31, 31))/1000000</f>
        <v>4.2625000000000002</v>
      </c>
      <c r="W653" s="57">
        <f>(1000*CHOOSE(CONTROL!$C$42, 0.1146, 0.1146)*CHOOSE(CONTROL!$C$42, 121.5, 121.5)*CHOOSE(CONTROL!$C$42, 31, 31))/1000000</f>
        <v>0.43164089999999994</v>
      </c>
      <c r="X653" s="57">
        <f>(31*0.1790888*245000/1000000)+(31*0.2374*100000/1000000)</f>
        <v>2.0961194359999999</v>
      </c>
      <c r="Y653" s="57"/>
      <c r="Z653" s="14"/>
      <c r="AA653" s="56"/>
      <c r="AB653" s="50">
        <f>(B653*194.205+C653*267.466+D653*133.845+E653*53.484+F653*40+G653*185+H653*0+I653*100+J653*300)/(194.205+267.466+133.845+53.484+0+40+185+100+300)</f>
        <v>36.018824602276304</v>
      </c>
      <c r="AC653" s="45">
        <f>(M653*'RAP TEMPLATE-GAS AVAILABILITY'!O652+N653*'RAP TEMPLATE-GAS AVAILABILITY'!P652+O653*'RAP TEMPLATE-GAS AVAILABILITY'!Q652+P653*'RAP TEMPLATE-GAS AVAILABILITY'!R652)/('RAP TEMPLATE-GAS AVAILABILITY'!O652+'RAP TEMPLATE-GAS AVAILABILITY'!P652+'RAP TEMPLATE-GAS AVAILABILITY'!Q652+'RAP TEMPLATE-GAS AVAILABILITY'!R652)</f>
        <v>35.735725899280574</v>
      </c>
    </row>
    <row r="654" spans="1:29" ht="15.75" x14ac:dyDescent="0.25">
      <c r="A654" s="32">
        <v>60813</v>
      </c>
      <c r="B654" s="14">
        <f>CHOOSE(CONTROL!$C$42, 37.0117, 37.0117) * CHOOSE(CONTROL!$C$21, $C$9, 100%, $E$9)</f>
        <v>37.011699999999998</v>
      </c>
      <c r="C654" s="14">
        <f>CHOOSE(CONTROL!$C$42, 37.0196, 37.0196) * CHOOSE(CONTROL!$C$21, $C$9, 100%, $E$9)</f>
        <v>37.019599999999997</v>
      </c>
      <c r="D654" s="14">
        <f>CHOOSE(CONTROL!$C$42, 37.2172, 37.2172) * CHOOSE(CONTROL!$C$21, $C$9, 100%, $E$9)</f>
        <v>37.217199999999998</v>
      </c>
      <c r="E654" s="14">
        <f>CHOOSE(CONTROL!$C$42, 37.2483, 37.2483) * CHOOSE(CONTROL!$C$21, $C$9, 100%, $E$9)</f>
        <v>37.2483</v>
      </c>
      <c r="F654" s="14">
        <f>CHOOSE(CONTROL!$C$42, 36.9955, 36.9955)*CHOOSE(CONTROL!$C$21, $C$9, 100%, $E$9)</f>
        <v>36.9955</v>
      </c>
      <c r="G654" s="14">
        <f>CHOOSE(CONTROL!$C$42, 37.0117, 37.0117)*CHOOSE(CONTROL!$C$21, $C$9, 100%, $E$9)</f>
        <v>37.011699999999998</v>
      </c>
      <c r="H654" s="14">
        <f>CHOOSE(CONTROL!$C$42, 37.2369, 37.2369) * CHOOSE(CONTROL!$C$21, $C$9, 100%, $E$9)</f>
        <v>37.236899999999999</v>
      </c>
      <c r="I654" s="14">
        <f>CHOOSE(CONTROL!$C$42, 37.023, 37.023)* CHOOSE(CONTROL!$C$21, $C$9, 100%, $E$9)</f>
        <v>37.023000000000003</v>
      </c>
      <c r="J654" s="14">
        <f>CHOOSE(CONTROL!$C$42, 36.9885, 36.9885)* CHOOSE(CONTROL!$C$21, $C$9, 100%, $E$9)</f>
        <v>36.988500000000002</v>
      </c>
      <c r="K654" s="53">
        <f>CHOOSE(CONTROL!$C$42, 37.0192, 37.0192) * CHOOSE(CONTROL!$C$21, $C$9, 100%, $E$9)</f>
        <v>37.019199999999998</v>
      </c>
      <c r="L654" s="14">
        <f>CHOOSE(CONTROL!$C$42, 37.8239, 37.8239) * CHOOSE(CONTROL!$C$21, $C$9, 100%, $E$9)</f>
        <v>37.823900000000002</v>
      </c>
      <c r="M654" s="14">
        <f>CHOOSE(CONTROL!$C$42, 36.6291, 36.6291) * CHOOSE(CONTROL!$C$21, $C$9, 100%, $E$9)</f>
        <v>36.629100000000001</v>
      </c>
      <c r="N654" s="14">
        <f>CHOOSE(CONTROL!$C$42, 36.6451, 36.6451) * CHOOSE(CONTROL!$C$21, $C$9, 100%, $E$9)</f>
        <v>36.645099999999999</v>
      </c>
      <c r="O654" s="14">
        <f>CHOOSE(CONTROL!$C$42, 36.875, 36.875) * CHOOSE(CONTROL!$C$21, $C$9, 100%, $E$9)</f>
        <v>36.875</v>
      </c>
      <c r="P654" s="14">
        <f>CHOOSE(CONTROL!$C$42, 36.6633, 36.6633) * CHOOSE(CONTROL!$C$21, $C$9, 100%, $E$9)</f>
        <v>36.6633</v>
      </c>
      <c r="Q654" s="14">
        <f>CHOOSE(CONTROL!$C$42, 37.4703, 37.4703) * CHOOSE(CONTROL!$C$21, $C$9, 100%, $E$9)</f>
        <v>37.470300000000002</v>
      </c>
      <c r="R654" s="14">
        <f>CHOOSE(CONTROL!$C$42, 38.151, 38.151) * CHOOSE(CONTROL!$C$21, $C$9, 100%, $E$9)</f>
        <v>38.151000000000003</v>
      </c>
      <c r="S654" s="14">
        <f>CHOOSE(CONTROL!$C$42, 35.9378, 35.9378) * CHOOSE(CONTROL!$C$21, $C$9, 100%, $E$9)</f>
        <v>35.937800000000003</v>
      </c>
      <c r="T65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54" s="57">
        <f>(1000*CHOOSE(CONTROL!$C$42, 695, 695)*CHOOSE(CONTROL!$C$42, 0.5599, 0.5599)*CHOOSE(CONTROL!$C$42, 30, 30))/1000000</f>
        <v>11.673914999999997</v>
      </c>
      <c r="V654" s="57">
        <f>(1000*CHOOSE(CONTROL!$C$42, 500, 500)*CHOOSE(CONTROL!$C$42, 0.275, 0.275)*CHOOSE(CONTROL!$C$42, 30, 30))/1000000</f>
        <v>4.125</v>
      </c>
      <c r="W654" s="57">
        <f>(1000*CHOOSE(CONTROL!$C$42, 0.1146, 0.1146)*CHOOSE(CONTROL!$C$42, 121.5, 121.5)*CHOOSE(CONTROL!$C$42, 30, 30))/1000000</f>
        <v>0.417717</v>
      </c>
      <c r="X654" s="57">
        <f>(30*0.1790888*245000/1000000)+(30*0.2374*100000/1000000)</f>
        <v>2.0285026799999999</v>
      </c>
      <c r="Y654" s="57"/>
      <c r="Z654" s="14"/>
      <c r="AA654" s="56"/>
      <c r="AB654" s="50">
        <f>(B654*194.205+C654*267.466+D654*133.845+E654*53.484+F654*40+G654*185+H654*0+I654*100+J654*300)/(194.205+267.466+133.845+53.484+0+40+185+100+300)</f>
        <v>37.039796109340664</v>
      </c>
      <c r="AC654" s="45">
        <f>(M654*'RAP TEMPLATE-GAS AVAILABILITY'!O653+N654*'RAP TEMPLATE-GAS AVAILABILITY'!P653+O654*'RAP TEMPLATE-GAS AVAILABILITY'!Q653+P654*'RAP TEMPLATE-GAS AVAILABILITY'!R653)/('RAP TEMPLATE-GAS AVAILABILITY'!O653+'RAP TEMPLATE-GAS AVAILABILITY'!P653+'RAP TEMPLATE-GAS AVAILABILITY'!Q653+'RAP TEMPLATE-GAS AVAILABILITY'!R653)</f>
        <v>36.746392805755399</v>
      </c>
    </row>
    <row r="655" spans="1:29" ht="15.75" x14ac:dyDescent="0.25">
      <c r="A655" s="32">
        <v>60844</v>
      </c>
      <c r="B655" s="14">
        <f>CHOOSE(CONTROL!$C$42, 36.3017, 36.3017) * CHOOSE(CONTROL!$C$21, $C$9, 100%, $E$9)</f>
        <v>36.301699999999997</v>
      </c>
      <c r="C655" s="14">
        <f>CHOOSE(CONTROL!$C$42, 36.3096, 36.3096) * CHOOSE(CONTROL!$C$21, $C$9, 100%, $E$9)</f>
        <v>36.309600000000003</v>
      </c>
      <c r="D655" s="14">
        <f>CHOOSE(CONTROL!$C$42, 36.5072, 36.5072) * CHOOSE(CONTROL!$C$21, $C$9, 100%, $E$9)</f>
        <v>36.507199999999997</v>
      </c>
      <c r="E655" s="14">
        <f>CHOOSE(CONTROL!$C$42, 36.5384, 36.5384) * CHOOSE(CONTROL!$C$21, $C$9, 100%, $E$9)</f>
        <v>36.538400000000003</v>
      </c>
      <c r="F655" s="14">
        <f>CHOOSE(CONTROL!$C$42, 36.286, 36.286)*CHOOSE(CONTROL!$C$21, $C$9, 100%, $E$9)</f>
        <v>36.286000000000001</v>
      </c>
      <c r="G655" s="14">
        <f>CHOOSE(CONTROL!$C$42, 36.3023, 36.3023)*CHOOSE(CONTROL!$C$21, $C$9, 100%, $E$9)</f>
        <v>36.302300000000002</v>
      </c>
      <c r="H655" s="14">
        <f>CHOOSE(CONTROL!$C$42, 36.527, 36.527) * CHOOSE(CONTROL!$C$21, $C$9, 100%, $E$9)</f>
        <v>36.527000000000001</v>
      </c>
      <c r="I655" s="14">
        <f>CHOOSE(CONTROL!$C$42, 36.3131, 36.3131)* CHOOSE(CONTROL!$C$21, $C$9, 100%, $E$9)</f>
        <v>36.313099999999999</v>
      </c>
      <c r="J655" s="14">
        <f>CHOOSE(CONTROL!$C$42, 36.279, 36.279)* CHOOSE(CONTROL!$C$21, $C$9, 100%, $E$9)</f>
        <v>36.279000000000003</v>
      </c>
      <c r="K655" s="53">
        <f>CHOOSE(CONTROL!$C$42, 36.3092, 36.3092) * CHOOSE(CONTROL!$C$21, $C$9, 100%, $E$9)</f>
        <v>36.309199999999997</v>
      </c>
      <c r="L655" s="14">
        <f>CHOOSE(CONTROL!$C$42, 37.114, 37.114) * CHOOSE(CONTROL!$C$21, $C$9, 100%, $E$9)</f>
        <v>37.113999999999997</v>
      </c>
      <c r="M655" s="14">
        <f>CHOOSE(CONTROL!$C$42, 35.9267, 35.9267) * CHOOSE(CONTROL!$C$21, $C$9, 100%, $E$9)</f>
        <v>35.926699999999997</v>
      </c>
      <c r="N655" s="14">
        <f>CHOOSE(CONTROL!$C$42, 35.9428, 35.9428) * CHOOSE(CONTROL!$C$21, $C$9, 100%, $E$9)</f>
        <v>35.942799999999998</v>
      </c>
      <c r="O655" s="14">
        <f>CHOOSE(CONTROL!$C$42, 36.1722, 36.1722) * CHOOSE(CONTROL!$C$21, $C$9, 100%, $E$9)</f>
        <v>36.172199999999997</v>
      </c>
      <c r="P655" s="14">
        <f>CHOOSE(CONTROL!$C$42, 35.9605, 35.9605) * CHOOSE(CONTROL!$C$21, $C$9, 100%, $E$9)</f>
        <v>35.960500000000003</v>
      </c>
      <c r="Q655" s="14">
        <f>CHOOSE(CONTROL!$C$42, 36.7675, 36.7675) * CHOOSE(CONTROL!$C$21, $C$9, 100%, $E$9)</f>
        <v>36.767499999999998</v>
      </c>
      <c r="R655" s="14">
        <f>CHOOSE(CONTROL!$C$42, 37.4464, 37.4464) * CHOOSE(CONTROL!$C$21, $C$9, 100%, $E$9)</f>
        <v>37.446399999999997</v>
      </c>
      <c r="S655" s="14">
        <f>CHOOSE(CONTROL!$C$42, 35.2484, 35.2484) * CHOOSE(CONTROL!$C$21, $C$9, 100%, $E$9)</f>
        <v>35.248399999999997</v>
      </c>
      <c r="T65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55" s="57">
        <f>(1000*CHOOSE(CONTROL!$C$42, 695, 695)*CHOOSE(CONTROL!$C$42, 0.5599, 0.5599)*CHOOSE(CONTROL!$C$42, 31, 31))/1000000</f>
        <v>12.063045499999998</v>
      </c>
      <c r="V655" s="57">
        <f>(1000*CHOOSE(CONTROL!$C$42, 500, 500)*CHOOSE(CONTROL!$C$42, 0.275, 0.275)*CHOOSE(CONTROL!$C$42, 31, 31))/1000000</f>
        <v>4.2625000000000002</v>
      </c>
      <c r="W655" s="57">
        <f>(1000*CHOOSE(CONTROL!$C$42, 0.1146, 0.1146)*CHOOSE(CONTROL!$C$42, 121.5, 121.5)*CHOOSE(CONTROL!$C$42, 31, 31))/1000000</f>
        <v>0.43164089999999994</v>
      </c>
      <c r="X655" s="57">
        <f>(31*0.1790888*245000/1000000)+(31*0.2374*100000/1000000)</f>
        <v>2.0961194359999999</v>
      </c>
      <c r="Y655" s="57"/>
      <c r="Z655" s="14"/>
      <c r="AA655" s="56"/>
      <c r="AB655" s="50">
        <f>(B655*194.205+C655*267.466+D655*133.845+E655*53.484+F655*40+G655*185+H655*0+I655*100+J655*300)/(194.205+267.466+133.845+53.484+0+40+185+100+300)</f>
        <v>36.330028721899531</v>
      </c>
      <c r="AC655" s="45">
        <f>(M655*'RAP TEMPLATE-GAS AVAILABILITY'!O654+N655*'RAP TEMPLATE-GAS AVAILABILITY'!P654+O655*'RAP TEMPLATE-GAS AVAILABILITY'!Q654+P655*'RAP TEMPLATE-GAS AVAILABILITY'!R654)/('RAP TEMPLATE-GAS AVAILABILITY'!O654+'RAP TEMPLATE-GAS AVAILABILITY'!P654+'RAP TEMPLATE-GAS AVAILABILITY'!Q654+'RAP TEMPLATE-GAS AVAILABILITY'!R654)</f>
        <v>36.043759712230212</v>
      </c>
    </row>
    <row r="656" spans="1:29" ht="15.75" x14ac:dyDescent="0.25">
      <c r="A656" s="32">
        <v>60875</v>
      </c>
      <c r="B656" s="14">
        <f>CHOOSE(CONTROL!$C$42, 34.5089, 34.5089) * CHOOSE(CONTROL!$C$21, $C$9, 100%, $E$9)</f>
        <v>34.508899999999997</v>
      </c>
      <c r="C656" s="14">
        <f>CHOOSE(CONTROL!$C$42, 34.5168, 34.5168) * CHOOSE(CONTROL!$C$21, $C$9, 100%, $E$9)</f>
        <v>34.516800000000003</v>
      </c>
      <c r="D656" s="14">
        <f>CHOOSE(CONTROL!$C$42, 34.7144, 34.7144) * CHOOSE(CONTROL!$C$21, $C$9, 100%, $E$9)</f>
        <v>34.714399999999998</v>
      </c>
      <c r="E656" s="14">
        <f>CHOOSE(CONTROL!$C$42, 34.7455, 34.7455) * CHOOSE(CONTROL!$C$21, $C$9, 100%, $E$9)</f>
        <v>34.7455</v>
      </c>
      <c r="F656" s="14">
        <f>CHOOSE(CONTROL!$C$42, 34.4933, 34.4933)*CHOOSE(CONTROL!$C$21, $C$9, 100%, $E$9)</f>
        <v>34.493299999999998</v>
      </c>
      <c r="G656" s="14">
        <f>CHOOSE(CONTROL!$C$42, 34.5097, 34.5097)*CHOOSE(CONTROL!$C$21, $C$9, 100%, $E$9)</f>
        <v>34.509700000000002</v>
      </c>
      <c r="H656" s="14">
        <f>CHOOSE(CONTROL!$C$42, 34.7341, 34.7341) * CHOOSE(CONTROL!$C$21, $C$9, 100%, $E$9)</f>
        <v>34.734099999999998</v>
      </c>
      <c r="I656" s="14">
        <f>CHOOSE(CONTROL!$C$42, 34.5202, 34.5202)* CHOOSE(CONTROL!$C$21, $C$9, 100%, $E$9)</f>
        <v>34.520200000000003</v>
      </c>
      <c r="J656" s="14">
        <f>CHOOSE(CONTROL!$C$42, 34.4863, 34.4863)* CHOOSE(CONTROL!$C$21, $C$9, 100%, $E$9)</f>
        <v>34.4863</v>
      </c>
      <c r="K656" s="53">
        <f>CHOOSE(CONTROL!$C$42, 34.5163, 34.5163) * CHOOSE(CONTROL!$C$21, $C$9, 100%, $E$9)</f>
        <v>34.516300000000001</v>
      </c>
      <c r="L656" s="14">
        <f>CHOOSE(CONTROL!$C$42, 35.3211, 35.3211) * CHOOSE(CONTROL!$C$21, $C$9, 100%, $E$9)</f>
        <v>35.321100000000001</v>
      </c>
      <c r="M656" s="14">
        <f>CHOOSE(CONTROL!$C$42, 34.1521, 34.1521) * CHOOSE(CONTROL!$C$21, $C$9, 100%, $E$9)</f>
        <v>34.152099999999997</v>
      </c>
      <c r="N656" s="14">
        <f>CHOOSE(CONTROL!$C$42, 34.1683, 34.1683) * CHOOSE(CONTROL!$C$21, $C$9, 100%, $E$9)</f>
        <v>34.168300000000002</v>
      </c>
      <c r="O656" s="14">
        <f>CHOOSE(CONTROL!$C$42, 34.3974, 34.3974) * CHOOSE(CONTROL!$C$21, $C$9, 100%, $E$9)</f>
        <v>34.397399999999998</v>
      </c>
      <c r="P656" s="14">
        <f>CHOOSE(CONTROL!$C$42, 34.1857, 34.1857) * CHOOSE(CONTROL!$C$21, $C$9, 100%, $E$9)</f>
        <v>34.185699999999997</v>
      </c>
      <c r="Q656" s="14">
        <f>CHOOSE(CONTROL!$C$42, 34.9927, 34.9927) * CHOOSE(CONTROL!$C$21, $C$9, 100%, $E$9)</f>
        <v>34.992699999999999</v>
      </c>
      <c r="R656" s="14">
        <f>CHOOSE(CONTROL!$C$42, 35.6672, 35.6672) * CHOOSE(CONTROL!$C$21, $C$9, 100%, $E$9)</f>
        <v>35.667200000000001</v>
      </c>
      <c r="S656" s="14">
        <f>CHOOSE(CONTROL!$C$42, 33.5073, 33.5073) * CHOOSE(CONTROL!$C$21, $C$9, 100%, $E$9)</f>
        <v>33.507300000000001</v>
      </c>
      <c r="T65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56" s="57">
        <f>(1000*CHOOSE(CONTROL!$C$42, 695, 695)*CHOOSE(CONTROL!$C$42, 0.5599, 0.5599)*CHOOSE(CONTROL!$C$42, 31, 31))/1000000</f>
        <v>12.063045499999998</v>
      </c>
      <c r="V656" s="57">
        <f>(1000*CHOOSE(CONTROL!$C$42, 500, 500)*CHOOSE(CONTROL!$C$42, 0.275, 0.275)*CHOOSE(CONTROL!$C$42, 31, 31))/1000000</f>
        <v>4.2625000000000002</v>
      </c>
      <c r="W656" s="57">
        <f>(1000*CHOOSE(CONTROL!$C$42, 0.1146, 0.1146)*CHOOSE(CONTROL!$C$42, 121.5, 121.5)*CHOOSE(CONTROL!$C$42, 31, 31))/1000000</f>
        <v>0.43164089999999994</v>
      </c>
      <c r="X656" s="57">
        <f>(31*0.1790888*245000/1000000)+(31*0.2374*100000/1000000)</f>
        <v>2.0961194359999999</v>
      </c>
      <c r="Y656" s="57"/>
      <c r="Z656" s="14"/>
      <c r="AA656" s="56"/>
      <c r="AB656" s="50">
        <f>(B656*194.205+C656*267.466+D656*133.845+E656*53.484+F656*40+G656*185+H656*0+I656*100+J656*300)/(194.205+267.466+133.845+53.484+0+40+185+100+300)</f>
        <v>34.537272404474102</v>
      </c>
      <c r="AC656" s="45">
        <f>(M656*'RAP TEMPLATE-GAS AVAILABILITY'!O655+N656*'RAP TEMPLATE-GAS AVAILABILITY'!P655+O656*'RAP TEMPLATE-GAS AVAILABILITY'!Q655+P656*'RAP TEMPLATE-GAS AVAILABILITY'!R655)/('RAP TEMPLATE-GAS AVAILABILITY'!O655+'RAP TEMPLATE-GAS AVAILABILITY'!P655+'RAP TEMPLATE-GAS AVAILABILITY'!Q655+'RAP TEMPLATE-GAS AVAILABILITY'!R655)</f>
        <v>34.269046043165467</v>
      </c>
    </row>
    <row r="657" spans="1:29" ht="15.75" x14ac:dyDescent="0.25">
      <c r="A657" s="32">
        <v>60905</v>
      </c>
      <c r="B657" s="14">
        <f>CHOOSE(CONTROL!$C$42, 32.3179, 32.3179) * CHOOSE(CONTROL!$C$21, $C$9, 100%, $E$9)</f>
        <v>32.317900000000002</v>
      </c>
      <c r="C657" s="14">
        <f>CHOOSE(CONTROL!$C$42, 32.3258, 32.3258) * CHOOSE(CONTROL!$C$21, $C$9, 100%, $E$9)</f>
        <v>32.325800000000001</v>
      </c>
      <c r="D657" s="14">
        <f>CHOOSE(CONTROL!$C$42, 32.5234, 32.5234) * CHOOSE(CONTROL!$C$21, $C$9, 100%, $E$9)</f>
        <v>32.523400000000002</v>
      </c>
      <c r="E657" s="14">
        <f>CHOOSE(CONTROL!$C$42, 32.5546, 32.5546) * CHOOSE(CONTROL!$C$21, $C$9, 100%, $E$9)</f>
        <v>32.554600000000001</v>
      </c>
      <c r="F657" s="14">
        <f>CHOOSE(CONTROL!$C$42, 32.3023, 32.3023)*CHOOSE(CONTROL!$C$21, $C$9, 100%, $E$9)</f>
        <v>32.302300000000002</v>
      </c>
      <c r="G657" s="14">
        <f>CHOOSE(CONTROL!$C$42, 32.3186, 32.3186)*CHOOSE(CONTROL!$C$21, $C$9, 100%, $E$9)</f>
        <v>32.318600000000004</v>
      </c>
      <c r="H657" s="14">
        <f>CHOOSE(CONTROL!$C$42, 32.5432, 32.5432) * CHOOSE(CONTROL!$C$21, $C$9, 100%, $E$9)</f>
        <v>32.543199999999999</v>
      </c>
      <c r="I657" s="14">
        <f>CHOOSE(CONTROL!$C$42, 32.3293, 32.3293)* CHOOSE(CONTROL!$C$21, $C$9, 100%, $E$9)</f>
        <v>32.329300000000003</v>
      </c>
      <c r="J657" s="14">
        <f>CHOOSE(CONTROL!$C$42, 32.2953, 32.2953)* CHOOSE(CONTROL!$C$21, $C$9, 100%, $E$9)</f>
        <v>32.295299999999997</v>
      </c>
      <c r="K657" s="53">
        <f>CHOOSE(CONTROL!$C$42, 32.3254, 32.3254) * CHOOSE(CONTROL!$C$21, $C$9, 100%, $E$9)</f>
        <v>32.325400000000002</v>
      </c>
      <c r="L657" s="14">
        <f>CHOOSE(CONTROL!$C$42, 33.1302, 33.1302) * CHOOSE(CONTROL!$C$21, $C$9, 100%, $E$9)</f>
        <v>33.130200000000002</v>
      </c>
      <c r="M657" s="14">
        <f>CHOOSE(CONTROL!$C$42, 31.9832, 31.9832) * CHOOSE(CONTROL!$C$21, $C$9, 100%, $E$9)</f>
        <v>31.9832</v>
      </c>
      <c r="N657" s="14">
        <f>CHOOSE(CONTROL!$C$42, 31.9994, 31.9994) * CHOOSE(CONTROL!$C$21, $C$9, 100%, $E$9)</f>
        <v>31.999400000000001</v>
      </c>
      <c r="O657" s="14">
        <f>CHOOSE(CONTROL!$C$42, 32.2286, 32.2286) * CHOOSE(CONTROL!$C$21, $C$9, 100%, $E$9)</f>
        <v>32.2286</v>
      </c>
      <c r="P657" s="14">
        <f>CHOOSE(CONTROL!$C$42, 32.0169, 32.0169) * CHOOSE(CONTROL!$C$21, $C$9, 100%, $E$9)</f>
        <v>32.0169</v>
      </c>
      <c r="Q657" s="14">
        <f>CHOOSE(CONTROL!$C$42, 32.8239, 32.8239) * CHOOSE(CONTROL!$C$21, $C$9, 100%, $E$9)</f>
        <v>32.823900000000002</v>
      </c>
      <c r="R657" s="14">
        <f>CHOOSE(CONTROL!$C$42, 33.493, 33.493) * CHOOSE(CONTROL!$C$21, $C$9, 100%, $E$9)</f>
        <v>33.493000000000002</v>
      </c>
      <c r="S657" s="14">
        <f>CHOOSE(CONTROL!$C$42, 31.3797, 31.3797) * CHOOSE(CONTROL!$C$21, $C$9, 100%, $E$9)</f>
        <v>31.3797</v>
      </c>
      <c r="T65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57" s="57">
        <f>(1000*CHOOSE(CONTROL!$C$42, 695, 695)*CHOOSE(CONTROL!$C$42, 0.5599, 0.5599)*CHOOSE(CONTROL!$C$42, 30, 30))/1000000</f>
        <v>11.673914999999997</v>
      </c>
      <c r="V657" s="57">
        <f>(1000*CHOOSE(CONTROL!$C$42, 500, 500)*CHOOSE(CONTROL!$C$42, 0.275, 0.275)*CHOOSE(CONTROL!$C$42, 30, 30))/1000000</f>
        <v>4.125</v>
      </c>
      <c r="W657" s="57">
        <f>(1000*CHOOSE(CONTROL!$C$42, 0.1146, 0.1146)*CHOOSE(CONTROL!$C$42, 121.5, 121.5)*CHOOSE(CONTROL!$C$42, 30, 30))/1000000</f>
        <v>0.417717</v>
      </c>
      <c r="X657" s="57">
        <f>(30*0.1790888*245000/1000000)+(30*0.2374*100000/1000000)</f>
        <v>2.0285026799999999</v>
      </c>
      <c r="Y657" s="57"/>
      <c r="Z657" s="14"/>
      <c r="AA657" s="56"/>
      <c r="AB657" s="50">
        <f>(B657*194.205+C657*267.466+D657*133.845+E657*53.484+F657*40+G657*185+H657*0+I657*100+J657*300)/(194.205+267.466+133.845+53.484+0+40+185+100+300)</f>
        <v>32.346269930690745</v>
      </c>
      <c r="AC657" s="45">
        <f>(M657*'RAP TEMPLATE-GAS AVAILABILITY'!O656+N657*'RAP TEMPLATE-GAS AVAILABILITY'!P656+O657*'RAP TEMPLATE-GAS AVAILABILITY'!Q656+P657*'RAP TEMPLATE-GAS AVAILABILITY'!R656)/('RAP TEMPLATE-GAS AVAILABILITY'!O656+'RAP TEMPLATE-GAS AVAILABILITY'!P656+'RAP TEMPLATE-GAS AVAILABILITY'!Q656+'RAP TEMPLATE-GAS AVAILABILITY'!R656)</f>
        <v>32.100205755395685</v>
      </c>
    </row>
    <row r="658" spans="1:29" ht="15.75" x14ac:dyDescent="0.25">
      <c r="A658" s="32">
        <v>60936</v>
      </c>
      <c r="B658" s="14">
        <f>CHOOSE(CONTROL!$C$42, 31.6601, 31.6601) * CHOOSE(CONTROL!$C$21, $C$9, 100%, $E$9)</f>
        <v>31.6601</v>
      </c>
      <c r="C658" s="14">
        <f>CHOOSE(CONTROL!$C$42, 31.6653, 31.6653) * CHOOSE(CONTROL!$C$21, $C$9, 100%, $E$9)</f>
        <v>31.665299999999998</v>
      </c>
      <c r="D658" s="14">
        <f>CHOOSE(CONTROL!$C$42, 31.8679, 31.8679) * CHOOSE(CONTROL!$C$21, $C$9, 100%, $E$9)</f>
        <v>31.867899999999999</v>
      </c>
      <c r="E658" s="14">
        <f>CHOOSE(CONTROL!$C$42, 31.8966, 31.8966) * CHOOSE(CONTROL!$C$21, $C$9, 100%, $E$9)</f>
        <v>31.896599999999999</v>
      </c>
      <c r="F658" s="14">
        <f>CHOOSE(CONTROL!$C$42, 31.6465, 31.6465)*CHOOSE(CONTROL!$C$21, $C$9, 100%, $E$9)</f>
        <v>31.6465</v>
      </c>
      <c r="G658" s="14">
        <f>CHOOSE(CONTROL!$C$42, 31.6625, 31.6625)*CHOOSE(CONTROL!$C$21, $C$9, 100%, $E$9)</f>
        <v>31.662500000000001</v>
      </c>
      <c r="H658" s="14">
        <f>CHOOSE(CONTROL!$C$42, 31.8871, 31.8871) * CHOOSE(CONTROL!$C$21, $C$9, 100%, $E$9)</f>
        <v>31.8871</v>
      </c>
      <c r="I658" s="14">
        <f>CHOOSE(CONTROL!$C$42, 31.6732, 31.6732)* CHOOSE(CONTROL!$C$21, $C$9, 100%, $E$9)</f>
        <v>31.673200000000001</v>
      </c>
      <c r="J658" s="14">
        <f>CHOOSE(CONTROL!$C$42, 31.6395, 31.6395)* CHOOSE(CONTROL!$C$21, $C$9, 100%, $E$9)</f>
        <v>31.639500000000002</v>
      </c>
      <c r="K658" s="53">
        <f>CHOOSE(CONTROL!$C$42, 31.6693, 31.6693) * CHOOSE(CONTROL!$C$21, $C$9, 100%, $E$9)</f>
        <v>31.6693</v>
      </c>
      <c r="L658" s="14">
        <f>CHOOSE(CONTROL!$C$42, 32.4741, 32.4741) * CHOOSE(CONTROL!$C$21, $C$9, 100%, $E$9)</f>
        <v>32.4741</v>
      </c>
      <c r="M658" s="14">
        <f>CHOOSE(CONTROL!$C$42, 31.334, 31.334) * CHOOSE(CONTROL!$C$21, $C$9, 100%, $E$9)</f>
        <v>31.334</v>
      </c>
      <c r="N658" s="14">
        <f>CHOOSE(CONTROL!$C$42, 31.3498, 31.3498) * CHOOSE(CONTROL!$C$21, $C$9, 100%, $E$9)</f>
        <v>31.349799999999998</v>
      </c>
      <c r="O658" s="14">
        <f>CHOOSE(CONTROL!$C$42, 31.5791, 31.5791) * CHOOSE(CONTROL!$C$21, $C$9, 100%, $E$9)</f>
        <v>31.5791</v>
      </c>
      <c r="P658" s="14">
        <f>CHOOSE(CONTROL!$C$42, 31.3674, 31.3674) * CHOOSE(CONTROL!$C$21, $C$9, 100%, $E$9)</f>
        <v>31.3674</v>
      </c>
      <c r="Q658" s="14">
        <f>CHOOSE(CONTROL!$C$42, 32.1744, 32.1744) * CHOOSE(CONTROL!$C$21, $C$9, 100%, $E$9)</f>
        <v>32.174399999999999</v>
      </c>
      <c r="R658" s="14">
        <f>CHOOSE(CONTROL!$C$42, 32.8419, 32.8419) * CHOOSE(CONTROL!$C$21, $C$9, 100%, $E$9)</f>
        <v>32.841900000000003</v>
      </c>
      <c r="S658" s="14">
        <f>CHOOSE(CONTROL!$C$42, 30.7426, 30.7426) * CHOOSE(CONTROL!$C$21, $C$9, 100%, $E$9)</f>
        <v>30.742599999999999</v>
      </c>
      <c r="T65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58" s="57">
        <f>(1000*CHOOSE(CONTROL!$C$42, 695, 695)*CHOOSE(CONTROL!$C$42, 0.5599, 0.5599)*CHOOSE(CONTROL!$C$42, 31, 31))/1000000</f>
        <v>12.063045499999998</v>
      </c>
      <c r="V658" s="57">
        <f>(1000*CHOOSE(CONTROL!$C$42, 500, 500)*CHOOSE(CONTROL!$C$42, 0.275, 0.275)*CHOOSE(CONTROL!$C$42, 31, 31))/1000000</f>
        <v>4.2625000000000002</v>
      </c>
      <c r="W658" s="57">
        <f>(1000*CHOOSE(CONTROL!$C$42, 0.1146, 0.1146)*CHOOSE(CONTROL!$C$42, 121.5, 121.5)*CHOOSE(CONTROL!$C$42, 31, 31))/1000000</f>
        <v>0.43164089999999994</v>
      </c>
      <c r="X658" s="57">
        <f>(31*0.1790888*245000/1000000)+(31*0.2374*100000/1000000)</f>
        <v>2.0961194359999999</v>
      </c>
      <c r="Y658" s="57"/>
      <c r="Z658" s="14"/>
      <c r="AA658" s="56"/>
      <c r="AB658" s="50">
        <f>(B658*131.881+C658*277.167+D658*79.08+E658*125.872+F658*40+G658*185+H658*0+I658*100+J658*300)/(131.881+277.167+79.08+125.872+0+40+185+100+300)</f>
        <v>31.694541340112995</v>
      </c>
      <c r="AC658" s="45">
        <f>(M658*'RAP TEMPLATE-GAS AVAILABILITY'!O657+N658*'RAP TEMPLATE-GAS AVAILABILITY'!P657+O658*'RAP TEMPLATE-GAS AVAILABILITY'!Q657+P658*'RAP TEMPLATE-GAS AVAILABILITY'!R657)/('RAP TEMPLATE-GAS AVAILABILITY'!O657+'RAP TEMPLATE-GAS AVAILABILITY'!P657+'RAP TEMPLATE-GAS AVAILABILITY'!Q657+'RAP TEMPLATE-GAS AVAILABILITY'!R657)</f>
        <v>31.450803597122302</v>
      </c>
    </row>
    <row r="659" spans="1:29" ht="15.75" x14ac:dyDescent="0.25">
      <c r="A659" s="32">
        <v>60966</v>
      </c>
      <c r="B659" s="14">
        <f>CHOOSE(CONTROL!$C$42, 32.4937, 32.4937) * CHOOSE(CONTROL!$C$21, $C$9, 100%, $E$9)</f>
        <v>32.493699999999997</v>
      </c>
      <c r="C659" s="14">
        <f>CHOOSE(CONTROL!$C$42, 32.4986, 32.4986) * CHOOSE(CONTROL!$C$21, $C$9, 100%, $E$9)</f>
        <v>32.498600000000003</v>
      </c>
      <c r="D659" s="14">
        <f>CHOOSE(CONTROL!$C$42, 32.5617, 32.5617) * CHOOSE(CONTROL!$C$21, $C$9, 100%, $E$9)</f>
        <v>32.561700000000002</v>
      </c>
      <c r="E659" s="14">
        <f>CHOOSE(CONTROL!$C$42, 32.5955, 32.5955) * CHOOSE(CONTROL!$C$21, $C$9, 100%, $E$9)</f>
        <v>32.595500000000001</v>
      </c>
      <c r="F659" s="14">
        <f>CHOOSE(CONTROL!$C$42, 32.4944, 32.4944)*CHOOSE(CONTROL!$C$21, $C$9, 100%, $E$9)</f>
        <v>32.494399999999999</v>
      </c>
      <c r="G659" s="14">
        <f>CHOOSE(CONTROL!$C$42, 32.5106, 32.5106)*CHOOSE(CONTROL!$C$21, $C$9, 100%, $E$9)</f>
        <v>32.510599999999997</v>
      </c>
      <c r="H659" s="14">
        <f>CHOOSE(CONTROL!$C$42, 32.5847, 32.5847) * CHOOSE(CONTROL!$C$21, $C$9, 100%, $E$9)</f>
        <v>32.584699999999998</v>
      </c>
      <c r="I659" s="14">
        <f>CHOOSE(CONTROL!$C$42, 32.5072, 32.5072)* CHOOSE(CONTROL!$C$21, $C$9, 100%, $E$9)</f>
        <v>32.507199999999997</v>
      </c>
      <c r="J659" s="14">
        <f>CHOOSE(CONTROL!$C$42, 32.4874, 32.4874)* CHOOSE(CONTROL!$C$21, $C$9, 100%, $E$9)</f>
        <v>32.487400000000001</v>
      </c>
      <c r="K659" s="53">
        <f>CHOOSE(CONTROL!$C$42, 32.5033, 32.5033) * CHOOSE(CONTROL!$C$21, $C$9, 100%, $E$9)</f>
        <v>32.503300000000003</v>
      </c>
      <c r="L659" s="14">
        <f>CHOOSE(CONTROL!$C$42, 33.1717, 33.1717) * CHOOSE(CONTROL!$C$21, $C$9, 100%, $E$9)</f>
        <v>33.171700000000001</v>
      </c>
      <c r="M659" s="14">
        <f>CHOOSE(CONTROL!$C$42, 32.1733, 32.1733) * CHOOSE(CONTROL!$C$21, $C$9, 100%, $E$9)</f>
        <v>32.173299999999998</v>
      </c>
      <c r="N659" s="14">
        <f>CHOOSE(CONTROL!$C$42, 32.1895, 32.1895) * CHOOSE(CONTROL!$C$21, $C$9, 100%, $E$9)</f>
        <v>32.189500000000002</v>
      </c>
      <c r="O659" s="14">
        <f>CHOOSE(CONTROL!$C$42, 32.2697, 32.2697) * CHOOSE(CONTROL!$C$21, $C$9, 100%, $E$9)</f>
        <v>32.2697</v>
      </c>
      <c r="P659" s="14">
        <f>CHOOSE(CONTROL!$C$42, 32.193, 32.193) * CHOOSE(CONTROL!$C$21, $C$9, 100%, $E$9)</f>
        <v>32.192999999999998</v>
      </c>
      <c r="Q659" s="14">
        <f>CHOOSE(CONTROL!$C$42, 32.865, 32.865) * CHOOSE(CONTROL!$C$21, $C$9, 100%, $E$9)</f>
        <v>32.865000000000002</v>
      </c>
      <c r="R659" s="14">
        <f>CHOOSE(CONTROL!$C$42, 33.5341, 33.5341) * CHOOSE(CONTROL!$C$21, $C$9, 100%, $E$9)</f>
        <v>33.534100000000002</v>
      </c>
      <c r="S659" s="14">
        <f>CHOOSE(CONTROL!$C$42, 31.5525, 31.5525) * CHOOSE(CONTROL!$C$21, $C$9, 100%, $E$9)</f>
        <v>31.552499999999998</v>
      </c>
      <c r="T65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59" s="57">
        <f>(1000*CHOOSE(CONTROL!$C$42, 695, 695)*CHOOSE(CONTROL!$C$42, 0.5599, 0.5599)*CHOOSE(CONTROL!$C$42, 30, 30))/1000000</f>
        <v>11.673914999999997</v>
      </c>
      <c r="V659" s="57">
        <f>(1000*CHOOSE(CONTROL!$C$42, 500, 500)*CHOOSE(CONTROL!$C$42, 0.275, 0.275)*CHOOSE(CONTROL!$C$42, 30, 30))/1000000</f>
        <v>4.125</v>
      </c>
      <c r="W659" s="57">
        <f>(1000*CHOOSE(CONTROL!$C$42, 0.1146, 0.1146)*CHOOSE(CONTROL!$C$42, 121.5, 121.5)*CHOOSE(CONTROL!$C$42, 30, 30))/1000000</f>
        <v>0.417717</v>
      </c>
      <c r="X659" s="57">
        <f>(30*0.1790888*100000/1000000)+(30*0.2374*100000/1000000)</f>
        <v>1.2494664</v>
      </c>
      <c r="Y659" s="57"/>
      <c r="Z659" s="14"/>
      <c r="AA659" s="56"/>
      <c r="AB659" s="50">
        <f>(B659*122.58+C659*297.941+D659*89.177+E659*40.302+F659*40+G659*160+H659*0+I659*100+J659*300)/(122.58+297.941+89.177+40.302+0+40+160+100+300)</f>
        <v>32.5057162526087</v>
      </c>
      <c r="AC659" s="45">
        <f>(M659*'RAP TEMPLATE-GAS AVAILABILITY'!O658+N659*'RAP TEMPLATE-GAS AVAILABILITY'!P658+O659*'RAP TEMPLATE-GAS AVAILABILITY'!Q658+P659*'RAP TEMPLATE-GAS AVAILABILITY'!R658)/('RAP TEMPLATE-GAS AVAILABILITY'!O658+'RAP TEMPLATE-GAS AVAILABILITY'!P658+'RAP TEMPLATE-GAS AVAILABILITY'!Q658+'RAP TEMPLATE-GAS AVAILABILITY'!R658)</f>
        <v>32.220758992805756</v>
      </c>
    </row>
    <row r="660" spans="1:29" ht="15.75" x14ac:dyDescent="0.25">
      <c r="A660" s="32">
        <v>60997</v>
      </c>
      <c r="B660" s="14">
        <f>CHOOSE(CONTROL!$C$42, 34.7089, 34.7089) * CHOOSE(CONTROL!$C$21, $C$9, 100%, $E$9)</f>
        <v>34.7089</v>
      </c>
      <c r="C660" s="14">
        <f>CHOOSE(CONTROL!$C$42, 34.7138, 34.7138) * CHOOSE(CONTROL!$C$21, $C$9, 100%, $E$9)</f>
        <v>34.713799999999999</v>
      </c>
      <c r="D660" s="14">
        <f>CHOOSE(CONTROL!$C$42, 34.7769, 34.7769) * CHOOSE(CONTROL!$C$21, $C$9, 100%, $E$9)</f>
        <v>34.776899999999998</v>
      </c>
      <c r="E660" s="14">
        <f>CHOOSE(CONTROL!$C$42, 34.8107, 34.8107) * CHOOSE(CONTROL!$C$21, $C$9, 100%, $E$9)</f>
        <v>34.810699999999997</v>
      </c>
      <c r="F660" s="14">
        <f>CHOOSE(CONTROL!$C$42, 34.7116, 34.7116)*CHOOSE(CONTROL!$C$21, $C$9, 100%, $E$9)</f>
        <v>34.711599999999997</v>
      </c>
      <c r="G660" s="14">
        <f>CHOOSE(CONTROL!$C$42, 34.7284, 34.7284)*CHOOSE(CONTROL!$C$21, $C$9, 100%, $E$9)</f>
        <v>34.728400000000001</v>
      </c>
      <c r="H660" s="14">
        <f>CHOOSE(CONTROL!$C$42, 34.7999, 34.7999) * CHOOSE(CONTROL!$C$21, $C$9, 100%, $E$9)</f>
        <v>34.799900000000001</v>
      </c>
      <c r="I660" s="14">
        <f>CHOOSE(CONTROL!$C$42, 34.7224, 34.7224)* CHOOSE(CONTROL!$C$21, $C$9, 100%, $E$9)</f>
        <v>34.7224</v>
      </c>
      <c r="J660" s="14">
        <f>CHOOSE(CONTROL!$C$42, 34.7046, 34.7046)* CHOOSE(CONTROL!$C$21, $C$9, 100%, $E$9)</f>
        <v>34.704599999999999</v>
      </c>
      <c r="K660" s="53">
        <f>CHOOSE(CONTROL!$C$42, 34.7185, 34.7185) * CHOOSE(CONTROL!$C$21, $C$9, 100%, $E$9)</f>
        <v>34.718499999999999</v>
      </c>
      <c r="L660" s="14">
        <f>CHOOSE(CONTROL!$C$42, 35.3869, 35.3869) * CHOOSE(CONTROL!$C$21, $C$9, 100%, $E$9)</f>
        <v>35.386899999999997</v>
      </c>
      <c r="M660" s="14">
        <f>CHOOSE(CONTROL!$C$42, 34.3682, 34.3682) * CHOOSE(CONTROL!$C$21, $C$9, 100%, $E$9)</f>
        <v>34.368200000000002</v>
      </c>
      <c r="N660" s="14">
        <f>CHOOSE(CONTROL!$C$42, 34.3848, 34.3848) * CHOOSE(CONTROL!$C$21, $C$9, 100%, $E$9)</f>
        <v>34.384799999999998</v>
      </c>
      <c r="O660" s="14">
        <f>CHOOSE(CONTROL!$C$42, 34.4625, 34.4625) * CHOOSE(CONTROL!$C$21, $C$9, 100%, $E$9)</f>
        <v>34.462499999999999</v>
      </c>
      <c r="P660" s="14">
        <f>CHOOSE(CONTROL!$C$42, 34.3859, 34.3859) * CHOOSE(CONTROL!$C$21, $C$9, 100%, $E$9)</f>
        <v>34.385899999999999</v>
      </c>
      <c r="Q660" s="14">
        <f>CHOOSE(CONTROL!$C$42, 35.0578, 35.0578) * CHOOSE(CONTROL!$C$21, $C$9, 100%, $E$9)</f>
        <v>35.0578</v>
      </c>
      <c r="R660" s="14">
        <f>CHOOSE(CONTROL!$C$42, 35.7324, 35.7324) * CHOOSE(CONTROL!$C$21, $C$9, 100%, $E$9)</f>
        <v>35.732399999999998</v>
      </c>
      <c r="S660" s="14">
        <f>CHOOSE(CONTROL!$C$42, 33.7036, 33.7036) * CHOOSE(CONTROL!$C$21, $C$9, 100%, $E$9)</f>
        <v>33.703600000000002</v>
      </c>
      <c r="T66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60" s="57">
        <f>(1000*CHOOSE(CONTROL!$C$42, 695, 695)*CHOOSE(CONTROL!$C$42, 0.5599, 0.5599)*CHOOSE(CONTROL!$C$42, 31, 31))/1000000</f>
        <v>12.063045499999998</v>
      </c>
      <c r="V660" s="57">
        <f>(1000*CHOOSE(CONTROL!$C$42, 500, 500)*CHOOSE(CONTROL!$C$42, 0.275, 0.275)*CHOOSE(CONTROL!$C$42, 31, 31))/1000000</f>
        <v>4.2625000000000002</v>
      </c>
      <c r="W660" s="57">
        <f>(1000*CHOOSE(CONTROL!$C$42, 0.1146, 0.1146)*CHOOSE(CONTROL!$C$42, 121.5, 121.5)*CHOOSE(CONTROL!$C$42, 31, 31))/1000000</f>
        <v>0.43164089999999994</v>
      </c>
      <c r="X660" s="57">
        <f>(31*0.1790888*100000/1000000)+(31*0.2374*100000/1000000)</f>
        <v>1.2911152800000001</v>
      </c>
      <c r="Y660" s="57"/>
      <c r="Z660" s="14"/>
      <c r="AA660" s="56"/>
      <c r="AB660" s="50">
        <f>(B660*122.58+C660*297.941+D660*89.177+E660*40.302+F660*40+G660*160+H660*0+I660*100+J660*300)/(122.58+297.941+89.177+40.302+0+40+160+100+300)</f>
        <v>34.721869296086957</v>
      </c>
      <c r="AC660" s="45">
        <f>(M660*'RAP TEMPLATE-GAS AVAILABILITY'!O659+N660*'RAP TEMPLATE-GAS AVAILABILITY'!P659+O660*'RAP TEMPLATE-GAS AVAILABILITY'!Q659+P660*'RAP TEMPLATE-GAS AVAILABILITY'!R659)/('RAP TEMPLATE-GAS AVAILABILITY'!O659+'RAP TEMPLATE-GAS AVAILABILITY'!P659+'RAP TEMPLATE-GAS AVAILABILITY'!Q659+'RAP TEMPLATE-GAS AVAILABILITY'!R659)</f>
        <v>34.414442446043168</v>
      </c>
    </row>
    <row r="661" spans="1:29" ht="15.75" x14ac:dyDescent="0.25">
      <c r="A661" s="32">
        <v>61028</v>
      </c>
      <c r="B661" s="14">
        <f>CHOOSE(CONTROL!$C$42, 37.5526, 37.5526) * CHOOSE(CONTROL!$C$21, $C$9, 100%, $E$9)</f>
        <v>37.552599999999998</v>
      </c>
      <c r="C661" s="14">
        <f>CHOOSE(CONTROL!$C$42, 37.5575, 37.5575) * CHOOSE(CONTROL!$C$21, $C$9, 100%, $E$9)</f>
        <v>37.557499999999997</v>
      </c>
      <c r="D661" s="14">
        <f>CHOOSE(CONTROL!$C$42, 37.6218, 37.6218) * CHOOSE(CONTROL!$C$21, $C$9, 100%, $E$9)</f>
        <v>37.6218</v>
      </c>
      <c r="E661" s="14">
        <f>CHOOSE(CONTROL!$C$42, 37.6556, 37.6556) * CHOOSE(CONTROL!$C$21, $C$9, 100%, $E$9)</f>
        <v>37.6556</v>
      </c>
      <c r="F661" s="14">
        <f>CHOOSE(CONTROL!$C$42, 37.5541, 37.5541)*CHOOSE(CONTROL!$C$21, $C$9, 100%, $E$9)</f>
        <v>37.554099999999998</v>
      </c>
      <c r="G661" s="14">
        <f>CHOOSE(CONTROL!$C$42, 37.57, 37.57)*CHOOSE(CONTROL!$C$21, $C$9, 100%, $E$9)</f>
        <v>37.57</v>
      </c>
      <c r="H661" s="14">
        <f>CHOOSE(CONTROL!$C$42, 37.6448, 37.6448) * CHOOSE(CONTROL!$C$21, $C$9, 100%, $E$9)</f>
        <v>37.644799999999996</v>
      </c>
      <c r="I661" s="14">
        <f>CHOOSE(CONTROL!$C$42, 37.5725, 37.5725)* CHOOSE(CONTROL!$C$21, $C$9, 100%, $E$9)</f>
        <v>37.572499999999998</v>
      </c>
      <c r="J661" s="14">
        <f>CHOOSE(CONTROL!$C$42, 37.5471, 37.5471)* CHOOSE(CONTROL!$C$21, $C$9, 100%, $E$9)</f>
        <v>37.5471</v>
      </c>
      <c r="K661" s="53">
        <f>CHOOSE(CONTROL!$C$42, 37.5686, 37.5686) * CHOOSE(CONTROL!$C$21, $C$9, 100%, $E$9)</f>
        <v>37.568600000000004</v>
      </c>
      <c r="L661" s="14">
        <f>CHOOSE(CONTROL!$C$42, 38.2318, 38.2318) * CHOOSE(CONTROL!$C$21, $C$9, 100%, $E$9)</f>
        <v>38.2318</v>
      </c>
      <c r="M661" s="14">
        <f>CHOOSE(CONTROL!$C$42, 37.182, 37.182) * CHOOSE(CONTROL!$C$21, $C$9, 100%, $E$9)</f>
        <v>37.182000000000002</v>
      </c>
      <c r="N661" s="14">
        <f>CHOOSE(CONTROL!$C$42, 37.1977, 37.1977) * CHOOSE(CONTROL!$C$21, $C$9, 100%, $E$9)</f>
        <v>37.197699999999998</v>
      </c>
      <c r="O661" s="14">
        <f>CHOOSE(CONTROL!$C$42, 37.2787, 37.2787) * CHOOSE(CONTROL!$C$21, $C$9, 100%, $E$9)</f>
        <v>37.278700000000001</v>
      </c>
      <c r="P661" s="14">
        <f>CHOOSE(CONTROL!$C$42, 37.2072, 37.2072) * CHOOSE(CONTROL!$C$21, $C$9, 100%, $E$9)</f>
        <v>37.2072</v>
      </c>
      <c r="Q661" s="14">
        <f>CHOOSE(CONTROL!$C$42, 37.874, 37.874) * CHOOSE(CONTROL!$C$21, $C$9, 100%, $E$9)</f>
        <v>37.874000000000002</v>
      </c>
      <c r="R661" s="14">
        <f>CHOOSE(CONTROL!$C$42, 38.5557, 38.5557) * CHOOSE(CONTROL!$C$21, $C$9, 100%, $E$9)</f>
        <v>38.555700000000002</v>
      </c>
      <c r="S661" s="14">
        <f>CHOOSE(CONTROL!$C$42, 36.4651, 36.4651) * CHOOSE(CONTROL!$C$21, $C$9, 100%, $E$9)</f>
        <v>36.4651</v>
      </c>
      <c r="T66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61" s="57">
        <f>(1000*CHOOSE(CONTROL!$C$42, 695, 695)*CHOOSE(CONTROL!$C$42, 0.5599, 0.5599)*CHOOSE(CONTROL!$C$42, 31, 31))/1000000</f>
        <v>12.063045499999998</v>
      </c>
      <c r="V661" s="57">
        <f>(1000*CHOOSE(CONTROL!$C$42, 500, 500)*CHOOSE(CONTROL!$C$42, 0.275, 0.275)*CHOOSE(CONTROL!$C$42, 31, 31))/1000000</f>
        <v>4.2625000000000002</v>
      </c>
      <c r="W661" s="57">
        <f>(1000*CHOOSE(CONTROL!$C$42, 0.1146, 0.1146)*CHOOSE(CONTROL!$C$42, 121.5, 121.5)*CHOOSE(CONTROL!$C$42, 31, 31))/1000000</f>
        <v>0.43164089999999994</v>
      </c>
      <c r="X661" s="57">
        <f>(31*0.1790888*100000/1000000)+(31*0.2374*100000/1000000)</f>
        <v>1.2911152800000001</v>
      </c>
      <c r="Y661" s="57"/>
      <c r="Z661" s="14"/>
      <c r="AA661" s="56"/>
      <c r="AB661" s="50">
        <f>(B661*122.58+C661*297.941+D661*89.177+E661*40.302+F661*40+G661*160+H661*0+I661*100+J661*300)/(122.58+297.941+89.177+40.302+0+40+160+100+300)</f>
        <v>37.565613969826089</v>
      </c>
      <c r="AC661" s="45">
        <f>(M661*'RAP TEMPLATE-GAS AVAILABILITY'!O660+N661*'RAP TEMPLATE-GAS AVAILABILITY'!P660+O661*'RAP TEMPLATE-GAS AVAILABILITY'!Q660+P661*'RAP TEMPLATE-GAS AVAILABILITY'!R660)/('RAP TEMPLATE-GAS AVAILABILITY'!O660+'RAP TEMPLATE-GAS AVAILABILITY'!P660+'RAP TEMPLATE-GAS AVAILABILITY'!Q660+'RAP TEMPLATE-GAS AVAILABILITY'!R660)</f>
        <v>37.230357553956836</v>
      </c>
    </row>
    <row r="662" spans="1:29" ht="15.75" x14ac:dyDescent="0.25">
      <c r="A662" s="32">
        <v>61056</v>
      </c>
      <c r="B662" s="14">
        <f>CHOOSE(CONTROL!$C$42, 38.221, 38.221) * CHOOSE(CONTROL!$C$21, $C$9, 100%, $E$9)</f>
        <v>38.220999999999997</v>
      </c>
      <c r="C662" s="14">
        <f>CHOOSE(CONTROL!$C$42, 38.2259, 38.2259) * CHOOSE(CONTROL!$C$21, $C$9, 100%, $E$9)</f>
        <v>38.225900000000003</v>
      </c>
      <c r="D662" s="14">
        <f>CHOOSE(CONTROL!$C$42, 38.2902, 38.2902) * CHOOSE(CONTROL!$C$21, $C$9, 100%, $E$9)</f>
        <v>38.290199999999999</v>
      </c>
      <c r="E662" s="14">
        <f>CHOOSE(CONTROL!$C$42, 38.324, 38.324) * CHOOSE(CONTROL!$C$21, $C$9, 100%, $E$9)</f>
        <v>38.323999999999998</v>
      </c>
      <c r="F662" s="14">
        <f>CHOOSE(CONTROL!$C$42, 38.2226, 38.2226)*CHOOSE(CONTROL!$C$21, $C$9, 100%, $E$9)</f>
        <v>38.2226</v>
      </c>
      <c r="G662" s="14">
        <f>CHOOSE(CONTROL!$C$42, 38.2385, 38.2385)*CHOOSE(CONTROL!$C$21, $C$9, 100%, $E$9)</f>
        <v>38.238500000000002</v>
      </c>
      <c r="H662" s="14">
        <f>CHOOSE(CONTROL!$C$42, 38.3132, 38.3132) * CHOOSE(CONTROL!$C$21, $C$9, 100%, $E$9)</f>
        <v>38.313200000000002</v>
      </c>
      <c r="I662" s="14">
        <f>CHOOSE(CONTROL!$C$42, 38.241, 38.241)* CHOOSE(CONTROL!$C$21, $C$9, 100%, $E$9)</f>
        <v>38.241</v>
      </c>
      <c r="J662" s="14">
        <f>CHOOSE(CONTROL!$C$42, 38.2156, 38.2156)* CHOOSE(CONTROL!$C$21, $C$9, 100%, $E$9)</f>
        <v>38.215600000000002</v>
      </c>
      <c r="K662" s="53">
        <f>CHOOSE(CONTROL!$C$42, 38.2371, 38.2371) * CHOOSE(CONTROL!$C$21, $C$9, 100%, $E$9)</f>
        <v>38.237099999999998</v>
      </c>
      <c r="L662" s="14">
        <f>CHOOSE(CONTROL!$C$42, 38.9002, 38.9002) * CHOOSE(CONTROL!$C$21, $C$9, 100%, $E$9)</f>
        <v>38.900199999999998</v>
      </c>
      <c r="M662" s="14">
        <f>CHOOSE(CONTROL!$C$42, 37.8437, 37.8437) * CHOOSE(CONTROL!$C$21, $C$9, 100%, $E$9)</f>
        <v>37.843699999999998</v>
      </c>
      <c r="N662" s="14">
        <f>CHOOSE(CONTROL!$C$42, 37.8595, 37.8595) * CHOOSE(CONTROL!$C$21, $C$9, 100%, $E$9)</f>
        <v>37.859499999999997</v>
      </c>
      <c r="O662" s="14">
        <f>CHOOSE(CONTROL!$C$42, 37.9404, 37.9404) * CHOOSE(CONTROL!$C$21, $C$9, 100%, $E$9)</f>
        <v>37.940399999999997</v>
      </c>
      <c r="P662" s="14">
        <f>CHOOSE(CONTROL!$C$42, 37.8689, 37.8689) * CHOOSE(CONTROL!$C$21, $C$9, 100%, $E$9)</f>
        <v>37.868899999999996</v>
      </c>
      <c r="Q662" s="14">
        <f>CHOOSE(CONTROL!$C$42, 38.5357, 38.5357) * CHOOSE(CONTROL!$C$21, $C$9, 100%, $E$9)</f>
        <v>38.535699999999999</v>
      </c>
      <c r="R662" s="14">
        <f>CHOOSE(CONTROL!$C$42, 39.219, 39.219) * CHOOSE(CONTROL!$C$21, $C$9, 100%, $E$9)</f>
        <v>39.219000000000001</v>
      </c>
      <c r="S662" s="14">
        <f>CHOOSE(CONTROL!$C$42, 37.1143, 37.1143) * CHOOSE(CONTROL!$C$21, $C$9, 100%, $E$9)</f>
        <v>37.1143</v>
      </c>
      <c r="T66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62" s="57">
        <f>(1000*CHOOSE(CONTROL!$C$42, 695, 695)*CHOOSE(CONTROL!$C$42, 0.5599, 0.5599)*CHOOSE(CONTROL!$C$42, 28, 28))/1000000</f>
        <v>10.895653999999999</v>
      </c>
      <c r="V662" s="57">
        <f>(1000*CHOOSE(CONTROL!$C$42, 500, 500)*CHOOSE(CONTROL!$C$42, 0.275, 0.275)*CHOOSE(CONTROL!$C$42, 28, 28))/1000000</f>
        <v>3.85</v>
      </c>
      <c r="W662" s="57">
        <f>(1000*CHOOSE(CONTROL!$C$42, 0.1146, 0.1146)*CHOOSE(CONTROL!$C$42, 121.5, 121.5)*CHOOSE(CONTROL!$C$42, 28, 28))/1000000</f>
        <v>0.38986920000000003</v>
      </c>
      <c r="X662" s="57">
        <f>(28*0.1790888*100000/1000000)+(28*0.2374*100000/1000000)</f>
        <v>1.16616864</v>
      </c>
      <c r="Y662" s="57"/>
      <c r="Z662" s="14"/>
      <c r="AA662" s="56"/>
      <c r="AB662" s="50">
        <f>(B662*122.58+C662*297.941+D662*89.177+E662*40.302+F662*40+G662*160+H662*0+I662*100+J662*300)/(122.58+297.941+89.177+40.302+0+40+160+100+300)</f>
        <v>38.234066143739128</v>
      </c>
      <c r="AC662" s="45">
        <f>(M662*'RAP TEMPLATE-GAS AVAILABILITY'!O661+N662*'RAP TEMPLATE-GAS AVAILABILITY'!P661+O662*'RAP TEMPLATE-GAS AVAILABILITY'!Q661+P662*'RAP TEMPLATE-GAS AVAILABILITY'!R661)/('RAP TEMPLATE-GAS AVAILABILITY'!O661+'RAP TEMPLATE-GAS AVAILABILITY'!P661+'RAP TEMPLATE-GAS AVAILABILITY'!Q661+'RAP TEMPLATE-GAS AVAILABILITY'!R661)</f>
        <v>37.892063309352515</v>
      </c>
    </row>
    <row r="663" spans="1:29" ht="15.75" x14ac:dyDescent="0.25">
      <c r="A663" s="32">
        <v>61087</v>
      </c>
      <c r="B663" s="14">
        <f>CHOOSE(CONTROL!$C$42, 37.136, 37.136) * CHOOSE(CONTROL!$C$21, $C$9, 100%, $E$9)</f>
        <v>37.136000000000003</v>
      </c>
      <c r="C663" s="14">
        <f>CHOOSE(CONTROL!$C$42, 37.1409, 37.1409) * CHOOSE(CONTROL!$C$21, $C$9, 100%, $E$9)</f>
        <v>37.140900000000002</v>
      </c>
      <c r="D663" s="14">
        <f>CHOOSE(CONTROL!$C$42, 37.2052, 37.2052) * CHOOSE(CONTROL!$C$21, $C$9, 100%, $E$9)</f>
        <v>37.205199999999998</v>
      </c>
      <c r="E663" s="14">
        <f>CHOOSE(CONTROL!$C$42, 37.239, 37.239) * CHOOSE(CONTROL!$C$21, $C$9, 100%, $E$9)</f>
        <v>37.238999999999997</v>
      </c>
      <c r="F663" s="14">
        <f>CHOOSE(CONTROL!$C$42, 37.1372, 37.1372)*CHOOSE(CONTROL!$C$21, $C$9, 100%, $E$9)</f>
        <v>37.1372</v>
      </c>
      <c r="G663" s="14">
        <f>CHOOSE(CONTROL!$C$42, 37.1531, 37.1531)*CHOOSE(CONTROL!$C$21, $C$9, 100%, $E$9)</f>
        <v>37.153100000000002</v>
      </c>
      <c r="H663" s="14">
        <f>CHOOSE(CONTROL!$C$42, 37.2282, 37.2282) * CHOOSE(CONTROL!$C$21, $C$9, 100%, $E$9)</f>
        <v>37.228200000000001</v>
      </c>
      <c r="I663" s="14">
        <f>CHOOSE(CONTROL!$C$42, 37.1559, 37.1559)* CHOOSE(CONTROL!$C$21, $C$9, 100%, $E$9)</f>
        <v>37.155900000000003</v>
      </c>
      <c r="J663" s="14">
        <f>CHOOSE(CONTROL!$C$42, 37.1302, 37.1302)* CHOOSE(CONTROL!$C$21, $C$9, 100%, $E$9)</f>
        <v>37.130200000000002</v>
      </c>
      <c r="K663" s="53">
        <f>CHOOSE(CONTROL!$C$42, 37.152, 37.152) * CHOOSE(CONTROL!$C$21, $C$9, 100%, $E$9)</f>
        <v>37.152000000000001</v>
      </c>
      <c r="L663" s="14">
        <f>CHOOSE(CONTROL!$C$42, 37.8152, 37.8152) * CHOOSE(CONTROL!$C$21, $C$9, 100%, $E$9)</f>
        <v>37.815199999999997</v>
      </c>
      <c r="M663" s="14">
        <f>CHOOSE(CONTROL!$C$42, 36.7693, 36.7693) * CHOOSE(CONTROL!$C$21, $C$9, 100%, $E$9)</f>
        <v>36.769300000000001</v>
      </c>
      <c r="N663" s="14">
        <f>CHOOSE(CONTROL!$C$42, 36.785, 36.785) * CHOOSE(CONTROL!$C$21, $C$9, 100%, $E$9)</f>
        <v>36.784999999999997</v>
      </c>
      <c r="O663" s="14">
        <f>CHOOSE(CONTROL!$C$42, 36.8663, 36.8663) * CHOOSE(CONTROL!$C$21, $C$9, 100%, $E$9)</f>
        <v>36.866300000000003</v>
      </c>
      <c r="P663" s="14">
        <f>CHOOSE(CONTROL!$C$42, 36.7948, 36.7948) * CHOOSE(CONTROL!$C$21, $C$9, 100%, $E$9)</f>
        <v>36.794800000000002</v>
      </c>
      <c r="Q663" s="14">
        <f>CHOOSE(CONTROL!$C$42, 37.4616, 37.4616) * CHOOSE(CONTROL!$C$21, $C$9, 100%, $E$9)</f>
        <v>37.461599999999997</v>
      </c>
      <c r="R663" s="14">
        <f>CHOOSE(CONTROL!$C$42, 38.1422, 38.1422) * CHOOSE(CONTROL!$C$21, $C$9, 100%, $E$9)</f>
        <v>38.142200000000003</v>
      </c>
      <c r="S663" s="14">
        <f>CHOOSE(CONTROL!$C$42, 36.0606, 36.0606) * CHOOSE(CONTROL!$C$21, $C$9, 100%, $E$9)</f>
        <v>36.060600000000001</v>
      </c>
      <c r="T66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63" s="57">
        <f>(1000*CHOOSE(CONTROL!$C$42, 695, 695)*CHOOSE(CONTROL!$C$42, 0.5599, 0.5599)*CHOOSE(CONTROL!$C$42, 31, 31))/1000000</f>
        <v>12.063045499999998</v>
      </c>
      <c r="V663" s="57">
        <f>(1000*CHOOSE(CONTROL!$C$42, 500, 500)*CHOOSE(CONTROL!$C$42, 0.275, 0.275)*CHOOSE(CONTROL!$C$42, 31, 31))/1000000</f>
        <v>4.2625000000000002</v>
      </c>
      <c r="W663" s="57">
        <f>(1000*CHOOSE(CONTROL!$C$42, 0.1146, 0.1146)*CHOOSE(CONTROL!$C$42, 121.5, 121.5)*CHOOSE(CONTROL!$C$42, 31, 31))/1000000</f>
        <v>0.43164089999999994</v>
      </c>
      <c r="X663" s="57">
        <f>(31*0.1790888*100000/1000000)+(31*0.2374*100000/1000000)</f>
        <v>1.2911152800000001</v>
      </c>
      <c r="Y663" s="57"/>
      <c r="Z663" s="14"/>
      <c r="AA663" s="56"/>
      <c r="AB663" s="50">
        <f>(B663*122.58+C663*297.941+D663*89.177+E663*40.302+F663*40+G663*160+H663*0+I663*100+J663*300)/(122.58+297.941+89.177+40.302+0+40+160+100+300)</f>
        <v>37.148883535043481</v>
      </c>
      <c r="AC663" s="45">
        <f>(M663*'RAP TEMPLATE-GAS AVAILABILITY'!O662+N663*'RAP TEMPLATE-GAS AVAILABILITY'!P662+O663*'RAP TEMPLATE-GAS AVAILABILITY'!Q662+P663*'RAP TEMPLATE-GAS AVAILABILITY'!R662)/('RAP TEMPLATE-GAS AVAILABILITY'!O662+'RAP TEMPLATE-GAS AVAILABILITY'!P662+'RAP TEMPLATE-GAS AVAILABILITY'!Q662+'RAP TEMPLATE-GAS AVAILABILITY'!R662)</f>
        <v>36.817836690647482</v>
      </c>
    </row>
    <row r="664" spans="1:29" ht="15.75" x14ac:dyDescent="0.25">
      <c r="A664" s="32">
        <v>61117</v>
      </c>
      <c r="B664" s="14">
        <f>CHOOSE(CONTROL!$C$42, 37.0259, 37.0259) * CHOOSE(CONTROL!$C$21, $C$9, 100%, $E$9)</f>
        <v>37.0259</v>
      </c>
      <c r="C664" s="14">
        <f>CHOOSE(CONTROL!$C$42, 37.0303, 37.0303) * CHOOSE(CONTROL!$C$21, $C$9, 100%, $E$9)</f>
        <v>37.030299999999997</v>
      </c>
      <c r="D664" s="14">
        <f>CHOOSE(CONTROL!$C$42, 37.231, 37.231) * CHOOSE(CONTROL!$C$21, $C$9, 100%, $E$9)</f>
        <v>37.231000000000002</v>
      </c>
      <c r="E664" s="14">
        <f>CHOOSE(CONTROL!$C$42, 37.2628, 37.2628) * CHOOSE(CONTROL!$C$21, $C$9, 100%, $E$9)</f>
        <v>37.262799999999999</v>
      </c>
      <c r="F664" s="14">
        <f>CHOOSE(CONTROL!$C$42, 37.0105, 37.0105)*CHOOSE(CONTROL!$C$21, $C$9, 100%, $E$9)</f>
        <v>37.0105</v>
      </c>
      <c r="G664" s="14">
        <f>CHOOSE(CONTROL!$C$42, 37.0261, 37.0261)*CHOOSE(CONTROL!$C$21, $C$9, 100%, $E$9)</f>
        <v>37.0261</v>
      </c>
      <c r="H664" s="14">
        <f>CHOOSE(CONTROL!$C$42, 37.2526, 37.2526) * CHOOSE(CONTROL!$C$21, $C$9, 100%, $E$9)</f>
        <v>37.252600000000001</v>
      </c>
      <c r="I664" s="14">
        <f>CHOOSE(CONTROL!$C$42, 37.0387, 37.0387)* CHOOSE(CONTROL!$C$21, $C$9, 100%, $E$9)</f>
        <v>37.038699999999999</v>
      </c>
      <c r="J664" s="14">
        <f>CHOOSE(CONTROL!$C$42, 37.0035, 37.0035)* CHOOSE(CONTROL!$C$21, $C$9, 100%, $E$9)</f>
        <v>37.003500000000003</v>
      </c>
      <c r="K664" s="53">
        <f>CHOOSE(CONTROL!$C$42, 37.0348, 37.0348) * CHOOSE(CONTROL!$C$21, $C$9, 100%, $E$9)</f>
        <v>37.034799999999997</v>
      </c>
      <c r="L664" s="14">
        <f>CHOOSE(CONTROL!$C$42, 37.8396, 37.8396) * CHOOSE(CONTROL!$C$21, $C$9, 100%, $E$9)</f>
        <v>37.839599999999997</v>
      </c>
      <c r="M664" s="14">
        <f>CHOOSE(CONTROL!$C$42, 36.6439, 36.6439) * CHOOSE(CONTROL!$C$21, $C$9, 100%, $E$9)</f>
        <v>36.643900000000002</v>
      </c>
      <c r="N664" s="14">
        <f>CHOOSE(CONTROL!$C$42, 36.6594, 36.6594) * CHOOSE(CONTROL!$C$21, $C$9, 100%, $E$9)</f>
        <v>36.659399999999998</v>
      </c>
      <c r="O664" s="14">
        <f>CHOOSE(CONTROL!$C$42, 36.8905, 36.8905) * CHOOSE(CONTROL!$C$21, $C$9, 100%, $E$9)</f>
        <v>36.890500000000003</v>
      </c>
      <c r="P664" s="14">
        <f>CHOOSE(CONTROL!$C$42, 36.6788, 36.6788) * CHOOSE(CONTROL!$C$21, $C$9, 100%, $E$9)</f>
        <v>36.678800000000003</v>
      </c>
      <c r="Q664" s="14">
        <f>CHOOSE(CONTROL!$C$42, 37.4858, 37.4858) * CHOOSE(CONTROL!$C$21, $C$9, 100%, $E$9)</f>
        <v>37.485799999999998</v>
      </c>
      <c r="R664" s="14">
        <f>CHOOSE(CONTROL!$C$42, 38.1665, 38.1665) * CHOOSE(CONTROL!$C$21, $C$9, 100%, $E$9)</f>
        <v>38.166499999999999</v>
      </c>
      <c r="S664" s="14">
        <f>CHOOSE(CONTROL!$C$42, 35.953, 35.953) * CHOOSE(CONTROL!$C$21, $C$9, 100%, $E$9)</f>
        <v>35.953000000000003</v>
      </c>
      <c r="T66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64" s="57">
        <f>(1000*CHOOSE(CONTROL!$C$42, 695, 695)*CHOOSE(CONTROL!$C$42, 0.5599, 0.5599)*CHOOSE(CONTROL!$C$42, 30, 30))/1000000</f>
        <v>11.673914999999997</v>
      </c>
      <c r="V664" s="57">
        <f>(1000*CHOOSE(CONTROL!$C$42, 500, 500)*CHOOSE(CONTROL!$C$42, 0.275, 0.275)*CHOOSE(CONTROL!$C$42, 30, 30))/1000000</f>
        <v>4.125</v>
      </c>
      <c r="W664" s="57">
        <f>(1000*CHOOSE(CONTROL!$C$42, 0.1146, 0.1146)*CHOOSE(CONTROL!$C$42, 121.5, 121.5)*CHOOSE(CONTROL!$C$42, 30, 30))/1000000</f>
        <v>0.417717</v>
      </c>
      <c r="X664" s="57">
        <f>(30*0.1790888*245000/1000000)+(30*0.2374*100000/1000000)</f>
        <v>2.0285026799999999</v>
      </c>
      <c r="Y664" s="57"/>
      <c r="Z664" s="14"/>
      <c r="AA664" s="56"/>
      <c r="AB664" s="50">
        <f>(B664*141.293+C664*267.993+D664*115.016+E664*89.698+F664*40+G664*185+H664*0+I664*100+J664*300)/(141.293+267.993+115.016+89.698+0+40+185+100+300)</f>
        <v>37.058183621468928</v>
      </c>
      <c r="AC664" s="45">
        <f>(M664*'RAP TEMPLATE-GAS AVAILABILITY'!O663+N664*'RAP TEMPLATE-GAS AVAILABILITY'!P663+O664*'RAP TEMPLATE-GAS AVAILABILITY'!Q663+P664*'RAP TEMPLATE-GAS AVAILABILITY'!R663)/('RAP TEMPLATE-GAS AVAILABILITY'!O663+'RAP TEMPLATE-GAS AVAILABILITY'!P663+'RAP TEMPLATE-GAS AVAILABILITY'!Q663+'RAP TEMPLATE-GAS AVAILABILITY'!R663)</f>
        <v>36.761582014388495</v>
      </c>
    </row>
    <row r="665" spans="1:29" ht="15.75" x14ac:dyDescent="0.25">
      <c r="A665" s="32">
        <v>61148</v>
      </c>
      <c r="B665" s="14">
        <f>CHOOSE(CONTROL!$C$42, 37.3541, 37.3541) * CHOOSE(CONTROL!$C$21, $C$9, 100%, $E$9)</f>
        <v>37.354100000000003</v>
      </c>
      <c r="C665" s="14">
        <f>CHOOSE(CONTROL!$C$42, 37.362, 37.362) * CHOOSE(CONTROL!$C$21, $C$9, 100%, $E$9)</f>
        <v>37.362000000000002</v>
      </c>
      <c r="D665" s="14">
        <f>CHOOSE(CONTROL!$C$42, 37.5596, 37.5596) * CHOOSE(CONTROL!$C$21, $C$9, 100%, $E$9)</f>
        <v>37.559600000000003</v>
      </c>
      <c r="E665" s="14">
        <f>CHOOSE(CONTROL!$C$42, 37.5907, 37.5907) * CHOOSE(CONTROL!$C$21, $C$9, 100%, $E$9)</f>
        <v>37.590699999999998</v>
      </c>
      <c r="F665" s="14">
        <f>CHOOSE(CONTROL!$C$42, 37.3375, 37.3375)*CHOOSE(CONTROL!$C$21, $C$9, 100%, $E$9)</f>
        <v>37.337499999999999</v>
      </c>
      <c r="G665" s="14">
        <f>CHOOSE(CONTROL!$C$42, 37.3536, 37.3536)*CHOOSE(CONTROL!$C$21, $C$9, 100%, $E$9)</f>
        <v>37.3536</v>
      </c>
      <c r="H665" s="14">
        <f>CHOOSE(CONTROL!$C$42, 37.5794, 37.5794) * CHOOSE(CONTROL!$C$21, $C$9, 100%, $E$9)</f>
        <v>37.5794</v>
      </c>
      <c r="I665" s="14">
        <f>CHOOSE(CONTROL!$C$42, 37.3655, 37.3655)* CHOOSE(CONTROL!$C$21, $C$9, 100%, $E$9)</f>
        <v>37.365499999999997</v>
      </c>
      <c r="J665" s="14">
        <f>CHOOSE(CONTROL!$C$42, 37.3305, 37.3305)* CHOOSE(CONTROL!$C$21, $C$9, 100%, $E$9)</f>
        <v>37.330500000000001</v>
      </c>
      <c r="K665" s="53">
        <f>CHOOSE(CONTROL!$C$42, 37.3616, 37.3616) * CHOOSE(CONTROL!$C$21, $C$9, 100%, $E$9)</f>
        <v>37.361600000000003</v>
      </c>
      <c r="L665" s="14">
        <f>CHOOSE(CONTROL!$C$42, 38.1664, 38.1664) * CHOOSE(CONTROL!$C$21, $C$9, 100%, $E$9)</f>
        <v>38.166400000000003</v>
      </c>
      <c r="M665" s="14">
        <f>CHOOSE(CONTROL!$C$42, 36.9676, 36.9676) * CHOOSE(CONTROL!$C$21, $C$9, 100%, $E$9)</f>
        <v>36.967599999999997</v>
      </c>
      <c r="N665" s="14">
        <f>CHOOSE(CONTROL!$C$42, 36.9835, 36.9835) * CHOOSE(CONTROL!$C$21, $C$9, 100%, $E$9)</f>
        <v>36.983499999999999</v>
      </c>
      <c r="O665" s="14">
        <f>CHOOSE(CONTROL!$C$42, 37.214, 37.214) * CHOOSE(CONTROL!$C$21, $C$9, 100%, $E$9)</f>
        <v>37.213999999999999</v>
      </c>
      <c r="P665" s="14">
        <f>CHOOSE(CONTROL!$C$42, 37.0022, 37.0022) * CHOOSE(CONTROL!$C$21, $C$9, 100%, $E$9)</f>
        <v>37.002200000000002</v>
      </c>
      <c r="Q665" s="14">
        <f>CHOOSE(CONTROL!$C$42, 37.8093, 37.8093) * CHOOSE(CONTROL!$C$21, $C$9, 100%, $E$9)</f>
        <v>37.8093</v>
      </c>
      <c r="R665" s="14">
        <f>CHOOSE(CONTROL!$C$42, 38.4908, 38.4908) * CHOOSE(CONTROL!$C$21, $C$9, 100%, $E$9)</f>
        <v>38.4908</v>
      </c>
      <c r="S665" s="14">
        <f>CHOOSE(CONTROL!$C$42, 36.2703, 36.2703) * CHOOSE(CONTROL!$C$21, $C$9, 100%, $E$9)</f>
        <v>36.270299999999999</v>
      </c>
      <c r="T66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65" s="57">
        <f>(1000*CHOOSE(CONTROL!$C$42, 695, 695)*CHOOSE(CONTROL!$C$42, 0.5599, 0.5599)*CHOOSE(CONTROL!$C$42, 31, 31))/1000000</f>
        <v>12.063045499999998</v>
      </c>
      <c r="V665" s="57">
        <f>(1000*CHOOSE(CONTROL!$C$42, 500, 500)*CHOOSE(CONTROL!$C$42, 0.275, 0.275)*CHOOSE(CONTROL!$C$42, 31, 31))/1000000</f>
        <v>4.2625000000000002</v>
      </c>
      <c r="W665" s="57">
        <f>(1000*CHOOSE(CONTROL!$C$42, 0.1146, 0.1146)*CHOOSE(CONTROL!$C$42, 121.5, 121.5)*CHOOSE(CONTROL!$C$42, 31, 31))/1000000</f>
        <v>0.43164089999999994</v>
      </c>
      <c r="X665" s="57">
        <f>(31*0.1790888*245000/1000000)+(31*0.2374*100000/1000000)</f>
        <v>2.0961194359999999</v>
      </c>
      <c r="Y665" s="57"/>
      <c r="Z665" s="14"/>
      <c r="AA665" s="56"/>
      <c r="AB665" s="50">
        <f>(B665*194.205+C665*267.466+D665*133.845+E665*53.484+F665*40+G665*185+H665*0+I665*100+J665*300)/(194.205+267.466+133.845+53.484+0+40+185+100+300)</f>
        <v>37.382024602276296</v>
      </c>
      <c r="AC665" s="45">
        <f>(M665*'RAP TEMPLATE-GAS AVAILABILITY'!O664+N665*'RAP TEMPLATE-GAS AVAILABILITY'!P664+O665*'RAP TEMPLATE-GAS AVAILABILITY'!Q664+P665*'RAP TEMPLATE-GAS AVAILABILITY'!R664)/('RAP TEMPLATE-GAS AVAILABILITY'!O664+'RAP TEMPLATE-GAS AVAILABILITY'!P664+'RAP TEMPLATE-GAS AVAILABILITY'!Q664+'RAP TEMPLATE-GAS AVAILABILITY'!R664)</f>
        <v>37.08517122302159</v>
      </c>
    </row>
    <row r="666" spans="1:29" ht="15.75" x14ac:dyDescent="0.25">
      <c r="A666" s="32">
        <v>61178</v>
      </c>
      <c r="B666" s="14">
        <f>CHOOSE(CONTROL!$C$42, 38.4135, 38.4135) * CHOOSE(CONTROL!$C$21, $C$9, 100%, $E$9)</f>
        <v>38.413499999999999</v>
      </c>
      <c r="C666" s="14">
        <f>CHOOSE(CONTROL!$C$42, 38.4215, 38.4215) * CHOOSE(CONTROL!$C$21, $C$9, 100%, $E$9)</f>
        <v>38.421500000000002</v>
      </c>
      <c r="D666" s="14">
        <f>CHOOSE(CONTROL!$C$42, 38.619, 38.619) * CHOOSE(CONTROL!$C$21, $C$9, 100%, $E$9)</f>
        <v>38.619</v>
      </c>
      <c r="E666" s="14">
        <f>CHOOSE(CONTROL!$C$42, 38.6502, 38.6502) * CHOOSE(CONTROL!$C$21, $C$9, 100%, $E$9)</f>
        <v>38.650199999999998</v>
      </c>
      <c r="F666" s="14">
        <f>CHOOSE(CONTROL!$C$42, 38.3974, 38.3974)*CHOOSE(CONTROL!$C$21, $C$9, 100%, $E$9)</f>
        <v>38.397399999999998</v>
      </c>
      <c r="G666" s="14">
        <f>CHOOSE(CONTROL!$C$42, 38.4136, 38.4136)*CHOOSE(CONTROL!$C$21, $C$9, 100%, $E$9)</f>
        <v>38.413600000000002</v>
      </c>
      <c r="H666" s="14">
        <f>CHOOSE(CONTROL!$C$42, 38.6388, 38.6388) * CHOOSE(CONTROL!$C$21, $C$9, 100%, $E$9)</f>
        <v>38.638800000000003</v>
      </c>
      <c r="I666" s="14">
        <f>CHOOSE(CONTROL!$C$42, 38.4249, 38.4249)* CHOOSE(CONTROL!$C$21, $C$9, 100%, $E$9)</f>
        <v>38.424900000000001</v>
      </c>
      <c r="J666" s="14">
        <f>CHOOSE(CONTROL!$C$42, 38.3904, 38.3904)* CHOOSE(CONTROL!$C$21, $C$9, 100%, $E$9)</f>
        <v>38.3904</v>
      </c>
      <c r="K666" s="53">
        <f>CHOOSE(CONTROL!$C$42, 38.421, 38.421) * CHOOSE(CONTROL!$C$21, $C$9, 100%, $E$9)</f>
        <v>38.420999999999999</v>
      </c>
      <c r="L666" s="14">
        <f>CHOOSE(CONTROL!$C$42, 39.2258, 39.2258) * CHOOSE(CONTROL!$C$21, $C$9, 100%, $E$9)</f>
        <v>39.2258</v>
      </c>
      <c r="M666" s="14">
        <f>CHOOSE(CONTROL!$C$42, 38.0168, 38.0168) * CHOOSE(CONTROL!$C$21, $C$9, 100%, $E$9)</f>
        <v>38.016800000000003</v>
      </c>
      <c r="N666" s="14">
        <f>CHOOSE(CONTROL!$C$42, 38.0328, 38.0328) * CHOOSE(CONTROL!$C$21, $C$9, 100%, $E$9)</f>
        <v>38.032800000000002</v>
      </c>
      <c r="O666" s="14">
        <f>CHOOSE(CONTROL!$C$42, 38.2627, 38.2627) * CHOOSE(CONTROL!$C$21, $C$9, 100%, $E$9)</f>
        <v>38.262700000000002</v>
      </c>
      <c r="P666" s="14">
        <f>CHOOSE(CONTROL!$C$42, 38.051, 38.051) * CHOOSE(CONTROL!$C$21, $C$9, 100%, $E$9)</f>
        <v>38.051000000000002</v>
      </c>
      <c r="Q666" s="14">
        <f>CHOOSE(CONTROL!$C$42, 38.858, 38.858) * CHOOSE(CONTROL!$C$21, $C$9, 100%, $E$9)</f>
        <v>38.857999999999997</v>
      </c>
      <c r="R666" s="14">
        <f>CHOOSE(CONTROL!$C$42, 39.5422, 39.5422) * CHOOSE(CONTROL!$C$21, $C$9, 100%, $E$9)</f>
        <v>39.542200000000001</v>
      </c>
      <c r="S666" s="14">
        <f>CHOOSE(CONTROL!$C$42, 37.2991, 37.2991) * CHOOSE(CONTROL!$C$21, $C$9, 100%, $E$9)</f>
        <v>37.299100000000003</v>
      </c>
      <c r="T66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66" s="57">
        <f>(1000*CHOOSE(CONTROL!$C$42, 695, 695)*CHOOSE(CONTROL!$C$42, 0.5599, 0.5599)*CHOOSE(CONTROL!$C$42, 30, 30))/1000000</f>
        <v>11.673914999999997</v>
      </c>
      <c r="V666" s="57">
        <f>(1000*CHOOSE(CONTROL!$C$42, 500, 500)*CHOOSE(CONTROL!$C$42, 0.275, 0.275)*CHOOSE(CONTROL!$C$42, 30, 30))/1000000</f>
        <v>4.125</v>
      </c>
      <c r="W666" s="57">
        <f>(1000*CHOOSE(CONTROL!$C$42, 0.1146, 0.1146)*CHOOSE(CONTROL!$C$42, 121.5, 121.5)*CHOOSE(CONTROL!$C$42, 30, 30))/1000000</f>
        <v>0.417717</v>
      </c>
      <c r="X666" s="57">
        <f>(30*0.1790888*245000/1000000)+(30*0.2374*100000/1000000)</f>
        <v>2.0285026799999999</v>
      </c>
      <c r="Y666" s="57"/>
      <c r="Z666" s="14"/>
      <c r="AA666" s="56"/>
      <c r="AB666" s="50">
        <f>(B666*194.205+C666*267.466+D666*133.845+E666*53.484+F666*40+G666*185+H666*0+I666*100+J666*300)/(194.205+267.466+133.845+53.484+0+40+185+100+300)</f>
        <v>38.441670359733124</v>
      </c>
      <c r="AC666" s="45">
        <f>(M666*'RAP TEMPLATE-GAS AVAILABILITY'!O665+N666*'RAP TEMPLATE-GAS AVAILABILITY'!P665+O666*'RAP TEMPLATE-GAS AVAILABILITY'!Q665+P666*'RAP TEMPLATE-GAS AVAILABILITY'!R665)/('RAP TEMPLATE-GAS AVAILABILITY'!O665+'RAP TEMPLATE-GAS AVAILABILITY'!P665+'RAP TEMPLATE-GAS AVAILABILITY'!Q665+'RAP TEMPLATE-GAS AVAILABILITY'!R665)</f>
        <v>38.134092805755394</v>
      </c>
    </row>
    <row r="667" spans="1:29" ht="15.75" x14ac:dyDescent="0.25">
      <c r="A667" s="32">
        <v>61209</v>
      </c>
      <c r="B667" s="14">
        <f>CHOOSE(CONTROL!$C$42, 37.6767, 37.6767) * CHOOSE(CONTROL!$C$21, $C$9, 100%, $E$9)</f>
        <v>37.676699999999997</v>
      </c>
      <c r="C667" s="14">
        <f>CHOOSE(CONTROL!$C$42, 37.6846, 37.6846) * CHOOSE(CONTROL!$C$21, $C$9, 100%, $E$9)</f>
        <v>37.684600000000003</v>
      </c>
      <c r="D667" s="14">
        <f>CHOOSE(CONTROL!$C$42, 37.8822, 37.8822) * CHOOSE(CONTROL!$C$21, $C$9, 100%, $E$9)</f>
        <v>37.882199999999997</v>
      </c>
      <c r="E667" s="14">
        <f>CHOOSE(CONTROL!$C$42, 37.9133, 37.9133) * CHOOSE(CONTROL!$C$21, $C$9, 100%, $E$9)</f>
        <v>37.9133</v>
      </c>
      <c r="F667" s="14">
        <f>CHOOSE(CONTROL!$C$42, 37.6609, 37.6609)*CHOOSE(CONTROL!$C$21, $C$9, 100%, $E$9)</f>
        <v>37.660899999999998</v>
      </c>
      <c r="G667" s="14">
        <f>CHOOSE(CONTROL!$C$42, 37.6773, 37.6773)*CHOOSE(CONTROL!$C$21, $C$9, 100%, $E$9)</f>
        <v>37.677300000000002</v>
      </c>
      <c r="H667" s="14">
        <f>CHOOSE(CONTROL!$C$42, 37.902, 37.902) * CHOOSE(CONTROL!$C$21, $C$9, 100%, $E$9)</f>
        <v>37.902000000000001</v>
      </c>
      <c r="I667" s="14">
        <f>CHOOSE(CONTROL!$C$42, 37.6881, 37.6881)* CHOOSE(CONTROL!$C$21, $C$9, 100%, $E$9)</f>
        <v>37.688099999999999</v>
      </c>
      <c r="J667" s="14">
        <f>CHOOSE(CONTROL!$C$42, 37.6539, 37.6539)* CHOOSE(CONTROL!$C$21, $C$9, 100%, $E$9)</f>
        <v>37.6539</v>
      </c>
      <c r="K667" s="53">
        <f>CHOOSE(CONTROL!$C$42, 37.6842, 37.6842) * CHOOSE(CONTROL!$C$21, $C$9, 100%, $E$9)</f>
        <v>37.684199999999997</v>
      </c>
      <c r="L667" s="14">
        <f>CHOOSE(CONTROL!$C$42, 38.489, 38.489) * CHOOSE(CONTROL!$C$21, $C$9, 100%, $E$9)</f>
        <v>38.488999999999997</v>
      </c>
      <c r="M667" s="14">
        <f>CHOOSE(CONTROL!$C$42, 37.2878, 37.2878) * CHOOSE(CONTROL!$C$21, $C$9, 100%, $E$9)</f>
        <v>37.287799999999997</v>
      </c>
      <c r="N667" s="14">
        <f>CHOOSE(CONTROL!$C$42, 37.3039, 37.3039) * CHOOSE(CONTROL!$C$21, $C$9, 100%, $E$9)</f>
        <v>37.303899999999999</v>
      </c>
      <c r="O667" s="14">
        <f>CHOOSE(CONTROL!$C$42, 37.5333, 37.5333) * CHOOSE(CONTROL!$C$21, $C$9, 100%, $E$9)</f>
        <v>37.533299999999997</v>
      </c>
      <c r="P667" s="14">
        <f>CHOOSE(CONTROL!$C$42, 37.3216, 37.3216) * CHOOSE(CONTROL!$C$21, $C$9, 100%, $E$9)</f>
        <v>37.321599999999997</v>
      </c>
      <c r="Q667" s="14">
        <f>CHOOSE(CONTROL!$C$42, 38.1286, 38.1286) * CHOOSE(CONTROL!$C$21, $C$9, 100%, $E$9)</f>
        <v>38.128599999999999</v>
      </c>
      <c r="R667" s="14">
        <f>CHOOSE(CONTROL!$C$42, 38.8109, 38.8109) * CHOOSE(CONTROL!$C$21, $C$9, 100%, $E$9)</f>
        <v>38.810899999999997</v>
      </c>
      <c r="S667" s="14">
        <f>CHOOSE(CONTROL!$C$42, 36.5836, 36.5836) * CHOOSE(CONTROL!$C$21, $C$9, 100%, $E$9)</f>
        <v>36.583599999999997</v>
      </c>
      <c r="T66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67" s="57">
        <f>(1000*CHOOSE(CONTROL!$C$42, 695, 695)*CHOOSE(CONTROL!$C$42, 0.5599, 0.5599)*CHOOSE(CONTROL!$C$42, 31, 31))/1000000</f>
        <v>12.063045499999998</v>
      </c>
      <c r="V667" s="57">
        <f>(1000*CHOOSE(CONTROL!$C$42, 500, 500)*CHOOSE(CONTROL!$C$42, 0.275, 0.275)*CHOOSE(CONTROL!$C$42, 31, 31))/1000000</f>
        <v>4.2625000000000002</v>
      </c>
      <c r="W667" s="57">
        <f>(1000*CHOOSE(CONTROL!$C$42, 0.1146, 0.1146)*CHOOSE(CONTROL!$C$42, 121.5, 121.5)*CHOOSE(CONTROL!$C$42, 31, 31))/1000000</f>
        <v>0.43164089999999994</v>
      </c>
      <c r="X667" s="57">
        <f>(31*0.1790888*245000/1000000)+(31*0.2374*100000/1000000)</f>
        <v>2.0961194359999999</v>
      </c>
      <c r="Y667" s="57"/>
      <c r="Z667" s="14"/>
      <c r="AA667" s="56"/>
      <c r="AB667" s="50">
        <f>(B667*194.205+C667*267.466+D667*133.845+E667*53.484+F667*40+G667*185+H667*0+I667*100+J667*300)/(194.205+267.466+133.845+53.484+0+40+185+100+300)</f>
        <v>37.704997836185242</v>
      </c>
      <c r="AC667" s="45">
        <f>(M667*'RAP TEMPLATE-GAS AVAILABILITY'!O666+N667*'RAP TEMPLATE-GAS AVAILABILITY'!P666+O667*'RAP TEMPLATE-GAS AVAILABILITY'!Q666+P667*'RAP TEMPLATE-GAS AVAILABILITY'!R666)/('RAP TEMPLATE-GAS AVAILABILITY'!O666+'RAP TEMPLATE-GAS AVAILABILITY'!P666+'RAP TEMPLATE-GAS AVAILABILITY'!Q666+'RAP TEMPLATE-GAS AVAILABILITY'!R666)</f>
        <v>37.404859712230213</v>
      </c>
    </row>
    <row r="668" spans="1:29" ht="15.75" x14ac:dyDescent="0.25">
      <c r="A668" s="32">
        <v>61240</v>
      </c>
      <c r="B668" s="14">
        <f>CHOOSE(CONTROL!$C$42, 35.8159, 35.8159) * CHOOSE(CONTROL!$C$21, $C$9, 100%, $E$9)</f>
        <v>35.815899999999999</v>
      </c>
      <c r="C668" s="14">
        <f>CHOOSE(CONTROL!$C$42, 35.8238, 35.8238) * CHOOSE(CONTROL!$C$21, $C$9, 100%, $E$9)</f>
        <v>35.823799999999999</v>
      </c>
      <c r="D668" s="14">
        <f>CHOOSE(CONTROL!$C$42, 36.0214, 36.0214) * CHOOSE(CONTROL!$C$21, $C$9, 100%, $E$9)</f>
        <v>36.0214</v>
      </c>
      <c r="E668" s="14">
        <f>CHOOSE(CONTROL!$C$42, 36.0525, 36.0525) * CHOOSE(CONTROL!$C$21, $C$9, 100%, $E$9)</f>
        <v>36.052500000000002</v>
      </c>
      <c r="F668" s="14">
        <f>CHOOSE(CONTROL!$C$42, 35.8004, 35.8004)*CHOOSE(CONTROL!$C$21, $C$9, 100%, $E$9)</f>
        <v>35.800400000000003</v>
      </c>
      <c r="G668" s="14">
        <f>CHOOSE(CONTROL!$C$42, 35.8167, 35.8167)*CHOOSE(CONTROL!$C$21, $C$9, 100%, $E$9)</f>
        <v>35.816699999999997</v>
      </c>
      <c r="H668" s="14">
        <f>CHOOSE(CONTROL!$C$42, 36.0412, 36.0412) * CHOOSE(CONTROL!$C$21, $C$9, 100%, $E$9)</f>
        <v>36.041200000000003</v>
      </c>
      <c r="I668" s="14">
        <f>CHOOSE(CONTROL!$C$42, 35.8273, 35.8273)* CHOOSE(CONTROL!$C$21, $C$9, 100%, $E$9)</f>
        <v>35.827300000000001</v>
      </c>
      <c r="J668" s="14">
        <f>CHOOSE(CONTROL!$C$42, 35.7934, 35.7934)* CHOOSE(CONTROL!$C$21, $C$9, 100%, $E$9)</f>
        <v>35.793399999999998</v>
      </c>
      <c r="K668" s="53">
        <f>CHOOSE(CONTROL!$C$42, 35.8234, 35.8234) * CHOOSE(CONTROL!$C$21, $C$9, 100%, $E$9)</f>
        <v>35.823399999999999</v>
      </c>
      <c r="L668" s="14">
        <f>CHOOSE(CONTROL!$C$42, 36.6282, 36.6282) * CHOOSE(CONTROL!$C$21, $C$9, 100%, $E$9)</f>
        <v>36.6282</v>
      </c>
      <c r="M668" s="14">
        <f>CHOOSE(CONTROL!$C$42, 35.446, 35.446) * CHOOSE(CONTROL!$C$21, $C$9, 100%, $E$9)</f>
        <v>35.445999999999998</v>
      </c>
      <c r="N668" s="14">
        <f>CHOOSE(CONTROL!$C$42, 35.4622, 35.4622) * CHOOSE(CONTROL!$C$21, $C$9, 100%, $E$9)</f>
        <v>35.462200000000003</v>
      </c>
      <c r="O668" s="14">
        <f>CHOOSE(CONTROL!$C$42, 35.6913, 35.6913) * CHOOSE(CONTROL!$C$21, $C$9, 100%, $E$9)</f>
        <v>35.691299999999998</v>
      </c>
      <c r="P668" s="14">
        <f>CHOOSE(CONTROL!$C$42, 35.4796, 35.4796) * CHOOSE(CONTROL!$C$21, $C$9, 100%, $E$9)</f>
        <v>35.479599999999998</v>
      </c>
      <c r="Q668" s="14">
        <f>CHOOSE(CONTROL!$C$42, 36.2866, 36.2866) * CHOOSE(CONTROL!$C$21, $C$9, 100%, $E$9)</f>
        <v>36.2866</v>
      </c>
      <c r="R668" s="14">
        <f>CHOOSE(CONTROL!$C$42, 36.9643, 36.9643) * CHOOSE(CONTROL!$C$21, $C$9, 100%, $E$9)</f>
        <v>36.964300000000001</v>
      </c>
      <c r="S668" s="14">
        <f>CHOOSE(CONTROL!$C$42, 34.7766, 34.7766) * CHOOSE(CONTROL!$C$21, $C$9, 100%, $E$9)</f>
        <v>34.776600000000002</v>
      </c>
      <c r="T66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68" s="57">
        <f>(1000*CHOOSE(CONTROL!$C$42, 695, 695)*CHOOSE(CONTROL!$C$42, 0.5599, 0.5599)*CHOOSE(CONTROL!$C$42, 31, 31))/1000000</f>
        <v>12.063045499999998</v>
      </c>
      <c r="V668" s="57">
        <f>(1000*CHOOSE(CONTROL!$C$42, 500, 500)*CHOOSE(CONTROL!$C$42, 0.275, 0.275)*CHOOSE(CONTROL!$C$42, 31, 31))/1000000</f>
        <v>4.2625000000000002</v>
      </c>
      <c r="W668" s="57">
        <f>(1000*CHOOSE(CONTROL!$C$42, 0.1146, 0.1146)*CHOOSE(CONTROL!$C$42, 121.5, 121.5)*CHOOSE(CONTROL!$C$42, 31, 31))/1000000</f>
        <v>0.43164089999999994</v>
      </c>
      <c r="X668" s="57">
        <f>(31*0.1790888*245000/1000000)+(31*0.2374*100000/1000000)</f>
        <v>2.0961194359999999</v>
      </c>
      <c r="Y668" s="57"/>
      <c r="Z668" s="14"/>
      <c r="AA668" s="56"/>
      <c r="AB668" s="50">
        <f>(B668*194.205+C668*267.466+D668*133.845+E668*53.484+F668*40+G668*185+H668*0+I668*100+J668*300)/(194.205+267.466+133.845+53.484+0+40+185+100+300)</f>
        <v>35.844306941365772</v>
      </c>
      <c r="AC668" s="45">
        <f>(M668*'RAP TEMPLATE-GAS AVAILABILITY'!O667+N668*'RAP TEMPLATE-GAS AVAILABILITY'!P667+O668*'RAP TEMPLATE-GAS AVAILABILITY'!Q667+P668*'RAP TEMPLATE-GAS AVAILABILITY'!R667)/('RAP TEMPLATE-GAS AVAILABILITY'!O667+'RAP TEMPLATE-GAS AVAILABILITY'!P667+'RAP TEMPLATE-GAS AVAILABILITY'!Q667+'RAP TEMPLATE-GAS AVAILABILITY'!R667)</f>
        <v>35.562946043165468</v>
      </c>
    </row>
    <row r="669" spans="1:29" ht="15.75" x14ac:dyDescent="0.25">
      <c r="A669" s="32">
        <v>61270</v>
      </c>
      <c r="B669" s="14">
        <f>CHOOSE(CONTROL!$C$42, 33.542, 33.542) * CHOOSE(CONTROL!$C$21, $C$9, 100%, $E$9)</f>
        <v>33.542000000000002</v>
      </c>
      <c r="C669" s="14">
        <f>CHOOSE(CONTROL!$C$42, 33.5499, 33.5499) * CHOOSE(CONTROL!$C$21, $C$9, 100%, $E$9)</f>
        <v>33.549900000000001</v>
      </c>
      <c r="D669" s="14">
        <f>CHOOSE(CONTROL!$C$42, 33.7475, 33.7475) * CHOOSE(CONTROL!$C$21, $C$9, 100%, $E$9)</f>
        <v>33.747500000000002</v>
      </c>
      <c r="E669" s="14">
        <f>CHOOSE(CONTROL!$C$42, 33.7786, 33.7786) * CHOOSE(CONTROL!$C$21, $C$9, 100%, $E$9)</f>
        <v>33.778599999999997</v>
      </c>
      <c r="F669" s="14">
        <f>CHOOSE(CONTROL!$C$42, 33.5264, 33.5264)*CHOOSE(CONTROL!$C$21, $C$9, 100%, $E$9)</f>
        <v>33.526400000000002</v>
      </c>
      <c r="G669" s="14">
        <f>CHOOSE(CONTROL!$C$42, 33.5427, 33.5427)*CHOOSE(CONTROL!$C$21, $C$9, 100%, $E$9)</f>
        <v>33.542700000000004</v>
      </c>
      <c r="H669" s="14">
        <f>CHOOSE(CONTROL!$C$42, 33.7673, 33.7673) * CHOOSE(CONTROL!$C$21, $C$9, 100%, $E$9)</f>
        <v>33.767299999999999</v>
      </c>
      <c r="I669" s="14">
        <f>CHOOSE(CONTROL!$C$42, 33.5534, 33.5534)* CHOOSE(CONTROL!$C$21, $C$9, 100%, $E$9)</f>
        <v>33.553400000000003</v>
      </c>
      <c r="J669" s="14">
        <f>CHOOSE(CONTROL!$C$42, 33.5194, 33.5194)* CHOOSE(CONTROL!$C$21, $C$9, 100%, $E$9)</f>
        <v>33.519399999999997</v>
      </c>
      <c r="K669" s="53">
        <f>CHOOSE(CONTROL!$C$42, 33.5495, 33.5495) * CHOOSE(CONTROL!$C$21, $C$9, 100%, $E$9)</f>
        <v>33.549500000000002</v>
      </c>
      <c r="L669" s="14">
        <f>CHOOSE(CONTROL!$C$42, 34.3543, 34.3543) * CHOOSE(CONTROL!$C$21, $C$9, 100%, $E$9)</f>
        <v>34.354300000000002</v>
      </c>
      <c r="M669" s="14">
        <f>CHOOSE(CONTROL!$C$42, 33.1949, 33.1949) * CHOOSE(CONTROL!$C$21, $C$9, 100%, $E$9)</f>
        <v>33.194899999999997</v>
      </c>
      <c r="N669" s="14">
        <f>CHOOSE(CONTROL!$C$42, 33.2111, 33.2111) * CHOOSE(CONTROL!$C$21, $C$9, 100%, $E$9)</f>
        <v>33.211100000000002</v>
      </c>
      <c r="O669" s="14">
        <f>CHOOSE(CONTROL!$C$42, 33.4403, 33.4403) * CHOOSE(CONTROL!$C$21, $C$9, 100%, $E$9)</f>
        <v>33.440300000000001</v>
      </c>
      <c r="P669" s="14">
        <f>CHOOSE(CONTROL!$C$42, 33.2286, 33.2286) * CHOOSE(CONTROL!$C$21, $C$9, 100%, $E$9)</f>
        <v>33.2286</v>
      </c>
      <c r="Q669" s="14">
        <f>CHOOSE(CONTROL!$C$42, 34.0356, 34.0356) * CHOOSE(CONTROL!$C$21, $C$9, 100%, $E$9)</f>
        <v>34.035600000000002</v>
      </c>
      <c r="R669" s="14">
        <f>CHOOSE(CONTROL!$C$42, 34.7077, 34.7077) * CHOOSE(CONTROL!$C$21, $C$9, 100%, $E$9)</f>
        <v>34.707700000000003</v>
      </c>
      <c r="S669" s="14">
        <f>CHOOSE(CONTROL!$C$42, 32.5684, 32.5684) * CHOOSE(CONTROL!$C$21, $C$9, 100%, $E$9)</f>
        <v>32.568399999999997</v>
      </c>
      <c r="T66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69" s="57">
        <f>(1000*CHOOSE(CONTROL!$C$42, 695, 695)*CHOOSE(CONTROL!$C$42, 0.5599, 0.5599)*CHOOSE(CONTROL!$C$42, 30, 30))/1000000</f>
        <v>11.673914999999997</v>
      </c>
      <c r="V669" s="57">
        <f>(1000*CHOOSE(CONTROL!$C$42, 500, 500)*CHOOSE(CONTROL!$C$42, 0.275, 0.275)*CHOOSE(CONTROL!$C$42, 30, 30))/1000000</f>
        <v>4.125</v>
      </c>
      <c r="W669" s="57">
        <f>(1000*CHOOSE(CONTROL!$C$42, 0.1146, 0.1146)*CHOOSE(CONTROL!$C$42, 121.5, 121.5)*CHOOSE(CONTROL!$C$42, 30, 30))/1000000</f>
        <v>0.417717</v>
      </c>
      <c r="X669" s="57">
        <f>(30*0.1790888*245000/1000000)+(30*0.2374*100000/1000000)</f>
        <v>2.0285026799999999</v>
      </c>
      <c r="Y669" s="57"/>
      <c r="Z669" s="14"/>
      <c r="AA669" s="56"/>
      <c r="AB669" s="50">
        <f>(B669*194.205+C669*267.466+D669*133.845+E669*53.484+F669*40+G669*185+H669*0+I669*100+J669*300)/(194.205+267.466+133.845+53.484+0+40+185+100+300)</f>
        <v>33.570365732574565</v>
      </c>
      <c r="AC669" s="45">
        <f>(M669*'RAP TEMPLATE-GAS AVAILABILITY'!O668+N669*'RAP TEMPLATE-GAS AVAILABILITY'!P668+O669*'RAP TEMPLATE-GAS AVAILABILITY'!Q668+P669*'RAP TEMPLATE-GAS AVAILABILITY'!R668)/('RAP TEMPLATE-GAS AVAILABILITY'!O668+'RAP TEMPLATE-GAS AVAILABILITY'!P668+'RAP TEMPLATE-GAS AVAILABILITY'!Q668+'RAP TEMPLATE-GAS AVAILABILITY'!R668)</f>
        <v>33.311905755395685</v>
      </c>
    </row>
    <row r="670" spans="1:29" ht="15.75" x14ac:dyDescent="0.25">
      <c r="A670" s="32">
        <v>61301</v>
      </c>
      <c r="B670" s="14">
        <f>CHOOSE(CONTROL!$C$42, 32.8593, 32.8593) * CHOOSE(CONTROL!$C$21, $C$9, 100%, $E$9)</f>
        <v>32.859299999999998</v>
      </c>
      <c r="C670" s="14">
        <f>CHOOSE(CONTROL!$C$42, 32.8645, 32.8645) * CHOOSE(CONTROL!$C$21, $C$9, 100%, $E$9)</f>
        <v>32.8645</v>
      </c>
      <c r="D670" s="14">
        <f>CHOOSE(CONTROL!$C$42, 33.0671, 33.0671) * CHOOSE(CONTROL!$C$21, $C$9, 100%, $E$9)</f>
        <v>33.067100000000003</v>
      </c>
      <c r="E670" s="14">
        <f>CHOOSE(CONTROL!$C$42, 33.0959, 33.0959) * CHOOSE(CONTROL!$C$21, $C$9, 100%, $E$9)</f>
        <v>33.0959</v>
      </c>
      <c r="F670" s="14">
        <f>CHOOSE(CONTROL!$C$42, 32.8457, 32.8457)*CHOOSE(CONTROL!$C$21, $C$9, 100%, $E$9)</f>
        <v>32.845700000000001</v>
      </c>
      <c r="G670" s="14">
        <f>CHOOSE(CONTROL!$C$42, 32.8617, 32.8617)*CHOOSE(CONTROL!$C$21, $C$9, 100%, $E$9)</f>
        <v>32.861699999999999</v>
      </c>
      <c r="H670" s="14">
        <f>CHOOSE(CONTROL!$C$42, 33.0863, 33.0863) * CHOOSE(CONTROL!$C$21, $C$9, 100%, $E$9)</f>
        <v>33.086300000000001</v>
      </c>
      <c r="I670" s="14">
        <f>CHOOSE(CONTROL!$C$42, 32.8724, 32.8724)* CHOOSE(CONTROL!$C$21, $C$9, 100%, $E$9)</f>
        <v>32.872399999999999</v>
      </c>
      <c r="J670" s="14">
        <f>CHOOSE(CONTROL!$C$42, 32.8387, 32.8387)* CHOOSE(CONTROL!$C$21, $C$9, 100%, $E$9)</f>
        <v>32.838700000000003</v>
      </c>
      <c r="K670" s="53">
        <f>CHOOSE(CONTROL!$C$42, 32.8685, 32.8685) * CHOOSE(CONTROL!$C$21, $C$9, 100%, $E$9)</f>
        <v>32.868499999999997</v>
      </c>
      <c r="L670" s="14">
        <f>CHOOSE(CONTROL!$C$42, 33.6733, 33.6733) * CHOOSE(CONTROL!$C$21, $C$9, 100%, $E$9)</f>
        <v>33.673299999999998</v>
      </c>
      <c r="M670" s="14">
        <f>CHOOSE(CONTROL!$C$42, 32.5211, 32.5211) * CHOOSE(CONTROL!$C$21, $C$9, 100%, $E$9)</f>
        <v>32.521099999999997</v>
      </c>
      <c r="N670" s="14">
        <f>CHOOSE(CONTROL!$C$42, 32.537, 32.537) * CHOOSE(CONTROL!$C$21, $C$9, 100%, $E$9)</f>
        <v>32.536999999999999</v>
      </c>
      <c r="O670" s="14">
        <f>CHOOSE(CONTROL!$C$42, 32.7663, 32.7663) * CHOOSE(CONTROL!$C$21, $C$9, 100%, $E$9)</f>
        <v>32.766300000000001</v>
      </c>
      <c r="P670" s="14">
        <f>CHOOSE(CONTROL!$C$42, 32.5546, 32.5546) * CHOOSE(CONTROL!$C$21, $C$9, 100%, $E$9)</f>
        <v>32.554600000000001</v>
      </c>
      <c r="Q670" s="14">
        <f>CHOOSE(CONTROL!$C$42, 33.3616, 33.3616) * CHOOSE(CONTROL!$C$21, $C$9, 100%, $E$9)</f>
        <v>33.361600000000003</v>
      </c>
      <c r="R670" s="14">
        <f>CHOOSE(CONTROL!$C$42, 34.032, 34.032) * CHOOSE(CONTROL!$C$21, $C$9, 100%, $E$9)</f>
        <v>34.031999999999996</v>
      </c>
      <c r="S670" s="14">
        <f>CHOOSE(CONTROL!$C$42, 31.9071, 31.9071) * CHOOSE(CONTROL!$C$21, $C$9, 100%, $E$9)</f>
        <v>31.9071</v>
      </c>
      <c r="T67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70" s="57">
        <f>(1000*CHOOSE(CONTROL!$C$42, 695, 695)*CHOOSE(CONTROL!$C$42, 0.5599, 0.5599)*CHOOSE(CONTROL!$C$42, 31, 31))/1000000</f>
        <v>12.063045499999998</v>
      </c>
      <c r="V670" s="57">
        <f>(1000*CHOOSE(CONTROL!$C$42, 500, 500)*CHOOSE(CONTROL!$C$42, 0.275, 0.275)*CHOOSE(CONTROL!$C$42, 31, 31))/1000000</f>
        <v>4.2625000000000002</v>
      </c>
      <c r="W670" s="57">
        <f>(1000*CHOOSE(CONTROL!$C$42, 0.1146, 0.1146)*CHOOSE(CONTROL!$C$42, 121.5, 121.5)*CHOOSE(CONTROL!$C$42, 31, 31))/1000000</f>
        <v>0.43164089999999994</v>
      </c>
      <c r="X670" s="57">
        <f>(31*0.1790888*245000/1000000)+(31*0.2374*100000/1000000)</f>
        <v>2.0961194359999999</v>
      </c>
      <c r="Y670" s="57"/>
      <c r="Z670" s="14"/>
      <c r="AA670" s="56"/>
      <c r="AB670" s="50">
        <f>(B670*131.881+C670*277.167+D670*79.08+E670*125.872+F670*40+G670*185+H670*0+I670*100+J670*300)/(131.881+277.167+79.08+125.872+0+40+185+100+300)</f>
        <v>32.893751499273606</v>
      </c>
      <c r="AC670" s="45">
        <f>(M670*'RAP TEMPLATE-GAS AVAILABILITY'!O669+N670*'RAP TEMPLATE-GAS AVAILABILITY'!P669+O670*'RAP TEMPLATE-GAS AVAILABILITY'!Q669+P670*'RAP TEMPLATE-GAS AVAILABILITY'!R669)/('RAP TEMPLATE-GAS AVAILABILITY'!O669+'RAP TEMPLATE-GAS AVAILABILITY'!P669+'RAP TEMPLATE-GAS AVAILABILITY'!Q669+'RAP TEMPLATE-GAS AVAILABILITY'!R669)</f>
        <v>32.637969064748205</v>
      </c>
    </row>
    <row r="671" spans="1:29" ht="15.75" x14ac:dyDescent="0.25">
      <c r="A671" s="32">
        <v>61331</v>
      </c>
      <c r="B671" s="14">
        <f>CHOOSE(CONTROL!$C$42, 33.7245, 33.7245) * CHOOSE(CONTROL!$C$21, $C$9, 100%, $E$9)</f>
        <v>33.724499999999999</v>
      </c>
      <c r="C671" s="14">
        <f>CHOOSE(CONTROL!$C$42, 33.7294, 33.7294) * CHOOSE(CONTROL!$C$21, $C$9, 100%, $E$9)</f>
        <v>33.729399999999998</v>
      </c>
      <c r="D671" s="14">
        <f>CHOOSE(CONTROL!$C$42, 33.7925, 33.7925) * CHOOSE(CONTROL!$C$21, $C$9, 100%, $E$9)</f>
        <v>33.792499999999997</v>
      </c>
      <c r="E671" s="14">
        <f>CHOOSE(CONTROL!$C$42, 33.8263, 33.8263) * CHOOSE(CONTROL!$C$21, $C$9, 100%, $E$9)</f>
        <v>33.826300000000003</v>
      </c>
      <c r="F671" s="14">
        <f>CHOOSE(CONTROL!$C$42, 33.7252, 33.7252)*CHOOSE(CONTROL!$C$21, $C$9, 100%, $E$9)</f>
        <v>33.725200000000001</v>
      </c>
      <c r="G671" s="14">
        <f>CHOOSE(CONTROL!$C$42, 33.7415, 33.7415)*CHOOSE(CONTROL!$C$21, $C$9, 100%, $E$9)</f>
        <v>33.741500000000002</v>
      </c>
      <c r="H671" s="14">
        <f>CHOOSE(CONTROL!$C$42, 33.8155, 33.8155) * CHOOSE(CONTROL!$C$21, $C$9, 100%, $E$9)</f>
        <v>33.8155</v>
      </c>
      <c r="I671" s="14">
        <f>CHOOSE(CONTROL!$C$42, 33.738, 33.738)* CHOOSE(CONTROL!$C$21, $C$9, 100%, $E$9)</f>
        <v>33.738</v>
      </c>
      <c r="J671" s="14">
        <f>CHOOSE(CONTROL!$C$42, 33.7182, 33.7182)* CHOOSE(CONTROL!$C$21, $C$9, 100%, $E$9)</f>
        <v>33.718200000000003</v>
      </c>
      <c r="K671" s="53">
        <f>CHOOSE(CONTROL!$C$42, 33.7341, 33.7341) * CHOOSE(CONTROL!$C$21, $C$9, 100%, $E$9)</f>
        <v>33.734099999999998</v>
      </c>
      <c r="L671" s="14">
        <f>CHOOSE(CONTROL!$C$42, 34.4025, 34.4025) * CHOOSE(CONTROL!$C$21, $C$9, 100%, $E$9)</f>
        <v>34.402500000000003</v>
      </c>
      <c r="M671" s="14">
        <f>CHOOSE(CONTROL!$C$42, 33.3917, 33.3917) * CHOOSE(CONTROL!$C$21, $C$9, 100%, $E$9)</f>
        <v>33.3917</v>
      </c>
      <c r="N671" s="14">
        <f>CHOOSE(CONTROL!$C$42, 33.4078, 33.4078) * CHOOSE(CONTROL!$C$21, $C$9, 100%, $E$9)</f>
        <v>33.407800000000002</v>
      </c>
      <c r="O671" s="14">
        <f>CHOOSE(CONTROL!$C$42, 33.488, 33.488) * CHOOSE(CONTROL!$C$21, $C$9, 100%, $E$9)</f>
        <v>33.488</v>
      </c>
      <c r="P671" s="14">
        <f>CHOOSE(CONTROL!$C$42, 33.4114, 33.4114) * CHOOSE(CONTROL!$C$21, $C$9, 100%, $E$9)</f>
        <v>33.4114</v>
      </c>
      <c r="Q671" s="14">
        <f>CHOOSE(CONTROL!$C$42, 34.0833, 34.0833) * CHOOSE(CONTROL!$C$21, $C$9, 100%, $E$9)</f>
        <v>34.083300000000001</v>
      </c>
      <c r="R671" s="14">
        <f>CHOOSE(CONTROL!$C$42, 34.7555, 34.7555) * CHOOSE(CONTROL!$C$21, $C$9, 100%, $E$9)</f>
        <v>34.755499999999998</v>
      </c>
      <c r="S671" s="14">
        <f>CHOOSE(CONTROL!$C$42, 32.7477, 32.7477) * CHOOSE(CONTROL!$C$21, $C$9, 100%, $E$9)</f>
        <v>32.747700000000002</v>
      </c>
      <c r="T67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71" s="57">
        <f>(1000*CHOOSE(CONTROL!$C$42, 695, 695)*CHOOSE(CONTROL!$C$42, 0.5599, 0.5599)*CHOOSE(CONTROL!$C$42, 30, 30))/1000000</f>
        <v>11.673914999999997</v>
      </c>
      <c r="V671" s="57">
        <f>(1000*CHOOSE(CONTROL!$C$42, 500, 500)*CHOOSE(CONTROL!$C$42, 0.275, 0.275)*CHOOSE(CONTROL!$C$42, 30, 30))/1000000</f>
        <v>4.125</v>
      </c>
      <c r="W671" s="57">
        <f>(1000*CHOOSE(CONTROL!$C$42, 0.1146, 0.1146)*CHOOSE(CONTROL!$C$42, 121.5, 121.5)*CHOOSE(CONTROL!$C$42, 30, 30))/1000000</f>
        <v>0.417717</v>
      </c>
      <c r="X671" s="57">
        <f>(30*0.1790888*100000/1000000)+(30*0.2374*100000/1000000)</f>
        <v>1.2494664</v>
      </c>
      <c r="Y671" s="57"/>
      <c r="Z671" s="14"/>
      <c r="AA671" s="56"/>
      <c r="AB671" s="50">
        <f>(B671*122.58+C671*297.941+D671*89.177+E671*40.302+F671*40+G671*160+H671*0+I671*100+J671*300)/(122.58+297.941+89.177+40.302+0+40+160+100+300)</f>
        <v>33.736530165652169</v>
      </c>
      <c r="AC671" s="45">
        <f>(M671*'RAP TEMPLATE-GAS AVAILABILITY'!O670+N671*'RAP TEMPLATE-GAS AVAILABILITY'!P670+O671*'RAP TEMPLATE-GAS AVAILABILITY'!Q670+P671*'RAP TEMPLATE-GAS AVAILABILITY'!R670)/('RAP TEMPLATE-GAS AVAILABILITY'!O670+'RAP TEMPLATE-GAS AVAILABILITY'!P670+'RAP TEMPLATE-GAS AVAILABILITY'!Q670+'RAP TEMPLATE-GAS AVAILABILITY'!R670)</f>
        <v>33.439107913669062</v>
      </c>
    </row>
    <row r="672" spans="1:29" ht="15.75" x14ac:dyDescent="0.25">
      <c r="A672" s="32">
        <v>61362</v>
      </c>
      <c r="B672" s="14">
        <f>CHOOSE(CONTROL!$C$42, 36.0236, 36.0236) * CHOOSE(CONTROL!$C$21, $C$9, 100%, $E$9)</f>
        <v>36.023600000000002</v>
      </c>
      <c r="C672" s="14">
        <f>CHOOSE(CONTROL!$C$42, 36.0285, 36.0285) * CHOOSE(CONTROL!$C$21, $C$9, 100%, $E$9)</f>
        <v>36.028500000000001</v>
      </c>
      <c r="D672" s="14">
        <f>CHOOSE(CONTROL!$C$42, 36.0916, 36.0916) * CHOOSE(CONTROL!$C$21, $C$9, 100%, $E$9)</f>
        <v>36.0916</v>
      </c>
      <c r="E672" s="14">
        <f>CHOOSE(CONTROL!$C$42, 36.1254, 36.1254) * CHOOSE(CONTROL!$C$21, $C$9, 100%, $E$9)</f>
        <v>36.125399999999999</v>
      </c>
      <c r="F672" s="14">
        <f>CHOOSE(CONTROL!$C$42, 36.0263, 36.0263)*CHOOSE(CONTROL!$C$21, $C$9, 100%, $E$9)</f>
        <v>36.026299999999999</v>
      </c>
      <c r="G672" s="14">
        <f>CHOOSE(CONTROL!$C$42, 36.0431, 36.0431)*CHOOSE(CONTROL!$C$21, $C$9, 100%, $E$9)</f>
        <v>36.043100000000003</v>
      </c>
      <c r="H672" s="14">
        <f>CHOOSE(CONTROL!$C$42, 36.1146, 36.1146) * CHOOSE(CONTROL!$C$21, $C$9, 100%, $E$9)</f>
        <v>36.114600000000003</v>
      </c>
      <c r="I672" s="14">
        <f>CHOOSE(CONTROL!$C$42, 36.0371, 36.0371)* CHOOSE(CONTROL!$C$21, $C$9, 100%, $E$9)</f>
        <v>36.037100000000002</v>
      </c>
      <c r="J672" s="14">
        <f>CHOOSE(CONTROL!$C$42, 36.0193, 36.0193)* CHOOSE(CONTROL!$C$21, $C$9, 100%, $E$9)</f>
        <v>36.019300000000001</v>
      </c>
      <c r="K672" s="53">
        <f>CHOOSE(CONTROL!$C$42, 36.0332, 36.0332) * CHOOSE(CONTROL!$C$21, $C$9, 100%, $E$9)</f>
        <v>36.033200000000001</v>
      </c>
      <c r="L672" s="14">
        <f>CHOOSE(CONTROL!$C$42, 36.7016, 36.7016) * CHOOSE(CONTROL!$C$21, $C$9, 100%, $E$9)</f>
        <v>36.701599999999999</v>
      </c>
      <c r="M672" s="14">
        <f>CHOOSE(CONTROL!$C$42, 35.6697, 35.6697) * CHOOSE(CONTROL!$C$21, $C$9, 100%, $E$9)</f>
        <v>35.669699999999999</v>
      </c>
      <c r="N672" s="14">
        <f>CHOOSE(CONTROL!$C$42, 35.6863, 35.6863) * CHOOSE(CONTROL!$C$21, $C$9, 100%, $E$9)</f>
        <v>35.686300000000003</v>
      </c>
      <c r="O672" s="14">
        <f>CHOOSE(CONTROL!$C$42, 35.764, 35.764) * CHOOSE(CONTROL!$C$21, $C$9, 100%, $E$9)</f>
        <v>35.764000000000003</v>
      </c>
      <c r="P672" s="14">
        <f>CHOOSE(CONTROL!$C$42, 35.6873, 35.6873) * CHOOSE(CONTROL!$C$21, $C$9, 100%, $E$9)</f>
        <v>35.6873</v>
      </c>
      <c r="Q672" s="14">
        <f>CHOOSE(CONTROL!$C$42, 36.3593, 36.3593) * CHOOSE(CONTROL!$C$21, $C$9, 100%, $E$9)</f>
        <v>36.359299999999998</v>
      </c>
      <c r="R672" s="14">
        <f>CHOOSE(CONTROL!$C$42, 37.0372, 37.0372) * CHOOSE(CONTROL!$C$21, $C$9, 100%, $E$9)</f>
        <v>37.037199999999999</v>
      </c>
      <c r="S672" s="14">
        <f>CHOOSE(CONTROL!$C$42, 34.9804, 34.9804) * CHOOSE(CONTROL!$C$21, $C$9, 100%, $E$9)</f>
        <v>34.980400000000003</v>
      </c>
      <c r="T67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72" s="57">
        <f>(1000*CHOOSE(CONTROL!$C$42, 695, 695)*CHOOSE(CONTROL!$C$42, 0.5599, 0.5599)*CHOOSE(CONTROL!$C$42, 31, 31))/1000000</f>
        <v>12.063045499999998</v>
      </c>
      <c r="V672" s="57">
        <f>(1000*CHOOSE(CONTROL!$C$42, 500, 500)*CHOOSE(CONTROL!$C$42, 0.275, 0.275)*CHOOSE(CONTROL!$C$42, 31, 31))/1000000</f>
        <v>4.2625000000000002</v>
      </c>
      <c r="W672" s="57">
        <f>(1000*CHOOSE(CONTROL!$C$42, 0.1146, 0.1146)*CHOOSE(CONTROL!$C$42, 121.5, 121.5)*CHOOSE(CONTROL!$C$42, 31, 31))/1000000</f>
        <v>0.43164089999999994</v>
      </c>
      <c r="X672" s="57">
        <f>(31*0.1790888*100000/1000000)+(31*0.2374*100000/1000000)</f>
        <v>1.2911152800000001</v>
      </c>
      <c r="Y672" s="57"/>
      <c r="Z672" s="14"/>
      <c r="AA672" s="56"/>
      <c r="AB672" s="50">
        <f>(B672*122.58+C672*297.941+D672*89.177+E672*40.302+F672*40+G672*160+H672*0+I672*100+J672*300)/(122.58+297.941+89.177+40.302+0+40+160+100+300)</f>
        <v>36.036569296086959</v>
      </c>
      <c r="AC672" s="45">
        <f>(M672*'RAP TEMPLATE-GAS AVAILABILITY'!O671+N672*'RAP TEMPLATE-GAS AVAILABILITY'!P671+O672*'RAP TEMPLATE-GAS AVAILABILITY'!Q671+P672*'RAP TEMPLATE-GAS AVAILABILITY'!R671)/('RAP TEMPLATE-GAS AVAILABILITY'!O671+'RAP TEMPLATE-GAS AVAILABILITY'!P671+'RAP TEMPLATE-GAS AVAILABILITY'!Q671+'RAP TEMPLATE-GAS AVAILABILITY'!R671)</f>
        <v>35.71592805755396</v>
      </c>
    </row>
    <row r="673" spans="1:29" ht="15.75" x14ac:dyDescent="0.25">
      <c r="A673" s="32">
        <v>61393</v>
      </c>
      <c r="B673" s="14">
        <f>CHOOSE(CONTROL!$C$42, 38.975, 38.975) * CHOOSE(CONTROL!$C$21, $C$9, 100%, $E$9)</f>
        <v>38.975000000000001</v>
      </c>
      <c r="C673" s="14">
        <f>CHOOSE(CONTROL!$C$42, 38.98, 38.98) * CHOOSE(CONTROL!$C$21, $C$9, 100%, $E$9)</f>
        <v>38.979999999999997</v>
      </c>
      <c r="D673" s="14">
        <f>CHOOSE(CONTROL!$C$42, 39.0442, 39.0442) * CHOOSE(CONTROL!$C$21, $C$9, 100%, $E$9)</f>
        <v>39.044199999999996</v>
      </c>
      <c r="E673" s="14">
        <f>CHOOSE(CONTROL!$C$42, 39.078, 39.078) * CHOOSE(CONTROL!$C$21, $C$9, 100%, $E$9)</f>
        <v>39.078000000000003</v>
      </c>
      <c r="F673" s="14">
        <f>CHOOSE(CONTROL!$C$42, 38.9765, 38.9765)*CHOOSE(CONTROL!$C$21, $C$9, 100%, $E$9)</f>
        <v>38.976500000000001</v>
      </c>
      <c r="G673" s="14">
        <f>CHOOSE(CONTROL!$C$42, 38.9924, 38.9924)*CHOOSE(CONTROL!$C$21, $C$9, 100%, $E$9)</f>
        <v>38.992400000000004</v>
      </c>
      <c r="H673" s="14">
        <f>CHOOSE(CONTROL!$C$42, 39.0672, 39.0672) * CHOOSE(CONTROL!$C$21, $C$9, 100%, $E$9)</f>
        <v>39.0672</v>
      </c>
      <c r="I673" s="14">
        <f>CHOOSE(CONTROL!$C$42, 38.995, 38.995)* CHOOSE(CONTROL!$C$21, $C$9, 100%, $E$9)</f>
        <v>38.994999999999997</v>
      </c>
      <c r="J673" s="14">
        <f>CHOOSE(CONTROL!$C$42, 38.9695, 38.9695)* CHOOSE(CONTROL!$C$21, $C$9, 100%, $E$9)</f>
        <v>38.969499999999996</v>
      </c>
      <c r="K673" s="53">
        <f>CHOOSE(CONTROL!$C$42, 38.9911, 38.9911) * CHOOSE(CONTROL!$C$21, $C$9, 100%, $E$9)</f>
        <v>38.991100000000003</v>
      </c>
      <c r="L673" s="14">
        <f>CHOOSE(CONTROL!$C$42, 39.6542, 39.6542) * CHOOSE(CONTROL!$C$21, $C$9, 100%, $E$9)</f>
        <v>39.654200000000003</v>
      </c>
      <c r="M673" s="14">
        <f>CHOOSE(CONTROL!$C$42, 38.5901, 38.5901) * CHOOSE(CONTROL!$C$21, $C$9, 100%, $E$9)</f>
        <v>38.5901</v>
      </c>
      <c r="N673" s="14">
        <f>CHOOSE(CONTROL!$C$42, 38.6058, 38.6058) * CHOOSE(CONTROL!$C$21, $C$9, 100%, $E$9)</f>
        <v>38.605800000000002</v>
      </c>
      <c r="O673" s="14">
        <f>CHOOSE(CONTROL!$C$42, 38.6868, 38.6868) * CHOOSE(CONTROL!$C$21, $C$9, 100%, $E$9)</f>
        <v>38.686799999999998</v>
      </c>
      <c r="P673" s="14">
        <f>CHOOSE(CONTROL!$C$42, 38.6153, 38.6153) * CHOOSE(CONTROL!$C$21, $C$9, 100%, $E$9)</f>
        <v>38.615299999999998</v>
      </c>
      <c r="Q673" s="14">
        <f>CHOOSE(CONTROL!$C$42, 39.2821, 39.2821) * CHOOSE(CONTROL!$C$21, $C$9, 100%, $E$9)</f>
        <v>39.2821</v>
      </c>
      <c r="R673" s="14">
        <f>CHOOSE(CONTROL!$C$42, 39.9673, 39.9673) * CHOOSE(CONTROL!$C$21, $C$9, 100%, $E$9)</f>
        <v>39.967300000000002</v>
      </c>
      <c r="S673" s="14">
        <f>CHOOSE(CONTROL!$C$42, 37.8465, 37.8465) * CHOOSE(CONTROL!$C$21, $C$9, 100%, $E$9)</f>
        <v>37.846499999999999</v>
      </c>
      <c r="T67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73" s="57">
        <f>(1000*CHOOSE(CONTROL!$C$42, 695, 695)*CHOOSE(CONTROL!$C$42, 0.5599, 0.5599)*CHOOSE(CONTROL!$C$42, 31, 31))/1000000</f>
        <v>12.063045499999998</v>
      </c>
      <c r="V673" s="57">
        <f>(1000*CHOOSE(CONTROL!$C$42, 500, 500)*CHOOSE(CONTROL!$C$42, 0.275, 0.275)*CHOOSE(CONTROL!$C$42, 31, 31))/1000000</f>
        <v>4.2625000000000002</v>
      </c>
      <c r="W673" s="57">
        <f>(1000*CHOOSE(CONTROL!$C$42, 0.1146, 0.1146)*CHOOSE(CONTROL!$C$42, 121.5, 121.5)*CHOOSE(CONTROL!$C$42, 31, 31))/1000000</f>
        <v>0.43164089999999994</v>
      </c>
      <c r="X673" s="57">
        <f>(31*0.1790888*100000/1000000)+(31*0.2374*100000/1000000)</f>
        <v>1.2911152800000001</v>
      </c>
      <c r="Y673" s="57"/>
      <c r="Z673" s="14"/>
      <c r="AA673" s="56"/>
      <c r="AB673" s="50">
        <f>(B673*122.58+C673*297.941+D673*89.177+E673*40.302+F673*40+G673*160+H673*0+I673*100+J673*300)/(122.58+297.941+89.177+40.302+0+40+160+100+300)</f>
        <v>38.988048573391303</v>
      </c>
      <c r="AC673" s="45">
        <f>(M673*'RAP TEMPLATE-GAS AVAILABILITY'!O672+N673*'RAP TEMPLATE-GAS AVAILABILITY'!P672+O673*'RAP TEMPLATE-GAS AVAILABILITY'!Q672+P673*'RAP TEMPLATE-GAS AVAILABILITY'!R672)/('RAP TEMPLATE-GAS AVAILABILITY'!O672+'RAP TEMPLATE-GAS AVAILABILITY'!P672+'RAP TEMPLATE-GAS AVAILABILITY'!Q672+'RAP TEMPLATE-GAS AVAILABILITY'!R672)</f>
        <v>38.638457553956826</v>
      </c>
    </row>
    <row r="674" spans="1:29" ht="15.75" x14ac:dyDescent="0.25">
      <c r="A674" s="32">
        <v>61422</v>
      </c>
      <c r="B674" s="14">
        <f>CHOOSE(CONTROL!$C$42, 39.6688, 39.6688) * CHOOSE(CONTROL!$C$21, $C$9, 100%, $E$9)</f>
        <v>39.668799999999997</v>
      </c>
      <c r="C674" s="14">
        <f>CHOOSE(CONTROL!$C$42, 39.6737, 39.6737) * CHOOSE(CONTROL!$C$21, $C$9, 100%, $E$9)</f>
        <v>39.673699999999997</v>
      </c>
      <c r="D674" s="14">
        <f>CHOOSE(CONTROL!$C$42, 39.738, 39.738) * CHOOSE(CONTROL!$C$21, $C$9, 100%, $E$9)</f>
        <v>39.738</v>
      </c>
      <c r="E674" s="14">
        <f>CHOOSE(CONTROL!$C$42, 39.7718, 39.7718) * CHOOSE(CONTROL!$C$21, $C$9, 100%, $E$9)</f>
        <v>39.771799999999999</v>
      </c>
      <c r="F674" s="14">
        <f>CHOOSE(CONTROL!$C$42, 39.6703, 39.6703)*CHOOSE(CONTROL!$C$21, $C$9, 100%, $E$9)</f>
        <v>39.670299999999997</v>
      </c>
      <c r="G674" s="14">
        <f>CHOOSE(CONTROL!$C$42, 39.6863, 39.6863)*CHOOSE(CONTROL!$C$21, $C$9, 100%, $E$9)</f>
        <v>39.686300000000003</v>
      </c>
      <c r="H674" s="14">
        <f>CHOOSE(CONTROL!$C$42, 39.761, 39.761) * CHOOSE(CONTROL!$C$21, $C$9, 100%, $E$9)</f>
        <v>39.761000000000003</v>
      </c>
      <c r="I674" s="14">
        <f>CHOOSE(CONTROL!$C$42, 39.6887, 39.6887)* CHOOSE(CONTROL!$C$21, $C$9, 100%, $E$9)</f>
        <v>39.688699999999997</v>
      </c>
      <c r="J674" s="14">
        <f>CHOOSE(CONTROL!$C$42, 39.6633, 39.6633)* CHOOSE(CONTROL!$C$21, $C$9, 100%, $E$9)</f>
        <v>39.6633</v>
      </c>
      <c r="K674" s="53">
        <f>CHOOSE(CONTROL!$C$42, 39.6848, 39.6848) * CHOOSE(CONTROL!$C$21, $C$9, 100%, $E$9)</f>
        <v>39.684800000000003</v>
      </c>
      <c r="L674" s="14">
        <f>CHOOSE(CONTROL!$C$42, 40.348, 40.348) * CHOOSE(CONTROL!$C$21, $C$9, 100%, $E$9)</f>
        <v>40.347999999999999</v>
      </c>
      <c r="M674" s="14">
        <f>CHOOSE(CONTROL!$C$42, 39.2769, 39.2769) * CHOOSE(CONTROL!$C$21, $C$9, 100%, $E$9)</f>
        <v>39.276899999999998</v>
      </c>
      <c r="N674" s="14">
        <f>CHOOSE(CONTROL!$C$42, 39.2927, 39.2927) * CHOOSE(CONTROL!$C$21, $C$9, 100%, $E$9)</f>
        <v>39.292700000000004</v>
      </c>
      <c r="O674" s="14">
        <f>CHOOSE(CONTROL!$C$42, 39.3735, 39.3735) * CHOOSE(CONTROL!$C$21, $C$9, 100%, $E$9)</f>
        <v>39.3735</v>
      </c>
      <c r="P674" s="14">
        <f>CHOOSE(CONTROL!$C$42, 39.3021, 39.3021) * CHOOSE(CONTROL!$C$21, $C$9, 100%, $E$9)</f>
        <v>39.302100000000003</v>
      </c>
      <c r="Q674" s="14">
        <f>CHOOSE(CONTROL!$C$42, 39.9688, 39.9688) * CHOOSE(CONTROL!$C$21, $C$9, 100%, $E$9)</f>
        <v>39.968800000000002</v>
      </c>
      <c r="R674" s="14">
        <f>CHOOSE(CONTROL!$C$42, 40.6558, 40.6558) * CHOOSE(CONTROL!$C$21, $C$9, 100%, $E$9)</f>
        <v>40.655799999999999</v>
      </c>
      <c r="S674" s="14">
        <f>CHOOSE(CONTROL!$C$42, 38.5202, 38.5202) * CHOOSE(CONTROL!$C$21, $C$9, 100%, $E$9)</f>
        <v>38.520200000000003</v>
      </c>
      <c r="T674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674" s="57">
        <f>(1000*CHOOSE(CONTROL!$C$42, 695, 695)*CHOOSE(CONTROL!$C$42, 0.5599, 0.5599)*CHOOSE(CONTROL!$C$42, 29, 29))/1000000</f>
        <v>11.284784499999999</v>
      </c>
      <c r="V674" s="57">
        <f>(1000*CHOOSE(CONTROL!$C$42, 500, 500)*CHOOSE(CONTROL!$C$42, 0.275, 0.275)*CHOOSE(CONTROL!$C$42, 29, 29))/1000000</f>
        <v>3.9874999999999998</v>
      </c>
      <c r="W674" s="57">
        <f>(1000*CHOOSE(CONTROL!$C$42, 0.1146, 0.1146)*CHOOSE(CONTROL!$C$42, 121.5, 121.5)*CHOOSE(CONTROL!$C$42, 29, 29))/1000000</f>
        <v>0.40379309999999996</v>
      </c>
      <c r="X674" s="57">
        <f>(29*0.1790888*100000/1000000)+(29*0.2374*100000/1000000)</f>
        <v>1.2078175199999999</v>
      </c>
      <c r="Y674" s="57"/>
      <c r="Z674" s="14"/>
      <c r="AA674" s="56"/>
      <c r="AB674" s="50">
        <f>(B674*122.58+C674*297.941+D674*89.177+E674*40.302+F674*40+G674*160+H674*0+I674*100+J674*300)/(122.58+297.941+89.177+40.302+0+40+160+100+300)</f>
        <v>39.681827882869563</v>
      </c>
      <c r="AC674" s="45">
        <f>(M674*'RAP TEMPLATE-GAS AVAILABILITY'!O673+N674*'RAP TEMPLATE-GAS AVAILABILITY'!P673+O674*'RAP TEMPLATE-GAS AVAILABILITY'!Q673+P674*'RAP TEMPLATE-GAS AVAILABILITY'!R673)/('RAP TEMPLATE-GAS AVAILABILITY'!O673+'RAP TEMPLATE-GAS AVAILABILITY'!P673+'RAP TEMPLATE-GAS AVAILABILITY'!Q673+'RAP TEMPLATE-GAS AVAILABILITY'!R673)</f>
        <v>39.325217985611509</v>
      </c>
    </row>
    <row r="675" spans="1:29" ht="15.75" x14ac:dyDescent="0.25">
      <c r="A675" s="32">
        <v>61453</v>
      </c>
      <c r="B675" s="14">
        <f>CHOOSE(CONTROL!$C$42, 38.5426, 38.5426) * CHOOSE(CONTROL!$C$21, $C$9, 100%, $E$9)</f>
        <v>38.5426</v>
      </c>
      <c r="C675" s="14">
        <f>CHOOSE(CONTROL!$C$42, 38.5476, 38.5476) * CHOOSE(CONTROL!$C$21, $C$9, 100%, $E$9)</f>
        <v>38.547600000000003</v>
      </c>
      <c r="D675" s="14">
        <f>CHOOSE(CONTROL!$C$42, 38.6119, 38.6119) * CHOOSE(CONTROL!$C$21, $C$9, 100%, $E$9)</f>
        <v>38.611899999999999</v>
      </c>
      <c r="E675" s="14">
        <f>CHOOSE(CONTROL!$C$42, 38.6456, 38.6456) * CHOOSE(CONTROL!$C$21, $C$9, 100%, $E$9)</f>
        <v>38.645600000000002</v>
      </c>
      <c r="F675" s="14">
        <f>CHOOSE(CONTROL!$C$42, 38.5439, 38.5439)*CHOOSE(CONTROL!$C$21, $C$9, 100%, $E$9)</f>
        <v>38.543900000000001</v>
      </c>
      <c r="G675" s="14">
        <f>CHOOSE(CONTROL!$C$42, 38.5597, 38.5597)*CHOOSE(CONTROL!$C$21, $C$9, 100%, $E$9)</f>
        <v>38.559699999999999</v>
      </c>
      <c r="H675" s="14">
        <f>CHOOSE(CONTROL!$C$42, 38.6348, 38.6348) * CHOOSE(CONTROL!$C$21, $C$9, 100%, $E$9)</f>
        <v>38.634799999999998</v>
      </c>
      <c r="I675" s="14">
        <f>CHOOSE(CONTROL!$C$42, 38.5626, 38.5626)* CHOOSE(CONTROL!$C$21, $C$9, 100%, $E$9)</f>
        <v>38.562600000000003</v>
      </c>
      <c r="J675" s="14">
        <f>CHOOSE(CONTROL!$C$42, 38.5369, 38.5369)* CHOOSE(CONTROL!$C$21, $C$9, 100%, $E$9)</f>
        <v>38.536900000000003</v>
      </c>
      <c r="K675" s="53">
        <f>CHOOSE(CONTROL!$C$42, 38.5587, 38.5587) * CHOOSE(CONTROL!$C$21, $C$9, 100%, $E$9)</f>
        <v>38.558700000000002</v>
      </c>
      <c r="L675" s="14">
        <f>CHOOSE(CONTROL!$C$42, 39.2218, 39.2218) * CHOOSE(CONTROL!$C$21, $C$9, 100%, $E$9)</f>
        <v>39.221800000000002</v>
      </c>
      <c r="M675" s="14">
        <f>CHOOSE(CONTROL!$C$42, 38.1618, 38.1618) * CHOOSE(CONTROL!$C$21, $C$9, 100%, $E$9)</f>
        <v>38.161799999999999</v>
      </c>
      <c r="N675" s="14">
        <f>CHOOSE(CONTROL!$C$42, 38.1775, 38.1775) * CHOOSE(CONTROL!$C$21, $C$9, 100%, $E$9)</f>
        <v>38.177500000000002</v>
      </c>
      <c r="O675" s="14">
        <f>CHOOSE(CONTROL!$C$42, 38.2588, 38.2588) * CHOOSE(CONTROL!$C$21, $C$9, 100%, $E$9)</f>
        <v>38.258800000000001</v>
      </c>
      <c r="P675" s="14">
        <f>CHOOSE(CONTROL!$C$42, 38.1873, 38.1873) * CHOOSE(CONTROL!$C$21, $C$9, 100%, $E$9)</f>
        <v>38.1873</v>
      </c>
      <c r="Q675" s="14">
        <f>CHOOSE(CONTROL!$C$42, 38.8541, 38.8541) * CHOOSE(CONTROL!$C$21, $C$9, 100%, $E$9)</f>
        <v>38.854100000000003</v>
      </c>
      <c r="R675" s="14">
        <f>CHOOSE(CONTROL!$C$42, 39.5382, 39.5382) * CHOOSE(CONTROL!$C$21, $C$9, 100%, $E$9)</f>
        <v>39.538200000000003</v>
      </c>
      <c r="S675" s="14">
        <f>CHOOSE(CONTROL!$C$42, 37.4266, 37.4266) * CHOOSE(CONTROL!$C$21, $C$9, 100%, $E$9)</f>
        <v>37.426600000000001</v>
      </c>
      <c r="T67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75" s="57">
        <f>(1000*CHOOSE(CONTROL!$C$42, 695, 695)*CHOOSE(CONTROL!$C$42, 0.5599, 0.5599)*CHOOSE(CONTROL!$C$42, 31, 31))/1000000</f>
        <v>12.063045499999998</v>
      </c>
      <c r="V675" s="57">
        <f>(1000*CHOOSE(CONTROL!$C$42, 500, 500)*CHOOSE(CONTROL!$C$42, 0.275, 0.275)*CHOOSE(CONTROL!$C$42, 31, 31))/1000000</f>
        <v>4.2625000000000002</v>
      </c>
      <c r="W675" s="57">
        <f>(1000*CHOOSE(CONTROL!$C$42, 0.1146, 0.1146)*CHOOSE(CONTROL!$C$42, 121.5, 121.5)*CHOOSE(CONTROL!$C$42, 31, 31))/1000000</f>
        <v>0.43164089999999994</v>
      </c>
      <c r="X675" s="57">
        <f>(31*0.1790888*100000/1000000)+(31*0.2374*100000/1000000)</f>
        <v>1.2911152800000001</v>
      </c>
      <c r="Y675" s="57"/>
      <c r="Z675" s="14"/>
      <c r="AA675" s="56"/>
      <c r="AB675" s="50">
        <f>(B675*122.58+C675*297.941+D675*89.177+E675*40.302+F675*40+G675*160+H675*0+I675*100+J675*300)/(122.58+297.941+89.177+40.302+0+40+160+100+300)</f>
        <v>38.555555458347825</v>
      </c>
      <c r="AC675" s="45">
        <f>(M675*'RAP TEMPLATE-GAS AVAILABILITY'!O674+N675*'RAP TEMPLATE-GAS AVAILABILITY'!P674+O675*'RAP TEMPLATE-GAS AVAILABILITY'!Q674+P675*'RAP TEMPLATE-GAS AVAILABILITY'!R674)/('RAP TEMPLATE-GAS AVAILABILITY'!O674+'RAP TEMPLATE-GAS AVAILABILITY'!P674+'RAP TEMPLATE-GAS AVAILABILITY'!Q674+'RAP TEMPLATE-GAS AVAILABILITY'!R674)</f>
        <v>38.21033669064748</v>
      </c>
    </row>
    <row r="676" spans="1:29" ht="15.75" x14ac:dyDescent="0.25">
      <c r="A676" s="32">
        <v>61483</v>
      </c>
      <c r="B676" s="14">
        <f>CHOOSE(CONTROL!$C$42, 38.4284, 38.4284) * CHOOSE(CONTROL!$C$21, $C$9, 100%, $E$9)</f>
        <v>38.428400000000003</v>
      </c>
      <c r="C676" s="14">
        <f>CHOOSE(CONTROL!$C$42, 38.4328, 38.4328) * CHOOSE(CONTROL!$C$21, $C$9, 100%, $E$9)</f>
        <v>38.4328</v>
      </c>
      <c r="D676" s="14">
        <f>CHOOSE(CONTROL!$C$42, 38.6335, 38.6335) * CHOOSE(CONTROL!$C$21, $C$9, 100%, $E$9)</f>
        <v>38.633499999999998</v>
      </c>
      <c r="E676" s="14">
        <f>CHOOSE(CONTROL!$C$42, 38.6653, 38.6653) * CHOOSE(CONTROL!$C$21, $C$9, 100%, $E$9)</f>
        <v>38.665300000000002</v>
      </c>
      <c r="F676" s="14">
        <f>CHOOSE(CONTROL!$C$42, 38.413, 38.413)*CHOOSE(CONTROL!$C$21, $C$9, 100%, $E$9)</f>
        <v>38.412999999999997</v>
      </c>
      <c r="G676" s="14">
        <f>CHOOSE(CONTROL!$C$42, 38.4286, 38.4286)*CHOOSE(CONTROL!$C$21, $C$9, 100%, $E$9)</f>
        <v>38.428600000000003</v>
      </c>
      <c r="H676" s="14">
        <f>CHOOSE(CONTROL!$C$42, 38.6551, 38.6551) * CHOOSE(CONTROL!$C$21, $C$9, 100%, $E$9)</f>
        <v>38.655099999999997</v>
      </c>
      <c r="I676" s="14">
        <f>CHOOSE(CONTROL!$C$42, 38.4412, 38.4412)* CHOOSE(CONTROL!$C$21, $C$9, 100%, $E$9)</f>
        <v>38.441200000000002</v>
      </c>
      <c r="J676" s="14">
        <f>CHOOSE(CONTROL!$C$42, 38.406, 38.406)* CHOOSE(CONTROL!$C$21, $C$9, 100%, $E$9)</f>
        <v>38.405999999999999</v>
      </c>
      <c r="K676" s="53">
        <f>CHOOSE(CONTROL!$C$42, 38.4373, 38.4373) * CHOOSE(CONTROL!$C$21, $C$9, 100%, $E$9)</f>
        <v>38.4373</v>
      </c>
      <c r="L676" s="14">
        <f>CHOOSE(CONTROL!$C$42, 39.2421, 39.2421) * CHOOSE(CONTROL!$C$21, $C$9, 100%, $E$9)</f>
        <v>39.242100000000001</v>
      </c>
      <c r="M676" s="14">
        <f>CHOOSE(CONTROL!$C$42, 38.0322, 38.0322) * CHOOSE(CONTROL!$C$21, $C$9, 100%, $E$9)</f>
        <v>38.032200000000003</v>
      </c>
      <c r="N676" s="14">
        <f>CHOOSE(CONTROL!$C$42, 38.0477, 38.0477) * CHOOSE(CONTROL!$C$21, $C$9, 100%, $E$9)</f>
        <v>38.047699999999999</v>
      </c>
      <c r="O676" s="14">
        <f>CHOOSE(CONTROL!$C$42, 38.2788, 38.2788) * CHOOSE(CONTROL!$C$21, $C$9, 100%, $E$9)</f>
        <v>38.278799999999997</v>
      </c>
      <c r="P676" s="14">
        <f>CHOOSE(CONTROL!$C$42, 38.0671, 38.0671) * CHOOSE(CONTROL!$C$21, $C$9, 100%, $E$9)</f>
        <v>38.067100000000003</v>
      </c>
      <c r="Q676" s="14">
        <f>CHOOSE(CONTROL!$C$42, 38.8741, 38.8741) * CHOOSE(CONTROL!$C$21, $C$9, 100%, $E$9)</f>
        <v>38.874099999999999</v>
      </c>
      <c r="R676" s="14">
        <f>CHOOSE(CONTROL!$C$42, 39.5583, 39.5583) * CHOOSE(CONTROL!$C$21, $C$9, 100%, $E$9)</f>
        <v>39.558300000000003</v>
      </c>
      <c r="S676" s="14">
        <f>CHOOSE(CONTROL!$C$42, 37.3149, 37.3149) * CHOOSE(CONTROL!$C$21, $C$9, 100%, $E$9)</f>
        <v>37.314900000000002</v>
      </c>
      <c r="T67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76" s="57">
        <f>(1000*CHOOSE(CONTROL!$C$42, 695, 695)*CHOOSE(CONTROL!$C$42, 0.5599, 0.5599)*CHOOSE(CONTROL!$C$42, 30, 30))/1000000</f>
        <v>11.673914999999997</v>
      </c>
      <c r="V676" s="57">
        <f>(1000*CHOOSE(CONTROL!$C$42, 500, 500)*CHOOSE(CONTROL!$C$42, 0.275, 0.275)*CHOOSE(CONTROL!$C$42, 30, 30))/1000000</f>
        <v>4.125</v>
      </c>
      <c r="W676" s="57">
        <f>(1000*CHOOSE(CONTROL!$C$42, 0.1146, 0.1146)*CHOOSE(CONTROL!$C$42, 121.5, 121.5)*CHOOSE(CONTROL!$C$42, 30, 30))/1000000</f>
        <v>0.417717</v>
      </c>
      <c r="X676" s="57">
        <f>(30*0.1790888*245000/1000000)+(30*0.2374*100000/1000000)</f>
        <v>2.0285026799999999</v>
      </c>
      <c r="Y676" s="57"/>
      <c r="Z676" s="14"/>
      <c r="AA676" s="56"/>
      <c r="AB676" s="50">
        <f>(B676*141.293+C676*267.993+D676*115.016+E676*89.698+F676*40+G676*185+H676*0+I676*100+J676*300)/(141.293+267.993+115.016+89.698+0+40+185+100+300)</f>
        <v>38.460683621468931</v>
      </c>
      <c r="AC676" s="45">
        <f>(M676*'RAP TEMPLATE-GAS AVAILABILITY'!O675+N676*'RAP TEMPLATE-GAS AVAILABILITY'!P675+O676*'RAP TEMPLATE-GAS AVAILABILITY'!Q675+P676*'RAP TEMPLATE-GAS AVAILABILITY'!R675)/('RAP TEMPLATE-GAS AVAILABILITY'!O675+'RAP TEMPLATE-GAS AVAILABILITY'!P675+'RAP TEMPLATE-GAS AVAILABILITY'!Q675+'RAP TEMPLATE-GAS AVAILABILITY'!R675)</f>
        <v>38.149882014388488</v>
      </c>
    </row>
    <row r="677" spans="1:29" ht="15.75" x14ac:dyDescent="0.25">
      <c r="A677" s="32">
        <v>61514</v>
      </c>
      <c r="B677" s="14">
        <f>CHOOSE(CONTROL!$C$42, 38.7689, 38.7689) * CHOOSE(CONTROL!$C$21, $C$9, 100%, $E$9)</f>
        <v>38.768900000000002</v>
      </c>
      <c r="C677" s="14">
        <f>CHOOSE(CONTROL!$C$42, 38.7768, 38.7768) * CHOOSE(CONTROL!$C$21, $C$9, 100%, $E$9)</f>
        <v>38.776800000000001</v>
      </c>
      <c r="D677" s="14">
        <f>CHOOSE(CONTROL!$C$42, 38.9744, 38.9744) * CHOOSE(CONTROL!$C$21, $C$9, 100%, $E$9)</f>
        <v>38.974400000000003</v>
      </c>
      <c r="E677" s="14">
        <f>CHOOSE(CONTROL!$C$42, 39.0056, 39.0056) * CHOOSE(CONTROL!$C$21, $C$9, 100%, $E$9)</f>
        <v>39.005600000000001</v>
      </c>
      <c r="F677" s="14">
        <f>CHOOSE(CONTROL!$C$42, 38.7524, 38.7524)*CHOOSE(CONTROL!$C$21, $C$9, 100%, $E$9)</f>
        <v>38.752400000000002</v>
      </c>
      <c r="G677" s="14">
        <f>CHOOSE(CONTROL!$C$42, 38.7684, 38.7684)*CHOOSE(CONTROL!$C$21, $C$9, 100%, $E$9)</f>
        <v>38.7684</v>
      </c>
      <c r="H677" s="14">
        <f>CHOOSE(CONTROL!$C$42, 38.9942, 38.9942) * CHOOSE(CONTROL!$C$21, $C$9, 100%, $E$9)</f>
        <v>38.994199999999999</v>
      </c>
      <c r="I677" s="14">
        <f>CHOOSE(CONTROL!$C$42, 38.7803, 38.7803)* CHOOSE(CONTROL!$C$21, $C$9, 100%, $E$9)</f>
        <v>38.780299999999997</v>
      </c>
      <c r="J677" s="14">
        <f>CHOOSE(CONTROL!$C$42, 38.7454, 38.7454)* CHOOSE(CONTROL!$C$21, $C$9, 100%, $E$9)</f>
        <v>38.745399999999997</v>
      </c>
      <c r="K677" s="53">
        <f>CHOOSE(CONTROL!$C$42, 38.7764, 38.7764) * CHOOSE(CONTROL!$C$21, $C$9, 100%, $E$9)</f>
        <v>38.776400000000002</v>
      </c>
      <c r="L677" s="14">
        <f>CHOOSE(CONTROL!$C$42, 39.5812, 39.5812) * CHOOSE(CONTROL!$C$21, $C$9, 100%, $E$9)</f>
        <v>39.581200000000003</v>
      </c>
      <c r="M677" s="14">
        <f>CHOOSE(CONTROL!$C$42, 38.3682, 38.3682) * CHOOSE(CONTROL!$C$21, $C$9, 100%, $E$9)</f>
        <v>38.368200000000002</v>
      </c>
      <c r="N677" s="14">
        <f>CHOOSE(CONTROL!$C$42, 38.3841, 38.3841) * CHOOSE(CONTROL!$C$21, $C$9, 100%, $E$9)</f>
        <v>38.384099999999997</v>
      </c>
      <c r="O677" s="14">
        <f>CHOOSE(CONTROL!$C$42, 38.6145, 38.6145) * CHOOSE(CONTROL!$C$21, $C$9, 100%, $E$9)</f>
        <v>38.6145</v>
      </c>
      <c r="P677" s="14">
        <f>CHOOSE(CONTROL!$C$42, 38.4028, 38.4028) * CHOOSE(CONTROL!$C$21, $C$9, 100%, $E$9)</f>
        <v>38.402799999999999</v>
      </c>
      <c r="Q677" s="14">
        <f>CHOOSE(CONTROL!$C$42, 39.2098, 39.2098) * CHOOSE(CONTROL!$C$21, $C$9, 100%, $E$9)</f>
        <v>39.209800000000001</v>
      </c>
      <c r="R677" s="14">
        <f>CHOOSE(CONTROL!$C$42, 39.8948, 39.8948) * CHOOSE(CONTROL!$C$21, $C$9, 100%, $E$9)</f>
        <v>39.894799999999996</v>
      </c>
      <c r="S677" s="14">
        <f>CHOOSE(CONTROL!$C$42, 37.6443, 37.6443) * CHOOSE(CONTROL!$C$21, $C$9, 100%, $E$9)</f>
        <v>37.644300000000001</v>
      </c>
      <c r="T67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77" s="57">
        <f>(1000*CHOOSE(CONTROL!$C$42, 695, 695)*CHOOSE(CONTROL!$C$42, 0.5599, 0.5599)*CHOOSE(CONTROL!$C$42, 31, 31))/1000000</f>
        <v>12.063045499999998</v>
      </c>
      <c r="V677" s="57">
        <f>(1000*CHOOSE(CONTROL!$C$42, 500, 500)*CHOOSE(CONTROL!$C$42, 0.275, 0.275)*CHOOSE(CONTROL!$C$42, 31, 31))/1000000</f>
        <v>4.2625000000000002</v>
      </c>
      <c r="W677" s="57">
        <f>(1000*CHOOSE(CONTROL!$C$42, 0.1146, 0.1146)*CHOOSE(CONTROL!$C$42, 121.5, 121.5)*CHOOSE(CONTROL!$C$42, 31, 31))/1000000</f>
        <v>0.43164089999999994</v>
      </c>
      <c r="X677" s="57">
        <f>(31*0.1790888*245000/1000000)+(31*0.2374*100000/1000000)</f>
        <v>2.0961194359999999</v>
      </c>
      <c r="Y677" s="57"/>
      <c r="Z677" s="14"/>
      <c r="AA677" s="56"/>
      <c r="AB677" s="50">
        <f>(B677*194.205+C677*267.466+D677*133.845+E677*53.484+F677*40+G677*185+H677*0+I677*100+J677*300)/(194.205+267.466+133.845+53.484+0+40+185+100+300)</f>
        <v>38.796855487990584</v>
      </c>
      <c r="AC677" s="45">
        <f>(M677*'RAP TEMPLATE-GAS AVAILABILITY'!O676+N677*'RAP TEMPLATE-GAS AVAILABILITY'!P676+O677*'RAP TEMPLATE-GAS AVAILABILITY'!Q676+P677*'RAP TEMPLATE-GAS AVAILABILITY'!R676)/('RAP TEMPLATE-GAS AVAILABILITY'!O676+'RAP TEMPLATE-GAS AVAILABILITY'!P676+'RAP TEMPLATE-GAS AVAILABILITY'!Q676+'RAP TEMPLATE-GAS AVAILABILITY'!R676)</f>
        <v>38.485725899280574</v>
      </c>
    </row>
    <row r="678" spans="1:29" ht="15.75" x14ac:dyDescent="0.25">
      <c r="A678" s="32">
        <v>61544</v>
      </c>
      <c r="B678" s="14">
        <f>CHOOSE(CONTROL!$C$42, 39.8685, 39.8685) * CHOOSE(CONTROL!$C$21, $C$9, 100%, $E$9)</f>
        <v>39.868499999999997</v>
      </c>
      <c r="C678" s="14">
        <f>CHOOSE(CONTROL!$C$42, 39.8764, 39.8764) * CHOOSE(CONTROL!$C$21, $C$9, 100%, $E$9)</f>
        <v>39.876399999999997</v>
      </c>
      <c r="D678" s="14">
        <f>CHOOSE(CONTROL!$C$42, 40.074, 40.074) * CHOOSE(CONTROL!$C$21, $C$9, 100%, $E$9)</f>
        <v>40.073999999999998</v>
      </c>
      <c r="E678" s="14">
        <f>CHOOSE(CONTROL!$C$42, 40.1051, 40.1051) * CHOOSE(CONTROL!$C$21, $C$9, 100%, $E$9)</f>
        <v>40.1051</v>
      </c>
      <c r="F678" s="14">
        <f>CHOOSE(CONTROL!$C$42, 39.8523, 39.8523)*CHOOSE(CONTROL!$C$21, $C$9, 100%, $E$9)</f>
        <v>39.8523</v>
      </c>
      <c r="G678" s="14">
        <f>CHOOSE(CONTROL!$C$42, 39.8685, 39.8685)*CHOOSE(CONTROL!$C$21, $C$9, 100%, $E$9)</f>
        <v>39.868499999999997</v>
      </c>
      <c r="H678" s="14">
        <f>CHOOSE(CONTROL!$C$42, 40.0938, 40.0938) * CHOOSE(CONTROL!$C$21, $C$9, 100%, $E$9)</f>
        <v>40.093800000000002</v>
      </c>
      <c r="I678" s="14">
        <f>CHOOSE(CONTROL!$C$42, 39.8799, 39.8799)* CHOOSE(CONTROL!$C$21, $C$9, 100%, $E$9)</f>
        <v>39.879899999999999</v>
      </c>
      <c r="J678" s="14">
        <f>CHOOSE(CONTROL!$C$42, 39.8453, 39.8453)* CHOOSE(CONTROL!$C$21, $C$9, 100%, $E$9)</f>
        <v>39.845300000000002</v>
      </c>
      <c r="K678" s="53">
        <f>CHOOSE(CONTROL!$C$42, 39.876, 39.876) * CHOOSE(CONTROL!$C$21, $C$9, 100%, $E$9)</f>
        <v>39.875999999999998</v>
      </c>
      <c r="L678" s="14">
        <f>CHOOSE(CONTROL!$C$42, 40.6808, 40.6808) * CHOOSE(CONTROL!$C$21, $C$9, 100%, $E$9)</f>
        <v>40.680799999999998</v>
      </c>
      <c r="M678" s="14">
        <f>CHOOSE(CONTROL!$C$42, 39.4571, 39.4571) * CHOOSE(CONTROL!$C$21, $C$9, 100%, $E$9)</f>
        <v>39.457099999999997</v>
      </c>
      <c r="N678" s="14">
        <f>CHOOSE(CONTROL!$C$42, 39.4731, 39.4731) * CHOOSE(CONTROL!$C$21, $C$9, 100%, $E$9)</f>
        <v>39.473100000000002</v>
      </c>
      <c r="O678" s="14">
        <f>CHOOSE(CONTROL!$C$42, 39.703, 39.703) * CHOOSE(CONTROL!$C$21, $C$9, 100%, $E$9)</f>
        <v>39.703000000000003</v>
      </c>
      <c r="P678" s="14">
        <f>CHOOSE(CONTROL!$C$42, 39.4913, 39.4913) * CHOOSE(CONTROL!$C$21, $C$9, 100%, $E$9)</f>
        <v>39.491300000000003</v>
      </c>
      <c r="Q678" s="14">
        <f>CHOOSE(CONTROL!$C$42, 40.2983, 40.2983) * CHOOSE(CONTROL!$C$21, $C$9, 100%, $E$9)</f>
        <v>40.298299999999998</v>
      </c>
      <c r="R678" s="14">
        <f>CHOOSE(CONTROL!$C$42, 40.986, 40.986) * CHOOSE(CONTROL!$C$21, $C$9, 100%, $E$9)</f>
        <v>40.985999999999997</v>
      </c>
      <c r="S678" s="14">
        <f>CHOOSE(CONTROL!$C$42, 38.7121, 38.7121) * CHOOSE(CONTROL!$C$21, $C$9, 100%, $E$9)</f>
        <v>38.7121</v>
      </c>
      <c r="T67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78" s="57">
        <f>(1000*CHOOSE(CONTROL!$C$42, 695, 695)*CHOOSE(CONTROL!$C$42, 0.5599, 0.5599)*CHOOSE(CONTROL!$C$42, 30, 30))/1000000</f>
        <v>11.673914999999997</v>
      </c>
      <c r="V678" s="57">
        <f>(1000*CHOOSE(CONTROL!$C$42, 500, 500)*CHOOSE(CONTROL!$C$42, 0.275, 0.275)*CHOOSE(CONTROL!$C$42, 30, 30))/1000000</f>
        <v>4.125</v>
      </c>
      <c r="W678" s="57">
        <f>(1000*CHOOSE(CONTROL!$C$42, 0.1146, 0.1146)*CHOOSE(CONTROL!$C$42, 121.5, 121.5)*CHOOSE(CONTROL!$C$42, 30, 30))/1000000</f>
        <v>0.417717</v>
      </c>
      <c r="X678" s="57">
        <f>(30*0.1790888*245000/1000000)+(30*0.2374*100000/1000000)</f>
        <v>2.0285026799999999</v>
      </c>
      <c r="Y678" s="57"/>
      <c r="Z678" s="14"/>
      <c r="AA678" s="56"/>
      <c r="AB678" s="50">
        <f>(B678*194.205+C678*267.466+D678*133.845+E678*53.484+F678*40+G678*185+H678*0+I678*100+J678*300)/(194.205+267.466+133.845+53.484+0+40+185+100+300)</f>
        <v>39.896603958634223</v>
      </c>
      <c r="AC678" s="45">
        <f>(M678*'RAP TEMPLATE-GAS AVAILABILITY'!O677+N678*'RAP TEMPLATE-GAS AVAILABILITY'!P677+O678*'RAP TEMPLATE-GAS AVAILABILITY'!Q677+P678*'RAP TEMPLATE-GAS AVAILABILITY'!R677)/('RAP TEMPLATE-GAS AVAILABILITY'!O677+'RAP TEMPLATE-GAS AVAILABILITY'!P677+'RAP TEMPLATE-GAS AVAILABILITY'!Q677+'RAP TEMPLATE-GAS AVAILABILITY'!R677)</f>
        <v>39.574392805755402</v>
      </c>
    </row>
    <row r="679" spans="1:29" ht="15.75" x14ac:dyDescent="0.25">
      <c r="A679" s="32">
        <v>61575</v>
      </c>
      <c r="B679" s="14">
        <f>CHOOSE(CONTROL!$C$42, 39.1037, 39.1037) * CHOOSE(CONTROL!$C$21, $C$9, 100%, $E$9)</f>
        <v>39.103700000000003</v>
      </c>
      <c r="C679" s="14">
        <f>CHOOSE(CONTROL!$C$42, 39.1117, 39.1117) * CHOOSE(CONTROL!$C$21, $C$9, 100%, $E$9)</f>
        <v>39.111699999999999</v>
      </c>
      <c r="D679" s="14">
        <f>CHOOSE(CONTROL!$C$42, 39.3092, 39.3092) * CHOOSE(CONTROL!$C$21, $C$9, 100%, $E$9)</f>
        <v>39.309199999999997</v>
      </c>
      <c r="E679" s="14">
        <f>CHOOSE(CONTROL!$C$42, 39.3404, 39.3404) * CHOOSE(CONTROL!$C$21, $C$9, 100%, $E$9)</f>
        <v>39.340400000000002</v>
      </c>
      <c r="F679" s="14">
        <f>CHOOSE(CONTROL!$C$42, 39.088, 39.088)*CHOOSE(CONTROL!$C$21, $C$9, 100%, $E$9)</f>
        <v>39.088000000000001</v>
      </c>
      <c r="G679" s="14">
        <f>CHOOSE(CONTROL!$C$42, 39.1043, 39.1043)*CHOOSE(CONTROL!$C$21, $C$9, 100%, $E$9)</f>
        <v>39.104300000000002</v>
      </c>
      <c r="H679" s="14">
        <f>CHOOSE(CONTROL!$C$42, 39.329, 39.329) * CHOOSE(CONTROL!$C$21, $C$9, 100%, $E$9)</f>
        <v>39.329000000000001</v>
      </c>
      <c r="I679" s="14">
        <f>CHOOSE(CONTROL!$C$42, 39.1151, 39.1151)* CHOOSE(CONTROL!$C$21, $C$9, 100%, $E$9)</f>
        <v>39.115099999999998</v>
      </c>
      <c r="J679" s="14">
        <f>CHOOSE(CONTROL!$C$42, 39.081, 39.081)* CHOOSE(CONTROL!$C$21, $C$9, 100%, $E$9)</f>
        <v>39.081000000000003</v>
      </c>
      <c r="K679" s="53">
        <f>CHOOSE(CONTROL!$C$42, 39.1112, 39.1112) * CHOOSE(CONTROL!$C$21, $C$9, 100%, $E$9)</f>
        <v>39.111199999999997</v>
      </c>
      <c r="L679" s="14">
        <f>CHOOSE(CONTROL!$C$42, 39.916, 39.916) * CHOOSE(CONTROL!$C$21, $C$9, 100%, $E$9)</f>
        <v>39.915999999999997</v>
      </c>
      <c r="M679" s="14">
        <f>CHOOSE(CONTROL!$C$42, 38.7004, 38.7004) * CHOOSE(CONTROL!$C$21, $C$9, 100%, $E$9)</f>
        <v>38.700400000000002</v>
      </c>
      <c r="N679" s="14">
        <f>CHOOSE(CONTROL!$C$42, 38.7166, 38.7166) * CHOOSE(CONTROL!$C$21, $C$9, 100%, $E$9)</f>
        <v>38.7166</v>
      </c>
      <c r="O679" s="14">
        <f>CHOOSE(CONTROL!$C$42, 38.9459, 38.9459) * CHOOSE(CONTROL!$C$21, $C$9, 100%, $E$9)</f>
        <v>38.945900000000002</v>
      </c>
      <c r="P679" s="14">
        <f>CHOOSE(CONTROL!$C$42, 38.7342, 38.7342) * CHOOSE(CONTROL!$C$21, $C$9, 100%, $E$9)</f>
        <v>38.734200000000001</v>
      </c>
      <c r="Q679" s="14">
        <f>CHOOSE(CONTROL!$C$42, 39.5412, 39.5412) * CHOOSE(CONTROL!$C$21, $C$9, 100%, $E$9)</f>
        <v>39.541200000000003</v>
      </c>
      <c r="R679" s="14">
        <f>CHOOSE(CONTROL!$C$42, 40.2271, 40.2271) * CHOOSE(CONTROL!$C$21, $C$9, 100%, $E$9)</f>
        <v>40.2271</v>
      </c>
      <c r="S679" s="14">
        <f>CHOOSE(CONTROL!$C$42, 37.9694, 37.9694) * CHOOSE(CONTROL!$C$21, $C$9, 100%, $E$9)</f>
        <v>37.9694</v>
      </c>
      <c r="T67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79" s="57">
        <f>(1000*CHOOSE(CONTROL!$C$42, 695, 695)*CHOOSE(CONTROL!$C$42, 0.5599, 0.5599)*CHOOSE(CONTROL!$C$42, 31, 31))/1000000</f>
        <v>12.063045499999998</v>
      </c>
      <c r="V679" s="57">
        <f>(1000*CHOOSE(CONTROL!$C$42, 500, 500)*CHOOSE(CONTROL!$C$42, 0.275, 0.275)*CHOOSE(CONTROL!$C$42, 31, 31))/1000000</f>
        <v>4.2625000000000002</v>
      </c>
      <c r="W679" s="57">
        <f>(1000*CHOOSE(CONTROL!$C$42, 0.1146, 0.1146)*CHOOSE(CONTROL!$C$42, 121.5, 121.5)*CHOOSE(CONTROL!$C$42, 31, 31))/1000000</f>
        <v>0.43164089999999994</v>
      </c>
      <c r="X679" s="57">
        <f>(31*0.1790888*245000/1000000)+(31*0.2374*100000/1000000)</f>
        <v>2.0961194359999999</v>
      </c>
      <c r="Y679" s="57"/>
      <c r="Z679" s="14"/>
      <c r="AA679" s="56"/>
      <c r="AB679" s="50">
        <f>(B679*194.205+C679*267.466+D679*133.845+E679*53.484+F679*40+G679*185+H679*0+I679*100+J679*300)/(194.205+267.466+133.845+53.484+0+40+185+100+300)</f>
        <v>39.132049716091061</v>
      </c>
      <c r="AC679" s="45">
        <f>(M679*'RAP TEMPLATE-GAS AVAILABILITY'!O678+N679*'RAP TEMPLATE-GAS AVAILABILITY'!P678+O679*'RAP TEMPLATE-GAS AVAILABILITY'!Q678+P679*'RAP TEMPLATE-GAS AVAILABILITY'!R678)/('RAP TEMPLATE-GAS AVAILABILITY'!O678+'RAP TEMPLATE-GAS AVAILABILITY'!P678+'RAP TEMPLATE-GAS AVAILABILITY'!Q678+'RAP TEMPLATE-GAS AVAILABILITY'!R678)</f>
        <v>38.817465467625901</v>
      </c>
    </row>
    <row r="680" spans="1:29" ht="15.75" x14ac:dyDescent="0.25">
      <c r="A680" s="32">
        <v>61606</v>
      </c>
      <c r="B680" s="14">
        <f>CHOOSE(CONTROL!$C$42, 37.1725, 37.1725) * CHOOSE(CONTROL!$C$21, $C$9, 100%, $E$9)</f>
        <v>37.172499999999999</v>
      </c>
      <c r="C680" s="14">
        <f>CHOOSE(CONTROL!$C$42, 37.1804, 37.1804) * CHOOSE(CONTROL!$C$21, $C$9, 100%, $E$9)</f>
        <v>37.180399999999999</v>
      </c>
      <c r="D680" s="14">
        <f>CHOOSE(CONTROL!$C$42, 37.378, 37.378) * CHOOSE(CONTROL!$C$21, $C$9, 100%, $E$9)</f>
        <v>37.378</v>
      </c>
      <c r="E680" s="14">
        <f>CHOOSE(CONTROL!$C$42, 37.4091, 37.4091) * CHOOSE(CONTROL!$C$21, $C$9, 100%, $E$9)</f>
        <v>37.409100000000002</v>
      </c>
      <c r="F680" s="14">
        <f>CHOOSE(CONTROL!$C$42, 37.1569, 37.1569)*CHOOSE(CONTROL!$C$21, $C$9, 100%, $E$9)</f>
        <v>37.1569</v>
      </c>
      <c r="G680" s="14">
        <f>CHOOSE(CONTROL!$C$42, 37.1733, 37.1733)*CHOOSE(CONTROL!$C$21, $C$9, 100%, $E$9)</f>
        <v>37.173299999999998</v>
      </c>
      <c r="H680" s="14">
        <f>CHOOSE(CONTROL!$C$42, 37.3977, 37.3977) * CHOOSE(CONTROL!$C$21, $C$9, 100%, $E$9)</f>
        <v>37.3977</v>
      </c>
      <c r="I680" s="14">
        <f>CHOOSE(CONTROL!$C$42, 37.1838, 37.1838)* CHOOSE(CONTROL!$C$21, $C$9, 100%, $E$9)</f>
        <v>37.183799999999998</v>
      </c>
      <c r="J680" s="14">
        <f>CHOOSE(CONTROL!$C$42, 37.1499, 37.1499)* CHOOSE(CONTROL!$C$21, $C$9, 100%, $E$9)</f>
        <v>37.149900000000002</v>
      </c>
      <c r="K680" s="53">
        <f>CHOOSE(CONTROL!$C$42, 37.18, 37.18) * CHOOSE(CONTROL!$C$21, $C$9, 100%, $E$9)</f>
        <v>37.18</v>
      </c>
      <c r="L680" s="14">
        <f>CHOOSE(CONTROL!$C$42, 37.9847, 37.9847) * CHOOSE(CONTROL!$C$21, $C$9, 100%, $E$9)</f>
        <v>37.984699999999997</v>
      </c>
      <c r="M680" s="14">
        <f>CHOOSE(CONTROL!$C$42, 36.7888, 36.7888) * CHOOSE(CONTROL!$C$21, $C$9, 100%, $E$9)</f>
        <v>36.788800000000002</v>
      </c>
      <c r="N680" s="14">
        <f>CHOOSE(CONTROL!$C$42, 36.805, 36.805) * CHOOSE(CONTROL!$C$21, $C$9, 100%, $E$9)</f>
        <v>36.805</v>
      </c>
      <c r="O680" s="14">
        <f>CHOOSE(CONTROL!$C$42, 37.0342, 37.0342) * CHOOSE(CONTROL!$C$21, $C$9, 100%, $E$9)</f>
        <v>37.034199999999998</v>
      </c>
      <c r="P680" s="14">
        <f>CHOOSE(CONTROL!$C$42, 36.8225, 36.8225) * CHOOSE(CONTROL!$C$21, $C$9, 100%, $E$9)</f>
        <v>36.822499999999998</v>
      </c>
      <c r="Q680" s="14">
        <f>CHOOSE(CONTROL!$C$42, 37.6295, 37.6295) * CHOOSE(CONTROL!$C$21, $C$9, 100%, $E$9)</f>
        <v>37.6295</v>
      </c>
      <c r="R680" s="14">
        <f>CHOOSE(CONTROL!$C$42, 38.3105, 38.3105) * CHOOSE(CONTROL!$C$21, $C$9, 100%, $E$9)</f>
        <v>38.310499999999998</v>
      </c>
      <c r="S680" s="14">
        <f>CHOOSE(CONTROL!$C$42, 36.0939, 36.0939) * CHOOSE(CONTROL!$C$21, $C$9, 100%, $E$9)</f>
        <v>36.093899999999998</v>
      </c>
      <c r="T68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80" s="57">
        <f>(1000*CHOOSE(CONTROL!$C$42, 695, 695)*CHOOSE(CONTROL!$C$42, 0.5599, 0.5599)*CHOOSE(CONTROL!$C$42, 31, 31))/1000000</f>
        <v>12.063045499999998</v>
      </c>
      <c r="V680" s="57">
        <f>(1000*CHOOSE(CONTROL!$C$42, 500, 500)*CHOOSE(CONTROL!$C$42, 0.275, 0.275)*CHOOSE(CONTROL!$C$42, 31, 31))/1000000</f>
        <v>4.2625000000000002</v>
      </c>
      <c r="W680" s="57">
        <f>(1000*CHOOSE(CONTROL!$C$42, 0.1146, 0.1146)*CHOOSE(CONTROL!$C$42, 121.5, 121.5)*CHOOSE(CONTROL!$C$42, 31, 31))/1000000</f>
        <v>0.43164089999999994</v>
      </c>
      <c r="X680" s="57">
        <f>(31*0.1790888*245000/1000000)+(31*0.2374*100000/1000000)</f>
        <v>2.0961194359999999</v>
      </c>
      <c r="Y680" s="57"/>
      <c r="Z680" s="14"/>
      <c r="AA680" s="56"/>
      <c r="AB680" s="50">
        <f>(B680*194.205+C680*267.466+D680*133.845+E680*53.484+F680*40+G680*185+H680*0+I680*100+J680*300)/(194.205+267.466+133.845+53.484+0+40+185+100+300)</f>
        <v>37.200872404474097</v>
      </c>
      <c r="AC680" s="45">
        <f>(M680*'RAP TEMPLATE-GAS AVAILABILITY'!O679+N680*'RAP TEMPLATE-GAS AVAILABILITY'!P679+O680*'RAP TEMPLATE-GAS AVAILABILITY'!Q679+P680*'RAP TEMPLATE-GAS AVAILABILITY'!R679)/('RAP TEMPLATE-GAS AVAILABILITY'!O679+'RAP TEMPLATE-GAS AVAILABILITY'!P679+'RAP TEMPLATE-GAS AVAILABILITY'!Q679+'RAP TEMPLATE-GAS AVAILABILITY'!R679)</f>
        <v>36.905805755395683</v>
      </c>
    </row>
    <row r="681" spans="1:29" ht="15.75" x14ac:dyDescent="0.25">
      <c r="A681" s="32">
        <v>61636</v>
      </c>
      <c r="B681" s="14">
        <f>CHOOSE(CONTROL!$C$42, 34.8124, 34.8124) * CHOOSE(CONTROL!$C$21, $C$9, 100%, $E$9)</f>
        <v>34.812399999999997</v>
      </c>
      <c r="C681" s="14">
        <f>CHOOSE(CONTROL!$C$42, 34.8204, 34.8204) * CHOOSE(CONTROL!$C$21, $C$9, 100%, $E$9)</f>
        <v>34.820399999999999</v>
      </c>
      <c r="D681" s="14">
        <f>CHOOSE(CONTROL!$C$42, 35.0179, 35.0179) * CHOOSE(CONTROL!$C$21, $C$9, 100%, $E$9)</f>
        <v>35.017899999999997</v>
      </c>
      <c r="E681" s="14">
        <f>CHOOSE(CONTROL!$C$42, 35.0491, 35.0491) * CHOOSE(CONTROL!$C$21, $C$9, 100%, $E$9)</f>
        <v>35.049100000000003</v>
      </c>
      <c r="F681" s="14">
        <f>CHOOSE(CONTROL!$C$42, 34.7968, 34.7968)*CHOOSE(CONTROL!$C$21, $C$9, 100%, $E$9)</f>
        <v>34.796799999999998</v>
      </c>
      <c r="G681" s="14">
        <f>CHOOSE(CONTROL!$C$42, 34.8131, 34.8131)*CHOOSE(CONTROL!$C$21, $C$9, 100%, $E$9)</f>
        <v>34.813099999999999</v>
      </c>
      <c r="H681" s="14">
        <f>CHOOSE(CONTROL!$C$42, 35.0377, 35.0377) * CHOOSE(CONTROL!$C$21, $C$9, 100%, $E$9)</f>
        <v>35.037700000000001</v>
      </c>
      <c r="I681" s="14">
        <f>CHOOSE(CONTROL!$C$42, 34.8238, 34.8238)* CHOOSE(CONTROL!$C$21, $C$9, 100%, $E$9)</f>
        <v>34.823799999999999</v>
      </c>
      <c r="J681" s="14">
        <f>CHOOSE(CONTROL!$C$42, 34.7898, 34.7898)* CHOOSE(CONTROL!$C$21, $C$9, 100%, $E$9)</f>
        <v>34.7898</v>
      </c>
      <c r="K681" s="53">
        <f>CHOOSE(CONTROL!$C$42, 34.8199, 34.8199) * CHOOSE(CONTROL!$C$21, $C$9, 100%, $E$9)</f>
        <v>34.819899999999997</v>
      </c>
      <c r="L681" s="14">
        <f>CHOOSE(CONTROL!$C$42, 35.6247, 35.6247) * CHOOSE(CONTROL!$C$21, $C$9, 100%, $E$9)</f>
        <v>35.624699999999997</v>
      </c>
      <c r="M681" s="14">
        <f>CHOOSE(CONTROL!$C$42, 34.4525, 34.4525) * CHOOSE(CONTROL!$C$21, $C$9, 100%, $E$9)</f>
        <v>34.452500000000001</v>
      </c>
      <c r="N681" s="14">
        <f>CHOOSE(CONTROL!$C$42, 34.4687, 34.4687) * CHOOSE(CONTROL!$C$21, $C$9, 100%, $E$9)</f>
        <v>34.468699999999998</v>
      </c>
      <c r="O681" s="14">
        <f>CHOOSE(CONTROL!$C$42, 34.6979, 34.6979) * CHOOSE(CONTROL!$C$21, $C$9, 100%, $E$9)</f>
        <v>34.697899999999997</v>
      </c>
      <c r="P681" s="14">
        <f>CHOOSE(CONTROL!$C$42, 34.4862, 34.4862) * CHOOSE(CONTROL!$C$21, $C$9, 100%, $E$9)</f>
        <v>34.486199999999997</v>
      </c>
      <c r="Q681" s="14">
        <f>CHOOSE(CONTROL!$C$42, 35.2932, 35.2932) * CHOOSE(CONTROL!$C$21, $C$9, 100%, $E$9)</f>
        <v>35.293199999999999</v>
      </c>
      <c r="R681" s="14">
        <f>CHOOSE(CONTROL!$C$42, 35.9685, 35.9685) * CHOOSE(CONTROL!$C$21, $C$9, 100%, $E$9)</f>
        <v>35.968499999999999</v>
      </c>
      <c r="S681" s="14">
        <f>CHOOSE(CONTROL!$C$42, 33.8021, 33.8021) * CHOOSE(CONTROL!$C$21, $C$9, 100%, $E$9)</f>
        <v>33.802100000000003</v>
      </c>
      <c r="T68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81" s="57">
        <f>(1000*CHOOSE(CONTROL!$C$42, 695, 695)*CHOOSE(CONTROL!$C$42, 0.5599, 0.5599)*CHOOSE(CONTROL!$C$42, 30, 30))/1000000</f>
        <v>11.673914999999997</v>
      </c>
      <c r="V681" s="57">
        <f>(1000*CHOOSE(CONTROL!$C$42, 500, 500)*CHOOSE(CONTROL!$C$42, 0.275, 0.275)*CHOOSE(CONTROL!$C$42, 30, 30))/1000000</f>
        <v>4.125</v>
      </c>
      <c r="W681" s="57">
        <f>(1000*CHOOSE(CONTROL!$C$42, 0.1146, 0.1146)*CHOOSE(CONTROL!$C$42, 121.5, 121.5)*CHOOSE(CONTROL!$C$42, 30, 30))/1000000</f>
        <v>0.417717</v>
      </c>
      <c r="X681" s="57">
        <f>(30*0.1790888*245000/1000000)+(30*0.2374*100000/1000000)</f>
        <v>2.0285026799999999</v>
      </c>
      <c r="Y681" s="57"/>
      <c r="Z681" s="14"/>
      <c r="AA681" s="56"/>
      <c r="AB681" s="50">
        <f>(B681*194.205+C681*267.466+D681*133.845+E681*53.484+F681*40+G681*185+H681*0+I681*100+J681*300)/(194.205+267.466+133.845+53.484+0+40+185+100+300)</f>
        <v>34.840790924882263</v>
      </c>
      <c r="AC681" s="45">
        <f>(M681*'RAP TEMPLATE-GAS AVAILABILITY'!O680+N681*'RAP TEMPLATE-GAS AVAILABILITY'!P680+O681*'RAP TEMPLATE-GAS AVAILABILITY'!Q680+P681*'RAP TEMPLATE-GAS AVAILABILITY'!R680)/('RAP TEMPLATE-GAS AVAILABILITY'!O680+'RAP TEMPLATE-GAS AVAILABILITY'!P680+'RAP TEMPLATE-GAS AVAILABILITY'!Q680+'RAP TEMPLATE-GAS AVAILABILITY'!R680)</f>
        <v>34.569505755395681</v>
      </c>
    </row>
    <row r="682" spans="1:29" ht="15.75" x14ac:dyDescent="0.25">
      <c r="A682" s="32">
        <v>61667</v>
      </c>
      <c r="B682" s="14">
        <f>CHOOSE(CONTROL!$C$42, 34.1039, 34.1039) * CHOOSE(CONTROL!$C$21, $C$9, 100%, $E$9)</f>
        <v>34.103900000000003</v>
      </c>
      <c r="C682" s="14">
        <f>CHOOSE(CONTROL!$C$42, 34.1092, 34.1092) * CHOOSE(CONTROL!$C$21, $C$9, 100%, $E$9)</f>
        <v>34.109200000000001</v>
      </c>
      <c r="D682" s="14">
        <f>CHOOSE(CONTROL!$C$42, 34.3117, 34.3117) * CHOOSE(CONTROL!$C$21, $C$9, 100%, $E$9)</f>
        <v>34.311700000000002</v>
      </c>
      <c r="E682" s="14">
        <f>CHOOSE(CONTROL!$C$42, 34.3405, 34.3405) * CHOOSE(CONTROL!$C$21, $C$9, 100%, $E$9)</f>
        <v>34.340499999999999</v>
      </c>
      <c r="F682" s="14">
        <f>CHOOSE(CONTROL!$C$42, 34.0903, 34.0903)*CHOOSE(CONTROL!$C$21, $C$9, 100%, $E$9)</f>
        <v>34.090299999999999</v>
      </c>
      <c r="G682" s="14">
        <f>CHOOSE(CONTROL!$C$42, 34.1063, 34.1063)*CHOOSE(CONTROL!$C$21, $C$9, 100%, $E$9)</f>
        <v>34.106299999999997</v>
      </c>
      <c r="H682" s="14">
        <f>CHOOSE(CONTROL!$C$42, 34.331, 34.331) * CHOOSE(CONTROL!$C$21, $C$9, 100%, $E$9)</f>
        <v>34.331000000000003</v>
      </c>
      <c r="I682" s="14">
        <f>CHOOSE(CONTROL!$C$42, 34.1171, 34.1171)* CHOOSE(CONTROL!$C$21, $C$9, 100%, $E$9)</f>
        <v>34.117100000000001</v>
      </c>
      <c r="J682" s="14">
        <f>CHOOSE(CONTROL!$C$42, 34.0833, 34.0833)* CHOOSE(CONTROL!$C$21, $C$9, 100%, $E$9)</f>
        <v>34.083300000000001</v>
      </c>
      <c r="K682" s="53">
        <f>CHOOSE(CONTROL!$C$42, 34.1132, 34.1132) * CHOOSE(CONTROL!$C$21, $C$9, 100%, $E$9)</f>
        <v>34.113199999999999</v>
      </c>
      <c r="L682" s="14">
        <f>CHOOSE(CONTROL!$C$42, 34.918, 34.918) * CHOOSE(CONTROL!$C$21, $C$9, 100%, $E$9)</f>
        <v>34.917999999999999</v>
      </c>
      <c r="M682" s="14">
        <f>CHOOSE(CONTROL!$C$42, 33.7532, 33.7532) * CHOOSE(CONTROL!$C$21, $C$9, 100%, $E$9)</f>
        <v>33.7532</v>
      </c>
      <c r="N682" s="14">
        <f>CHOOSE(CONTROL!$C$42, 33.769, 33.769) * CHOOSE(CONTROL!$C$21, $C$9, 100%, $E$9)</f>
        <v>33.768999999999998</v>
      </c>
      <c r="O682" s="14">
        <f>CHOOSE(CONTROL!$C$42, 33.9983, 33.9983) * CHOOSE(CONTROL!$C$21, $C$9, 100%, $E$9)</f>
        <v>33.9983</v>
      </c>
      <c r="P682" s="14">
        <f>CHOOSE(CONTROL!$C$42, 33.7866, 33.7866) * CHOOSE(CONTROL!$C$21, $C$9, 100%, $E$9)</f>
        <v>33.7866</v>
      </c>
      <c r="Q682" s="14">
        <f>CHOOSE(CONTROL!$C$42, 34.5936, 34.5936) * CHOOSE(CONTROL!$C$21, $C$9, 100%, $E$9)</f>
        <v>34.593600000000002</v>
      </c>
      <c r="R682" s="14">
        <f>CHOOSE(CONTROL!$C$42, 35.2671, 35.2671) * CHOOSE(CONTROL!$C$21, $C$9, 100%, $E$9)</f>
        <v>35.267099999999999</v>
      </c>
      <c r="S682" s="14">
        <f>CHOOSE(CONTROL!$C$42, 33.1158, 33.1158) * CHOOSE(CONTROL!$C$21, $C$9, 100%, $E$9)</f>
        <v>33.1158</v>
      </c>
      <c r="T68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82" s="57">
        <f>(1000*CHOOSE(CONTROL!$C$42, 695, 695)*CHOOSE(CONTROL!$C$42, 0.5599, 0.5599)*CHOOSE(CONTROL!$C$42, 31, 31))/1000000</f>
        <v>12.063045499999998</v>
      </c>
      <c r="V682" s="57">
        <f>(1000*CHOOSE(CONTROL!$C$42, 500, 500)*CHOOSE(CONTROL!$C$42, 0.275, 0.275)*CHOOSE(CONTROL!$C$42, 31, 31))/1000000</f>
        <v>4.2625000000000002</v>
      </c>
      <c r="W682" s="57">
        <f>(1000*CHOOSE(CONTROL!$C$42, 0.1146, 0.1146)*CHOOSE(CONTROL!$C$42, 121.5, 121.5)*CHOOSE(CONTROL!$C$42, 31, 31))/1000000</f>
        <v>0.43164089999999994</v>
      </c>
      <c r="X682" s="57">
        <f>(31*0.1790888*245000/1000000)+(31*0.2374*100000/1000000)</f>
        <v>2.0961194359999999</v>
      </c>
      <c r="Y682" s="57"/>
      <c r="Z682" s="14"/>
      <c r="AA682" s="56"/>
      <c r="AB682" s="50">
        <f>(B682*131.881+C682*277.167+D682*79.08+E682*125.872+F682*40+G682*185+H682*0+I682*100+J682*300)/(131.881+277.167+79.08+125.872+0+40+185+100+300)</f>
        <v>34.138381940516545</v>
      </c>
      <c r="AC682" s="45">
        <f>(M682*'RAP TEMPLATE-GAS AVAILABILITY'!O681+N682*'RAP TEMPLATE-GAS AVAILABILITY'!P681+O682*'RAP TEMPLATE-GAS AVAILABILITY'!Q681+P682*'RAP TEMPLATE-GAS AVAILABILITY'!R681)/('RAP TEMPLATE-GAS AVAILABILITY'!O681+'RAP TEMPLATE-GAS AVAILABILITY'!P681+'RAP TEMPLATE-GAS AVAILABILITY'!Q681+'RAP TEMPLATE-GAS AVAILABILITY'!R681)</f>
        <v>33.870003597122306</v>
      </c>
    </row>
    <row r="683" spans="1:29" ht="15.75" x14ac:dyDescent="0.25">
      <c r="A683" s="32">
        <v>61697</v>
      </c>
      <c r="B683" s="14">
        <f>CHOOSE(CONTROL!$C$42, 35.0019, 35.0019) * CHOOSE(CONTROL!$C$21, $C$9, 100%, $E$9)</f>
        <v>35.001899999999999</v>
      </c>
      <c r="C683" s="14">
        <f>CHOOSE(CONTROL!$C$42, 35.0069, 35.0069) * CHOOSE(CONTROL!$C$21, $C$9, 100%, $E$9)</f>
        <v>35.006900000000002</v>
      </c>
      <c r="D683" s="14">
        <f>CHOOSE(CONTROL!$C$42, 35.0699, 35.0699) * CHOOSE(CONTROL!$C$21, $C$9, 100%, $E$9)</f>
        <v>35.069899999999997</v>
      </c>
      <c r="E683" s="14">
        <f>CHOOSE(CONTROL!$C$42, 35.1037, 35.1037) * CHOOSE(CONTROL!$C$21, $C$9, 100%, $E$9)</f>
        <v>35.103700000000003</v>
      </c>
      <c r="F683" s="14">
        <f>CHOOSE(CONTROL!$C$42, 35.0026, 35.0026)*CHOOSE(CONTROL!$C$21, $C$9, 100%, $E$9)</f>
        <v>35.002600000000001</v>
      </c>
      <c r="G683" s="14">
        <f>CHOOSE(CONTROL!$C$42, 35.0189, 35.0189)*CHOOSE(CONTROL!$C$21, $C$9, 100%, $E$9)</f>
        <v>35.018900000000002</v>
      </c>
      <c r="H683" s="14">
        <f>CHOOSE(CONTROL!$C$42, 35.0929, 35.0929) * CHOOSE(CONTROL!$C$21, $C$9, 100%, $E$9)</f>
        <v>35.0929</v>
      </c>
      <c r="I683" s="14">
        <f>CHOOSE(CONTROL!$C$42, 35.0154, 35.0154)* CHOOSE(CONTROL!$C$21, $C$9, 100%, $E$9)</f>
        <v>35.0154</v>
      </c>
      <c r="J683" s="14">
        <f>CHOOSE(CONTROL!$C$42, 34.9956, 34.9956)* CHOOSE(CONTROL!$C$21, $C$9, 100%, $E$9)</f>
        <v>34.995600000000003</v>
      </c>
      <c r="K683" s="53">
        <f>CHOOSE(CONTROL!$C$42, 35.0116, 35.0116) * CHOOSE(CONTROL!$C$21, $C$9, 100%, $E$9)</f>
        <v>35.011600000000001</v>
      </c>
      <c r="L683" s="14">
        <f>CHOOSE(CONTROL!$C$42, 35.6799, 35.6799) * CHOOSE(CONTROL!$C$21, $C$9, 100%, $E$9)</f>
        <v>35.679900000000004</v>
      </c>
      <c r="M683" s="14">
        <f>CHOOSE(CONTROL!$C$42, 34.6563, 34.6563) * CHOOSE(CONTROL!$C$21, $C$9, 100%, $E$9)</f>
        <v>34.656300000000002</v>
      </c>
      <c r="N683" s="14">
        <f>CHOOSE(CONTROL!$C$42, 34.6724, 34.6724) * CHOOSE(CONTROL!$C$21, $C$9, 100%, $E$9)</f>
        <v>34.672400000000003</v>
      </c>
      <c r="O683" s="14">
        <f>CHOOSE(CONTROL!$C$42, 34.7526, 34.7526) * CHOOSE(CONTROL!$C$21, $C$9, 100%, $E$9)</f>
        <v>34.752600000000001</v>
      </c>
      <c r="P683" s="14">
        <f>CHOOSE(CONTROL!$C$42, 34.6759, 34.6759) * CHOOSE(CONTROL!$C$21, $C$9, 100%, $E$9)</f>
        <v>34.675899999999999</v>
      </c>
      <c r="Q683" s="14">
        <f>CHOOSE(CONTROL!$C$42, 35.3479, 35.3479) * CHOOSE(CONTROL!$C$21, $C$9, 100%, $E$9)</f>
        <v>35.347900000000003</v>
      </c>
      <c r="R683" s="14">
        <f>CHOOSE(CONTROL!$C$42, 36.0233, 36.0233) * CHOOSE(CONTROL!$C$21, $C$9, 100%, $E$9)</f>
        <v>36.023299999999999</v>
      </c>
      <c r="S683" s="14">
        <f>CHOOSE(CONTROL!$C$42, 33.9882, 33.9882) * CHOOSE(CONTROL!$C$21, $C$9, 100%, $E$9)</f>
        <v>33.988199999999999</v>
      </c>
      <c r="T68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83" s="57">
        <f>(1000*CHOOSE(CONTROL!$C$42, 695, 695)*CHOOSE(CONTROL!$C$42, 0.5599, 0.5599)*CHOOSE(CONTROL!$C$42, 30, 30))/1000000</f>
        <v>11.673914999999997</v>
      </c>
      <c r="V683" s="57">
        <f>(1000*CHOOSE(CONTROL!$C$42, 500, 500)*CHOOSE(CONTROL!$C$42, 0.275, 0.275)*CHOOSE(CONTROL!$C$42, 30, 30))/1000000</f>
        <v>4.125</v>
      </c>
      <c r="W683" s="57">
        <f>(1000*CHOOSE(CONTROL!$C$42, 0.1146, 0.1146)*CHOOSE(CONTROL!$C$42, 121.5, 121.5)*CHOOSE(CONTROL!$C$42, 30, 30))/1000000</f>
        <v>0.417717</v>
      </c>
      <c r="X683" s="57">
        <f>(30*0.1790888*100000/1000000)+(30*0.2374*100000/1000000)</f>
        <v>1.2494664</v>
      </c>
      <c r="Y683" s="57"/>
      <c r="Z683" s="14"/>
      <c r="AA683" s="56"/>
      <c r="AB683" s="50">
        <f>(B683*122.58+C683*297.941+D683*89.177+E683*40.302+F683*40+G683*160+H683*0+I683*100+J683*300)/(122.58+297.941+89.177+40.302+0+40+160+100+300)</f>
        <v>35.013956073565218</v>
      </c>
      <c r="AC683" s="45">
        <f>(M683*'RAP TEMPLATE-GAS AVAILABILITY'!O682+N683*'RAP TEMPLATE-GAS AVAILABILITY'!P682+O683*'RAP TEMPLATE-GAS AVAILABILITY'!Q682+P683*'RAP TEMPLATE-GAS AVAILABILITY'!R682)/('RAP TEMPLATE-GAS AVAILABILITY'!O682+'RAP TEMPLATE-GAS AVAILABILITY'!P682+'RAP TEMPLATE-GAS AVAILABILITY'!Q682+'RAP TEMPLATE-GAS AVAILABILITY'!R682)</f>
        <v>34.703693525179858</v>
      </c>
    </row>
    <row r="684" spans="1:29" ht="15.75" x14ac:dyDescent="0.25">
      <c r="A684" s="32">
        <v>61728</v>
      </c>
      <c r="B684" s="14">
        <f>CHOOSE(CONTROL!$C$42, 37.3881, 37.3881) * CHOOSE(CONTROL!$C$21, $C$9, 100%, $E$9)</f>
        <v>37.388100000000001</v>
      </c>
      <c r="C684" s="14">
        <f>CHOOSE(CONTROL!$C$42, 37.3931, 37.3931) * CHOOSE(CONTROL!$C$21, $C$9, 100%, $E$9)</f>
        <v>37.393099999999997</v>
      </c>
      <c r="D684" s="14">
        <f>CHOOSE(CONTROL!$C$42, 37.4561, 37.4561) * CHOOSE(CONTROL!$C$21, $C$9, 100%, $E$9)</f>
        <v>37.456099999999999</v>
      </c>
      <c r="E684" s="14">
        <f>CHOOSE(CONTROL!$C$42, 37.4899, 37.4899) * CHOOSE(CONTROL!$C$21, $C$9, 100%, $E$9)</f>
        <v>37.489899999999999</v>
      </c>
      <c r="F684" s="14">
        <f>CHOOSE(CONTROL!$C$42, 37.3909, 37.3909)*CHOOSE(CONTROL!$C$21, $C$9, 100%, $E$9)</f>
        <v>37.390900000000002</v>
      </c>
      <c r="G684" s="14">
        <f>CHOOSE(CONTROL!$C$42, 37.4077, 37.4077)*CHOOSE(CONTROL!$C$21, $C$9, 100%, $E$9)</f>
        <v>37.407699999999998</v>
      </c>
      <c r="H684" s="14">
        <f>CHOOSE(CONTROL!$C$42, 37.4791, 37.4791) * CHOOSE(CONTROL!$C$21, $C$9, 100%, $E$9)</f>
        <v>37.479100000000003</v>
      </c>
      <c r="I684" s="14">
        <f>CHOOSE(CONTROL!$C$42, 37.4017, 37.4017)* CHOOSE(CONTROL!$C$21, $C$9, 100%, $E$9)</f>
        <v>37.401699999999998</v>
      </c>
      <c r="J684" s="14">
        <f>CHOOSE(CONTROL!$C$42, 37.3839, 37.3839)* CHOOSE(CONTROL!$C$21, $C$9, 100%, $E$9)</f>
        <v>37.383899999999997</v>
      </c>
      <c r="K684" s="53">
        <f>CHOOSE(CONTROL!$C$42, 37.3978, 37.3978) * CHOOSE(CONTROL!$C$21, $C$9, 100%, $E$9)</f>
        <v>37.397799999999997</v>
      </c>
      <c r="L684" s="14">
        <f>CHOOSE(CONTROL!$C$42, 38.0661, 38.0661) * CHOOSE(CONTROL!$C$21, $C$9, 100%, $E$9)</f>
        <v>38.066099999999999</v>
      </c>
      <c r="M684" s="14">
        <f>CHOOSE(CONTROL!$C$42, 37.0204, 37.0204) * CHOOSE(CONTROL!$C$21, $C$9, 100%, $E$9)</f>
        <v>37.020400000000002</v>
      </c>
      <c r="N684" s="14">
        <f>CHOOSE(CONTROL!$C$42, 37.0371, 37.0371) * CHOOSE(CONTROL!$C$21, $C$9, 100%, $E$9)</f>
        <v>37.037100000000002</v>
      </c>
      <c r="O684" s="14">
        <f>CHOOSE(CONTROL!$C$42, 37.1147, 37.1147) * CHOOSE(CONTROL!$C$21, $C$9, 100%, $E$9)</f>
        <v>37.114699999999999</v>
      </c>
      <c r="P684" s="14">
        <f>CHOOSE(CONTROL!$C$42, 37.0381, 37.0381) * CHOOSE(CONTROL!$C$21, $C$9, 100%, $E$9)</f>
        <v>37.0381</v>
      </c>
      <c r="Q684" s="14">
        <f>CHOOSE(CONTROL!$C$42, 37.71, 37.71) * CHOOSE(CONTROL!$C$21, $C$9, 100%, $E$9)</f>
        <v>37.71</v>
      </c>
      <c r="R684" s="14">
        <f>CHOOSE(CONTROL!$C$42, 38.3913, 38.3913) * CHOOSE(CONTROL!$C$21, $C$9, 100%, $E$9)</f>
        <v>38.391300000000001</v>
      </c>
      <c r="S684" s="14">
        <f>CHOOSE(CONTROL!$C$42, 36.3055, 36.3055) * CHOOSE(CONTROL!$C$21, $C$9, 100%, $E$9)</f>
        <v>36.305500000000002</v>
      </c>
      <c r="T68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84" s="57">
        <f>(1000*CHOOSE(CONTROL!$C$42, 695, 695)*CHOOSE(CONTROL!$C$42, 0.5599, 0.5599)*CHOOSE(CONTROL!$C$42, 31, 31))/1000000</f>
        <v>12.063045499999998</v>
      </c>
      <c r="V684" s="57">
        <f>(1000*CHOOSE(CONTROL!$C$42, 500, 500)*CHOOSE(CONTROL!$C$42, 0.275, 0.275)*CHOOSE(CONTROL!$C$42, 31, 31))/1000000</f>
        <v>4.2625000000000002</v>
      </c>
      <c r="W684" s="57">
        <f>(1000*CHOOSE(CONTROL!$C$42, 0.1146, 0.1146)*CHOOSE(CONTROL!$C$42, 121.5, 121.5)*CHOOSE(CONTROL!$C$42, 31, 31))/1000000</f>
        <v>0.43164089999999994</v>
      </c>
      <c r="X684" s="57">
        <f>(31*0.1790888*100000/1000000)+(31*0.2374*100000/1000000)</f>
        <v>1.2911152800000001</v>
      </c>
      <c r="Y684" s="57"/>
      <c r="Z684" s="14"/>
      <c r="AA684" s="56"/>
      <c r="AB684" s="50">
        <f>(B684*122.58+C684*297.941+D684*89.177+E684*40.302+F684*40+G684*160+H684*0+I684*100+J684*300)/(122.58+297.941+89.177+40.302+0+40+160+100+300)</f>
        <v>37.401147377913041</v>
      </c>
      <c r="AC684" s="45">
        <f>(M684*'RAP TEMPLATE-GAS AVAILABILITY'!O683+N684*'RAP TEMPLATE-GAS AVAILABILITY'!P683+O684*'RAP TEMPLATE-GAS AVAILABILITY'!Q683+P684*'RAP TEMPLATE-GAS AVAILABILITY'!R683)/('RAP TEMPLATE-GAS AVAILABILITY'!O683+'RAP TEMPLATE-GAS AVAILABILITY'!P683+'RAP TEMPLATE-GAS AVAILABILITY'!Q683+'RAP TEMPLATE-GAS AVAILABILITY'!R683)</f>
        <v>37.066648201438852</v>
      </c>
    </row>
    <row r="685" spans="1:29" ht="15.75" x14ac:dyDescent="0.25">
      <c r="A685" s="32">
        <v>61759</v>
      </c>
      <c r="B685" s="14">
        <f>CHOOSE(CONTROL!$C$42, 40.4513, 40.4513) * CHOOSE(CONTROL!$C$21, $C$9, 100%, $E$9)</f>
        <v>40.451300000000003</v>
      </c>
      <c r="C685" s="14">
        <f>CHOOSE(CONTROL!$C$42, 40.4563, 40.4563) * CHOOSE(CONTROL!$C$21, $C$9, 100%, $E$9)</f>
        <v>40.456299999999999</v>
      </c>
      <c r="D685" s="14">
        <f>CHOOSE(CONTROL!$C$42, 40.5206, 40.5206) * CHOOSE(CONTROL!$C$21, $C$9, 100%, $E$9)</f>
        <v>40.520600000000002</v>
      </c>
      <c r="E685" s="14">
        <f>CHOOSE(CONTROL!$C$42, 40.5543, 40.5543) * CHOOSE(CONTROL!$C$21, $C$9, 100%, $E$9)</f>
        <v>40.554299999999998</v>
      </c>
      <c r="F685" s="14">
        <f>CHOOSE(CONTROL!$C$42, 40.4528, 40.4528)*CHOOSE(CONTROL!$C$21, $C$9, 100%, $E$9)</f>
        <v>40.452800000000003</v>
      </c>
      <c r="G685" s="14">
        <f>CHOOSE(CONTROL!$C$42, 40.4688, 40.4688)*CHOOSE(CONTROL!$C$21, $C$9, 100%, $E$9)</f>
        <v>40.468800000000002</v>
      </c>
      <c r="H685" s="14">
        <f>CHOOSE(CONTROL!$C$42, 40.5435, 40.5435) * CHOOSE(CONTROL!$C$21, $C$9, 100%, $E$9)</f>
        <v>40.543500000000002</v>
      </c>
      <c r="I685" s="14">
        <f>CHOOSE(CONTROL!$C$42, 40.4713, 40.4713)* CHOOSE(CONTROL!$C$21, $C$9, 100%, $E$9)</f>
        <v>40.471299999999999</v>
      </c>
      <c r="J685" s="14">
        <f>CHOOSE(CONTROL!$C$42, 40.4458, 40.4458)* CHOOSE(CONTROL!$C$21, $C$9, 100%, $E$9)</f>
        <v>40.445799999999998</v>
      </c>
      <c r="K685" s="53">
        <f>CHOOSE(CONTROL!$C$42, 40.4674, 40.4674) * CHOOSE(CONTROL!$C$21, $C$9, 100%, $E$9)</f>
        <v>40.467399999999998</v>
      </c>
      <c r="L685" s="14">
        <f>CHOOSE(CONTROL!$C$42, 41.1305, 41.1305) * CHOOSE(CONTROL!$C$21, $C$9, 100%, $E$9)</f>
        <v>41.130499999999998</v>
      </c>
      <c r="M685" s="14">
        <f>CHOOSE(CONTROL!$C$42, 40.0515, 40.0515) * CHOOSE(CONTROL!$C$21, $C$9, 100%, $E$9)</f>
        <v>40.051499999999997</v>
      </c>
      <c r="N685" s="14">
        <f>CHOOSE(CONTROL!$C$42, 40.0673, 40.0673) * CHOOSE(CONTROL!$C$21, $C$9, 100%, $E$9)</f>
        <v>40.067300000000003</v>
      </c>
      <c r="O685" s="14">
        <f>CHOOSE(CONTROL!$C$42, 40.1482, 40.1482) * CHOOSE(CONTROL!$C$21, $C$9, 100%, $E$9)</f>
        <v>40.148200000000003</v>
      </c>
      <c r="P685" s="14">
        <f>CHOOSE(CONTROL!$C$42, 40.0768, 40.0768) * CHOOSE(CONTROL!$C$21, $C$9, 100%, $E$9)</f>
        <v>40.076799999999999</v>
      </c>
      <c r="Q685" s="14">
        <f>CHOOSE(CONTROL!$C$42, 40.7435, 40.7435) * CHOOSE(CONTROL!$C$21, $C$9, 100%, $E$9)</f>
        <v>40.743499999999997</v>
      </c>
      <c r="R685" s="14">
        <f>CHOOSE(CONTROL!$C$42, 41.4324, 41.4324) * CHOOSE(CONTROL!$C$21, $C$9, 100%, $E$9)</f>
        <v>41.432400000000001</v>
      </c>
      <c r="S685" s="14">
        <f>CHOOSE(CONTROL!$C$42, 39.2802, 39.2802) * CHOOSE(CONTROL!$C$21, $C$9, 100%, $E$9)</f>
        <v>39.280200000000001</v>
      </c>
      <c r="T68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85" s="57">
        <f>(1000*CHOOSE(CONTROL!$C$42, 695, 695)*CHOOSE(CONTROL!$C$42, 0.5599, 0.5599)*CHOOSE(CONTROL!$C$42, 31, 31))/1000000</f>
        <v>12.063045499999998</v>
      </c>
      <c r="V685" s="57">
        <f>(1000*CHOOSE(CONTROL!$C$42, 500, 500)*CHOOSE(CONTROL!$C$42, 0.275, 0.275)*CHOOSE(CONTROL!$C$42, 31, 31))/1000000</f>
        <v>4.2625000000000002</v>
      </c>
      <c r="W685" s="57">
        <f>(1000*CHOOSE(CONTROL!$C$42, 0.1146, 0.1146)*CHOOSE(CONTROL!$C$42, 121.5, 121.5)*CHOOSE(CONTROL!$C$42, 31, 31))/1000000</f>
        <v>0.43164089999999994</v>
      </c>
      <c r="X685" s="57">
        <f>(31*0.1790888*100000/1000000)+(31*0.2374*100000/1000000)</f>
        <v>1.2911152800000001</v>
      </c>
      <c r="Y685" s="57"/>
      <c r="Z685" s="14"/>
      <c r="AA685" s="56"/>
      <c r="AB685" s="50">
        <f>(B685*122.58+C685*297.941+D685*89.177+E685*40.302+F685*40+G685*160+H685*0+I685*100+J685*300)/(122.58+297.941+89.177+40.302+0+40+160+100+300)</f>
        <v>40.464370240956519</v>
      </c>
      <c r="AC685" s="45">
        <f>(M685*'RAP TEMPLATE-GAS AVAILABILITY'!O684+N685*'RAP TEMPLATE-GAS AVAILABILITY'!P684+O685*'RAP TEMPLATE-GAS AVAILABILITY'!Q684+P685*'RAP TEMPLATE-GAS AVAILABILITY'!R684)/('RAP TEMPLATE-GAS AVAILABILITY'!O684+'RAP TEMPLATE-GAS AVAILABILITY'!P684+'RAP TEMPLATE-GAS AVAILABILITY'!Q684+'RAP TEMPLATE-GAS AVAILABILITY'!R684)</f>
        <v>40.099877697841727</v>
      </c>
    </row>
    <row r="686" spans="1:29" ht="15.75" x14ac:dyDescent="0.25">
      <c r="A686" s="32">
        <v>61787</v>
      </c>
      <c r="B686" s="14">
        <f>CHOOSE(CONTROL!$C$42, 41.1714, 41.1714) * CHOOSE(CONTROL!$C$21, $C$9, 100%, $E$9)</f>
        <v>41.171399999999998</v>
      </c>
      <c r="C686" s="14">
        <f>CHOOSE(CONTROL!$C$42, 41.1763, 41.1763) * CHOOSE(CONTROL!$C$21, $C$9, 100%, $E$9)</f>
        <v>41.176299999999998</v>
      </c>
      <c r="D686" s="14">
        <f>CHOOSE(CONTROL!$C$42, 41.2406, 41.2406) * CHOOSE(CONTROL!$C$21, $C$9, 100%, $E$9)</f>
        <v>41.240600000000001</v>
      </c>
      <c r="E686" s="14">
        <f>CHOOSE(CONTROL!$C$42, 41.2744, 41.2744) * CHOOSE(CONTROL!$C$21, $C$9, 100%, $E$9)</f>
        <v>41.2744</v>
      </c>
      <c r="F686" s="14">
        <f>CHOOSE(CONTROL!$C$42, 41.1729, 41.1729)*CHOOSE(CONTROL!$C$21, $C$9, 100%, $E$9)</f>
        <v>41.172899999999998</v>
      </c>
      <c r="G686" s="14">
        <f>CHOOSE(CONTROL!$C$42, 41.1889, 41.1889)*CHOOSE(CONTROL!$C$21, $C$9, 100%, $E$9)</f>
        <v>41.188899999999997</v>
      </c>
      <c r="H686" s="14">
        <f>CHOOSE(CONTROL!$C$42, 41.2636, 41.2636) * CHOOSE(CONTROL!$C$21, $C$9, 100%, $E$9)</f>
        <v>41.263599999999997</v>
      </c>
      <c r="I686" s="14">
        <f>CHOOSE(CONTROL!$C$42, 41.1914, 41.1914)* CHOOSE(CONTROL!$C$21, $C$9, 100%, $E$9)</f>
        <v>41.191400000000002</v>
      </c>
      <c r="J686" s="14">
        <f>CHOOSE(CONTROL!$C$42, 41.1659, 41.1659)* CHOOSE(CONTROL!$C$21, $C$9, 100%, $E$9)</f>
        <v>41.165900000000001</v>
      </c>
      <c r="K686" s="53">
        <f>CHOOSE(CONTROL!$C$42, 41.1875, 41.1875) * CHOOSE(CONTROL!$C$21, $C$9, 100%, $E$9)</f>
        <v>41.1875</v>
      </c>
      <c r="L686" s="14">
        <f>CHOOSE(CONTROL!$C$42, 41.8506, 41.8506) * CHOOSE(CONTROL!$C$21, $C$9, 100%, $E$9)</f>
        <v>41.8506</v>
      </c>
      <c r="M686" s="14">
        <f>CHOOSE(CONTROL!$C$42, 40.7643, 40.7643) * CHOOSE(CONTROL!$C$21, $C$9, 100%, $E$9)</f>
        <v>40.764299999999999</v>
      </c>
      <c r="N686" s="14">
        <f>CHOOSE(CONTROL!$C$42, 40.7801, 40.7801) * CHOOSE(CONTROL!$C$21, $C$9, 100%, $E$9)</f>
        <v>40.780099999999997</v>
      </c>
      <c r="O686" s="14">
        <f>CHOOSE(CONTROL!$C$42, 40.861, 40.861) * CHOOSE(CONTROL!$C$21, $C$9, 100%, $E$9)</f>
        <v>40.860999999999997</v>
      </c>
      <c r="P686" s="14">
        <f>CHOOSE(CONTROL!$C$42, 40.7895, 40.7895) * CHOOSE(CONTROL!$C$21, $C$9, 100%, $E$9)</f>
        <v>40.789499999999997</v>
      </c>
      <c r="Q686" s="14">
        <f>CHOOSE(CONTROL!$C$42, 41.4563, 41.4563) * CHOOSE(CONTROL!$C$21, $C$9, 100%, $E$9)</f>
        <v>41.456299999999999</v>
      </c>
      <c r="R686" s="14">
        <f>CHOOSE(CONTROL!$C$42, 42.1469, 42.1469) * CHOOSE(CONTROL!$C$21, $C$9, 100%, $E$9)</f>
        <v>42.146900000000002</v>
      </c>
      <c r="S686" s="14">
        <f>CHOOSE(CONTROL!$C$42, 39.9794, 39.9794) * CHOOSE(CONTROL!$C$21, $C$9, 100%, $E$9)</f>
        <v>39.979399999999998</v>
      </c>
      <c r="T68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86" s="57">
        <f>(1000*CHOOSE(CONTROL!$C$42, 695, 695)*CHOOSE(CONTROL!$C$42, 0.5599, 0.5599)*CHOOSE(CONTROL!$C$42, 28, 28))/1000000</f>
        <v>10.895653999999999</v>
      </c>
      <c r="V686" s="57">
        <f>(1000*CHOOSE(CONTROL!$C$42, 500, 500)*CHOOSE(CONTROL!$C$42, 0.275, 0.275)*CHOOSE(CONTROL!$C$42, 28, 28))/1000000</f>
        <v>3.85</v>
      </c>
      <c r="W686" s="57">
        <f>(1000*CHOOSE(CONTROL!$C$42, 0.1146, 0.1146)*CHOOSE(CONTROL!$C$42, 121.5, 121.5)*CHOOSE(CONTROL!$C$42, 28, 28))/1000000</f>
        <v>0.38986920000000003</v>
      </c>
      <c r="X686" s="57">
        <f>(28*0.1790888*100000/1000000)+(28*0.2374*100000/1000000)</f>
        <v>1.16616864</v>
      </c>
      <c r="Y686" s="57"/>
      <c r="Z686" s="14"/>
      <c r="AA686" s="56"/>
      <c r="AB686" s="50">
        <f>(B686*122.58+C686*297.941+D686*89.177+E686*40.302+F686*40+G686*160+H686*0+I686*100+J686*300)/(122.58+297.941+89.177+40.302+0+40+160+100+300)</f>
        <v>41.184436578521741</v>
      </c>
      <c r="AC686" s="45">
        <f>(M686*'RAP TEMPLATE-GAS AVAILABILITY'!O685+N686*'RAP TEMPLATE-GAS AVAILABILITY'!P685+O686*'RAP TEMPLATE-GAS AVAILABILITY'!Q685+P686*'RAP TEMPLATE-GAS AVAILABILITY'!R685)/('RAP TEMPLATE-GAS AVAILABILITY'!O685+'RAP TEMPLATE-GAS AVAILABILITY'!P685+'RAP TEMPLATE-GAS AVAILABILITY'!Q685+'RAP TEMPLATE-GAS AVAILABILITY'!R685)</f>
        <v>40.812663309352509</v>
      </c>
    </row>
    <row r="687" spans="1:29" ht="15.75" x14ac:dyDescent="0.25">
      <c r="A687" s="32">
        <v>61818</v>
      </c>
      <c r="B687" s="14">
        <f>CHOOSE(CONTROL!$C$42, 40.0026, 40.0026) * CHOOSE(CONTROL!$C$21, $C$9, 100%, $E$9)</f>
        <v>40.002600000000001</v>
      </c>
      <c r="C687" s="14">
        <f>CHOOSE(CONTROL!$C$42, 40.0075, 40.0075) * CHOOSE(CONTROL!$C$21, $C$9, 100%, $E$9)</f>
        <v>40.0075</v>
      </c>
      <c r="D687" s="14">
        <f>CHOOSE(CONTROL!$C$42, 40.0718, 40.0718) * CHOOSE(CONTROL!$C$21, $C$9, 100%, $E$9)</f>
        <v>40.071800000000003</v>
      </c>
      <c r="E687" s="14">
        <f>CHOOSE(CONTROL!$C$42, 40.1056, 40.1056) * CHOOSE(CONTROL!$C$21, $C$9, 100%, $E$9)</f>
        <v>40.105600000000003</v>
      </c>
      <c r="F687" s="14">
        <f>CHOOSE(CONTROL!$C$42, 40.0038, 40.0038)*CHOOSE(CONTROL!$C$21, $C$9, 100%, $E$9)</f>
        <v>40.003799999999998</v>
      </c>
      <c r="G687" s="14">
        <f>CHOOSE(CONTROL!$C$42, 40.0197, 40.0197)*CHOOSE(CONTROL!$C$21, $C$9, 100%, $E$9)</f>
        <v>40.0197</v>
      </c>
      <c r="H687" s="14">
        <f>CHOOSE(CONTROL!$C$42, 40.0948, 40.0948) * CHOOSE(CONTROL!$C$21, $C$9, 100%, $E$9)</f>
        <v>40.094799999999999</v>
      </c>
      <c r="I687" s="14">
        <f>CHOOSE(CONTROL!$C$42, 40.0226, 40.0226)* CHOOSE(CONTROL!$C$21, $C$9, 100%, $E$9)</f>
        <v>40.022599999999997</v>
      </c>
      <c r="J687" s="14">
        <f>CHOOSE(CONTROL!$C$42, 39.9968, 39.9968)* CHOOSE(CONTROL!$C$21, $C$9, 100%, $E$9)</f>
        <v>39.9968</v>
      </c>
      <c r="K687" s="53">
        <f>CHOOSE(CONTROL!$C$42, 40.0187, 40.0187) * CHOOSE(CONTROL!$C$21, $C$9, 100%, $E$9)</f>
        <v>40.018700000000003</v>
      </c>
      <c r="L687" s="14">
        <f>CHOOSE(CONTROL!$C$42, 40.6818, 40.6818) * CHOOSE(CONTROL!$C$21, $C$9, 100%, $E$9)</f>
        <v>40.681800000000003</v>
      </c>
      <c r="M687" s="14">
        <f>CHOOSE(CONTROL!$C$42, 39.607, 39.607) * CHOOSE(CONTROL!$C$21, $C$9, 100%, $E$9)</f>
        <v>39.606999999999999</v>
      </c>
      <c r="N687" s="14">
        <f>CHOOSE(CONTROL!$C$42, 39.6227, 39.6227) * CHOOSE(CONTROL!$C$21, $C$9, 100%, $E$9)</f>
        <v>39.622700000000002</v>
      </c>
      <c r="O687" s="14">
        <f>CHOOSE(CONTROL!$C$42, 39.704, 39.704) * CHOOSE(CONTROL!$C$21, $C$9, 100%, $E$9)</f>
        <v>39.704000000000001</v>
      </c>
      <c r="P687" s="14">
        <f>CHOOSE(CONTROL!$C$42, 39.6325, 39.6325) * CHOOSE(CONTROL!$C$21, $C$9, 100%, $E$9)</f>
        <v>39.6325</v>
      </c>
      <c r="Q687" s="14">
        <f>CHOOSE(CONTROL!$C$42, 40.2993, 40.2993) * CHOOSE(CONTROL!$C$21, $C$9, 100%, $E$9)</f>
        <v>40.299300000000002</v>
      </c>
      <c r="R687" s="14">
        <f>CHOOSE(CONTROL!$C$42, 40.987, 40.987) * CHOOSE(CONTROL!$C$21, $C$9, 100%, $E$9)</f>
        <v>40.987000000000002</v>
      </c>
      <c r="S687" s="14">
        <f>CHOOSE(CONTROL!$C$42, 38.8444, 38.8444) * CHOOSE(CONTROL!$C$21, $C$9, 100%, $E$9)</f>
        <v>38.8444</v>
      </c>
      <c r="T68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87" s="57">
        <f>(1000*CHOOSE(CONTROL!$C$42, 695, 695)*CHOOSE(CONTROL!$C$42, 0.5599, 0.5599)*CHOOSE(CONTROL!$C$42, 31, 31))/1000000</f>
        <v>12.063045499999998</v>
      </c>
      <c r="V687" s="57">
        <f>(1000*CHOOSE(CONTROL!$C$42, 500, 500)*CHOOSE(CONTROL!$C$42, 0.275, 0.275)*CHOOSE(CONTROL!$C$42, 31, 31))/1000000</f>
        <v>4.2625000000000002</v>
      </c>
      <c r="W687" s="57">
        <f>(1000*CHOOSE(CONTROL!$C$42, 0.1146, 0.1146)*CHOOSE(CONTROL!$C$42, 121.5, 121.5)*CHOOSE(CONTROL!$C$42, 31, 31))/1000000</f>
        <v>0.43164089999999994</v>
      </c>
      <c r="X687" s="57">
        <f>(31*0.1790888*100000/1000000)+(31*0.2374*100000/1000000)</f>
        <v>1.2911152800000001</v>
      </c>
      <c r="Y687" s="57"/>
      <c r="Z687" s="14"/>
      <c r="AA687" s="56"/>
      <c r="AB687" s="50">
        <f>(B687*122.58+C687*297.941+D687*89.177+E687*40.302+F687*40+G687*160+H687*0+I687*100+J687*300)/(122.58+297.941+89.177+40.302+0+40+160+100+300)</f>
        <v>40.015492230695656</v>
      </c>
      <c r="AC687" s="45">
        <f>(M687*'RAP TEMPLATE-GAS AVAILABILITY'!O686+N687*'RAP TEMPLATE-GAS AVAILABILITY'!P686+O687*'RAP TEMPLATE-GAS AVAILABILITY'!Q686+P687*'RAP TEMPLATE-GAS AVAILABILITY'!R686)/('RAP TEMPLATE-GAS AVAILABILITY'!O686+'RAP TEMPLATE-GAS AVAILABILITY'!P686+'RAP TEMPLATE-GAS AVAILABILITY'!Q686+'RAP TEMPLATE-GAS AVAILABILITY'!R686)</f>
        <v>39.65553669064748</v>
      </c>
    </row>
    <row r="688" spans="1:29" ht="15.75" x14ac:dyDescent="0.25">
      <c r="A688" s="32">
        <v>61848</v>
      </c>
      <c r="B688" s="14">
        <f>CHOOSE(CONTROL!$C$42, 39.884, 39.884) * CHOOSE(CONTROL!$C$21, $C$9, 100%, $E$9)</f>
        <v>39.884</v>
      </c>
      <c r="C688" s="14">
        <f>CHOOSE(CONTROL!$C$42, 39.8884, 39.8884) * CHOOSE(CONTROL!$C$21, $C$9, 100%, $E$9)</f>
        <v>39.888399999999997</v>
      </c>
      <c r="D688" s="14">
        <f>CHOOSE(CONTROL!$C$42, 40.0891, 40.0891) * CHOOSE(CONTROL!$C$21, $C$9, 100%, $E$9)</f>
        <v>40.089100000000002</v>
      </c>
      <c r="E688" s="14">
        <f>CHOOSE(CONTROL!$C$42, 40.1209, 40.1209) * CHOOSE(CONTROL!$C$21, $C$9, 100%, $E$9)</f>
        <v>40.120899999999999</v>
      </c>
      <c r="F688" s="14">
        <f>CHOOSE(CONTROL!$C$42, 39.8686, 39.8686)*CHOOSE(CONTROL!$C$21, $C$9, 100%, $E$9)</f>
        <v>39.868600000000001</v>
      </c>
      <c r="G688" s="14">
        <f>CHOOSE(CONTROL!$C$42, 39.8842, 39.8842)*CHOOSE(CONTROL!$C$21, $C$9, 100%, $E$9)</f>
        <v>39.8842</v>
      </c>
      <c r="H688" s="14">
        <f>CHOOSE(CONTROL!$C$42, 40.1106, 40.1106) * CHOOSE(CONTROL!$C$21, $C$9, 100%, $E$9)</f>
        <v>40.110599999999998</v>
      </c>
      <c r="I688" s="14">
        <f>CHOOSE(CONTROL!$C$42, 39.8967, 39.8967)* CHOOSE(CONTROL!$C$21, $C$9, 100%, $E$9)</f>
        <v>39.896700000000003</v>
      </c>
      <c r="J688" s="14">
        <f>CHOOSE(CONTROL!$C$42, 39.8616, 39.8616)* CHOOSE(CONTROL!$C$21, $C$9, 100%, $E$9)</f>
        <v>39.861600000000003</v>
      </c>
      <c r="K688" s="53">
        <f>CHOOSE(CONTROL!$C$42, 39.8929, 39.8929) * CHOOSE(CONTROL!$C$21, $C$9, 100%, $E$9)</f>
        <v>39.892899999999997</v>
      </c>
      <c r="L688" s="14">
        <f>CHOOSE(CONTROL!$C$42, 40.6976, 40.6976) * CHOOSE(CONTROL!$C$21, $C$9, 100%, $E$9)</f>
        <v>40.697600000000001</v>
      </c>
      <c r="M688" s="14">
        <f>CHOOSE(CONTROL!$C$42, 39.4731, 39.4731) * CHOOSE(CONTROL!$C$21, $C$9, 100%, $E$9)</f>
        <v>39.473100000000002</v>
      </c>
      <c r="N688" s="14">
        <f>CHOOSE(CONTROL!$C$42, 39.4886, 39.4886) * CHOOSE(CONTROL!$C$21, $C$9, 100%, $E$9)</f>
        <v>39.488599999999998</v>
      </c>
      <c r="O688" s="14">
        <f>CHOOSE(CONTROL!$C$42, 39.7197, 39.7197) * CHOOSE(CONTROL!$C$21, $C$9, 100%, $E$9)</f>
        <v>39.719700000000003</v>
      </c>
      <c r="P688" s="14">
        <f>CHOOSE(CONTROL!$C$42, 39.508, 39.508) * CHOOSE(CONTROL!$C$21, $C$9, 100%, $E$9)</f>
        <v>39.508000000000003</v>
      </c>
      <c r="Q688" s="14">
        <f>CHOOSE(CONTROL!$C$42, 40.315, 40.315) * CHOOSE(CONTROL!$C$21, $C$9, 100%, $E$9)</f>
        <v>40.314999999999998</v>
      </c>
      <c r="R688" s="14">
        <f>CHOOSE(CONTROL!$C$42, 41.0028, 41.0028) * CHOOSE(CONTROL!$C$21, $C$9, 100%, $E$9)</f>
        <v>41.002800000000001</v>
      </c>
      <c r="S688" s="14">
        <f>CHOOSE(CONTROL!$C$42, 38.7284, 38.7284) * CHOOSE(CONTROL!$C$21, $C$9, 100%, $E$9)</f>
        <v>38.728400000000001</v>
      </c>
      <c r="T68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688" s="57">
        <f>(1000*CHOOSE(CONTROL!$C$42, 695, 695)*CHOOSE(CONTROL!$C$42, 0.5599, 0.5599)*CHOOSE(CONTROL!$C$42, 30, 30))/1000000</f>
        <v>11.673914999999997</v>
      </c>
      <c r="V688" s="57">
        <f>(1000*CHOOSE(CONTROL!$C$42, 500, 500)*CHOOSE(CONTROL!$C$42, 0.275, 0.275)*CHOOSE(CONTROL!$C$42, 30, 30))/1000000</f>
        <v>4.125</v>
      </c>
      <c r="W688" s="57">
        <f>(1000*CHOOSE(CONTROL!$C$42, 0.1146, 0.1146)*CHOOSE(CONTROL!$C$42, 121.5, 121.5)*CHOOSE(CONTROL!$C$42, 30, 30))/1000000</f>
        <v>0.417717</v>
      </c>
      <c r="X688" s="57">
        <f>(30*0.1790888*245000/1000000)+(30*0.2374*100000/1000000)</f>
        <v>2.0285026799999999</v>
      </c>
      <c r="Y688" s="57"/>
      <c r="Z688" s="14"/>
      <c r="AA688" s="56"/>
      <c r="AB688" s="50">
        <f>(B688*141.293+C688*267.993+D688*115.016+E688*89.698+F688*40+G688*185+H688*0+I688*100+J688*300)/(141.293+267.993+115.016+89.698+0+40+185+100+300)</f>
        <v>39.916275550443906</v>
      </c>
      <c r="AC688" s="45">
        <f>(M688*'RAP TEMPLATE-GAS AVAILABILITY'!O687+N688*'RAP TEMPLATE-GAS AVAILABILITY'!P687+O688*'RAP TEMPLATE-GAS AVAILABILITY'!Q687+P688*'RAP TEMPLATE-GAS AVAILABILITY'!R687)/('RAP TEMPLATE-GAS AVAILABILITY'!O687+'RAP TEMPLATE-GAS AVAILABILITY'!P687+'RAP TEMPLATE-GAS AVAILABILITY'!Q687+'RAP TEMPLATE-GAS AVAILABILITY'!R687)</f>
        <v>39.590782014388488</v>
      </c>
    </row>
    <row r="689" spans="1:29" ht="15.75" x14ac:dyDescent="0.25">
      <c r="A689" s="32">
        <v>61879</v>
      </c>
      <c r="B689" s="14">
        <f>CHOOSE(CONTROL!$C$42, 40.2374, 40.2374) * CHOOSE(CONTROL!$C$21, $C$9, 100%, $E$9)</f>
        <v>40.237400000000001</v>
      </c>
      <c r="C689" s="14">
        <f>CHOOSE(CONTROL!$C$42, 40.2453, 40.2453) * CHOOSE(CONTROL!$C$21, $C$9, 100%, $E$9)</f>
        <v>40.2453</v>
      </c>
      <c r="D689" s="14">
        <f>CHOOSE(CONTROL!$C$42, 40.4429, 40.4429) * CHOOSE(CONTROL!$C$21, $C$9, 100%, $E$9)</f>
        <v>40.442900000000002</v>
      </c>
      <c r="E689" s="14">
        <f>CHOOSE(CONTROL!$C$42, 40.474, 40.474) * CHOOSE(CONTROL!$C$21, $C$9, 100%, $E$9)</f>
        <v>40.473999999999997</v>
      </c>
      <c r="F689" s="14">
        <f>CHOOSE(CONTROL!$C$42, 40.2208, 40.2208)*CHOOSE(CONTROL!$C$21, $C$9, 100%, $E$9)</f>
        <v>40.220799999999997</v>
      </c>
      <c r="G689" s="14">
        <f>CHOOSE(CONTROL!$C$42, 40.2369, 40.2369)*CHOOSE(CONTROL!$C$21, $C$9, 100%, $E$9)</f>
        <v>40.236899999999999</v>
      </c>
      <c r="H689" s="14">
        <f>CHOOSE(CONTROL!$C$42, 40.4626, 40.4626) * CHOOSE(CONTROL!$C$21, $C$9, 100%, $E$9)</f>
        <v>40.462600000000002</v>
      </c>
      <c r="I689" s="14">
        <f>CHOOSE(CONTROL!$C$42, 40.2487, 40.2487)* CHOOSE(CONTROL!$C$21, $C$9, 100%, $E$9)</f>
        <v>40.248699999999999</v>
      </c>
      <c r="J689" s="14">
        <f>CHOOSE(CONTROL!$C$42, 40.2138, 40.2138)* CHOOSE(CONTROL!$C$21, $C$9, 100%, $E$9)</f>
        <v>40.213799999999999</v>
      </c>
      <c r="K689" s="53">
        <f>CHOOSE(CONTROL!$C$42, 40.2448, 40.2448) * CHOOSE(CONTROL!$C$21, $C$9, 100%, $E$9)</f>
        <v>40.244799999999998</v>
      </c>
      <c r="L689" s="14">
        <f>CHOOSE(CONTROL!$C$42, 41.0496, 41.0496) * CHOOSE(CONTROL!$C$21, $C$9, 100%, $E$9)</f>
        <v>41.049599999999998</v>
      </c>
      <c r="M689" s="14">
        <f>CHOOSE(CONTROL!$C$42, 39.8218, 39.8218) * CHOOSE(CONTROL!$C$21, $C$9, 100%, $E$9)</f>
        <v>39.821800000000003</v>
      </c>
      <c r="N689" s="14">
        <f>CHOOSE(CONTROL!$C$42, 39.8377, 39.8377) * CHOOSE(CONTROL!$C$21, $C$9, 100%, $E$9)</f>
        <v>39.837699999999998</v>
      </c>
      <c r="O689" s="14">
        <f>CHOOSE(CONTROL!$C$42, 40.0681, 40.0681) * CHOOSE(CONTROL!$C$21, $C$9, 100%, $E$9)</f>
        <v>40.068100000000001</v>
      </c>
      <c r="P689" s="14">
        <f>CHOOSE(CONTROL!$C$42, 39.8564, 39.8564) * CHOOSE(CONTROL!$C$21, $C$9, 100%, $E$9)</f>
        <v>39.856400000000001</v>
      </c>
      <c r="Q689" s="14">
        <f>CHOOSE(CONTROL!$C$42, 40.6634, 40.6634) * CHOOSE(CONTROL!$C$21, $C$9, 100%, $E$9)</f>
        <v>40.663400000000003</v>
      </c>
      <c r="R689" s="14">
        <f>CHOOSE(CONTROL!$C$42, 41.3521, 41.3521) * CHOOSE(CONTROL!$C$21, $C$9, 100%, $E$9)</f>
        <v>41.3521</v>
      </c>
      <c r="S689" s="14">
        <f>CHOOSE(CONTROL!$C$42, 39.0703, 39.0703) * CHOOSE(CONTROL!$C$21, $C$9, 100%, $E$9)</f>
        <v>39.070300000000003</v>
      </c>
      <c r="T68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689" s="57">
        <f>(1000*CHOOSE(CONTROL!$C$42, 695, 695)*CHOOSE(CONTROL!$C$42, 0.5599, 0.5599)*CHOOSE(CONTROL!$C$42, 31, 31))/1000000</f>
        <v>12.063045499999998</v>
      </c>
      <c r="V689" s="57">
        <f>(1000*CHOOSE(CONTROL!$C$42, 500, 500)*CHOOSE(CONTROL!$C$42, 0.275, 0.275)*CHOOSE(CONTROL!$C$42, 31, 31))/1000000</f>
        <v>4.2625000000000002</v>
      </c>
      <c r="W689" s="57">
        <f>(1000*CHOOSE(CONTROL!$C$42, 0.1146, 0.1146)*CHOOSE(CONTROL!$C$42, 121.5, 121.5)*CHOOSE(CONTROL!$C$42, 31, 31))/1000000</f>
        <v>0.43164089999999994</v>
      </c>
      <c r="X689" s="57">
        <f>(31*0.1790888*245000/1000000)+(31*0.2374*100000/1000000)</f>
        <v>2.0961194359999999</v>
      </c>
      <c r="Y689" s="57"/>
      <c r="Z689" s="14"/>
      <c r="AA689" s="56"/>
      <c r="AB689" s="50">
        <f>(B689*194.205+C689*267.466+D689*133.845+E689*53.484+F689*40+G689*185+H689*0+I689*100+J689*300)/(194.205+267.466+133.845+53.484+0+40+185+100+300)</f>
        <v>40.265316752982734</v>
      </c>
      <c r="AC689" s="45">
        <f>(M689*'RAP TEMPLATE-GAS AVAILABILITY'!O688+N689*'RAP TEMPLATE-GAS AVAILABILITY'!P688+O689*'RAP TEMPLATE-GAS AVAILABILITY'!Q688+P689*'RAP TEMPLATE-GAS AVAILABILITY'!R688)/('RAP TEMPLATE-GAS AVAILABILITY'!O688+'RAP TEMPLATE-GAS AVAILABILITY'!P688+'RAP TEMPLATE-GAS AVAILABILITY'!Q688+'RAP TEMPLATE-GAS AVAILABILITY'!R688)</f>
        <v>39.939325899280576</v>
      </c>
    </row>
    <row r="690" spans="1:29" ht="15.75" x14ac:dyDescent="0.25">
      <c r="A690" s="32">
        <v>61909</v>
      </c>
      <c r="B690" s="14">
        <f>CHOOSE(CONTROL!$C$42, 41.3786, 41.3786) * CHOOSE(CONTROL!$C$21, $C$9, 100%, $E$9)</f>
        <v>41.378599999999999</v>
      </c>
      <c r="C690" s="14">
        <f>CHOOSE(CONTROL!$C$42, 41.3865, 41.3865) * CHOOSE(CONTROL!$C$21, $C$9, 100%, $E$9)</f>
        <v>41.386499999999998</v>
      </c>
      <c r="D690" s="14">
        <f>CHOOSE(CONTROL!$C$42, 41.5841, 41.5841) * CHOOSE(CONTROL!$C$21, $C$9, 100%, $E$9)</f>
        <v>41.584099999999999</v>
      </c>
      <c r="E690" s="14">
        <f>CHOOSE(CONTROL!$C$42, 41.6152, 41.6152) * CHOOSE(CONTROL!$C$21, $C$9, 100%, $E$9)</f>
        <v>41.615200000000002</v>
      </c>
      <c r="F690" s="14">
        <f>CHOOSE(CONTROL!$C$42, 41.3624, 41.3624)*CHOOSE(CONTROL!$C$21, $C$9, 100%, $E$9)</f>
        <v>41.362400000000001</v>
      </c>
      <c r="G690" s="14">
        <f>CHOOSE(CONTROL!$C$42, 41.3786, 41.3786)*CHOOSE(CONTROL!$C$21, $C$9, 100%, $E$9)</f>
        <v>41.378599999999999</v>
      </c>
      <c r="H690" s="14">
        <f>CHOOSE(CONTROL!$C$42, 41.6039, 41.6039) * CHOOSE(CONTROL!$C$21, $C$9, 100%, $E$9)</f>
        <v>41.603900000000003</v>
      </c>
      <c r="I690" s="14">
        <f>CHOOSE(CONTROL!$C$42, 41.39, 41.39)* CHOOSE(CONTROL!$C$21, $C$9, 100%, $E$9)</f>
        <v>41.39</v>
      </c>
      <c r="J690" s="14">
        <f>CHOOSE(CONTROL!$C$42, 41.3554, 41.3554)* CHOOSE(CONTROL!$C$21, $C$9, 100%, $E$9)</f>
        <v>41.355400000000003</v>
      </c>
      <c r="K690" s="53">
        <f>CHOOSE(CONTROL!$C$42, 41.3861, 41.3861) * CHOOSE(CONTROL!$C$21, $C$9, 100%, $E$9)</f>
        <v>41.386099999999999</v>
      </c>
      <c r="L690" s="14">
        <f>CHOOSE(CONTROL!$C$42, 42.1909, 42.1909) * CHOOSE(CONTROL!$C$21, $C$9, 100%, $E$9)</f>
        <v>42.190899999999999</v>
      </c>
      <c r="M690" s="14">
        <f>CHOOSE(CONTROL!$C$42, 40.9519, 40.9519) * CHOOSE(CONTROL!$C$21, $C$9, 100%, $E$9)</f>
        <v>40.951900000000002</v>
      </c>
      <c r="N690" s="14">
        <f>CHOOSE(CONTROL!$C$42, 40.9679, 40.9679) * CHOOSE(CONTROL!$C$21, $C$9, 100%, $E$9)</f>
        <v>40.9679</v>
      </c>
      <c r="O690" s="14">
        <f>CHOOSE(CONTROL!$C$42, 41.1978, 41.1978) * CHOOSE(CONTROL!$C$21, $C$9, 100%, $E$9)</f>
        <v>41.197800000000001</v>
      </c>
      <c r="P690" s="14">
        <f>CHOOSE(CONTROL!$C$42, 40.9861, 40.9861) * CHOOSE(CONTROL!$C$21, $C$9, 100%, $E$9)</f>
        <v>40.9861</v>
      </c>
      <c r="Q690" s="14">
        <f>CHOOSE(CONTROL!$C$42, 41.7931, 41.7931) * CHOOSE(CONTROL!$C$21, $C$9, 100%, $E$9)</f>
        <v>41.793100000000003</v>
      </c>
      <c r="R690" s="14">
        <f>CHOOSE(CONTROL!$C$42, 42.4846, 42.4846) * CHOOSE(CONTROL!$C$21, $C$9, 100%, $E$9)</f>
        <v>42.4846</v>
      </c>
      <c r="S690" s="14">
        <f>CHOOSE(CONTROL!$C$42, 40.1785, 40.1785) * CHOOSE(CONTROL!$C$21, $C$9, 100%, $E$9)</f>
        <v>40.1785</v>
      </c>
      <c r="T69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690" s="57">
        <f>(1000*CHOOSE(CONTROL!$C$42, 695, 695)*CHOOSE(CONTROL!$C$42, 0.5599, 0.5599)*CHOOSE(CONTROL!$C$42, 30, 30))/1000000</f>
        <v>11.673914999999997</v>
      </c>
      <c r="V690" s="57">
        <f>(1000*CHOOSE(CONTROL!$C$42, 500, 500)*CHOOSE(CONTROL!$C$42, 0.275, 0.275)*CHOOSE(CONTROL!$C$42, 30, 30))/1000000</f>
        <v>4.125</v>
      </c>
      <c r="W690" s="57">
        <f>(1000*CHOOSE(CONTROL!$C$42, 0.1146, 0.1146)*CHOOSE(CONTROL!$C$42, 121.5, 121.5)*CHOOSE(CONTROL!$C$42, 30, 30))/1000000</f>
        <v>0.417717</v>
      </c>
      <c r="X690" s="57">
        <f>(30*0.1790888*245000/1000000)+(30*0.2374*100000/1000000)</f>
        <v>2.0285026799999999</v>
      </c>
      <c r="Y690" s="57"/>
      <c r="Z690" s="14"/>
      <c r="AA690" s="56"/>
      <c r="AB690" s="50">
        <f>(B690*194.205+C690*267.466+D690*133.845+E690*53.484+F690*40+G690*185+H690*0+I690*100+J690*300)/(194.205+267.466+133.845+53.484+0+40+185+100+300)</f>
        <v>41.406703958634218</v>
      </c>
      <c r="AC690" s="45">
        <f>(M690*'RAP TEMPLATE-GAS AVAILABILITY'!O689+N690*'RAP TEMPLATE-GAS AVAILABILITY'!P689+O690*'RAP TEMPLATE-GAS AVAILABILITY'!Q689+P690*'RAP TEMPLATE-GAS AVAILABILITY'!R689)/('RAP TEMPLATE-GAS AVAILABILITY'!O689+'RAP TEMPLATE-GAS AVAILABILITY'!P689+'RAP TEMPLATE-GAS AVAILABILITY'!Q689+'RAP TEMPLATE-GAS AVAILABILITY'!R689)</f>
        <v>41.069192805755392</v>
      </c>
    </row>
    <row r="691" spans="1:29" ht="15.75" x14ac:dyDescent="0.25">
      <c r="A691" s="32">
        <v>61940</v>
      </c>
      <c r="B691" s="14">
        <f>CHOOSE(CONTROL!$C$42, 40.5849, 40.5849) * CHOOSE(CONTROL!$C$21, $C$9, 100%, $E$9)</f>
        <v>40.584899999999998</v>
      </c>
      <c r="C691" s="14">
        <f>CHOOSE(CONTROL!$C$42, 40.5928, 40.5928) * CHOOSE(CONTROL!$C$21, $C$9, 100%, $E$9)</f>
        <v>40.592799999999997</v>
      </c>
      <c r="D691" s="14">
        <f>CHOOSE(CONTROL!$C$42, 40.7904, 40.7904) * CHOOSE(CONTROL!$C$21, $C$9, 100%, $E$9)</f>
        <v>40.790399999999998</v>
      </c>
      <c r="E691" s="14">
        <f>CHOOSE(CONTROL!$C$42, 40.8215, 40.8215) * CHOOSE(CONTROL!$C$21, $C$9, 100%, $E$9)</f>
        <v>40.8215</v>
      </c>
      <c r="F691" s="14">
        <f>CHOOSE(CONTROL!$C$42, 40.5691, 40.5691)*CHOOSE(CONTROL!$C$21, $C$9, 100%, $E$9)</f>
        <v>40.569099999999999</v>
      </c>
      <c r="G691" s="14">
        <f>CHOOSE(CONTROL!$C$42, 40.5854, 40.5854)*CHOOSE(CONTROL!$C$21, $C$9, 100%, $E$9)</f>
        <v>40.5854</v>
      </c>
      <c r="H691" s="14">
        <f>CHOOSE(CONTROL!$C$42, 40.8101, 40.8101) * CHOOSE(CONTROL!$C$21, $C$9, 100%, $E$9)</f>
        <v>40.810099999999998</v>
      </c>
      <c r="I691" s="14">
        <f>CHOOSE(CONTROL!$C$42, 40.5962, 40.5962)* CHOOSE(CONTROL!$C$21, $C$9, 100%, $E$9)</f>
        <v>40.596200000000003</v>
      </c>
      <c r="J691" s="14">
        <f>CHOOSE(CONTROL!$C$42, 40.5621, 40.5621)* CHOOSE(CONTROL!$C$21, $C$9, 100%, $E$9)</f>
        <v>40.562100000000001</v>
      </c>
      <c r="K691" s="53">
        <f>CHOOSE(CONTROL!$C$42, 40.5923, 40.5923) * CHOOSE(CONTROL!$C$21, $C$9, 100%, $E$9)</f>
        <v>40.592300000000002</v>
      </c>
      <c r="L691" s="14">
        <f>CHOOSE(CONTROL!$C$42, 41.3971, 41.3971) * CHOOSE(CONTROL!$C$21, $C$9, 100%, $E$9)</f>
        <v>41.397100000000002</v>
      </c>
      <c r="M691" s="14">
        <f>CHOOSE(CONTROL!$C$42, 40.1666, 40.1666) * CHOOSE(CONTROL!$C$21, $C$9, 100%, $E$9)</f>
        <v>40.166600000000003</v>
      </c>
      <c r="N691" s="14">
        <f>CHOOSE(CONTROL!$C$42, 40.1827, 40.1827) * CHOOSE(CONTROL!$C$21, $C$9, 100%, $E$9)</f>
        <v>40.182699999999997</v>
      </c>
      <c r="O691" s="14">
        <f>CHOOSE(CONTROL!$C$42, 40.4121, 40.4121) * CHOOSE(CONTROL!$C$21, $C$9, 100%, $E$9)</f>
        <v>40.412100000000002</v>
      </c>
      <c r="P691" s="14">
        <f>CHOOSE(CONTROL!$C$42, 40.2004, 40.2004) * CHOOSE(CONTROL!$C$21, $C$9, 100%, $E$9)</f>
        <v>40.200400000000002</v>
      </c>
      <c r="Q691" s="14">
        <f>CHOOSE(CONTROL!$C$42, 41.0074, 41.0074) * CHOOSE(CONTROL!$C$21, $C$9, 100%, $E$9)</f>
        <v>41.007399999999997</v>
      </c>
      <c r="R691" s="14">
        <f>CHOOSE(CONTROL!$C$42, 41.6969, 41.6969) * CHOOSE(CONTROL!$C$21, $C$9, 100%, $E$9)</f>
        <v>41.696899999999999</v>
      </c>
      <c r="S691" s="14">
        <f>CHOOSE(CONTROL!$C$42, 39.4077, 39.4077) * CHOOSE(CONTROL!$C$21, $C$9, 100%, $E$9)</f>
        <v>39.407699999999998</v>
      </c>
      <c r="T69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691" s="57">
        <f>(1000*CHOOSE(CONTROL!$C$42, 695, 695)*CHOOSE(CONTROL!$C$42, 0.5599, 0.5599)*CHOOSE(CONTROL!$C$42, 31, 31))/1000000</f>
        <v>12.063045499999998</v>
      </c>
      <c r="V691" s="57">
        <f>(1000*CHOOSE(CONTROL!$C$42, 500, 500)*CHOOSE(CONTROL!$C$42, 0.275, 0.275)*CHOOSE(CONTROL!$C$42, 31, 31))/1000000</f>
        <v>4.2625000000000002</v>
      </c>
      <c r="W691" s="57">
        <f>(1000*CHOOSE(CONTROL!$C$42, 0.1146, 0.1146)*CHOOSE(CONTROL!$C$42, 121.5, 121.5)*CHOOSE(CONTROL!$C$42, 31, 31))/1000000</f>
        <v>0.43164089999999994</v>
      </c>
      <c r="X691" s="57">
        <f>(31*0.1790888*245000/1000000)+(31*0.2374*100000/1000000)</f>
        <v>2.0961194359999999</v>
      </c>
      <c r="Y691" s="57"/>
      <c r="Z691" s="14"/>
      <c r="AA691" s="56"/>
      <c r="AB691" s="50">
        <f>(B691*194.205+C691*267.466+D691*133.845+E691*53.484+F691*40+G691*185+H691*0+I691*100+J691*300)/(194.205+267.466+133.845+53.484+0+40+185+100+300)</f>
        <v>40.613175465698589</v>
      </c>
      <c r="AC691" s="45">
        <f>(M691*'RAP TEMPLATE-GAS AVAILABILITY'!O690+N691*'RAP TEMPLATE-GAS AVAILABILITY'!P690+O691*'RAP TEMPLATE-GAS AVAILABILITY'!Q690+P691*'RAP TEMPLATE-GAS AVAILABILITY'!R690)/('RAP TEMPLATE-GAS AVAILABILITY'!O690+'RAP TEMPLATE-GAS AVAILABILITY'!P690+'RAP TEMPLATE-GAS AVAILABILITY'!Q690+'RAP TEMPLATE-GAS AVAILABILITY'!R690)</f>
        <v>40.283659712230225</v>
      </c>
    </row>
    <row r="692" spans="1:29" ht="15.75" x14ac:dyDescent="0.25">
      <c r="A692" s="32">
        <v>61971</v>
      </c>
      <c r="B692" s="14">
        <f>CHOOSE(CONTROL!$C$42, 38.5804, 38.5804) * CHOOSE(CONTROL!$C$21, $C$9, 100%, $E$9)</f>
        <v>38.580399999999997</v>
      </c>
      <c r="C692" s="14">
        <f>CHOOSE(CONTROL!$C$42, 38.5883, 38.5883) * CHOOSE(CONTROL!$C$21, $C$9, 100%, $E$9)</f>
        <v>38.588299999999997</v>
      </c>
      <c r="D692" s="14">
        <f>CHOOSE(CONTROL!$C$42, 38.7859, 38.7859) * CHOOSE(CONTROL!$C$21, $C$9, 100%, $E$9)</f>
        <v>38.785899999999998</v>
      </c>
      <c r="E692" s="14">
        <f>CHOOSE(CONTROL!$C$42, 38.8171, 38.8171) * CHOOSE(CONTROL!$C$21, $C$9, 100%, $E$9)</f>
        <v>38.817100000000003</v>
      </c>
      <c r="F692" s="14">
        <f>CHOOSE(CONTROL!$C$42, 38.5649, 38.5649)*CHOOSE(CONTROL!$C$21, $C$9, 100%, $E$9)</f>
        <v>38.564900000000002</v>
      </c>
      <c r="G692" s="14">
        <f>CHOOSE(CONTROL!$C$42, 38.5812, 38.5812)*CHOOSE(CONTROL!$C$21, $C$9, 100%, $E$9)</f>
        <v>38.581200000000003</v>
      </c>
      <c r="H692" s="14">
        <f>CHOOSE(CONTROL!$C$42, 38.8057, 38.8057) * CHOOSE(CONTROL!$C$21, $C$9, 100%, $E$9)</f>
        <v>38.805700000000002</v>
      </c>
      <c r="I692" s="14">
        <f>CHOOSE(CONTROL!$C$42, 38.5918, 38.5918)* CHOOSE(CONTROL!$C$21, $C$9, 100%, $E$9)</f>
        <v>38.591799999999999</v>
      </c>
      <c r="J692" s="14">
        <f>CHOOSE(CONTROL!$C$42, 38.5579, 38.5579)* CHOOSE(CONTROL!$C$21, $C$9, 100%, $E$9)</f>
        <v>38.557899999999997</v>
      </c>
      <c r="K692" s="53">
        <f>CHOOSE(CONTROL!$C$42, 38.5879, 38.5879) * CHOOSE(CONTROL!$C$21, $C$9, 100%, $E$9)</f>
        <v>38.587899999999998</v>
      </c>
      <c r="L692" s="14">
        <f>CHOOSE(CONTROL!$C$42, 39.3927, 39.3927) * CHOOSE(CONTROL!$C$21, $C$9, 100%, $E$9)</f>
        <v>39.392699999999998</v>
      </c>
      <c r="M692" s="14">
        <f>CHOOSE(CONTROL!$C$42, 38.1826, 38.1826) * CHOOSE(CONTROL!$C$21, $C$9, 100%, $E$9)</f>
        <v>38.182600000000001</v>
      </c>
      <c r="N692" s="14">
        <f>CHOOSE(CONTROL!$C$42, 38.1988, 38.1988) * CHOOSE(CONTROL!$C$21, $C$9, 100%, $E$9)</f>
        <v>38.198799999999999</v>
      </c>
      <c r="O692" s="14">
        <f>CHOOSE(CONTROL!$C$42, 38.4279, 38.4279) * CHOOSE(CONTROL!$C$21, $C$9, 100%, $E$9)</f>
        <v>38.427900000000001</v>
      </c>
      <c r="P692" s="14">
        <f>CHOOSE(CONTROL!$C$42, 38.2162, 38.2162) * CHOOSE(CONTROL!$C$21, $C$9, 100%, $E$9)</f>
        <v>38.216200000000001</v>
      </c>
      <c r="Q692" s="14">
        <f>CHOOSE(CONTROL!$C$42, 39.0232, 39.0232) * CHOOSE(CONTROL!$C$21, $C$9, 100%, $E$9)</f>
        <v>39.023200000000003</v>
      </c>
      <c r="R692" s="14">
        <f>CHOOSE(CONTROL!$C$42, 39.7078, 39.7078) * CHOOSE(CONTROL!$C$21, $C$9, 100%, $E$9)</f>
        <v>39.707799999999999</v>
      </c>
      <c r="S692" s="14">
        <f>CHOOSE(CONTROL!$C$42, 37.4612, 37.4612) * CHOOSE(CONTROL!$C$21, $C$9, 100%, $E$9)</f>
        <v>37.461199999999998</v>
      </c>
      <c r="T69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692" s="57">
        <f>(1000*CHOOSE(CONTROL!$C$42, 695, 695)*CHOOSE(CONTROL!$C$42, 0.5599, 0.5599)*CHOOSE(CONTROL!$C$42, 31, 31))/1000000</f>
        <v>12.063045499999998</v>
      </c>
      <c r="V692" s="57">
        <f>(1000*CHOOSE(CONTROL!$C$42, 500, 500)*CHOOSE(CONTROL!$C$42, 0.275, 0.275)*CHOOSE(CONTROL!$C$42, 31, 31))/1000000</f>
        <v>4.2625000000000002</v>
      </c>
      <c r="W692" s="57">
        <f>(1000*CHOOSE(CONTROL!$C$42, 0.1146, 0.1146)*CHOOSE(CONTROL!$C$42, 121.5, 121.5)*CHOOSE(CONTROL!$C$42, 31, 31))/1000000</f>
        <v>0.43164089999999994</v>
      </c>
      <c r="X692" s="57">
        <f>(31*0.1790888*245000/1000000)+(31*0.2374*100000/1000000)</f>
        <v>2.0961194359999999</v>
      </c>
      <c r="Y692" s="57"/>
      <c r="Z692" s="14"/>
      <c r="AA692" s="56"/>
      <c r="AB692" s="50">
        <f>(B692*194.205+C692*267.466+D692*133.845+E692*53.484+F692*40+G692*185+H692*0+I692*100+J692*300)/(194.205+267.466+133.845+53.484+0+40+185+100+300)</f>
        <v>38.608811139481944</v>
      </c>
      <c r="AC692" s="45">
        <f>(M692*'RAP TEMPLATE-GAS AVAILABILITY'!O691+N692*'RAP TEMPLATE-GAS AVAILABILITY'!P691+O692*'RAP TEMPLATE-GAS AVAILABILITY'!Q691+P692*'RAP TEMPLATE-GAS AVAILABILITY'!R691)/('RAP TEMPLATE-GAS AVAILABILITY'!O691+'RAP TEMPLATE-GAS AVAILABILITY'!P691+'RAP TEMPLATE-GAS AVAILABILITY'!Q691+'RAP TEMPLATE-GAS AVAILABILITY'!R691)</f>
        <v>38.299546043165464</v>
      </c>
    </row>
    <row r="693" spans="1:29" ht="15.75" x14ac:dyDescent="0.25">
      <c r="A693" s="32">
        <v>62001</v>
      </c>
      <c r="B693" s="14">
        <f>CHOOSE(CONTROL!$C$42, 36.131, 36.131) * CHOOSE(CONTROL!$C$21, $C$9, 100%, $E$9)</f>
        <v>36.131</v>
      </c>
      <c r="C693" s="14">
        <f>CHOOSE(CONTROL!$C$42, 36.1389, 36.1389) * CHOOSE(CONTROL!$C$21, $C$9, 100%, $E$9)</f>
        <v>36.1389</v>
      </c>
      <c r="D693" s="14">
        <f>CHOOSE(CONTROL!$C$42, 36.3365, 36.3365) * CHOOSE(CONTROL!$C$21, $C$9, 100%, $E$9)</f>
        <v>36.336500000000001</v>
      </c>
      <c r="E693" s="14">
        <f>CHOOSE(CONTROL!$C$42, 36.3676, 36.3676) * CHOOSE(CONTROL!$C$21, $C$9, 100%, $E$9)</f>
        <v>36.367600000000003</v>
      </c>
      <c r="F693" s="14">
        <f>CHOOSE(CONTROL!$C$42, 36.1154, 36.1154)*CHOOSE(CONTROL!$C$21, $C$9, 100%, $E$9)</f>
        <v>36.115400000000001</v>
      </c>
      <c r="G693" s="14">
        <f>CHOOSE(CONTROL!$C$42, 36.1317, 36.1317)*CHOOSE(CONTROL!$C$21, $C$9, 100%, $E$9)</f>
        <v>36.131700000000002</v>
      </c>
      <c r="H693" s="14">
        <f>CHOOSE(CONTROL!$C$42, 36.3563, 36.3563) * CHOOSE(CONTROL!$C$21, $C$9, 100%, $E$9)</f>
        <v>36.356299999999997</v>
      </c>
      <c r="I693" s="14">
        <f>CHOOSE(CONTROL!$C$42, 36.1424, 36.1424)* CHOOSE(CONTROL!$C$21, $C$9, 100%, $E$9)</f>
        <v>36.142400000000002</v>
      </c>
      <c r="J693" s="14">
        <f>CHOOSE(CONTROL!$C$42, 36.1084, 36.1084)* CHOOSE(CONTROL!$C$21, $C$9, 100%, $E$9)</f>
        <v>36.108400000000003</v>
      </c>
      <c r="K693" s="53">
        <f>CHOOSE(CONTROL!$C$42, 36.1385, 36.1385) * CHOOSE(CONTROL!$C$21, $C$9, 100%, $E$9)</f>
        <v>36.138500000000001</v>
      </c>
      <c r="L693" s="14">
        <f>CHOOSE(CONTROL!$C$42, 36.9433, 36.9433) * CHOOSE(CONTROL!$C$21, $C$9, 100%, $E$9)</f>
        <v>36.943300000000001</v>
      </c>
      <c r="M693" s="14">
        <f>CHOOSE(CONTROL!$C$42, 35.7578, 35.7578) * CHOOSE(CONTROL!$C$21, $C$9, 100%, $E$9)</f>
        <v>35.757800000000003</v>
      </c>
      <c r="N693" s="14">
        <f>CHOOSE(CONTROL!$C$42, 35.774, 35.774) * CHOOSE(CONTROL!$C$21, $C$9, 100%, $E$9)</f>
        <v>35.774000000000001</v>
      </c>
      <c r="O693" s="14">
        <f>CHOOSE(CONTROL!$C$42, 36.0032, 36.0032) * CHOOSE(CONTROL!$C$21, $C$9, 100%, $E$9)</f>
        <v>36.0032</v>
      </c>
      <c r="P693" s="14">
        <f>CHOOSE(CONTROL!$C$42, 35.7915, 35.7915) * CHOOSE(CONTROL!$C$21, $C$9, 100%, $E$9)</f>
        <v>35.791499999999999</v>
      </c>
      <c r="Q693" s="14">
        <f>CHOOSE(CONTROL!$C$42, 36.5985, 36.5985) * CHOOSE(CONTROL!$C$21, $C$9, 100%, $E$9)</f>
        <v>36.598500000000001</v>
      </c>
      <c r="R693" s="14">
        <f>CHOOSE(CONTROL!$C$42, 37.277, 37.277) * CHOOSE(CONTROL!$C$21, $C$9, 100%, $E$9)</f>
        <v>37.277000000000001</v>
      </c>
      <c r="S693" s="14">
        <f>CHOOSE(CONTROL!$C$42, 35.0826, 35.0826) * CHOOSE(CONTROL!$C$21, $C$9, 100%, $E$9)</f>
        <v>35.082599999999999</v>
      </c>
      <c r="T69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693" s="57">
        <f>(1000*CHOOSE(CONTROL!$C$42, 695, 695)*CHOOSE(CONTROL!$C$42, 0.5599, 0.5599)*CHOOSE(CONTROL!$C$42, 30, 30))/1000000</f>
        <v>11.673914999999997</v>
      </c>
      <c r="V693" s="57">
        <f>(1000*CHOOSE(CONTROL!$C$42, 500, 500)*CHOOSE(CONTROL!$C$42, 0.275, 0.275)*CHOOSE(CONTROL!$C$42, 30, 30))/1000000</f>
        <v>4.125</v>
      </c>
      <c r="W693" s="57">
        <f>(1000*CHOOSE(CONTROL!$C$42, 0.1146, 0.1146)*CHOOSE(CONTROL!$C$42, 121.5, 121.5)*CHOOSE(CONTROL!$C$42, 30, 30))/1000000</f>
        <v>0.417717</v>
      </c>
      <c r="X693" s="57">
        <f>(30*0.1790888*245000/1000000)+(30*0.2374*100000/1000000)</f>
        <v>2.0285026799999999</v>
      </c>
      <c r="Y693" s="57"/>
      <c r="Z693" s="14"/>
      <c r="AA693" s="56"/>
      <c r="AB693" s="50">
        <f>(B693*194.205+C693*267.466+D693*133.845+E693*53.484+F693*40+G693*185+H693*0+I693*100+J693*300)/(194.205+267.466+133.845+53.484+0+40+185+100+300)</f>
        <v>36.159365732574578</v>
      </c>
      <c r="AC693" s="45">
        <f>(M693*'RAP TEMPLATE-GAS AVAILABILITY'!O692+N693*'RAP TEMPLATE-GAS AVAILABILITY'!P692+O693*'RAP TEMPLATE-GAS AVAILABILITY'!Q692+P693*'RAP TEMPLATE-GAS AVAILABILITY'!R692)/('RAP TEMPLATE-GAS AVAILABILITY'!O692+'RAP TEMPLATE-GAS AVAILABILITY'!P692+'RAP TEMPLATE-GAS AVAILABILITY'!Q692+'RAP TEMPLATE-GAS AVAILABILITY'!R692)</f>
        <v>35.874805755395691</v>
      </c>
    </row>
    <row r="694" spans="1:29" ht="15.75" x14ac:dyDescent="0.25">
      <c r="A694" s="32">
        <v>62032</v>
      </c>
      <c r="B694" s="14">
        <f>CHOOSE(CONTROL!$C$42, 35.3957, 35.3957) * CHOOSE(CONTROL!$C$21, $C$9, 100%, $E$9)</f>
        <v>35.395699999999998</v>
      </c>
      <c r="C694" s="14">
        <f>CHOOSE(CONTROL!$C$42, 35.401, 35.401) * CHOOSE(CONTROL!$C$21, $C$9, 100%, $E$9)</f>
        <v>35.401000000000003</v>
      </c>
      <c r="D694" s="14">
        <f>CHOOSE(CONTROL!$C$42, 35.6035, 35.6035) * CHOOSE(CONTROL!$C$21, $C$9, 100%, $E$9)</f>
        <v>35.603499999999997</v>
      </c>
      <c r="E694" s="14">
        <f>CHOOSE(CONTROL!$C$42, 35.6323, 35.6323) * CHOOSE(CONTROL!$C$21, $C$9, 100%, $E$9)</f>
        <v>35.632300000000001</v>
      </c>
      <c r="F694" s="14">
        <f>CHOOSE(CONTROL!$C$42, 35.3821, 35.3821)*CHOOSE(CONTROL!$C$21, $C$9, 100%, $E$9)</f>
        <v>35.382100000000001</v>
      </c>
      <c r="G694" s="14">
        <f>CHOOSE(CONTROL!$C$42, 35.3981, 35.3981)*CHOOSE(CONTROL!$C$21, $C$9, 100%, $E$9)</f>
        <v>35.398099999999999</v>
      </c>
      <c r="H694" s="14">
        <f>CHOOSE(CONTROL!$C$42, 35.6228, 35.6228) * CHOOSE(CONTROL!$C$21, $C$9, 100%, $E$9)</f>
        <v>35.622799999999998</v>
      </c>
      <c r="I694" s="14">
        <f>CHOOSE(CONTROL!$C$42, 35.4089, 35.4089)* CHOOSE(CONTROL!$C$21, $C$9, 100%, $E$9)</f>
        <v>35.408900000000003</v>
      </c>
      <c r="J694" s="14">
        <f>CHOOSE(CONTROL!$C$42, 35.3751, 35.3751)* CHOOSE(CONTROL!$C$21, $C$9, 100%, $E$9)</f>
        <v>35.375100000000003</v>
      </c>
      <c r="K694" s="53">
        <f>CHOOSE(CONTROL!$C$42, 35.405, 35.405) * CHOOSE(CONTROL!$C$21, $C$9, 100%, $E$9)</f>
        <v>35.405000000000001</v>
      </c>
      <c r="L694" s="14">
        <f>CHOOSE(CONTROL!$C$42, 36.2098, 36.2098) * CHOOSE(CONTROL!$C$21, $C$9, 100%, $E$9)</f>
        <v>36.209800000000001</v>
      </c>
      <c r="M694" s="14">
        <f>CHOOSE(CONTROL!$C$42, 35.0319, 35.0319) * CHOOSE(CONTROL!$C$21, $C$9, 100%, $E$9)</f>
        <v>35.0319</v>
      </c>
      <c r="N694" s="14">
        <f>CHOOSE(CONTROL!$C$42, 35.0478, 35.0478) * CHOOSE(CONTROL!$C$21, $C$9, 100%, $E$9)</f>
        <v>35.047800000000002</v>
      </c>
      <c r="O694" s="14">
        <f>CHOOSE(CONTROL!$C$42, 35.2771, 35.2771) * CHOOSE(CONTROL!$C$21, $C$9, 100%, $E$9)</f>
        <v>35.277099999999997</v>
      </c>
      <c r="P694" s="14">
        <f>CHOOSE(CONTROL!$C$42, 35.0654, 35.0654) * CHOOSE(CONTROL!$C$21, $C$9, 100%, $E$9)</f>
        <v>35.065399999999997</v>
      </c>
      <c r="Q694" s="14">
        <f>CHOOSE(CONTROL!$C$42, 35.8724, 35.8724) * CHOOSE(CONTROL!$C$21, $C$9, 100%, $E$9)</f>
        <v>35.872399999999999</v>
      </c>
      <c r="R694" s="14">
        <f>CHOOSE(CONTROL!$C$42, 36.5491, 36.5491) * CHOOSE(CONTROL!$C$21, $C$9, 100%, $E$9)</f>
        <v>36.549100000000003</v>
      </c>
      <c r="S694" s="14">
        <f>CHOOSE(CONTROL!$C$42, 34.3703, 34.3703) * CHOOSE(CONTROL!$C$21, $C$9, 100%, $E$9)</f>
        <v>34.3703</v>
      </c>
      <c r="T69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694" s="57">
        <f>(1000*CHOOSE(CONTROL!$C$42, 695, 695)*CHOOSE(CONTROL!$C$42, 0.5599, 0.5599)*CHOOSE(CONTROL!$C$42, 31, 31))/1000000</f>
        <v>12.063045499999998</v>
      </c>
      <c r="V694" s="57">
        <f>(1000*CHOOSE(CONTROL!$C$42, 500, 500)*CHOOSE(CONTROL!$C$42, 0.275, 0.275)*CHOOSE(CONTROL!$C$42, 31, 31))/1000000</f>
        <v>4.2625000000000002</v>
      </c>
      <c r="W694" s="57">
        <f>(1000*CHOOSE(CONTROL!$C$42, 0.1146, 0.1146)*CHOOSE(CONTROL!$C$42, 121.5, 121.5)*CHOOSE(CONTROL!$C$42, 31, 31))/1000000</f>
        <v>0.43164089999999994</v>
      </c>
      <c r="X694" s="57">
        <f>(31*0.1790888*245000/1000000)+(31*0.2374*100000/1000000)</f>
        <v>2.0961194359999999</v>
      </c>
      <c r="Y694" s="57"/>
      <c r="Z694" s="14"/>
      <c r="AA694" s="56"/>
      <c r="AB694" s="50">
        <f>(B694*131.881+C694*277.167+D694*79.08+E694*125.872+F694*40+G694*185+H694*0+I694*100+J694*300)/(131.881+277.167+79.08+125.872+0+40+185+100+300)</f>
        <v>35.43018194051654</v>
      </c>
      <c r="AC694" s="45">
        <f>(M694*'RAP TEMPLATE-GAS AVAILABILITY'!O693+N694*'RAP TEMPLATE-GAS AVAILABILITY'!P693+O694*'RAP TEMPLATE-GAS AVAILABILITY'!Q693+P694*'RAP TEMPLATE-GAS AVAILABILITY'!R693)/('RAP TEMPLATE-GAS AVAILABILITY'!O693+'RAP TEMPLATE-GAS AVAILABILITY'!P693+'RAP TEMPLATE-GAS AVAILABILITY'!Q693+'RAP TEMPLATE-GAS AVAILABILITY'!R693)</f>
        <v>35.148769064748201</v>
      </c>
    </row>
    <row r="695" spans="1:29" ht="15.75" x14ac:dyDescent="0.25">
      <c r="A695" s="32">
        <v>62062</v>
      </c>
      <c r="B695" s="14">
        <f>CHOOSE(CONTROL!$C$42, 36.3277, 36.3277) * CHOOSE(CONTROL!$C$21, $C$9, 100%, $E$9)</f>
        <v>36.3277</v>
      </c>
      <c r="C695" s="14">
        <f>CHOOSE(CONTROL!$C$42, 36.3327, 36.3327) * CHOOSE(CONTROL!$C$21, $C$9, 100%, $E$9)</f>
        <v>36.332700000000003</v>
      </c>
      <c r="D695" s="14">
        <f>CHOOSE(CONTROL!$C$42, 36.3958, 36.3958) * CHOOSE(CONTROL!$C$21, $C$9, 100%, $E$9)</f>
        <v>36.395800000000001</v>
      </c>
      <c r="E695" s="14">
        <f>CHOOSE(CONTROL!$C$42, 36.4295, 36.4295) * CHOOSE(CONTROL!$C$21, $C$9, 100%, $E$9)</f>
        <v>36.429499999999997</v>
      </c>
      <c r="F695" s="14">
        <f>CHOOSE(CONTROL!$C$42, 36.3284, 36.3284)*CHOOSE(CONTROL!$C$21, $C$9, 100%, $E$9)</f>
        <v>36.328400000000002</v>
      </c>
      <c r="G695" s="14">
        <f>CHOOSE(CONTROL!$C$42, 36.3447, 36.3447)*CHOOSE(CONTROL!$C$21, $C$9, 100%, $E$9)</f>
        <v>36.344700000000003</v>
      </c>
      <c r="H695" s="14">
        <f>CHOOSE(CONTROL!$C$42, 36.4187, 36.4187) * CHOOSE(CONTROL!$C$21, $C$9, 100%, $E$9)</f>
        <v>36.418700000000001</v>
      </c>
      <c r="I695" s="14">
        <f>CHOOSE(CONTROL!$C$42, 36.3413, 36.3413)* CHOOSE(CONTROL!$C$21, $C$9, 100%, $E$9)</f>
        <v>36.341299999999997</v>
      </c>
      <c r="J695" s="14">
        <f>CHOOSE(CONTROL!$C$42, 36.3214, 36.3214)* CHOOSE(CONTROL!$C$21, $C$9, 100%, $E$9)</f>
        <v>36.321399999999997</v>
      </c>
      <c r="K695" s="53">
        <f>CHOOSE(CONTROL!$C$42, 36.3374, 36.3374) * CHOOSE(CONTROL!$C$21, $C$9, 100%, $E$9)</f>
        <v>36.337400000000002</v>
      </c>
      <c r="L695" s="14">
        <f>CHOOSE(CONTROL!$C$42, 37.0057, 37.0057) * CHOOSE(CONTROL!$C$21, $C$9, 100%, $E$9)</f>
        <v>37.005699999999997</v>
      </c>
      <c r="M695" s="14">
        <f>CHOOSE(CONTROL!$C$42, 35.9687, 35.9687) * CHOOSE(CONTROL!$C$21, $C$9, 100%, $E$9)</f>
        <v>35.968699999999998</v>
      </c>
      <c r="N695" s="14">
        <f>CHOOSE(CONTROL!$C$42, 35.9848, 35.9848) * CHOOSE(CONTROL!$C$21, $C$9, 100%, $E$9)</f>
        <v>35.9848</v>
      </c>
      <c r="O695" s="14">
        <f>CHOOSE(CONTROL!$C$42, 36.065, 36.065) * CHOOSE(CONTROL!$C$21, $C$9, 100%, $E$9)</f>
        <v>36.064999999999998</v>
      </c>
      <c r="P695" s="14">
        <f>CHOOSE(CONTROL!$C$42, 35.9884, 35.9884) * CHOOSE(CONTROL!$C$21, $C$9, 100%, $E$9)</f>
        <v>35.988399999999999</v>
      </c>
      <c r="Q695" s="14">
        <f>CHOOSE(CONTROL!$C$42, 36.6603, 36.6603) * CHOOSE(CONTROL!$C$21, $C$9, 100%, $E$9)</f>
        <v>36.660299999999999</v>
      </c>
      <c r="R695" s="14">
        <f>CHOOSE(CONTROL!$C$42, 37.339, 37.339) * CHOOSE(CONTROL!$C$21, $C$9, 100%, $E$9)</f>
        <v>37.338999999999999</v>
      </c>
      <c r="S695" s="14">
        <f>CHOOSE(CONTROL!$C$42, 35.2757, 35.2757) * CHOOSE(CONTROL!$C$21, $C$9, 100%, $E$9)</f>
        <v>35.275700000000001</v>
      </c>
      <c r="T69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695" s="57">
        <f>(1000*CHOOSE(CONTROL!$C$42, 695, 695)*CHOOSE(CONTROL!$C$42, 0.5599, 0.5599)*CHOOSE(CONTROL!$C$42, 30, 30))/1000000</f>
        <v>11.673914999999997</v>
      </c>
      <c r="V695" s="57">
        <f>(1000*CHOOSE(CONTROL!$C$42, 500, 500)*CHOOSE(CONTROL!$C$42, 0.275, 0.275)*CHOOSE(CONTROL!$C$42, 30, 30))/1000000</f>
        <v>4.125</v>
      </c>
      <c r="W695" s="57">
        <f>(1000*CHOOSE(CONTROL!$C$42, 0.1146, 0.1146)*CHOOSE(CONTROL!$C$42, 121.5, 121.5)*CHOOSE(CONTROL!$C$42, 30, 30))/1000000</f>
        <v>0.417717</v>
      </c>
      <c r="X695" s="57">
        <f>(30*0.1790888*100000/1000000)+(30*0.2374*100000/1000000)</f>
        <v>1.2494664</v>
      </c>
      <c r="Y695" s="57"/>
      <c r="Z695" s="14"/>
      <c r="AA695" s="56"/>
      <c r="AB695" s="50">
        <f>(B695*122.58+C695*297.941+D695*89.177+E695*40.302+F695*40+G695*160+H695*0+I695*100+J695*300)/(122.58+297.941+89.177+40.302+0+40+160+100+300)</f>
        <v>36.339772523739136</v>
      </c>
      <c r="AC695" s="45">
        <f>(M695*'RAP TEMPLATE-GAS AVAILABILITY'!O694+N695*'RAP TEMPLATE-GAS AVAILABILITY'!P694+O695*'RAP TEMPLATE-GAS AVAILABILITY'!Q694+P695*'RAP TEMPLATE-GAS AVAILABILITY'!R694)/('RAP TEMPLATE-GAS AVAILABILITY'!O694+'RAP TEMPLATE-GAS AVAILABILITY'!P694+'RAP TEMPLATE-GAS AVAILABILITY'!Q694+'RAP TEMPLATE-GAS AVAILABILITY'!R694)</f>
        <v>36.01610791366906</v>
      </c>
    </row>
    <row r="696" spans="1:29" ht="15.75" x14ac:dyDescent="0.25">
      <c r="A696" s="32">
        <v>62093</v>
      </c>
      <c r="B696" s="14">
        <f>CHOOSE(CONTROL!$C$42, 38.8043, 38.8043) * CHOOSE(CONTROL!$C$21, $C$9, 100%, $E$9)</f>
        <v>38.804299999999998</v>
      </c>
      <c r="C696" s="14">
        <f>CHOOSE(CONTROL!$C$42, 38.8093, 38.8093) * CHOOSE(CONTROL!$C$21, $C$9, 100%, $E$9)</f>
        <v>38.8093</v>
      </c>
      <c r="D696" s="14">
        <f>CHOOSE(CONTROL!$C$42, 38.8724, 38.8724) * CHOOSE(CONTROL!$C$21, $C$9, 100%, $E$9)</f>
        <v>38.872399999999999</v>
      </c>
      <c r="E696" s="14">
        <f>CHOOSE(CONTROL!$C$42, 38.9061, 38.9061) * CHOOSE(CONTROL!$C$21, $C$9, 100%, $E$9)</f>
        <v>38.906100000000002</v>
      </c>
      <c r="F696" s="14">
        <f>CHOOSE(CONTROL!$C$42, 38.8071, 38.8071)*CHOOSE(CONTROL!$C$21, $C$9, 100%, $E$9)</f>
        <v>38.807099999999998</v>
      </c>
      <c r="G696" s="14">
        <f>CHOOSE(CONTROL!$C$42, 38.8239, 38.8239)*CHOOSE(CONTROL!$C$21, $C$9, 100%, $E$9)</f>
        <v>38.823900000000002</v>
      </c>
      <c r="H696" s="14">
        <f>CHOOSE(CONTROL!$C$42, 38.8953, 38.8953) * CHOOSE(CONTROL!$C$21, $C$9, 100%, $E$9)</f>
        <v>38.895299999999999</v>
      </c>
      <c r="I696" s="14">
        <f>CHOOSE(CONTROL!$C$42, 38.8179, 38.8179)* CHOOSE(CONTROL!$C$21, $C$9, 100%, $E$9)</f>
        <v>38.817900000000002</v>
      </c>
      <c r="J696" s="14">
        <f>CHOOSE(CONTROL!$C$42, 38.8001, 38.8001)* CHOOSE(CONTROL!$C$21, $C$9, 100%, $E$9)</f>
        <v>38.8001</v>
      </c>
      <c r="K696" s="53">
        <f>CHOOSE(CONTROL!$C$42, 38.814, 38.814) * CHOOSE(CONTROL!$C$21, $C$9, 100%, $E$9)</f>
        <v>38.814</v>
      </c>
      <c r="L696" s="14">
        <f>CHOOSE(CONTROL!$C$42, 39.4823, 39.4823) * CHOOSE(CONTROL!$C$21, $C$9, 100%, $E$9)</f>
        <v>39.482300000000002</v>
      </c>
      <c r="M696" s="14">
        <f>CHOOSE(CONTROL!$C$42, 38.4223, 38.4223) * CHOOSE(CONTROL!$C$21, $C$9, 100%, $E$9)</f>
        <v>38.4223</v>
      </c>
      <c r="N696" s="14">
        <f>CHOOSE(CONTROL!$C$42, 38.439, 38.439) * CHOOSE(CONTROL!$C$21, $C$9, 100%, $E$9)</f>
        <v>38.439</v>
      </c>
      <c r="O696" s="14">
        <f>CHOOSE(CONTROL!$C$42, 38.5166, 38.5166) * CHOOSE(CONTROL!$C$21, $C$9, 100%, $E$9)</f>
        <v>38.516599999999997</v>
      </c>
      <c r="P696" s="14">
        <f>CHOOSE(CONTROL!$C$42, 38.44, 38.44) * CHOOSE(CONTROL!$C$21, $C$9, 100%, $E$9)</f>
        <v>38.44</v>
      </c>
      <c r="Q696" s="14">
        <f>CHOOSE(CONTROL!$C$42, 39.1119, 39.1119) * CHOOSE(CONTROL!$C$21, $C$9, 100%, $E$9)</f>
        <v>39.111899999999999</v>
      </c>
      <c r="R696" s="14">
        <f>CHOOSE(CONTROL!$C$42, 39.7967, 39.7967) * CHOOSE(CONTROL!$C$21, $C$9, 100%, $E$9)</f>
        <v>39.796700000000001</v>
      </c>
      <c r="S696" s="14">
        <f>CHOOSE(CONTROL!$C$42, 37.6808, 37.6808) * CHOOSE(CONTROL!$C$21, $C$9, 100%, $E$9)</f>
        <v>37.680799999999998</v>
      </c>
      <c r="T69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696" s="57">
        <f>(1000*CHOOSE(CONTROL!$C$42, 695, 695)*CHOOSE(CONTROL!$C$42, 0.5599, 0.5599)*CHOOSE(CONTROL!$C$42, 31, 31))/1000000</f>
        <v>12.063045499999998</v>
      </c>
      <c r="V696" s="57">
        <f>(1000*CHOOSE(CONTROL!$C$42, 500, 500)*CHOOSE(CONTROL!$C$42, 0.275, 0.275)*CHOOSE(CONTROL!$C$42, 31, 31))/1000000</f>
        <v>4.2625000000000002</v>
      </c>
      <c r="W696" s="57">
        <f>(1000*CHOOSE(CONTROL!$C$42, 0.1146, 0.1146)*CHOOSE(CONTROL!$C$42, 121.5, 121.5)*CHOOSE(CONTROL!$C$42, 31, 31))/1000000</f>
        <v>0.43164089999999994</v>
      </c>
      <c r="X696" s="57">
        <f>(31*0.1790888*100000/1000000)+(31*0.2374*100000/1000000)</f>
        <v>1.2911152800000001</v>
      </c>
      <c r="Y696" s="57"/>
      <c r="Z696" s="14"/>
      <c r="AA696" s="56"/>
      <c r="AB696" s="50">
        <f>(B696*122.58+C696*297.941+D696*89.177+E696*40.302+F696*40+G696*160+H696*0+I696*100+J696*300)/(122.58+297.941+89.177+40.302+0+40+160+100+300)</f>
        <v>38.817355132434784</v>
      </c>
      <c r="AC696" s="45">
        <f>(M696*'RAP TEMPLATE-GAS AVAILABILITY'!O695+N696*'RAP TEMPLATE-GAS AVAILABILITY'!P695+O696*'RAP TEMPLATE-GAS AVAILABILITY'!Q695+P696*'RAP TEMPLATE-GAS AVAILABILITY'!R695)/('RAP TEMPLATE-GAS AVAILABILITY'!O695+'RAP TEMPLATE-GAS AVAILABILITY'!P695+'RAP TEMPLATE-GAS AVAILABILITY'!Q695+'RAP TEMPLATE-GAS AVAILABILITY'!R695)</f>
        <v>38.46854820143885</v>
      </c>
    </row>
    <row r="697" spans="1:29" ht="15.75" x14ac:dyDescent="0.25">
      <c r="A697" s="32">
        <v>62124</v>
      </c>
      <c r="B697" s="14">
        <f>CHOOSE(CONTROL!$C$42, 41.9836, 41.9836) * CHOOSE(CONTROL!$C$21, $C$9, 100%, $E$9)</f>
        <v>41.983600000000003</v>
      </c>
      <c r="C697" s="14">
        <f>CHOOSE(CONTROL!$C$42, 41.9886, 41.9886) * CHOOSE(CONTROL!$C$21, $C$9, 100%, $E$9)</f>
        <v>41.988599999999998</v>
      </c>
      <c r="D697" s="14">
        <f>CHOOSE(CONTROL!$C$42, 42.0528, 42.0528) * CHOOSE(CONTROL!$C$21, $C$9, 100%, $E$9)</f>
        <v>42.052799999999998</v>
      </c>
      <c r="E697" s="14">
        <f>CHOOSE(CONTROL!$C$42, 42.0866, 42.0866) * CHOOSE(CONTROL!$C$21, $C$9, 100%, $E$9)</f>
        <v>42.086599999999997</v>
      </c>
      <c r="F697" s="14">
        <f>CHOOSE(CONTROL!$C$42, 41.9851, 41.9851)*CHOOSE(CONTROL!$C$21, $C$9, 100%, $E$9)</f>
        <v>41.985100000000003</v>
      </c>
      <c r="G697" s="14">
        <f>CHOOSE(CONTROL!$C$42, 42.001, 42.001)*CHOOSE(CONTROL!$C$21, $C$9, 100%, $E$9)</f>
        <v>42.000999999999998</v>
      </c>
      <c r="H697" s="14">
        <f>CHOOSE(CONTROL!$C$42, 42.0758, 42.0758) * CHOOSE(CONTROL!$C$21, $C$9, 100%, $E$9)</f>
        <v>42.075800000000001</v>
      </c>
      <c r="I697" s="14">
        <f>CHOOSE(CONTROL!$C$42, 42.0036, 42.0036)* CHOOSE(CONTROL!$C$21, $C$9, 100%, $E$9)</f>
        <v>42.003599999999999</v>
      </c>
      <c r="J697" s="14">
        <f>CHOOSE(CONTROL!$C$42, 41.9781, 41.9781)* CHOOSE(CONTROL!$C$21, $C$9, 100%, $E$9)</f>
        <v>41.978099999999998</v>
      </c>
      <c r="K697" s="53">
        <f>CHOOSE(CONTROL!$C$42, 41.9997, 41.9997) * CHOOSE(CONTROL!$C$21, $C$9, 100%, $E$9)</f>
        <v>41.999699999999997</v>
      </c>
      <c r="L697" s="14">
        <f>CHOOSE(CONTROL!$C$42, 42.6628, 42.6628) * CHOOSE(CONTROL!$C$21, $C$9, 100%, $E$9)</f>
        <v>42.662799999999997</v>
      </c>
      <c r="M697" s="14">
        <f>CHOOSE(CONTROL!$C$42, 41.5683, 41.5683) * CHOOSE(CONTROL!$C$21, $C$9, 100%, $E$9)</f>
        <v>41.568300000000001</v>
      </c>
      <c r="N697" s="14">
        <f>CHOOSE(CONTROL!$C$42, 41.5841, 41.5841) * CHOOSE(CONTROL!$C$21, $C$9, 100%, $E$9)</f>
        <v>41.584099999999999</v>
      </c>
      <c r="O697" s="14">
        <f>CHOOSE(CONTROL!$C$42, 41.665, 41.665) * CHOOSE(CONTROL!$C$21, $C$9, 100%, $E$9)</f>
        <v>41.664999999999999</v>
      </c>
      <c r="P697" s="14">
        <f>CHOOSE(CONTROL!$C$42, 41.5936, 41.5936) * CHOOSE(CONTROL!$C$21, $C$9, 100%, $E$9)</f>
        <v>41.593600000000002</v>
      </c>
      <c r="Q697" s="14">
        <f>CHOOSE(CONTROL!$C$42, 42.2603, 42.2603) * CHOOSE(CONTROL!$C$21, $C$9, 100%, $E$9)</f>
        <v>42.260300000000001</v>
      </c>
      <c r="R697" s="14">
        <f>CHOOSE(CONTROL!$C$42, 42.953, 42.953) * CHOOSE(CONTROL!$C$21, $C$9, 100%, $E$9)</f>
        <v>42.953000000000003</v>
      </c>
      <c r="S697" s="14">
        <f>CHOOSE(CONTROL!$C$42, 40.7681, 40.7681) * CHOOSE(CONTROL!$C$21, $C$9, 100%, $E$9)</f>
        <v>40.768099999999997</v>
      </c>
      <c r="T69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697" s="57">
        <f>(1000*CHOOSE(CONTROL!$C$42, 695, 695)*CHOOSE(CONTROL!$C$42, 0.5599, 0.5599)*CHOOSE(CONTROL!$C$42, 31, 31))/1000000</f>
        <v>12.063045499999998</v>
      </c>
      <c r="V697" s="57">
        <f>(1000*CHOOSE(CONTROL!$C$42, 500, 500)*CHOOSE(CONTROL!$C$42, 0.275, 0.275)*CHOOSE(CONTROL!$C$42, 31, 31))/1000000</f>
        <v>4.2625000000000002</v>
      </c>
      <c r="W697" s="57">
        <f>(1000*CHOOSE(CONTROL!$C$42, 0.1146, 0.1146)*CHOOSE(CONTROL!$C$42, 121.5, 121.5)*CHOOSE(CONTROL!$C$42, 31, 31))/1000000</f>
        <v>0.43164089999999994</v>
      </c>
      <c r="X697" s="57">
        <f>(31*0.1790888*100000/1000000)+(31*0.2374*100000/1000000)</f>
        <v>1.2911152800000001</v>
      </c>
      <c r="Y697" s="57"/>
      <c r="Z697" s="14"/>
      <c r="AA697" s="56"/>
      <c r="AB697" s="50">
        <f>(B697*122.58+C697*297.941+D697*89.177+E697*40.302+F697*40+G697*160+H697*0+I697*100+J697*300)/(122.58+297.941+89.177+40.302+0+40+160+100+300)</f>
        <v>41.996648573391305</v>
      </c>
      <c r="AC697" s="45">
        <f>(M697*'RAP TEMPLATE-GAS AVAILABILITY'!O696+N697*'RAP TEMPLATE-GAS AVAILABILITY'!P696+O697*'RAP TEMPLATE-GAS AVAILABILITY'!Q696+P697*'RAP TEMPLATE-GAS AVAILABILITY'!R696)/('RAP TEMPLATE-GAS AVAILABILITY'!O696+'RAP TEMPLATE-GAS AVAILABILITY'!P696+'RAP TEMPLATE-GAS AVAILABILITY'!Q696+'RAP TEMPLATE-GAS AVAILABILITY'!R696)</f>
        <v>41.61667769784173</v>
      </c>
    </row>
    <row r="698" spans="1:29" ht="15.75" x14ac:dyDescent="0.25">
      <c r="A698" s="32">
        <v>62152</v>
      </c>
      <c r="B698" s="14">
        <f>CHOOSE(CONTROL!$C$42, 42.7309, 42.7309) * CHOOSE(CONTROL!$C$21, $C$9, 100%, $E$9)</f>
        <v>42.730899999999998</v>
      </c>
      <c r="C698" s="14">
        <f>CHOOSE(CONTROL!$C$42, 42.7359, 42.7359) * CHOOSE(CONTROL!$C$21, $C$9, 100%, $E$9)</f>
        <v>42.735900000000001</v>
      </c>
      <c r="D698" s="14">
        <f>CHOOSE(CONTROL!$C$42, 42.8001, 42.8001) * CHOOSE(CONTROL!$C$21, $C$9, 100%, $E$9)</f>
        <v>42.8001</v>
      </c>
      <c r="E698" s="14">
        <f>CHOOSE(CONTROL!$C$42, 42.8339, 42.8339) * CHOOSE(CONTROL!$C$21, $C$9, 100%, $E$9)</f>
        <v>42.8339</v>
      </c>
      <c r="F698" s="14">
        <f>CHOOSE(CONTROL!$C$42, 42.7325, 42.7325)*CHOOSE(CONTROL!$C$21, $C$9, 100%, $E$9)</f>
        <v>42.732500000000002</v>
      </c>
      <c r="G698" s="14">
        <f>CHOOSE(CONTROL!$C$42, 42.7484, 42.7484)*CHOOSE(CONTROL!$C$21, $C$9, 100%, $E$9)</f>
        <v>42.748399999999997</v>
      </c>
      <c r="H698" s="14">
        <f>CHOOSE(CONTROL!$C$42, 42.8231, 42.8231) * CHOOSE(CONTROL!$C$21, $C$9, 100%, $E$9)</f>
        <v>42.823099999999997</v>
      </c>
      <c r="I698" s="14">
        <f>CHOOSE(CONTROL!$C$42, 42.7509, 42.7509)* CHOOSE(CONTROL!$C$21, $C$9, 100%, $E$9)</f>
        <v>42.750900000000001</v>
      </c>
      <c r="J698" s="14">
        <f>CHOOSE(CONTROL!$C$42, 42.7255, 42.7255)* CHOOSE(CONTROL!$C$21, $C$9, 100%, $E$9)</f>
        <v>42.725499999999997</v>
      </c>
      <c r="K698" s="53">
        <f>CHOOSE(CONTROL!$C$42, 42.747, 42.747) * CHOOSE(CONTROL!$C$21, $C$9, 100%, $E$9)</f>
        <v>42.747</v>
      </c>
      <c r="L698" s="14">
        <f>CHOOSE(CONTROL!$C$42, 43.4101, 43.4101) * CHOOSE(CONTROL!$C$21, $C$9, 100%, $E$9)</f>
        <v>43.4101</v>
      </c>
      <c r="M698" s="14">
        <f>CHOOSE(CONTROL!$C$42, 42.3081, 42.3081) * CHOOSE(CONTROL!$C$21, $C$9, 100%, $E$9)</f>
        <v>42.308100000000003</v>
      </c>
      <c r="N698" s="14">
        <f>CHOOSE(CONTROL!$C$42, 42.3239, 42.3239) * CHOOSE(CONTROL!$C$21, $C$9, 100%, $E$9)</f>
        <v>42.323900000000002</v>
      </c>
      <c r="O698" s="14">
        <f>CHOOSE(CONTROL!$C$42, 42.4048, 42.4048) * CHOOSE(CONTROL!$C$21, $C$9, 100%, $E$9)</f>
        <v>42.404800000000002</v>
      </c>
      <c r="P698" s="14">
        <f>CHOOSE(CONTROL!$C$42, 42.3333, 42.3333) * CHOOSE(CONTROL!$C$21, $C$9, 100%, $E$9)</f>
        <v>42.333300000000001</v>
      </c>
      <c r="Q698" s="14">
        <f>CHOOSE(CONTROL!$C$42, 43.0001, 43.0001) * CHOOSE(CONTROL!$C$21, $C$9, 100%, $E$9)</f>
        <v>43.000100000000003</v>
      </c>
      <c r="R698" s="14">
        <f>CHOOSE(CONTROL!$C$42, 43.6946, 43.6946) * CHOOSE(CONTROL!$C$21, $C$9, 100%, $E$9)</f>
        <v>43.694600000000001</v>
      </c>
      <c r="S698" s="14">
        <f>CHOOSE(CONTROL!$C$42, 41.4939, 41.4939) * CHOOSE(CONTROL!$C$21, $C$9, 100%, $E$9)</f>
        <v>41.493899999999996</v>
      </c>
      <c r="T69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698" s="57">
        <f>(1000*CHOOSE(CONTROL!$C$42, 695, 695)*CHOOSE(CONTROL!$C$42, 0.5599, 0.5599)*CHOOSE(CONTROL!$C$42, 28, 28))/1000000</f>
        <v>10.895653999999999</v>
      </c>
      <c r="V698" s="57">
        <f>(1000*CHOOSE(CONTROL!$C$42, 500, 500)*CHOOSE(CONTROL!$C$42, 0.275, 0.275)*CHOOSE(CONTROL!$C$42, 28, 28))/1000000</f>
        <v>3.85</v>
      </c>
      <c r="W698" s="57">
        <f>(1000*CHOOSE(CONTROL!$C$42, 0.1146, 0.1146)*CHOOSE(CONTROL!$C$42, 121.5, 121.5)*CHOOSE(CONTROL!$C$42, 28, 28))/1000000</f>
        <v>0.38986920000000003</v>
      </c>
      <c r="X698" s="57">
        <f>(28*0.1790888*100000/1000000)+(28*0.2374*100000/1000000)</f>
        <v>1.16616864</v>
      </c>
      <c r="Y698" s="57"/>
      <c r="Z698" s="14"/>
      <c r="AA698" s="56"/>
      <c r="AB698" s="50">
        <f>(B698*122.58+C698*297.941+D698*89.177+E698*40.302+F698*40+G698*160+H698*0+I698*100+J698*300)/(122.58+297.941+89.177+40.302+0+40+160+100+300)</f>
        <v>42.743992051652171</v>
      </c>
      <c r="AC698" s="45">
        <f>(M698*'RAP TEMPLATE-GAS AVAILABILITY'!O697+N698*'RAP TEMPLATE-GAS AVAILABILITY'!P697+O698*'RAP TEMPLATE-GAS AVAILABILITY'!Q697+P698*'RAP TEMPLATE-GAS AVAILABILITY'!R697)/('RAP TEMPLATE-GAS AVAILABILITY'!O697+'RAP TEMPLATE-GAS AVAILABILITY'!P697+'RAP TEMPLATE-GAS AVAILABILITY'!Q697+'RAP TEMPLATE-GAS AVAILABILITY'!R697)</f>
        <v>42.356463309352527</v>
      </c>
    </row>
    <row r="699" spans="1:29" ht="15.75" x14ac:dyDescent="0.25">
      <c r="A699" s="32">
        <v>62183</v>
      </c>
      <c r="B699" s="14">
        <f>CHOOSE(CONTROL!$C$42, 41.5178, 41.5178) * CHOOSE(CONTROL!$C$21, $C$9, 100%, $E$9)</f>
        <v>41.517800000000001</v>
      </c>
      <c r="C699" s="14">
        <f>CHOOSE(CONTROL!$C$42, 41.5228, 41.5228) * CHOOSE(CONTROL!$C$21, $C$9, 100%, $E$9)</f>
        <v>41.522799999999997</v>
      </c>
      <c r="D699" s="14">
        <f>CHOOSE(CONTROL!$C$42, 41.5871, 41.5871) * CHOOSE(CONTROL!$C$21, $C$9, 100%, $E$9)</f>
        <v>41.5871</v>
      </c>
      <c r="E699" s="14">
        <f>CHOOSE(CONTROL!$C$42, 41.6208, 41.6208) * CHOOSE(CONTROL!$C$21, $C$9, 100%, $E$9)</f>
        <v>41.620800000000003</v>
      </c>
      <c r="F699" s="14">
        <f>CHOOSE(CONTROL!$C$42, 41.5191, 41.5191)*CHOOSE(CONTROL!$C$21, $C$9, 100%, $E$9)</f>
        <v>41.519100000000002</v>
      </c>
      <c r="G699" s="14">
        <f>CHOOSE(CONTROL!$C$42, 41.5349, 41.5349)*CHOOSE(CONTROL!$C$21, $C$9, 100%, $E$9)</f>
        <v>41.5349</v>
      </c>
      <c r="H699" s="14">
        <f>CHOOSE(CONTROL!$C$42, 41.61, 41.61) * CHOOSE(CONTROL!$C$21, $C$9, 100%, $E$9)</f>
        <v>41.61</v>
      </c>
      <c r="I699" s="14">
        <f>CHOOSE(CONTROL!$C$42, 41.5378, 41.5378)* CHOOSE(CONTROL!$C$21, $C$9, 100%, $E$9)</f>
        <v>41.537799999999997</v>
      </c>
      <c r="J699" s="14">
        <f>CHOOSE(CONTROL!$C$42, 41.5121, 41.5121)* CHOOSE(CONTROL!$C$21, $C$9, 100%, $E$9)</f>
        <v>41.512099999999997</v>
      </c>
      <c r="K699" s="53">
        <f>CHOOSE(CONTROL!$C$42, 41.5339, 41.5339) * CHOOSE(CONTROL!$C$21, $C$9, 100%, $E$9)</f>
        <v>41.533900000000003</v>
      </c>
      <c r="L699" s="14">
        <f>CHOOSE(CONTROL!$C$42, 42.197, 42.197) * CHOOSE(CONTROL!$C$21, $C$9, 100%, $E$9)</f>
        <v>42.197000000000003</v>
      </c>
      <c r="M699" s="14">
        <f>CHOOSE(CONTROL!$C$42, 41.107, 41.107) * CHOOSE(CONTROL!$C$21, $C$9, 100%, $E$9)</f>
        <v>41.106999999999999</v>
      </c>
      <c r="N699" s="14">
        <f>CHOOSE(CONTROL!$C$42, 41.1227, 41.1227) * CHOOSE(CONTROL!$C$21, $C$9, 100%, $E$9)</f>
        <v>41.122700000000002</v>
      </c>
      <c r="O699" s="14">
        <f>CHOOSE(CONTROL!$C$42, 41.204, 41.204) * CHOOSE(CONTROL!$C$21, $C$9, 100%, $E$9)</f>
        <v>41.204000000000001</v>
      </c>
      <c r="P699" s="14">
        <f>CHOOSE(CONTROL!$C$42, 41.1325, 41.1325) * CHOOSE(CONTROL!$C$21, $C$9, 100%, $E$9)</f>
        <v>41.1325</v>
      </c>
      <c r="Q699" s="14">
        <f>CHOOSE(CONTROL!$C$42, 41.7993, 41.7993) * CHOOSE(CONTROL!$C$21, $C$9, 100%, $E$9)</f>
        <v>41.799300000000002</v>
      </c>
      <c r="R699" s="14">
        <f>CHOOSE(CONTROL!$C$42, 42.4907, 42.4907) * CHOOSE(CONTROL!$C$21, $C$9, 100%, $E$9)</f>
        <v>42.490699999999997</v>
      </c>
      <c r="S699" s="14">
        <f>CHOOSE(CONTROL!$C$42, 40.3158, 40.3158) * CHOOSE(CONTROL!$C$21, $C$9, 100%, $E$9)</f>
        <v>40.315800000000003</v>
      </c>
      <c r="T69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699" s="57">
        <f>(1000*CHOOSE(CONTROL!$C$42, 695, 695)*CHOOSE(CONTROL!$C$42, 0.5599, 0.5599)*CHOOSE(CONTROL!$C$42, 31, 31))/1000000</f>
        <v>12.063045499999998</v>
      </c>
      <c r="V699" s="57">
        <f>(1000*CHOOSE(CONTROL!$C$42, 500, 500)*CHOOSE(CONTROL!$C$42, 0.275, 0.275)*CHOOSE(CONTROL!$C$42, 31, 31))/1000000</f>
        <v>4.2625000000000002</v>
      </c>
      <c r="W699" s="57">
        <f>(1000*CHOOSE(CONTROL!$C$42, 0.1146, 0.1146)*CHOOSE(CONTROL!$C$42, 121.5, 121.5)*CHOOSE(CONTROL!$C$42, 31, 31))/1000000</f>
        <v>0.43164089999999994</v>
      </c>
      <c r="X699" s="57">
        <f>(31*0.1790888*100000/1000000)+(31*0.2374*100000/1000000)</f>
        <v>1.2911152800000001</v>
      </c>
      <c r="Y699" s="57"/>
      <c r="Z699" s="14"/>
      <c r="AA699" s="56"/>
      <c r="AB699" s="50">
        <f>(B699*122.58+C699*297.941+D699*89.177+E699*40.302+F699*40+G699*160+H699*0+I699*100+J699*300)/(122.58+297.941+89.177+40.302+0+40+160+100+300)</f>
        <v>41.530755458347826</v>
      </c>
      <c r="AC699" s="45">
        <f>(M699*'RAP TEMPLATE-GAS AVAILABILITY'!O698+N699*'RAP TEMPLATE-GAS AVAILABILITY'!P698+O699*'RAP TEMPLATE-GAS AVAILABILITY'!Q698+P699*'RAP TEMPLATE-GAS AVAILABILITY'!R698)/('RAP TEMPLATE-GAS AVAILABILITY'!O698+'RAP TEMPLATE-GAS AVAILABILITY'!P698+'RAP TEMPLATE-GAS AVAILABILITY'!Q698+'RAP TEMPLATE-GAS AVAILABILITY'!R698)</f>
        <v>41.15553669064748</v>
      </c>
    </row>
    <row r="700" spans="1:29" ht="15.75" x14ac:dyDescent="0.25">
      <c r="A700" s="32">
        <v>62213</v>
      </c>
      <c r="B700" s="14">
        <f>CHOOSE(CONTROL!$C$42, 41.3947, 41.3947) * CHOOSE(CONTROL!$C$21, $C$9, 100%, $E$9)</f>
        <v>41.3947</v>
      </c>
      <c r="C700" s="14">
        <f>CHOOSE(CONTROL!$C$42, 41.3991, 41.3991) * CHOOSE(CONTROL!$C$21, $C$9, 100%, $E$9)</f>
        <v>41.399099999999997</v>
      </c>
      <c r="D700" s="14">
        <f>CHOOSE(CONTROL!$C$42, 41.5998, 41.5998) * CHOOSE(CONTROL!$C$21, $C$9, 100%, $E$9)</f>
        <v>41.599800000000002</v>
      </c>
      <c r="E700" s="14">
        <f>CHOOSE(CONTROL!$C$42, 41.6316, 41.6316) * CHOOSE(CONTROL!$C$21, $C$9, 100%, $E$9)</f>
        <v>41.631599999999999</v>
      </c>
      <c r="F700" s="14">
        <f>CHOOSE(CONTROL!$C$42, 41.3793, 41.3793)*CHOOSE(CONTROL!$C$21, $C$9, 100%, $E$9)</f>
        <v>41.379300000000001</v>
      </c>
      <c r="G700" s="14">
        <f>CHOOSE(CONTROL!$C$42, 41.3949, 41.3949)*CHOOSE(CONTROL!$C$21, $C$9, 100%, $E$9)</f>
        <v>41.3949</v>
      </c>
      <c r="H700" s="14">
        <f>CHOOSE(CONTROL!$C$42, 41.6214, 41.6214) * CHOOSE(CONTROL!$C$21, $C$9, 100%, $E$9)</f>
        <v>41.621400000000001</v>
      </c>
      <c r="I700" s="14">
        <f>CHOOSE(CONTROL!$C$42, 41.4075, 41.4075)* CHOOSE(CONTROL!$C$21, $C$9, 100%, $E$9)</f>
        <v>41.407499999999999</v>
      </c>
      <c r="J700" s="14">
        <f>CHOOSE(CONTROL!$C$42, 41.3723, 41.3723)* CHOOSE(CONTROL!$C$21, $C$9, 100%, $E$9)</f>
        <v>41.372300000000003</v>
      </c>
      <c r="K700" s="53">
        <f>CHOOSE(CONTROL!$C$42, 41.4036, 41.4036) * CHOOSE(CONTROL!$C$21, $C$9, 100%, $E$9)</f>
        <v>41.403599999999997</v>
      </c>
      <c r="L700" s="14">
        <f>CHOOSE(CONTROL!$C$42, 42.2084, 42.2084) * CHOOSE(CONTROL!$C$21, $C$9, 100%, $E$9)</f>
        <v>42.208399999999997</v>
      </c>
      <c r="M700" s="14">
        <f>CHOOSE(CONTROL!$C$42, 40.9686, 40.9686) * CHOOSE(CONTROL!$C$21, $C$9, 100%, $E$9)</f>
        <v>40.968600000000002</v>
      </c>
      <c r="N700" s="14">
        <f>CHOOSE(CONTROL!$C$42, 40.9841, 40.9841) * CHOOSE(CONTROL!$C$21, $C$9, 100%, $E$9)</f>
        <v>40.984099999999998</v>
      </c>
      <c r="O700" s="14">
        <f>CHOOSE(CONTROL!$C$42, 41.2152, 41.2152) * CHOOSE(CONTROL!$C$21, $C$9, 100%, $E$9)</f>
        <v>41.215200000000003</v>
      </c>
      <c r="P700" s="14">
        <f>CHOOSE(CONTROL!$C$42, 41.0035, 41.0035) * CHOOSE(CONTROL!$C$21, $C$9, 100%, $E$9)</f>
        <v>41.003500000000003</v>
      </c>
      <c r="Q700" s="14">
        <f>CHOOSE(CONTROL!$C$42, 41.8105, 41.8105) * CHOOSE(CONTROL!$C$21, $C$9, 100%, $E$9)</f>
        <v>41.810499999999998</v>
      </c>
      <c r="R700" s="14">
        <f>CHOOSE(CONTROL!$C$42, 42.502, 42.502) * CHOOSE(CONTROL!$C$21, $C$9, 100%, $E$9)</f>
        <v>42.502000000000002</v>
      </c>
      <c r="S700" s="14">
        <f>CHOOSE(CONTROL!$C$42, 40.1955, 40.1955) * CHOOSE(CONTROL!$C$21, $C$9, 100%, $E$9)</f>
        <v>40.195500000000003</v>
      </c>
      <c r="T70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00" s="57">
        <f>(1000*CHOOSE(CONTROL!$C$42, 695, 695)*CHOOSE(CONTROL!$C$42, 0.5599, 0.5599)*CHOOSE(CONTROL!$C$42, 30, 30))/1000000</f>
        <v>11.673914999999997</v>
      </c>
      <c r="V700" s="57">
        <f>(1000*CHOOSE(CONTROL!$C$42, 500, 500)*CHOOSE(CONTROL!$C$42, 0.275, 0.275)*CHOOSE(CONTROL!$C$42, 30, 30))/1000000</f>
        <v>4.125</v>
      </c>
      <c r="W700" s="57">
        <f>(1000*CHOOSE(CONTROL!$C$42, 0.1146, 0.1146)*CHOOSE(CONTROL!$C$42, 121.5, 121.5)*CHOOSE(CONTROL!$C$42, 30, 30))/1000000</f>
        <v>0.417717</v>
      </c>
      <c r="X700" s="57">
        <f>(30*0.1790888*245000/1000000)+(30*0.2374*100000/1000000)</f>
        <v>2.0285026799999999</v>
      </c>
      <c r="Y700" s="57"/>
      <c r="Z700" s="14"/>
      <c r="AA700" s="56"/>
      <c r="AB700" s="50">
        <f>(B700*141.293+C700*267.993+D700*115.016+E700*89.698+F700*40+G700*185+H700*0+I700*100+J700*300)/(141.293+267.993+115.016+89.698+0+40+185+100+300)</f>
        <v>41.426983621468928</v>
      </c>
      <c r="AC700" s="45">
        <f>(M700*'RAP TEMPLATE-GAS AVAILABILITY'!O699+N700*'RAP TEMPLATE-GAS AVAILABILITY'!P699+O700*'RAP TEMPLATE-GAS AVAILABILITY'!Q699+P700*'RAP TEMPLATE-GAS AVAILABILITY'!R699)/('RAP TEMPLATE-GAS AVAILABILITY'!O699+'RAP TEMPLATE-GAS AVAILABILITY'!P699+'RAP TEMPLATE-GAS AVAILABILITY'!Q699+'RAP TEMPLATE-GAS AVAILABILITY'!R699)</f>
        <v>41.086282014388487</v>
      </c>
    </row>
    <row r="701" spans="1:29" ht="15.75" x14ac:dyDescent="0.25">
      <c r="A701" s="32">
        <v>62244</v>
      </c>
      <c r="B701" s="14">
        <f>CHOOSE(CONTROL!$C$42, 41.7614, 41.7614) * CHOOSE(CONTROL!$C$21, $C$9, 100%, $E$9)</f>
        <v>41.761400000000002</v>
      </c>
      <c r="C701" s="14">
        <f>CHOOSE(CONTROL!$C$42, 41.7693, 41.7693) * CHOOSE(CONTROL!$C$21, $C$9, 100%, $E$9)</f>
        <v>41.769300000000001</v>
      </c>
      <c r="D701" s="14">
        <f>CHOOSE(CONTROL!$C$42, 41.9669, 41.9669) * CHOOSE(CONTROL!$C$21, $C$9, 100%, $E$9)</f>
        <v>41.966900000000003</v>
      </c>
      <c r="E701" s="14">
        <f>CHOOSE(CONTROL!$C$42, 41.9981, 41.9981) * CHOOSE(CONTROL!$C$21, $C$9, 100%, $E$9)</f>
        <v>41.998100000000001</v>
      </c>
      <c r="F701" s="14">
        <f>CHOOSE(CONTROL!$C$42, 41.7448, 41.7448)*CHOOSE(CONTROL!$C$21, $C$9, 100%, $E$9)</f>
        <v>41.744799999999998</v>
      </c>
      <c r="G701" s="14">
        <f>CHOOSE(CONTROL!$C$42, 41.7609, 41.7609)*CHOOSE(CONTROL!$C$21, $C$9, 100%, $E$9)</f>
        <v>41.760899999999999</v>
      </c>
      <c r="H701" s="14">
        <f>CHOOSE(CONTROL!$C$42, 41.9867, 41.9867) * CHOOSE(CONTROL!$C$21, $C$9, 100%, $E$9)</f>
        <v>41.986699999999999</v>
      </c>
      <c r="I701" s="14">
        <f>CHOOSE(CONTROL!$C$42, 41.7728, 41.7728)* CHOOSE(CONTROL!$C$21, $C$9, 100%, $E$9)</f>
        <v>41.772799999999997</v>
      </c>
      <c r="J701" s="14">
        <f>CHOOSE(CONTROL!$C$42, 41.7378, 41.7378)* CHOOSE(CONTROL!$C$21, $C$9, 100%, $E$9)</f>
        <v>41.7378</v>
      </c>
      <c r="K701" s="53">
        <f>CHOOSE(CONTROL!$C$42, 41.7689, 41.7689) * CHOOSE(CONTROL!$C$21, $C$9, 100%, $E$9)</f>
        <v>41.768900000000002</v>
      </c>
      <c r="L701" s="14">
        <f>CHOOSE(CONTROL!$C$42, 42.5737, 42.5737) * CHOOSE(CONTROL!$C$21, $C$9, 100%, $E$9)</f>
        <v>42.573700000000002</v>
      </c>
      <c r="M701" s="14">
        <f>CHOOSE(CONTROL!$C$42, 41.3305, 41.3305) * CHOOSE(CONTROL!$C$21, $C$9, 100%, $E$9)</f>
        <v>41.330500000000001</v>
      </c>
      <c r="N701" s="14">
        <f>CHOOSE(CONTROL!$C$42, 41.3464, 41.3464) * CHOOSE(CONTROL!$C$21, $C$9, 100%, $E$9)</f>
        <v>41.346400000000003</v>
      </c>
      <c r="O701" s="14">
        <f>CHOOSE(CONTROL!$C$42, 41.5768, 41.5768) * CHOOSE(CONTROL!$C$21, $C$9, 100%, $E$9)</f>
        <v>41.576799999999999</v>
      </c>
      <c r="P701" s="14">
        <f>CHOOSE(CONTROL!$C$42, 41.3651, 41.3651) * CHOOSE(CONTROL!$C$21, $C$9, 100%, $E$9)</f>
        <v>41.365099999999998</v>
      </c>
      <c r="Q701" s="14">
        <f>CHOOSE(CONTROL!$C$42, 42.1721, 42.1721) * CHOOSE(CONTROL!$C$21, $C$9, 100%, $E$9)</f>
        <v>42.1721</v>
      </c>
      <c r="R701" s="14">
        <f>CHOOSE(CONTROL!$C$42, 42.8645, 42.8645) * CHOOSE(CONTROL!$C$21, $C$9, 100%, $E$9)</f>
        <v>42.8645</v>
      </c>
      <c r="S701" s="14">
        <f>CHOOSE(CONTROL!$C$42, 40.5503, 40.5503) * CHOOSE(CONTROL!$C$21, $C$9, 100%, $E$9)</f>
        <v>40.5503</v>
      </c>
      <c r="T70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01" s="57">
        <f>(1000*CHOOSE(CONTROL!$C$42, 695, 695)*CHOOSE(CONTROL!$C$42, 0.5599, 0.5599)*CHOOSE(CONTROL!$C$42, 31, 31))/1000000</f>
        <v>12.063045499999998</v>
      </c>
      <c r="V701" s="57">
        <f>(1000*CHOOSE(CONTROL!$C$42, 500, 500)*CHOOSE(CONTROL!$C$42, 0.275, 0.275)*CHOOSE(CONTROL!$C$42, 31, 31))/1000000</f>
        <v>4.2625000000000002</v>
      </c>
      <c r="W701" s="57">
        <f>(1000*CHOOSE(CONTROL!$C$42, 0.1146, 0.1146)*CHOOSE(CONTROL!$C$42, 121.5, 121.5)*CHOOSE(CONTROL!$C$42, 31, 31))/1000000</f>
        <v>0.43164089999999994</v>
      </c>
      <c r="X701" s="57">
        <f>(31*0.1790888*245000/1000000)+(31*0.2374*100000/1000000)</f>
        <v>2.0961194359999999</v>
      </c>
      <c r="Y701" s="57"/>
      <c r="Z701" s="14"/>
      <c r="AA701" s="56"/>
      <c r="AB701" s="50">
        <f>(B701*194.205+C701*267.466+D701*133.845+E701*53.484+F701*40+G701*185+H701*0+I701*100+J701*300)/(194.205+267.466+133.845+53.484+0+40+185+100+300)</f>
        <v>41.789328800392468</v>
      </c>
      <c r="AC701" s="45">
        <f>(M701*'RAP TEMPLATE-GAS AVAILABILITY'!O700+N701*'RAP TEMPLATE-GAS AVAILABILITY'!P700+O701*'RAP TEMPLATE-GAS AVAILABILITY'!Q700+P701*'RAP TEMPLATE-GAS AVAILABILITY'!R700)/('RAP TEMPLATE-GAS AVAILABILITY'!O700+'RAP TEMPLATE-GAS AVAILABILITY'!P700+'RAP TEMPLATE-GAS AVAILABILITY'!Q700+'RAP TEMPLATE-GAS AVAILABILITY'!R700)</f>
        <v>41.448025899280573</v>
      </c>
    </row>
    <row r="702" spans="1:29" ht="15.75" x14ac:dyDescent="0.25">
      <c r="A702" s="32">
        <v>62274</v>
      </c>
      <c r="B702" s="14">
        <f>CHOOSE(CONTROL!$C$42, 42.9459, 42.9459) * CHOOSE(CONTROL!$C$21, $C$9, 100%, $E$9)</f>
        <v>42.945900000000002</v>
      </c>
      <c r="C702" s="14">
        <f>CHOOSE(CONTROL!$C$42, 42.9538, 42.9538) * CHOOSE(CONTROL!$C$21, $C$9, 100%, $E$9)</f>
        <v>42.953800000000001</v>
      </c>
      <c r="D702" s="14">
        <f>CHOOSE(CONTROL!$C$42, 43.1514, 43.1514) * CHOOSE(CONTROL!$C$21, $C$9, 100%, $E$9)</f>
        <v>43.151400000000002</v>
      </c>
      <c r="E702" s="14">
        <f>CHOOSE(CONTROL!$C$42, 43.1825, 43.1825) * CHOOSE(CONTROL!$C$21, $C$9, 100%, $E$9)</f>
        <v>43.182499999999997</v>
      </c>
      <c r="F702" s="14">
        <f>CHOOSE(CONTROL!$C$42, 42.9297, 42.9297)*CHOOSE(CONTROL!$C$21, $C$9, 100%, $E$9)</f>
        <v>42.929699999999997</v>
      </c>
      <c r="G702" s="14">
        <f>CHOOSE(CONTROL!$C$42, 42.9459, 42.9459)*CHOOSE(CONTROL!$C$21, $C$9, 100%, $E$9)</f>
        <v>42.945900000000002</v>
      </c>
      <c r="H702" s="14">
        <f>CHOOSE(CONTROL!$C$42, 43.1712, 43.1712) * CHOOSE(CONTROL!$C$21, $C$9, 100%, $E$9)</f>
        <v>43.171199999999999</v>
      </c>
      <c r="I702" s="14">
        <f>CHOOSE(CONTROL!$C$42, 42.9573, 42.9573)* CHOOSE(CONTROL!$C$21, $C$9, 100%, $E$9)</f>
        <v>42.957299999999996</v>
      </c>
      <c r="J702" s="14">
        <f>CHOOSE(CONTROL!$C$42, 42.9227, 42.9227)* CHOOSE(CONTROL!$C$21, $C$9, 100%, $E$9)</f>
        <v>42.922699999999999</v>
      </c>
      <c r="K702" s="53">
        <f>CHOOSE(CONTROL!$C$42, 42.9534, 42.9534) * CHOOSE(CONTROL!$C$21, $C$9, 100%, $E$9)</f>
        <v>42.953400000000002</v>
      </c>
      <c r="L702" s="14">
        <f>CHOOSE(CONTROL!$C$42, 43.7582, 43.7582) * CHOOSE(CONTROL!$C$21, $C$9, 100%, $E$9)</f>
        <v>43.758200000000002</v>
      </c>
      <c r="M702" s="14">
        <f>CHOOSE(CONTROL!$C$42, 42.5034, 42.5034) * CHOOSE(CONTROL!$C$21, $C$9, 100%, $E$9)</f>
        <v>42.503399999999999</v>
      </c>
      <c r="N702" s="14">
        <f>CHOOSE(CONTROL!$C$42, 42.5194, 42.5194) * CHOOSE(CONTROL!$C$21, $C$9, 100%, $E$9)</f>
        <v>42.519399999999997</v>
      </c>
      <c r="O702" s="14">
        <f>CHOOSE(CONTROL!$C$42, 42.7493, 42.7493) * CHOOSE(CONTROL!$C$21, $C$9, 100%, $E$9)</f>
        <v>42.749299999999998</v>
      </c>
      <c r="P702" s="14">
        <f>CHOOSE(CONTROL!$C$42, 42.5376, 42.5376) * CHOOSE(CONTROL!$C$21, $C$9, 100%, $E$9)</f>
        <v>42.537599999999998</v>
      </c>
      <c r="Q702" s="14">
        <f>CHOOSE(CONTROL!$C$42, 43.3446, 43.3446) * CHOOSE(CONTROL!$C$21, $C$9, 100%, $E$9)</f>
        <v>43.3446</v>
      </c>
      <c r="R702" s="14">
        <f>CHOOSE(CONTROL!$C$42, 44.04, 44.04) * CHOOSE(CONTROL!$C$21, $C$9, 100%, $E$9)</f>
        <v>44.04</v>
      </c>
      <c r="S702" s="14">
        <f>CHOOSE(CONTROL!$C$42, 41.7005, 41.7005) * CHOOSE(CONTROL!$C$21, $C$9, 100%, $E$9)</f>
        <v>41.700499999999998</v>
      </c>
      <c r="T70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02" s="57">
        <f>(1000*CHOOSE(CONTROL!$C$42, 695, 695)*CHOOSE(CONTROL!$C$42, 0.5599, 0.5599)*CHOOSE(CONTROL!$C$42, 30, 30))/1000000</f>
        <v>11.673914999999997</v>
      </c>
      <c r="V702" s="57">
        <f>(1000*CHOOSE(CONTROL!$C$42, 500, 500)*CHOOSE(CONTROL!$C$42, 0.275, 0.275)*CHOOSE(CONTROL!$C$42, 30, 30))/1000000</f>
        <v>4.125</v>
      </c>
      <c r="W702" s="57">
        <f>(1000*CHOOSE(CONTROL!$C$42, 0.1146, 0.1146)*CHOOSE(CONTROL!$C$42, 121.5, 121.5)*CHOOSE(CONTROL!$C$42, 30, 30))/1000000</f>
        <v>0.417717</v>
      </c>
      <c r="X702" s="57">
        <f>(30*0.1790888*245000/1000000)+(30*0.2374*100000/1000000)</f>
        <v>2.0285026799999999</v>
      </c>
      <c r="Y702" s="57"/>
      <c r="Z702" s="14"/>
      <c r="AA702" s="56"/>
      <c r="AB702" s="50">
        <f>(B702*194.205+C702*267.466+D702*133.845+E702*53.484+F702*40+G702*185+H702*0+I702*100+J702*300)/(194.205+267.466+133.845+53.484+0+40+185+100+300)</f>
        <v>42.974003958634228</v>
      </c>
      <c r="AC702" s="45">
        <f>(M702*'RAP TEMPLATE-GAS AVAILABILITY'!O701+N702*'RAP TEMPLATE-GAS AVAILABILITY'!P701+O702*'RAP TEMPLATE-GAS AVAILABILITY'!Q701+P702*'RAP TEMPLATE-GAS AVAILABILITY'!R701)/('RAP TEMPLATE-GAS AVAILABILITY'!O701+'RAP TEMPLATE-GAS AVAILABILITY'!P701+'RAP TEMPLATE-GAS AVAILABILITY'!Q701+'RAP TEMPLATE-GAS AVAILABILITY'!R701)</f>
        <v>42.62069280575539</v>
      </c>
    </row>
    <row r="703" spans="1:29" ht="15.75" x14ac:dyDescent="0.25">
      <c r="A703" s="32">
        <v>62305</v>
      </c>
      <c r="B703" s="14">
        <f>CHOOSE(CONTROL!$C$42, 42.1221, 42.1221) * CHOOSE(CONTROL!$C$21, $C$9, 100%, $E$9)</f>
        <v>42.122100000000003</v>
      </c>
      <c r="C703" s="14">
        <f>CHOOSE(CONTROL!$C$42, 42.13, 42.13) * CHOOSE(CONTROL!$C$21, $C$9, 100%, $E$9)</f>
        <v>42.13</v>
      </c>
      <c r="D703" s="14">
        <f>CHOOSE(CONTROL!$C$42, 42.3276, 42.3276) * CHOOSE(CONTROL!$C$21, $C$9, 100%, $E$9)</f>
        <v>42.327599999999997</v>
      </c>
      <c r="E703" s="14">
        <f>CHOOSE(CONTROL!$C$42, 42.3587, 42.3587) * CHOOSE(CONTROL!$C$21, $C$9, 100%, $E$9)</f>
        <v>42.358699999999999</v>
      </c>
      <c r="F703" s="14">
        <f>CHOOSE(CONTROL!$C$42, 42.1063, 42.1063)*CHOOSE(CONTROL!$C$21, $C$9, 100%, $E$9)</f>
        <v>42.106299999999997</v>
      </c>
      <c r="G703" s="14">
        <f>CHOOSE(CONTROL!$C$42, 42.1226, 42.1226)*CHOOSE(CONTROL!$C$21, $C$9, 100%, $E$9)</f>
        <v>42.122599999999998</v>
      </c>
      <c r="H703" s="14">
        <f>CHOOSE(CONTROL!$C$42, 42.3474, 42.3474) * CHOOSE(CONTROL!$C$21, $C$9, 100%, $E$9)</f>
        <v>42.3474</v>
      </c>
      <c r="I703" s="14">
        <f>CHOOSE(CONTROL!$C$42, 42.1334, 42.1334)* CHOOSE(CONTROL!$C$21, $C$9, 100%, $E$9)</f>
        <v>42.133400000000002</v>
      </c>
      <c r="J703" s="14">
        <f>CHOOSE(CONTROL!$C$42, 42.0993, 42.0993)* CHOOSE(CONTROL!$C$21, $C$9, 100%, $E$9)</f>
        <v>42.099299999999999</v>
      </c>
      <c r="K703" s="53">
        <f>CHOOSE(CONTROL!$C$42, 42.1296, 42.1296) * CHOOSE(CONTROL!$C$21, $C$9, 100%, $E$9)</f>
        <v>42.129600000000003</v>
      </c>
      <c r="L703" s="14">
        <f>CHOOSE(CONTROL!$C$42, 42.9344, 42.9344) * CHOOSE(CONTROL!$C$21, $C$9, 100%, $E$9)</f>
        <v>42.934399999999997</v>
      </c>
      <c r="M703" s="14">
        <f>CHOOSE(CONTROL!$C$42, 41.6883, 41.6883) * CHOOSE(CONTROL!$C$21, $C$9, 100%, $E$9)</f>
        <v>41.688299999999998</v>
      </c>
      <c r="N703" s="14">
        <f>CHOOSE(CONTROL!$C$42, 41.7045, 41.7045) * CHOOSE(CONTROL!$C$21, $C$9, 100%, $E$9)</f>
        <v>41.704500000000003</v>
      </c>
      <c r="O703" s="14">
        <f>CHOOSE(CONTROL!$C$42, 41.9338, 41.9338) * CHOOSE(CONTROL!$C$21, $C$9, 100%, $E$9)</f>
        <v>41.933799999999998</v>
      </c>
      <c r="P703" s="14">
        <f>CHOOSE(CONTROL!$C$42, 41.7221, 41.7221) * CHOOSE(CONTROL!$C$21, $C$9, 100%, $E$9)</f>
        <v>41.722099999999998</v>
      </c>
      <c r="Q703" s="14">
        <f>CHOOSE(CONTROL!$C$42, 42.5291, 42.5291) * CHOOSE(CONTROL!$C$21, $C$9, 100%, $E$9)</f>
        <v>42.5291</v>
      </c>
      <c r="R703" s="14">
        <f>CHOOSE(CONTROL!$C$42, 43.2224, 43.2224) * CHOOSE(CONTROL!$C$21, $C$9, 100%, $E$9)</f>
        <v>43.2224</v>
      </c>
      <c r="S703" s="14">
        <f>CHOOSE(CONTROL!$C$42, 40.9005, 40.9005) * CHOOSE(CONTROL!$C$21, $C$9, 100%, $E$9)</f>
        <v>40.900500000000001</v>
      </c>
      <c r="T70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03" s="57">
        <f>(1000*CHOOSE(CONTROL!$C$42, 695, 695)*CHOOSE(CONTROL!$C$42, 0.5599, 0.5599)*CHOOSE(CONTROL!$C$42, 31, 31))/1000000</f>
        <v>12.063045499999998</v>
      </c>
      <c r="V703" s="57">
        <f>(1000*CHOOSE(CONTROL!$C$42, 500, 500)*CHOOSE(CONTROL!$C$42, 0.275, 0.275)*CHOOSE(CONTROL!$C$42, 31, 31))/1000000</f>
        <v>4.2625000000000002</v>
      </c>
      <c r="W703" s="57">
        <f>(1000*CHOOSE(CONTROL!$C$42, 0.1146, 0.1146)*CHOOSE(CONTROL!$C$42, 121.5, 121.5)*CHOOSE(CONTROL!$C$42, 31, 31))/1000000</f>
        <v>0.43164089999999994</v>
      </c>
      <c r="X703" s="57">
        <f>(31*0.1790888*245000/1000000)+(31*0.2374*100000/1000000)</f>
        <v>2.0961194359999999</v>
      </c>
      <c r="Y703" s="57"/>
      <c r="Z703" s="14"/>
      <c r="AA703" s="56"/>
      <c r="AB703" s="50">
        <f>(B703*194.205+C703*267.466+D703*133.845+E703*53.484+F703*40+G703*185+H703*0+I703*100+J703*300)/(194.205+267.466+133.845+53.484+0+40+185+100+300)</f>
        <v>42.150375465698581</v>
      </c>
      <c r="AC703" s="45">
        <f>(M703*'RAP TEMPLATE-GAS AVAILABILITY'!O702+N703*'RAP TEMPLATE-GAS AVAILABILITY'!P702+O703*'RAP TEMPLATE-GAS AVAILABILITY'!Q702+P703*'RAP TEMPLATE-GAS AVAILABILITY'!R702)/('RAP TEMPLATE-GAS AVAILABILITY'!O702+'RAP TEMPLATE-GAS AVAILABILITY'!P702+'RAP TEMPLATE-GAS AVAILABILITY'!Q702+'RAP TEMPLATE-GAS AVAILABILITY'!R702)</f>
        <v>41.805365467625897</v>
      </c>
    </row>
    <row r="704" spans="1:29" ht="15.75" x14ac:dyDescent="0.25">
      <c r="A704" s="32">
        <v>62336</v>
      </c>
      <c r="B704" s="14">
        <f>CHOOSE(CONTROL!$C$42, 40.0417, 40.0417) * CHOOSE(CONTROL!$C$21, $C$9, 100%, $E$9)</f>
        <v>40.041699999999999</v>
      </c>
      <c r="C704" s="14">
        <f>CHOOSE(CONTROL!$C$42, 40.0496, 40.0496) * CHOOSE(CONTROL!$C$21, $C$9, 100%, $E$9)</f>
        <v>40.049599999999998</v>
      </c>
      <c r="D704" s="14">
        <f>CHOOSE(CONTROL!$C$42, 40.2472, 40.2472) * CHOOSE(CONTROL!$C$21, $C$9, 100%, $E$9)</f>
        <v>40.247199999999999</v>
      </c>
      <c r="E704" s="14">
        <f>CHOOSE(CONTROL!$C$42, 40.2784, 40.2784) * CHOOSE(CONTROL!$C$21, $C$9, 100%, $E$9)</f>
        <v>40.278399999999998</v>
      </c>
      <c r="F704" s="14">
        <f>CHOOSE(CONTROL!$C$42, 40.0262, 40.0262)*CHOOSE(CONTROL!$C$21, $C$9, 100%, $E$9)</f>
        <v>40.026200000000003</v>
      </c>
      <c r="G704" s="14">
        <f>CHOOSE(CONTROL!$C$42, 40.0425, 40.0425)*CHOOSE(CONTROL!$C$21, $C$9, 100%, $E$9)</f>
        <v>40.042499999999997</v>
      </c>
      <c r="H704" s="14">
        <f>CHOOSE(CONTROL!$C$42, 40.267, 40.267) * CHOOSE(CONTROL!$C$21, $C$9, 100%, $E$9)</f>
        <v>40.267000000000003</v>
      </c>
      <c r="I704" s="14">
        <f>CHOOSE(CONTROL!$C$42, 40.0531, 40.0531)* CHOOSE(CONTROL!$C$21, $C$9, 100%, $E$9)</f>
        <v>40.053100000000001</v>
      </c>
      <c r="J704" s="14">
        <f>CHOOSE(CONTROL!$C$42, 40.0192, 40.0192)* CHOOSE(CONTROL!$C$21, $C$9, 100%, $E$9)</f>
        <v>40.019199999999998</v>
      </c>
      <c r="K704" s="53">
        <f>CHOOSE(CONTROL!$C$42, 40.0492, 40.0492) * CHOOSE(CONTROL!$C$21, $C$9, 100%, $E$9)</f>
        <v>40.049199999999999</v>
      </c>
      <c r="L704" s="14">
        <f>CHOOSE(CONTROL!$C$42, 40.854, 40.854) * CHOOSE(CONTROL!$C$21, $C$9, 100%, $E$9)</f>
        <v>40.853999999999999</v>
      </c>
      <c r="M704" s="14">
        <f>CHOOSE(CONTROL!$C$42, 39.6291, 39.6291) * CHOOSE(CONTROL!$C$21, $C$9, 100%, $E$9)</f>
        <v>39.629100000000001</v>
      </c>
      <c r="N704" s="14">
        <f>CHOOSE(CONTROL!$C$42, 39.6453, 39.6453) * CHOOSE(CONTROL!$C$21, $C$9, 100%, $E$9)</f>
        <v>39.645299999999999</v>
      </c>
      <c r="O704" s="14">
        <f>CHOOSE(CONTROL!$C$42, 39.8745, 39.8745) * CHOOSE(CONTROL!$C$21, $C$9, 100%, $E$9)</f>
        <v>39.874499999999998</v>
      </c>
      <c r="P704" s="14">
        <f>CHOOSE(CONTROL!$C$42, 39.6627, 39.6627) * CHOOSE(CONTROL!$C$21, $C$9, 100%, $E$9)</f>
        <v>39.662700000000001</v>
      </c>
      <c r="Q704" s="14">
        <f>CHOOSE(CONTROL!$C$42, 40.4698, 40.4698) * CHOOSE(CONTROL!$C$21, $C$9, 100%, $E$9)</f>
        <v>40.469799999999999</v>
      </c>
      <c r="R704" s="14">
        <f>CHOOSE(CONTROL!$C$42, 41.1579, 41.1579) * CHOOSE(CONTROL!$C$21, $C$9, 100%, $E$9)</f>
        <v>41.157899999999998</v>
      </c>
      <c r="S704" s="14">
        <f>CHOOSE(CONTROL!$C$42, 38.8803, 38.8803) * CHOOSE(CONTROL!$C$21, $C$9, 100%, $E$9)</f>
        <v>38.880299999999998</v>
      </c>
      <c r="T70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04" s="57">
        <f>(1000*CHOOSE(CONTROL!$C$42, 695, 695)*CHOOSE(CONTROL!$C$42, 0.5599, 0.5599)*CHOOSE(CONTROL!$C$42, 31, 31))/1000000</f>
        <v>12.063045499999998</v>
      </c>
      <c r="V704" s="57">
        <f>(1000*CHOOSE(CONTROL!$C$42, 500, 500)*CHOOSE(CONTROL!$C$42, 0.275, 0.275)*CHOOSE(CONTROL!$C$42, 31, 31))/1000000</f>
        <v>4.2625000000000002</v>
      </c>
      <c r="W704" s="57">
        <f>(1000*CHOOSE(CONTROL!$C$42, 0.1146, 0.1146)*CHOOSE(CONTROL!$C$42, 121.5, 121.5)*CHOOSE(CONTROL!$C$42, 31, 31))/1000000</f>
        <v>0.43164089999999994</v>
      </c>
      <c r="X704" s="57">
        <f>(31*0.1790888*245000/1000000)+(31*0.2374*100000/1000000)</f>
        <v>2.0961194359999999</v>
      </c>
      <c r="Y704" s="57"/>
      <c r="Z704" s="14"/>
      <c r="AA704" s="56"/>
      <c r="AB704" s="50">
        <f>(B704*194.205+C704*267.466+D704*133.845+E704*53.484+F704*40+G704*185+H704*0+I704*100+J704*300)/(194.205+267.466+133.845+53.484+0+40+185+100+300)</f>
        <v>40.070111139481945</v>
      </c>
      <c r="AC704" s="45">
        <f>(M704*'RAP TEMPLATE-GAS AVAILABILITY'!O703+N704*'RAP TEMPLATE-GAS AVAILABILITY'!P703+O704*'RAP TEMPLATE-GAS AVAILABILITY'!Q703+P704*'RAP TEMPLATE-GAS AVAILABILITY'!R703)/('RAP TEMPLATE-GAS AVAILABILITY'!O703+'RAP TEMPLATE-GAS AVAILABILITY'!P703+'RAP TEMPLATE-GAS AVAILABILITY'!Q703+'RAP TEMPLATE-GAS AVAILABILITY'!R703)</f>
        <v>39.746091366906477</v>
      </c>
    </row>
    <row r="705" spans="1:29" ht="15.75" x14ac:dyDescent="0.25">
      <c r="A705" s="32">
        <v>62366</v>
      </c>
      <c r="B705" s="14">
        <f>CHOOSE(CONTROL!$C$42, 37.4995, 37.4995) * CHOOSE(CONTROL!$C$21, $C$9, 100%, $E$9)</f>
        <v>37.499499999999998</v>
      </c>
      <c r="C705" s="14">
        <f>CHOOSE(CONTROL!$C$42, 37.5074, 37.5074) * CHOOSE(CONTROL!$C$21, $C$9, 100%, $E$9)</f>
        <v>37.507399999999997</v>
      </c>
      <c r="D705" s="14">
        <f>CHOOSE(CONTROL!$C$42, 37.705, 37.705) * CHOOSE(CONTROL!$C$21, $C$9, 100%, $E$9)</f>
        <v>37.704999999999998</v>
      </c>
      <c r="E705" s="14">
        <f>CHOOSE(CONTROL!$C$42, 37.7362, 37.7362) * CHOOSE(CONTROL!$C$21, $C$9, 100%, $E$9)</f>
        <v>37.736199999999997</v>
      </c>
      <c r="F705" s="14">
        <f>CHOOSE(CONTROL!$C$42, 37.4839, 37.4839)*CHOOSE(CONTROL!$C$21, $C$9, 100%, $E$9)</f>
        <v>37.483899999999998</v>
      </c>
      <c r="G705" s="14">
        <f>CHOOSE(CONTROL!$C$42, 37.5002, 37.5002)*CHOOSE(CONTROL!$C$21, $C$9, 100%, $E$9)</f>
        <v>37.5002</v>
      </c>
      <c r="H705" s="14">
        <f>CHOOSE(CONTROL!$C$42, 37.7248, 37.7248) * CHOOSE(CONTROL!$C$21, $C$9, 100%, $E$9)</f>
        <v>37.724800000000002</v>
      </c>
      <c r="I705" s="14">
        <f>CHOOSE(CONTROL!$C$42, 37.5109, 37.5109)* CHOOSE(CONTROL!$C$21, $C$9, 100%, $E$9)</f>
        <v>37.510899999999999</v>
      </c>
      <c r="J705" s="14">
        <f>CHOOSE(CONTROL!$C$42, 37.4769, 37.4769)* CHOOSE(CONTROL!$C$21, $C$9, 100%, $E$9)</f>
        <v>37.476900000000001</v>
      </c>
      <c r="K705" s="53">
        <f>CHOOSE(CONTROL!$C$42, 37.507, 37.507) * CHOOSE(CONTROL!$C$21, $C$9, 100%, $E$9)</f>
        <v>37.506999999999998</v>
      </c>
      <c r="L705" s="14">
        <f>CHOOSE(CONTROL!$C$42, 38.3118, 38.3118) * CHOOSE(CONTROL!$C$21, $C$9, 100%, $E$9)</f>
        <v>38.311799999999998</v>
      </c>
      <c r="M705" s="14">
        <f>CHOOSE(CONTROL!$C$42, 37.1125, 37.1125) * CHOOSE(CONTROL!$C$21, $C$9, 100%, $E$9)</f>
        <v>37.112499999999997</v>
      </c>
      <c r="N705" s="14">
        <f>CHOOSE(CONTROL!$C$42, 37.1287, 37.1287) * CHOOSE(CONTROL!$C$21, $C$9, 100%, $E$9)</f>
        <v>37.128700000000002</v>
      </c>
      <c r="O705" s="14">
        <f>CHOOSE(CONTROL!$C$42, 37.3579, 37.3579) * CHOOSE(CONTROL!$C$21, $C$9, 100%, $E$9)</f>
        <v>37.357900000000001</v>
      </c>
      <c r="P705" s="14">
        <f>CHOOSE(CONTROL!$C$42, 37.1462, 37.1462) * CHOOSE(CONTROL!$C$21, $C$9, 100%, $E$9)</f>
        <v>37.1462</v>
      </c>
      <c r="Q705" s="14">
        <f>CHOOSE(CONTROL!$C$42, 37.9532, 37.9532) * CHOOSE(CONTROL!$C$21, $C$9, 100%, $E$9)</f>
        <v>37.953200000000002</v>
      </c>
      <c r="R705" s="14">
        <f>CHOOSE(CONTROL!$C$42, 38.6351, 38.6351) * CHOOSE(CONTROL!$C$21, $C$9, 100%, $E$9)</f>
        <v>38.635100000000001</v>
      </c>
      <c r="S705" s="14">
        <f>CHOOSE(CONTROL!$C$42, 36.4115, 36.4115) * CHOOSE(CONTROL!$C$21, $C$9, 100%, $E$9)</f>
        <v>36.411499999999997</v>
      </c>
      <c r="T70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05" s="57">
        <f>(1000*CHOOSE(CONTROL!$C$42, 695, 695)*CHOOSE(CONTROL!$C$42, 0.5599, 0.5599)*CHOOSE(CONTROL!$C$42, 30, 30))/1000000</f>
        <v>11.673914999999997</v>
      </c>
      <c r="V705" s="57">
        <f>(1000*CHOOSE(CONTROL!$C$42, 500, 500)*CHOOSE(CONTROL!$C$42, 0.275, 0.275)*CHOOSE(CONTROL!$C$42, 30, 30))/1000000</f>
        <v>4.125</v>
      </c>
      <c r="W705" s="57">
        <f>(1000*CHOOSE(CONTROL!$C$42, 0.1146, 0.1146)*CHOOSE(CONTROL!$C$42, 121.5, 121.5)*CHOOSE(CONTROL!$C$42, 30, 30))/1000000</f>
        <v>0.417717</v>
      </c>
      <c r="X705" s="57">
        <f>(30*0.1790888*245000/1000000)+(30*0.2374*100000/1000000)</f>
        <v>2.0285026799999999</v>
      </c>
      <c r="Y705" s="57"/>
      <c r="Z705" s="14"/>
      <c r="AA705" s="56"/>
      <c r="AB705" s="50">
        <f>(B705*194.205+C705*267.466+D705*133.845+E705*53.484+F705*40+G705*185+H705*0+I705*100+J705*300)/(194.205+267.466+133.845+53.484+0+40+185+100+300)</f>
        <v>37.527869930690734</v>
      </c>
      <c r="AC705" s="45">
        <f>(M705*'RAP TEMPLATE-GAS AVAILABILITY'!O704+N705*'RAP TEMPLATE-GAS AVAILABILITY'!P704+O705*'RAP TEMPLATE-GAS AVAILABILITY'!Q704+P705*'RAP TEMPLATE-GAS AVAILABILITY'!R704)/('RAP TEMPLATE-GAS AVAILABILITY'!O704+'RAP TEMPLATE-GAS AVAILABILITY'!P704+'RAP TEMPLATE-GAS AVAILABILITY'!Q704+'RAP TEMPLATE-GAS AVAILABILITY'!R704)</f>
        <v>37.229505755395685</v>
      </c>
    </row>
    <row r="706" spans="1:29" ht="15.75" x14ac:dyDescent="0.25">
      <c r="A706" s="32">
        <v>62397</v>
      </c>
      <c r="B706" s="14">
        <f>CHOOSE(CONTROL!$C$42, 36.7365, 36.7365) * CHOOSE(CONTROL!$C$21, $C$9, 100%, $E$9)</f>
        <v>36.736499999999999</v>
      </c>
      <c r="C706" s="14">
        <f>CHOOSE(CONTROL!$C$42, 36.7417, 36.7417) * CHOOSE(CONTROL!$C$21, $C$9, 100%, $E$9)</f>
        <v>36.741700000000002</v>
      </c>
      <c r="D706" s="14">
        <f>CHOOSE(CONTROL!$C$42, 36.9442, 36.9442) * CHOOSE(CONTROL!$C$21, $C$9, 100%, $E$9)</f>
        <v>36.944200000000002</v>
      </c>
      <c r="E706" s="14">
        <f>CHOOSE(CONTROL!$C$42, 36.973, 36.973) * CHOOSE(CONTROL!$C$21, $C$9, 100%, $E$9)</f>
        <v>36.972999999999999</v>
      </c>
      <c r="F706" s="14">
        <f>CHOOSE(CONTROL!$C$42, 36.7228, 36.7228)*CHOOSE(CONTROL!$C$21, $C$9, 100%, $E$9)</f>
        <v>36.722799999999999</v>
      </c>
      <c r="G706" s="14">
        <f>CHOOSE(CONTROL!$C$42, 36.7389, 36.7389)*CHOOSE(CONTROL!$C$21, $C$9, 100%, $E$9)</f>
        <v>36.738900000000001</v>
      </c>
      <c r="H706" s="14">
        <f>CHOOSE(CONTROL!$C$42, 36.9635, 36.9635) * CHOOSE(CONTROL!$C$21, $C$9, 100%, $E$9)</f>
        <v>36.963500000000003</v>
      </c>
      <c r="I706" s="14">
        <f>CHOOSE(CONTROL!$C$42, 36.7496, 36.7496)* CHOOSE(CONTROL!$C$21, $C$9, 100%, $E$9)</f>
        <v>36.749600000000001</v>
      </c>
      <c r="J706" s="14">
        <f>CHOOSE(CONTROL!$C$42, 36.7158, 36.7158)* CHOOSE(CONTROL!$C$21, $C$9, 100%, $E$9)</f>
        <v>36.715800000000002</v>
      </c>
      <c r="K706" s="53">
        <f>CHOOSE(CONTROL!$C$42, 36.7457, 36.7457) * CHOOSE(CONTROL!$C$21, $C$9, 100%, $E$9)</f>
        <v>36.745699999999999</v>
      </c>
      <c r="L706" s="14">
        <f>CHOOSE(CONTROL!$C$42, 37.5505, 37.5505) * CHOOSE(CONTROL!$C$21, $C$9, 100%, $E$9)</f>
        <v>37.5505</v>
      </c>
      <c r="M706" s="14">
        <f>CHOOSE(CONTROL!$C$42, 36.3591, 36.3591) * CHOOSE(CONTROL!$C$21, $C$9, 100%, $E$9)</f>
        <v>36.359099999999998</v>
      </c>
      <c r="N706" s="14">
        <f>CHOOSE(CONTROL!$C$42, 36.375, 36.375) * CHOOSE(CONTROL!$C$21, $C$9, 100%, $E$9)</f>
        <v>36.375</v>
      </c>
      <c r="O706" s="14">
        <f>CHOOSE(CONTROL!$C$42, 36.6043, 36.6043) * CHOOSE(CONTROL!$C$21, $C$9, 100%, $E$9)</f>
        <v>36.604300000000002</v>
      </c>
      <c r="P706" s="14">
        <f>CHOOSE(CONTROL!$C$42, 36.3926, 36.3926) * CHOOSE(CONTROL!$C$21, $C$9, 100%, $E$9)</f>
        <v>36.392600000000002</v>
      </c>
      <c r="Q706" s="14">
        <f>CHOOSE(CONTROL!$C$42, 37.1996, 37.1996) * CHOOSE(CONTROL!$C$21, $C$9, 100%, $E$9)</f>
        <v>37.199599999999997</v>
      </c>
      <c r="R706" s="14">
        <f>CHOOSE(CONTROL!$C$42, 37.8796, 37.8796) * CHOOSE(CONTROL!$C$21, $C$9, 100%, $E$9)</f>
        <v>37.879600000000003</v>
      </c>
      <c r="S706" s="14">
        <f>CHOOSE(CONTROL!$C$42, 35.6722, 35.6722) * CHOOSE(CONTROL!$C$21, $C$9, 100%, $E$9)</f>
        <v>35.672199999999997</v>
      </c>
      <c r="T70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06" s="57">
        <f>(1000*CHOOSE(CONTROL!$C$42, 695, 695)*CHOOSE(CONTROL!$C$42, 0.5599, 0.5599)*CHOOSE(CONTROL!$C$42, 31, 31))/1000000</f>
        <v>12.063045499999998</v>
      </c>
      <c r="V706" s="57">
        <f>(1000*CHOOSE(CONTROL!$C$42, 500, 500)*CHOOSE(CONTROL!$C$42, 0.275, 0.275)*CHOOSE(CONTROL!$C$42, 31, 31))/1000000</f>
        <v>4.2625000000000002</v>
      </c>
      <c r="W706" s="57">
        <f>(1000*CHOOSE(CONTROL!$C$42, 0.1146, 0.1146)*CHOOSE(CONTROL!$C$42, 121.5, 121.5)*CHOOSE(CONTROL!$C$42, 31, 31))/1000000</f>
        <v>0.43164089999999994</v>
      </c>
      <c r="X706" s="57">
        <f>(31*0.1790888*245000/1000000)+(31*0.2374*100000/1000000)</f>
        <v>2.0961194359999999</v>
      </c>
      <c r="Y706" s="57"/>
      <c r="Z706" s="14"/>
      <c r="AA706" s="56"/>
      <c r="AB706" s="50">
        <f>(B706*131.881+C706*277.167+D706*79.08+E706*125.872+F706*40+G706*185+H706*0+I706*100+J706*300)/(131.881+277.167+79.08+125.872+0+40+185+100+300)</f>
        <v>36.770907516061342</v>
      </c>
      <c r="AC706" s="45">
        <f>(M706*'RAP TEMPLATE-GAS AVAILABILITY'!O705+N706*'RAP TEMPLATE-GAS AVAILABILITY'!P705+O706*'RAP TEMPLATE-GAS AVAILABILITY'!Q705+P706*'RAP TEMPLATE-GAS AVAILABILITY'!R705)/('RAP TEMPLATE-GAS AVAILABILITY'!O705+'RAP TEMPLATE-GAS AVAILABILITY'!P705+'RAP TEMPLATE-GAS AVAILABILITY'!Q705+'RAP TEMPLATE-GAS AVAILABILITY'!R705)</f>
        <v>36.475969064748206</v>
      </c>
    </row>
    <row r="707" spans="1:29" ht="15.75" x14ac:dyDescent="0.25">
      <c r="A707" s="32">
        <v>62427</v>
      </c>
      <c r="B707" s="14">
        <f>CHOOSE(CONTROL!$C$42, 37.7038, 37.7038) * CHOOSE(CONTROL!$C$21, $C$9, 100%, $E$9)</f>
        <v>37.703800000000001</v>
      </c>
      <c r="C707" s="14">
        <f>CHOOSE(CONTROL!$C$42, 37.7087, 37.7087) * CHOOSE(CONTROL!$C$21, $C$9, 100%, $E$9)</f>
        <v>37.7087</v>
      </c>
      <c r="D707" s="14">
        <f>CHOOSE(CONTROL!$C$42, 37.7718, 37.7718) * CHOOSE(CONTROL!$C$21, $C$9, 100%, $E$9)</f>
        <v>37.771799999999999</v>
      </c>
      <c r="E707" s="14">
        <f>CHOOSE(CONTROL!$C$42, 37.8056, 37.8056) * CHOOSE(CONTROL!$C$21, $C$9, 100%, $E$9)</f>
        <v>37.805599999999998</v>
      </c>
      <c r="F707" s="14">
        <f>CHOOSE(CONTROL!$C$42, 37.7045, 37.7045)*CHOOSE(CONTROL!$C$21, $C$9, 100%, $E$9)</f>
        <v>37.704500000000003</v>
      </c>
      <c r="G707" s="14">
        <f>CHOOSE(CONTROL!$C$42, 37.7208, 37.7208)*CHOOSE(CONTROL!$C$21, $C$9, 100%, $E$9)</f>
        <v>37.720799999999997</v>
      </c>
      <c r="H707" s="14">
        <f>CHOOSE(CONTROL!$C$42, 37.7948, 37.7948) * CHOOSE(CONTROL!$C$21, $C$9, 100%, $E$9)</f>
        <v>37.794800000000002</v>
      </c>
      <c r="I707" s="14">
        <f>CHOOSE(CONTROL!$C$42, 37.7173, 37.7173)* CHOOSE(CONTROL!$C$21, $C$9, 100%, $E$9)</f>
        <v>37.717300000000002</v>
      </c>
      <c r="J707" s="14">
        <f>CHOOSE(CONTROL!$C$42, 37.6975, 37.6975)* CHOOSE(CONTROL!$C$21, $C$9, 100%, $E$9)</f>
        <v>37.697499999999998</v>
      </c>
      <c r="K707" s="53">
        <f>CHOOSE(CONTROL!$C$42, 37.7134, 37.7134) * CHOOSE(CONTROL!$C$21, $C$9, 100%, $E$9)</f>
        <v>37.7134</v>
      </c>
      <c r="L707" s="14">
        <f>CHOOSE(CONTROL!$C$42, 38.3818, 38.3818) * CHOOSE(CONTROL!$C$21, $C$9, 100%, $E$9)</f>
        <v>38.381799999999998</v>
      </c>
      <c r="M707" s="14">
        <f>CHOOSE(CONTROL!$C$42, 37.3309, 37.3309) * CHOOSE(CONTROL!$C$21, $C$9, 100%, $E$9)</f>
        <v>37.3309</v>
      </c>
      <c r="N707" s="14">
        <f>CHOOSE(CONTROL!$C$42, 37.347, 37.347) * CHOOSE(CONTROL!$C$21, $C$9, 100%, $E$9)</f>
        <v>37.347000000000001</v>
      </c>
      <c r="O707" s="14">
        <f>CHOOSE(CONTROL!$C$42, 37.4272, 37.4272) * CHOOSE(CONTROL!$C$21, $C$9, 100%, $E$9)</f>
        <v>37.427199999999999</v>
      </c>
      <c r="P707" s="14">
        <f>CHOOSE(CONTROL!$C$42, 37.3506, 37.3506) * CHOOSE(CONTROL!$C$21, $C$9, 100%, $E$9)</f>
        <v>37.3506</v>
      </c>
      <c r="Q707" s="14">
        <f>CHOOSE(CONTROL!$C$42, 38.0225, 38.0225) * CHOOSE(CONTROL!$C$21, $C$9, 100%, $E$9)</f>
        <v>38.022500000000001</v>
      </c>
      <c r="R707" s="14">
        <f>CHOOSE(CONTROL!$C$42, 38.7046, 38.7046) * CHOOSE(CONTROL!$C$21, $C$9, 100%, $E$9)</f>
        <v>38.704599999999999</v>
      </c>
      <c r="S707" s="14">
        <f>CHOOSE(CONTROL!$C$42, 36.612, 36.612) * CHOOSE(CONTROL!$C$21, $C$9, 100%, $E$9)</f>
        <v>36.612000000000002</v>
      </c>
      <c r="T70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07" s="57">
        <f>(1000*CHOOSE(CONTROL!$C$42, 695, 695)*CHOOSE(CONTROL!$C$42, 0.5599, 0.5599)*CHOOSE(CONTROL!$C$42, 30, 30))/1000000</f>
        <v>11.673914999999997</v>
      </c>
      <c r="V707" s="57">
        <f>(1000*CHOOSE(CONTROL!$C$42, 500, 500)*CHOOSE(CONTROL!$C$42, 0.275, 0.275)*CHOOSE(CONTROL!$C$42, 30, 30))/1000000</f>
        <v>4.125</v>
      </c>
      <c r="W707" s="57">
        <f>(1000*CHOOSE(CONTROL!$C$42, 0.1146, 0.1146)*CHOOSE(CONTROL!$C$42, 121.5, 121.5)*CHOOSE(CONTROL!$C$42, 30, 30))/1000000</f>
        <v>0.417717</v>
      </c>
      <c r="X707" s="57">
        <f>(30*0.1790888*100000/1000000)+(30*0.2374*100000/1000000)</f>
        <v>1.2494664</v>
      </c>
      <c r="Y707" s="57"/>
      <c r="Z707" s="14"/>
      <c r="AA707" s="56"/>
      <c r="AB707" s="50">
        <f>(B707*122.58+C707*297.941+D707*89.177+E707*40.302+F707*40+G707*160+H707*0+I707*100+J707*300)/(122.58+297.941+89.177+40.302+0+40+160+100+300)</f>
        <v>37.715830165652179</v>
      </c>
      <c r="AC707" s="45">
        <f>(M707*'RAP TEMPLATE-GAS AVAILABILITY'!O706+N707*'RAP TEMPLATE-GAS AVAILABILITY'!P706+O707*'RAP TEMPLATE-GAS AVAILABILITY'!Q706+P707*'RAP TEMPLATE-GAS AVAILABILITY'!R706)/('RAP TEMPLATE-GAS AVAILABILITY'!O706+'RAP TEMPLATE-GAS AVAILABILITY'!P706+'RAP TEMPLATE-GAS AVAILABILITY'!Q706+'RAP TEMPLATE-GAS AVAILABILITY'!R706)</f>
        <v>37.378307913669062</v>
      </c>
    </row>
    <row r="708" spans="1:29" ht="15.75" x14ac:dyDescent="0.25">
      <c r="A708" s="32">
        <v>62458</v>
      </c>
      <c r="B708" s="14">
        <f>CHOOSE(CONTROL!$C$42, 40.2742, 40.2742) * CHOOSE(CONTROL!$C$21, $C$9, 100%, $E$9)</f>
        <v>40.2742</v>
      </c>
      <c r="C708" s="14">
        <f>CHOOSE(CONTROL!$C$42, 40.2792, 40.2792) * CHOOSE(CONTROL!$C$21, $C$9, 100%, $E$9)</f>
        <v>40.279200000000003</v>
      </c>
      <c r="D708" s="14">
        <f>CHOOSE(CONTROL!$C$42, 40.3422, 40.3422) * CHOOSE(CONTROL!$C$21, $C$9, 100%, $E$9)</f>
        <v>40.342199999999998</v>
      </c>
      <c r="E708" s="14">
        <f>CHOOSE(CONTROL!$C$42, 40.376, 40.376) * CHOOSE(CONTROL!$C$21, $C$9, 100%, $E$9)</f>
        <v>40.375999999999998</v>
      </c>
      <c r="F708" s="14">
        <f>CHOOSE(CONTROL!$C$42, 40.2769, 40.2769)*CHOOSE(CONTROL!$C$21, $C$9, 100%, $E$9)</f>
        <v>40.276899999999998</v>
      </c>
      <c r="G708" s="14">
        <f>CHOOSE(CONTROL!$C$42, 40.2938, 40.2938)*CHOOSE(CONTROL!$C$21, $C$9, 100%, $E$9)</f>
        <v>40.293799999999997</v>
      </c>
      <c r="H708" s="14">
        <f>CHOOSE(CONTROL!$C$42, 40.3652, 40.3652) * CHOOSE(CONTROL!$C$21, $C$9, 100%, $E$9)</f>
        <v>40.365200000000002</v>
      </c>
      <c r="I708" s="14">
        <f>CHOOSE(CONTROL!$C$42, 40.2877, 40.2877)* CHOOSE(CONTROL!$C$21, $C$9, 100%, $E$9)</f>
        <v>40.287700000000001</v>
      </c>
      <c r="J708" s="14">
        <f>CHOOSE(CONTROL!$C$42, 40.2699, 40.2699)* CHOOSE(CONTROL!$C$21, $C$9, 100%, $E$9)</f>
        <v>40.2699</v>
      </c>
      <c r="K708" s="53">
        <f>CHOOSE(CONTROL!$C$42, 40.2839, 40.2839) * CHOOSE(CONTROL!$C$21, $C$9, 100%, $E$9)</f>
        <v>40.283900000000003</v>
      </c>
      <c r="L708" s="14">
        <f>CHOOSE(CONTROL!$C$42, 40.9522, 40.9522) * CHOOSE(CONTROL!$C$21, $C$9, 100%, $E$9)</f>
        <v>40.952199999999998</v>
      </c>
      <c r="M708" s="14">
        <f>CHOOSE(CONTROL!$C$42, 39.8774, 39.8774) * CHOOSE(CONTROL!$C$21, $C$9, 100%, $E$9)</f>
        <v>39.877400000000002</v>
      </c>
      <c r="N708" s="14">
        <f>CHOOSE(CONTROL!$C$42, 39.894, 39.894) * CHOOSE(CONTROL!$C$21, $C$9, 100%, $E$9)</f>
        <v>39.893999999999998</v>
      </c>
      <c r="O708" s="14">
        <f>CHOOSE(CONTROL!$C$42, 39.9717, 39.9717) * CHOOSE(CONTROL!$C$21, $C$9, 100%, $E$9)</f>
        <v>39.971699999999998</v>
      </c>
      <c r="P708" s="14">
        <f>CHOOSE(CONTROL!$C$42, 39.895, 39.895) * CHOOSE(CONTROL!$C$21, $C$9, 100%, $E$9)</f>
        <v>39.895000000000003</v>
      </c>
      <c r="Q708" s="14">
        <f>CHOOSE(CONTROL!$C$42, 40.567, 40.567) * CHOOSE(CONTROL!$C$21, $C$9, 100%, $E$9)</f>
        <v>40.567</v>
      </c>
      <c r="R708" s="14">
        <f>CHOOSE(CONTROL!$C$42, 41.2554, 41.2554) * CHOOSE(CONTROL!$C$21, $C$9, 100%, $E$9)</f>
        <v>41.255400000000002</v>
      </c>
      <c r="S708" s="14">
        <f>CHOOSE(CONTROL!$C$42, 39.1081, 39.1081) * CHOOSE(CONTROL!$C$21, $C$9, 100%, $E$9)</f>
        <v>39.1081</v>
      </c>
      <c r="T70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08" s="57">
        <f>(1000*CHOOSE(CONTROL!$C$42, 695, 695)*CHOOSE(CONTROL!$C$42, 0.5599, 0.5599)*CHOOSE(CONTROL!$C$42, 31, 31))/1000000</f>
        <v>12.063045499999998</v>
      </c>
      <c r="V708" s="57">
        <f>(1000*CHOOSE(CONTROL!$C$42, 500, 500)*CHOOSE(CONTROL!$C$42, 0.275, 0.275)*CHOOSE(CONTROL!$C$42, 31, 31))/1000000</f>
        <v>4.2625000000000002</v>
      </c>
      <c r="W708" s="57">
        <f>(1000*CHOOSE(CONTROL!$C$42, 0.1146, 0.1146)*CHOOSE(CONTROL!$C$42, 121.5, 121.5)*CHOOSE(CONTROL!$C$42, 31, 31))/1000000</f>
        <v>0.43164089999999994</v>
      </c>
      <c r="X708" s="57">
        <f>(31*0.1790888*100000/1000000)+(31*0.2374*100000/1000000)</f>
        <v>1.2911152800000001</v>
      </c>
      <c r="Y708" s="57"/>
      <c r="Z708" s="14"/>
      <c r="AA708" s="56"/>
      <c r="AB708" s="50">
        <f>(B708*122.58+C708*297.941+D708*89.177+E708*40.302+F708*40+G708*160+H708*0+I708*100+J708*300)/(122.58+297.941+89.177+40.302+0+40+160+100+300)</f>
        <v>40.287209117043481</v>
      </c>
      <c r="AC708" s="45">
        <f>(M708*'RAP TEMPLATE-GAS AVAILABILITY'!O707+N708*'RAP TEMPLATE-GAS AVAILABILITY'!P707+O708*'RAP TEMPLATE-GAS AVAILABILITY'!Q707+P708*'RAP TEMPLATE-GAS AVAILABILITY'!R707)/('RAP TEMPLATE-GAS AVAILABILITY'!O707+'RAP TEMPLATE-GAS AVAILABILITY'!P707+'RAP TEMPLATE-GAS AVAILABILITY'!Q707+'RAP TEMPLATE-GAS AVAILABILITY'!R707)</f>
        <v>39.923628057553955</v>
      </c>
    </row>
    <row r="709" spans="1:29" ht="15.75" x14ac:dyDescent="0.25">
      <c r="A709" s="32">
        <v>62489</v>
      </c>
      <c r="B709" s="14">
        <f>CHOOSE(CONTROL!$C$42, 43.5739, 43.5739) * CHOOSE(CONTROL!$C$21, $C$9, 100%, $E$9)</f>
        <v>43.573900000000002</v>
      </c>
      <c r="C709" s="14">
        <f>CHOOSE(CONTROL!$C$42, 43.5789, 43.5789) * CHOOSE(CONTROL!$C$21, $C$9, 100%, $E$9)</f>
        <v>43.578899999999997</v>
      </c>
      <c r="D709" s="14">
        <f>CHOOSE(CONTROL!$C$42, 43.6431, 43.6431) * CHOOSE(CONTROL!$C$21, $C$9, 100%, $E$9)</f>
        <v>43.643099999999997</v>
      </c>
      <c r="E709" s="14">
        <f>CHOOSE(CONTROL!$C$42, 43.6769, 43.6769) * CHOOSE(CONTROL!$C$21, $C$9, 100%, $E$9)</f>
        <v>43.676900000000003</v>
      </c>
      <c r="F709" s="14">
        <f>CHOOSE(CONTROL!$C$42, 43.5754, 43.5754)*CHOOSE(CONTROL!$C$21, $C$9, 100%, $E$9)</f>
        <v>43.575400000000002</v>
      </c>
      <c r="G709" s="14">
        <f>CHOOSE(CONTROL!$C$42, 43.5913, 43.5913)*CHOOSE(CONTROL!$C$21, $C$9, 100%, $E$9)</f>
        <v>43.591299999999997</v>
      </c>
      <c r="H709" s="14">
        <f>CHOOSE(CONTROL!$C$42, 43.6661, 43.6661) * CHOOSE(CONTROL!$C$21, $C$9, 100%, $E$9)</f>
        <v>43.6661</v>
      </c>
      <c r="I709" s="14">
        <f>CHOOSE(CONTROL!$C$42, 43.5939, 43.5939)* CHOOSE(CONTROL!$C$21, $C$9, 100%, $E$9)</f>
        <v>43.593899999999998</v>
      </c>
      <c r="J709" s="14">
        <f>CHOOSE(CONTROL!$C$42, 43.5684, 43.5684)* CHOOSE(CONTROL!$C$21, $C$9, 100%, $E$9)</f>
        <v>43.568399999999997</v>
      </c>
      <c r="K709" s="53">
        <f>CHOOSE(CONTROL!$C$42, 43.59, 43.59) * CHOOSE(CONTROL!$C$21, $C$9, 100%, $E$9)</f>
        <v>43.59</v>
      </c>
      <c r="L709" s="14">
        <f>CHOOSE(CONTROL!$C$42, 44.2531, 44.2531) * CHOOSE(CONTROL!$C$21, $C$9, 100%, $E$9)</f>
        <v>44.253100000000003</v>
      </c>
      <c r="M709" s="14">
        <f>CHOOSE(CONTROL!$C$42, 43.1426, 43.1426) * CHOOSE(CONTROL!$C$21, $C$9, 100%, $E$9)</f>
        <v>43.142600000000002</v>
      </c>
      <c r="N709" s="14">
        <f>CHOOSE(CONTROL!$C$42, 43.1583, 43.1583) * CHOOSE(CONTROL!$C$21, $C$9, 100%, $E$9)</f>
        <v>43.158299999999997</v>
      </c>
      <c r="O709" s="14">
        <f>CHOOSE(CONTROL!$C$42, 43.2393, 43.2393) * CHOOSE(CONTROL!$C$21, $C$9, 100%, $E$9)</f>
        <v>43.2393</v>
      </c>
      <c r="P709" s="14">
        <f>CHOOSE(CONTROL!$C$42, 43.1678, 43.1678) * CHOOSE(CONTROL!$C$21, $C$9, 100%, $E$9)</f>
        <v>43.1678</v>
      </c>
      <c r="Q709" s="14">
        <f>CHOOSE(CONTROL!$C$42, 43.8346, 43.8346) * CHOOSE(CONTROL!$C$21, $C$9, 100%, $E$9)</f>
        <v>43.834600000000002</v>
      </c>
      <c r="R709" s="14">
        <f>CHOOSE(CONTROL!$C$42, 44.5312, 44.5312) * CHOOSE(CONTROL!$C$21, $C$9, 100%, $E$9)</f>
        <v>44.531199999999998</v>
      </c>
      <c r="S709" s="14">
        <f>CHOOSE(CONTROL!$C$42, 42.3125, 42.3125) * CHOOSE(CONTROL!$C$21, $C$9, 100%, $E$9)</f>
        <v>42.3125</v>
      </c>
      <c r="T70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09" s="57">
        <f>(1000*CHOOSE(CONTROL!$C$42, 695, 695)*CHOOSE(CONTROL!$C$42, 0.5599, 0.5599)*CHOOSE(CONTROL!$C$42, 31, 31))/1000000</f>
        <v>12.063045499999998</v>
      </c>
      <c r="V709" s="57">
        <f>(1000*CHOOSE(CONTROL!$C$42, 500, 500)*CHOOSE(CONTROL!$C$42, 0.275, 0.275)*CHOOSE(CONTROL!$C$42, 31, 31))/1000000</f>
        <v>4.2625000000000002</v>
      </c>
      <c r="W709" s="57">
        <f>(1000*CHOOSE(CONTROL!$C$42, 0.1146, 0.1146)*CHOOSE(CONTROL!$C$42, 121.5, 121.5)*CHOOSE(CONTROL!$C$42, 31, 31))/1000000</f>
        <v>0.43164089999999994</v>
      </c>
      <c r="X709" s="57">
        <f>(31*0.1790888*100000/1000000)+(31*0.2374*100000/1000000)</f>
        <v>1.2911152800000001</v>
      </c>
      <c r="Y709" s="57"/>
      <c r="Z709" s="14"/>
      <c r="AA709" s="56"/>
      <c r="AB709" s="50">
        <f>(B709*122.58+C709*297.941+D709*89.177+E709*40.302+F709*40+G709*160+H709*0+I709*100+J709*300)/(122.58+297.941+89.177+40.302+0+40+160+100+300)</f>
        <v>43.586948573391297</v>
      </c>
      <c r="AC709" s="45">
        <f>(M709*'RAP TEMPLATE-GAS AVAILABILITY'!O708+N709*'RAP TEMPLATE-GAS AVAILABILITY'!P708+O709*'RAP TEMPLATE-GAS AVAILABILITY'!Q708+P709*'RAP TEMPLATE-GAS AVAILABILITY'!R708)/('RAP TEMPLATE-GAS AVAILABILITY'!O708+'RAP TEMPLATE-GAS AVAILABILITY'!P708+'RAP TEMPLATE-GAS AVAILABILITY'!Q708+'RAP TEMPLATE-GAS AVAILABILITY'!R708)</f>
        <v>43.190957553956835</v>
      </c>
    </row>
    <row r="710" spans="1:29" ht="15.75" x14ac:dyDescent="0.25">
      <c r="A710" s="32">
        <v>62517</v>
      </c>
      <c r="B710" s="14">
        <f>CHOOSE(CONTROL!$C$42, 44.3495, 44.3495) * CHOOSE(CONTROL!$C$21, $C$9, 100%, $E$9)</f>
        <v>44.349499999999999</v>
      </c>
      <c r="C710" s="14">
        <f>CHOOSE(CONTROL!$C$42, 44.3545, 44.3545) * CHOOSE(CONTROL!$C$21, $C$9, 100%, $E$9)</f>
        <v>44.354500000000002</v>
      </c>
      <c r="D710" s="14">
        <f>CHOOSE(CONTROL!$C$42, 44.4188, 44.4188) * CHOOSE(CONTROL!$C$21, $C$9, 100%, $E$9)</f>
        <v>44.418799999999997</v>
      </c>
      <c r="E710" s="14">
        <f>CHOOSE(CONTROL!$C$42, 44.4525, 44.4525) * CHOOSE(CONTROL!$C$21, $C$9, 100%, $E$9)</f>
        <v>44.452500000000001</v>
      </c>
      <c r="F710" s="14">
        <f>CHOOSE(CONTROL!$C$42, 44.3511, 44.3511)*CHOOSE(CONTROL!$C$21, $C$9, 100%, $E$9)</f>
        <v>44.351100000000002</v>
      </c>
      <c r="G710" s="14">
        <f>CHOOSE(CONTROL!$C$42, 44.367, 44.367)*CHOOSE(CONTROL!$C$21, $C$9, 100%, $E$9)</f>
        <v>44.366999999999997</v>
      </c>
      <c r="H710" s="14">
        <f>CHOOSE(CONTROL!$C$42, 44.4417, 44.4417) * CHOOSE(CONTROL!$C$21, $C$9, 100%, $E$9)</f>
        <v>44.441699999999997</v>
      </c>
      <c r="I710" s="14">
        <f>CHOOSE(CONTROL!$C$42, 44.3695, 44.3695)* CHOOSE(CONTROL!$C$21, $C$9, 100%, $E$9)</f>
        <v>44.369500000000002</v>
      </c>
      <c r="J710" s="14">
        <f>CHOOSE(CONTROL!$C$42, 44.3441, 44.3441)* CHOOSE(CONTROL!$C$21, $C$9, 100%, $E$9)</f>
        <v>44.344099999999997</v>
      </c>
      <c r="K710" s="53">
        <f>CHOOSE(CONTROL!$C$42, 44.3656, 44.3656) * CHOOSE(CONTROL!$C$21, $C$9, 100%, $E$9)</f>
        <v>44.365600000000001</v>
      </c>
      <c r="L710" s="14">
        <f>CHOOSE(CONTROL!$C$42, 45.0287, 45.0287) * CHOOSE(CONTROL!$C$21, $C$9, 100%, $E$9)</f>
        <v>45.028700000000001</v>
      </c>
      <c r="M710" s="14">
        <f>CHOOSE(CONTROL!$C$42, 43.9104, 43.9104) * CHOOSE(CONTROL!$C$21, $C$9, 100%, $E$9)</f>
        <v>43.910400000000003</v>
      </c>
      <c r="N710" s="14">
        <f>CHOOSE(CONTROL!$C$42, 43.9262, 43.9262) * CHOOSE(CONTROL!$C$21, $C$9, 100%, $E$9)</f>
        <v>43.926200000000001</v>
      </c>
      <c r="O710" s="14">
        <f>CHOOSE(CONTROL!$C$42, 44.0071, 44.0071) * CHOOSE(CONTROL!$C$21, $C$9, 100%, $E$9)</f>
        <v>44.007100000000001</v>
      </c>
      <c r="P710" s="14">
        <f>CHOOSE(CONTROL!$C$42, 43.9356, 43.9356) * CHOOSE(CONTROL!$C$21, $C$9, 100%, $E$9)</f>
        <v>43.935600000000001</v>
      </c>
      <c r="Q710" s="14">
        <f>CHOOSE(CONTROL!$C$42, 44.6024, 44.6024) * CHOOSE(CONTROL!$C$21, $C$9, 100%, $E$9)</f>
        <v>44.602400000000003</v>
      </c>
      <c r="R710" s="14">
        <f>CHOOSE(CONTROL!$C$42, 45.3009, 45.3009) * CHOOSE(CONTROL!$C$21, $C$9, 100%, $E$9)</f>
        <v>45.300899999999999</v>
      </c>
      <c r="S710" s="14">
        <f>CHOOSE(CONTROL!$C$42, 43.0657, 43.0657) * CHOOSE(CONTROL!$C$21, $C$9, 100%, $E$9)</f>
        <v>43.0657</v>
      </c>
      <c r="T71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10" s="57">
        <f>(1000*CHOOSE(CONTROL!$C$42, 695, 695)*CHOOSE(CONTROL!$C$42, 0.5599, 0.5599)*CHOOSE(CONTROL!$C$42, 28, 28))/1000000</f>
        <v>10.895653999999999</v>
      </c>
      <c r="V710" s="57">
        <f>(1000*CHOOSE(CONTROL!$C$42, 500, 500)*CHOOSE(CONTROL!$C$42, 0.275, 0.275)*CHOOSE(CONTROL!$C$42, 28, 28))/1000000</f>
        <v>3.85</v>
      </c>
      <c r="W710" s="57">
        <f>(1000*CHOOSE(CONTROL!$C$42, 0.1146, 0.1146)*CHOOSE(CONTROL!$C$42, 121.5, 121.5)*CHOOSE(CONTROL!$C$42, 28, 28))/1000000</f>
        <v>0.38986920000000003</v>
      </c>
      <c r="X710" s="57">
        <f>(28*0.1790888*100000/1000000)+(28*0.2374*100000/1000000)</f>
        <v>1.16616864</v>
      </c>
      <c r="Y710" s="57"/>
      <c r="Z710" s="14"/>
      <c r="AA710" s="56"/>
      <c r="AB710" s="50">
        <f>(B710*122.58+C710*297.941+D710*89.177+E710*40.302+F710*40+G710*160+H710*0+I710*100+J710*300)/(122.58+297.941+89.177+40.302+0+40+160+100+300)</f>
        <v>44.362599806173911</v>
      </c>
      <c r="AC710" s="45">
        <f>(M710*'RAP TEMPLATE-GAS AVAILABILITY'!O709+N710*'RAP TEMPLATE-GAS AVAILABILITY'!P709+O710*'RAP TEMPLATE-GAS AVAILABILITY'!Q709+P710*'RAP TEMPLATE-GAS AVAILABILITY'!R709)/('RAP TEMPLATE-GAS AVAILABILITY'!O709+'RAP TEMPLATE-GAS AVAILABILITY'!P709+'RAP TEMPLATE-GAS AVAILABILITY'!Q709+'RAP TEMPLATE-GAS AVAILABILITY'!R709)</f>
        <v>43.95876330935252</v>
      </c>
    </row>
    <row r="711" spans="1:29" ht="15.75" x14ac:dyDescent="0.25">
      <c r="A711" s="32">
        <v>62548</v>
      </c>
      <c r="B711" s="14">
        <f>CHOOSE(CONTROL!$C$42, 43.0905, 43.0905) * CHOOSE(CONTROL!$C$21, $C$9, 100%, $E$9)</f>
        <v>43.090499999999999</v>
      </c>
      <c r="C711" s="14">
        <f>CHOOSE(CONTROL!$C$42, 43.0955, 43.0955) * CHOOSE(CONTROL!$C$21, $C$9, 100%, $E$9)</f>
        <v>43.095500000000001</v>
      </c>
      <c r="D711" s="14">
        <f>CHOOSE(CONTROL!$C$42, 43.1597, 43.1597) * CHOOSE(CONTROL!$C$21, $C$9, 100%, $E$9)</f>
        <v>43.159700000000001</v>
      </c>
      <c r="E711" s="14">
        <f>CHOOSE(CONTROL!$C$42, 43.1935, 43.1935) * CHOOSE(CONTROL!$C$21, $C$9, 100%, $E$9)</f>
        <v>43.1935</v>
      </c>
      <c r="F711" s="14">
        <f>CHOOSE(CONTROL!$C$42, 43.0917, 43.0917)*CHOOSE(CONTROL!$C$21, $C$9, 100%, $E$9)</f>
        <v>43.091700000000003</v>
      </c>
      <c r="G711" s="14">
        <f>CHOOSE(CONTROL!$C$42, 43.1076, 43.1076)*CHOOSE(CONTROL!$C$21, $C$9, 100%, $E$9)</f>
        <v>43.107599999999998</v>
      </c>
      <c r="H711" s="14">
        <f>CHOOSE(CONTROL!$C$42, 43.1827, 43.1827) * CHOOSE(CONTROL!$C$21, $C$9, 100%, $E$9)</f>
        <v>43.182699999999997</v>
      </c>
      <c r="I711" s="14">
        <f>CHOOSE(CONTROL!$C$42, 43.1105, 43.1105)* CHOOSE(CONTROL!$C$21, $C$9, 100%, $E$9)</f>
        <v>43.110500000000002</v>
      </c>
      <c r="J711" s="14">
        <f>CHOOSE(CONTROL!$C$42, 43.0847, 43.0847)* CHOOSE(CONTROL!$C$21, $C$9, 100%, $E$9)</f>
        <v>43.084699999999998</v>
      </c>
      <c r="K711" s="53">
        <f>CHOOSE(CONTROL!$C$42, 43.1066, 43.1066) * CHOOSE(CONTROL!$C$21, $C$9, 100%, $E$9)</f>
        <v>43.1066</v>
      </c>
      <c r="L711" s="14">
        <f>CHOOSE(CONTROL!$C$42, 43.7697, 43.7697) * CHOOSE(CONTROL!$C$21, $C$9, 100%, $E$9)</f>
        <v>43.7697</v>
      </c>
      <c r="M711" s="14">
        <f>CHOOSE(CONTROL!$C$42, 42.6638, 42.6638) * CHOOSE(CONTROL!$C$21, $C$9, 100%, $E$9)</f>
        <v>42.663800000000002</v>
      </c>
      <c r="N711" s="14">
        <f>CHOOSE(CONTROL!$C$42, 42.6795, 42.6795) * CHOOSE(CONTROL!$C$21, $C$9, 100%, $E$9)</f>
        <v>42.679499999999997</v>
      </c>
      <c r="O711" s="14">
        <f>CHOOSE(CONTROL!$C$42, 42.7607, 42.7607) * CHOOSE(CONTROL!$C$21, $C$9, 100%, $E$9)</f>
        <v>42.7607</v>
      </c>
      <c r="P711" s="14">
        <f>CHOOSE(CONTROL!$C$42, 42.6893, 42.6893) * CHOOSE(CONTROL!$C$21, $C$9, 100%, $E$9)</f>
        <v>42.689300000000003</v>
      </c>
      <c r="Q711" s="14">
        <f>CHOOSE(CONTROL!$C$42, 43.356, 43.356) * CHOOSE(CONTROL!$C$21, $C$9, 100%, $E$9)</f>
        <v>43.356000000000002</v>
      </c>
      <c r="R711" s="14">
        <f>CHOOSE(CONTROL!$C$42, 44.0514, 44.0514) * CHOOSE(CONTROL!$C$21, $C$9, 100%, $E$9)</f>
        <v>44.051400000000001</v>
      </c>
      <c r="S711" s="14">
        <f>CHOOSE(CONTROL!$C$42, 41.843, 41.843) * CHOOSE(CONTROL!$C$21, $C$9, 100%, $E$9)</f>
        <v>41.843000000000004</v>
      </c>
      <c r="T71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11" s="57">
        <f>(1000*CHOOSE(CONTROL!$C$42, 695, 695)*CHOOSE(CONTROL!$C$42, 0.5599, 0.5599)*CHOOSE(CONTROL!$C$42, 31, 31))/1000000</f>
        <v>12.063045499999998</v>
      </c>
      <c r="V711" s="57">
        <f>(1000*CHOOSE(CONTROL!$C$42, 500, 500)*CHOOSE(CONTROL!$C$42, 0.275, 0.275)*CHOOSE(CONTROL!$C$42, 31, 31))/1000000</f>
        <v>4.2625000000000002</v>
      </c>
      <c r="W711" s="57">
        <f>(1000*CHOOSE(CONTROL!$C$42, 0.1146, 0.1146)*CHOOSE(CONTROL!$C$42, 121.5, 121.5)*CHOOSE(CONTROL!$C$42, 31, 31))/1000000</f>
        <v>0.43164089999999994</v>
      </c>
      <c r="X711" s="57">
        <f>(31*0.1790888*100000/1000000)+(31*0.2374*100000/1000000)</f>
        <v>1.2911152800000001</v>
      </c>
      <c r="Y711" s="57"/>
      <c r="Z711" s="14"/>
      <c r="AA711" s="56"/>
      <c r="AB711" s="50">
        <f>(B711*122.58+C711*297.941+D711*89.177+E711*40.302+F711*40+G711*160+H711*0+I711*100+J711*300)/(122.58+297.941+89.177+40.302+0+40+160+100+300)</f>
        <v>43.103418138608696</v>
      </c>
      <c r="AC711" s="45">
        <f>(M711*'RAP TEMPLATE-GAS AVAILABILITY'!O710+N711*'RAP TEMPLATE-GAS AVAILABILITY'!P710+O711*'RAP TEMPLATE-GAS AVAILABILITY'!Q710+P711*'RAP TEMPLATE-GAS AVAILABILITY'!R710)/('RAP TEMPLATE-GAS AVAILABILITY'!O710+'RAP TEMPLATE-GAS AVAILABILITY'!P710+'RAP TEMPLATE-GAS AVAILABILITY'!Q710+'RAP TEMPLATE-GAS AVAILABILITY'!R710)</f>
        <v>42.712291366906477</v>
      </c>
    </row>
    <row r="712" spans="1:29" ht="15.75" x14ac:dyDescent="0.25">
      <c r="A712" s="32">
        <v>62578</v>
      </c>
      <c r="B712" s="14">
        <f>CHOOSE(CONTROL!$C$42, 42.9627, 42.9627) * CHOOSE(CONTROL!$C$21, $C$9, 100%, $E$9)</f>
        <v>42.962699999999998</v>
      </c>
      <c r="C712" s="14">
        <f>CHOOSE(CONTROL!$C$42, 42.967, 42.967) * CHOOSE(CONTROL!$C$21, $C$9, 100%, $E$9)</f>
        <v>42.966999999999999</v>
      </c>
      <c r="D712" s="14">
        <f>CHOOSE(CONTROL!$C$42, 43.1678, 43.1678) * CHOOSE(CONTROL!$C$21, $C$9, 100%, $E$9)</f>
        <v>43.1678</v>
      </c>
      <c r="E712" s="14">
        <f>CHOOSE(CONTROL!$C$42, 43.1995, 43.1995) * CHOOSE(CONTROL!$C$21, $C$9, 100%, $E$9)</f>
        <v>43.1995</v>
      </c>
      <c r="F712" s="14">
        <f>CHOOSE(CONTROL!$C$42, 42.9472, 42.9472)*CHOOSE(CONTROL!$C$21, $C$9, 100%, $E$9)</f>
        <v>42.947200000000002</v>
      </c>
      <c r="G712" s="14">
        <f>CHOOSE(CONTROL!$C$42, 42.9629, 42.9629)*CHOOSE(CONTROL!$C$21, $C$9, 100%, $E$9)</f>
        <v>42.962899999999998</v>
      </c>
      <c r="H712" s="14">
        <f>CHOOSE(CONTROL!$C$42, 43.1893, 43.1893) * CHOOSE(CONTROL!$C$21, $C$9, 100%, $E$9)</f>
        <v>43.189300000000003</v>
      </c>
      <c r="I712" s="14">
        <f>CHOOSE(CONTROL!$C$42, 42.9754, 42.9754)* CHOOSE(CONTROL!$C$21, $C$9, 100%, $E$9)</f>
        <v>42.9754</v>
      </c>
      <c r="J712" s="14">
        <f>CHOOSE(CONTROL!$C$42, 42.9402, 42.9402)* CHOOSE(CONTROL!$C$21, $C$9, 100%, $E$9)</f>
        <v>42.940199999999997</v>
      </c>
      <c r="K712" s="53">
        <f>CHOOSE(CONTROL!$C$42, 42.9715, 42.9715) * CHOOSE(CONTROL!$C$21, $C$9, 100%, $E$9)</f>
        <v>42.971499999999999</v>
      </c>
      <c r="L712" s="14">
        <f>CHOOSE(CONTROL!$C$42, 43.7763, 43.7763) * CHOOSE(CONTROL!$C$21, $C$9, 100%, $E$9)</f>
        <v>43.776299999999999</v>
      </c>
      <c r="M712" s="14">
        <f>CHOOSE(CONTROL!$C$42, 42.5207, 42.5207) * CHOOSE(CONTROL!$C$21, $C$9, 100%, $E$9)</f>
        <v>42.520699999999998</v>
      </c>
      <c r="N712" s="14">
        <f>CHOOSE(CONTROL!$C$42, 42.5362, 42.5362) * CHOOSE(CONTROL!$C$21, $C$9, 100%, $E$9)</f>
        <v>42.536200000000001</v>
      </c>
      <c r="O712" s="14">
        <f>CHOOSE(CONTROL!$C$42, 42.7673, 42.7673) * CHOOSE(CONTROL!$C$21, $C$9, 100%, $E$9)</f>
        <v>42.767299999999999</v>
      </c>
      <c r="P712" s="14">
        <f>CHOOSE(CONTROL!$C$42, 42.5556, 42.5556) * CHOOSE(CONTROL!$C$21, $C$9, 100%, $E$9)</f>
        <v>42.555599999999998</v>
      </c>
      <c r="Q712" s="14">
        <f>CHOOSE(CONTROL!$C$42, 43.3626, 43.3626) * CHOOSE(CONTROL!$C$21, $C$9, 100%, $E$9)</f>
        <v>43.3626</v>
      </c>
      <c r="R712" s="14">
        <f>CHOOSE(CONTROL!$C$42, 44.058, 44.058) * CHOOSE(CONTROL!$C$21, $C$9, 100%, $E$9)</f>
        <v>44.058</v>
      </c>
      <c r="S712" s="14">
        <f>CHOOSE(CONTROL!$C$42, 41.7181, 41.7181) * CHOOSE(CONTROL!$C$21, $C$9, 100%, $E$9)</f>
        <v>41.7181</v>
      </c>
      <c r="T71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12" s="57">
        <f>(1000*CHOOSE(CONTROL!$C$42, 695, 695)*CHOOSE(CONTROL!$C$42, 0.5599, 0.5599)*CHOOSE(CONTROL!$C$42, 30, 30))/1000000</f>
        <v>11.673914999999997</v>
      </c>
      <c r="V712" s="57">
        <f>(1000*CHOOSE(CONTROL!$C$42, 500, 500)*CHOOSE(CONTROL!$C$42, 0.275, 0.275)*CHOOSE(CONTROL!$C$42, 30, 30))/1000000</f>
        <v>4.125</v>
      </c>
      <c r="W712" s="57">
        <f>(1000*CHOOSE(CONTROL!$C$42, 0.1146, 0.1146)*CHOOSE(CONTROL!$C$42, 121.5, 121.5)*CHOOSE(CONTROL!$C$42, 30, 30))/1000000</f>
        <v>0.417717</v>
      </c>
      <c r="X712" s="57">
        <f>(30*0.1790888*245000/1000000)+(30*0.2374*100000/1000000)</f>
        <v>2.0285026799999999</v>
      </c>
      <c r="Y712" s="57"/>
      <c r="Z712" s="14"/>
      <c r="AA712" s="56"/>
      <c r="AB712" s="50">
        <f>(B712*141.293+C712*267.993+D712*115.016+E712*89.698+F712*40+G712*185+H712*0+I712*100+J712*300)/(141.293+267.993+115.016+89.698+0+40+185+100+300)</f>
        <v>42.994919239628729</v>
      </c>
      <c r="AC712" s="45">
        <f>(M712*'RAP TEMPLATE-GAS AVAILABILITY'!O711+N712*'RAP TEMPLATE-GAS AVAILABILITY'!P711+O712*'RAP TEMPLATE-GAS AVAILABILITY'!Q711+P712*'RAP TEMPLATE-GAS AVAILABILITY'!R711)/('RAP TEMPLATE-GAS AVAILABILITY'!O711+'RAP TEMPLATE-GAS AVAILABILITY'!P711+'RAP TEMPLATE-GAS AVAILABILITY'!Q711+'RAP TEMPLATE-GAS AVAILABILITY'!R711)</f>
        <v>42.638382014388483</v>
      </c>
    </row>
    <row r="713" spans="1:29" ht="15.75" x14ac:dyDescent="0.25">
      <c r="A713" s="32">
        <v>62609</v>
      </c>
      <c r="B713" s="14">
        <f>CHOOSE(CONTROL!$C$42, 43.3432, 43.3432) * CHOOSE(CONTROL!$C$21, $C$9, 100%, $E$9)</f>
        <v>43.343200000000003</v>
      </c>
      <c r="C713" s="14">
        <f>CHOOSE(CONTROL!$C$42, 43.3511, 43.3511) * CHOOSE(CONTROL!$C$21, $C$9, 100%, $E$9)</f>
        <v>43.351100000000002</v>
      </c>
      <c r="D713" s="14">
        <f>CHOOSE(CONTROL!$C$42, 43.5487, 43.5487) * CHOOSE(CONTROL!$C$21, $C$9, 100%, $E$9)</f>
        <v>43.548699999999997</v>
      </c>
      <c r="E713" s="14">
        <f>CHOOSE(CONTROL!$C$42, 43.5798, 43.5798) * CHOOSE(CONTROL!$C$21, $C$9, 100%, $E$9)</f>
        <v>43.579799999999999</v>
      </c>
      <c r="F713" s="14">
        <f>CHOOSE(CONTROL!$C$42, 43.3266, 43.3266)*CHOOSE(CONTROL!$C$21, $C$9, 100%, $E$9)</f>
        <v>43.326599999999999</v>
      </c>
      <c r="G713" s="14">
        <f>CHOOSE(CONTROL!$C$42, 43.3427, 43.3427)*CHOOSE(CONTROL!$C$21, $C$9, 100%, $E$9)</f>
        <v>43.342700000000001</v>
      </c>
      <c r="H713" s="14">
        <f>CHOOSE(CONTROL!$C$42, 43.5685, 43.5685) * CHOOSE(CONTROL!$C$21, $C$9, 100%, $E$9)</f>
        <v>43.5685</v>
      </c>
      <c r="I713" s="14">
        <f>CHOOSE(CONTROL!$C$42, 43.3546, 43.3546)* CHOOSE(CONTROL!$C$21, $C$9, 100%, $E$9)</f>
        <v>43.354599999999998</v>
      </c>
      <c r="J713" s="14">
        <f>CHOOSE(CONTROL!$C$42, 43.3196, 43.3196)* CHOOSE(CONTROL!$C$21, $C$9, 100%, $E$9)</f>
        <v>43.319600000000001</v>
      </c>
      <c r="K713" s="53">
        <f>CHOOSE(CONTROL!$C$42, 43.3507, 43.3507) * CHOOSE(CONTROL!$C$21, $C$9, 100%, $E$9)</f>
        <v>43.350700000000003</v>
      </c>
      <c r="L713" s="14">
        <f>CHOOSE(CONTROL!$C$42, 44.1555, 44.1555) * CHOOSE(CONTROL!$C$21, $C$9, 100%, $E$9)</f>
        <v>44.155500000000004</v>
      </c>
      <c r="M713" s="14">
        <f>CHOOSE(CONTROL!$C$42, 42.8963, 42.8963) * CHOOSE(CONTROL!$C$21, $C$9, 100%, $E$9)</f>
        <v>42.896299999999997</v>
      </c>
      <c r="N713" s="14">
        <f>CHOOSE(CONTROL!$C$42, 42.9122, 42.9122) * CHOOSE(CONTROL!$C$21, $C$9, 100%, $E$9)</f>
        <v>42.912199999999999</v>
      </c>
      <c r="O713" s="14">
        <f>CHOOSE(CONTROL!$C$42, 43.1426, 43.1426) * CHOOSE(CONTROL!$C$21, $C$9, 100%, $E$9)</f>
        <v>43.142600000000002</v>
      </c>
      <c r="P713" s="14">
        <f>CHOOSE(CONTROL!$C$42, 42.9309, 42.9309) * CHOOSE(CONTROL!$C$21, $C$9, 100%, $E$9)</f>
        <v>42.930900000000001</v>
      </c>
      <c r="Q713" s="14">
        <f>CHOOSE(CONTROL!$C$42, 43.7379, 43.7379) * CHOOSE(CONTROL!$C$21, $C$9, 100%, $E$9)</f>
        <v>43.737900000000003</v>
      </c>
      <c r="R713" s="14">
        <f>CHOOSE(CONTROL!$C$42, 44.4343, 44.4343) * CHOOSE(CONTROL!$C$21, $C$9, 100%, $E$9)</f>
        <v>44.4343</v>
      </c>
      <c r="S713" s="14">
        <f>CHOOSE(CONTROL!$C$42, 42.0863, 42.0863) * CHOOSE(CONTROL!$C$21, $C$9, 100%, $E$9)</f>
        <v>42.086300000000001</v>
      </c>
      <c r="T71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13" s="57">
        <f>(1000*CHOOSE(CONTROL!$C$42, 695, 695)*CHOOSE(CONTROL!$C$42, 0.5599, 0.5599)*CHOOSE(CONTROL!$C$42, 31, 31))/1000000</f>
        <v>12.063045499999998</v>
      </c>
      <c r="V713" s="57">
        <f>(1000*CHOOSE(CONTROL!$C$42, 500, 500)*CHOOSE(CONTROL!$C$42, 0.275, 0.275)*CHOOSE(CONTROL!$C$42, 31, 31))/1000000</f>
        <v>4.2625000000000002</v>
      </c>
      <c r="W713" s="57">
        <f>(1000*CHOOSE(CONTROL!$C$42, 0.1146, 0.1146)*CHOOSE(CONTROL!$C$42, 121.5, 121.5)*CHOOSE(CONTROL!$C$42, 31, 31))/1000000</f>
        <v>0.43164089999999994</v>
      </c>
      <c r="X713" s="57">
        <f>(31*0.1790888*245000/1000000)+(31*0.2374*100000/1000000)</f>
        <v>2.0961194359999999</v>
      </c>
      <c r="Y713" s="57"/>
      <c r="Z713" s="14"/>
      <c r="AA713" s="56"/>
      <c r="AB713" s="50">
        <f>(B713*194.205+C713*267.466+D713*133.845+E713*53.484+F713*40+G713*185+H713*0+I713*100+J713*300)/(194.205+267.466+133.845+53.484+0+40+185+100+300)</f>
        <v>43.371124602276296</v>
      </c>
      <c r="AC713" s="45">
        <f>(M713*'RAP TEMPLATE-GAS AVAILABILITY'!O712+N713*'RAP TEMPLATE-GAS AVAILABILITY'!P712+O713*'RAP TEMPLATE-GAS AVAILABILITY'!Q712+P713*'RAP TEMPLATE-GAS AVAILABILITY'!R712)/('RAP TEMPLATE-GAS AVAILABILITY'!O712+'RAP TEMPLATE-GAS AVAILABILITY'!P712+'RAP TEMPLATE-GAS AVAILABILITY'!Q712+'RAP TEMPLATE-GAS AVAILABILITY'!R712)</f>
        <v>43.013825899280576</v>
      </c>
    </row>
    <row r="714" spans="1:29" ht="15.75" x14ac:dyDescent="0.25">
      <c r="A714" s="32">
        <v>62639</v>
      </c>
      <c r="B714" s="14">
        <f>CHOOSE(CONTROL!$C$42, 44.5725, 44.5725) * CHOOSE(CONTROL!$C$21, $C$9, 100%, $E$9)</f>
        <v>44.572499999999998</v>
      </c>
      <c r="C714" s="14">
        <f>CHOOSE(CONTROL!$C$42, 44.5805, 44.5805) * CHOOSE(CONTROL!$C$21, $C$9, 100%, $E$9)</f>
        <v>44.580500000000001</v>
      </c>
      <c r="D714" s="14">
        <f>CHOOSE(CONTROL!$C$42, 44.778, 44.778) * CHOOSE(CONTROL!$C$21, $C$9, 100%, $E$9)</f>
        <v>44.777999999999999</v>
      </c>
      <c r="E714" s="14">
        <f>CHOOSE(CONTROL!$C$42, 44.8092, 44.8092) * CHOOSE(CONTROL!$C$21, $C$9, 100%, $E$9)</f>
        <v>44.809199999999997</v>
      </c>
      <c r="F714" s="14">
        <f>CHOOSE(CONTROL!$C$42, 44.5564, 44.5564)*CHOOSE(CONTROL!$C$21, $C$9, 100%, $E$9)</f>
        <v>44.556399999999996</v>
      </c>
      <c r="G714" s="14">
        <f>CHOOSE(CONTROL!$C$42, 44.5726, 44.5726)*CHOOSE(CONTROL!$C$21, $C$9, 100%, $E$9)</f>
        <v>44.572600000000001</v>
      </c>
      <c r="H714" s="14">
        <f>CHOOSE(CONTROL!$C$42, 44.7978, 44.7978) * CHOOSE(CONTROL!$C$21, $C$9, 100%, $E$9)</f>
        <v>44.797800000000002</v>
      </c>
      <c r="I714" s="14">
        <f>CHOOSE(CONTROL!$C$42, 44.5839, 44.5839)* CHOOSE(CONTROL!$C$21, $C$9, 100%, $E$9)</f>
        <v>44.5839</v>
      </c>
      <c r="J714" s="14">
        <f>CHOOSE(CONTROL!$C$42, 44.5494, 44.5494)* CHOOSE(CONTROL!$C$21, $C$9, 100%, $E$9)</f>
        <v>44.549399999999999</v>
      </c>
      <c r="K714" s="53">
        <f>CHOOSE(CONTROL!$C$42, 44.58, 44.58) * CHOOSE(CONTROL!$C$21, $C$9, 100%, $E$9)</f>
        <v>44.58</v>
      </c>
      <c r="L714" s="14">
        <f>CHOOSE(CONTROL!$C$42, 45.3848, 45.3848) * CHOOSE(CONTROL!$C$21, $C$9, 100%, $E$9)</f>
        <v>45.384799999999998</v>
      </c>
      <c r="M714" s="14">
        <f>CHOOSE(CONTROL!$C$42, 44.1136, 44.1136) * CHOOSE(CONTROL!$C$21, $C$9, 100%, $E$9)</f>
        <v>44.113599999999998</v>
      </c>
      <c r="N714" s="14">
        <f>CHOOSE(CONTROL!$C$42, 44.1297, 44.1297) * CHOOSE(CONTROL!$C$21, $C$9, 100%, $E$9)</f>
        <v>44.1297</v>
      </c>
      <c r="O714" s="14">
        <f>CHOOSE(CONTROL!$C$42, 44.3596, 44.3596) * CHOOSE(CONTROL!$C$21, $C$9, 100%, $E$9)</f>
        <v>44.3596</v>
      </c>
      <c r="P714" s="14">
        <f>CHOOSE(CONTROL!$C$42, 44.1479, 44.1479) * CHOOSE(CONTROL!$C$21, $C$9, 100%, $E$9)</f>
        <v>44.1479</v>
      </c>
      <c r="Q714" s="14">
        <f>CHOOSE(CONTROL!$C$42, 44.9549, 44.9549) * CHOOSE(CONTROL!$C$21, $C$9, 100%, $E$9)</f>
        <v>44.954900000000002</v>
      </c>
      <c r="R714" s="14">
        <f>CHOOSE(CONTROL!$C$42, 45.6542, 45.6542) * CHOOSE(CONTROL!$C$21, $C$9, 100%, $E$9)</f>
        <v>45.654200000000003</v>
      </c>
      <c r="S714" s="14">
        <f>CHOOSE(CONTROL!$C$42, 43.2802, 43.2802) * CHOOSE(CONTROL!$C$21, $C$9, 100%, $E$9)</f>
        <v>43.280200000000001</v>
      </c>
      <c r="T71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14" s="57">
        <f>(1000*CHOOSE(CONTROL!$C$42, 695, 695)*CHOOSE(CONTROL!$C$42, 0.5599, 0.5599)*CHOOSE(CONTROL!$C$42, 30, 30))/1000000</f>
        <v>11.673914999999997</v>
      </c>
      <c r="V714" s="57">
        <f>(1000*CHOOSE(CONTROL!$C$42, 500, 500)*CHOOSE(CONTROL!$C$42, 0.275, 0.275)*CHOOSE(CONTROL!$C$42, 30, 30))/1000000</f>
        <v>4.125</v>
      </c>
      <c r="W714" s="57">
        <f>(1000*CHOOSE(CONTROL!$C$42, 0.1146, 0.1146)*CHOOSE(CONTROL!$C$42, 121.5, 121.5)*CHOOSE(CONTROL!$C$42, 30, 30))/1000000</f>
        <v>0.417717</v>
      </c>
      <c r="X714" s="57">
        <f>(30*0.1790888*245000/1000000)+(30*0.2374*100000/1000000)</f>
        <v>2.0285026799999999</v>
      </c>
      <c r="Y714" s="57"/>
      <c r="Z714" s="14"/>
      <c r="AA714" s="56"/>
      <c r="AB714" s="50">
        <f>(B714*194.205+C714*267.466+D714*133.845+E714*53.484+F714*40+G714*185+H714*0+I714*100+J714*300)/(194.205+267.466+133.845+53.484+0+40+185+100+300)</f>
        <v>44.600670359733122</v>
      </c>
      <c r="AC714" s="45">
        <f>(M714*'RAP TEMPLATE-GAS AVAILABILITY'!O713+N714*'RAP TEMPLATE-GAS AVAILABILITY'!P713+O714*'RAP TEMPLATE-GAS AVAILABILITY'!Q713+P714*'RAP TEMPLATE-GAS AVAILABILITY'!R713)/('RAP TEMPLATE-GAS AVAILABILITY'!O713+'RAP TEMPLATE-GAS AVAILABILITY'!P713+'RAP TEMPLATE-GAS AVAILABILITY'!Q713+'RAP TEMPLATE-GAS AVAILABILITY'!R713)</f>
        <v>44.230958273381297</v>
      </c>
    </row>
    <row r="715" spans="1:29" ht="15.75" x14ac:dyDescent="0.25">
      <c r="A715" s="32">
        <v>62670</v>
      </c>
      <c r="B715" s="14">
        <f>CHOOSE(CONTROL!$C$42, 43.7175, 43.7175) * CHOOSE(CONTROL!$C$21, $C$9, 100%, $E$9)</f>
        <v>43.717500000000001</v>
      </c>
      <c r="C715" s="14">
        <f>CHOOSE(CONTROL!$C$42, 43.7255, 43.7255) * CHOOSE(CONTROL!$C$21, $C$9, 100%, $E$9)</f>
        <v>43.725499999999997</v>
      </c>
      <c r="D715" s="14">
        <f>CHOOSE(CONTROL!$C$42, 43.923, 43.923) * CHOOSE(CONTROL!$C$21, $C$9, 100%, $E$9)</f>
        <v>43.923000000000002</v>
      </c>
      <c r="E715" s="14">
        <f>CHOOSE(CONTROL!$C$42, 43.9542, 43.9542) * CHOOSE(CONTROL!$C$21, $C$9, 100%, $E$9)</f>
        <v>43.9542</v>
      </c>
      <c r="F715" s="14">
        <f>CHOOSE(CONTROL!$C$42, 43.7018, 43.7018)*CHOOSE(CONTROL!$C$21, $C$9, 100%, $E$9)</f>
        <v>43.701799999999999</v>
      </c>
      <c r="G715" s="14">
        <f>CHOOSE(CONTROL!$C$42, 43.7181, 43.7181)*CHOOSE(CONTROL!$C$21, $C$9, 100%, $E$9)</f>
        <v>43.7181</v>
      </c>
      <c r="H715" s="14">
        <f>CHOOSE(CONTROL!$C$42, 43.9428, 43.9428) * CHOOSE(CONTROL!$C$21, $C$9, 100%, $E$9)</f>
        <v>43.942799999999998</v>
      </c>
      <c r="I715" s="14">
        <f>CHOOSE(CONTROL!$C$42, 43.7289, 43.7289)* CHOOSE(CONTROL!$C$21, $C$9, 100%, $E$9)</f>
        <v>43.728900000000003</v>
      </c>
      <c r="J715" s="14">
        <f>CHOOSE(CONTROL!$C$42, 43.6948, 43.6948)* CHOOSE(CONTROL!$C$21, $C$9, 100%, $E$9)</f>
        <v>43.694800000000001</v>
      </c>
      <c r="K715" s="53">
        <f>CHOOSE(CONTROL!$C$42, 43.725, 43.725) * CHOOSE(CONTROL!$C$21, $C$9, 100%, $E$9)</f>
        <v>43.725000000000001</v>
      </c>
      <c r="L715" s="14">
        <f>CHOOSE(CONTROL!$C$42, 44.5298, 44.5298) * CHOOSE(CONTROL!$C$21, $C$9, 100%, $E$9)</f>
        <v>44.529800000000002</v>
      </c>
      <c r="M715" s="14">
        <f>CHOOSE(CONTROL!$C$42, 43.2677, 43.2677) * CHOOSE(CONTROL!$C$21, $C$9, 100%, $E$9)</f>
        <v>43.267699999999998</v>
      </c>
      <c r="N715" s="14">
        <f>CHOOSE(CONTROL!$C$42, 43.2838, 43.2838) * CHOOSE(CONTROL!$C$21, $C$9, 100%, $E$9)</f>
        <v>43.283799999999999</v>
      </c>
      <c r="O715" s="14">
        <f>CHOOSE(CONTROL!$C$42, 43.5132, 43.5132) * CHOOSE(CONTROL!$C$21, $C$9, 100%, $E$9)</f>
        <v>43.513199999999998</v>
      </c>
      <c r="P715" s="14">
        <f>CHOOSE(CONTROL!$C$42, 43.3015, 43.3015) * CHOOSE(CONTROL!$C$21, $C$9, 100%, $E$9)</f>
        <v>43.301499999999997</v>
      </c>
      <c r="Q715" s="14">
        <f>CHOOSE(CONTROL!$C$42, 44.1085, 44.1085) * CHOOSE(CONTROL!$C$21, $C$9, 100%, $E$9)</f>
        <v>44.108499999999999</v>
      </c>
      <c r="R715" s="14">
        <f>CHOOSE(CONTROL!$C$42, 44.8057, 44.8057) * CHOOSE(CONTROL!$C$21, $C$9, 100%, $E$9)</f>
        <v>44.805700000000002</v>
      </c>
      <c r="S715" s="14">
        <f>CHOOSE(CONTROL!$C$42, 42.4499, 42.4499) * CHOOSE(CONTROL!$C$21, $C$9, 100%, $E$9)</f>
        <v>42.4499</v>
      </c>
      <c r="T71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15" s="57">
        <f>(1000*CHOOSE(CONTROL!$C$42, 695, 695)*CHOOSE(CONTROL!$C$42, 0.5599, 0.5599)*CHOOSE(CONTROL!$C$42, 31, 31))/1000000</f>
        <v>12.063045499999998</v>
      </c>
      <c r="V715" s="57">
        <f>(1000*CHOOSE(CONTROL!$C$42, 500, 500)*CHOOSE(CONTROL!$C$42, 0.275, 0.275)*CHOOSE(CONTROL!$C$42, 31, 31))/1000000</f>
        <v>4.2625000000000002</v>
      </c>
      <c r="W715" s="57">
        <f>(1000*CHOOSE(CONTROL!$C$42, 0.1146, 0.1146)*CHOOSE(CONTROL!$C$42, 121.5, 121.5)*CHOOSE(CONTROL!$C$42, 31, 31))/1000000</f>
        <v>0.43164089999999994</v>
      </c>
      <c r="X715" s="57">
        <f>(31*0.1790888*245000/1000000)+(31*0.2374*100000/1000000)</f>
        <v>2.0961194359999999</v>
      </c>
      <c r="Y715" s="57"/>
      <c r="Z715" s="14"/>
      <c r="AA715" s="56"/>
      <c r="AB715" s="50">
        <f>(B715*194.205+C715*267.466+D715*133.845+E715*53.484+F715*40+G715*185+H715*0+I715*100+J715*300)/(194.205+267.466+133.845+53.484+0+40+185+100+300)</f>
        <v>43.745849716091051</v>
      </c>
      <c r="AC715" s="45">
        <f>(M715*'RAP TEMPLATE-GAS AVAILABILITY'!O714+N715*'RAP TEMPLATE-GAS AVAILABILITY'!P714+O715*'RAP TEMPLATE-GAS AVAILABILITY'!Q714+P715*'RAP TEMPLATE-GAS AVAILABILITY'!R714)/('RAP TEMPLATE-GAS AVAILABILITY'!O714+'RAP TEMPLATE-GAS AVAILABILITY'!P714+'RAP TEMPLATE-GAS AVAILABILITY'!Q714+'RAP TEMPLATE-GAS AVAILABILITY'!R714)</f>
        <v>43.384759712230213</v>
      </c>
    </row>
    <row r="716" spans="1:29" ht="15.75" x14ac:dyDescent="0.25">
      <c r="A716" s="32">
        <v>62701</v>
      </c>
      <c r="B716" s="14">
        <f>CHOOSE(CONTROL!$C$42, 41.5584, 41.5584) * CHOOSE(CONTROL!$C$21, $C$9, 100%, $E$9)</f>
        <v>41.558399999999999</v>
      </c>
      <c r="C716" s="14">
        <f>CHOOSE(CONTROL!$C$42, 41.5663, 41.5663) * CHOOSE(CONTROL!$C$21, $C$9, 100%, $E$9)</f>
        <v>41.566299999999998</v>
      </c>
      <c r="D716" s="14">
        <f>CHOOSE(CONTROL!$C$42, 41.7639, 41.7639) * CHOOSE(CONTROL!$C$21, $C$9, 100%, $E$9)</f>
        <v>41.7639</v>
      </c>
      <c r="E716" s="14">
        <f>CHOOSE(CONTROL!$C$42, 41.795, 41.795) * CHOOSE(CONTROL!$C$21, $C$9, 100%, $E$9)</f>
        <v>41.795000000000002</v>
      </c>
      <c r="F716" s="14">
        <f>CHOOSE(CONTROL!$C$42, 41.5428, 41.5428)*CHOOSE(CONTROL!$C$21, $C$9, 100%, $E$9)</f>
        <v>41.5428</v>
      </c>
      <c r="G716" s="14">
        <f>CHOOSE(CONTROL!$C$42, 41.5592, 41.5592)*CHOOSE(CONTROL!$C$21, $C$9, 100%, $E$9)</f>
        <v>41.559199999999997</v>
      </c>
      <c r="H716" s="14">
        <f>CHOOSE(CONTROL!$C$42, 41.7836, 41.7836) * CHOOSE(CONTROL!$C$21, $C$9, 100%, $E$9)</f>
        <v>41.7836</v>
      </c>
      <c r="I716" s="14">
        <f>CHOOSE(CONTROL!$C$42, 41.5697, 41.5697)* CHOOSE(CONTROL!$C$21, $C$9, 100%, $E$9)</f>
        <v>41.569699999999997</v>
      </c>
      <c r="J716" s="14">
        <f>CHOOSE(CONTROL!$C$42, 41.5358, 41.5358)* CHOOSE(CONTROL!$C$21, $C$9, 100%, $E$9)</f>
        <v>41.535800000000002</v>
      </c>
      <c r="K716" s="53">
        <f>CHOOSE(CONTROL!$C$42, 41.5658, 41.5658) * CHOOSE(CONTROL!$C$21, $C$9, 100%, $E$9)</f>
        <v>41.565800000000003</v>
      </c>
      <c r="L716" s="14">
        <f>CHOOSE(CONTROL!$C$42, 42.3706, 42.3706) * CHOOSE(CONTROL!$C$21, $C$9, 100%, $E$9)</f>
        <v>42.370600000000003</v>
      </c>
      <c r="M716" s="14">
        <f>CHOOSE(CONTROL!$C$42, 41.1305, 41.1305) * CHOOSE(CONTROL!$C$21, $C$9, 100%, $E$9)</f>
        <v>41.130499999999998</v>
      </c>
      <c r="N716" s="14">
        <f>CHOOSE(CONTROL!$C$42, 41.1467, 41.1467) * CHOOSE(CONTROL!$C$21, $C$9, 100%, $E$9)</f>
        <v>41.146700000000003</v>
      </c>
      <c r="O716" s="14">
        <f>CHOOSE(CONTROL!$C$42, 41.3758, 41.3758) * CHOOSE(CONTROL!$C$21, $C$9, 100%, $E$9)</f>
        <v>41.375799999999998</v>
      </c>
      <c r="P716" s="14">
        <f>CHOOSE(CONTROL!$C$42, 41.1641, 41.1641) * CHOOSE(CONTROL!$C$21, $C$9, 100%, $E$9)</f>
        <v>41.164099999999998</v>
      </c>
      <c r="Q716" s="14">
        <f>CHOOSE(CONTROL!$C$42, 41.9711, 41.9711) * CHOOSE(CONTROL!$C$21, $C$9, 100%, $E$9)</f>
        <v>41.9711</v>
      </c>
      <c r="R716" s="14">
        <f>CHOOSE(CONTROL!$C$42, 42.663, 42.663) * CHOOSE(CONTROL!$C$21, $C$9, 100%, $E$9)</f>
        <v>42.662999999999997</v>
      </c>
      <c r="S716" s="14">
        <f>CHOOSE(CONTROL!$C$42, 40.3531, 40.3531) * CHOOSE(CONTROL!$C$21, $C$9, 100%, $E$9)</f>
        <v>40.353099999999998</v>
      </c>
      <c r="T71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16" s="57">
        <f>(1000*CHOOSE(CONTROL!$C$42, 695, 695)*CHOOSE(CONTROL!$C$42, 0.5599, 0.5599)*CHOOSE(CONTROL!$C$42, 31, 31))/1000000</f>
        <v>12.063045499999998</v>
      </c>
      <c r="V716" s="57">
        <f>(1000*CHOOSE(CONTROL!$C$42, 500, 500)*CHOOSE(CONTROL!$C$42, 0.275, 0.275)*CHOOSE(CONTROL!$C$42, 31, 31))/1000000</f>
        <v>4.2625000000000002</v>
      </c>
      <c r="W716" s="57">
        <f>(1000*CHOOSE(CONTROL!$C$42, 0.1146, 0.1146)*CHOOSE(CONTROL!$C$42, 121.5, 121.5)*CHOOSE(CONTROL!$C$42, 31, 31))/1000000</f>
        <v>0.43164089999999994</v>
      </c>
      <c r="X716" s="57">
        <f>(31*0.1790888*245000/1000000)+(31*0.2374*100000/1000000)</f>
        <v>2.0961194359999999</v>
      </c>
      <c r="Y716" s="57"/>
      <c r="Z716" s="14"/>
      <c r="AA716" s="56"/>
      <c r="AB716" s="50">
        <f>(B716*194.205+C716*267.466+D716*133.845+E716*53.484+F716*40+G716*185+H716*0+I716*100+J716*300)/(194.205+267.466+133.845+53.484+0+40+185+100+300)</f>
        <v>41.586772404474097</v>
      </c>
      <c r="AC716" s="45">
        <f>(M716*'RAP TEMPLATE-GAS AVAILABILITY'!O715+N716*'RAP TEMPLATE-GAS AVAILABILITY'!P715+O716*'RAP TEMPLATE-GAS AVAILABILITY'!Q715+P716*'RAP TEMPLATE-GAS AVAILABILITY'!R715)/('RAP TEMPLATE-GAS AVAILABILITY'!O715+'RAP TEMPLATE-GAS AVAILABILITY'!P715+'RAP TEMPLATE-GAS AVAILABILITY'!Q715+'RAP TEMPLATE-GAS AVAILABILITY'!R715)</f>
        <v>41.247446043165468</v>
      </c>
    </row>
    <row r="717" spans="1:29" ht="15.75" x14ac:dyDescent="0.25">
      <c r="A717" s="32">
        <v>62731</v>
      </c>
      <c r="B717" s="14">
        <f>CHOOSE(CONTROL!$C$42, 38.9199, 38.9199) * CHOOSE(CONTROL!$C$21, $C$9, 100%, $E$9)</f>
        <v>38.919899999999998</v>
      </c>
      <c r="C717" s="14">
        <f>CHOOSE(CONTROL!$C$42, 38.9278, 38.9278) * CHOOSE(CONTROL!$C$21, $C$9, 100%, $E$9)</f>
        <v>38.927799999999998</v>
      </c>
      <c r="D717" s="14">
        <f>CHOOSE(CONTROL!$C$42, 39.1254, 39.1254) * CHOOSE(CONTROL!$C$21, $C$9, 100%, $E$9)</f>
        <v>39.125399999999999</v>
      </c>
      <c r="E717" s="14">
        <f>CHOOSE(CONTROL!$C$42, 39.1565, 39.1565) * CHOOSE(CONTROL!$C$21, $C$9, 100%, $E$9)</f>
        <v>39.156500000000001</v>
      </c>
      <c r="F717" s="14">
        <f>CHOOSE(CONTROL!$C$42, 38.9042, 38.9042)*CHOOSE(CONTROL!$C$21, $C$9, 100%, $E$9)</f>
        <v>38.904200000000003</v>
      </c>
      <c r="G717" s="14">
        <f>CHOOSE(CONTROL!$C$42, 38.9206, 38.9206)*CHOOSE(CONTROL!$C$21, $C$9, 100%, $E$9)</f>
        <v>38.9206</v>
      </c>
      <c r="H717" s="14">
        <f>CHOOSE(CONTROL!$C$42, 39.1451, 39.1451) * CHOOSE(CONTROL!$C$21, $C$9, 100%, $E$9)</f>
        <v>39.145099999999999</v>
      </c>
      <c r="I717" s="14">
        <f>CHOOSE(CONTROL!$C$42, 38.9312, 38.9312)* CHOOSE(CONTROL!$C$21, $C$9, 100%, $E$9)</f>
        <v>38.931199999999997</v>
      </c>
      <c r="J717" s="14">
        <f>CHOOSE(CONTROL!$C$42, 38.8972, 38.8972)* CHOOSE(CONTROL!$C$21, $C$9, 100%, $E$9)</f>
        <v>38.897199999999998</v>
      </c>
      <c r="K717" s="53">
        <f>CHOOSE(CONTROL!$C$42, 38.9274, 38.9274) * CHOOSE(CONTROL!$C$21, $C$9, 100%, $E$9)</f>
        <v>38.927399999999999</v>
      </c>
      <c r="L717" s="14">
        <f>CHOOSE(CONTROL!$C$42, 39.7321, 39.7321) * CHOOSE(CONTROL!$C$21, $C$9, 100%, $E$9)</f>
        <v>39.732100000000003</v>
      </c>
      <c r="M717" s="14">
        <f>CHOOSE(CONTROL!$C$42, 38.5185, 38.5185) * CHOOSE(CONTROL!$C$21, $C$9, 100%, $E$9)</f>
        <v>38.518500000000003</v>
      </c>
      <c r="N717" s="14">
        <f>CHOOSE(CONTROL!$C$42, 38.5347, 38.5347) * CHOOSE(CONTROL!$C$21, $C$9, 100%, $E$9)</f>
        <v>38.534700000000001</v>
      </c>
      <c r="O717" s="14">
        <f>CHOOSE(CONTROL!$C$42, 38.7639, 38.7639) * CHOOSE(CONTROL!$C$21, $C$9, 100%, $E$9)</f>
        <v>38.7639</v>
      </c>
      <c r="P717" s="14">
        <f>CHOOSE(CONTROL!$C$42, 38.5522, 38.5522) * CHOOSE(CONTROL!$C$21, $C$9, 100%, $E$9)</f>
        <v>38.552199999999999</v>
      </c>
      <c r="Q717" s="14">
        <f>CHOOSE(CONTROL!$C$42, 39.3592, 39.3592) * CHOOSE(CONTROL!$C$21, $C$9, 100%, $E$9)</f>
        <v>39.359200000000001</v>
      </c>
      <c r="R717" s="14">
        <f>CHOOSE(CONTROL!$C$42, 40.0446, 40.0446) * CHOOSE(CONTROL!$C$21, $C$9, 100%, $E$9)</f>
        <v>40.044600000000003</v>
      </c>
      <c r="S717" s="14">
        <f>CHOOSE(CONTROL!$C$42, 37.7908, 37.7908) * CHOOSE(CONTROL!$C$21, $C$9, 100%, $E$9)</f>
        <v>37.790799999999997</v>
      </c>
      <c r="T71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17" s="57">
        <f>(1000*CHOOSE(CONTROL!$C$42, 695, 695)*CHOOSE(CONTROL!$C$42, 0.5599, 0.5599)*CHOOSE(CONTROL!$C$42, 30, 30))/1000000</f>
        <v>11.673914999999997</v>
      </c>
      <c r="V717" s="57">
        <f>(1000*CHOOSE(CONTROL!$C$42, 500, 500)*CHOOSE(CONTROL!$C$42, 0.275, 0.275)*CHOOSE(CONTROL!$C$42, 30, 30))/1000000</f>
        <v>4.125</v>
      </c>
      <c r="W717" s="57">
        <f>(1000*CHOOSE(CONTROL!$C$42, 0.1146, 0.1146)*CHOOSE(CONTROL!$C$42, 121.5, 121.5)*CHOOSE(CONTROL!$C$42, 30, 30))/1000000</f>
        <v>0.417717</v>
      </c>
      <c r="X717" s="57">
        <f>(30*0.1790888*245000/1000000)+(30*0.2374*100000/1000000)</f>
        <v>2.0285026799999999</v>
      </c>
      <c r="Y717" s="57"/>
      <c r="Z717" s="14"/>
      <c r="AA717" s="56"/>
      <c r="AB717" s="50">
        <f>(B717*194.205+C717*267.466+D717*133.845+E717*53.484+F717*40+G717*185+H717*0+I717*100+J717*300)/(194.205+267.466+133.845+53.484+0+40+185+100+300)</f>
        <v>38.948231195682894</v>
      </c>
      <c r="AC717" s="45">
        <f>(M717*'RAP TEMPLATE-GAS AVAILABILITY'!O716+N717*'RAP TEMPLATE-GAS AVAILABILITY'!P716+O717*'RAP TEMPLATE-GAS AVAILABILITY'!Q716+P717*'RAP TEMPLATE-GAS AVAILABILITY'!R716)/('RAP TEMPLATE-GAS AVAILABILITY'!O716+'RAP TEMPLATE-GAS AVAILABILITY'!P716+'RAP TEMPLATE-GAS AVAILABILITY'!Q716+'RAP TEMPLATE-GAS AVAILABILITY'!R716)</f>
        <v>38.635505755395684</v>
      </c>
    </row>
    <row r="718" spans="1:29" ht="15.75" x14ac:dyDescent="0.25">
      <c r="A718" s="32">
        <v>62762</v>
      </c>
      <c r="B718" s="14">
        <f>CHOOSE(CONTROL!$C$42, 38.128, 38.128) * CHOOSE(CONTROL!$C$21, $C$9, 100%, $E$9)</f>
        <v>38.128</v>
      </c>
      <c r="C718" s="14">
        <f>CHOOSE(CONTROL!$C$42, 38.1332, 38.1332) * CHOOSE(CONTROL!$C$21, $C$9, 100%, $E$9)</f>
        <v>38.133200000000002</v>
      </c>
      <c r="D718" s="14">
        <f>CHOOSE(CONTROL!$C$42, 38.3358, 38.3358) * CHOOSE(CONTROL!$C$21, $C$9, 100%, $E$9)</f>
        <v>38.335799999999999</v>
      </c>
      <c r="E718" s="14">
        <f>CHOOSE(CONTROL!$C$42, 38.3646, 38.3646) * CHOOSE(CONTROL!$C$21, $C$9, 100%, $E$9)</f>
        <v>38.364600000000003</v>
      </c>
      <c r="F718" s="14">
        <f>CHOOSE(CONTROL!$C$42, 38.1144, 38.1144)*CHOOSE(CONTROL!$C$21, $C$9, 100%, $E$9)</f>
        <v>38.114400000000003</v>
      </c>
      <c r="G718" s="14">
        <f>CHOOSE(CONTROL!$C$42, 38.1304, 38.1304)*CHOOSE(CONTROL!$C$21, $C$9, 100%, $E$9)</f>
        <v>38.130400000000002</v>
      </c>
      <c r="H718" s="14">
        <f>CHOOSE(CONTROL!$C$42, 38.355, 38.355) * CHOOSE(CONTROL!$C$21, $C$9, 100%, $E$9)</f>
        <v>38.354999999999997</v>
      </c>
      <c r="I718" s="14">
        <f>CHOOSE(CONTROL!$C$42, 38.1411, 38.1411)* CHOOSE(CONTROL!$C$21, $C$9, 100%, $E$9)</f>
        <v>38.141100000000002</v>
      </c>
      <c r="J718" s="14">
        <f>CHOOSE(CONTROL!$C$42, 38.1074, 38.1074)* CHOOSE(CONTROL!$C$21, $C$9, 100%, $E$9)</f>
        <v>38.107399999999998</v>
      </c>
      <c r="K718" s="53">
        <f>CHOOSE(CONTROL!$C$42, 38.1372, 38.1372) * CHOOSE(CONTROL!$C$21, $C$9, 100%, $E$9)</f>
        <v>38.1372</v>
      </c>
      <c r="L718" s="14">
        <f>CHOOSE(CONTROL!$C$42, 38.942, 38.942) * CHOOSE(CONTROL!$C$21, $C$9, 100%, $E$9)</f>
        <v>38.942</v>
      </c>
      <c r="M718" s="14">
        <f>CHOOSE(CONTROL!$C$42, 37.7366, 37.7366) * CHOOSE(CONTROL!$C$21, $C$9, 100%, $E$9)</f>
        <v>37.736600000000003</v>
      </c>
      <c r="N718" s="14">
        <f>CHOOSE(CONTROL!$C$42, 37.7525, 37.7525) * CHOOSE(CONTROL!$C$21, $C$9, 100%, $E$9)</f>
        <v>37.752499999999998</v>
      </c>
      <c r="O718" s="14">
        <f>CHOOSE(CONTROL!$C$42, 37.9818, 37.9818) * CHOOSE(CONTROL!$C$21, $C$9, 100%, $E$9)</f>
        <v>37.9818</v>
      </c>
      <c r="P718" s="14">
        <f>CHOOSE(CONTROL!$C$42, 37.7701, 37.7701) * CHOOSE(CONTROL!$C$21, $C$9, 100%, $E$9)</f>
        <v>37.770099999999999</v>
      </c>
      <c r="Q718" s="14">
        <f>CHOOSE(CONTROL!$C$42, 38.5771, 38.5771) * CHOOSE(CONTROL!$C$21, $C$9, 100%, $E$9)</f>
        <v>38.577100000000002</v>
      </c>
      <c r="R718" s="14">
        <f>CHOOSE(CONTROL!$C$42, 39.2605, 39.2605) * CHOOSE(CONTROL!$C$21, $C$9, 100%, $E$9)</f>
        <v>39.2605</v>
      </c>
      <c r="S718" s="14">
        <f>CHOOSE(CONTROL!$C$42, 37.0236, 37.0236) * CHOOSE(CONTROL!$C$21, $C$9, 100%, $E$9)</f>
        <v>37.023600000000002</v>
      </c>
      <c r="T71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18" s="57">
        <f>(1000*CHOOSE(CONTROL!$C$42, 695, 695)*CHOOSE(CONTROL!$C$42, 0.5599, 0.5599)*CHOOSE(CONTROL!$C$42, 31, 31))/1000000</f>
        <v>12.063045499999998</v>
      </c>
      <c r="V718" s="57">
        <f>(1000*CHOOSE(CONTROL!$C$42, 500, 500)*CHOOSE(CONTROL!$C$42, 0.275, 0.275)*CHOOSE(CONTROL!$C$42, 31, 31))/1000000</f>
        <v>4.2625000000000002</v>
      </c>
      <c r="W718" s="57">
        <f>(1000*CHOOSE(CONTROL!$C$42, 0.1146, 0.1146)*CHOOSE(CONTROL!$C$42, 121.5, 121.5)*CHOOSE(CONTROL!$C$42, 31, 31))/1000000</f>
        <v>0.43164089999999994</v>
      </c>
      <c r="X718" s="57">
        <f>(31*0.1790888*245000/1000000)+(31*0.2374*100000/1000000)</f>
        <v>2.0961194359999999</v>
      </c>
      <c r="Y718" s="57"/>
      <c r="Z718" s="14"/>
      <c r="AA718" s="56"/>
      <c r="AB718" s="50">
        <f>(B718*131.881+C718*277.167+D718*79.08+E718*125.872+F718*40+G718*185+H718*0+I718*100+J718*300)/(131.881+277.167+79.08+125.872+0+40+185+100+300)</f>
        <v>38.162451499273608</v>
      </c>
      <c r="AC718" s="45">
        <f>(M718*'RAP TEMPLATE-GAS AVAILABILITY'!O717+N718*'RAP TEMPLATE-GAS AVAILABILITY'!P717+O718*'RAP TEMPLATE-GAS AVAILABILITY'!Q717+P718*'RAP TEMPLATE-GAS AVAILABILITY'!R717)/('RAP TEMPLATE-GAS AVAILABILITY'!O717+'RAP TEMPLATE-GAS AVAILABILITY'!P717+'RAP TEMPLATE-GAS AVAILABILITY'!Q717+'RAP TEMPLATE-GAS AVAILABILITY'!R717)</f>
        <v>37.853469064748204</v>
      </c>
    </row>
    <row r="719" spans="1:29" ht="15.75" x14ac:dyDescent="0.25">
      <c r="A719" s="32">
        <v>62792</v>
      </c>
      <c r="B719" s="14">
        <f>CHOOSE(CONTROL!$C$42, 39.132, 39.132) * CHOOSE(CONTROL!$C$21, $C$9, 100%, $E$9)</f>
        <v>39.131999999999998</v>
      </c>
      <c r="C719" s="14">
        <f>CHOOSE(CONTROL!$C$42, 39.1369, 39.1369) * CHOOSE(CONTROL!$C$21, $C$9, 100%, $E$9)</f>
        <v>39.136899999999997</v>
      </c>
      <c r="D719" s="14">
        <f>CHOOSE(CONTROL!$C$42, 39.2, 39.2) * CHOOSE(CONTROL!$C$21, $C$9, 100%, $E$9)</f>
        <v>39.200000000000003</v>
      </c>
      <c r="E719" s="14">
        <f>CHOOSE(CONTROL!$C$42, 39.2338, 39.2338) * CHOOSE(CONTROL!$C$21, $C$9, 100%, $E$9)</f>
        <v>39.233800000000002</v>
      </c>
      <c r="F719" s="14">
        <f>CHOOSE(CONTROL!$C$42, 39.1327, 39.1327)*CHOOSE(CONTROL!$C$21, $C$9, 100%, $E$9)</f>
        <v>39.1327</v>
      </c>
      <c r="G719" s="14">
        <f>CHOOSE(CONTROL!$C$42, 39.1489, 39.1489)*CHOOSE(CONTROL!$C$21, $C$9, 100%, $E$9)</f>
        <v>39.148899999999998</v>
      </c>
      <c r="H719" s="14">
        <f>CHOOSE(CONTROL!$C$42, 39.223, 39.223) * CHOOSE(CONTROL!$C$21, $C$9, 100%, $E$9)</f>
        <v>39.222999999999999</v>
      </c>
      <c r="I719" s="14">
        <f>CHOOSE(CONTROL!$C$42, 39.1455, 39.1455)* CHOOSE(CONTROL!$C$21, $C$9, 100%, $E$9)</f>
        <v>39.145499999999998</v>
      </c>
      <c r="J719" s="14">
        <f>CHOOSE(CONTROL!$C$42, 39.1257, 39.1257)* CHOOSE(CONTROL!$C$21, $C$9, 100%, $E$9)</f>
        <v>39.125700000000002</v>
      </c>
      <c r="K719" s="53">
        <f>CHOOSE(CONTROL!$C$42, 39.1416, 39.1416) * CHOOSE(CONTROL!$C$21, $C$9, 100%, $E$9)</f>
        <v>39.141599999999997</v>
      </c>
      <c r="L719" s="14">
        <f>CHOOSE(CONTROL!$C$42, 39.81, 39.81) * CHOOSE(CONTROL!$C$21, $C$9, 100%, $E$9)</f>
        <v>39.81</v>
      </c>
      <c r="M719" s="14">
        <f>CHOOSE(CONTROL!$C$42, 38.7446, 38.7446) * CHOOSE(CONTROL!$C$21, $C$9, 100%, $E$9)</f>
        <v>38.744599999999998</v>
      </c>
      <c r="N719" s="14">
        <f>CHOOSE(CONTROL!$C$42, 38.7608, 38.7608) * CHOOSE(CONTROL!$C$21, $C$9, 100%, $E$9)</f>
        <v>38.760800000000003</v>
      </c>
      <c r="O719" s="14">
        <f>CHOOSE(CONTROL!$C$42, 38.841, 38.841) * CHOOSE(CONTROL!$C$21, $C$9, 100%, $E$9)</f>
        <v>38.841000000000001</v>
      </c>
      <c r="P719" s="14">
        <f>CHOOSE(CONTROL!$C$42, 38.7643, 38.7643) * CHOOSE(CONTROL!$C$21, $C$9, 100%, $E$9)</f>
        <v>38.764299999999999</v>
      </c>
      <c r="Q719" s="14">
        <f>CHOOSE(CONTROL!$C$42, 39.4363, 39.4363) * CHOOSE(CONTROL!$C$21, $C$9, 100%, $E$9)</f>
        <v>39.436300000000003</v>
      </c>
      <c r="R719" s="14">
        <f>CHOOSE(CONTROL!$C$42, 40.1219, 40.1219) * CHOOSE(CONTROL!$C$21, $C$9, 100%, $E$9)</f>
        <v>40.121899999999997</v>
      </c>
      <c r="S719" s="14">
        <f>CHOOSE(CONTROL!$C$42, 37.9989, 37.9989) * CHOOSE(CONTROL!$C$21, $C$9, 100%, $E$9)</f>
        <v>37.998899999999999</v>
      </c>
      <c r="T71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19" s="57">
        <f>(1000*CHOOSE(CONTROL!$C$42, 695, 695)*CHOOSE(CONTROL!$C$42, 0.5599, 0.5599)*CHOOSE(CONTROL!$C$42, 30, 30))/1000000</f>
        <v>11.673914999999997</v>
      </c>
      <c r="V719" s="57">
        <f>(1000*CHOOSE(CONTROL!$C$42, 500, 500)*CHOOSE(CONTROL!$C$42, 0.275, 0.275)*CHOOSE(CONTROL!$C$42, 30, 30))/1000000</f>
        <v>4.125</v>
      </c>
      <c r="W719" s="57">
        <f>(1000*CHOOSE(CONTROL!$C$42, 0.1146, 0.1146)*CHOOSE(CONTROL!$C$42, 121.5, 121.5)*CHOOSE(CONTROL!$C$42, 30, 30))/1000000</f>
        <v>0.417717</v>
      </c>
      <c r="X719" s="57">
        <f>(30*0.1790888*100000/1000000)+(30*0.2374*100000/1000000)</f>
        <v>1.2494664</v>
      </c>
      <c r="Y719" s="57"/>
      <c r="Z719" s="14"/>
      <c r="AA719" s="56"/>
      <c r="AB719" s="50">
        <f>(B719*122.58+C719*297.941+D719*89.177+E719*40.302+F719*40+G719*160+H719*0+I719*100+J719*300)/(122.58+297.941+89.177+40.302+0+40+160+100+300)</f>
        <v>39.144016252608694</v>
      </c>
      <c r="AC719" s="45">
        <f>(M719*'RAP TEMPLATE-GAS AVAILABILITY'!O718+N719*'RAP TEMPLATE-GAS AVAILABILITY'!P718+O719*'RAP TEMPLATE-GAS AVAILABILITY'!Q718+P719*'RAP TEMPLATE-GAS AVAILABILITY'!R718)/('RAP TEMPLATE-GAS AVAILABILITY'!O718+'RAP TEMPLATE-GAS AVAILABILITY'!P718+'RAP TEMPLATE-GAS AVAILABILITY'!Q718+'RAP TEMPLATE-GAS AVAILABILITY'!R718)</f>
        <v>38.792058992805757</v>
      </c>
    </row>
    <row r="720" spans="1:29" ht="15.75" x14ac:dyDescent="0.25">
      <c r="A720" s="32">
        <v>62823</v>
      </c>
      <c r="B720" s="14">
        <f>CHOOSE(CONTROL!$C$42, 41.7998, 41.7998) * CHOOSE(CONTROL!$C$21, $C$9, 100%, $E$9)</f>
        <v>41.799799999999998</v>
      </c>
      <c r="C720" s="14">
        <f>CHOOSE(CONTROL!$C$42, 41.8047, 41.8047) * CHOOSE(CONTROL!$C$21, $C$9, 100%, $E$9)</f>
        <v>41.804699999999997</v>
      </c>
      <c r="D720" s="14">
        <f>CHOOSE(CONTROL!$C$42, 41.8678, 41.8678) * CHOOSE(CONTROL!$C$21, $C$9, 100%, $E$9)</f>
        <v>41.867800000000003</v>
      </c>
      <c r="E720" s="14">
        <f>CHOOSE(CONTROL!$C$42, 41.9016, 41.9016) * CHOOSE(CONTROL!$C$21, $C$9, 100%, $E$9)</f>
        <v>41.901600000000002</v>
      </c>
      <c r="F720" s="14">
        <f>CHOOSE(CONTROL!$C$42, 41.8025, 41.8025)*CHOOSE(CONTROL!$C$21, $C$9, 100%, $E$9)</f>
        <v>41.802500000000002</v>
      </c>
      <c r="G720" s="14">
        <f>CHOOSE(CONTROL!$C$42, 41.8193, 41.8193)*CHOOSE(CONTROL!$C$21, $C$9, 100%, $E$9)</f>
        <v>41.819299999999998</v>
      </c>
      <c r="H720" s="14">
        <f>CHOOSE(CONTROL!$C$42, 41.8908, 41.8908) * CHOOSE(CONTROL!$C$21, $C$9, 100%, $E$9)</f>
        <v>41.890799999999999</v>
      </c>
      <c r="I720" s="14">
        <f>CHOOSE(CONTROL!$C$42, 41.8133, 41.8133)* CHOOSE(CONTROL!$C$21, $C$9, 100%, $E$9)</f>
        <v>41.813299999999998</v>
      </c>
      <c r="J720" s="14">
        <f>CHOOSE(CONTROL!$C$42, 41.7955, 41.7955)* CHOOSE(CONTROL!$C$21, $C$9, 100%, $E$9)</f>
        <v>41.795499999999997</v>
      </c>
      <c r="K720" s="53">
        <f>CHOOSE(CONTROL!$C$42, 41.8094, 41.8094) * CHOOSE(CONTROL!$C$21, $C$9, 100%, $E$9)</f>
        <v>41.809399999999997</v>
      </c>
      <c r="L720" s="14">
        <f>CHOOSE(CONTROL!$C$42, 42.4778, 42.4778) * CHOOSE(CONTROL!$C$21, $C$9, 100%, $E$9)</f>
        <v>42.477800000000002</v>
      </c>
      <c r="M720" s="14">
        <f>CHOOSE(CONTROL!$C$42, 41.3875, 41.3875) * CHOOSE(CONTROL!$C$21, $C$9, 100%, $E$9)</f>
        <v>41.387500000000003</v>
      </c>
      <c r="N720" s="14">
        <f>CHOOSE(CONTROL!$C$42, 41.4042, 41.4042) * CHOOSE(CONTROL!$C$21, $C$9, 100%, $E$9)</f>
        <v>41.404200000000003</v>
      </c>
      <c r="O720" s="14">
        <f>CHOOSE(CONTROL!$C$42, 41.4818, 41.4818) * CHOOSE(CONTROL!$C$21, $C$9, 100%, $E$9)</f>
        <v>41.4818</v>
      </c>
      <c r="P720" s="14">
        <f>CHOOSE(CONTROL!$C$42, 41.4052, 41.4052) * CHOOSE(CONTROL!$C$21, $C$9, 100%, $E$9)</f>
        <v>41.405200000000001</v>
      </c>
      <c r="Q720" s="14">
        <f>CHOOSE(CONTROL!$C$42, 42.0771, 42.0771) * CHOOSE(CONTROL!$C$21, $C$9, 100%, $E$9)</f>
        <v>42.077100000000002</v>
      </c>
      <c r="R720" s="14">
        <f>CHOOSE(CONTROL!$C$42, 42.7693, 42.7693) * CHOOSE(CONTROL!$C$21, $C$9, 100%, $E$9)</f>
        <v>42.769300000000001</v>
      </c>
      <c r="S720" s="14">
        <f>CHOOSE(CONTROL!$C$42, 40.5896, 40.5896) * CHOOSE(CONTROL!$C$21, $C$9, 100%, $E$9)</f>
        <v>40.589599999999997</v>
      </c>
      <c r="T72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20" s="57">
        <f>(1000*CHOOSE(CONTROL!$C$42, 695, 695)*CHOOSE(CONTROL!$C$42, 0.5599, 0.5599)*CHOOSE(CONTROL!$C$42, 31, 31))/1000000</f>
        <v>12.063045499999998</v>
      </c>
      <c r="V720" s="57">
        <f>(1000*CHOOSE(CONTROL!$C$42, 500, 500)*CHOOSE(CONTROL!$C$42, 0.275, 0.275)*CHOOSE(CONTROL!$C$42, 31, 31))/1000000</f>
        <v>4.2625000000000002</v>
      </c>
      <c r="W720" s="57">
        <f>(1000*CHOOSE(CONTROL!$C$42, 0.1146, 0.1146)*CHOOSE(CONTROL!$C$42, 121.5, 121.5)*CHOOSE(CONTROL!$C$42, 31, 31))/1000000</f>
        <v>0.43164089999999994</v>
      </c>
      <c r="X720" s="57">
        <f>(31*0.1790888*100000/1000000)+(31*0.2374*100000/1000000)</f>
        <v>1.2911152800000001</v>
      </c>
      <c r="Y720" s="57"/>
      <c r="Z720" s="14"/>
      <c r="AA720" s="56"/>
      <c r="AB720" s="50">
        <f>(B720*122.58+C720*297.941+D720*89.177+E720*40.302+F720*40+G720*160+H720*0+I720*100+J720*300)/(122.58+297.941+89.177+40.302+0+40+160+100+300)</f>
        <v>41.812769296086955</v>
      </c>
      <c r="AC720" s="45">
        <f>(M720*'RAP TEMPLATE-GAS AVAILABILITY'!O719+N720*'RAP TEMPLATE-GAS AVAILABILITY'!P719+O720*'RAP TEMPLATE-GAS AVAILABILITY'!Q719+P720*'RAP TEMPLATE-GAS AVAILABILITY'!R719)/('RAP TEMPLATE-GAS AVAILABILITY'!O719+'RAP TEMPLATE-GAS AVAILABILITY'!P719+'RAP TEMPLATE-GAS AVAILABILITY'!Q719+'RAP TEMPLATE-GAS AVAILABILITY'!R719)</f>
        <v>41.433748201438846</v>
      </c>
    </row>
    <row r="721" spans="1:29" ht="15.75" x14ac:dyDescent="0.25">
      <c r="A721" s="32">
        <v>62854</v>
      </c>
      <c r="B721" s="14">
        <f>CHOOSE(CONTROL!$C$42, 45.2245, 45.2245) * CHOOSE(CONTROL!$C$21, $C$9, 100%, $E$9)</f>
        <v>45.224499999999999</v>
      </c>
      <c r="C721" s="14">
        <f>CHOOSE(CONTROL!$C$42, 45.2294, 45.2294) * CHOOSE(CONTROL!$C$21, $C$9, 100%, $E$9)</f>
        <v>45.229399999999998</v>
      </c>
      <c r="D721" s="14">
        <f>CHOOSE(CONTROL!$C$42, 45.2937, 45.2937) * CHOOSE(CONTROL!$C$21, $C$9, 100%, $E$9)</f>
        <v>45.293700000000001</v>
      </c>
      <c r="E721" s="14">
        <f>CHOOSE(CONTROL!$C$42, 45.3275, 45.3275) * CHOOSE(CONTROL!$C$21, $C$9, 100%, $E$9)</f>
        <v>45.327500000000001</v>
      </c>
      <c r="F721" s="14">
        <f>CHOOSE(CONTROL!$C$42, 45.226, 45.226)*CHOOSE(CONTROL!$C$21, $C$9, 100%, $E$9)</f>
        <v>45.225999999999999</v>
      </c>
      <c r="G721" s="14">
        <f>CHOOSE(CONTROL!$C$42, 45.2419, 45.2419)*CHOOSE(CONTROL!$C$21, $C$9, 100%, $E$9)</f>
        <v>45.241900000000001</v>
      </c>
      <c r="H721" s="14">
        <f>CHOOSE(CONTROL!$C$42, 45.3167, 45.3167) * CHOOSE(CONTROL!$C$21, $C$9, 100%, $E$9)</f>
        <v>45.316699999999997</v>
      </c>
      <c r="I721" s="14">
        <f>CHOOSE(CONTROL!$C$42, 45.2444, 45.2444)* CHOOSE(CONTROL!$C$21, $C$9, 100%, $E$9)</f>
        <v>45.244399999999999</v>
      </c>
      <c r="J721" s="14">
        <f>CHOOSE(CONTROL!$C$42, 45.219, 45.219)* CHOOSE(CONTROL!$C$21, $C$9, 100%, $E$9)</f>
        <v>45.219000000000001</v>
      </c>
      <c r="K721" s="53">
        <f>CHOOSE(CONTROL!$C$42, 45.2405, 45.2405) * CHOOSE(CONTROL!$C$21, $C$9, 100%, $E$9)</f>
        <v>45.240499999999997</v>
      </c>
      <c r="L721" s="14">
        <f>CHOOSE(CONTROL!$C$42, 45.9037, 45.9037) * CHOOSE(CONTROL!$C$21, $C$9, 100%, $E$9)</f>
        <v>45.903700000000001</v>
      </c>
      <c r="M721" s="14">
        <f>CHOOSE(CONTROL!$C$42, 44.7765, 44.7765) * CHOOSE(CONTROL!$C$21, $C$9, 100%, $E$9)</f>
        <v>44.776499999999999</v>
      </c>
      <c r="N721" s="14">
        <f>CHOOSE(CONTROL!$C$42, 44.7922, 44.7922) * CHOOSE(CONTROL!$C$21, $C$9, 100%, $E$9)</f>
        <v>44.792200000000001</v>
      </c>
      <c r="O721" s="14">
        <f>CHOOSE(CONTROL!$C$42, 44.8732, 44.8732) * CHOOSE(CONTROL!$C$21, $C$9, 100%, $E$9)</f>
        <v>44.873199999999997</v>
      </c>
      <c r="P721" s="14">
        <f>CHOOSE(CONTROL!$C$42, 44.8017, 44.8017) * CHOOSE(CONTROL!$C$21, $C$9, 100%, $E$9)</f>
        <v>44.801699999999997</v>
      </c>
      <c r="Q721" s="14">
        <f>CHOOSE(CONTROL!$C$42, 45.4685, 45.4685) * CHOOSE(CONTROL!$C$21, $C$9, 100%, $E$9)</f>
        <v>45.468499999999999</v>
      </c>
      <c r="R721" s="14">
        <f>CHOOSE(CONTROL!$C$42, 46.1691, 46.1691) * CHOOSE(CONTROL!$C$21, $C$9, 100%, $E$9)</f>
        <v>46.1691</v>
      </c>
      <c r="S721" s="14">
        <f>CHOOSE(CONTROL!$C$42, 43.9153, 43.9153) * CHOOSE(CONTROL!$C$21, $C$9, 100%, $E$9)</f>
        <v>43.915300000000002</v>
      </c>
      <c r="T72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21" s="57">
        <f>(1000*CHOOSE(CONTROL!$C$42, 695, 695)*CHOOSE(CONTROL!$C$42, 0.5599, 0.5599)*CHOOSE(CONTROL!$C$42, 31, 31))/1000000</f>
        <v>12.063045499999998</v>
      </c>
      <c r="V721" s="57">
        <f>(1000*CHOOSE(CONTROL!$C$42, 500, 500)*CHOOSE(CONTROL!$C$42, 0.275, 0.275)*CHOOSE(CONTROL!$C$42, 31, 31))/1000000</f>
        <v>4.2625000000000002</v>
      </c>
      <c r="W721" s="57">
        <f>(1000*CHOOSE(CONTROL!$C$42, 0.1146, 0.1146)*CHOOSE(CONTROL!$C$42, 121.5, 121.5)*CHOOSE(CONTROL!$C$42, 31, 31))/1000000</f>
        <v>0.43164089999999994</v>
      </c>
      <c r="X721" s="57">
        <f>(31*0.1790888*100000/1000000)+(31*0.2374*100000/1000000)</f>
        <v>1.2911152800000001</v>
      </c>
      <c r="Y721" s="57"/>
      <c r="Z721" s="14"/>
      <c r="AA721" s="56"/>
      <c r="AB721" s="50">
        <f>(B721*122.58+C721*297.941+D721*89.177+E721*40.302+F721*40+G721*160+H721*0+I721*100+J721*300)/(122.58+297.941+89.177+40.302+0+40+160+100+300)</f>
        <v>45.23751396982609</v>
      </c>
      <c r="AC721" s="45">
        <f>(M721*'RAP TEMPLATE-GAS AVAILABILITY'!O720+N721*'RAP TEMPLATE-GAS AVAILABILITY'!P720+O721*'RAP TEMPLATE-GAS AVAILABILITY'!Q720+P721*'RAP TEMPLATE-GAS AVAILABILITY'!R720)/('RAP TEMPLATE-GAS AVAILABILITY'!O720+'RAP TEMPLATE-GAS AVAILABILITY'!P720+'RAP TEMPLATE-GAS AVAILABILITY'!Q720+'RAP TEMPLATE-GAS AVAILABILITY'!R720)</f>
        <v>44.824857553956832</v>
      </c>
    </row>
    <row r="722" spans="1:29" ht="15.75" x14ac:dyDescent="0.25">
      <c r="A722" s="32">
        <v>62883</v>
      </c>
      <c r="B722" s="14">
        <f>CHOOSE(CONTROL!$C$42, 46.0295, 46.0295) * CHOOSE(CONTROL!$C$21, $C$9, 100%, $E$9)</f>
        <v>46.029499999999999</v>
      </c>
      <c r="C722" s="14">
        <f>CHOOSE(CONTROL!$C$42, 46.0344, 46.0344) * CHOOSE(CONTROL!$C$21, $C$9, 100%, $E$9)</f>
        <v>46.034399999999998</v>
      </c>
      <c r="D722" s="14">
        <f>CHOOSE(CONTROL!$C$42, 46.0987, 46.0987) * CHOOSE(CONTROL!$C$21, $C$9, 100%, $E$9)</f>
        <v>46.098700000000001</v>
      </c>
      <c r="E722" s="14">
        <f>CHOOSE(CONTROL!$C$42, 46.1325, 46.1325) * CHOOSE(CONTROL!$C$21, $C$9, 100%, $E$9)</f>
        <v>46.1325</v>
      </c>
      <c r="F722" s="14">
        <f>CHOOSE(CONTROL!$C$42, 46.031, 46.031)*CHOOSE(CONTROL!$C$21, $C$9, 100%, $E$9)</f>
        <v>46.030999999999999</v>
      </c>
      <c r="G722" s="14">
        <f>CHOOSE(CONTROL!$C$42, 46.047, 46.047)*CHOOSE(CONTROL!$C$21, $C$9, 100%, $E$9)</f>
        <v>46.046999999999997</v>
      </c>
      <c r="H722" s="14">
        <f>CHOOSE(CONTROL!$C$42, 46.1217, 46.1217) * CHOOSE(CONTROL!$C$21, $C$9, 100%, $E$9)</f>
        <v>46.121699999999997</v>
      </c>
      <c r="I722" s="14">
        <f>CHOOSE(CONTROL!$C$42, 46.0494, 46.0494)* CHOOSE(CONTROL!$C$21, $C$9, 100%, $E$9)</f>
        <v>46.049399999999999</v>
      </c>
      <c r="J722" s="14">
        <f>CHOOSE(CONTROL!$C$42, 46.024, 46.024)* CHOOSE(CONTROL!$C$21, $C$9, 100%, $E$9)</f>
        <v>46.024000000000001</v>
      </c>
      <c r="K722" s="53">
        <f>CHOOSE(CONTROL!$C$42, 46.0456, 46.0456) * CHOOSE(CONTROL!$C$21, $C$9, 100%, $E$9)</f>
        <v>46.0456</v>
      </c>
      <c r="L722" s="14">
        <f>CHOOSE(CONTROL!$C$42, 46.7087, 46.7087) * CHOOSE(CONTROL!$C$21, $C$9, 100%, $E$9)</f>
        <v>46.7087</v>
      </c>
      <c r="M722" s="14">
        <f>CHOOSE(CONTROL!$C$42, 45.5734, 45.5734) * CHOOSE(CONTROL!$C$21, $C$9, 100%, $E$9)</f>
        <v>45.573399999999999</v>
      </c>
      <c r="N722" s="14">
        <f>CHOOSE(CONTROL!$C$42, 45.5892, 45.5892) * CHOOSE(CONTROL!$C$21, $C$9, 100%, $E$9)</f>
        <v>45.589199999999998</v>
      </c>
      <c r="O722" s="14">
        <f>CHOOSE(CONTROL!$C$42, 45.67, 45.67) * CHOOSE(CONTROL!$C$21, $C$9, 100%, $E$9)</f>
        <v>45.67</v>
      </c>
      <c r="P722" s="14">
        <f>CHOOSE(CONTROL!$C$42, 45.5986, 45.5986) * CHOOSE(CONTROL!$C$21, $C$9, 100%, $E$9)</f>
        <v>45.598599999999998</v>
      </c>
      <c r="Q722" s="14">
        <f>CHOOSE(CONTROL!$C$42, 46.2653, 46.2653) * CHOOSE(CONTROL!$C$21, $C$9, 100%, $E$9)</f>
        <v>46.265300000000003</v>
      </c>
      <c r="R722" s="14">
        <f>CHOOSE(CONTROL!$C$42, 46.968, 46.968) * CHOOSE(CONTROL!$C$21, $C$9, 100%, $E$9)</f>
        <v>46.968000000000004</v>
      </c>
      <c r="S722" s="14">
        <f>CHOOSE(CONTROL!$C$42, 44.6971, 44.6971) * CHOOSE(CONTROL!$C$21, $C$9, 100%, $E$9)</f>
        <v>44.697099999999999</v>
      </c>
      <c r="T722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722" s="57">
        <f>(1000*CHOOSE(CONTROL!$C$42, 695, 695)*CHOOSE(CONTROL!$C$42, 0.5599, 0.5599)*CHOOSE(CONTROL!$C$42, 29, 29))/1000000</f>
        <v>11.284784499999999</v>
      </c>
      <c r="V722" s="57">
        <f>(1000*CHOOSE(CONTROL!$C$42, 500, 500)*CHOOSE(CONTROL!$C$42, 0.275, 0.275)*CHOOSE(CONTROL!$C$42, 29, 29))/1000000</f>
        <v>3.9874999999999998</v>
      </c>
      <c r="W722" s="57">
        <f>(1000*CHOOSE(CONTROL!$C$42, 0.1146, 0.1146)*CHOOSE(CONTROL!$C$42, 121.5, 121.5)*CHOOSE(CONTROL!$C$42, 29, 29))/1000000</f>
        <v>0.40379309999999996</v>
      </c>
      <c r="X722" s="57">
        <f>(29*0.1790888*100000/1000000)+(29*0.2374*100000/1000000)</f>
        <v>1.2078175199999999</v>
      </c>
      <c r="Y722" s="57"/>
      <c r="Z722" s="14"/>
      <c r="AA722" s="56"/>
      <c r="AB722" s="50">
        <f>(B722*122.58+C722*297.941+D722*89.177+E722*40.302+F722*40+G722*160+H722*0+I722*100+J722*300)/(122.58+297.941+89.177+40.302+0+40+160+100+300)</f>
        <v>46.042527882869571</v>
      </c>
      <c r="AC722" s="45">
        <f>(M722*'RAP TEMPLATE-GAS AVAILABILITY'!O721+N722*'RAP TEMPLATE-GAS AVAILABILITY'!P721+O722*'RAP TEMPLATE-GAS AVAILABILITY'!Q721+P722*'RAP TEMPLATE-GAS AVAILABILITY'!R721)/('RAP TEMPLATE-GAS AVAILABILITY'!O721+'RAP TEMPLATE-GAS AVAILABILITY'!P721+'RAP TEMPLATE-GAS AVAILABILITY'!Q721+'RAP TEMPLATE-GAS AVAILABILITY'!R721)</f>
        <v>45.621717985611511</v>
      </c>
    </row>
    <row r="723" spans="1:29" ht="15.75" x14ac:dyDescent="0.25">
      <c r="A723" s="32">
        <v>62914</v>
      </c>
      <c r="B723" s="14">
        <f>CHOOSE(CONTROL!$C$42, 44.7227, 44.7227) * CHOOSE(CONTROL!$C$21, $C$9, 100%, $E$9)</f>
        <v>44.722700000000003</v>
      </c>
      <c r="C723" s="14">
        <f>CHOOSE(CONTROL!$C$42, 44.7277, 44.7277) * CHOOSE(CONTROL!$C$21, $C$9, 100%, $E$9)</f>
        <v>44.727699999999999</v>
      </c>
      <c r="D723" s="14">
        <f>CHOOSE(CONTROL!$C$42, 44.792, 44.792) * CHOOSE(CONTROL!$C$21, $C$9, 100%, $E$9)</f>
        <v>44.792000000000002</v>
      </c>
      <c r="E723" s="14">
        <f>CHOOSE(CONTROL!$C$42, 44.8257, 44.8257) * CHOOSE(CONTROL!$C$21, $C$9, 100%, $E$9)</f>
        <v>44.825699999999998</v>
      </c>
      <c r="F723" s="14">
        <f>CHOOSE(CONTROL!$C$42, 44.724, 44.724)*CHOOSE(CONTROL!$C$21, $C$9, 100%, $E$9)</f>
        <v>44.723999999999997</v>
      </c>
      <c r="G723" s="14">
        <f>CHOOSE(CONTROL!$C$42, 44.7398, 44.7398)*CHOOSE(CONTROL!$C$21, $C$9, 100%, $E$9)</f>
        <v>44.739800000000002</v>
      </c>
      <c r="H723" s="14">
        <f>CHOOSE(CONTROL!$C$42, 44.8149, 44.8149) * CHOOSE(CONTROL!$C$21, $C$9, 100%, $E$9)</f>
        <v>44.814900000000002</v>
      </c>
      <c r="I723" s="14">
        <f>CHOOSE(CONTROL!$C$42, 44.7427, 44.7427)* CHOOSE(CONTROL!$C$21, $C$9, 100%, $E$9)</f>
        <v>44.742699999999999</v>
      </c>
      <c r="J723" s="14">
        <f>CHOOSE(CONTROL!$C$42, 44.717, 44.717)* CHOOSE(CONTROL!$C$21, $C$9, 100%, $E$9)</f>
        <v>44.716999999999999</v>
      </c>
      <c r="K723" s="53">
        <f>CHOOSE(CONTROL!$C$42, 44.7388, 44.7388) * CHOOSE(CONTROL!$C$21, $C$9, 100%, $E$9)</f>
        <v>44.738799999999998</v>
      </c>
      <c r="L723" s="14">
        <f>CHOOSE(CONTROL!$C$42, 45.4019, 45.4019) * CHOOSE(CONTROL!$C$21, $C$9, 100%, $E$9)</f>
        <v>45.401899999999998</v>
      </c>
      <c r="M723" s="14">
        <f>CHOOSE(CONTROL!$C$42, 44.2795, 44.2795) * CHOOSE(CONTROL!$C$21, $C$9, 100%, $E$9)</f>
        <v>44.279499999999999</v>
      </c>
      <c r="N723" s="14">
        <f>CHOOSE(CONTROL!$C$42, 44.2952, 44.2952) * CHOOSE(CONTROL!$C$21, $C$9, 100%, $E$9)</f>
        <v>44.295200000000001</v>
      </c>
      <c r="O723" s="14">
        <f>CHOOSE(CONTROL!$C$42, 44.3765, 44.3765) * CHOOSE(CONTROL!$C$21, $C$9, 100%, $E$9)</f>
        <v>44.3765</v>
      </c>
      <c r="P723" s="14">
        <f>CHOOSE(CONTROL!$C$42, 44.3051, 44.3051) * CHOOSE(CONTROL!$C$21, $C$9, 100%, $E$9)</f>
        <v>44.305100000000003</v>
      </c>
      <c r="Q723" s="14">
        <f>CHOOSE(CONTROL!$C$42, 44.9718, 44.9718) * CHOOSE(CONTROL!$C$21, $C$9, 100%, $E$9)</f>
        <v>44.971800000000002</v>
      </c>
      <c r="R723" s="14">
        <f>CHOOSE(CONTROL!$C$42, 45.6712, 45.6712) * CHOOSE(CONTROL!$C$21, $C$9, 100%, $E$9)</f>
        <v>45.671199999999999</v>
      </c>
      <c r="S723" s="14">
        <f>CHOOSE(CONTROL!$C$42, 43.4281, 43.4281) * CHOOSE(CONTROL!$C$21, $C$9, 100%, $E$9)</f>
        <v>43.428100000000001</v>
      </c>
      <c r="T72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23" s="57">
        <f>(1000*CHOOSE(CONTROL!$C$42, 695, 695)*CHOOSE(CONTROL!$C$42, 0.5599, 0.5599)*CHOOSE(CONTROL!$C$42, 31, 31))/1000000</f>
        <v>12.063045499999998</v>
      </c>
      <c r="V723" s="57">
        <f>(1000*CHOOSE(CONTROL!$C$42, 500, 500)*CHOOSE(CONTROL!$C$42, 0.275, 0.275)*CHOOSE(CONTROL!$C$42, 31, 31))/1000000</f>
        <v>4.2625000000000002</v>
      </c>
      <c r="W723" s="57">
        <f>(1000*CHOOSE(CONTROL!$C$42, 0.1146, 0.1146)*CHOOSE(CONTROL!$C$42, 121.5, 121.5)*CHOOSE(CONTROL!$C$42, 31, 31))/1000000</f>
        <v>0.43164089999999994</v>
      </c>
      <c r="X723" s="57">
        <f>(31*0.1790888*100000/1000000)+(31*0.2374*100000/1000000)</f>
        <v>1.2911152800000001</v>
      </c>
      <c r="Y723" s="57"/>
      <c r="Z723" s="14"/>
      <c r="AA723" s="56"/>
      <c r="AB723" s="50">
        <f>(B723*122.58+C723*297.941+D723*89.177+E723*40.302+F723*40+G723*160+H723*0+I723*100+J723*300)/(122.58+297.941+89.177+40.302+0+40+160+100+300)</f>
        <v>44.735655458347821</v>
      </c>
      <c r="AC723" s="45">
        <f>(M723*'RAP TEMPLATE-GAS AVAILABILITY'!O722+N723*'RAP TEMPLATE-GAS AVAILABILITY'!P722+O723*'RAP TEMPLATE-GAS AVAILABILITY'!Q722+P723*'RAP TEMPLATE-GAS AVAILABILITY'!R722)/('RAP TEMPLATE-GAS AVAILABILITY'!O722+'RAP TEMPLATE-GAS AVAILABILITY'!P722+'RAP TEMPLATE-GAS AVAILABILITY'!Q722+'RAP TEMPLATE-GAS AVAILABILITY'!R722)</f>
        <v>44.328051079136685</v>
      </c>
    </row>
    <row r="724" spans="1:29" ht="15.75" x14ac:dyDescent="0.25">
      <c r="A724" s="32">
        <v>62944</v>
      </c>
      <c r="B724" s="14">
        <f>CHOOSE(CONTROL!$C$42, 44.59, 44.59) * CHOOSE(CONTROL!$C$21, $C$9, 100%, $E$9)</f>
        <v>44.59</v>
      </c>
      <c r="C724" s="14">
        <f>CHOOSE(CONTROL!$C$42, 44.5944, 44.5944) * CHOOSE(CONTROL!$C$21, $C$9, 100%, $E$9)</f>
        <v>44.5944</v>
      </c>
      <c r="D724" s="14">
        <f>CHOOSE(CONTROL!$C$42, 44.7951, 44.7951) * CHOOSE(CONTROL!$C$21, $C$9, 100%, $E$9)</f>
        <v>44.795099999999998</v>
      </c>
      <c r="E724" s="14">
        <f>CHOOSE(CONTROL!$C$42, 44.8269, 44.8269) * CHOOSE(CONTROL!$C$21, $C$9, 100%, $E$9)</f>
        <v>44.826900000000002</v>
      </c>
      <c r="F724" s="14">
        <f>CHOOSE(CONTROL!$C$42, 44.5746, 44.5746)*CHOOSE(CONTROL!$C$21, $C$9, 100%, $E$9)</f>
        <v>44.574599999999997</v>
      </c>
      <c r="G724" s="14">
        <f>CHOOSE(CONTROL!$C$42, 44.5902, 44.5902)*CHOOSE(CONTROL!$C$21, $C$9, 100%, $E$9)</f>
        <v>44.590200000000003</v>
      </c>
      <c r="H724" s="14">
        <f>CHOOSE(CONTROL!$C$42, 44.8167, 44.8167) * CHOOSE(CONTROL!$C$21, $C$9, 100%, $E$9)</f>
        <v>44.816699999999997</v>
      </c>
      <c r="I724" s="14">
        <f>CHOOSE(CONTROL!$C$42, 44.6028, 44.6028)* CHOOSE(CONTROL!$C$21, $C$9, 100%, $E$9)</f>
        <v>44.602800000000002</v>
      </c>
      <c r="J724" s="14">
        <f>CHOOSE(CONTROL!$C$42, 44.5676, 44.5676)* CHOOSE(CONTROL!$C$21, $C$9, 100%, $E$9)</f>
        <v>44.567599999999999</v>
      </c>
      <c r="K724" s="53">
        <f>CHOOSE(CONTROL!$C$42, 44.5989, 44.5989) * CHOOSE(CONTROL!$C$21, $C$9, 100%, $E$9)</f>
        <v>44.5989</v>
      </c>
      <c r="L724" s="14">
        <f>CHOOSE(CONTROL!$C$42, 45.4037, 45.4037) * CHOOSE(CONTROL!$C$21, $C$9, 100%, $E$9)</f>
        <v>45.403700000000001</v>
      </c>
      <c r="M724" s="14">
        <f>CHOOSE(CONTROL!$C$42, 44.1316, 44.1316) * CHOOSE(CONTROL!$C$21, $C$9, 100%, $E$9)</f>
        <v>44.131599999999999</v>
      </c>
      <c r="N724" s="14">
        <f>CHOOSE(CONTROL!$C$42, 44.1471, 44.1471) * CHOOSE(CONTROL!$C$21, $C$9, 100%, $E$9)</f>
        <v>44.147100000000002</v>
      </c>
      <c r="O724" s="14">
        <f>CHOOSE(CONTROL!$C$42, 44.3782, 44.3782) * CHOOSE(CONTROL!$C$21, $C$9, 100%, $E$9)</f>
        <v>44.3782</v>
      </c>
      <c r="P724" s="14">
        <f>CHOOSE(CONTROL!$C$42, 44.1665, 44.1665) * CHOOSE(CONTROL!$C$21, $C$9, 100%, $E$9)</f>
        <v>44.166499999999999</v>
      </c>
      <c r="Q724" s="14">
        <f>CHOOSE(CONTROL!$C$42, 44.9735, 44.9735) * CHOOSE(CONTROL!$C$21, $C$9, 100%, $E$9)</f>
        <v>44.973500000000001</v>
      </c>
      <c r="R724" s="14">
        <f>CHOOSE(CONTROL!$C$42, 45.673, 45.673) * CHOOSE(CONTROL!$C$21, $C$9, 100%, $E$9)</f>
        <v>45.673000000000002</v>
      </c>
      <c r="S724" s="14">
        <f>CHOOSE(CONTROL!$C$42, 43.2985, 43.2985) * CHOOSE(CONTROL!$C$21, $C$9, 100%, $E$9)</f>
        <v>43.298499999999997</v>
      </c>
      <c r="T72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24" s="57">
        <f>(1000*CHOOSE(CONTROL!$C$42, 695, 695)*CHOOSE(CONTROL!$C$42, 0.5599, 0.5599)*CHOOSE(CONTROL!$C$42, 30, 30))/1000000</f>
        <v>11.673914999999997</v>
      </c>
      <c r="V724" s="57">
        <f>(1000*CHOOSE(CONTROL!$C$42, 500, 500)*CHOOSE(CONTROL!$C$42, 0.275, 0.275)*CHOOSE(CONTROL!$C$42, 30, 30))/1000000</f>
        <v>4.125</v>
      </c>
      <c r="W724" s="57">
        <f>(1000*CHOOSE(CONTROL!$C$42, 0.1146, 0.1146)*CHOOSE(CONTROL!$C$42, 121.5, 121.5)*CHOOSE(CONTROL!$C$42, 30, 30))/1000000</f>
        <v>0.417717</v>
      </c>
      <c r="X724" s="57">
        <f>(30*0.1790888*245000/1000000)+(30*0.2374*100000/1000000)</f>
        <v>2.0285026799999999</v>
      </c>
      <c r="Y724" s="57"/>
      <c r="Z724" s="14"/>
      <c r="AA724" s="56"/>
      <c r="AB724" s="50">
        <f>(B724*141.293+C724*267.993+D724*115.016+E724*89.698+F724*40+G724*185+H724*0+I724*100+J724*300)/(141.293+267.993+115.016+89.698+0+40+185+100+300)</f>
        <v>44.622283621468917</v>
      </c>
      <c r="AC724" s="45">
        <f>(M724*'RAP TEMPLATE-GAS AVAILABILITY'!O723+N724*'RAP TEMPLATE-GAS AVAILABILITY'!P723+O724*'RAP TEMPLATE-GAS AVAILABILITY'!Q723+P724*'RAP TEMPLATE-GAS AVAILABILITY'!R723)/('RAP TEMPLATE-GAS AVAILABILITY'!O723+'RAP TEMPLATE-GAS AVAILABILITY'!P723+'RAP TEMPLATE-GAS AVAILABILITY'!Q723+'RAP TEMPLATE-GAS AVAILABILITY'!R723)</f>
        <v>44.249282014388484</v>
      </c>
    </row>
    <row r="725" spans="1:29" ht="15.75" x14ac:dyDescent="0.25">
      <c r="A725" s="32">
        <v>62975</v>
      </c>
      <c r="B725" s="14">
        <f>CHOOSE(CONTROL!$C$42, 44.9849, 44.9849) * CHOOSE(CONTROL!$C$21, $C$9, 100%, $E$9)</f>
        <v>44.984900000000003</v>
      </c>
      <c r="C725" s="14">
        <f>CHOOSE(CONTROL!$C$42, 44.9928, 44.9928) * CHOOSE(CONTROL!$C$21, $C$9, 100%, $E$9)</f>
        <v>44.992800000000003</v>
      </c>
      <c r="D725" s="14">
        <f>CHOOSE(CONTROL!$C$42, 45.1904, 45.1904) * CHOOSE(CONTROL!$C$21, $C$9, 100%, $E$9)</f>
        <v>45.190399999999997</v>
      </c>
      <c r="E725" s="14">
        <f>CHOOSE(CONTROL!$C$42, 45.2216, 45.2216) * CHOOSE(CONTROL!$C$21, $C$9, 100%, $E$9)</f>
        <v>45.221600000000002</v>
      </c>
      <c r="F725" s="14">
        <f>CHOOSE(CONTROL!$C$42, 44.9683, 44.9683)*CHOOSE(CONTROL!$C$21, $C$9, 100%, $E$9)</f>
        <v>44.968299999999999</v>
      </c>
      <c r="G725" s="14">
        <f>CHOOSE(CONTROL!$C$42, 44.9844, 44.9844)*CHOOSE(CONTROL!$C$21, $C$9, 100%, $E$9)</f>
        <v>44.984400000000001</v>
      </c>
      <c r="H725" s="14">
        <f>CHOOSE(CONTROL!$C$42, 45.2102, 45.2102) * CHOOSE(CONTROL!$C$21, $C$9, 100%, $E$9)</f>
        <v>45.2102</v>
      </c>
      <c r="I725" s="14">
        <f>CHOOSE(CONTROL!$C$42, 44.9963, 44.9963)* CHOOSE(CONTROL!$C$21, $C$9, 100%, $E$9)</f>
        <v>44.996299999999998</v>
      </c>
      <c r="J725" s="14">
        <f>CHOOSE(CONTROL!$C$42, 44.9613, 44.9613)* CHOOSE(CONTROL!$C$21, $C$9, 100%, $E$9)</f>
        <v>44.961300000000001</v>
      </c>
      <c r="K725" s="53">
        <f>CHOOSE(CONTROL!$C$42, 44.9924, 44.9924) * CHOOSE(CONTROL!$C$21, $C$9, 100%, $E$9)</f>
        <v>44.992400000000004</v>
      </c>
      <c r="L725" s="14">
        <f>CHOOSE(CONTROL!$C$42, 45.7972, 45.7972) * CHOOSE(CONTROL!$C$21, $C$9, 100%, $E$9)</f>
        <v>45.797199999999997</v>
      </c>
      <c r="M725" s="14">
        <f>CHOOSE(CONTROL!$C$42, 44.5214, 44.5214) * CHOOSE(CONTROL!$C$21, $C$9, 100%, $E$9)</f>
        <v>44.5214</v>
      </c>
      <c r="N725" s="14">
        <f>CHOOSE(CONTROL!$C$42, 44.5374, 44.5374) * CHOOSE(CONTROL!$C$21, $C$9, 100%, $E$9)</f>
        <v>44.537399999999998</v>
      </c>
      <c r="O725" s="14">
        <f>CHOOSE(CONTROL!$C$42, 44.7678, 44.7678) * CHOOSE(CONTROL!$C$21, $C$9, 100%, $E$9)</f>
        <v>44.767800000000001</v>
      </c>
      <c r="P725" s="14">
        <f>CHOOSE(CONTROL!$C$42, 44.5561, 44.5561) * CHOOSE(CONTROL!$C$21, $C$9, 100%, $E$9)</f>
        <v>44.556100000000001</v>
      </c>
      <c r="Q725" s="14">
        <f>CHOOSE(CONTROL!$C$42, 45.3631, 45.3631) * CHOOSE(CONTROL!$C$21, $C$9, 100%, $E$9)</f>
        <v>45.363100000000003</v>
      </c>
      <c r="R725" s="14">
        <f>CHOOSE(CONTROL!$C$42, 46.0635, 46.0635) * CHOOSE(CONTROL!$C$21, $C$9, 100%, $E$9)</f>
        <v>46.063499999999998</v>
      </c>
      <c r="S725" s="14">
        <f>CHOOSE(CONTROL!$C$42, 43.6806, 43.6806) * CHOOSE(CONTROL!$C$21, $C$9, 100%, $E$9)</f>
        <v>43.680599999999998</v>
      </c>
      <c r="T72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25" s="57">
        <f>(1000*CHOOSE(CONTROL!$C$42, 695, 695)*CHOOSE(CONTROL!$C$42, 0.5599, 0.5599)*CHOOSE(CONTROL!$C$42, 31, 31))/1000000</f>
        <v>12.063045499999998</v>
      </c>
      <c r="V725" s="57">
        <f>(1000*CHOOSE(CONTROL!$C$42, 500, 500)*CHOOSE(CONTROL!$C$42, 0.275, 0.275)*CHOOSE(CONTROL!$C$42, 31, 31))/1000000</f>
        <v>4.2625000000000002</v>
      </c>
      <c r="W725" s="57">
        <f>(1000*CHOOSE(CONTROL!$C$42, 0.1146, 0.1146)*CHOOSE(CONTROL!$C$42, 121.5, 121.5)*CHOOSE(CONTROL!$C$42, 31, 31))/1000000</f>
        <v>0.43164089999999994</v>
      </c>
      <c r="X725" s="57">
        <f>(31*0.1790888*245000/1000000)+(31*0.2374*100000/1000000)</f>
        <v>2.0961194359999999</v>
      </c>
      <c r="Y725" s="57"/>
      <c r="Z725" s="14"/>
      <c r="AA725" s="56"/>
      <c r="AB725" s="50">
        <f>(B725*194.205+C725*267.466+D725*133.845+E725*53.484+F725*40+G725*185+H725*0+I725*100+J725*300)/(194.205+267.466+133.845+53.484+0+40+185+100+300)</f>
        <v>45.012828800392469</v>
      </c>
      <c r="AC725" s="45">
        <f>(M725*'RAP TEMPLATE-GAS AVAILABILITY'!O724+N725*'RAP TEMPLATE-GAS AVAILABILITY'!P724+O725*'RAP TEMPLATE-GAS AVAILABILITY'!Q724+P725*'RAP TEMPLATE-GAS AVAILABILITY'!R724)/('RAP TEMPLATE-GAS AVAILABILITY'!O724+'RAP TEMPLATE-GAS AVAILABILITY'!P724+'RAP TEMPLATE-GAS AVAILABILITY'!Q724+'RAP TEMPLATE-GAS AVAILABILITY'!R724)</f>
        <v>44.638991366906481</v>
      </c>
    </row>
    <row r="726" spans="1:29" ht="15.75" x14ac:dyDescent="0.25">
      <c r="A726" s="32">
        <v>63005</v>
      </c>
      <c r="B726" s="14">
        <f>CHOOSE(CONTROL!$C$42, 46.2608, 46.2608) * CHOOSE(CONTROL!$C$21, $C$9, 100%, $E$9)</f>
        <v>46.260800000000003</v>
      </c>
      <c r="C726" s="14">
        <f>CHOOSE(CONTROL!$C$42, 46.2687, 46.2687) * CHOOSE(CONTROL!$C$21, $C$9, 100%, $E$9)</f>
        <v>46.268700000000003</v>
      </c>
      <c r="D726" s="14">
        <f>CHOOSE(CONTROL!$C$42, 46.4663, 46.4663) * CHOOSE(CONTROL!$C$21, $C$9, 100%, $E$9)</f>
        <v>46.466299999999997</v>
      </c>
      <c r="E726" s="14">
        <f>CHOOSE(CONTROL!$C$42, 46.4975, 46.4975) * CHOOSE(CONTROL!$C$21, $C$9, 100%, $E$9)</f>
        <v>46.497500000000002</v>
      </c>
      <c r="F726" s="14">
        <f>CHOOSE(CONTROL!$C$42, 46.2447, 46.2447)*CHOOSE(CONTROL!$C$21, $C$9, 100%, $E$9)</f>
        <v>46.244700000000002</v>
      </c>
      <c r="G726" s="14">
        <f>CHOOSE(CONTROL!$C$42, 46.2609, 46.2609)*CHOOSE(CONTROL!$C$21, $C$9, 100%, $E$9)</f>
        <v>46.260899999999999</v>
      </c>
      <c r="H726" s="14">
        <f>CHOOSE(CONTROL!$C$42, 46.4861, 46.4861) * CHOOSE(CONTROL!$C$21, $C$9, 100%, $E$9)</f>
        <v>46.4861</v>
      </c>
      <c r="I726" s="14">
        <f>CHOOSE(CONTROL!$C$42, 46.2722, 46.2722)* CHOOSE(CONTROL!$C$21, $C$9, 100%, $E$9)</f>
        <v>46.272199999999998</v>
      </c>
      <c r="J726" s="14">
        <f>CHOOSE(CONTROL!$C$42, 46.2377, 46.2377)* CHOOSE(CONTROL!$C$21, $C$9, 100%, $E$9)</f>
        <v>46.237699999999997</v>
      </c>
      <c r="K726" s="53">
        <f>CHOOSE(CONTROL!$C$42, 46.2683, 46.2683) * CHOOSE(CONTROL!$C$21, $C$9, 100%, $E$9)</f>
        <v>46.268300000000004</v>
      </c>
      <c r="L726" s="14">
        <f>CHOOSE(CONTROL!$C$42, 47.0731, 47.0731) * CHOOSE(CONTROL!$C$21, $C$9, 100%, $E$9)</f>
        <v>47.073099999999997</v>
      </c>
      <c r="M726" s="14">
        <f>CHOOSE(CONTROL!$C$42, 45.7849, 45.7849) * CHOOSE(CONTROL!$C$21, $C$9, 100%, $E$9)</f>
        <v>45.7849</v>
      </c>
      <c r="N726" s="14">
        <f>CHOOSE(CONTROL!$C$42, 45.8009, 45.8009) * CHOOSE(CONTROL!$C$21, $C$9, 100%, $E$9)</f>
        <v>45.800899999999999</v>
      </c>
      <c r="O726" s="14">
        <f>CHOOSE(CONTROL!$C$42, 46.0308, 46.0308) * CHOOSE(CONTROL!$C$21, $C$9, 100%, $E$9)</f>
        <v>46.030799999999999</v>
      </c>
      <c r="P726" s="14">
        <f>CHOOSE(CONTROL!$C$42, 45.8191, 45.8191) * CHOOSE(CONTROL!$C$21, $C$9, 100%, $E$9)</f>
        <v>45.819099999999999</v>
      </c>
      <c r="Q726" s="14">
        <f>CHOOSE(CONTROL!$C$42, 46.6261, 46.6261) * CHOOSE(CONTROL!$C$21, $C$9, 100%, $E$9)</f>
        <v>46.626100000000001</v>
      </c>
      <c r="R726" s="14">
        <f>CHOOSE(CONTROL!$C$42, 47.3297, 47.3297) * CHOOSE(CONTROL!$C$21, $C$9, 100%, $E$9)</f>
        <v>47.329700000000003</v>
      </c>
      <c r="S726" s="14">
        <f>CHOOSE(CONTROL!$C$42, 44.9196, 44.9196) * CHOOSE(CONTROL!$C$21, $C$9, 100%, $E$9)</f>
        <v>44.919600000000003</v>
      </c>
      <c r="T72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26" s="57">
        <f>(1000*CHOOSE(CONTROL!$C$42, 695, 695)*CHOOSE(CONTROL!$C$42, 0.5599, 0.5599)*CHOOSE(CONTROL!$C$42, 30, 30))/1000000</f>
        <v>11.673914999999997</v>
      </c>
      <c r="V726" s="57">
        <f>(1000*CHOOSE(CONTROL!$C$42, 500, 500)*CHOOSE(CONTROL!$C$42, 0.275, 0.275)*CHOOSE(CONTROL!$C$42, 30, 30))/1000000</f>
        <v>4.125</v>
      </c>
      <c r="W726" s="57">
        <f>(1000*CHOOSE(CONTROL!$C$42, 0.1146, 0.1146)*CHOOSE(CONTROL!$C$42, 121.5, 121.5)*CHOOSE(CONTROL!$C$42, 30, 30))/1000000</f>
        <v>0.417717</v>
      </c>
      <c r="X726" s="57">
        <f>(30*0.1790888*245000/1000000)+(30*0.2374*100000/1000000)</f>
        <v>2.0285026799999999</v>
      </c>
      <c r="Y726" s="57"/>
      <c r="Z726" s="14"/>
      <c r="AA726" s="56"/>
      <c r="AB726" s="50">
        <f>(B726*194.205+C726*267.466+D726*133.845+E726*53.484+F726*40+G726*185+H726*0+I726*100+J726*300)/(194.205+267.466+133.845+53.484+0+40+185+100+300)</f>
        <v>46.288949365541598</v>
      </c>
      <c r="AC726" s="45">
        <f>(M726*'RAP TEMPLATE-GAS AVAILABILITY'!O725+N726*'RAP TEMPLATE-GAS AVAILABILITY'!P725+O726*'RAP TEMPLATE-GAS AVAILABILITY'!Q725+P726*'RAP TEMPLATE-GAS AVAILABILITY'!R725)/('RAP TEMPLATE-GAS AVAILABILITY'!O725+'RAP TEMPLATE-GAS AVAILABILITY'!P725+'RAP TEMPLATE-GAS AVAILABILITY'!Q725+'RAP TEMPLATE-GAS AVAILABILITY'!R725)</f>
        <v>45.902192805755398</v>
      </c>
    </row>
    <row r="727" spans="1:29" ht="15.75" x14ac:dyDescent="0.25">
      <c r="A727" s="32">
        <v>63036</v>
      </c>
      <c r="B727" s="14">
        <f>CHOOSE(CONTROL!$C$42, 45.3734, 45.3734) * CHOOSE(CONTROL!$C$21, $C$9, 100%, $E$9)</f>
        <v>45.373399999999997</v>
      </c>
      <c r="C727" s="14">
        <f>CHOOSE(CONTROL!$C$42, 45.3814, 45.3814) * CHOOSE(CONTROL!$C$21, $C$9, 100%, $E$9)</f>
        <v>45.381399999999999</v>
      </c>
      <c r="D727" s="14">
        <f>CHOOSE(CONTROL!$C$42, 45.5789, 45.5789) * CHOOSE(CONTROL!$C$21, $C$9, 100%, $E$9)</f>
        <v>45.578899999999997</v>
      </c>
      <c r="E727" s="14">
        <f>CHOOSE(CONTROL!$C$42, 45.6101, 45.6101) * CHOOSE(CONTROL!$C$21, $C$9, 100%, $E$9)</f>
        <v>45.610100000000003</v>
      </c>
      <c r="F727" s="14">
        <f>CHOOSE(CONTROL!$C$42, 45.3577, 45.3577)*CHOOSE(CONTROL!$C$21, $C$9, 100%, $E$9)</f>
        <v>45.357700000000001</v>
      </c>
      <c r="G727" s="14">
        <f>CHOOSE(CONTROL!$C$42, 45.374, 45.374)*CHOOSE(CONTROL!$C$21, $C$9, 100%, $E$9)</f>
        <v>45.374000000000002</v>
      </c>
      <c r="H727" s="14">
        <f>CHOOSE(CONTROL!$C$42, 45.5987, 45.5987) * CHOOSE(CONTROL!$C$21, $C$9, 100%, $E$9)</f>
        <v>45.598700000000001</v>
      </c>
      <c r="I727" s="14">
        <f>CHOOSE(CONTROL!$C$42, 45.3848, 45.3848)* CHOOSE(CONTROL!$C$21, $C$9, 100%, $E$9)</f>
        <v>45.384799999999998</v>
      </c>
      <c r="J727" s="14">
        <f>CHOOSE(CONTROL!$C$42, 45.3507, 45.3507)* CHOOSE(CONTROL!$C$21, $C$9, 100%, $E$9)</f>
        <v>45.350700000000003</v>
      </c>
      <c r="K727" s="53">
        <f>CHOOSE(CONTROL!$C$42, 45.3809, 45.3809) * CHOOSE(CONTROL!$C$21, $C$9, 100%, $E$9)</f>
        <v>45.380899999999997</v>
      </c>
      <c r="L727" s="14">
        <f>CHOOSE(CONTROL!$C$42, 46.1857, 46.1857) * CHOOSE(CONTROL!$C$21, $C$9, 100%, $E$9)</f>
        <v>46.185699999999997</v>
      </c>
      <c r="M727" s="14">
        <f>CHOOSE(CONTROL!$C$42, 44.9068, 44.9068) * CHOOSE(CONTROL!$C$21, $C$9, 100%, $E$9)</f>
        <v>44.906799999999997</v>
      </c>
      <c r="N727" s="14">
        <f>CHOOSE(CONTROL!$C$42, 44.923, 44.923) * CHOOSE(CONTROL!$C$21, $C$9, 100%, $E$9)</f>
        <v>44.923000000000002</v>
      </c>
      <c r="O727" s="14">
        <f>CHOOSE(CONTROL!$C$42, 45.1524, 45.1524) * CHOOSE(CONTROL!$C$21, $C$9, 100%, $E$9)</f>
        <v>45.1524</v>
      </c>
      <c r="P727" s="14">
        <f>CHOOSE(CONTROL!$C$42, 44.9407, 44.9407) * CHOOSE(CONTROL!$C$21, $C$9, 100%, $E$9)</f>
        <v>44.9407</v>
      </c>
      <c r="Q727" s="14">
        <f>CHOOSE(CONTROL!$C$42, 45.7477, 45.7477) * CHOOSE(CONTROL!$C$21, $C$9, 100%, $E$9)</f>
        <v>45.747700000000002</v>
      </c>
      <c r="R727" s="14">
        <f>CHOOSE(CONTROL!$C$42, 46.449, 46.449) * CHOOSE(CONTROL!$C$21, $C$9, 100%, $E$9)</f>
        <v>46.448999999999998</v>
      </c>
      <c r="S727" s="14">
        <f>CHOOSE(CONTROL!$C$42, 44.0579, 44.0579) * CHOOSE(CONTROL!$C$21, $C$9, 100%, $E$9)</f>
        <v>44.057899999999997</v>
      </c>
      <c r="T72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27" s="57">
        <f>(1000*CHOOSE(CONTROL!$C$42, 695, 695)*CHOOSE(CONTROL!$C$42, 0.5599, 0.5599)*CHOOSE(CONTROL!$C$42, 31, 31))/1000000</f>
        <v>12.063045499999998</v>
      </c>
      <c r="V727" s="57">
        <f>(1000*CHOOSE(CONTROL!$C$42, 500, 500)*CHOOSE(CONTROL!$C$42, 0.275, 0.275)*CHOOSE(CONTROL!$C$42, 31, 31))/1000000</f>
        <v>4.2625000000000002</v>
      </c>
      <c r="W727" s="57">
        <f>(1000*CHOOSE(CONTROL!$C$42, 0.1146, 0.1146)*CHOOSE(CONTROL!$C$42, 121.5, 121.5)*CHOOSE(CONTROL!$C$42, 31, 31))/1000000</f>
        <v>0.43164089999999994</v>
      </c>
      <c r="X727" s="57">
        <f>(31*0.1790888*245000/1000000)+(31*0.2374*100000/1000000)</f>
        <v>2.0961194359999999</v>
      </c>
      <c r="Y727" s="57"/>
      <c r="Z727" s="14"/>
      <c r="AA727" s="56"/>
      <c r="AB727" s="50">
        <f>(B727*194.205+C727*267.466+D727*133.845+E727*53.484+F727*40+G727*185+H727*0+I727*100+J727*300)/(194.205+267.466+133.845+53.484+0+40+185+100+300)</f>
        <v>45.401749716091047</v>
      </c>
      <c r="AC727" s="45">
        <f>(M727*'RAP TEMPLATE-GAS AVAILABILITY'!O726+N727*'RAP TEMPLATE-GAS AVAILABILITY'!P726+O727*'RAP TEMPLATE-GAS AVAILABILITY'!Q726+P727*'RAP TEMPLATE-GAS AVAILABILITY'!R726)/('RAP TEMPLATE-GAS AVAILABILITY'!O726+'RAP TEMPLATE-GAS AVAILABILITY'!P726+'RAP TEMPLATE-GAS AVAILABILITY'!Q726+'RAP TEMPLATE-GAS AVAILABILITY'!R726)</f>
        <v>45.023925179856114</v>
      </c>
    </row>
    <row r="728" spans="1:29" ht="15.75" x14ac:dyDescent="0.25">
      <c r="A728" s="32">
        <v>63067</v>
      </c>
      <c r="B728" s="14">
        <f>CHOOSE(CONTROL!$C$42, 43.1325, 43.1325) * CHOOSE(CONTROL!$C$21, $C$9, 100%, $E$9)</f>
        <v>43.1325</v>
      </c>
      <c r="C728" s="14">
        <f>CHOOSE(CONTROL!$C$42, 43.1404, 43.1404) * CHOOSE(CONTROL!$C$21, $C$9, 100%, $E$9)</f>
        <v>43.1404</v>
      </c>
      <c r="D728" s="14">
        <f>CHOOSE(CONTROL!$C$42, 43.338, 43.338) * CHOOSE(CONTROL!$C$21, $C$9, 100%, $E$9)</f>
        <v>43.338000000000001</v>
      </c>
      <c r="E728" s="14">
        <f>CHOOSE(CONTROL!$C$42, 43.3691, 43.3691) * CHOOSE(CONTROL!$C$21, $C$9, 100%, $E$9)</f>
        <v>43.369100000000003</v>
      </c>
      <c r="F728" s="14">
        <f>CHOOSE(CONTROL!$C$42, 43.1169, 43.1169)*CHOOSE(CONTROL!$C$21, $C$9, 100%, $E$9)</f>
        <v>43.116900000000001</v>
      </c>
      <c r="G728" s="14">
        <f>CHOOSE(CONTROL!$C$42, 43.1333, 43.1333)*CHOOSE(CONTROL!$C$21, $C$9, 100%, $E$9)</f>
        <v>43.133299999999998</v>
      </c>
      <c r="H728" s="14">
        <f>CHOOSE(CONTROL!$C$42, 43.3577, 43.3577) * CHOOSE(CONTROL!$C$21, $C$9, 100%, $E$9)</f>
        <v>43.357700000000001</v>
      </c>
      <c r="I728" s="14">
        <f>CHOOSE(CONTROL!$C$42, 43.1438, 43.1438)* CHOOSE(CONTROL!$C$21, $C$9, 100%, $E$9)</f>
        <v>43.143799999999999</v>
      </c>
      <c r="J728" s="14">
        <f>CHOOSE(CONTROL!$C$42, 43.1099, 43.1099)* CHOOSE(CONTROL!$C$21, $C$9, 100%, $E$9)</f>
        <v>43.109900000000003</v>
      </c>
      <c r="K728" s="53">
        <f>CHOOSE(CONTROL!$C$42, 43.1399, 43.1399) * CHOOSE(CONTROL!$C$21, $C$9, 100%, $E$9)</f>
        <v>43.139899999999997</v>
      </c>
      <c r="L728" s="14">
        <f>CHOOSE(CONTROL!$C$42, 43.9447, 43.9447) * CHOOSE(CONTROL!$C$21, $C$9, 100%, $E$9)</f>
        <v>43.944699999999997</v>
      </c>
      <c r="M728" s="14">
        <f>CHOOSE(CONTROL!$C$42, 42.6887, 42.6887) * CHOOSE(CONTROL!$C$21, $C$9, 100%, $E$9)</f>
        <v>42.688699999999997</v>
      </c>
      <c r="N728" s="14">
        <f>CHOOSE(CONTROL!$C$42, 42.7049, 42.7049) * CHOOSE(CONTROL!$C$21, $C$9, 100%, $E$9)</f>
        <v>42.704900000000002</v>
      </c>
      <c r="O728" s="14">
        <f>CHOOSE(CONTROL!$C$42, 42.934, 42.934) * CHOOSE(CONTROL!$C$21, $C$9, 100%, $E$9)</f>
        <v>42.933999999999997</v>
      </c>
      <c r="P728" s="14">
        <f>CHOOSE(CONTROL!$C$42, 42.7223, 42.7223) * CHOOSE(CONTROL!$C$21, $C$9, 100%, $E$9)</f>
        <v>42.722299999999997</v>
      </c>
      <c r="Q728" s="14">
        <f>CHOOSE(CONTROL!$C$42, 43.5293, 43.5293) * CHOOSE(CONTROL!$C$21, $C$9, 100%, $E$9)</f>
        <v>43.529299999999999</v>
      </c>
      <c r="R728" s="14">
        <f>CHOOSE(CONTROL!$C$42, 44.2251, 44.2251) * CHOOSE(CONTROL!$C$21, $C$9, 100%, $E$9)</f>
        <v>44.225099999999998</v>
      </c>
      <c r="S728" s="14">
        <f>CHOOSE(CONTROL!$C$42, 41.8817, 41.8817) * CHOOSE(CONTROL!$C$21, $C$9, 100%, $E$9)</f>
        <v>41.881700000000002</v>
      </c>
      <c r="T72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28" s="57">
        <f>(1000*CHOOSE(CONTROL!$C$42, 695, 695)*CHOOSE(CONTROL!$C$42, 0.5599, 0.5599)*CHOOSE(CONTROL!$C$42, 31, 31))/1000000</f>
        <v>12.063045499999998</v>
      </c>
      <c r="V728" s="57">
        <f>(1000*CHOOSE(CONTROL!$C$42, 500, 500)*CHOOSE(CONTROL!$C$42, 0.275, 0.275)*CHOOSE(CONTROL!$C$42, 31, 31))/1000000</f>
        <v>4.2625000000000002</v>
      </c>
      <c r="W728" s="57">
        <f>(1000*CHOOSE(CONTROL!$C$42, 0.1146, 0.1146)*CHOOSE(CONTROL!$C$42, 121.5, 121.5)*CHOOSE(CONTROL!$C$42, 31, 31))/1000000</f>
        <v>0.43164089999999994</v>
      </c>
      <c r="X728" s="57">
        <f>(31*0.1790888*245000/1000000)+(31*0.2374*100000/1000000)</f>
        <v>2.0961194359999999</v>
      </c>
      <c r="Y728" s="57"/>
      <c r="Z728" s="14"/>
      <c r="AA728" s="56"/>
      <c r="AB728" s="50">
        <f>(B728*194.205+C728*267.466+D728*133.845+E728*53.484+F728*40+G728*185+H728*0+I728*100+J728*300)/(194.205+267.466+133.845+53.484+0+40+185+100+300)</f>
        <v>43.160872404474098</v>
      </c>
      <c r="AC728" s="45">
        <f>(M728*'RAP TEMPLATE-GAS AVAILABILITY'!O727+N728*'RAP TEMPLATE-GAS AVAILABILITY'!P727+O728*'RAP TEMPLATE-GAS AVAILABILITY'!Q727+P728*'RAP TEMPLATE-GAS AVAILABILITY'!R727)/('RAP TEMPLATE-GAS AVAILABILITY'!O727+'RAP TEMPLATE-GAS AVAILABILITY'!P727+'RAP TEMPLATE-GAS AVAILABILITY'!Q727+'RAP TEMPLATE-GAS AVAILABILITY'!R727)</f>
        <v>42.80564604316546</v>
      </c>
    </row>
    <row r="729" spans="1:29" ht="15.75" x14ac:dyDescent="0.25">
      <c r="A729" s="32">
        <v>63097</v>
      </c>
      <c r="B729" s="14">
        <f>CHOOSE(CONTROL!$C$42, 40.394, 40.394) * CHOOSE(CONTROL!$C$21, $C$9, 100%, $E$9)</f>
        <v>40.393999999999998</v>
      </c>
      <c r="C729" s="14">
        <f>CHOOSE(CONTROL!$C$42, 40.402, 40.402) * CHOOSE(CONTROL!$C$21, $C$9, 100%, $E$9)</f>
        <v>40.402000000000001</v>
      </c>
      <c r="D729" s="14">
        <f>CHOOSE(CONTROL!$C$42, 40.5995, 40.5995) * CHOOSE(CONTROL!$C$21, $C$9, 100%, $E$9)</f>
        <v>40.599499999999999</v>
      </c>
      <c r="E729" s="14">
        <f>CHOOSE(CONTROL!$C$42, 40.6307, 40.6307) * CHOOSE(CONTROL!$C$21, $C$9, 100%, $E$9)</f>
        <v>40.630699999999997</v>
      </c>
      <c r="F729" s="14">
        <f>CHOOSE(CONTROL!$C$42, 40.3784, 40.3784)*CHOOSE(CONTROL!$C$21, $C$9, 100%, $E$9)</f>
        <v>40.378399999999999</v>
      </c>
      <c r="G729" s="14">
        <f>CHOOSE(CONTROL!$C$42, 40.3948, 40.3948)*CHOOSE(CONTROL!$C$21, $C$9, 100%, $E$9)</f>
        <v>40.394799999999996</v>
      </c>
      <c r="H729" s="14">
        <f>CHOOSE(CONTROL!$C$42, 40.6193, 40.6193) * CHOOSE(CONTROL!$C$21, $C$9, 100%, $E$9)</f>
        <v>40.619300000000003</v>
      </c>
      <c r="I729" s="14">
        <f>CHOOSE(CONTROL!$C$42, 40.4054, 40.4054)* CHOOSE(CONTROL!$C$21, $C$9, 100%, $E$9)</f>
        <v>40.4054</v>
      </c>
      <c r="J729" s="14">
        <f>CHOOSE(CONTROL!$C$42, 40.3714, 40.3714)* CHOOSE(CONTROL!$C$21, $C$9, 100%, $E$9)</f>
        <v>40.371400000000001</v>
      </c>
      <c r="K729" s="53">
        <f>CHOOSE(CONTROL!$C$42, 40.4015, 40.4015) * CHOOSE(CONTROL!$C$21, $C$9, 100%, $E$9)</f>
        <v>40.401499999999999</v>
      </c>
      <c r="L729" s="14">
        <f>CHOOSE(CONTROL!$C$42, 41.2063, 41.2063) * CHOOSE(CONTROL!$C$21, $C$9, 100%, $E$9)</f>
        <v>41.206299999999999</v>
      </c>
      <c r="M729" s="14">
        <f>CHOOSE(CONTROL!$C$42, 39.9778, 39.9778) * CHOOSE(CONTROL!$C$21, $C$9, 100%, $E$9)</f>
        <v>39.977800000000002</v>
      </c>
      <c r="N729" s="14">
        <f>CHOOSE(CONTROL!$C$42, 39.994, 39.994) * CHOOSE(CONTROL!$C$21, $C$9, 100%, $E$9)</f>
        <v>39.994</v>
      </c>
      <c r="O729" s="14">
        <f>CHOOSE(CONTROL!$C$42, 40.2232, 40.2232) * CHOOSE(CONTROL!$C$21, $C$9, 100%, $E$9)</f>
        <v>40.223199999999999</v>
      </c>
      <c r="P729" s="14">
        <f>CHOOSE(CONTROL!$C$42, 40.0115, 40.0115) * CHOOSE(CONTROL!$C$21, $C$9, 100%, $E$9)</f>
        <v>40.011499999999998</v>
      </c>
      <c r="Q729" s="14">
        <f>CHOOSE(CONTROL!$C$42, 40.8185, 40.8185) * CHOOSE(CONTROL!$C$21, $C$9, 100%, $E$9)</f>
        <v>40.8185</v>
      </c>
      <c r="R729" s="14">
        <f>CHOOSE(CONTROL!$C$42, 41.5076, 41.5076) * CHOOSE(CONTROL!$C$21, $C$9, 100%, $E$9)</f>
        <v>41.507599999999996</v>
      </c>
      <c r="S729" s="14">
        <f>CHOOSE(CONTROL!$C$42, 39.2224, 39.2224) * CHOOSE(CONTROL!$C$21, $C$9, 100%, $E$9)</f>
        <v>39.2224</v>
      </c>
      <c r="T72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29" s="57">
        <f>(1000*CHOOSE(CONTROL!$C$42, 695, 695)*CHOOSE(CONTROL!$C$42, 0.5599, 0.5599)*CHOOSE(CONTROL!$C$42, 30, 30))/1000000</f>
        <v>11.673914999999997</v>
      </c>
      <c r="V729" s="57">
        <f>(1000*CHOOSE(CONTROL!$C$42, 500, 500)*CHOOSE(CONTROL!$C$42, 0.275, 0.275)*CHOOSE(CONTROL!$C$42, 30, 30))/1000000</f>
        <v>4.125</v>
      </c>
      <c r="W729" s="57">
        <f>(1000*CHOOSE(CONTROL!$C$42, 0.1146, 0.1146)*CHOOSE(CONTROL!$C$42, 121.5, 121.5)*CHOOSE(CONTROL!$C$42, 30, 30))/1000000</f>
        <v>0.417717</v>
      </c>
      <c r="X729" s="57">
        <f>(30*0.1790888*245000/1000000)+(30*0.2374*100000/1000000)</f>
        <v>2.0285026799999999</v>
      </c>
      <c r="Y729" s="57"/>
      <c r="Z729" s="14"/>
      <c r="AA729" s="56"/>
      <c r="AB729" s="50">
        <f>(B729*194.205+C729*267.466+D729*133.845+E729*53.484+F729*40+G729*185+H729*0+I729*100+J729*300)/(194.205+267.466+133.845+53.484+0+40+185+100+300)</f>
        <v>40.422405446075352</v>
      </c>
      <c r="AC729" s="45">
        <f>(M729*'RAP TEMPLATE-GAS AVAILABILITY'!O728+N729*'RAP TEMPLATE-GAS AVAILABILITY'!P728+O729*'RAP TEMPLATE-GAS AVAILABILITY'!Q728+P729*'RAP TEMPLATE-GAS AVAILABILITY'!R728)/('RAP TEMPLATE-GAS AVAILABILITY'!O728+'RAP TEMPLATE-GAS AVAILABILITY'!P728+'RAP TEMPLATE-GAS AVAILABILITY'!Q728+'RAP TEMPLATE-GAS AVAILABILITY'!R728)</f>
        <v>40.094805755395683</v>
      </c>
    </row>
    <row r="730" spans="1:29" ht="15.75" x14ac:dyDescent="0.25">
      <c r="A730" s="32">
        <v>63128</v>
      </c>
      <c r="B730" s="14">
        <f>CHOOSE(CONTROL!$C$42, 39.5722, 39.5722) * CHOOSE(CONTROL!$C$21, $C$9, 100%, $E$9)</f>
        <v>39.572200000000002</v>
      </c>
      <c r="C730" s="14">
        <f>CHOOSE(CONTROL!$C$42, 39.5774, 39.5774) * CHOOSE(CONTROL!$C$21, $C$9, 100%, $E$9)</f>
        <v>39.577399999999997</v>
      </c>
      <c r="D730" s="14">
        <f>CHOOSE(CONTROL!$C$42, 39.78, 39.78) * CHOOSE(CONTROL!$C$21, $C$9, 100%, $E$9)</f>
        <v>39.78</v>
      </c>
      <c r="E730" s="14">
        <f>CHOOSE(CONTROL!$C$42, 39.8088, 39.8088) * CHOOSE(CONTROL!$C$21, $C$9, 100%, $E$9)</f>
        <v>39.808799999999998</v>
      </c>
      <c r="F730" s="14">
        <f>CHOOSE(CONTROL!$C$42, 39.5586, 39.5586)*CHOOSE(CONTROL!$C$21, $C$9, 100%, $E$9)</f>
        <v>39.558599999999998</v>
      </c>
      <c r="G730" s="14">
        <f>CHOOSE(CONTROL!$C$42, 39.5746, 39.5746)*CHOOSE(CONTROL!$C$21, $C$9, 100%, $E$9)</f>
        <v>39.574599999999997</v>
      </c>
      <c r="H730" s="14">
        <f>CHOOSE(CONTROL!$C$42, 39.7993, 39.7993) * CHOOSE(CONTROL!$C$21, $C$9, 100%, $E$9)</f>
        <v>39.799300000000002</v>
      </c>
      <c r="I730" s="14">
        <f>CHOOSE(CONTROL!$C$42, 39.5853, 39.5853)* CHOOSE(CONTROL!$C$21, $C$9, 100%, $E$9)</f>
        <v>39.585299999999997</v>
      </c>
      <c r="J730" s="14">
        <f>CHOOSE(CONTROL!$C$42, 39.5516, 39.5516)* CHOOSE(CONTROL!$C$21, $C$9, 100%, $E$9)</f>
        <v>39.551600000000001</v>
      </c>
      <c r="K730" s="53">
        <f>CHOOSE(CONTROL!$C$42, 39.5815, 39.5815) * CHOOSE(CONTROL!$C$21, $C$9, 100%, $E$9)</f>
        <v>39.581499999999998</v>
      </c>
      <c r="L730" s="14">
        <f>CHOOSE(CONTROL!$C$42, 40.3863, 40.3863) * CHOOSE(CONTROL!$C$21, $C$9, 100%, $E$9)</f>
        <v>40.386299999999999</v>
      </c>
      <c r="M730" s="14">
        <f>CHOOSE(CONTROL!$C$42, 39.1663, 39.1663) * CHOOSE(CONTROL!$C$21, $C$9, 100%, $E$9)</f>
        <v>39.1663</v>
      </c>
      <c r="N730" s="14">
        <f>CHOOSE(CONTROL!$C$42, 39.1821, 39.1821) * CHOOSE(CONTROL!$C$21, $C$9, 100%, $E$9)</f>
        <v>39.182099999999998</v>
      </c>
      <c r="O730" s="14">
        <f>CHOOSE(CONTROL!$C$42, 39.4114, 39.4114) * CHOOSE(CONTROL!$C$21, $C$9, 100%, $E$9)</f>
        <v>39.4114</v>
      </c>
      <c r="P730" s="14">
        <f>CHOOSE(CONTROL!$C$42, 39.1997, 39.1997) * CHOOSE(CONTROL!$C$21, $C$9, 100%, $E$9)</f>
        <v>39.1997</v>
      </c>
      <c r="Q730" s="14">
        <f>CHOOSE(CONTROL!$C$42, 40.0067, 40.0067) * CHOOSE(CONTROL!$C$21, $C$9, 100%, $E$9)</f>
        <v>40.006700000000002</v>
      </c>
      <c r="R730" s="14">
        <f>CHOOSE(CONTROL!$C$42, 40.6938, 40.6938) * CHOOSE(CONTROL!$C$21, $C$9, 100%, $E$9)</f>
        <v>40.693800000000003</v>
      </c>
      <c r="S730" s="14">
        <f>CHOOSE(CONTROL!$C$42, 38.426, 38.426) * CHOOSE(CONTROL!$C$21, $C$9, 100%, $E$9)</f>
        <v>38.426000000000002</v>
      </c>
      <c r="T73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30" s="57">
        <f>(1000*CHOOSE(CONTROL!$C$42, 695, 695)*CHOOSE(CONTROL!$C$42, 0.5599, 0.5599)*CHOOSE(CONTROL!$C$42, 31, 31))/1000000</f>
        <v>12.063045499999998</v>
      </c>
      <c r="V730" s="57">
        <f>(1000*CHOOSE(CONTROL!$C$42, 500, 500)*CHOOSE(CONTROL!$C$42, 0.275, 0.275)*CHOOSE(CONTROL!$C$42, 31, 31))/1000000</f>
        <v>4.2625000000000002</v>
      </c>
      <c r="W730" s="57">
        <f>(1000*CHOOSE(CONTROL!$C$42, 0.1146, 0.1146)*CHOOSE(CONTROL!$C$42, 121.5, 121.5)*CHOOSE(CONTROL!$C$42, 31, 31))/1000000</f>
        <v>0.43164089999999994</v>
      </c>
      <c r="X730" s="57">
        <f>(31*0.1790888*245000/1000000)+(31*0.2374*100000/1000000)</f>
        <v>2.0961194359999999</v>
      </c>
      <c r="Y730" s="57"/>
      <c r="Z730" s="14"/>
      <c r="AA730" s="56"/>
      <c r="AB730" s="50">
        <f>(B730*131.881+C730*277.167+D730*79.08+E730*125.872+F730*40+G730*185+H730*0+I730*100+J730*300)/(131.881+277.167+79.08+125.872+0+40+185+100+300)</f>
        <v>39.606651499273603</v>
      </c>
      <c r="AC730" s="45">
        <f>(M730*'RAP TEMPLATE-GAS AVAILABILITY'!O729+N730*'RAP TEMPLATE-GAS AVAILABILITY'!P729+O730*'RAP TEMPLATE-GAS AVAILABILITY'!Q729+P730*'RAP TEMPLATE-GAS AVAILABILITY'!R729)/('RAP TEMPLATE-GAS AVAILABILITY'!O729+'RAP TEMPLATE-GAS AVAILABILITY'!P729+'RAP TEMPLATE-GAS AVAILABILITY'!Q729+'RAP TEMPLATE-GAS AVAILABILITY'!R729)</f>
        <v>39.283103597122306</v>
      </c>
    </row>
    <row r="731" spans="1:29" ht="15.75" x14ac:dyDescent="0.25">
      <c r="A731" s="32">
        <v>63158</v>
      </c>
      <c r="B731" s="14">
        <f>CHOOSE(CONTROL!$C$42, 40.6142, 40.6142) * CHOOSE(CONTROL!$C$21, $C$9, 100%, $E$9)</f>
        <v>40.614199999999997</v>
      </c>
      <c r="C731" s="14">
        <f>CHOOSE(CONTROL!$C$42, 40.6192, 40.6192) * CHOOSE(CONTROL!$C$21, $C$9, 100%, $E$9)</f>
        <v>40.619199999999999</v>
      </c>
      <c r="D731" s="14">
        <f>CHOOSE(CONTROL!$C$42, 40.6823, 40.6823) * CHOOSE(CONTROL!$C$21, $C$9, 100%, $E$9)</f>
        <v>40.682299999999998</v>
      </c>
      <c r="E731" s="14">
        <f>CHOOSE(CONTROL!$C$42, 40.716, 40.716) * CHOOSE(CONTROL!$C$21, $C$9, 100%, $E$9)</f>
        <v>40.716000000000001</v>
      </c>
      <c r="F731" s="14">
        <f>CHOOSE(CONTROL!$C$42, 40.6149, 40.6149)*CHOOSE(CONTROL!$C$21, $C$9, 100%, $E$9)</f>
        <v>40.614899999999999</v>
      </c>
      <c r="G731" s="14">
        <f>CHOOSE(CONTROL!$C$42, 40.6312, 40.6312)*CHOOSE(CONTROL!$C$21, $C$9, 100%, $E$9)</f>
        <v>40.6312</v>
      </c>
      <c r="H731" s="14">
        <f>CHOOSE(CONTROL!$C$42, 40.7052, 40.7052) * CHOOSE(CONTROL!$C$21, $C$9, 100%, $E$9)</f>
        <v>40.705199999999998</v>
      </c>
      <c r="I731" s="14">
        <f>CHOOSE(CONTROL!$C$42, 40.6278, 40.6278)* CHOOSE(CONTROL!$C$21, $C$9, 100%, $E$9)</f>
        <v>40.627800000000001</v>
      </c>
      <c r="J731" s="14">
        <f>CHOOSE(CONTROL!$C$42, 40.6079, 40.6079)* CHOOSE(CONTROL!$C$21, $C$9, 100%, $E$9)</f>
        <v>40.607900000000001</v>
      </c>
      <c r="K731" s="53">
        <f>CHOOSE(CONTROL!$C$42, 40.6239, 40.6239) * CHOOSE(CONTROL!$C$21, $C$9, 100%, $E$9)</f>
        <v>40.623899999999999</v>
      </c>
      <c r="L731" s="14">
        <f>CHOOSE(CONTROL!$C$42, 41.2922, 41.2922) * CHOOSE(CONTROL!$C$21, $C$9, 100%, $E$9)</f>
        <v>41.292200000000001</v>
      </c>
      <c r="M731" s="14">
        <f>CHOOSE(CONTROL!$C$42, 40.212, 40.212) * CHOOSE(CONTROL!$C$21, $C$9, 100%, $E$9)</f>
        <v>40.212000000000003</v>
      </c>
      <c r="N731" s="14">
        <f>CHOOSE(CONTROL!$C$42, 40.2281, 40.2281) * CHOOSE(CONTROL!$C$21, $C$9, 100%, $E$9)</f>
        <v>40.228099999999998</v>
      </c>
      <c r="O731" s="14">
        <f>CHOOSE(CONTROL!$C$42, 40.3083, 40.3083) * CHOOSE(CONTROL!$C$21, $C$9, 100%, $E$9)</f>
        <v>40.308300000000003</v>
      </c>
      <c r="P731" s="14">
        <f>CHOOSE(CONTROL!$C$42, 40.2316, 40.2316) * CHOOSE(CONTROL!$C$21, $C$9, 100%, $E$9)</f>
        <v>40.2316</v>
      </c>
      <c r="Q731" s="14">
        <f>CHOOSE(CONTROL!$C$42, 40.9036, 40.9036) * CHOOSE(CONTROL!$C$21, $C$9, 100%, $E$9)</f>
        <v>40.903599999999997</v>
      </c>
      <c r="R731" s="14">
        <f>CHOOSE(CONTROL!$C$42, 41.5928, 41.5928) * CHOOSE(CONTROL!$C$21, $C$9, 100%, $E$9)</f>
        <v>41.592799999999997</v>
      </c>
      <c r="S731" s="14">
        <f>CHOOSE(CONTROL!$C$42, 39.4384, 39.4384) * CHOOSE(CONTROL!$C$21, $C$9, 100%, $E$9)</f>
        <v>39.438400000000001</v>
      </c>
      <c r="T73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31" s="57">
        <f>(1000*CHOOSE(CONTROL!$C$42, 695, 695)*CHOOSE(CONTROL!$C$42, 0.5599, 0.5599)*CHOOSE(CONTROL!$C$42, 30, 30))/1000000</f>
        <v>11.673914999999997</v>
      </c>
      <c r="V731" s="57">
        <f>(1000*CHOOSE(CONTROL!$C$42, 500, 500)*CHOOSE(CONTROL!$C$42, 0.275, 0.275)*CHOOSE(CONTROL!$C$42, 30, 30))/1000000</f>
        <v>4.125</v>
      </c>
      <c r="W731" s="57">
        <f>(1000*CHOOSE(CONTROL!$C$42, 0.1146, 0.1146)*CHOOSE(CONTROL!$C$42, 121.5, 121.5)*CHOOSE(CONTROL!$C$42, 30, 30))/1000000</f>
        <v>0.417717</v>
      </c>
      <c r="X731" s="57">
        <f>(30*0.1790888*100000/1000000)+(30*0.2374*100000/1000000)</f>
        <v>1.2494664</v>
      </c>
      <c r="Y731" s="57"/>
      <c r="Z731" s="14"/>
      <c r="AA731" s="56"/>
      <c r="AB731" s="50">
        <f>(B731*122.58+C731*297.941+D731*89.177+E731*40.302+F731*40+G731*160+H731*0+I731*100+J731*300)/(122.58+297.941+89.177+40.302+0+40+160+100+300)</f>
        <v>40.626272523739132</v>
      </c>
      <c r="AC731" s="45">
        <f>(M731*'RAP TEMPLATE-GAS AVAILABILITY'!O730+N731*'RAP TEMPLATE-GAS AVAILABILITY'!P730+O731*'RAP TEMPLATE-GAS AVAILABILITY'!Q730+P731*'RAP TEMPLATE-GAS AVAILABILITY'!R730)/('RAP TEMPLATE-GAS AVAILABILITY'!O730+'RAP TEMPLATE-GAS AVAILABILITY'!P730+'RAP TEMPLATE-GAS AVAILABILITY'!Q730+'RAP TEMPLATE-GAS AVAILABILITY'!R730)</f>
        <v>40.25939352517986</v>
      </c>
    </row>
    <row r="732" spans="1:29" ht="15.75" x14ac:dyDescent="0.25">
      <c r="A732" s="32">
        <v>63189</v>
      </c>
      <c r="B732" s="14">
        <f>CHOOSE(CONTROL!$C$42, 43.3831, 43.3831) * CHOOSE(CONTROL!$C$21, $C$9, 100%, $E$9)</f>
        <v>43.383099999999999</v>
      </c>
      <c r="C732" s="14">
        <f>CHOOSE(CONTROL!$C$42, 43.388, 43.388) * CHOOSE(CONTROL!$C$21, $C$9, 100%, $E$9)</f>
        <v>43.387999999999998</v>
      </c>
      <c r="D732" s="14">
        <f>CHOOSE(CONTROL!$C$42, 43.4511, 43.4511) * CHOOSE(CONTROL!$C$21, $C$9, 100%, $E$9)</f>
        <v>43.451099999999997</v>
      </c>
      <c r="E732" s="14">
        <f>CHOOSE(CONTROL!$C$42, 43.4849, 43.4849) * CHOOSE(CONTROL!$C$21, $C$9, 100%, $E$9)</f>
        <v>43.484900000000003</v>
      </c>
      <c r="F732" s="14">
        <f>CHOOSE(CONTROL!$C$42, 43.3858, 43.3858)*CHOOSE(CONTROL!$C$21, $C$9, 100%, $E$9)</f>
        <v>43.385800000000003</v>
      </c>
      <c r="G732" s="14">
        <f>CHOOSE(CONTROL!$C$42, 43.4027, 43.4027)*CHOOSE(CONTROL!$C$21, $C$9, 100%, $E$9)</f>
        <v>43.402700000000003</v>
      </c>
      <c r="H732" s="14">
        <f>CHOOSE(CONTROL!$C$42, 43.4741, 43.4741) * CHOOSE(CONTROL!$C$21, $C$9, 100%, $E$9)</f>
        <v>43.4741</v>
      </c>
      <c r="I732" s="14">
        <f>CHOOSE(CONTROL!$C$42, 43.3966, 43.3966)* CHOOSE(CONTROL!$C$21, $C$9, 100%, $E$9)</f>
        <v>43.396599999999999</v>
      </c>
      <c r="J732" s="14">
        <f>CHOOSE(CONTROL!$C$42, 43.3788, 43.3788)* CHOOSE(CONTROL!$C$21, $C$9, 100%, $E$9)</f>
        <v>43.378799999999998</v>
      </c>
      <c r="K732" s="53">
        <f>CHOOSE(CONTROL!$C$42, 43.3927, 43.3927) * CHOOSE(CONTROL!$C$21, $C$9, 100%, $E$9)</f>
        <v>43.392699999999998</v>
      </c>
      <c r="L732" s="14">
        <f>CHOOSE(CONTROL!$C$42, 44.0611, 44.0611) * CHOOSE(CONTROL!$C$21, $C$9, 100%, $E$9)</f>
        <v>44.061100000000003</v>
      </c>
      <c r="M732" s="14">
        <f>CHOOSE(CONTROL!$C$42, 42.9549, 42.9549) * CHOOSE(CONTROL!$C$21, $C$9, 100%, $E$9)</f>
        <v>42.954900000000002</v>
      </c>
      <c r="N732" s="14">
        <f>CHOOSE(CONTROL!$C$42, 42.9715, 42.9715) * CHOOSE(CONTROL!$C$21, $C$9, 100%, $E$9)</f>
        <v>42.971499999999999</v>
      </c>
      <c r="O732" s="14">
        <f>CHOOSE(CONTROL!$C$42, 43.0492, 43.0492) * CHOOSE(CONTROL!$C$21, $C$9, 100%, $E$9)</f>
        <v>43.049199999999999</v>
      </c>
      <c r="P732" s="14">
        <f>CHOOSE(CONTROL!$C$42, 42.9726, 42.9726) * CHOOSE(CONTROL!$C$21, $C$9, 100%, $E$9)</f>
        <v>42.9726</v>
      </c>
      <c r="Q732" s="14">
        <f>CHOOSE(CONTROL!$C$42, 43.6445, 43.6445) * CHOOSE(CONTROL!$C$21, $C$9, 100%, $E$9)</f>
        <v>43.644500000000001</v>
      </c>
      <c r="R732" s="14">
        <f>CHOOSE(CONTROL!$C$42, 44.3406, 44.3406) * CHOOSE(CONTROL!$C$21, $C$9, 100%, $E$9)</f>
        <v>44.340600000000002</v>
      </c>
      <c r="S732" s="14">
        <f>CHOOSE(CONTROL!$C$42, 42.1272, 42.1272) * CHOOSE(CONTROL!$C$21, $C$9, 100%, $E$9)</f>
        <v>42.127200000000002</v>
      </c>
      <c r="T73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32" s="57">
        <f>(1000*CHOOSE(CONTROL!$C$42, 695, 695)*CHOOSE(CONTROL!$C$42, 0.5599, 0.5599)*CHOOSE(CONTROL!$C$42, 31, 31))/1000000</f>
        <v>12.063045499999998</v>
      </c>
      <c r="V732" s="57">
        <f>(1000*CHOOSE(CONTROL!$C$42, 500, 500)*CHOOSE(CONTROL!$C$42, 0.275, 0.275)*CHOOSE(CONTROL!$C$42, 31, 31))/1000000</f>
        <v>4.2625000000000002</v>
      </c>
      <c r="W732" s="57">
        <f>(1000*CHOOSE(CONTROL!$C$42, 0.1146, 0.1146)*CHOOSE(CONTROL!$C$42, 121.5, 121.5)*CHOOSE(CONTROL!$C$42, 31, 31))/1000000</f>
        <v>0.43164089999999994</v>
      </c>
      <c r="X732" s="57">
        <f>(31*0.1790888*100000/1000000)+(31*0.2374*100000/1000000)</f>
        <v>1.2911152800000001</v>
      </c>
      <c r="Y732" s="57"/>
      <c r="Z732" s="14"/>
      <c r="AA732" s="56"/>
      <c r="AB732" s="50">
        <f>(B732*122.58+C732*297.941+D732*89.177+E732*40.302+F732*40+G732*160+H732*0+I732*100+J732*300)/(122.58+297.941+89.177+40.302+0+40+160+100+300)</f>
        <v>43.396083209130431</v>
      </c>
      <c r="AC732" s="45">
        <f>(M732*'RAP TEMPLATE-GAS AVAILABILITY'!O731+N732*'RAP TEMPLATE-GAS AVAILABILITY'!P731+O732*'RAP TEMPLATE-GAS AVAILABILITY'!Q731+P732*'RAP TEMPLATE-GAS AVAILABILITY'!R731)/('RAP TEMPLATE-GAS AVAILABILITY'!O731+'RAP TEMPLATE-GAS AVAILABILITY'!P731+'RAP TEMPLATE-GAS AVAILABILITY'!Q731+'RAP TEMPLATE-GAS AVAILABILITY'!R731)</f>
        <v>43.001142446043168</v>
      </c>
    </row>
    <row r="733" spans="1:29" ht="15.75" x14ac:dyDescent="0.25">
      <c r="A733" s="32">
        <v>63220</v>
      </c>
      <c r="B733" s="14">
        <f>CHOOSE(CONTROL!$C$42, 46.9375, 46.9375) * CHOOSE(CONTROL!$C$21, $C$9, 100%, $E$9)</f>
        <v>46.9375</v>
      </c>
      <c r="C733" s="14">
        <f>CHOOSE(CONTROL!$C$42, 46.9425, 46.9425) * CHOOSE(CONTROL!$C$21, $C$9, 100%, $E$9)</f>
        <v>46.942500000000003</v>
      </c>
      <c r="D733" s="14">
        <f>CHOOSE(CONTROL!$C$42, 47.0068, 47.0068) * CHOOSE(CONTROL!$C$21, $C$9, 100%, $E$9)</f>
        <v>47.006799999999998</v>
      </c>
      <c r="E733" s="14">
        <f>CHOOSE(CONTROL!$C$42, 47.0405, 47.0405) * CHOOSE(CONTROL!$C$21, $C$9, 100%, $E$9)</f>
        <v>47.040500000000002</v>
      </c>
      <c r="F733" s="14">
        <f>CHOOSE(CONTROL!$C$42, 46.939, 46.939)*CHOOSE(CONTROL!$C$21, $C$9, 100%, $E$9)</f>
        <v>46.939</v>
      </c>
      <c r="G733" s="14">
        <f>CHOOSE(CONTROL!$C$42, 46.955, 46.955)*CHOOSE(CONTROL!$C$21, $C$9, 100%, $E$9)</f>
        <v>46.954999999999998</v>
      </c>
      <c r="H733" s="14">
        <f>CHOOSE(CONTROL!$C$42, 47.0297, 47.0297) * CHOOSE(CONTROL!$C$21, $C$9, 100%, $E$9)</f>
        <v>47.029699999999998</v>
      </c>
      <c r="I733" s="14">
        <f>CHOOSE(CONTROL!$C$42, 46.9575, 46.9575)* CHOOSE(CONTROL!$C$21, $C$9, 100%, $E$9)</f>
        <v>46.957500000000003</v>
      </c>
      <c r="J733" s="14">
        <f>CHOOSE(CONTROL!$C$42, 46.932, 46.932)* CHOOSE(CONTROL!$C$21, $C$9, 100%, $E$9)</f>
        <v>46.932000000000002</v>
      </c>
      <c r="K733" s="53">
        <f>CHOOSE(CONTROL!$C$42, 46.9536, 46.9536) * CHOOSE(CONTROL!$C$21, $C$9, 100%, $E$9)</f>
        <v>46.953600000000002</v>
      </c>
      <c r="L733" s="14">
        <f>CHOOSE(CONTROL!$C$42, 47.6167, 47.6167) * CHOOSE(CONTROL!$C$21, $C$9, 100%, $E$9)</f>
        <v>47.616700000000002</v>
      </c>
      <c r="M733" s="14">
        <f>CHOOSE(CONTROL!$C$42, 46.4722, 46.4722) * CHOOSE(CONTROL!$C$21, $C$9, 100%, $E$9)</f>
        <v>46.472200000000001</v>
      </c>
      <c r="N733" s="14">
        <f>CHOOSE(CONTROL!$C$42, 46.488, 46.488) * CHOOSE(CONTROL!$C$21, $C$9, 100%, $E$9)</f>
        <v>46.488</v>
      </c>
      <c r="O733" s="14">
        <f>CHOOSE(CONTROL!$C$42, 46.569, 46.569) * CHOOSE(CONTROL!$C$21, $C$9, 100%, $E$9)</f>
        <v>46.569000000000003</v>
      </c>
      <c r="P733" s="14">
        <f>CHOOSE(CONTROL!$C$42, 46.4975, 46.4975) * CHOOSE(CONTROL!$C$21, $C$9, 100%, $E$9)</f>
        <v>46.497500000000002</v>
      </c>
      <c r="Q733" s="14">
        <f>CHOOSE(CONTROL!$C$42, 47.1643, 47.1643) * CHOOSE(CONTROL!$C$21, $C$9, 100%, $E$9)</f>
        <v>47.164299999999997</v>
      </c>
      <c r="R733" s="14">
        <f>CHOOSE(CONTROL!$C$42, 47.8692, 47.8692) * CHOOSE(CONTROL!$C$21, $C$9, 100%, $E$9)</f>
        <v>47.869199999999999</v>
      </c>
      <c r="S733" s="14">
        <f>CHOOSE(CONTROL!$C$42, 45.5789, 45.5789) * CHOOSE(CONTROL!$C$21, $C$9, 100%, $E$9)</f>
        <v>45.578899999999997</v>
      </c>
      <c r="T73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33" s="57">
        <f>(1000*CHOOSE(CONTROL!$C$42, 695, 695)*CHOOSE(CONTROL!$C$42, 0.5599, 0.5599)*CHOOSE(CONTROL!$C$42, 31, 31))/1000000</f>
        <v>12.063045499999998</v>
      </c>
      <c r="V733" s="57">
        <f>(1000*CHOOSE(CONTROL!$C$42, 500, 500)*CHOOSE(CONTROL!$C$42, 0.275, 0.275)*CHOOSE(CONTROL!$C$42, 31, 31))/1000000</f>
        <v>4.2625000000000002</v>
      </c>
      <c r="W733" s="57">
        <f>(1000*CHOOSE(CONTROL!$C$42, 0.1146, 0.1146)*CHOOSE(CONTROL!$C$42, 121.5, 121.5)*CHOOSE(CONTROL!$C$42, 31, 31))/1000000</f>
        <v>0.43164089999999994</v>
      </c>
      <c r="X733" s="57">
        <f>(31*0.1790888*100000/1000000)+(31*0.2374*100000/1000000)</f>
        <v>1.2911152800000001</v>
      </c>
      <c r="Y733" s="57"/>
      <c r="Z733" s="14"/>
      <c r="AA733" s="56"/>
      <c r="AB733" s="50">
        <f>(B733*122.58+C733*297.941+D733*89.177+E733*40.302+F733*40+G733*160+H733*0+I733*100+J733*300)/(122.58+297.941+89.177+40.302+0+40+160+100+300)</f>
        <v>46.950570240956523</v>
      </c>
      <c r="AC733" s="45">
        <f>(M733*'RAP TEMPLATE-GAS AVAILABILITY'!O732+N733*'RAP TEMPLATE-GAS AVAILABILITY'!P732+O733*'RAP TEMPLATE-GAS AVAILABILITY'!Q732+P733*'RAP TEMPLATE-GAS AVAILABILITY'!R732)/('RAP TEMPLATE-GAS AVAILABILITY'!O732+'RAP TEMPLATE-GAS AVAILABILITY'!P732+'RAP TEMPLATE-GAS AVAILABILITY'!Q732+'RAP TEMPLATE-GAS AVAILABILITY'!R732)</f>
        <v>46.520623021582729</v>
      </c>
    </row>
    <row r="734" spans="1:29" ht="15.75" x14ac:dyDescent="0.25">
      <c r="A734" s="32">
        <v>63248</v>
      </c>
      <c r="B734" s="14">
        <f>CHOOSE(CONTROL!$C$42, 47.773, 47.773) * CHOOSE(CONTROL!$C$21, $C$9, 100%, $E$9)</f>
        <v>47.773000000000003</v>
      </c>
      <c r="C734" s="14">
        <f>CHOOSE(CONTROL!$C$42, 47.778, 47.778) * CHOOSE(CONTROL!$C$21, $C$9, 100%, $E$9)</f>
        <v>47.777999999999999</v>
      </c>
      <c r="D734" s="14">
        <f>CHOOSE(CONTROL!$C$42, 47.8423, 47.8423) * CHOOSE(CONTROL!$C$21, $C$9, 100%, $E$9)</f>
        <v>47.842300000000002</v>
      </c>
      <c r="E734" s="14">
        <f>CHOOSE(CONTROL!$C$42, 47.876, 47.876) * CHOOSE(CONTROL!$C$21, $C$9, 100%, $E$9)</f>
        <v>47.875999999999998</v>
      </c>
      <c r="F734" s="14">
        <f>CHOOSE(CONTROL!$C$42, 47.7746, 47.7746)*CHOOSE(CONTROL!$C$21, $C$9, 100%, $E$9)</f>
        <v>47.7746</v>
      </c>
      <c r="G734" s="14">
        <f>CHOOSE(CONTROL!$C$42, 47.7905, 47.7905)*CHOOSE(CONTROL!$C$21, $C$9, 100%, $E$9)</f>
        <v>47.790500000000002</v>
      </c>
      <c r="H734" s="14">
        <f>CHOOSE(CONTROL!$C$42, 47.8652, 47.8652) * CHOOSE(CONTROL!$C$21, $C$9, 100%, $E$9)</f>
        <v>47.865200000000002</v>
      </c>
      <c r="I734" s="14">
        <f>CHOOSE(CONTROL!$C$42, 47.793, 47.793)* CHOOSE(CONTROL!$C$21, $C$9, 100%, $E$9)</f>
        <v>47.792999999999999</v>
      </c>
      <c r="J734" s="14">
        <f>CHOOSE(CONTROL!$C$42, 47.7676, 47.7676)* CHOOSE(CONTROL!$C$21, $C$9, 100%, $E$9)</f>
        <v>47.767600000000002</v>
      </c>
      <c r="K734" s="53">
        <f>CHOOSE(CONTROL!$C$42, 47.7891, 47.7891) * CHOOSE(CONTROL!$C$21, $C$9, 100%, $E$9)</f>
        <v>47.789099999999998</v>
      </c>
      <c r="L734" s="14">
        <f>CHOOSE(CONTROL!$C$42, 48.4522, 48.4522) * CHOOSE(CONTROL!$C$21, $C$9, 100%, $E$9)</f>
        <v>48.452199999999998</v>
      </c>
      <c r="M734" s="14">
        <f>CHOOSE(CONTROL!$C$42, 47.2994, 47.2994) * CHOOSE(CONTROL!$C$21, $C$9, 100%, $E$9)</f>
        <v>47.299399999999999</v>
      </c>
      <c r="N734" s="14">
        <f>CHOOSE(CONTROL!$C$42, 47.3151, 47.3151) * CHOOSE(CONTROL!$C$21, $C$9, 100%, $E$9)</f>
        <v>47.315100000000001</v>
      </c>
      <c r="O734" s="14">
        <f>CHOOSE(CONTROL!$C$42, 47.396, 47.396) * CHOOSE(CONTROL!$C$21, $C$9, 100%, $E$9)</f>
        <v>47.396000000000001</v>
      </c>
      <c r="P734" s="14">
        <f>CHOOSE(CONTROL!$C$42, 47.3246, 47.3246) * CHOOSE(CONTROL!$C$21, $C$9, 100%, $E$9)</f>
        <v>47.324599999999997</v>
      </c>
      <c r="Q734" s="14">
        <f>CHOOSE(CONTROL!$C$42, 47.9913, 47.9913) * CHOOSE(CONTROL!$C$21, $C$9, 100%, $E$9)</f>
        <v>47.991300000000003</v>
      </c>
      <c r="R734" s="14">
        <f>CHOOSE(CONTROL!$C$42, 48.6983, 48.6983) * CHOOSE(CONTROL!$C$21, $C$9, 100%, $E$9)</f>
        <v>48.698300000000003</v>
      </c>
      <c r="S734" s="14">
        <f>CHOOSE(CONTROL!$C$42, 46.3903, 46.3903) * CHOOSE(CONTROL!$C$21, $C$9, 100%, $E$9)</f>
        <v>46.390300000000003</v>
      </c>
      <c r="T73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34" s="57">
        <f>(1000*CHOOSE(CONTROL!$C$42, 695, 695)*CHOOSE(CONTROL!$C$42, 0.5599, 0.5599)*CHOOSE(CONTROL!$C$42, 28, 28))/1000000</f>
        <v>10.895653999999999</v>
      </c>
      <c r="V734" s="57">
        <f>(1000*CHOOSE(CONTROL!$C$42, 500, 500)*CHOOSE(CONTROL!$C$42, 0.275, 0.275)*CHOOSE(CONTROL!$C$42, 28, 28))/1000000</f>
        <v>3.85</v>
      </c>
      <c r="W734" s="57">
        <f>(1000*CHOOSE(CONTROL!$C$42, 0.1146, 0.1146)*CHOOSE(CONTROL!$C$42, 121.5, 121.5)*CHOOSE(CONTROL!$C$42, 28, 28))/1000000</f>
        <v>0.38986920000000003</v>
      </c>
      <c r="X734" s="57">
        <f>(28*0.1790888*100000/1000000)+(28*0.2374*100000/1000000)</f>
        <v>1.16616864</v>
      </c>
      <c r="Y734" s="57"/>
      <c r="Z734" s="14"/>
      <c r="AA734" s="56"/>
      <c r="AB734" s="50">
        <f>(B734*122.58+C734*297.941+D734*89.177+E734*40.302+F734*40+G734*160+H734*0+I734*100+J734*300)/(122.58+297.941+89.177+40.302+0+40+160+100+300)</f>
        <v>47.786099806173915</v>
      </c>
      <c r="AC734" s="45">
        <f>(M734*'RAP TEMPLATE-GAS AVAILABILITY'!O733+N734*'RAP TEMPLATE-GAS AVAILABILITY'!P733+O734*'RAP TEMPLATE-GAS AVAILABILITY'!Q733+P734*'RAP TEMPLATE-GAS AVAILABILITY'!R733)/('RAP TEMPLATE-GAS AVAILABILITY'!O733+'RAP TEMPLATE-GAS AVAILABILITY'!P733+'RAP TEMPLATE-GAS AVAILABILITY'!Q733+'RAP TEMPLATE-GAS AVAILABILITY'!R733)</f>
        <v>47.347712230215819</v>
      </c>
    </row>
    <row r="735" spans="1:29" ht="15.75" x14ac:dyDescent="0.25">
      <c r="A735" s="32">
        <v>63279</v>
      </c>
      <c r="B735" s="14">
        <f>CHOOSE(CONTROL!$C$42, 46.4168, 46.4168) * CHOOSE(CONTROL!$C$21, $C$9, 100%, $E$9)</f>
        <v>46.416800000000002</v>
      </c>
      <c r="C735" s="14">
        <f>CHOOSE(CONTROL!$C$42, 46.4218, 46.4218) * CHOOSE(CONTROL!$C$21, $C$9, 100%, $E$9)</f>
        <v>46.421799999999998</v>
      </c>
      <c r="D735" s="14">
        <f>CHOOSE(CONTROL!$C$42, 46.486, 46.486) * CHOOSE(CONTROL!$C$21, $C$9, 100%, $E$9)</f>
        <v>46.485999999999997</v>
      </c>
      <c r="E735" s="14">
        <f>CHOOSE(CONTROL!$C$42, 46.5198, 46.5198) * CHOOSE(CONTROL!$C$21, $C$9, 100%, $E$9)</f>
        <v>46.519799999999996</v>
      </c>
      <c r="F735" s="14">
        <f>CHOOSE(CONTROL!$C$42, 46.4181, 46.4181)*CHOOSE(CONTROL!$C$21, $C$9, 100%, $E$9)</f>
        <v>46.418100000000003</v>
      </c>
      <c r="G735" s="14">
        <f>CHOOSE(CONTROL!$C$42, 46.4339, 46.4339)*CHOOSE(CONTROL!$C$21, $C$9, 100%, $E$9)</f>
        <v>46.433900000000001</v>
      </c>
      <c r="H735" s="14">
        <f>CHOOSE(CONTROL!$C$42, 46.509, 46.509) * CHOOSE(CONTROL!$C$21, $C$9, 100%, $E$9)</f>
        <v>46.509</v>
      </c>
      <c r="I735" s="14">
        <f>CHOOSE(CONTROL!$C$42, 46.4368, 46.4368)* CHOOSE(CONTROL!$C$21, $C$9, 100%, $E$9)</f>
        <v>46.436799999999998</v>
      </c>
      <c r="J735" s="14">
        <f>CHOOSE(CONTROL!$C$42, 46.4111, 46.4111)* CHOOSE(CONTROL!$C$21, $C$9, 100%, $E$9)</f>
        <v>46.411099999999998</v>
      </c>
      <c r="K735" s="53">
        <f>CHOOSE(CONTROL!$C$42, 46.4329, 46.4329) * CHOOSE(CONTROL!$C$21, $C$9, 100%, $E$9)</f>
        <v>46.432899999999997</v>
      </c>
      <c r="L735" s="14">
        <f>CHOOSE(CONTROL!$C$42, 47.096, 47.096) * CHOOSE(CONTROL!$C$21, $C$9, 100%, $E$9)</f>
        <v>47.095999999999997</v>
      </c>
      <c r="M735" s="14">
        <f>CHOOSE(CONTROL!$C$42, 45.9565, 45.9565) * CHOOSE(CONTROL!$C$21, $C$9, 100%, $E$9)</f>
        <v>45.956499999999998</v>
      </c>
      <c r="N735" s="14">
        <f>CHOOSE(CONTROL!$C$42, 45.9722, 45.9722) * CHOOSE(CONTROL!$C$21, $C$9, 100%, $E$9)</f>
        <v>45.972200000000001</v>
      </c>
      <c r="O735" s="14">
        <f>CHOOSE(CONTROL!$C$42, 46.0535, 46.0535) * CHOOSE(CONTROL!$C$21, $C$9, 100%, $E$9)</f>
        <v>46.0535</v>
      </c>
      <c r="P735" s="14">
        <f>CHOOSE(CONTROL!$C$42, 45.982, 45.982) * CHOOSE(CONTROL!$C$21, $C$9, 100%, $E$9)</f>
        <v>45.981999999999999</v>
      </c>
      <c r="Q735" s="14">
        <f>CHOOSE(CONTROL!$C$42, 46.6488, 46.6488) * CHOOSE(CONTROL!$C$21, $C$9, 100%, $E$9)</f>
        <v>46.648800000000001</v>
      </c>
      <c r="R735" s="14">
        <f>CHOOSE(CONTROL!$C$42, 47.3524, 47.3524) * CHOOSE(CONTROL!$C$21, $C$9, 100%, $E$9)</f>
        <v>47.352400000000003</v>
      </c>
      <c r="S735" s="14">
        <f>CHOOSE(CONTROL!$C$42, 45.0732, 45.0732) * CHOOSE(CONTROL!$C$21, $C$9, 100%, $E$9)</f>
        <v>45.0732</v>
      </c>
      <c r="T73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35" s="57">
        <f>(1000*CHOOSE(CONTROL!$C$42, 695, 695)*CHOOSE(CONTROL!$C$42, 0.5599, 0.5599)*CHOOSE(CONTROL!$C$42, 31, 31))/1000000</f>
        <v>12.063045499999998</v>
      </c>
      <c r="V735" s="57">
        <f>(1000*CHOOSE(CONTROL!$C$42, 500, 500)*CHOOSE(CONTROL!$C$42, 0.275, 0.275)*CHOOSE(CONTROL!$C$42, 31, 31))/1000000</f>
        <v>4.2625000000000002</v>
      </c>
      <c r="W735" s="57">
        <f>(1000*CHOOSE(CONTROL!$C$42, 0.1146, 0.1146)*CHOOSE(CONTROL!$C$42, 121.5, 121.5)*CHOOSE(CONTROL!$C$42, 31, 31))/1000000</f>
        <v>0.43164089999999994</v>
      </c>
      <c r="X735" s="57">
        <f>(31*0.1790888*100000/1000000)+(31*0.2374*100000/1000000)</f>
        <v>1.2911152800000001</v>
      </c>
      <c r="Y735" s="57"/>
      <c r="Z735" s="14"/>
      <c r="AA735" s="56"/>
      <c r="AB735" s="50">
        <f>(B735*122.58+C735*297.941+D735*89.177+E735*40.302+F735*40+G735*160+H735*0+I735*100+J735*300)/(122.58+297.941+89.177+40.302+0+40+160+100+300)</f>
        <v>46.429747703826088</v>
      </c>
      <c r="AC735" s="45">
        <f>(M735*'RAP TEMPLATE-GAS AVAILABILITY'!O734+N735*'RAP TEMPLATE-GAS AVAILABILITY'!P734+O735*'RAP TEMPLATE-GAS AVAILABILITY'!Q734+P735*'RAP TEMPLATE-GAS AVAILABILITY'!R734)/('RAP TEMPLATE-GAS AVAILABILITY'!O734+'RAP TEMPLATE-GAS AVAILABILITY'!P734+'RAP TEMPLATE-GAS AVAILABILITY'!Q734+'RAP TEMPLATE-GAS AVAILABILITY'!R734)</f>
        <v>46.005036690647479</v>
      </c>
    </row>
    <row r="736" spans="1:29" ht="15.75" x14ac:dyDescent="0.25">
      <c r="A736" s="32">
        <v>63309</v>
      </c>
      <c r="B736" s="14">
        <f>CHOOSE(CONTROL!$C$42, 46.279, 46.279) * CHOOSE(CONTROL!$C$21, $C$9, 100%, $E$9)</f>
        <v>46.279000000000003</v>
      </c>
      <c r="C736" s="14">
        <f>CHOOSE(CONTROL!$C$42, 46.2834, 46.2834) * CHOOSE(CONTROL!$C$21, $C$9, 100%, $E$9)</f>
        <v>46.2834</v>
      </c>
      <c r="D736" s="14">
        <f>CHOOSE(CONTROL!$C$42, 46.4841, 46.4841) * CHOOSE(CONTROL!$C$21, $C$9, 100%, $E$9)</f>
        <v>46.484099999999998</v>
      </c>
      <c r="E736" s="14">
        <f>CHOOSE(CONTROL!$C$42, 46.5159, 46.5159) * CHOOSE(CONTROL!$C$21, $C$9, 100%, $E$9)</f>
        <v>46.515900000000002</v>
      </c>
      <c r="F736" s="14">
        <f>CHOOSE(CONTROL!$C$42, 46.2636, 46.2636)*CHOOSE(CONTROL!$C$21, $C$9, 100%, $E$9)</f>
        <v>46.263599999999997</v>
      </c>
      <c r="G736" s="14">
        <f>CHOOSE(CONTROL!$C$42, 46.2792, 46.2792)*CHOOSE(CONTROL!$C$21, $C$9, 100%, $E$9)</f>
        <v>46.279200000000003</v>
      </c>
      <c r="H736" s="14">
        <f>CHOOSE(CONTROL!$C$42, 46.5057, 46.5057) * CHOOSE(CONTROL!$C$21, $C$9, 100%, $E$9)</f>
        <v>46.505699999999997</v>
      </c>
      <c r="I736" s="14">
        <f>CHOOSE(CONTROL!$C$42, 46.2918, 46.2918)* CHOOSE(CONTROL!$C$21, $C$9, 100%, $E$9)</f>
        <v>46.291800000000002</v>
      </c>
      <c r="J736" s="14">
        <f>CHOOSE(CONTROL!$C$42, 46.2566, 46.2566)* CHOOSE(CONTROL!$C$21, $C$9, 100%, $E$9)</f>
        <v>46.256599999999999</v>
      </c>
      <c r="K736" s="53">
        <f>CHOOSE(CONTROL!$C$42, 46.2879, 46.2879) * CHOOSE(CONTROL!$C$21, $C$9, 100%, $E$9)</f>
        <v>46.2879</v>
      </c>
      <c r="L736" s="14">
        <f>CHOOSE(CONTROL!$C$42, 47.0927, 47.0927) * CHOOSE(CONTROL!$C$21, $C$9, 100%, $E$9)</f>
        <v>47.092700000000001</v>
      </c>
      <c r="M736" s="14">
        <f>CHOOSE(CONTROL!$C$42, 45.8036, 45.8036) * CHOOSE(CONTROL!$C$21, $C$9, 100%, $E$9)</f>
        <v>45.803600000000003</v>
      </c>
      <c r="N736" s="14">
        <f>CHOOSE(CONTROL!$C$42, 45.8191, 45.8191) * CHOOSE(CONTROL!$C$21, $C$9, 100%, $E$9)</f>
        <v>45.819099999999999</v>
      </c>
      <c r="O736" s="14">
        <f>CHOOSE(CONTROL!$C$42, 46.0502, 46.0502) * CHOOSE(CONTROL!$C$21, $C$9, 100%, $E$9)</f>
        <v>46.050199999999997</v>
      </c>
      <c r="P736" s="14">
        <f>CHOOSE(CONTROL!$C$42, 45.8385, 45.8385) * CHOOSE(CONTROL!$C$21, $C$9, 100%, $E$9)</f>
        <v>45.838500000000003</v>
      </c>
      <c r="Q736" s="14">
        <f>CHOOSE(CONTROL!$C$42, 46.6455, 46.6455) * CHOOSE(CONTROL!$C$21, $C$9, 100%, $E$9)</f>
        <v>46.645499999999998</v>
      </c>
      <c r="R736" s="14">
        <f>CHOOSE(CONTROL!$C$42, 47.3491, 47.3491) * CHOOSE(CONTROL!$C$21, $C$9, 100%, $E$9)</f>
        <v>47.3491</v>
      </c>
      <c r="S736" s="14">
        <f>CHOOSE(CONTROL!$C$42, 44.9387, 44.9387) * CHOOSE(CONTROL!$C$21, $C$9, 100%, $E$9)</f>
        <v>44.938699999999997</v>
      </c>
      <c r="T73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36" s="57">
        <f>(1000*CHOOSE(CONTROL!$C$42, 695, 695)*CHOOSE(CONTROL!$C$42, 0.5599, 0.5599)*CHOOSE(CONTROL!$C$42, 30, 30))/1000000</f>
        <v>11.673914999999997</v>
      </c>
      <c r="V736" s="57">
        <f>(1000*CHOOSE(CONTROL!$C$42, 500, 500)*CHOOSE(CONTROL!$C$42, 0.275, 0.275)*CHOOSE(CONTROL!$C$42, 30, 30))/1000000</f>
        <v>4.125</v>
      </c>
      <c r="W736" s="57">
        <f>(1000*CHOOSE(CONTROL!$C$42, 0.1146, 0.1146)*CHOOSE(CONTROL!$C$42, 121.5, 121.5)*CHOOSE(CONTROL!$C$42, 30, 30))/1000000</f>
        <v>0.417717</v>
      </c>
      <c r="X736" s="57">
        <f>(30*0.1790888*245000/1000000)+(30*0.2374*100000/1000000)</f>
        <v>2.0285026799999999</v>
      </c>
      <c r="Y736" s="57"/>
      <c r="Z736" s="14"/>
      <c r="AA736" s="56"/>
      <c r="AB736" s="50">
        <f>(B736*141.293+C736*267.993+D736*115.016+E736*89.698+F736*40+G736*185+H736*0+I736*100+J736*300)/(141.293+267.993+115.016+89.698+0+40+185+100+300)</f>
        <v>46.311283621468931</v>
      </c>
      <c r="AC736" s="45">
        <f>(M736*'RAP TEMPLATE-GAS AVAILABILITY'!O735+N736*'RAP TEMPLATE-GAS AVAILABILITY'!P735+O736*'RAP TEMPLATE-GAS AVAILABILITY'!Q735+P736*'RAP TEMPLATE-GAS AVAILABILITY'!R735)/('RAP TEMPLATE-GAS AVAILABILITY'!O735+'RAP TEMPLATE-GAS AVAILABILITY'!P735+'RAP TEMPLATE-GAS AVAILABILITY'!Q735+'RAP TEMPLATE-GAS AVAILABILITY'!R735)</f>
        <v>45.921282014388488</v>
      </c>
    </row>
    <row r="737" spans="1:29" ht="15.75" x14ac:dyDescent="0.25">
      <c r="A737" s="32">
        <v>63340</v>
      </c>
      <c r="B737" s="14">
        <f>CHOOSE(CONTROL!$C$42, 46.6888, 46.6888) * CHOOSE(CONTROL!$C$21, $C$9, 100%, $E$9)</f>
        <v>46.688800000000001</v>
      </c>
      <c r="C737" s="14">
        <f>CHOOSE(CONTROL!$C$42, 46.6967, 46.6967) * CHOOSE(CONTROL!$C$21, $C$9, 100%, $E$9)</f>
        <v>46.6967</v>
      </c>
      <c r="D737" s="14">
        <f>CHOOSE(CONTROL!$C$42, 46.8943, 46.8943) * CHOOSE(CONTROL!$C$21, $C$9, 100%, $E$9)</f>
        <v>46.894300000000001</v>
      </c>
      <c r="E737" s="14">
        <f>CHOOSE(CONTROL!$C$42, 46.9255, 46.9255) * CHOOSE(CONTROL!$C$21, $C$9, 100%, $E$9)</f>
        <v>46.9255</v>
      </c>
      <c r="F737" s="14">
        <f>CHOOSE(CONTROL!$C$42, 46.6723, 46.6723)*CHOOSE(CONTROL!$C$21, $C$9, 100%, $E$9)</f>
        <v>46.6723</v>
      </c>
      <c r="G737" s="14">
        <f>CHOOSE(CONTROL!$C$42, 46.6883, 46.6883)*CHOOSE(CONTROL!$C$21, $C$9, 100%, $E$9)</f>
        <v>46.688299999999998</v>
      </c>
      <c r="H737" s="14">
        <f>CHOOSE(CONTROL!$C$42, 46.9141, 46.9141) * CHOOSE(CONTROL!$C$21, $C$9, 100%, $E$9)</f>
        <v>46.914099999999998</v>
      </c>
      <c r="I737" s="14">
        <f>CHOOSE(CONTROL!$C$42, 46.7002, 46.7002)* CHOOSE(CONTROL!$C$21, $C$9, 100%, $E$9)</f>
        <v>46.700200000000002</v>
      </c>
      <c r="J737" s="14">
        <f>CHOOSE(CONTROL!$C$42, 46.6653, 46.6653)* CHOOSE(CONTROL!$C$21, $C$9, 100%, $E$9)</f>
        <v>46.665300000000002</v>
      </c>
      <c r="K737" s="53">
        <f>CHOOSE(CONTROL!$C$42, 46.6963, 46.6963) * CHOOSE(CONTROL!$C$21, $C$9, 100%, $E$9)</f>
        <v>46.696300000000001</v>
      </c>
      <c r="L737" s="14">
        <f>CHOOSE(CONTROL!$C$42, 47.5011, 47.5011) * CHOOSE(CONTROL!$C$21, $C$9, 100%, $E$9)</f>
        <v>47.501100000000001</v>
      </c>
      <c r="M737" s="14">
        <f>CHOOSE(CONTROL!$C$42, 46.2081, 46.2081) * CHOOSE(CONTROL!$C$21, $C$9, 100%, $E$9)</f>
        <v>46.208100000000002</v>
      </c>
      <c r="N737" s="14">
        <f>CHOOSE(CONTROL!$C$42, 46.2241, 46.2241) * CHOOSE(CONTROL!$C$21, $C$9, 100%, $E$9)</f>
        <v>46.2241</v>
      </c>
      <c r="O737" s="14">
        <f>CHOOSE(CONTROL!$C$42, 46.4545, 46.4545) * CHOOSE(CONTROL!$C$21, $C$9, 100%, $E$9)</f>
        <v>46.454500000000003</v>
      </c>
      <c r="P737" s="14">
        <f>CHOOSE(CONTROL!$C$42, 46.2428, 46.2428) * CHOOSE(CONTROL!$C$21, $C$9, 100%, $E$9)</f>
        <v>46.242800000000003</v>
      </c>
      <c r="Q737" s="14">
        <f>CHOOSE(CONTROL!$C$42, 47.0498, 47.0498) * CHOOSE(CONTROL!$C$21, $C$9, 100%, $E$9)</f>
        <v>47.049799999999998</v>
      </c>
      <c r="R737" s="14">
        <f>CHOOSE(CONTROL!$C$42, 47.7544, 47.7544) * CHOOSE(CONTROL!$C$21, $C$9, 100%, $E$9)</f>
        <v>47.754399999999997</v>
      </c>
      <c r="S737" s="14">
        <f>CHOOSE(CONTROL!$C$42, 45.3353, 45.3353) * CHOOSE(CONTROL!$C$21, $C$9, 100%, $E$9)</f>
        <v>45.335299999999997</v>
      </c>
      <c r="T73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37" s="57">
        <f>(1000*CHOOSE(CONTROL!$C$42, 695, 695)*CHOOSE(CONTROL!$C$42, 0.5599, 0.5599)*CHOOSE(CONTROL!$C$42, 31, 31))/1000000</f>
        <v>12.063045499999998</v>
      </c>
      <c r="V737" s="57">
        <f>(1000*CHOOSE(CONTROL!$C$42, 500, 500)*CHOOSE(CONTROL!$C$42, 0.275, 0.275)*CHOOSE(CONTROL!$C$42, 31, 31))/1000000</f>
        <v>4.2625000000000002</v>
      </c>
      <c r="W737" s="57">
        <f>(1000*CHOOSE(CONTROL!$C$42, 0.1146, 0.1146)*CHOOSE(CONTROL!$C$42, 121.5, 121.5)*CHOOSE(CONTROL!$C$42, 31, 31))/1000000</f>
        <v>0.43164089999999994</v>
      </c>
      <c r="X737" s="57">
        <f>(31*0.1790888*245000/1000000)+(31*0.2374*100000/1000000)</f>
        <v>2.0961194359999999</v>
      </c>
      <c r="Y737" s="57"/>
      <c r="Z737" s="14"/>
      <c r="AA737" s="56"/>
      <c r="AB737" s="50">
        <f>(B737*194.205+C737*267.466+D737*133.845+E737*53.484+F737*40+G737*185+H737*0+I737*100+J737*300)/(194.205+267.466+133.845+53.484+0+40+185+100+300)</f>
        <v>46.716755487990582</v>
      </c>
      <c r="AC737" s="45">
        <f>(M737*'RAP TEMPLATE-GAS AVAILABILITY'!O736+N737*'RAP TEMPLATE-GAS AVAILABILITY'!P736+O737*'RAP TEMPLATE-GAS AVAILABILITY'!Q736+P737*'RAP TEMPLATE-GAS AVAILABILITY'!R736)/('RAP TEMPLATE-GAS AVAILABILITY'!O736+'RAP TEMPLATE-GAS AVAILABILITY'!P736+'RAP TEMPLATE-GAS AVAILABILITY'!Q736+'RAP TEMPLATE-GAS AVAILABILITY'!R736)</f>
        <v>46.325691366906469</v>
      </c>
    </row>
    <row r="738" spans="1:29" ht="15.75" x14ac:dyDescent="0.25">
      <c r="A738" s="32">
        <v>63370</v>
      </c>
      <c r="B738" s="14">
        <f>CHOOSE(CONTROL!$C$42, 48.0131, 48.0131) * CHOOSE(CONTROL!$C$21, $C$9, 100%, $E$9)</f>
        <v>48.013100000000001</v>
      </c>
      <c r="C738" s="14">
        <f>CHOOSE(CONTROL!$C$42, 48.021, 48.021) * CHOOSE(CONTROL!$C$21, $C$9, 100%, $E$9)</f>
        <v>48.021000000000001</v>
      </c>
      <c r="D738" s="14">
        <f>CHOOSE(CONTROL!$C$42, 48.2186, 48.2186) * CHOOSE(CONTROL!$C$21, $C$9, 100%, $E$9)</f>
        <v>48.218600000000002</v>
      </c>
      <c r="E738" s="14">
        <f>CHOOSE(CONTROL!$C$42, 48.2497, 48.2497) * CHOOSE(CONTROL!$C$21, $C$9, 100%, $E$9)</f>
        <v>48.249699999999997</v>
      </c>
      <c r="F738" s="14">
        <f>CHOOSE(CONTROL!$C$42, 47.9969, 47.9969)*CHOOSE(CONTROL!$C$21, $C$9, 100%, $E$9)</f>
        <v>47.996899999999997</v>
      </c>
      <c r="G738" s="14">
        <f>CHOOSE(CONTROL!$C$42, 48.0131, 48.0131)*CHOOSE(CONTROL!$C$21, $C$9, 100%, $E$9)</f>
        <v>48.013100000000001</v>
      </c>
      <c r="H738" s="14">
        <f>CHOOSE(CONTROL!$C$42, 48.2383, 48.2383) * CHOOSE(CONTROL!$C$21, $C$9, 100%, $E$9)</f>
        <v>48.238300000000002</v>
      </c>
      <c r="I738" s="14">
        <f>CHOOSE(CONTROL!$C$42, 48.0244, 48.0244)* CHOOSE(CONTROL!$C$21, $C$9, 100%, $E$9)</f>
        <v>48.0244</v>
      </c>
      <c r="J738" s="14">
        <f>CHOOSE(CONTROL!$C$42, 47.9899, 47.9899)* CHOOSE(CONTROL!$C$21, $C$9, 100%, $E$9)</f>
        <v>47.989899999999999</v>
      </c>
      <c r="K738" s="53">
        <f>CHOOSE(CONTROL!$C$42, 48.0205, 48.0205) * CHOOSE(CONTROL!$C$21, $C$9, 100%, $E$9)</f>
        <v>48.020499999999998</v>
      </c>
      <c r="L738" s="14">
        <f>CHOOSE(CONTROL!$C$42, 48.8253, 48.8253) * CHOOSE(CONTROL!$C$21, $C$9, 100%, $E$9)</f>
        <v>48.825299999999999</v>
      </c>
      <c r="M738" s="14">
        <f>CHOOSE(CONTROL!$C$42, 47.5194, 47.5194) * CHOOSE(CONTROL!$C$21, $C$9, 100%, $E$9)</f>
        <v>47.519399999999997</v>
      </c>
      <c r="N738" s="14">
        <f>CHOOSE(CONTROL!$C$42, 47.5355, 47.5355) * CHOOSE(CONTROL!$C$21, $C$9, 100%, $E$9)</f>
        <v>47.535499999999999</v>
      </c>
      <c r="O738" s="14">
        <f>CHOOSE(CONTROL!$C$42, 47.7654, 47.7654) * CHOOSE(CONTROL!$C$21, $C$9, 100%, $E$9)</f>
        <v>47.7654</v>
      </c>
      <c r="P738" s="14">
        <f>CHOOSE(CONTROL!$C$42, 47.5537, 47.5537) * CHOOSE(CONTROL!$C$21, $C$9, 100%, $E$9)</f>
        <v>47.553699999999999</v>
      </c>
      <c r="Q738" s="14">
        <f>CHOOSE(CONTROL!$C$42, 48.3607, 48.3607) * CHOOSE(CONTROL!$C$21, $C$9, 100%, $E$9)</f>
        <v>48.360700000000001</v>
      </c>
      <c r="R738" s="14">
        <f>CHOOSE(CONTROL!$C$42, 49.0686, 49.0686) * CHOOSE(CONTROL!$C$21, $C$9, 100%, $E$9)</f>
        <v>49.068600000000004</v>
      </c>
      <c r="S738" s="14">
        <f>CHOOSE(CONTROL!$C$42, 46.6212, 46.6212) * CHOOSE(CONTROL!$C$21, $C$9, 100%, $E$9)</f>
        <v>46.621200000000002</v>
      </c>
      <c r="T73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38" s="57">
        <f>(1000*CHOOSE(CONTROL!$C$42, 695, 695)*CHOOSE(CONTROL!$C$42, 0.5599, 0.5599)*CHOOSE(CONTROL!$C$42, 30, 30))/1000000</f>
        <v>11.673914999999997</v>
      </c>
      <c r="V738" s="57">
        <f>(1000*CHOOSE(CONTROL!$C$42, 500, 500)*CHOOSE(CONTROL!$C$42, 0.275, 0.275)*CHOOSE(CONTROL!$C$42, 30, 30))/1000000</f>
        <v>4.125</v>
      </c>
      <c r="W738" s="57">
        <f>(1000*CHOOSE(CONTROL!$C$42, 0.1146, 0.1146)*CHOOSE(CONTROL!$C$42, 121.5, 121.5)*CHOOSE(CONTROL!$C$42, 30, 30))/1000000</f>
        <v>0.417717</v>
      </c>
      <c r="X738" s="57">
        <f>(30*0.1790888*245000/1000000)+(30*0.2374*100000/1000000)</f>
        <v>2.0285026799999999</v>
      </c>
      <c r="Y738" s="57"/>
      <c r="Z738" s="14"/>
      <c r="AA738" s="56"/>
      <c r="AB738" s="50">
        <f>(B738*194.205+C738*267.466+D738*133.845+E738*53.484+F738*40+G738*185+H738*0+I738*100+J738*300)/(194.205+267.466+133.845+53.484+0+40+185+100+300)</f>
        <v>48.041196109340667</v>
      </c>
      <c r="AC738" s="45">
        <f>(M738*'RAP TEMPLATE-GAS AVAILABILITY'!O737+N738*'RAP TEMPLATE-GAS AVAILABILITY'!P737+O738*'RAP TEMPLATE-GAS AVAILABILITY'!Q737+P738*'RAP TEMPLATE-GAS AVAILABILITY'!R737)/('RAP TEMPLATE-GAS AVAILABILITY'!O737+'RAP TEMPLATE-GAS AVAILABILITY'!P737+'RAP TEMPLATE-GAS AVAILABILITY'!Q737+'RAP TEMPLATE-GAS AVAILABILITY'!R737)</f>
        <v>47.63675827338129</v>
      </c>
    </row>
    <row r="739" spans="1:29" ht="15.75" x14ac:dyDescent="0.25">
      <c r="A739" s="32">
        <v>63401</v>
      </c>
      <c r="B739" s="14">
        <f>CHOOSE(CONTROL!$C$42, 47.0921, 47.0921) * CHOOSE(CONTROL!$C$21, $C$9, 100%, $E$9)</f>
        <v>47.092100000000002</v>
      </c>
      <c r="C739" s="14">
        <f>CHOOSE(CONTROL!$C$42, 47.1, 47.1) * CHOOSE(CONTROL!$C$21, $C$9, 100%, $E$9)</f>
        <v>47.1</v>
      </c>
      <c r="D739" s="14">
        <f>CHOOSE(CONTROL!$C$42, 47.2976, 47.2976) * CHOOSE(CONTROL!$C$21, $C$9, 100%, $E$9)</f>
        <v>47.297600000000003</v>
      </c>
      <c r="E739" s="14">
        <f>CHOOSE(CONTROL!$C$42, 47.3287, 47.3287) * CHOOSE(CONTROL!$C$21, $C$9, 100%, $E$9)</f>
        <v>47.328699999999998</v>
      </c>
      <c r="F739" s="14">
        <f>CHOOSE(CONTROL!$C$42, 47.0763, 47.0763)*CHOOSE(CONTROL!$C$21, $C$9, 100%, $E$9)</f>
        <v>47.076300000000003</v>
      </c>
      <c r="G739" s="14">
        <f>CHOOSE(CONTROL!$C$42, 47.0926, 47.0926)*CHOOSE(CONTROL!$C$21, $C$9, 100%, $E$9)</f>
        <v>47.092599999999997</v>
      </c>
      <c r="H739" s="14">
        <f>CHOOSE(CONTROL!$C$42, 47.3173, 47.3173) * CHOOSE(CONTROL!$C$21, $C$9, 100%, $E$9)</f>
        <v>47.317300000000003</v>
      </c>
      <c r="I739" s="14">
        <f>CHOOSE(CONTROL!$C$42, 47.1034, 47.1034)* CHOOSE(CONTROL!$C$21, $C$9, 100%, $E$9)</f>
        <v>47.103400000000001</v>
      </c>
      <c r="J739" s="14">
        <f>CHOOSE(CONTROL!$C$42, 47.0693, 47.0693)* CHOOSE(CONTROL!$C$21, $C$9, 100%, $E$9)</f>
        <v>47.069299999999998</v>
      </c>
      <c r="K739" s="53">
        <f>CHOOSE(CONTROL!$C$42, 47.0995, 47.0995) * CHOOSE(CONTROL!$C$21, $C$9, 100%, $E$9)</f>
        <v>47.099499999999999</v>
      </c>
      <c r="L739" s="14">
        <f>CHOOSE(CONTROL!$C$42, 47.9043, 47.9043) * CHOOSE(CONTROL!$C$21, $C$9, 100%, $E$9)</f>
        <v>47.904299999999999</v>
      </c>
      <c r="M739" s="14">
        <f>CHOOSE(CONTROL!$C$42, 46.6081, 46.6081) * CHOOSE(CONTROL!$C$21, $C$9, 100%, $E$9)</f>
        <v>46.6081</v>
      </c>
      <c r="N739" s="14">
        <f>CHOOSE(CONTROL!$C$42, 46.6243, 46.6243) * CHOOSE(CONTROL!$C$21, $C$9, 100%, $E$9)</f>
        <v>46.624299999999998</v>
      </c>
      <c r="O739" s="14">
        <f>CHOOSE(CONTROL!$C$42, 46.8536, 46.8536) * CHOOSE(CONTROL!$C$21, $C$9, 100%, $E$9)</f>
        <v>46.8536</v>
      </c>
      <c r="P739" s="14">
        <f>CHOOSE(CONTROL!$C$42, 46.6419, 46.6419) * CHOOSE(CONTROL!$C$21, $C$9, 100%, $E$9)</f>
        <v>46.6419</v>
      </c>
      <c r="Q739" s="14">
        <f>CHOOSE(CONTROL!$C$42, 47.4489, 47.4489) * CHOOSE(CONTROL!$C$21, $C$9, 100%, $E$9)</f>
        <v>47.448900000000002</v>
      </c>
      <c r="R739" s="14">
        <f>CHOOSE(CONTROL!$C$42, 48.1546, 48.1546) * CHOOSE(CONTROL!$C$21, $C$9, 100%, $E$9)</f>
        <v>48.154600000000002</v>
      </c>
      <c r="S739" s="14">
        <f>CHOOSE(CONTROL!$C$42, 45.7268, 45.7268) * CHOOSE(CONTROL!$C$21, $C$9, 100%, $E$9)</f>
        <v>45.726799999999997</v>
      </c>
      <c r="T73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39" s="57">
        <f>(1000*CHOOSE(CONTROL!$C$42, 695, 695)*CHOOSE(CONTROL!$C$42, 0.5599, 0.5599)*CHOOSE(CONTROL!$C$42, 31, 31))/1000000</f>
        <v>12.063045499999998</v>
      </c>
      <c r="V739" s="57">
        <f>(1000*CHOOSE(CONTROL!$C$42, 500, 500)*CHOOSE(CONTROL!$C$42, 0.275, 0.275)*CHOOSE(CONTROL!$C$42, 31, 31))/1000000</f>
        <v>4.2625000000000002</v>
      </c>
      <c r="W739" s="57">
        <f>(1000*CHOOSE(CONTROL!$C$42, 0.1146, 0.1146)*CHOOSE(CONTROL!$C$42, 121.5, 121.5)*CHOOSE(CONTROL!$C$42, 31, 31))/1000000</f>
        <v>0.43164089999999994</v>
      </c>
      <c r="X739" s="57">
        <f>(31*0.1790888*245000/1000000)+(31*0.2374*100000/1000000)</f>
        <v>2.0961194359999999</v>
      </c>
      <c r="Y739" s="57"/>
      <c r="Z739" s="14"/>
      <c r="AA739" s="56"/>
      <c r="AB739" s="50">
        <f>(B739*194.205+C739*267.466+D739*133.845+E739*53.484+F739*40+G739*185+H739*0+I739*100+J739*300)/(194.205+267.466+133.845+53.484+0+40+185+100+300)</f>
        <v>47.120375465698586</v>
      </c>
      <c r="AC739" s="45">
        <f>(M739*'RAP TEMPLATE-GAS AVAILABILITY'!O738+N739*'RAP TEMPLATE-GAS AVAILABILITY'!P738+O739*'RAP TEMPLATE-GAS AVAILABILITY'!Q738+P739*'RAP TEMPLATE-GAS AVAILABILITY'!R738)/('RAP TEMPLATE-GAS AVAILABILITY'!O738+'RAP TEMPLATE-GAS AVAILABILITY'!P738+'RAP TEMPLATE-GAS AVAILABILITY'!Q738+'RAP TEMPLATE-GAS AVAILABILITY'!R738)</f>
        <v>46.725165467625899</v>
      </c>
    </row>
    <row r="740" spans="1:29" ht="15.75" x14ac:dyDescent="0.25">
      <c r="A740" s="32">
        <v>63432</v>
      </c>
      <c r="B740" s="14">
        <f>CHOOSE(CONTROL!$C$42, 44.7662, 44.7662) * CHOOSE(CONTROL!$C$21, $C$9, 100%, $E$9)</f>
        <v>44.766199999999998</v>
      </c>
      <c r="C740" s="14">
        <f>CHOOSE(CONTROL!$C$42, 44.7741, 44.7741) * CHOOSE(CONTROL!$C$21, $C$9, 100%, $E$9)</f>
        <v>44.774099999999997</v>
      </c>
      <c r="D740" s="14">
        <f>CHOOSE(CONTROL!$C$42, 44.9717, 44.9717) * CHOOSE(CONTROL!$C$21, $C$9, 100%, $E$9)</f>
        <v>44.971699999999998</v>
      </c>
      <c r="E740" s="14">
        <f>CHOOSE(CONTROL!$C$42, 45.0028, 45.0028) * CHOOSE(CONTROL!$C$21, $C$9, 100%, $E$9)</f>
        <v>45.002800000000001</v>
      </c>
      <c r="F740" s="14">
        <f>CHOOSE(CONTROL!$C$42, 44.7506, 44.7506)*CHOOSE(CONTROL!$C$21, $C$9, 100%, $E$9)</f>
        <v>44.750599999999999</v>
      </c>
      <c r="G740" s="14">
        <f>CHOOSE(CONTROL!$C$42, 44.767, 44.767)*CHOOSE(CONTROL!$C$21, $C$9, 100%, $E$9)</f>
        <v>44.767000000000003</v>
      </c>
      <c r="H740" s="14">
        <f>CHOOSE(CONTROL!$C$42, 44.9915, 44.9915) * CHOOSE(CONTROL!$C$21, $C$9, 100%, $E$9)</f>
        <v>44.991500000000002</v>
      </c>
      <c r="I740" s="14">
        <f>CHOOSE(CONTROL!$C$42, 44.7776, 44.7776)* CHOOSE(CONTROL!$C$21, $C$9, 100%, $E$9)</f>
        <v>44.7776</v>
      </c>
      <c r="J740" s="14">
        <f>CHOOSE(CONTROL!$C$42, 44.7436, 44.7436)* CHOOSE(CONTROL!$C$21, $C$9, 100%, $E$9)</f>
        <v>44.743600000000001</v>
      </c>
      <c r="K740" s="53">
        <f>CHOOSE(CONTROL!$C$42, 44.7737, 44.7737) * CHOOSE(CONTROL!$C$21, $C$9, 100%, $E$9)</f>
        <v>44.773699999999998</v>
      </c>
      <c r="L740" s="14">
        <f>CHOOSE(CONTROL!$C$42, 45.5785, 45.5785) * CHOOSE(CONTROL!$C$21, $C$9, 100%, $E$9)</f>
        <v>45.578499999999998</v>
      </c>
      <c r="M740" s="14">
        <f>CHOOSE(CONTROL!$C$42, 44.3059, 44.3059) * CHOOSE(CONTROL!$C$21, $C$9, 100%, $E$9)</f>
        <v>44.305900000000001</v>
      </c>
      <c r="N740" s="14">
        <f>CHOOSE(CONTROL!$C$42, 44.3221, 44.3221) * CHOOSE(CONTROL!$C$21, $C$9, 100%, $E$9)</f>
        <v>44.322099999999999</v>
      </c>
      <c r="O740" s="14">
        <f>CHOOSE(CONTROL!$C$42, 44.5513, 44.5513) * CHOOSE(CONTROL!$C$21, $C$9, 100%, $E$9)</f>
        <v>44.551299999999998</v>
      </c>
      <c r="P740" s="14">
        <f>CHOOSE(CONTROL!$C$42, 44.3395, 44.3395) * CHOOSE(CONTROL!$C$21, $C$9, 100%, $E$9)</f>
        <v>44.339500000000001</v>
      </c>
      <c r="Q740" s="14">
        <f>CHOOSE(CONTROL!$C$42, 45.1466, 45.1466) * CHOOSE(CONTROL!$C$21, $C$9, 100%, $E$9)</f>
        <v>45.146599999999999</v>
      </c>
      <c r="R740" s="14">
        <f>CHOOSE(CONTROL!$C$42, 45.8464, 45.8464) * CHOOSE(CONTROL!$C$21, $C$9, 100%, $E$9)</f>
        <v>45.846400000000003</v>
      </c>
      <c r="S740" s="14">
        <f>CHOOSE(CONTROL!$C$42, 43.4682, 43.4682) * CHOOSE(CONTROL!$C$21, $C$9, 100%, $E$9)</f>
        <v>43.468200000000003</v>
      </c>
      <c r="T74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40" s="57">
        <f>(1000*CHOOSE(CONTROL!$C$42, 695, 695)*CHOOSE(CONTROL!$C$42, 0.5599, 0.5599)*CHOOSE(CONTROL!$C$42, 31, 31))/1000000</f>
        <v>12.063045499999998</v>
      </c>
      <c r="V740" s="57">
        <f>(1000*CHOOSE(CONTROL!$C$42, 500, 500)*CHOOSE(CONTROL!$C$42, 0.275, 0.275)*CHOOSE(CONTROL!$C$42, 31, 31))/1000000</f>
        <v>4.2625000000000002</v>
      </c>
      <c r="W740" s="57">
        <f>(1000*CHOOSE(CONTROL!$C$42, 0.1146, 0.1146)*CHOOSE(CONTROL!$C$42, 121.5, 121.5)*CHOOSE(CONTROL!$C$42, 31, 31))/1000000</f>
        <v>0.43164089999999994</v>
      </c>
      <c r="X740" s="57">
        <f>(31*0.1790888*245000/1000000)+(31*0.2374*100000/1000000)</f>
        <v>2.0961194359999999</v>
      </c>
      <c r="Y740" s="57"/>
      <c r="Z740" s="14"/>
      <c r="AA740" s="56"/>
      <c r="AB740" s="50">
        <f>(B740*194.205+C740*267.466+D740*133.845+E740*53.484+F740*40+G740*185+H740*0+I740*100+J740*300)/(194.205+267.466+133.845+53.484+0+40+185+100+300)</f>
        <v>44.794580253767663</v>
      </c>
      <c r="AC740" s="45">
        <f>(M740*'RAP TEMPLATE-GAS AVAILABILITY'!O739+N740*'RAP TEMPLATE-GAS AVAILABILITY'!P739+O740*'RAP TEMPLATE-GAS AVAILABILITY'!Q739+P740*'RAP TEMPLATE-GAS AVAILABILITY'!R739)/('RAP TEMPLATE-GAS AVAILABILITY'!O739+'RAP TEMPLATE-GAS AVAILABILITY'!P739+'RAP TEMPLATE-GAS AVAILABILITY'!Q739+'RAP TEMPLATE-GAS AVAILABILITY'!R739)</f>
        <v>44.422891366906477</v>
      </c>
    </row>
    <row r="741" spans="1:29" ht="15.75" x14ac:dyDescent="0.25">
      <c r="A741" s="32">
        <v>63462</v>
      </c>
      <c r="B741" s="14">
        <f>CHOOSE(CONTROL!$C$42, 41.924, 41.924) * CHOOSE(CONTROL!$C$21, $C$9, 100%, $E$9)</f>
        <v>41.923999999999999</v>
      </c>
      <c r="C741" s="14">
        <f>CHOOSE(CONTROL!$C$42, 41.932, 41.932) * CHOOSE(CONTROL!$C$21, $C$9, 100%, $E$9)</f>
        <v>41.932000000000002</v>
      </c>
      <c r="D741" s="14">
        <f>CHOOSE(CONTROL!$C$42, 42.1295, 42.1295) * CHOOSE(CONTROL!$C$21, $C$9, 100%, $E$9)</f>
        <v>42.1295</v>
      </c>
      <c r="E741" s="14">
        <f>CHOOSE(CONTROL!$C$42, 42.1607, 42.1607) * CHOOSE(CONTROL!$C$21, $C$9, 100%, $E$9)</f>
        <v>42.160699999999999</v>
      </c>
      <c r="F741" s="14">
        <f>CHOOSE(CONTROL!$C$42, 41.9084, 41.9084)*CHOOSE(CONTROL!$C$21, $C$9, 100%, $E$9)</f>
        <v>41.9084</v>
      </c>
      <c r="G741" s="14">
        <f>CHOOSE(CONTROL!$C$42, 41.9248, 41.9248)*CHOOSE(CONTROL!$C$21, $C$9, 100%, $E$9)</f>
        <v>41.924799999999998</v>
      </c>
      <c r="H741" s="14">
        <f>CHOOSE(CONTROL!$C$42, 42.1493, 42.1493) * CHOOSE(CONTROL!$C$21, $C$9, 100%, $E$9)</f>
        <v>42.149299999999997</v>
      </c>
      <c r="I741" s="14">
        <f>CHOOSE(CONTROL!$C$42, 41.9354, 41.9354)* CHOOSE(CONTROL!$C$21, $C$9, 100%, $E$9)</f>
        <v>41.935400000000001</v>
      </c>
      <c r="J741" s="14">
        <f>CHOOSE(CONTROL!$C$42, 41.9014, 41.9014)* CHOOSE(CONTROL!$C$21, $C$9, 100%, $E$9)</f>
        <v>41.901400000000002</v>
      </c>
      <c r="K741" s="53">
        <f>CHOOSE(CONTROL!$C$42, 41.9315, 41.9315) * CHOOSE(CONTROL!$C$21, $C$9, 100%, $E$9)</f>
        <v>41.9315</v>
      </c>
      <c r="L741" s="14">
        <f>CHOOSE(CONTROL!$C$42, 42.7363, 42.7363) * CHOOSE(CONTROL!$C$21, $C$9, 100%, $E$9)</f>
        <v>42.7363</v>
      </c>
      <c r="M741" s="14">
        <f>CHOOSE(CONTROL!$C$42, 41.4924, 41.4924) * CHOOSE(CONTROL!$C$21, $C$9, 100%, $E$9)</f>
        <v>41.492400000000004</v>
      </c>
      <c r="N741" s="14">
        <f>CHOOSE(CONTROL!$C$42, 41.5086, 41.5086) * CHOOSE(CONTROL!$C$21, $C$9, 100%, $E$9)</f>
        <v>41.508600000000001</v>
      </c>
      <c r="O741" s="14">
        <f>CHOOSE(CONTROL!$C$42, 41.7378, 41.7378) * CHOOSE(CONTROL!$C$21, $C$9, 100%, $E$9)</f>
        <v>41.7378</v>
      </c>
      <c r="P741" s="14">
        <f>CHOOSE(CONTROL!$C$42, 41.5261, 41.5261) * CHOOSE(CONTROL!$C$21, $C$9, 100%, $E$9)</f>
        <v>41.5261</v>
      </c>
      <c r="Q741" s="14">
        <f>CHOOSE(CONTROL!$C$42, 42.3331, 42.3331) * CHOOSE(CONTROL!$C$21, $C$9, 100%, $E$9)</f>
        <v>42.333100000000002</v>
      </c>
      <c r="R741" s="14">
        <f>CHOOSE(CONTROL!$C$42, 43.0259, 43.0259) * CHOOSE(CONTROL!$C$21, $C$9, 100%, $E$9)</f>
        <v>43.0259</v>
      </c>
      <c r="S741" s="14">
        <f>CHOOSE(CONTROL!$C$42, 40.7082, 40.7082) * CHOOSE(CONTROL!$C$21, $C$9, 100%, $E$9)</f>
        <v>40.708199999999998</v>
      </c>
      <c r="T74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41" s="57">
        <f>(1000*CHOOSE(CONTROL!$C$42, 695, 695)*CHOOSE(CONTROL!$C$42, 0.5599, 0.5599)*CHOOSE(CONTROL!$C$42, 30, 30))/1000000</f>
        <v>11.673914999999997</v>
      </c>
      <c r="V741" s="57">
        <f>(1000*CHOOSE(CONTROL!$C$42, 500, 500)*CHOOSE(CONTROL!$C$42, 0.275, 0.275)*CHOOSE(CONTROL!$C$42, 30, 30))/1000000</f>
        <v>4.125</v>
      </c>
      <c r="W741" s="57">
        <f>(1000*CHOOSE(CONTROL!$C$42, 0.1146, 0.1146)*CHOOSE(CONTROL!$C$42, 121.5, 121.5)*CHOOSE(CONTROL!$C$42, 30, 30))/1000000</f>
        <v>0.417717</v>
      </c>
      <c r="X741" s="57">
        <f>(30*0.1790888*245000/1000000)+(30*0.2374*100000/1000000)</f>
        <v>2.0285026799999999</v>
      </c>
      <c r="Y741" s="57"/>
      <c r="Z741" s="14"/>
      <c r="AA741" s="56"/>
      <c r="AB741" s="50">
        <f>(B741*194.205+C741*267.466+D741*133.845+E741*53.484+F741*40+G741*185+H741*0+I741*100+J741*300)/(194.205+267.466+133.845+53.484+0+40+185+100+300)</f>
        <v>41.952405446075353</v>
      </c>
      <c r="AC741" s="45">
        <f>(M741*'RAP TEMPLATE-GAS AVAILABILITY'!O740+N741*'RAP TEMPLATE-GAS AVAILABILITY'!P740+O741*'RAP TEMPLATE-GAS AVAILABILITY'!Q740+P741*'RAP TEMPLATE-GAS AVAILABILITY'!R740)/('RAP TEMPLATE-GAS AVAILABILITY'!O740+'RAP TEMPLATE-GAS AVAILABILITY'!P740+'RAP TEMPLATE-GAS AVAILABILITY'!Q740+'RAP TEMPLATE-GAS AVAILABILITY'!R740)</f>
        <v>41.609405755395684</v>
      </c>
    </row>
    <row r="742" spans="1:29" ht="15.75" x14ac:dyDescent="0.25">
      <c r="A742" s="32">
        <v>63493</v>
      </c>
      <c r="B742" s="14">
        <f>CHOOSE(CONTROL!$C$42, 41.0712, 41.0712) * CHOOSE(CONTROL!$C$21, $C$9, 100%, $E$9)</f>
        <v>41.071199999999997</v>
      </c>
      <c r="C742" s="14">
        <f>CHOOSE(CONTROL!$C$42, 41.0764, 41.0764) * CHOOSE(CONTROL!$C$21, $C$9, 100%, $E$9)</f>
        <v>41.0764</v>
      </c>
      <c r="D742" s="14">
        <f>CHOOSE(CONTROL!$C$42, 41.2789, 41.2789) * CHOOSE(CONTROL!$C$21, $C$9, 100%, $E$9)</f>
        <v>41.2789</v>
      </c>
      <c r="E742" s="14">
        <f>CHOOSE(CONTROL!$C$42, 41.3077, 41.3077) * CHOOSE(CONTROL!$C$21, $C$9, 100%, $E$9)</f>
        <v>41.307699999999997</v>
      </c>
      <c r="F742" s="14">
        <f>CHOOSE(CONTROL!$C$42, 41.0575, 41.0575)*CHOOSE(CONTROL!$C$21, $C$9, 100%, $E$9)</f>
        <v>41.057499999999997</v>
      </c>
      <c r="G742" s="14">
        <f>CHOOSE(CONTROL!$C$42, 41.0735, 41.0735)*CHOOSE(CONTROL!$C$21, $C$9, 100%, $E$9)</f>
        <v>41.073500000000003</v>
      </c>
      <c r="H742" s="14">
        <f>CHOOSE(CONTROL!$C$42, 41.2982, 41.2982) * CHOOSE(CONTROL!$C$21, $C$9, 100%, $E$9)</f>
        <v>41.298200000000001</v>
      </c>
      <c r="I742" s="14">
        <f>CHOOSE(CONTROL!$C$42, 41.0843, 41.0843)* CHOOSE(CONTROL!$C$21, $C$9, 100%, $E$9)</f>
        <v>41.084299999999999</v>
      </c>
      <c r="J742" s="14">
        <f>CHOOSE(CONTROL!$C$42, 41.0505, 41.0505)* CHOOSE(CONTROL!$C$21, $C$9, 100%, $E$9)</f>
        <v>41.0505</v>
      </c>
      <c r="K742" s="53">
        <f>CHOOSE(CONTROL!$C$42, 41.0804, 41.0804) * CHOOSE(CONTROL!$C$21, $C$9, 100%, $E$9)</f>
        <v>41.080399999999997</v>
      </c>
      <c r="L742" s="14">
        <f>CHOOSE(CONTROL!$C$42, 41.8852, 41.8852) * CHOOSE(CONTROL!$C$21, $C$9, 100%, $E$9)</f>
        <v>41.885199999999998</v>
      </c>
      <c r="M742" s="14">
        <f>CHOOSE(CONTROL!$C$42, 40.6501, 40.6501) * CHOOSE(CONTROL!$C$21, $C$9, 100%, $E$9)</f>
        <v>40.650100000000002</v>
      </c>
      <c r="N742" s="14">
        <f>CHOOSE(CONTROL!$C$42, 40.6659, 40.6659) * CHOOSE(CONTROL!$C$21, $C$9, 100%, $E$9)</f>
        <v>40.665900000000001</v>
      </c>
      <c r="O742" s="14">
        <f>CHOOSE(CONTROL!$C$42, 40.8953, 40.8953) * CHOOSE(CONTROL!$C$21, $C$9, 100%, $E$9)</f>
        <v>40.895299999999999</v>
      </c>
      <c r="P742" s="14">
        <f>CHOOSE(CONTROL!$C$42, 40.6835, 40.6835) * CHOOSE(CONTROL!$C$21, $C$9, 100%, $E$9)</f>
        <v>40.683500000000002</v>
      </c>
      <c r="Q742" s="14">
        <f>CHOOSE(CONTROL!$C$42, 41.4906, 41.4906) * CHOOSE(CONTROL!$C$21, $C$9, 100%, $E$9)</f>
        <v>41.490600000000001</v>
      </c>
      <c r="R742" s="14">
        <f>CHOOSE(CONTROL!$C$42, 42.1813, 42.1813) * CHOOSE(CONTROL!$C$21, $C$9, 100%, $E$9)</f>
        <v>42.1813</v>
      </c>
      <c r="S742" s="14">
        <f>CHOOSE(CONTROL!$C$42, 39.8817, 39.8817) * CHOOSE(CONTROL!$C$21, $C$9, 100%, $E$9)</f>
        <v>39.881700000000002</v>
      </c>
      <c r="T74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42" s="57">
        <f>(1000*CHOOSE(CONTROL!$C$42, 695, 695)*CHOOSE(CONTROL!$C$42, 0.5599, 0.5599)*CHOOSE(CONTROL!$C$42, 31, 31))/1000000</f>
        <v>12.063045499999998</v>
      </c>
      <c r="V742" s="57">
        <f>(1000*CHOOSE(CONTROL!$C$42, 500, 500)*CHOOSE(CONTROL!$C$42, 0.275, 0.275)*CHOOSE(CONTROL!$C$42, 31, 31))/1000000</f>
        <v>4.2625000000000002</v>
      </c>
      <c r="W742" s="57">
        <f>(1000*CHOOSE(CONTROL!$C$42, 0.1146, 0.1146)*CHOOSE(CONTROL!$C$42, 121.5, 121.5)*CHOOSE(CONTROL!$C$42, 31, 31))/1000000</f>
        <v>0.43164089999999994</v>
      </c>
      <c r="X742" s="57">
        <f>(31*0.1790888*245000/1000000)+(31*0.2374*100000/1000000)</f>
        <v>2.0961194359999999</v>
      </c>
      <c r="Y742" s="57"/>
      <c r="Z742" s="14"/>
      <c r="AA742" s="56"/>
      <c r="AB742" s="50">
        <f>(B742*131.881+C742*277.167+D742*79.08+E742*125.872+F742*40+G742*185+H742*0+I742*100+J742*300)/(131.881+277.167+79.08+125.872+0+40+185+100+300)</f>
        <v>41.105592584665054</v>
      </c>
      <c r="AC742" s="45">
        <f>(M742*'RAP TEMPLATE-GAS AVAILABILITY'!O741+N742*'RAP TEMPLATE-GAS AVAILABILITY'!P741+O742*'RAP TEMPLATE-GAS AVAILABILITY'!Q741+P742*'RAP TEMPLATE-GAS AVAILABILITY'!R741)/('RAP TEMPLATE-GAS AVAILABILITY'!O741+'RAP TEMPLATE-GAS AVAILABILITY'!P741+'RAP TEMPLATE-GAS AVAILABILITY'!Q741+'RAP TEMPLATE-GAS AVAILABILITY'!R741)</f>
        <v>40.766948920863314</v>
      </c>
    </row>
    <row r="743" spans="1:29" ht="15.75" x14ac:dyDescent="0.25">
      <c r="A743" s="32">
        <v>63523</v>
      </c>
      <c r="B743" s="14">
        <f>CHOOSE(CONTROL!$C$42, 42.1527, 42.1527) * CHOOSE(CONTROL!$C$21, $C$9, 100%, $E$9)</f>
        <v>42.152700000000003</v>
      </c>
      <c r="C743" s="14">
        <f>CHOOSE(CONTROL!$C$42, 42.1576, 42.1576) * CHOOSE(CONTROL!$C$21, $C$9, 100%, $E$9)</f>
        <v>42.157600000000002</v>
      </c>
      <c r="D743" s="14">
        <f>CHOOSE(CONTROL!$C$42, 42.2207, 42.2207) * CHOOSE(CONTROL!$C$21, $C$9, 100%, $E$9)</f>
        <v>42.220700000000001</v>
      </c>
      <c r="E743" s="14">
        <f>CHOOSE(CONTROL!$C$42, 42.2545, 42.2545) * CHOOSE(CONTROL!$C$21, $C$9, 100%, $E$9)</f>
        <v>42.2545</v>
      </c>
      <c r="F743" s="14">
        <f>CHOOSE(CONTROL!$C$42, 42.1534, 42.1534)*CHOOSE(CONTROL!$C$21, $C$9, 100%, $E$9)</f>
        <v>42.153399999999998</v>
      </c>
      <c r="G743" s="14">
        <f>CHOOSE(CONTROL!$C$42, 42.1697, 42.1697)*CHOOSE(CONTROL!$C$21, $C$9, 100%, $E$9)</f>
        <v>42.169699999999999</v>
      </c>
      <c r="H743" s="14">
        <f>CHOOSE(CONTROL!$C$42, 42.2437, 42.2437) * CHOOSE(CONTROL!$C$21, $C$9, 100%, $E$9)</f>
        <v>42.243699999999997</v>
      </c>
      <c r="I743" s="14">
        <f>CHOOSE(CONTROL!$C$42, 42.1662, 42.1662)* CHOOSE(CONTROL!$C$21, $C$9, 100%, $E$9)</f>
        <v>42.166200000000003</v>
      </c>
      <c r="J743" s="14">
        <f>CHOOSE(CONTROL!$C$42, 42.1464, 42.1464)* CHOOSE(CONTROL!$C$21, $C$9, 100%, $E$9)</f>
        <v>42.1464</v>
      </c>
      <c r="K743" s="53">
        <f>CHOOSE(CONTROL!$C$42, 42.1623, 42.1623) * CHOOSE(CONTROL!$C$21, $C$9, 100%, $E$9)</f>
        <v>42.162300000000002</v>
      </c>
      <c r="L743" s="14">
        <f>CHOOSE(CONTROL!$C$42, 42.8307, 42.8307) * CHOOSE(CONTROL!$C$21, $C$9, 100%, $E$9)</f>
        <v>42.8307</v>
      </c>
      <c r="M743" s="14">
        <f>CHOOSE(CONTROL!$C$42, 41.7349, 41.7349) * CHOOSE(CONTROL!$C$21, $C$9, 100%, $E$9)</f>
        <v>41.734900000000003</v>
      </c>
      <c r="N743" s="14">
        <f>CHOOSE(CONTROL!$C$42, 41.751, 41.751) * CHOOSE(CONTROL!$C$21, $C$9, 100%, $E$9)</f>
        <v>41.750999999999998</v>
      </c>
      <c r="O743" s="14">
        <f>CHOOSE(CONTROL!$C$42, 41.8312, 41.8312) * CHOOSE(CONTROL!$C$21, $C$9, 100%, $E$9)</f>
        <v>41.831200000000003</v>
      </c>
      <c r="P743" s="14">
        <f>CHOOSE(CONTROL!$C$42, 41.7545, 41.7545) * CHOOSE(CONTROL!$C$21, $C$9, 100%, $E$9)</f>
        <v>41.7545</v>
      </c>
      <c r="Q743" s="14">
        <f>CHOOSE(CONTROL!$C$42, 42.4265, 42.4265) * CHOOSE(CONTROL!$C$21, $C$9, 100%, $E$9)</f>
        <v>42.426499999999997</v>
      </c>
      <c r="R743" s="14">
        <f>CHOOSE(CONTROL!$C$42, 43.1196, 43.1196) * CHOOSE(CONTROL!$C$21, $C$9, 100%, $E$9)</f>
        <v>43.119599999999998</v>
      </c>
      <c r="S743" s="14">
        <f>CHOOSE(CONTROL!$C$42, 40.9323, 40.9323) * CHOOSE(CONTROL!$C$21, $C$9, 100%, $E$9)</f>
        <v>40.932299999999998</v>
      </c>
      <c r="T74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43" s="57">
        <f>(1000*CHOOSE(CONTROL!$C$42, 695, 695)*CHOOSE(CONTROL!$C$42, 0.5599, 0.5599)*CHOOSE(CONTROL!$C$42, 30, 30))/1000000</f>
        <v>11.673914999999997</v>
      </c>
      <c r="V743" s="57">
        <f>(1000*CHOOSE(CONTROL!$C$42, 500, 500)*CHOOSE(CONTROL!$C$42, 0.275, 0.275)*CHOOSE(CONTROL!$C$42, 30, 30))/1000000</f>
        <v>4.125</v>
      </c>
      <c r="W743" s="57">
        <f>(1000*CHOOSE(CONTROL!$C$42, 0.1146, 0.1146)*CHOOSE(CONTROL!$C$42, 121.5, 121.5)*CHOOSE(CONTROL!$C$42, 30, 30))/1000000</f>
        <v>0.417717</v>
      </c>
      <c r="X743" s="57">
        <f>(30*0.1790888*100000/1000000)+(30*0.2374*100000/1000000)</f>
        <v>1.2494664</v>
      </c>
      <c r="Y743" s="57"/>
      <c r="Z743" s="14"/>
      <c r="AA743" s="56"/>
      <c r="AB743" s="50">
        <f>(B743*122.58+C743*297.941+D743*89.177+E743*40.302+F743*40+G743*160+H743*0+I743*100+J743*300)/(122.58+297.941+89.177+40.302+0+40+160+100+300)</f>
        <v>42.164730165652173</v>
      </c>
      <c r="AC743" s="45">
        <f>(M743*'RAP TEMPLATE-GAS AVAILABILITY'!O742+N743*'RAP TEMPLATE-GAS AVAILABILITY'!P742+O743*'RAP TEMPLATE-GAS AVAILABILITY'!Q742+P743*'RAP TEMPLATE-GAS AVAILABILITY'!R742)/('RAP TEMPLATE-GAS AVAILABILITY'!O742+'RAP TEMPLATE-GAS AVAILABILITY'!P742+'RAP TEMPLATE-GAS AVAILABILITY'!Q742+'RAP TEMPLATE-GAS AVAILABILITY'!R742)</f>
        <v>41.78229352517986</v>
      </c>
    </row>
    <row r="744" spans="1:29" ht="15.75" x14ac:dyDescent="0.25">
      <c r="A744" s="32">
        <v>63554</v>
      </c>
      <c r="B744" s="14">
        <f>CHOOSE(CONTROL!$C$42, 45.0264, 45.0264) * CHOOSE(CONTROL!$C$21, $C$9, 100%, $E$9)</f>
        <v>45.026400000000002</v>
      </c>
      <c r="C744" s="14">
        <f>CHOOSE(CONTROL!$C$42, 45.0314, 45.0314) * CHOOSE(CONTROL!$C$21, $C$9, 100%, $E$9)</f>
        <v>45.031399999999998</v>
      </c>
      <c r="D744" s="14">
        <f>CHOOSE(CONTROL!$C$42, 45.0944, 45.0944) * CHOOSE(CONTROL!$C$21, $C$9, 100%, $E$9)</f>
        <v>45.0944</v>
      </c>
      <c r="E744" s="14">
        <f>CHOOSE(CONTROL!$C$42, 45.1282, 45.1282) * CHOOSE(CONTROL!$C$21, $C$9, 100%, $E$9)</f>
        <v>45.1282</v>
      </c>
      <c r="F744" s="14">
        <f>CHOOSE(CONTROL!$C$42, 45.0292, 45.0292)*CHOOSE(CONTROL!$C$21, $C$9, 100%, $E$9)</f>
        <v>45.029200000000003</v>
      </c>
      <c r="G744" s="14">
        <f>CHOOSE(CONTROL!$C$42, 45.046, 45.046)*CHOOSE(CONTROL!$C$21, $C$9, 100%, $E$9)</f>
        <v>45.045999999999999</v>
      </c>
      <c r="H744" s="14">
        <f>CHOOSE(CONTROL!$C$42, 45.1174, 45.1174) * CHOOSE(CONTROL!$C$21, $C$9, 100%, $E$9)</f>
        <v>45.117400000000004</v>
      </c>
      <c r="I744" s="14">
        <f>CHOOSE(CONTROL!$C$42, 45.04, 45.04)* CHOOSE(CONTROL!$C$21, $C$9, 100%, $E$9)</f>
        <v>45.04</v>
      </c>
      <c r="J744" s="14">
        <f>CHOOSE(CONTROL!$C$42, 45.0222, 45.0222)* CHOOSE(CONTROL!$C$21, $C$9, 100%, $E$9)</f>
        <v>45.022199999999998</v>
      </c>
      <c r="K744" s="53">
        <f>CHOOSE(CONTROL!$C$42, 45.0361, 45.0361) * CHOOSE(CONTROL!$C$21, $C$9, 100%, $E$9)</f>
        <v>45.036099999999998</v>
      </c>
      <c r="L744" s="14">
        <f>CHOOSE(CONTROL!$C$42, 45.7044, 45.7044) * CHOOSE(CONTROL!$C$21, $C$9, 100%, $E$9)</f>
        <v>45.7044</v>
      </c>
      <c r="M744" s="14">
        <f>CHOOSE(CONTROL!$C$42, 44.5816, 44.5816) * CHOOSE(CONTROL!$C$21, $C$9, 100%, $E$9)</f>
        <v>44.581600000000002</v>
      </c>
      <c r="N744" s="14">
        <f>CHOOSE(CONTROL!$C$42, 44.5983, 44.5983) * CHOOSE(CONTROL!$C$21, $C$9, 100%, $E$9)</f>
        <v>44.598300000000002</v>
      </c>
      <c r="O744" s="14">
        <f>CHOOSE(CONTROL!$C$42, 44.6759, 44.6759) * CHOOSE(CONTROL!$C$21, $C$9, 100%, $E$9)</f>
        <v>44.675899999999999</v>
      </c>
      <c r="P744" s="14">
        <f>CHOOSE(CONTROL!$C$42, 44.5993, 44.5993) * CHOOSE(CONTROL!$C$21, $C$9, 100%, $E$9)</f>
        <v>44.599299999999999</v>
      </c>
      <c r="Q744" s="14">
        <f>CHOOSE(CONTROL!$C$42, 45.2712, 45.2712) * CHOOSE(CONTROL!$C$21, $C$9, 100%, $E$9)</f>
        <v>45.2712</v>
      </c>
      <c r="R744" s="14">
        <f>CHOOSE(CONTROL!$C$42, 45.9714, 45.9714) * CHOOSE(CONTROL!$C$21, $C$9, 100%, $E$9)</f>
        <v>45.971400000000003</v>
      </c>
      <c r="S744" s="14">
        <f>CHOOSE(CONTROL!$C$42, 43.723, 43.723) * CHOOSE(CONTROL!$C$21, $C$9, 100%, $E$9)</f>
        <v>43.722999999999999</v>
      </c>
      <c r="T74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44" s="57">
        <f>(1000*CHOOSE(CONTROL!$C$42, 695, 695)*CHOOSE(CONTROL!$C$42, 0.5599, 0.5599)*CHOOSE(CONTROL!$C$42, 31, 31))/1000000</f>
        <v>12.063045499999998</v>
      </c>
      <c r="V744" s="57">
        <f>(1000*CHOOSE(CONTROL!$C$42, 500, 500)*CHOOSE(CONTROL!$C$42, 0.275, 0.275)*CHOOSE(CONTROL!$C$42, 31, 31))/1000000</f>
        <v>4.2625000000000002</v>
      </c>
      <c r="W744" s="57">
        <f>(1000*CHOOSE(CONTROL!$C$42, 0.1146, 0.1146)*CHOOSE(CONTROL!$C$42, 121.5, 121.5)*CHOOSE(CONTROL!$C$42, 31, 31))/1000000</f>
        <v>0.43164089999999994</v>
      </c>
      <c r="X744" s="57">
        <f>(31*0.1790888*100000/1000000)+(31*0.2374*100000/1000000)</f>
        <v>1.2911152800000001</v>
      </c>
      <c r="Y744" s="57"/>
      <c r="Z744" s="14"/>
      <c r="AA744" s="56"/>
      <c r="AB744" s="50">
        <f>(B744*122.58+C744*297.941+D744*89.177+E744*40.302+F744*40+G744*160+H744*0+I744*100+J744*300)/(122.58+297.941+89.177+40.302+0+40+160+100+300)</f>
        <v>45.039447377913042</v>
      </c>
      <c r="AC744" s="45">
        <f>(M744*'RAP TEMPLATE-GAS AVAILABILITY'!O743+N744*'RAP TEMPLATE-GAS AVAILABILITY'!P743+O744*'RAP TEMPLATE-GAS AVAILABILITY'!Q743+P744*'RAP TEMPLATE-GAS AVAILABILITY'!R743)/('RAP TEMPLATE-GAS AVAILABILITY'!O743+'RAP TEMPLATE-GAS AVAILABILITY'!P743+'RAP TEMPLATE-GAS AVAILABILITY'!Q743+'RAP TEMPLATE-GAS AVAILABILITY'!R743)</f>
        <v>44.627848201438852</v>
      </c>
    </row>
    <row r="745" spans="1:29" ht="15.75" x14ac:dyDescent="0.25">
      <c r="A745" s="32">
        <v>63585</v>
      </c>
      <c r="B745" s="14">
        <f>CHOOSE(CONTROL!$C$42, 48.7155, 48.7155) * CHOOSE(CONTROL!$C$21, $C$9, 100%, $E$9)</f>
        <v>48.715499999999999</v>
      </c>
      <c r="C745" s="14">
        <f>CHOOSE(CONTROL!$C$42, 48.7205, 48.7205) * CHOOSE(CONTROL!$C$21, $C$9, 100%, $E$9)</f>
        <v>48.720500000000001</v>
      </c>
      <c r="D745" s="14">
        <f>CHOOSE(CONTROL!$C$42, 48.7847, 48.7847) * CHOOSE(CONTROL!$C$21, $C$9, 100%, $E$9)</f>
        <v>48.784700000000001</v>
      </c>
      <c r="E745" s="14">
        <f>CHOOSE(CONTROL!$C$42, 48.8185, 48.8185) * CHOOSE(CONTROL!$C$21, $C$9, 100%, $E$9)</f>
        <v>48.8185</v>
      </c>
      <c r="F745" s="14">
        <f>CHOOSE(CONTROL!$C$42, 48.717, 48.717)*CHOOSE(CONTROL!$C$21, $C$9, 100%, $E$9)</f>
        <v>48.716999999999999</v>
      </c>
      <c r="G745" s="14">
        <f>CHOOSE(CONTROL!$C$42, 48.7329, 48.7329)*CHOOSE(CONTROL!$C$21, $C$9, 100%, $E$9)</f>
        <v>48.732900000000001</v>
      </c>
      <c r="H745" s="14">
        <f>CHOOSE(CONTROL!$C$42, 48.8077, 48.8077) * CHOOSE(CONTROL!$C$21, $C$9, 100%, $E$9)</f>
        <v>48.807699999999997</v>
      </c>
      <c r="I745" s="14">
        <f>CHOOSE(CONTROL!$C$42, 48.7355, 48.7355)* CHOOSE(CONTROL!$C$21, $C$9, 100%, $E$9)</f>
        <v>48.735500000000002</v>
      </c>
      <c r="J745" s="14">
        <f>CHOOSE(CONTROL!$C$42, 48.71, 48.71)* CHOOSE(CONTROL!$C$21, $C$9, 100%, $E$9)</f>
        <v>48.71</v>
      </c>
      <c r="K745" s="53">
        <f>CHOOSE(CONTROL!$C$42, 48.7316, 48.7316) * CHOOSE(CONTROL!$C$21, $C$9, 100%, $E$9)</f>
        <v>48.7316</v>
      </c>
      <c r="L745" s="14">
        <f>CHOOSE(CONTROL!$C$42, 49.3947, 49.3947) * CHOOSE(CONTROL!$C$21, $C$9, 100%, $E$9)</f>
        <v>49.3947</v>
      </c>
      <c r="M745" s="14">
        <f>CHOOSE(CONTROL!$C$42, 48.2323, 48.2323) * CHOOSE(CONTROL!$C$21, $C$9, 100%, $E$9)</f>
        <v>48.232300000000002</v>
      </c>
      <c r="N745" s="14">
        <f>CHOOSE(CONTROL!$C$42, 48.248, 48.248) * CHOOSE(CONTROL!$C$21, $C$9, 100%, $E$9)</f>
        <v>48.247999999999998</v>
      </c>
      <c r="O745" s="14">
        <f>CHOOSE(CONTROL!$C$42, 48.329, 48.329) * CHOOSE(CONTROL!$C$21, $C$9, 100%, $E$9)</f>
        <v>48.329000000000001</v>
      </c>
      <c r="P745" s="14">
        <f>CHOOSE(CONTROL!$C$42, 48.2575, 48.2575) * CHOOSE(CONTROL!$C$21, $C$9, 100%, $E$9)</f>
        <v>48.2575</v>
      </c>
      <c r="Q745" s="14">
        <f>CHOOSE(CONTROL!$C$42, 48.9243, 48.9243) * CHOOSE(CONTROL!$C$21, $C$9, 100%, $E$9)</f>
        <v>48.924300000000002</v>
      </c>
      <c r="R745" s="14">
        <f>CHOOSE(CONTROL!$C$42, 49.6336, 49.6336) * CHOOSE(CONTROL!$C$21, $C$9, 100%, $E$9)</f>
        <v>49.633600000000001</v>
      </c>
      <c r="S745" s="14">
        <f>CHOOSE(CONTROL!$C$42, 47.3055, 47.3055) * CHOOSE(CONTROL!$C$21, $C$9, 100%, $E$9)</f>
        <v>47.305500000000002</v>
      </c>
      <c r="T74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45" s="57">
        <f>(1000*CHOOSE(CONTROL!$C$42, 695, 695)*CHOOSE(CONTROL!$C$42, 0.5599, 0.5599)*CHOOSE(CONTROL!$C$42, 31, 31))/1000000</f>
        <v>12.063045499999998</v>
      </c>
      <c r="V745" s="57">
        <f>(1000*CHOOSE(CONTROL!$C$42, 500, 500)*CHOOSE(CONTROL!$C$42, 0.275, 0.275)*CHOOSE(CONTROL!$C$42, 31, 31))/1000000</f>
        <v>4.2625000000000002</v>
      </c>
      <c r="W745" s="57">
        <f>(1000*CHOOSE(CONTROL!$C$42, 0.1146, 0.1146)*CHOOSE(CONTROL!$C$42, 121.5, 121.5)*CHOOSE(CONTROL!$C$42, 31, 31))/1000000</f>
        <v>0.43164089999999994</v>
      </c>
      <c r="X745" s="57">
        <f>(31*0.1790888*100000/1000000)+(31*0.2374*100000/1000000)</f>
        <v>1.2911152800000001</v>
      </c>
      <c r="Y745" s="57"/>
      <c r="Z745" s="14"/>
      <c r="AA745" s="56"/>
      <c r="AB745" s="50">
        <f>(B745*122.58+C745*297.941+D745*89.177+E745*40.302+F745*40+G745*160+H745*0+I745*100+J745*300)/(122.58+297.941+89.177+40.302+0+40+160+100+300)</f>
        <v>48.728548573391308</v>
      </c>
      <c r="AC745" s="45">
        <f>(M745*'RAP TEMPLATE-GAS AVAILABILITY'!O744+N745*'RAP TEMPLATE-GAS AVAILABILITY'!P744+O745*'RAP TEMPLATE-GAS AVAILABILITY'!Q744+P745*'RAP TEMPLATE-GAS AVAILABILITY'!R744)/('RAP TEMPLATE-GAS AVAILABILITY'!O744+'RAP TEMPLATE-GAS AVAILABILITY'!P744+'RAP TEMPLATE-GAS AVAILABILITY'!Q744+'RAP TEMPLATE-GAS AVAILABILITY'!R744)</f>
        <v>48.280657553956836</v>
      </c>
    </row>
    <row r="746" spans="1:29" ht="15.75" x14ac:dyDescent="0.25">
      <c r="A746" s="32">
        <v>63613</v>
      </c>
      <c r="B746" s="14">
        <f>CHOOSE(CONTROL!$C$42, 49.5827, 49.5827) * CHOOSE(CONTROL!$C$21, $C$9, 100%, $E$9)</f>
        <v>49.582700000000003</v>
      </c>
      <c r="C746" s="14">
        <f>CHOOSE(CONTROL!$C$42, 49.5876, 49.5876) * CHOOSE(CONTROL!$C$21, $C$9, 100%, $E$9)</f>
        <v>49.587600000000002</v>
      </c>
      <c r="D746" s="14">
        <f>CHOOSE(CONTROL!$C$42, 49.6519, 49.6519) * CHOOSE(CONTROL!$C$21, $C$9, 100%, $E$9)</f>
        <v>49.651899999999998</v>
      </c>
      <c r="E746" s="14">
        <f>CHOOSE(CONTROL!$C$42, 49.6857, 49.6857) * CHOOSE(CONTROL!$C$21, $C$9, 100%, $E$9)</f>
        <v>49.685699999999997</v>
      </c>
      <c r="F746" s="14">
        <f>CHOOSE(CONTROL!$C$42, 49.5842, 49.5842)*CHOOSE(CONTROL!$C$21, $C$9, 100%, $E$9)</f>
        <v>49.584200000000003</v>
      </c>
      <c r="G746" s="14">
        <f>CHOOSE(CONTROL!$C$42, 49.6002, 49.6002)*CHOOSE(CONTROL!$C$21, $C$9, 100%, $E$9)</f>
        <v>49.600200000000001</v>
      </c>
      <c r="H746" s="14">
        <f>CHOOSE(CONTROL!$C$42, 49.6749, 49.6749) * CHOOSE(CONTROL!$C$21, $C$9, 100%, $E$9)</f>
        <v>49.674900000000001</v>
      </c>
      <c r="I746" s="14">
        <f>CHOOSE(CONTROL!$C$42, 49.6026, 49.6026)* CHOOSE(CONTROL!$C$21, $C$9, 100%, $E$9)</f>
        <v>49.602600000000002</v>
      </c>
      <c r="J746" s="14">
        <f>CHOOSE(CONTROL!$C$42, 49.5772, 49.5772)* CHOOSE(CONTROL!$C$21, $C$9, 100%, $E$9)</f>
        <v>49.577199999999998</v>
      </c>
      <c r="K746" s="53">
        <f>CHOOSE(CONTROL!$C$42, 49.5987, 49.5987) * CHOOSE(CONTROL!$C$21, $C$9, 100%, $E$9)</f>
        <v>49.598700000000001</v>
      </c>
      <c r="L746" s="14">
        <f>CHOOSE(CONTROL!$C$42, 50.2619, 50.2619) * CHOOSE(CONTROL!$C$21, $C$9, 100%, $E$9)</f>
        <v>50.261899999999997</v>
      </c>
      <c r="M746" s="14">
        <f>CHOOSE(CONTROL!$C$42, 49.0907, 49.0907) * CHOOSE(CONTROL!$C$21, $C$9, 100%, $E$9)</f>
        <v>49.090699999999998</v>
      </c>
      <c r="N746" s="14">
        <f>CHOOSE(CONTROL!$C$42, 49.1065, 49.1065) * CHOOSE(CONTROL!$C$21, $C$9, 100%, $E$9)</f>
        <v>49.106499999999997</v>
      </c>
      <c r="O746" s="14">
        <f>CHOOSE(CONTROL!$C$42, 49.1874, 49.1874) * CHOOSE(CONTROL!$C$21, $C$9, 100%, $E$9)</f>
        <v>49.187399999999997</v>
      </c>
      <c r="P746" s="14">
        <f>CHOOSE(CONTROL!$C$42, 49.1159, 49.1159) * CHOOSE(CONTROL!$C$21, $C$9, 100%, $E$9)</f>
        <v>49.115900000000003</v>
      </c>
      <c r="Q746" s="14">
        <f>CHOOSE(CONTROL!$C$42, 49.7827, 49.7827) * CHOOSE(CONTROL!$C$21, $C$9, 100%, $E$9)</f>
        <v>49.782699999999998</v>
      </c>
      <c r="R746" s="14">
        <f>CHOOSE(CONTROL!$C$42, 50.4941, 50.4941) * CHOOSE(CONTROL!$C$21, $C$9, 100%, $E$9)</f>
        <v>50.494100000000003</v>
      </c>
      <c r="S746" s="14">
        <f>CHOOSE(CONTROL!$C$42, 48.1476, 48.1476) * CHOOSE(CONTROL!$C$21, $C$9, 100%, $E$9)</f>
        <v>48.147599999999997</v>
      </c>
      <c r="T74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46" s="57">
        <f>(1000*CHOOSE(CONTROL!$C$42, 695, 695)*CHOOSE(CONTROL!$C$42, 0.5599, 0.5599)*CHOOSE(CONTROL!$C$42, 28, 28))/1000000</f>
        <v>10.895653999999999</v>
      </c>
      <c r="V746" s="57">
        <f>(1000*CHOOSE(CONTROL!$C$42, 500, 500)*CHOOSE(CONTROL!$C$42, 0.275, 0.275)*CHOOSE(CONTROL!$C$42, 28, 28))/1000000</f>
        <v>3.85</v>
      </c>
      <c r="W746" s="57">
        <f>(1000*CHOOSE(CONTROL!$C$42, 0.1146, 0.1146)*CHOOSE(CONTROL!$C$42, 121.5, 121.5)*CHOOSE(CONTROL!$C$42, 28, 28))/1000000</f>
        <v>0.38986920000000003</v>
      </c>
      <c r="X746" s="57">
        <f>(28*0.1790888*100000/1000000)+(28*0.2374*100000/1000000)</f>
        <v>1.16616864</v>
      </c>
      <c r="Y746" s="57"/>
      <c r="Z746" s="14"/>
      <c r="AA746" s="56"/>
      <c r="AB746" s="50">
        <f>(B746*122.58+C746*297.941+D746*89.177+E746*40.302+F746*40+G746*160+H746*0+I746*100+J746*300)/(122.58+297.941+89.177+40.302+0+40+160+100+300)</f>
        <v>49.595727882869568</v>
      </c>
      <c r="AC746" s="45">
        <f>(M746*'RAP TEMPLATE-GAS AVAILABILITY'!O745+N746*'RAP TEMPLATE-GAS AVAILABILITY'!P745+O746*'RAP TEMPLATE-GAS AVAILABILITY'!Q745+P746*'RAP TEMPLATE-GAS AVAILABILITY'!R745)/('RAP TEMPLATE-GAS AVAILABILITY'!O745+'RAP TEMPLATE-GAS AVAILABILITY'!P745+'RAP TEMPLATE-GAS AVAILABILITY'!Q745+'RAP TEMPLATE-GAS AVAILABILITY'!R745)</f>
        <v>49.139063309352522</v>
      </c>
    </row>
    <row r="747" spans="1:29" ht="15.75" x14ac:dyDescent="0.25">
      <c r="A747" s="32">
        <v>63644</v>
      </c>
      <c r="B747" s="14">
        <f>CHOOSE(CONTROL!$C$42, 48.1751, 48.1751) * CHOOSE(CONTROL!$C$21, $C$9, 100%, $E$9)</f>
        <v>48.1751</v>
      </c>
      <c r="C747" s="14">
        <f>CHOOSE(CONTROL!$C$42, 48.18, 48.18) * CHOOSE(CONTROL!$C$21, $C$9, 100%, $E$9)</f>
        <v>48.18</v>
      </c>
      <c r="D747" s="14">
        <f>CHOOSE(CONTROL!$C$42, 48.2443, 48.2443) * CHOOSE(CONTROL!$C$21, $C$9, 100%, $E$9)</f>
        <v>48.244300000000003</v>
      </c>
      <c r="E747" s="14">
        <f>CHOOSE(CONTROL!$C$42, 48.2781, 48.2781) * CHOOSE(CONTROL!$C$21, $C$9, 100%, $E$9)</f>
        <v>48.278100000000002</v>
      </c>
      <c r="F747" s="14">
        <f>CHOOSE(CONTROL!$C$42, 48.1763, 48.1763)*CHOOSE(CONTROL!$C$21, $C$9, 100%, $E$9)</f>
        <v>48.176299999999998</v>
      </c>
      <c r="G747" s="14">
        <f>CHOOSE(CONTROL!$C$42, 48.1922, 48.1922)*CHOOSE(CONTROL!$C$21, $C$9, 100%, $E$9)</f>
        <v>48.1922</v>
      </c>
      <c r="H747" s="14">
        <f>CHOOSE(CONTROL!$C$42, 48.2673, 48.2673) * CHOOSE(CONTROL!$C$21, $C$9, 100%, $E$9)</f>
        <v>48.267299999999999</v>
      </c>
      <c r="I747" s="14">
        <f>CHOOSE(CONTROL!$C$42, 48.195, 48.195)* CHOOSE(CONTROL!$C$21, $C$9, 100%, $E$9)</f>
        <v>48.195</v>
      </c>
      <c r="J747" s="14">
        <f>CHOOSE(CONTROL!$C$42, 48.1693, 48.1693)* CHOOSE(CONTROL!$C$21, $C$9, 100%, $E$9)</f>
        <v>48.1693</v>
      </c>
      <c r="K747" s="53">
        <f>CHOOSE(CONTROL!$C$42, 48.1911, 48.1911) * CHOOSE(CONTROL!$C$21, $C$9, 100%, $E$9)</f>
        <v>48.191099999999999</v>
      </c>
      <c r="L747" s="14">
        <f>CHOOSE(CONTROL!$C$42, 48.8543, 48.8543) * CHOOSE(CONTROL!$C$21, $C$9, 100%, $E$9)</f>
        <v>48.854300000000002</v>
      </c>
      <c r="M747" s="14">
        <f>CHOOSE(CONTROL!$C$42, 47.697, 47.697) * CHOOSE(CONTROL!$C$21, $C$9, 100%, $E$9)</f>
        <v>47.697000000000003</v>
      </c>
      <c r="N747" s="14">
        <f>CHOOSE(CONTROL!$C$42, 47.7127, 47.7127) * CHOOSE(CONTROL!$C$21, $C$9, 100%, $E$9)</f>
        <v>47.712699999999998</v>
      </c>
      <c r="O747" s="14">
        <f>CHOOSE(CONTROL!$C$42, 47.794, 47.794) * CHOOSE(CONTROL!$C$21, $C$9, 100%, $E$9)</f>
        <v>47.793999999999997</v>
      </c>
      <c r="P747" s="14">
        <f>CHOOSE(CONTROL!$C$42, 47.7225, 47.7225) * CHOOSE(CONTROL!$C$21, $C$9, 100%, $E$9)</f>
        <v>47.722499999999997</v>
      </c>
      <c r="Q747" s="14">
        <f>CHOOSE(CONTROL!$C$42, 48.3893, 48.3893) * CHOOSE(CONTROL!$C$21, $C$9, 100%, $E$9)</f>
        <v>48.389299999999999</v>
      </c>
      <c r="R747" s="14">
        <f>CHOOSE(CONTROL!$C$42, 49.0973, 49.0973) * CHOOSE(CONTROL!$C$21, $C$9, 100%, $E$9)</f>
        <v>49.097299999999997</v>
      </c>
      <c r="S747" s="14">
        <f>CHOOSE(CONTROL!$C$42, 46.7807, 46.7807) * CHOOSE(CONTROL!$C$21, $C$9, 100%, $E$9)</f>
        <v>46.780700000000003</v>
      </c>
      <c r="T74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47" s="57">
        <f>(1000*CHOOSE(CONTROL!$C$42, 695, 695)*CHOOSE(CONTROL!$C$42, 0.5599, 0.5599)*CHOOSE(CONTROL!$C$42, 31, 31))/1000000</f>
        <v>12.063045499999998</v>
      </c>
      <c r="V747" s="57">
        <f>(1000*CHOOSE(CONTROL!$C$42, 500, 500)*CHOOSE(CONTROL!$C$42, 0.275, 0.275)*CHOOSE(CONTROL!$C$42, 31, 31))/1000000</f>
        <v>4.2625000000000002</v>
      </c>
      <c r="W747" s="57">
        <f>(1000*CHOOSE(CONTROL!$C$42, 0.1146, 0.1146)*CHOOSE(CONTROL!$C$42, 121.5, 121.5)*CHOOSE(CONTROL!$C$42, 31, 31))/1000000</f>
        <v>0.43164089999999994</v>
      </c>
      <c r="X747" s="57">
        <f>(31*0.1790888*100000/1000000)+(31*0.2374*100000/1000000)</f>
        <v>1.2911152800000001</v>
      </c>
      <c r="Y747" s="57"/>
      <c r="Z747" s="14"/>
      <c r="AA747" s="56"/>
      <c r="AB747" s="50">
        <f>(B747*122.58+C747*297.941+D747*89.177+E747*40.302+F747*40+G747*160+H747*0+I747*100+J747*300)/(122.58+297.941+89.177+40.302+0+40+160+100+300)</f>
        <v>48.187983535043486</v>
      </c>
      <c r="AC747" s="45">
        <f>(M747*'RAP TEMPLATE-GAS AVAILABILITY'!O746+N747*'RAP TEMPLATE-GAS AVAILABILITY'!P746+O747*'RAP TEMPLATE-GAS AVAILABILITY'!Q746+P747*'RAP TEMPLATE-GAS AVAILABILITY'!R746)/('RAP TEMPLATE-GAS AVAILABILITY'!O746+'RAP TEMPLATE-GAS AVAILABILITY'!P746+'RAP TEMPLATE-GAS AVAILABILITY'!Q746+'RAP TEMPLATE-GAS AVAILABILITY'!R746)</f>
        <v>47.745536690647484</v>
      </c>
    </row>
    <row r="748" spans="1:29" ht="15.75" x14ac:dyDescent="0.25">
      <c r="A748" s="32">
        <v>63674</v>
      </c>
      <c r="B748" s="14">
        <f>CHOOSE(CONTROL!$C$42, 48.032, 48.032) * CHOOSE(CONTROL!$C$21, $C$9, 100%, $E$9)</f>
        <v>48.031999999999996</v>
      </c>
      <c r="C748" s="14">
        <f>CHOOSE(CONTROL!$C$42, 48.0364, 48.0364) * CHOOSE(CONTROL!$C$21, $C$9, 100%, $E$9)</f>
        <v>48.0364</v>
      </c>
      <c r="D748" s="14">
        <f>CHOOSE(CONTROL!$C$42, 48.2371, 48.2371) * CHOOSE(CONTROL!$C$21, $C$9, 100%, $E$9)</f>
        <v>48.237099999999998</v>
      </c>
      <c r="E748" s="14">
        <f>CHOOSE(CONTROL!$C$42, 48.2689, 48.2689) * CHOOSE(CONTROL!$C$21, $C$9, 100%, $E$9)</f>
        <v>48.268900000000002</v>
      </c>
      <c r="F748" s="14">
        <f>CHOOSE(CONTROL!$C$42, 48.0166, 48.0166)*CHOOSE(CONTROL!$C$21, $C$9, 100%, $E$9)</f>
        <v>48.016599999999997</v>
      </c>
      <c r="G748" s="14">
        <f>CHOOSE(CONTROL!$C$42, 48.0322, 48.0322)*CHOOSE(CONTROL!$C$21, $C$9, 100%, $E$9)</f>
        <v>48.032200000000003</v>
      </c>
      <c r="H748" s="14">
        <f>CHOOSE(CONTROL!$C$42, 48.2587, 48.2587) * CHOOSE(CONTROL!$C$21, $C$9, 100%, $E$9)</f>
        <v>48.258699999999997</v>
      </c>
      <c r="I748" s="14">
        <f>CHOOSE(CONTROL!$C$42, 48.0447, 48.0447)* CHOOSE(CONTROL!$C$21, $C$9, 100%, $E$9)</f>
        <v>48.044699999999999</v>
      </c>
      <c r="J748" s="14">
        <f>CHOOSE(CONTROL!$C$42, 48.0096, 48.0096)* CHOOSE(CONTROL!$C$21, $C$9, 100%, $E$9)</f>
        <v>48.009599999999999</v>
      </c>
      <c r="K748" s="53">
        <f>CHOOSE(CONTROL!$C$42, 48.0409, 48.0409) * CHOOSE(CONTROL!$C$21, $C$9, 100%, $E$9)</f>
        <v>48.040900000000001</v>
      </c>
      <c r="L748" s="14">
        <f>CHOOSE(CONTROL!$C$42, 48.8457, 48.8457) * CHOOSE(CONTROL!$C$21, $C$9, 100%, $E$9)</f>
        <v>48.845700000000001</v>
      </c>
      <c r="M748" s="14">
        <f>CHOOSE(CONTROL!$C$42, 47.5389, 47.5389) * CHOOSE(CONTROL!$C$21, $C$9, 100%, $E$9)</f>
        <v>47.538899999999998</v>
      </c>
      <c r="N748" s="14">
        <f>CHOOSE(CONTROL!$C$42, 47.5544, 47.5544) * CHOOSE(CONTROL!$C$21, $C$9, 100%, $E$9)</f>
        <v>47.554400000000001</v>
      </c>
      <c r="O748" s="14">
        <f>CHOOSE(CONTROL!$C$42, 47.7855, 47.7855) * CHOOSE(CONTROL!$C$21, $C$9, 100%, $E$9)</f>
        <v>47.785499999999999</v>
      </c>
      <c r="P748" s="14">
        <f>CHOOSE(CONTROL!$C$42, 47.5738, 47.5738) * CHOOSE(CONTROL!$C$21, $C$9, 100%, $E$9)</f>
        <v>47.573799999999999</v>
      </c>
      <c r="Q748" s="14">
        <f>CHOOSE(CONTROL!$C$42, 48.3808, 48.3808) * CHOOSE(CONTROL!$C$21, $C$9, 100%, $E$9)</f>
        <v>48.380800000000001</v>
      </c>
      <c r="R748" s="14">
        <f>CHOOSE(CONTROL!$C$42, 49.0887, 49.0887) * CHOOSE(CONTROL!$C$21, $C$9, 100%, $E$9)</f>
        <v>49.088700000000003</v>
      </c>
      <c r="S748" s="14">
        <f>CHOOSE(CONTROL!$C$42, 46.641, 46.641) * CHOOSE(CONTROL!$C$21, $C$9, 100%, $E$9)</f>
        <v>46.640999999999998</v>
      </c>
      <c r="T74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48" s="57">
        <f>(1000*CHOOSE(CONTROL!$C$42, 695, 695)*CHOOSE(CONTROL!$C$42, 0.5599, 0.5599)*CHOOSE(CONTROL!$C$42, 30, 30))/1000000</f>
        <v>11.673914999999997</v>
      </c>
      <c r="V748" s="57">
        <f>(1000*CHOOSE(CONTROL!$C$42, 500, 500)*CHOOSE(CONTROL!$C$42, 0.275, 0.275)*CHOOSE(CONTROL!$C$42, 30, 30))/1000000</f>
        <v>4.125</v>
      </c>
      <c r="W748" s="57">
        <f>(1000*CHOOSE(CONTROL!$C$42, 0.1146, 0.1146)*CHOOSE(CONTROL!$C$42, 121.5, 121.5)*CHOOSE(CONTROL!$C$42, 30, 30))/1000000</f>
        <v>0.417717</v>
      </c>
      <c r="X748" s="57">
        <f>(30*0.1790888*245000/1000000)+(30*0.2374*100000/1000000)</f>
        <v>2.0285026799999999</v>
      </c>
      <c r="Y748" s="57"/>
      <c r="Z748" s="14"/>
      <c r="AA748" s="56"/>
      <c r="AB748" s="50">
        <f>(B748*141.293+C748*267.993+D748*115.016+E748*89.698+F748*40+G748*185+H748*0+I748*100+J748*300)/(141.293+267.993+115.016+89.698+0+40+185+100+300)</f>
        <v>48.064275550443902</v>
      </c>
      <c r="AC748" s="45">
        <f>(M748*'RAP TEMPLATE-GAS AVAILABILITY'!O747+N748*'RAP TEMPLATE-GAS AVAILABILITY'!P747+O748*'RAP TEMPLATE-GAS AVAILABILITY'!Q747+P748*'RAP TEMPLATE-GAS AVAILABILITY'!R747)/('RAP TEMPLATE-GAS AVAILABILITY'!O747+'RAP TEMPLATE-GAS AVAILABILITY'!P747+'RAP TEMPLATE-GAS AVAILABILITY'!Q747+'RAP TEMPLATE-GAS AVAILABILITY'!R747)</f>
        <v>47.656582014388484</v>
      </c>
    </row>
    <row r="749" spans="1:29" ht="15.75" x14ac:dyDescent="0.25">
      <c r="A749" s="32">
        <v>63705</v>
      </c>
      <c r="B749" s="14">
        <f>CHOOSE(CONTROL!$C$42, 48.4573, 48.4573) * CHOOSE(CONTROL!$C$21, $C$9, 100%, $E$9)</f>
        <v>48.457299999999996</v>
      </c>
      <c r="C749" s="14">
        <f>CHOOSE(CONTROL!$C$42, 48.4652, 48.4652) * CHOOSE(CONTROL!$C$21, $C$9, 100%, $E$9)</f>
        <v>48.465200000000003</v>
      </c>
      <c r="D749" s="14">
        <f>CHOOSE(CONTROL!$C$42, 48.6628, 48.6628) * CHOOSE(CONTROL!$C$21, $C$9, 100%, $E$9)</f>
        <v>48.662799999999997</v>
      </c>
      <c r="E749" s="14">
        <f>CHOOSE(CONTROL!$C$42, 48.6939, 48.6939) * CHOOSE(CONTROL!$C$21, $C$9, 100%, $E$9)</f>
        <v>48.693899999999999</v>
      </c>
      <c r="F749" s="14">
        <f>CHOOSE(CONTROL!$C$42, 48.4407, 48.4407)*CHOOSE(CONTROL!$C$21, $C$9, 100%, $E$9)</f>
        <v>48.4407</v>
      </c>
      <c r="G749" s="14">
        <f>CHOOSE(CONTROL!$C$42, 48.4568, 48.4568)*CHOOSE(CONTROL!$C$21, $C$9, 100%, $E$9)</f>
        <v>48.456800000000001</v>
      </c>
      <c r="H749" s="14">
        <f>CHOOSE(CONTROL!$C$42, 48.6826, 48.6826) * CHOOSE(CONTROL!$C$21, $C$9, 100%, $E$9)</f>
        <v>48.682600000000001</v>
      </c>
      <c r="I749" s="14">
        <f>CHOOSE(CONTROL!$C$42, 48.4687, 48.4687)* CHOOSE(CONTROL!$C$21, $C$9, 100%, $E$9)</f>
        <v>48.468699999999998</v>
      </c>
      <c r="J749" s="14">
        <f>CHOOSE(CONTROL!$C$42, 48.4337, 48.4337)* CHOOSE(CONTROL!$C$21, $C$9, 100%, $E$9)</f>
        <v>48.433700000000002</v>
      </c>
      <c r="K749" s="53">
        <f>CHOOSE(CONTROL!$C$42, 48.4648, 48.4648) * CHOOSE(CONTROL!$C$21, $C$9, 100%, $E$9)</f>
        <v>48.464799999999997</v>
      </c>
      <c r="L749" s="14">
        <f>CHOOSE(CONTROL!$C$42, 49.2696, 49.2696) * CHOOSE(CONTROL!$C$21, $C$9, 100%, $E$9)</f>
        <v>49.269599999999997</v>
      </c>
      <c r="M749" s="14">
        <f>CHOOSE(CONTROL!$C$42, 47.9588, 47.9588) * CHOOSE(CONTROL!$C$21, $C$9, 100%, $E$9)</f>
        <v>47.958799999999997</v>
      </c>
      <c r="N749" s="14">
        <f>CHOOSE(CONTROL!$C$42, 47.9747, 47.9747) * CHOOSE(CONTROL!$C$21, $C$9, 100%, $E$9)</f>
        <v>47.974699999999999</v>
      </c>
      <c r="O749" s="14">
        <f>CHOOSE(CONTROL!$C$42, 48.2051, 48.2051) * CHOOSE(CONTROL!$C$21, $C$9, 100%, $E$9)</f>
        <v>48.205100000000002</v>
      </c>
      <c r="P749" s="14">
        <f>CHOOSE(CONTROL!$C$42, 47.9934, 47.9934) * CHOOSE(CONTROL!$C$21, $C$9, 100%, $E$9)</f>
        <v>47.993400000000001</v>
      </c>
      <c r="Q749" s="14">
        <f>CHOOSE(CONTROL!$C$42, 48.8004, 48.8004) * CHOOSE(CONTROL!$C$21, $C$9, 100%, $E$9)</f>
        <v>48.800400000000003</v>
      </c>
      <c r="R749" s="14">
        <f>CHOOSE(CONTROL!$C$42, 49.5094, 49.5094) * CHOOSE(CONTROL!$C$21, $C$9, 100%, $E$9)</f>
        <v>49.509399999999999</v>
      </c>
      <c r="S749" s="14">
        <f>CHOOSE(CONTROL!$C$42, 47.0526, 47.0526) * CHOOSE(CONTROL!$C$21, $C$9, 100%, $E$9)</f>
        <v>47.052599999999998</v>
      </c>
      <c r="T74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49" s="57">
        <f>(1000*CHOOSE(CONTROL!$C$42, 695, 695)*CHOOSE(CONTROL!$C$42, 0.5599, 0.5599)*CHOOSE(CONTROL!$C$42, 31, 31))/1000000</f>
        <v>12.063045499999998</v>
      </c>
      <c r="V749" s="57">
        <f>(1000*CHOOSE(CONTROL!$C$42, 500, 500)*CHOOSE(CONTROL!$C$42, 0.275, 0.275)*CHOOSE(CONTROL!$C$42, 31, 31))/1000000</f>
        <v>4.2625000000000002</v>
      </c>
      <c r="W749" s="57">
        <f>(1000*CHOOSE(CONTROL!$C$42, 0.1146, 0.1146)*CHOOSE(CONTROL!$C$42, 121.5, 121.5)*CHOOSE(CONTROL!$C$42, 31, 31))/1000000</f>
        <v>0.43164089999999994</v>
      </c>
      <c r="X749" s="57">
        <f>(31*0.1790888*245000/1000000)+(31*0.2374*100000/1000000)</f>
        <v>2.0961194359999999</v>
      </c>
      <c r="Y749" s="57"/>
      <c r="Z749" s="14"/>
      <c r="AA749" s="56"/>
      <c r="AB749" s="50">
        <f>(B749*194.205+C749*267.466+D749*133.845+E749*53.484+F749*40+G749*185+H749*0+I749*100+J749*300)/(194.205+267.466+133.845+53.484+0+40+185+100+300)</f>
        <v>48.485224602276297</v>
      </c>
      <c r="AC749" s="45">
        <f>(M749*'RAP TEMPLATE-GAS AVAILABILITY'!O748+N749*'RAP TEMPLATE-GAS AVAILABILITY'!P748+O749*'RAP TEMPLATE-GAS AVAILABILITY'!Q748+P749*'RAP TEMPLATE-GAS AVAILABILITY'!R748)/('RAP TEMPLATE-GAS AVAILABILITY'!O748+'RAP TEMPLATE-GAS AVAILABILITY'!P748+'RAP TEMPLATE-GAS AVAILABILITY'!Q748+'RAP TEMPLATE-GAS AVAILABILITY'!R748)</f>
        <v>48.076325899280569</v>
      </c>
    </row>
    <row r="750" spans="1:29" ht="15.75" x14ac:dyDescent="0.25">
      <c r="A750" s="32">
        <v>63735</v>
      </c>
      <c r="B750" s="14">
        <f>CHOOSE(CONTROL!$C$42, 49.8317, 49.8317) * CHOOSE(CONTROL!$C$21, $C$9, 100%, $E$9)</f>
        <v>49.831699999999998</v>
      </c>
      <c r="C750" s="14">
        <f>CHOOSE(CONTROL!$C$42, 49.8396, 49.8396) * CHOOSE(CONTROL!$C$21, $C$9, 100%, $E$9)</f>
        <v>49.839599999999997</v>
      </c>
      <c r="D750" s="14">
        <f>CHOOSE(CONTROL!$C$42, 50.0372, 50.0372) * CHOOSE(CONTROL!$C$21, $C$9, 100%, $E$9)</f>
        <v>50.037199999999999</v>
      </c>
      <c r="E750" s="14">
        <f>CHOOSE(CONTROL!$C$42, 50.0683, 50.0683) * CHOOSE(CONTROL!$C$21, $C$9, 100%, $E$9)</f>
        <v>50.068300000000001</v>
      </c>
      <c r="F750" s="14">
        <f>CHOOSE(CONTROL!$C$42, 49.8155, 49.8155)*CHOOSE(CONTROL!$C$21, $C$9, 100%, $E$9)</f>
        <v>49.8155</v>
      </c>
      <c r="G750" s="14">
        <f>CHOOSE(CONTROL!$C$42, 49.8317, 49.8317)*CHOOSE(CONTROL!$C$21, $C$9, 100%, $E$9)</f>
        <v>49.831699999999998</v>
      </c>
      <c r="H750" s="14">
        <f>CHOOSE(CONTROL!$C$42, 50.057, 50.057) * CHOOSE(CONTROL!$C$21, $C$9, 100%, $E$9)</f>
        <v>50.057000000000002</v>
      </c>
      <c r="I750" s="14">
        <f>CHOOSE(CONTROL!$C$42, 49.8431, 49.8431)* CHOOSE(CONTROL!$C$21, $C$9, 100%, $E$9)</f>
        <v>49.8431</v>
      </c>
      <c r="J750" s="14">
        <f>CHOOSE(CONTROL!$C$42, 49.8085, 49.8085)* CHOOSE(CONTROL!$C$21, $C$9, 100%, $E$9)</f>
        <v>49.808500000000002</v>
      </c>
      <c r="K750" s="53">
        <f>CHOOSE(CONTROL!$C$42, 49.8392, 49.8392) * CHOOSE(CONTROL!$C$21, $C$9, 100%, $E$9)</f>
        <v>49.839199999999998</v>
      </c>
      <c r="L750" s="14">
        <f>CHOOSE(CONTROL!$C$42, 50.644, 50.644) * CHOOSE(CONTROL!$C$21, $C$9, 100%, $E$9)</f>
        <v>50.643999999999998</v>
      </c>
      <c r="M750" s="14">
        <f>CHOOSE(CONTROL!$C$42, 49.3197, 49.3197) * CHOOSE(CONTROL!$C$21, $C$9, 100%, $E$9)</f>
        <v>49.319699999999997</v>
      </c>
      <c r="N750" s="14">
        <f>CHOOSE(CONTROL!$C$42, 49.3357, 49.3357) * CHOOSE(CONTROL!$C$21, $C$9, 100%, $E$9)</f>
        <v>49.335700000000003</v>
      </c>
      <c r="O750" s="14">
        <f>CHOOSE(CONTROL!$C$42, 49.5656, 49.5656) * CHOOSE(CONTROL!$C$21, $C$9, 100%, $E$9)</f>
        <v>49.565600000000003</v>
      </c>
      <c r="P750" s="14">
        <f>CHOOSE(CONTROL!$C$42, 49.3539, 49.3539) * CHOOSE(CONTROL!$C$21, $C$9, 100%, $E$9)</f>
        <v>49.353900000000003</v>
      </c>
      <c r="Q750" s="14">
        <f>CHOOSE(CONTROL!$C$42, 50.1609, 50.1609) * CHOOSE(CONTROL!$C$21, $C$9, 100%, $E$9)</f>
        <v>50.160899999999998</v>
      </c>
      <c r="R750" s="14">
        <f>CHOOSE(CONTROL!$C$42, 50.8733, 50.8733) * CHOOSE(CONTROL!$C$21, $C$9, 100%, $E$9)</f>
        <v>50.8733</v>
      </c>
      <c r="S750" s="14">
        <f>CHOOSE(CONTROL!$C$42, 48.3873, 48.3873) * CHOOSE(CONTROL!$C$21, $C$9, 100%, $E$9)</f>
        <v>48.387300000000003</v>
      </c>
      <c r="T75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50" s="57">
        <f>(1000*CHOOSE(CONTROL!$C$42, 695, 695)*CHOOSE(CONTROL!$C$42, 0.5599, 0.5599)*CHOOSE(CONTROL!$C$42, 30, 30))/1000000</f>
        <v>11.673914999999997</v>
      </c>
      <c r="V750" s="57">
        <f>(1000*CHOOSE(CONTROL!$C$42, 500, 500)*CHOOSE(CONTROL!$C$42, 0.275, 0.275)*CHOOSE(CONTROL!$C$42, 30, 30))/1000000</f>
        <v>4.125</v>
      </c>
      <c r="W750" s="57">
        <f>(1000*CHOOSE(CONTROL!$C$42, 0.1146, 0.1146)*CHOOSE(CONTROL!$C$42, 121.5, 121.5)*CHOOSE(CONTROL!$C$42, 30, 30))/1000000</f>
        <v>0.417717</v>
      </c>
      <c r="X750" s="57">
        <f>(30*0.1790888*245000/1000000)+(30*0.2374*100000/1000000)</f>
        <v>2.0285026799999999</v>
      </c>
      <c r="Y750" s="57"/>
      <c r="Z750" s="14"/>
      <c r="AA750" s="56"/>
      <c r="AB750" s="50">
        <f>(B750*194.205+C750*267.466+D750*133.845+E750*53.484+F750*40+G750*185+H750*0+I750*100+J750*300)/(194.205+267.466+133.845+53.484+0+40+185+100+300)</f>
        <v>49.859803958634224</v>
      </c>
      <c r="AC750" s="45">
        <f>(M750*'RAP TEMPLATE-GAS AVAILABILITY'!O749+N750*'RAP TEMPLATE-GAS AVAILABILITY'!P749+O750*'RAP TEMPLATE-GAS AVAILABILITY'!Q749+P750*'RAP TEMPLATE-GAS AVAILABILITY'!R749)/('RAP TEMPLATE-GAS AVAILABILITY'!O749+'RAP TEMPLATE-GAS AVAILABILITY'!P749+'RAP TEMPLATE-GAS AVAILABILITY'!Q749+'RAP TEMPLATE-GAS AVAILABILITY'!R749)</f>
        <v>49.436992805755395</v>
      </c>
    </row>
    <row r="751" spans="1:29" ht="15.75" x14ac:dyDescent="0.25">
      <c r="A751" s="32">
        <v>63766</v>
      </c>
      <c r="B751" s="14">
        <f>CHOOSE(CONTROL!$C$42, 48.8758, 48.8758) * CHOOSE(CONTROL!$C$21, $C$9, 100%, $E$9)</f>
        <v>48.875799999999998</v>
      </c>
      <c r="C751" s="14">
        <f>CHOOSE(CONTROL!$C$42, 48.8837, 48.8837) * CHOOSE(CONTROL!$C$21, $C$9, 100%, $E$9)</f>
        <v>48.883699999999997</v>
      </c>
      <c r="D751" s="14">
        <f>CHOOSE(CONTROL!$C$42, 49.0813, 49.0813) * CHOOSE(CONTROL!$C$21, $C$9, 100%, $E$9)</f>
        <v>49.081299999999999</v>
      </c>
      <c r="E751" s="14">
        <f>CHOOSE(CONTROL!$C$42, 49.1124, 49.1124) * CHOOSE(CONTROL!$C$21, $C$9, 100%, $E$9)</f>
        <v>49.112400000000001</v>
      </c>
      <c r="F751" s="14">
        <f>CHOOSE(CONTROL!$C$42, 48.86, 48.86)*CHOOSE(CONTROL!$C$21, $C$9, 100%, $E$9)</f>
        <v>48.86</v>
      </c>
      <c r="G751" s="14">
        <f>CHOOSE(CONTROL!$C$42, 48.8763, 48.8763)*CHOOSE(CONTROL!$C$21, $C$9, 100%, $E$9)</f>
        <v>48.876300000000001</v>
      </c>
      <c r="H751" s="14">
        <f>CHOOSE(CONTROL!$C$42, 49.1011, 49.1011) * CHOOSE(CONTROL!$C$21, $C$9, 100%, $E$9)</f>
        <v>49.101100000000002</v>
      </c>
      <c r="I751" s="14">
        <f>CHOOSE(CONTROL!$C$42, 48.8871, 48.8871)* CHOOSE(CONTROL!$C$21, $C$9, 100%, $E$9)</f>
        <v>48.887099999999997</v>
      </c>
      <c r="J751" s="14">
        <f>CHOOSE(CONTROL!$C$42, 48.853, 48.853)* CHOOSE(CONTROL!$C$21, $C$9, 100%, $E$9)</f>
        <v>48.853000000000002</v>
      </c>
      <c r="K751" s="53">
        <f>CHOOSE(CONTROL!$C$42, 48.8833, 48.8833) * CHOOSE(CONTROL!$C$21, $C$9, 100%, $E$9)</f>
        <v>48.883299999999998</v>
      </c>
      <c r="L751" s="14">
        <f>CHOOSE(CONTROL!$C$42, 49.6881, 49.6881) * CHOOSE(CONTROL!$C$21, $C$9, 100%, $E$9)</f>
        <v>49.688099999999999</v>
      </c>
      <c r="M751" s="14">
        <f>CHOOSE(CONTROL!$C$42, 48.3739, 48.3739) * CHOOSE(CONTROL!$C$21, $C$9, 100%, $E$9)</f>
        <v>48.373899999999999</v>
      </c>
      <c r="N751" s="14">
        <f>CHOOSE(CONTROL!$C$42, 48.39, 48.39) * CHOOSE(CONTROL!$C$21, $C$9, 100%, $E$9)</f>
        <v>48.39</v>
      </c>
      <c r="O751" s="14">
        <f>CHOOSE(CONTROL!$C$42, 48.6194, 48.6194) * CHOOSE(CONTROL!$C$21, $C$9, 100%, $E$9)</f>
        <v>48.619399999999999</v>
      </c>
      <c r="P751" s="14">
        <f>CHOOSE(CONTROL!$C$42, 48.4077, 48.4077) * CHOOSE(CONTROL!$C$21, $C$9, 100%, $E$9)</f>
        <v>48.407699999999998</v>
      </c>
      <c r="Q751" s="14">
        <f>CHOOSE(CONTROL!$C$42, 49.2147, 49.2147) * CHOOSE(CONTROL!$C$21, $C$9, 100%, $E$9)</f>
        <v>49.214700000000001</v>
      </c>
      <c r="R751" s="14">
        <f>CHOOSE(CONTROL!$C$42, 49.9247, 49.9247) * CHOOSE(CONTROL!$C$21, $C$9, 100%, $E$9)</f>
        <v>49.924700000000001</v>
      </c>
      <c r="S751" s="14">
        <f>CHOOSE(CONTROL!$C$42, 47.459, 47.459) * CHOOSE(CONTROL!$C$21, $C$9, 100%, $E$9)</f>
        <v>47.459000000000003</v>
      </c>
      <c r="T75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51" s="57">
        <f>(1000*CHOOSE(CONTROL!$C$42, 695, 695)*CHOOSE(CONTROL!$C$42, 0.5599, 0.5599)*CHOOSE(CONTROL!$C$42, 31, 31))/1000000</f>
        <v>12.063045499999998</v>
      </c>
      <c r="V751" s="57">
        <f>(1000*CHOOSE(CONTROL!$C$42, 500, 500)*CHOOSE(CONTROL!$C$42, 0.275, 0.275)*CHOOSE(CONTROL!$C$42, 31, 31))/1000000</f>
        <v>4.2625000000000002</v>
      </c>
      <c r="W751" s="57">
        <f>(1000*CHOOSE(CONTROL!$C$42, 0.1146, 0.1146)*CHOOSE(CONTROL!$C$42, 121.5, 121.5)*CHOOSE(CONTROL!$C$42, 31, 31))/1000000</f>
        <v>0.43164089999999994</v>
      </c>
      <c r="X751" s="57">
        <f>(31*0.1790888*245000/1000000)+(31*0.2374*100000/1000000)</f>
        <v>2.0961194359999999</v>
      </c>
      <c r="Y751" s="57"/>
      <c r="Z751" s="14"/>
      <c r="AA751" s="56"/>
      <c r="AB751" s="50">
        <f>(B751*194.205+C751*267.466+D751*133.845+E751*53.484+F751*40+G751*185+H751*0+I751*100+J751*300)/(194.205+267.466+133.845+53.484+0+40+185+100+300)</f>
        <v>48.90407546569859</v>
      </c>
      <c r="AC751" s="45">
        <f>(M751*'RAP TEMPLATE-GAS AVAILABILITY'!O750+N751*'RAP TEMPLATE-GAS AVAILABILITY'!P750+O751*'RAP TEMPLATE-GAS AVAILABILITY'!Q750+P751*'RAP TEMPLATE-GAS AVAILABILITY'!R750)/('RAP TEMPLATE-GAS AVAILABILITY'!O750+'RAP TEMPLATE-GAS AVAILABILITY'!P750+'RAP TEMPLATE-GAS AVAILABILITY'!Q750+'RAP TEMPLATE-GAS AVAILABILITY'!R750)</f>
        <v>48.490959712230215</v>
      </c>
    </row>
    <row r="752" spans="1:29" ht="15.75" x14ac:dyDescent="0.25">
      <c r="A752" s="32">
        <v>63797</v>
      </c>
      <c r="B752" s="14">
        <f>CHOOSE(CONTROL!$C$42, 46.4618, 46.4618) * CHOOSE(CONTROL!$C$21, $C$9, 100%, $E$9)</f>
        <v>46.461799999999997</v>
      </c>
      <c r="C752" s="14">
        <f>CHOOSE(CONTROL!$C$42, 46.4697, 46.4697) * CHOOSE(CONTROL!$C$21, $C$9, 100%, $E$9)</f>
        <v>46.469700000000003</v>
      </c>
      <c r="D752" s="14">
        <f>CHOOSE(CONTROL!$C$42, 46.6673, 46.6673) * CHOOSE(CONTROL!$C$21, $C$9, 100%, $E$9)</f>
        <v>46.667299999999997</v>
      </c>
      <c r="E752" s="14">
        <f>CHOOSE(CONTROL!$C$42, 46.6985, 46.6985) * CHOOSE(CONTROL!$C$21, $C$9, 100%, $E$9)</f>
        <v>46.698500000000003</v>
      </c>
      <c r="F752" s="14">
        <f>CHOOSE(CONTROL!$C$42, 46.4463, 46.4463)*CHOOSE(CONTROL!$C$21, $C$9, 100%, $E$9)</f>
        <v>46.446300000000001</v>
      </c>
      <c r="G752" s="14">
        <f>CHOOSE(CONTROL!$C$42, 46.4626, 46.4626)*CHOOSE(CONTROL!$C$21, $C$9, 100%, $E$9)</f>
        <v>46.462600000000002</v>
      </c>
      <c r="H752" s="14">
        <f>CHOOSE(CONTROL!$C$42, 46.6871, 46.6871) * CHOOSE(CONTROL!$C$21, $C$9, 100%, $E$9)</f>
        <v>46.687100000000001</v>
      </c>
      <c r="I752" s="14">
        <f>CHOOSE(CONTROL!$C$42, 46.4732, 46.4732)* CHOOSE(CONTROL!$C$21, $C$9, 100%, $E$9)</f>
        <v>46.473199999999999</v>
      </c>
      <c r="J752" s="14">
        <f>CHOOSE(CONTROL!$C$42, 46.4393, 46.4393)* CHOOSE(CONTROL!$C$21, $C$9, 100%, $E$9)</f>
        <v>46.439300000000003</v>
      </c>
      <c r="K752" s="53">
        <f>CHOOSE(CONTROL!$C$42, 46.4693, 46.4693) * CHOOSE(CONTROL!$C$21, $C$9, 100%, $E$9)</f>
        <v>46.469299999999997</v>
      </c>
      <c r="L752" s="14">
        <f>CHOOSE(CONTROL!$C$42, 47.2741, 47.2741) * CHOOSE(CONTROL!$C$21, $C$9, 100%, $E$9)</f>
        <v>47.274099999999997</v>
      </c>
      <c r="M752" s="14">
        <f>CHOOSE(CONTROL!$C$42, 45.9844, 45.9844) * CHOOSE(CONTROL!$C$21, $C$9, 100%, $E$9)</f>
        <v>45.984400000000001</v>
      </c>
      <c r="N752" s="14">
        <f>CHOOSE(CONTROL!$C$42, 46.0006, 46.0006) * CHOOSE(CONTROL!$C$21, $C$9, 100%, $E$9)</f>
        <v>46.000599999999999</v>
      </c>
      <c r="O752" s="14">
        <f>CHOOSE(CONTROL!$C$42, 46.2298, 46.2298) * CHOOSE(CONTROL!$C$21, $C$9, 100%, $E$9)</f>
        <v>46.229799999999997</v>
      </c>
      <c r="P752" s="14">
        <f>CHOOSE(CONTROL!$C$42, 46.0181, 46.0181) * CHOOSE(CONTROL!$C$21, $C$9, 100%, $E$9)</f>
        <v>46.018099999999997</v>
      </c>
      <c r="Q752" s="14">
        <f>CHOOSE(CONTROL!$C$42, 46.8251, 46.8251) * CHOOSE(CONTROL!$C$21, $C$9, 100%, $E$9)</f>
        <v>46.825099999999999</v>
      </c>
      <c r="R752" s="14">
        <f>CHOOSE(CONTROL!$C$42, 47.5291, 47.5291) * CHOOSE(CONTROL!$C$21, $C$9, 100%, $E$9)</f>
        <v>47.5291</v>
      </c>
      <c r="S752" s="14">
        <f>CHOOSE(CONTROL!$C$42, 45.1148, 45.1148) * CHOOSE(CONTROL!$C$21, $C$9, 100%, $E$9)</f>
        <v>45.114800000000002</v>
      </c>
      <c r="T75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52" s="57">
        <f>(1000*CHOOSE(CONTROL!$C$42, 695, 695)*CHOOSE(CONTROL!$C$42, 0.5599, 0.5599)*CHOOSE(CONTROL!$C$42, 31, 31))/1000000</f>
        <v>12.063045499999998</v>
      </c>
      <c r="V752" s="57">
        <f>(1000*CHOOSE(CONTROL!$C$42, 500, 500)*CHOOSE(CONTROL!$C$42, 0.275, 0.275)*CHOOSE(CONTROL!$C$42, 31, 31))/1000000</f>
        <v>4.2625000000000002</v>
      </c>
      <c r="W752" s="57">
        <f>(1000*CHOOSE(CONTROL!$C$42, 0.1146, 0.1146)*CHOOSE(CONTROL!$C$42, 121.5, 121.5)*CHOOSE(CONTROL!$C$42, 31, 31))/1000000</f>
        <v>0.43164089999999994</v>
      </c>
      <c r="X752" s="57">
        <f>(31*0.1790888*245000/1000000)+(31*0.2374*100000/1000000)</f>
        <v>2.0961194359999999</v>
      </c>
      <c r="Y752" s="57"/>
      <c r="Z752" s="14"/>
      <c r="AA752" s="56"/>
      <c r="AB752" s="50">
        <f>(B752*194.205+C752*267.466+D752*133.845+E752*53.484+F752*40+G752*185+H752*0+I752*100+J752*300)/(194.205+267.466+133.845+53.484+0+40+185+100+300)</f>
        <v>46.49021113948195</v>
      </c>
      <c r="AC752" s="45">
        <f>(M752*'RAP TEMPLATE-GAS AVAILABILITY'!O751+N752*'RAP TEMPLATE-GAS AVAILABILITY'!P751+O752*'RAP TEMPLATE-GAS AVAILABILITY'!Q751+P752*'RAP TEMPLATE-GAS AVAILABILITY'!R751)/('RAP TEMPLATE-GAS AVAILABILITY'!O751+'RAP TEMPLATE-GAS AVAILABILITY'!P751+'RAP TEMPLATE-GAS AVAILABILITY'!Q751+'RAP TEMPLATE-GAS AVAILABILITY'!R751)</f>
        <v>46.101405755395682</v>
      </c>
    </row>
    <row r="753" spans="1:29" ht="15.75" x14ac:dyDescent="0.25">
      <c r="A753" s="32">
        <v>63827</v>
      </c>
      <c r="B753" s="14">
        <f>CHOOSE(CONTROL!$C$42, 43.512, 43.512) * CHOOSE(CONTROL!$C$21, $C$9, 100%, $E$9)</f>
        <v>43.512</v>
      </c>
      <c r="C753" s="14">
        <f>CHOOSE(CONTROL!$C$42, 43.5199, 43.5199) * CHOOSE(CONTROL!$C$21, $C$9, 100%, $E$9)</f>
        <v>43.5199</v>
      </c>
      <c r="D753" s="14">
        <f>CHOOSE(CONTROL!$C$42, 43.7175, 43.7175) * CHOOSE(CONTROL!$C$21, $C$9, 100%, $E$9)</f>
        <v>43.717500000000001</v>
      </c>
      <c r="E753" s="14">
        <f>CHOOSE(CONTROL!$C$42, 43.7487, 43.7487) * CHOOSE(CONTROL!$C$21, $C$9, 100%, $E$9)</f>
        <v>43.748699999999999</v>
      </c>
      <c r="F753" s="14">
        <f>CHOOSE(CONTROL!$C$42, 43.4964, 43.4964)*CHOOSE(CONTROL!$C$21, $C$9, 100%, $E$9)</f>
        <v>43.496400000000001</v>
      </c>
      <c r="G753" s="14">
        <f>CHOOSE(CONTROL!$C$42, 43.5127, 43.5127)*CHOOSE(CONTROL!$C$21, $C$9, 100%, $E$9)</f>
        <v>43.512700000000002</v>
      </c>
      <c r="H753" s="14">
        <f>CHOOSE(CONTROL!$C$42, 43.7373, 43.7373) * CHOOSE(CONTROL!$C$21, $C$9, 100%, $E$9)</f>
        <v>43.737299999999998</v>
      </c>
      <c r="I753" s="14">
        <f>CHOOSE(CONTROL!$C$42, 43.5234, 43.5234)* CHOOSE(CONTROL!$C$21, $C$9, 100%, $E$9)</f>
        <v>43.523400000000002</v>
      </c>
      <c r="J753" s="14">
        <f>CHOOSE(CONTROL!$C$42, 43.4894, 43.4894)* CHOOSE(CONTROL!$C$21, $C$9, 100%, $E$9)</f>
        <v>43.489400000000003</v>
      </c>
      <c r="K753" s="53">
        <f>CHOOSE(CONTROL!$C$42, 43.5195, 43.5195) * CHOOSE(CONTROL!$C$21, $C$9, 100%, $E$9)</f>
        <v>43.519500000000001</v>
      </c>
      <c r="L753" s="14">
        <f>CHOOSE(CONTROL!$C$42, 44.3243, 44.3243) * CHOOSE(CONTROL!$C$21, $C$9, 100%, $E$9)</f>
        <v>44.324300000000001</v>
      </c>
      <c r="M753" s="14">
        <f>CHOOSE(CONTROL!$C$42, 43.0643, 43.0643) * CHOOSE(CONTROL!$C$21, $C$9, 100%, $E$9)</f>
        <v>43.064300000000003</v>
      </c>
      <c r="N753" s="14">
        <f>CHOOSE(CONTROL!$C$42, 43.0805, 43.0805) * CHOOSE(CONTROL!$C$21, $C$9, 100%, $E$9)</f>
        <v>43.080500000000001</v>
      </c>
      <c r="O753" s="14">
        <f>CHOOSE(CONTROL!$C$42, 43.3097, 43.3097) * CHOOSE(CONTROL!$C$21, $C$9, 100%, $E$9)</f>
        <v>43.309699999999999</v>
      </c>
      <c r="P753" s="14">
        <f>CHOOSE(CONTROL!$C$42, 43.098, 43.098) * CHOOSE(CONTROL!$C$21, $C$9, 100%, $E$9)</f>
        <v>43.097999999999999</v>
      </c>
      <c r="Q753" s="14">
        <f>CHOOSE(CONTROL!$C$42, 43.905, 43.905) * CHOOSE(CONTROL!$C$21, $C$9, 100%, $E$9)</f>
        <v>43.905000000000001</v>
      </c>
      <c r="R753" s="14">
        <f>CHOOSE(CONTROL!$C$42, 44.6018, 44.6018) * CHOOSE(CONTROL!$C$21, $C$9, 100%, $E$9)</f>
        <v>44.601799999999997</v>
      </c>
      <c r="S753" s="14">
        <f>CHOOSE(CONTROL!$C$42, 42.2503, 42.2503) * CHOOSE(CONTROL!$C$21, $C$9, 100%, $E$9)</f>
        <v>42.250300000000003</v>
      </c>
      <c r="T75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53" s="57">
        <f>(1000*CHOOSE(CONTROL!$C$42, 695, 695)*CHOOSE(CONTROL!$C$42, 0.5599, 0.5599)*CHOOSE(CONTROL!$C$42, 30, 30))/1000000</f>
        <v>11.673914999999997</v>
      </c>
      <c r="V753" s="57">
        <f>(1000*CHOOSE(CONTROL!$C$42, 500, 500)*CHOOSE(CONTROL!$C$42, 0.275, 0.275)*CHOOSE(CONTROL!$C$42, 30, 30))/1000000</f>
        <v>4.125</v>
      </c>
      <c r="W753" s="57">
        <f>(1000*CHOOSE(CONTROL!$C$42, 0.1146, 0.1146)*CHOOSE(CONTROL!$C$42, 121.5, 121.5)*CHOOSE(CONTROL!$C$42, 30, 30))/1000000</f>
        <v>0.417717</v>
      </c>
      <c r="X753" s="57">
        <f>(30*0.1790888*245000/1000000)+(30*0.2374*100000/1000000)</f>
        <v>2.0285026799999999</v>
      </c>
      <c r="Y753" s="57"/>
      <c r="Z753" s="14"/>
      <c r="AA753" s="56"/>
      <c r="AB753" s="50">
        <f>(B753*194.205+C753*267.466+D753*133.845+E753*53.484+F753*40+G753*185+H753*0+I753*100+J753*300)/(194.205+267.466+133.845+53.484+0+40+185+100+300)</f>
        <v>43.540369930690737</v>
      </c>
      <c r="AC753" s="45">
        <f>(M753*'RAP TEMPLATE-GAS AVAILABILITY'!O752+N753*'RAP TEMPLATE-GAS AVAILABILITY'!P752+O753*'RAP TEMPLATE-GAS AVAILABILITY'!Q752+P753*'RAP TEMPLATE-GAS AVAILABILITY'!R752)/('RAP TEMPLATE-GAS AVAILABILITY'!O752+'RAP TEMPLATE-GAS AVAILABILITY'!P752+'RAP TEMPLATE-GAS AVAILABILITY'!Q752+'RAP TEMPLATE-GAS AVAILABILITY'!R752)</f>
        <v>43.181305755395684</v>
      </c>
    </row>
    <row r="754" spans="1:29" ht="15.75" x14ac:dyDescent="0.25">
      <c r="A754" s="32">
        <v>63858</v>
      </c>
      <c r="B754" s="14">
        <f>CHOOSE(CONTROL!$C$42, 42.6269, 42.6269) * CHOOSE(CONTROL!$C$21, $C$9, 100%, $E$9)</f>
        <v>42.626899999999999</v>
      </c>
      <c r="C754" s="14">
        <f>CHOOSE(CONTROL!$C$42, 42.6321, 42.6321) * CHOOSE(CONTROL!$C$21, $C$9, 100%, $E$9)</f>
        <v>42.632100000000001</v>
      </c>
      <c r="D754" s="14">
        <f>CHOOSE(CONTROL!$C$42, 42.8347, 42.8347) * CHOOSE(CONTROL!$C$21, $C$9, 100%, $E$9)</f>
        <v>42.834699999999998</v>
      </c>
      <c r="E754" s="14">
        <f>CHOOSE(CONTROL!$C$42, 42.8635, 42.8635) * CHOOSE(CONTROL!$C$21, $C$9, 100%, $E$9)</f>
        <v>42.863500000000002</v>
      </c>
      <c r="F754" s="14">
        <f>CHOOSE(CONTROL!$C$42, 42.6133, 42.6133)*CHOOSE(CONTROL!$C$21, $C$9, 100%, $E$9)</f>
        <v>42.613300000000002</v>
      </c>
      <c r="G754" s="14">
        <f>CHOOSE(CONTROL!$C$42, 42.6293, 42.6293)*CHOOSE(CONTROL!$C$21, $C$9, 100%, $E$9)</f>
        <v>42.629300000000001</v>
      </c>
      <c r="H754" s="14">
        <f>CHOOSE(CONTROL!$C$42, 42.8539, 42.8539) * CHOOSE(CONTROL!$C$21, $C$9, 100%, $E$9)</f>
        <v>42.853900000000003</v>
      </c>
      <c r="I754" s="14">
        <f>CHOOSE(CONTROL!$C$42, 42.64, 42.64)* CHOOSE(CONTROL!$C$21, $C$9, 100%, $E$9)</f>
        <v>42.64</v>
      </c>
      <c r="J754" s="14">
        <f>CHOOSE(CONTROL!$C$42, 42.6063, 42.6063)* CHOOSE(CONTROL!$C$21, $C$9, 100%, $E$9)</f>
        <v>42.606299999999997</v>
      </c>
      <c r="K754" s="53">
        <f>CHOOSE(CONTROL!$C$42, 42.6361, 42.6361) * CHOOSE(CONTROL!$C$21, $C$9, 100%, $E$9)</f>
        <v>42.636099999999999</v>
      </c>
      <c r="L754" s="14">
        <f>CHOOSE(CONTROL!$C$42, 43.4409, 43.4409) * CHOOSE(CONTROL!$C$21, $C$9, 100%, $E$9)</f>
        <v>43.440899999999999</v>
      </c>
      <c r="M754" s="14">
        <f>CHOOSE(CONTROL!$C$42, 42.1901, 42.1901) * CHOOSE(CONTROL!$C$21, $C$9, 100%, $E$9)</f>
        <v>42.190100000000001</v>
      </c>
      <c r="N754" s="14">
        <f>CHOOSE(CONTROL!$C$42, 42.206, 42.206) * CHOOSE(CONTROL!$C$21, $C$9, 100%, $E$9)</f>
        <v>42.206000000000003</v>
      </c>
      <c r="O754" s="14">
        <f>CHOOSE(CONTROL!$C$42, 42.4353, 42.4353) * CHOOSE(CONTROL!$C$21, $C$9, 100%, $E$9)</f>
        <v>42.435299999999998</v>
      </c>
      <c r="P754" s="14">
        <f>CHOOSE(CONTROL!$C$42, 42.2236, 42.2236) * CHOOSE(CONTROL!$C$21, $C$9, 100%, $E$9)</f>
        <v>42.223599999999998</v>
      </c>
      <c r="Q754" s="14">
        <f>CHOOSE(CONTROL!$C$42, 43.0306, 43.0306) * CHOOSE(CONTROL!$C$21, $C$9, 100%, $E$9)</f>
        <v>43.0306</v>
      </c>
      <c r="R754" s="14">
        <f>CHOOSE(CONTROL!$C$42, 43.7252, 43.7252) * CHOOSE(CONTROL!$C$21, $C$9, 100%, $E$9)</f>
        <v>43.725200000000001</v>
      </c>
      <c r="S754" s="14">
        <f>CHOOSE(CONTROL!$C$42, 41.3924, 41.3924) * CHOOSE(CONTROL!$C$21, $C$9, 100%, $E$9)</f>
        <v>41.392400000000002</v>
      </c>
      <c r="T75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54" s="57">
        <f>(1000*CHOOSE(CONTROL!$C$42, 695, 695)*CHOOSE(CONTROL!$C$42, 0.5599, 0.5599)*CHOOSE(CONTROL!$C$42, 31, 31))/1000000</f>
        <v>12.063045499999998</v>
      </c>
      <c r="V754" s="57">
        <f>(1000*CHOOSE(CONTROL!$C$42, 500, 500)*CHOOSE(CONTROL!$C$42, 0.275, 0.275)*CHOOSE(CONTROL!$C$42, 31, 31))/1000000</f>
        <v>4.2625000000000002</v>
      </c>
      <c r="W754" s="57">
        <f>(1000*CHOOSE(CONTROL!$C$42, 0.1146, 0.1146)*CHOOSE(CONTROL!$C$42, 121.5, 121.5)*CHOOSE(CONTROL!$C$42, 31, 31))/1000000</f>
        <v>0.43164089999999994</v>
      </c>
      <c r="X754" s="57">
        <f>(31*0.1790888*245000/1000000)+(31*0.2374*100000/1000000)</f>
        <v>2.0961194359999999</v>
      </c>
      <c r="Y754" s="57"/>
      <c r="Z754" s="14"/>
      <c r="AA754" s="56"/>
      <c r="AB754" s="50">
        <f>(B754*131.881+C754*277.167+D754*79.08+E754*125.872+F754*40+G754*185+H754*0+I754*100+J754*300)/(131.881+277.167+79.08+125.872+0+40+185+100+300)</f>
        <v>42.661351499273607</v>
      </c>
      <c r="AC754" s="45">
        <f>(M754*'RAP TEMPLATE-GAS AVAILABILITY'!O753+N754*'RAP TEMPLATE-GAS AVAILABILITY'!P753+O754*'RAP TEMPLATE-GAS AVAILABILITY'!Q753+P754*'RAP TEMPLATE-GAS AVAILABILITY'!R753)/('RAP TEMPLATE-GAS AVAILABILITY'!O753+'RAP TEMPLATE-GAS AVAILABILITY'!P753+'RAP TEMPLATE-GAS AVAILABILITY'!Q753+'RAP TEMPLATE-GAS AVAILABILITY'!R753)</f>
        <v>42.306969064748202</v>
      </c>
    </row>
    <row r="755" spans="1:29" ht="15.75" x14ac:dyDescent="0.25">
      <c r="A755" s="32">
        <v>63888</v>
      </c>
      <c r="B755" s="14">
        <f>CHOOSE(CONTROL!$C$42, 43.7494, 43.7494) * CHOOSE(CONTROL!$C$21, $C$9, 100%, $E$9)</f>
        <v>43.749400000000001</v>
      </c>
      <c r="C755" s="14">
        <f>CHOOSE(CONTROL!$C$42, 43.7543, 43.7543) * CHOOSE(CONTROL!$C$21, $C$9, 100%, $E$9)</f>
        <v>43.754300000000001</v>
      </c>
      <c r="D755" s="14">
        <f>CHOOSE(CONTROL!$C$42, 43.8174, 43.8174) * CHOOSE(CONTROL!$C$21, $C$9, 100%, $E$9)</f>
        <v>43.817399999999999</v>
      </c>
      <c r="E755" s="14">
        <f>CHOOSE(CONTROL!$C$42, 43.8512, 43.8512) * CHOOSE(CONTROL!$C$21, $C$9, 100%, $E$9)</f>
        <v>43.851199999999999</v>
      </c>
      <c r="F755" s="14">
        <f>CHOOSE(CONTROL!$C$42, 43.7501, 43.7501)*CHOOSE(CONTROL!$C$21, $C$9, 100%, $E$9)</f>
        <v>43.750100000000003</v>
      </c>
      <c r="G755" s="14">
        <f>CHOOSE(CONTROL!$C$42, 43.7664, 43.7664)*CHOOSE(CONTROL!$C$21, $C$9, 100%, $E$9)</f>
        <v>43.766399999999997</v>
      </c>
      <c r="H755" s="14">
        <f>CHOOSE(CONTROL!$C$42, 43.8404, 43.8404) * CHOOSE(CONTROL!$C$21, $C$9, 100%, $E$9)</f>
        <v>43.840400000000002</v>
      </c>
      <c r="I755" s="14">
        <f>CHOOSE(CONTROL!$C$42, 43.7629, 43.7629)* CHOOSE(CONTROL!$C$21, $C$9, 100%, $E$9)</f>
        <v>43.762900000000002</v>
      </c>
      <c r="J755" s="14">
        <f>CHOOSE(CONTROL!$C$42, 43.7431, 43.7431)* CHOOSE(CONTROL!$C$21, $C$9, 100%, $E$9)</f>
        <v>43.743099999999998</v>
      </c>
      <c r="K755" s="53">
        <f>CHOOSE(CONTROL!$C$42, 43.759, 43.759) * CHOOSE(CONTROL!$C$21, $C$9, 100%, $E$9)</f>
        <v>43.759</v>
      </c>
      <c r="L755" s="14">
        <f>CHOOSE(CONTROL!$C$42, 44.4274, 44.4274) * CHOOSE(CONTROL!$C$21, $C$9, 100%, $E$9)</f>
        <v>44.427399999999999</v>
      </c>
      <c r="M755" s="14">
        <f>CHOOSE(CONTROL!$C$42, 43.3155, 43.3155) * CHOOSE(CONTROL!$C$21, $C$9, 100%, $E$9)</f>
        <v>43.3155</v>
      </c>
      <c r="N755" s="14">
        <f>CHOOSE(CONTROL!$C$42, 43.3316, 43.3316) * CHOOSE(CONTROL!$C$21, $C$9, 100%, $E$9)</f>
        <v>43.331600000000002</v>
      </c>
      <c r="O755" s="14">
        <f>CHOOSE(CONTROL!$C$42, 43.4118, 43.4118) * CHOOSE(CONTROL!$C$21, $C$9, 100%, $E$9)</f>
        <v>43.411799999999999</v>
      </c>
      <c r="P755" s="14">
        <f>CHOOSE(CONTROL!$C$42, 43.3351, 43.3351) * CHOOSE(CONTROL!$C$21, $C$9, 100%, $E$9)</f>
        <v>43.335099999999997</v>
      </c>
      <c r="Q755" s="14">
        <f>CHOOSE(CONTROL!$C$42, 44.0071, 44.0071) * CHOOSE(CONTROL!$C$21, $C$9, 100%, $E$9)</f>
        <v>44.007100000000001</v>
      </c>
      <c r="R755" s="14">
        <f>CHOOSE(CONTROL!$C$42, 44.7041, 44.7041) * CHOOSE(CONTROL!$C$21, $C$9, 100%, $E$9)</f>
        <v>44.704099999999997</v>
      </c>
      <c r="S755" s="14">
        <f>CHOOSE(CONTROL!$C$42, 42.4829, 42.4829) * CHOOSE(CONTROL!$C$21, $C$9, 100%, $E$9)</f>
        <v>42.482900000000001</v>
      </c>
      <c r="T75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55" s="57">
        <f>(1000*CHOOSE(CONTROL!$C$42, 695, 695)*CHOOSE(CONTROL!$C$42, 0.5599, 0.5599)*CHOOSE(CONTROL!$C$42, 30, 30))/1000000</f>
        <v>11.673914999999997</v>
      </c>
      <c r="V755" s="57">
        <f>(1000*CHOOSE(CONTROL!$C$42, 500, 500)*CHOOSE(CONTROL!$C$42, 0.275, 0.275)*CHOOSE(CONTROL!$C$42, 30, 30))/1000000</f>
        <v>4.125</v>
      </c>
      <c r="W755" s="57">
        <f>(1000*CHOOSE(CONTROL!$C$42, 0.1146, 0.1146)*CHOOSE(CONTROL!$C$42, 121.5, 121.5)*CHOOSE(CONTROL!$C$42, 30, 30))/1000000</f>
        <v>0.417717</v>
      </c>
      <c r="X755" s="57">
        <f>(30*0.1790888*100000/1000000)+(30*0.2374*100000/1000000)</f>
        <v>1.2494664</v>
      </c>
      <c r="Y755" s="57"/>
      <c r="Z755" s="14"/>
      <c r="AA755" s="56"/>
      <c r="AB755" s="50">
        <f>(B755*122.58+C755*297.941+D755*89.177+E755*40.302+F755*40+G755*160+H755*0+I755*100+J755*300)/(122.58+297.941+89.177+40.302+0+40+160+100+300)</f>
        <v>43.761430165652179</v>
      </c>
      <c r="AC755" s="45">
        <f>(M755*'RAP TEMPLATE-GAS AVAILABILITY'!O754+N755*'RAP TEMPLATE-GAS AVAILABILITY'!P754+O755*'RAP TEMPLATE-GAS AVAILABILITY'!Q754+P755*'RAP TEMPLATE-GAS AVAILABILITY'!R754)/('RAP TEMPLATE-GAS AVAILABILITY'!O754+'RAP TEMPLATE-GAS AVAILABILITY'!P754+'RAP TEMPLATE-GAS AVAILABILITY'!Q754+'RAP TEMPLATE-GAS AVAILABILITY'!R754)</f>
        <v>43.362893525179857</v>
      </c>
    </row>
    <row r="756" spans="1:29" ht="15.75" x14ac:dyDescent="0.25">
      <c r="A756" s="32">
        <v>63919</v>
      </c>
      <c r="B756" s="14">
        <f>CHOOSE(CONTROL!$C$42, 46.732, 46.732) * CHOOSE(CONTROL!$C$21, $C$9, 100%, $E$9)</f>
        <v>46.731999999999999</v>
      </c>
      <c r="C756" s="14">
        <f>CHOOSE(CONTROL!$C$42, 46.7369, 46.7369) * CHOOSE(CONTROL!$C$21, $C$9, 100%, $E$9)</f>
        <v>46.736899999999999</v>
      </c>
      <c r="D756" s="14">
        <f>CHOOSE(CONTROL!$C$42, 46.8, 46.8) * CHOOSE(CONTROL!$C$21, $C$9, 100%, $E$9)</f>
        <v>46.8</v>
      </c>
      <c r="E756" s="14">
        <f>CHOOSE(CONTROL!$C$42, 46.8338, 46.8338) * CHOOSE(CONTROL!$C$21, $C$9, 100%, $E$9)</f>
        <v>46.833799999999997</v>
      </c>
      <c r="F756" s="14">
        <f>CHOOSE(CONTROL!$C$42, 46.7347, 46.7347)*CHOOSE(CONTROL!$C$21, $C$9, 100%, $E$9)</f>
        <v>46.734699999999997</v>
      </c>
      <c r="G756" s="14">
        <f>CHOOSE(CONTROL!$C$42, 46.7516, 46.7516)*CHOOSE(CONTROL!$C$21, $C$9, 100%, $E$9)</f>
        <v>46.751600000000003</v>
      </c>
      <c r="H756" s="14">
        <f>CHOOSE(CONTROL!$C$42, 46.823, 46.823) * CHOOSE(CONTROL!$C$21, $C$9, 100%, $E$9)</f>
        <v>46.823</v>
      </c>
      <c r="I756" s="14">
        <f>CHOOSE(CONTROL!$C$42, 46.7455, 46.7455)* CHOOSE(CONTROL!$C$21, $C$9, 100%, $E$9)</f>
        <v>46.7455</v>
      </c>
      <c r="J756" s="14">
        <f>CHOOSE(CONTROL!$C$42, 46.7277, 46.7277)* CHOOSE(CONTROL!$C$21, $C$9, 100%, $E$9)</f>
        <v>46.727699999999999</v>
      </c>
      <c r="K756" s="53">
        <f>CHOOSE(CONTROL!$C$42, 46.7416, 46.7416) * CHOOSE(CONTROL!$C$21, $C$9, 100%, $E$9)</f>
        <v>46.741599999999998</v>
      </c>
      <c r="L756" s="14">
        <f>CHOOSE(CONTROL!$C$42, 47.41, 47.41) * CHOOSE(CONTROL!$C$21, $C$9, 100%, $E$9)</f>
        <v>47.41</v>
      </c>
      <c r="M756" s="14">
        <f>CHOOSE(CONTROL!$C$42, 46.27, 46.27) * CHOOSE(CONTROL!$C$21, $C$9, 100%, $E$9)</f>
        <v>46.27</v>
      </c>
      <c r="N756" s="14">
        <f>CHOOSE(CONTROL!$C$42, 46.2866, 46.2866) * CHOOSE(CONTROL!$C$21, $C$9, 100%, $E$9)</f>
        <v>46.2866</v>
      </c>
      <c r="O756" s="14">
        <f>CHOOSE(CONTROL!$C$42, 46.3643, 46.3643) * CHOOSE(CONTROL!$C$21, $C$9, 100%, $E$9)</f>
        <v>46.3643</v>
      </c>
      <c r="P756" s="14">
        <f>CHOOSE(CONTROL!$C$42, 46.2877, 46.2877) * CHOOSE(CONTROL!$C$21, $C$9, 100%, $E$9)</f>
        <v>46.287700000000001</v>
      </c>
      <c r="Q756" s="14">
        <f>CHOOSE(CONTROL!$C$42, 46.9596, 46.9596) * CHOOSE(CONTROL!$C$21, $C$9, 100%, $E$9)</f>
        <v>46.959600000000002</v>
      </c>
      <c r="R756" s="14">
        <f>CHOOSE(CONTROL!$C$42, 47.664, 47.664) * CHOOSE(CONTROL!$C$21, $C$9, 100%, $E$9)</f>
        <v>47.664000000000001</v>
      </c>
      <c r="S756" s="14">
        <f>CHOOSE(CONTROL!$C$42, 45.3793, 45.3793) * CHOOSE(CONTROL!$C$21, $C$9, 100%, $E$9)</f>
        <v>45.379300000000001</v>
      </c>
      <c r="T75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56" s="57">
        <f>(1000*CHOOSE(CONTROL!$C$42, 695, 695)*CHOOSE(CONTROL!$C$42, 0.5599, 0.5599)*CHOOSE(CONTROL!$C$42, 31, 31))/1000000</f>
        <v>12.063045499999998</v>
      </c>
      <c r="V756" s="57">
        <f>(1000*CHOOSE(CONTROL!$C$42, 500, 500)*CHOOSE(CONTROL!$C$42, 0.275, 0.275)*CHOOSE(CONTROL!$C$42, 31, 31))/1000000</f>
        <v>4.2625000000000002</v>
      </c>
      <c r="W756" s="57">
        <f>(1000*CHOOSE(CONTROL!$C$42, 0.1146, 0.1146)*CHOOSE(CONTROL!$C$42, 121.5, 121.5)*CHOOSE(CONTROL!$C$42, 31, 31))/1000000</f>
        <v>0.43164089999999994</v>
      </c>
      <c r="X756" s="57">
        <f>(31*0.1790888*100000/1000000)+(31*0.2374*100000/1000000)</f>
        <v>1.2911152800000001</v>
      </c>
      <c r="Y756" s="57"/>
      <c r="Z756" s="14"/>
      <c r="AA756" s="56"/>
      <c r="AB756" s="50">
        <f>(B756*122.58+C756*297.941+D756*89.177+E756*40.302+F756*40+G756*160+H756*0+I756*100+J756*300)/(122.58+297.941+89.177+40.302+0+40+160+100+300)</f>
        <v>46.744983209130432</v>
      </c>
      <c r="AC756" s="45">
        <f>(M756*'RAP TEMPLATE-GAS AVAILABILITY'!O755+N756*'RAP TEMPLATE-GAS AVAILABILITY'!P755+O756*'RAP TEMPLATE-GAS AVAILABILITY'!Q755+P756*'RAP TEMPLATE-GAS AVAILABILITY'!R755)/('RAP TEMPLATE-GAS AVAILABILITY'!O755+'RAP TEMPLATE-GAS AVAILABILITY'!P755+'RAP TEMPLATE-GAS AVAILABILITY'!Q755+'RAP TEMPLATE-GAS AVAILABILITY'!R755)</f>
        <v>46.316242446043169</v>
      </c>
    </row>
    <row r="757" spans="1:29" ht="15.75" x14ac:dyDescent="0.25">
      <c r="A757" s="32">
        <v>63950</v>
      </c>
      <c r="B757" s="14">
        <f>CHOOSE(CONTROL!$C$42, 50.5608, 50.5608) * CHOOSE(CONTROL!$C$21, $C$9, 100%, $E$9)</f>
        <v>50.5608</v>
      </c>
      <c r="C757" s="14">
        <f>CHOOSE(CONTROL!$C$42, 50.5658, 50.5658) * CHOOSE(CONTROL!$C$21, $C$9, 100%, $E$9)</f>
        <v>50.565800000000003</v>
      </c>
      <c r="D757" s="14">
        <f>CHOOSE(CONTROL!$C$42, 50.6301, 50.6301) * CHOOSE(CONTROL!$C$21, $C$9, 100%, $E$9)</f>
        <v>50.630099999999999</v>
      </c>
      <c r="E757" s="14">
        <f>CHOOSE(CONTROL!$C$42, 50.6638, 50.6638) * CHOOSE(CONTROL!$C$21, $C$9, 100%, $E$9)</f>
        <v>50.663800000000002</v>
      </c>
      <c r="F757" s="14">
        <f>CHOOSE(CONTROL!$C$42, 50.5623, 50.5623)*CHOOSE(CONTROL!$C$21, $C$9, 100%, $E$9)</f>
        <v>50.5623</v>
      </c>
      <c r="G757" s="14">
        <f>CHOOSE(CONTROL!$C$42, 50.5783, 50.5783)*CHOOSE(CONTROL!$C$21, $C$9, 100%, $E$9)</f>
        <v>50.578299999999999</v>
      </c>
      <c r="H757" s="14">
        <f>CHOOSE(CONTROL!$C$42, 50.653, 50.653) * CHOOSE(CONTROL!$C$21, $C$9, 100%, $E$9)</f>
        <v>50.652999999999999</v>
      </c>
      <c r="I757" s="14">
        <f>CHOOSE(CONTROL!$C$42, 50.5808, 50.5808)* CHOOSE(CONTROL!$C$21, $C$9, 100%, $E$9)</f>
        <v>50.580800000000004</v>
      </c>
      <c r="J757" s="14">
        <f>CHOOSE(CONTROL!$C$42, 50.5553, 50.5553)* CHOOSE(CONTROL!$C$21, $C$9, 100%, $E$9)</f>
        <v>50.555300000000003</v>
      </c>
      <c r="K757" s="53">
        <f>CHOOSE(CONTROL!$C$42, 50.5769, 50.5769) * CHOOSE(CONTROL!$C$21, $C$9, 100%, $E$9)</f>
        <v>50.576900000000002</v>
      </c>
      <c r="L757" s="14">
        <f>CHOOSE(CONTROL!$C$42, 51.24, 51.24) * CHOOSE(CONTROL!$C$21, $C$9, 100%, $E$9)</f>
        <v>51.24</v>
      </c>
      <c r="M757" s="14">
        <f>CHOOSE(CONTROL!$C$42, 50.059, 50.059) * CHOOSE(CONTROL!$C$21, $C$9, 100%, $E$9)</f>
        <v>50.058999999999997</v>
      </c>
      <c r="N757" s="14">
        <f>CHOOSE(CONTROL!$C$42, 50.0747, 50.0747) * CHOOSE(CONTROL!$C$21, $C$9, 100%, $E$9)</f>
        <v>50.0747</v>
      </c>
      <c r="O757" s="14">
        <f>CHOOSE(CONTROL!$C$42, 50.1557, 50.1557) * CHOOSE(CONTROL!$C$21, $C$9, 100%, $E$9)</f>
        <v>50.155700000000003</v>
      </c>
      <c r="P757" s="14">
        <f>CHOOSE(CONTROL!$C$42, 50.0842, 50.0842) * CHOOSE(CONTROL!$C$21, $C$9, 100%, $E$9)</f>
        <v>50.084200000000003</v>
      </c>
      <c r="Q757" s="14">
        <f>CHOOSE(CONTROL!$C$42, 50.751, 50.751) * CHOOSE(CONTROL!$C$21, $C$9, 100%, $E$9)</f>
        <v>50.750999999999998</v>
      </c>
      <c r="R757" s="14">
        <f>CHOOSE(CONTROL!$C$42, 51.4649, 51.4649) * CHOOSE(CONTROL!$C$21, $C$9, 100%, $E$9)</f>
        <v>51.4649</v>
      </c>
      <c r="S757" s="14">
        <f>CHOOSE(CONTROL!$C$42, 49.0975, 49.0975) * CHOOSE(CONTROL!$C$21, $C$9, 100%, $E$9)</f>
        <v>49.097499999999997</v>
      </c>
      <c r="T75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57" s="57">
        <f>(1000*CHOOSE(CONTROL!$C$42, 695, 695)*CHOOSE(CONTROL!$C$42, 0.5599, 0.5599)*CHOOSE(CONTROL!$C$42, 31, 31))/1000000</f>
        <v>12.063045499999998</v>
      </c>
      <c r="V757" s="57">
        <f>(1000*CHOOSE(CONTROL!$C$42, 500, 500)*CHOOSE(CONTROL!$C$42, 0.275, 0.275)*CHOOSE(CONTROL!$C$42, 31, 31))/1000000</f>
        <v>4.2625000000000002</v>
      </c>
      <c r="W757" s="57">
        <f>(1000*CHOOSE(CONTROL!$C$42, 0.1146, 0.1146)*CHOOSE(CONTROL!$C$42, 121.5, 121.5)*CHOOSE(CONTROL!$C$42, 31, 31))/1000000</f>
        <v>0.43164089999999994</v>
      </c>
      <c r="X757" s="57">
        <f>(31*0.1790888*100000/1000000)+(31*0.2374*100000/1000000)</f>
        <v>1.2911152800000001</v>
      </c>
      <c r="Y757" s="57"/>
      <c r="Z757" s="14"/>
      <c r="AA757" s="56"/>
      <c r="AB757" s="50">
        <f>(B757*122.58+C757*297.941+D757*89.177+E757*40.302+F757*40+G757*160+H757*0+I757*100+J757*300)/(122.58+297.941+89.177+40.302+0+40+160+100+300)</f>
        <v>50.573870240956516</v>
      </c>
      <c r="AC757" s="45">
        <f>(M757*'RAP TEMPLATE-GAS AVAILABILITY'!O756+N757*'RAP TEMPLATE-GAS AVAILABILITY'!P756+O757*'RAP TEMPLATE-GAS AVAILABILITY'!Q756+P757*'RAP TEMPLATE-GAS AVAILABILITY'!R756)/('RAP TEMPLATE-GAS AVAILABILITY'!O756+'RAP TEMPLATE-GAS AVAILABILITY'!P756+'RAP TEMPLATE-GAS AVAILABILITY'!Q756+'RAP TEMPLATE-GAS AVAILABILITY'!R756)</f>
        <v>50.107357553956831</v>
      </c>
    </row>
    <row r="758" spans="1:29" ht="15.75" x14ac:dyDescent="0.25">
      <c r="A758" s="32">
        <v>63978</v>
      </c>
      <c r="B758" s="14">
        <f>CHOOSE(CONTROL!$C$42, 51.4608, 51.4608) * CHOOSE(CONTROL!$C$21, $C$9, 100%, $E$9)</f>
        <v>51.460799999999999</v>
      </c>
      <c r="C758" s="14">
        <f>CHOOSE(CONTROL!$C$42, 51.4658, 51.4658) * CHOOSE(CONTROL!$C$21, $C$9, 100%, $E$9)</f>
        <v>51.465800000000002</v>
      </c>
      <c r="D758" s="14">
        <f>CHOOSE(CONTROL!$C$42, 51.5301, 51.5301) * CHOOSE(CONTROL!$C$21, $C$9, 100%, $E$9)</f>
        <v>51.530099999999997</v>
      </c>
      <c r="E758" s="14">
        <f>CHOOSE(CONTROL!$C$42, 51.5638, 51.5638) * CHOOSE(CONTROL!$C$21, $C$9, 100%, $E$9)</f>
        <v>51.563800000000001</v>
      </c>
      <c r="F758" s="14">
        <f>CHOOSE(CONTROL!$C$42, 51.4624, 51.4624)*CHOOSE(CONTROL!$C$21, $C$9, 100%, $E$9)</f>
        <v>51.462400000000002</v>
      </c>
      <c r="G758" s="14">
        <f>CHOOSE(CONTROL!$C$42, 51.4783, 51.4783)*CHOOSE(CONTROL!$C$21, $C$9, 100%, $E$9)</f>
        <v>51.478299999999997</v>
      </c>
      <c r="H758" s="14">
        <f>CHOOSE(CONTROL!$C$42, 51.553, 51.553) * CHOOSE(CONTROL!$C$21, $C$9, 100%, $E$9)</f>
        <v>51.552999999999997</v>
      </c>
      <c r="I758" s="14">
        <f>CHOOSE(CONTROL!$C$42, 51.4808, 51.4808)* CHOOSE(CONTROL!$C$21, $C$9, 100%, $E$9)</f>
        <v>51.480800000000002</v>
      </c>
      <c r="J758" s="14">
        <f>CHOOSE(CONTROL!$C$42, 51.4554, 51.4554)* CHOOSE(CONTROL!$C$21, $C$9, 100%, $E$9)</f>
        <v>51.455399999999997</v>
      </c>
      <c r="K758" s="53">
        <f>CHOOSE(CONTROL!$C$42, 51.4769, 51.4769) * CHOOSE(CONTROL!$C$21, $C$9, 100%, $E$9)</f>
        <v>51.476900000000001</v>
      </c>
      <c r="L758" s="14">
        <f>CHOOSE(CONTROL!$C$42, 52.14, 52.14) * CHOOSE(CONTROL!$C$21, $C$9, 100%, $E$9)</f>
        <v>52.14</v>
      </c>
      <c r="M758" s="14">
        <f>CHOOSE(CONTROL!$C$42, 50.9499, 50.9499) * CHOOSE(CONTROL!$C$21, $C$9, 100%, $E$9)</f>
        <v>50.9499</v>
      </c>
      <c r="N758" s="14">
        <f>CHOOSE(CONTROL!$C$42, 50.9657, 50.9657) * CHOOSE(CONTROL!$C$21, $C$9, 100%, $E$9)</f>
        <v>50.965699999999998</v>
      </c>
      <c r="O758" s="14">
        <f>CHOOSE(CONTROL!$C$42, 51.0466, 51.0466) * CHOOSE(CONTROL!$C$21, $C$9, 100%, $E$9)</f>
        <v>51.046599999999998</v>
      </c>
      <c r="P758" s="14">
        <f>CHOOSE(CONTROL!$C$42, 50.9751, 50.9751) * CHOOSE(CONTROL!$C$21, $C$9, 100%, $E$9)</f>
        <v>50.975099999999998</v>
      </c>
      <c r="Q758" s="14">
        <f>CHOOSE(CONTROL!$C$42, 51.6419, 51.6419) * CHOOSE(CONTROL!$C$21, $C$9, 100%, $E$9)</f>
        <v>51.6419</v>
      </c>
      <c r="R758" s="14">
        <f>CHOOSE(CONTROL!$C$42, 52.358, 52.358) * CHOOSE(CONTROL!$C$21, $C$9, 100%, $E$9)</f>
        <v>52.357999999999997</v>
      </c>
      <c r="S758" s="14">
        <f>CHOOSE(CONTROL!$C$42, 49.9715, 49.9715) * CHOOSE(CONTROL!$C$21, $C$9, 100%, $E$9)</f>
        <v>49.971499999999999</v>
      </c>
      <c r="T75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58" s="57">
        <f>(1000*CHOOSE(CONTROL!$C$42, 695, 695)*CHOOSE(CONTROL!$C$42, 0.5599, 0.5599)*CHOOSE(CONTROL!$C$42, 28, 28))/1000000</f>
        <v>10.895653999999999</v>
      </c>
      <c r="V758" s="57">
        <f>(1000*CHOOSE(CONTROL!$C$42, 500, 500)*CHOOSE(CONTROL!$C$42, 0.275, 0.275)*CHOOSE(CONTROL!$C$42, 28, 28))/1000000</f>
        <v>3.85</v>
      </c>
      <c r="W758" s="57">
        <f>(1000*CHOOSE(CONTROL!$C$42, 0.1146, 0.1146)*CHOOSE(CONTROL!$C$42, 121.5, 121.5)*CHOOSE(CONTROL!$C$42, 28, 28))/1000000</f>
        <v>0.38986920000000003</v>
      </c>
      <c r="X758" s="57">
        <f>(28*0.1790888*100000/1000000)+(28*0.2374*100000/1000000)</f>
        <v>1.16616864</v>
      </c>
      <c r="Y758" s="57"/>
      <c r="Z758" s="14"/>
      <c r="AA758" s="56"/>
      <c r="AB758" s="50">
        <f>(B758*122.58+C758*297.941+D758*89.177+E758*40.302+F758*40+G758*160+H758*0+I758*100+J758*300)/(122.58+297.941+89.177+40.302+0+40+160+100+300)</f>
        <v>51.473899806173904</v>
      </c>
      <c r="AC758" s="45">
        <f>(M758*'RAP TEMPLATE-GAS AVAILABILITY'!O757+N758*'RAP TEMPLATE-GAS AVAILABILITY'!P757+O758*'RAP TEMPLATE-GAS AVAILABILITY'!Q757+P758*'RAP TEMPLATE-GAS AVAILABILITY'!R757)/('RAP TEMPLATE-GAS AVAILABILITY'!O757+'RAP TEMPLATE-GAS AVAILABILITY'!P757+'RAP TEMPLATE-GAS AVAILABILITY'!Q757+'RAP TEMPLATE-GAS AVAILABILITY'!R757)</f>
        <v>50.998263309352524</v>
      </c>
    </row>
    <row r="759" spans="1:29" ht="15.75" x14ac:dyDescent="0.25">
      <c r="A759" s="32">
        <v>64009</v>
      </c>
      <c r="B759" s="14">
        <f>CHOOSE(CONTROL!$C$42, 49.9999, 49.9999) * CHOOSE(CONTROL!$C$21, $C$9, 100%, $E$9)</f>
        <v>49.999899999999997</v>
      </c>
      <c r="C759" s="14">
        <f>CHOOSE(CONTROL!$C$42, 50.0049, 50.0049) * CHOOSE(CONTROL!$C$21, $C$9, 100%, $E$9)</f>
        <v>50.004899999999999</v>
      </c>
      <c r="D759" s="14">
        <f>CHOOSE(CONTROL!$C$42, 50.0691, 50.0691) * CHOOSE(CONTROL!$C$21, $C$9, 100%, $E$9)</f>
        <v>50.069099999999999</v>
      </c>
      <c r="E759" s="14">
        <f>CHOOSE(CONTROL!$C$42, 50.1029, 50.1029) * CHOOSE(CONTROL!$C$21, $C$9, 100%, $E$9)</f>
        <v>50.102899999999998</v>
      </c>
      <c r="F759" s="14">
        <f>CHOOSE(CONTROL!$C$42, 50.0012, 50.0012)*CHOOSE(CONTROL!$C$21, $C$9, 100%, $E$9)</f>
        <v>50.001199999999997</v>
      </c>
      <c r="G759" s="14">
        <f>CHOOSE(CONTROL!$C$42, 50.017, 50.017)*CHOOSE(CONTROL!$C$21, $C$9, 100%, $E$9)</f>
        <v>50.017000000000003</v>
      </c>
      <c r="H759" s="14">
        <f>CHOOSE(CONTROL!$C$42, 50.0921, 50.0921) * CHOOSE(CONTROL!$C$21, $C$9, 100%, $E$9)</f>
        <v>50.092100000000002</v>
      </c>
      <c r="I759" s="14">
        <f>CHOOSE(CONTROL!$C$42, 50.0199, 50.0199)* CHOOSE(CONTROL!$C$21, $C$9, 100%, $E$9)</f>
        <v>50.0199</v>
      </c>
      <c r="J759" s="14">
        <f>CHOOSE(CONTROL!$C$42, 49.9942, 49.9942)* CHOOSE(CONTROL!$C$21, $C$9, 100%, $E$9)</f>
        <v>49.994199999999999</v>
      </c>
      <c r="K759" s="53">
        <f>CHOOSE(CONTROL!$C$42, 50.016, 50.016) * CHOOSE(CONTROL!$C$21, $C$9, 100%, $E$9)</f>
        <v>50.015999999999998</v>
      </c>
      <c r="L759" s="14">
        <f>CHOOSE(CONTROL!$C$42, 50.6791, 50.6791) * CHOOSE(CONTROL!$C$21, $C$9, 100%, $E$9)</f>
        <v>50.679099999999998</v>
      </c>
      <c r="M759" s="14">
        <f>CHOOSE(CONTROL!$C$42, 49.5035, 49.5035) * CHOOSE(CONTROL!$C$21, $C$9, 100%, $E$9)</f>
        <v>49.503500000000003</v>
      </c>
      <c r="N759" s="14">
        <f>CHOOSE(CONTROL!$C$42, 49.5191, 49.5191) * CHOOSE(CONTROL!$C$21, $C$9, 100%, $E$9)</f>
        <v>49.519100000000002</v>
      </c>
      <c r="O759" s="14">
        <f>CHOOSE(CONTROL!$C$42, 49.6004, 49.6004) * CHOOSE(CONTROL!$C$21, $C$9, 100%, $E$9)</f>
        <v>49.6004</v>
      </c>
      <c r="P759" s="14">
        <f>CHOOSE(CONTROL!$C$42, 49.529, 49.529) * CHOOSE(CONTROL!$C$21, $C$9, 100%, $E$9)</f>
        <v>49.529000000000003</v>
      </c>
      <c r="Q759" s="14">
        <f>CHOOSE(CONTROL!$C$42, 50.1957, 50.1957) * CHOOSE(CONTROL!$C$21, $C$9, 100%, $E$9)</f>
        <v>50.195700000000002</v>
      </c>
      <c r="R759" s="14">
        <f>CHOOSE(CONTROL!$C$42, 50.9082, 50.9082) * CHOOSE(CONTROL!$C$21, $C$9, 100%, $E$9)</f>
        <v>50.908200000000001</v>
      </c>
      <c r="S759" s="14">
        <f>CHOOSE(CONTROL!$C$42, 48.5528, 48.5528) * CHOOSE(CONTROL!$C$21, $C$9, 100%, $E$9)</f>
        <v>48.552799999999998</v>
      </c>
      <c r="T75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59" s="57">
        <f>(1000*CHOOSE(CONTROL!$C$42, 695, 695)*CHOOSE(CONTROL!$C$42, 0.5599, 0.5599)*CHOOSE(CONTROL!$C$42, 31, 31))/1000000</f>
        <v>12.063045499999998</v>
      </c>
      <c r="V759" s="57">
        <f>(1000*CHOOSE(CONTROL!$C$42, 500, 500)*CHOOSE(CONTROL!$C$42, 0.275, 0.275)*CHOOSE(CONTROL!$C$42, 31, 31))/1000000</f>
        <v>4.2625000000000002</v>
      </c>
      <c r="W759" s="57">
        <f>(1000*CHOOSE(CONTROL!$C$42, 0.1146, 0.1146)*CHOOSE(CONTROL!$C$42, 121.5, 121.5)*CHOOSE(CONTROL!$C$42, 31, 31))/1000000</f>
        <v>0.43164089999999994</v>
      </c>
      <c r="X759" s="57">
        <f>(31*0.1790888*100000/1000000)+(31*0.2374*100000/1000000)</f>
        <v>1.2911152800000001</v>
      </c>
      <c r="Y759" s="57"/>
      <c r="Z759" s="14"/>
      <c r="AA759" s="56"/>
      <c r="AB759" s="50">
        <f>(B759*122.58+C759*297.941+D759*89.177+E759*40.302+F759*40+G759*160+H759*0+I759*100+J759*300)/(122.58+297.941+89.177+40.302+0+40+160+100+300)</f>
        <v>50.012847703826083</v>
      </c>
      <c r="AC759" s="45">
        <f>(M759*'RAP TEMPLATE-GAS AVAILABILITY'!O758+N759*'RAP TEMPLATE-GAS AVAILABILITY'!P758+O759*'RAP TEMPLATE-GAS AVAILABILITY'!Q758+P759*'RAP TEMPLATE-GAS AVAILABILITY'!R758)/('RAP TEMPLATE-GAS AVAILABILITY'!O758+'RAP TEMPLATE-GAS AVAILABILITY'!P758+'RAP TEMPLATE-GAS AVAILABILITY'!Q758+'RAP TEMPLATE-GAS AVAILABILITY'!R758)</f>
        <v>49.551985611510787</v>
      </c>
    </row>
    <row r="760" spans="1:29" ht="15.75" x14ac:dyDescent="0.25">
      <c r="A760" s="32">
        <v>64039</v>
      </c>
      <c r="B760" s="14">
        <f>CHOOSE(CONTROL!$C$42, 49.8514, 49.8514) * CHOOSE(CONTROL!$C$21, $C$9, 100%, $E$9)</f>
        <v>49.851399999999998</v>
      </c>
      <c r="C760" s="14">
        <f>CHOOSE(CONTROL!$C$42, 49.8557, 49.8557) * CHOOSE(CONTROL!$C$21, $C$9, 100%, $E$9)</f>
        <v>49.855699999999999</v>
      </c>
      <c r="D760" s="14">
        <f>CHOOSE(CONTROL!$C$42, 50.0565, 50.0565) * CHOOSE(CONTROL!$C$21, $C$9, 100%, $E$9)</f>
        <v>50.0565</v>
      </c>
      <c r="E760" s="14">
        <f>CHOOSE(CONTROL!$C$42, 50.0883, 50.0883) * CHOOSE(CONTROL!$C$21, $C$9, 100%, $E$9)</f>
        <v>50.088299999999997</v>
      </c>
      <c r="F760" s="14">
        <f>CHOOSE(CONTROL!$C$42, 49.836, 49.836)*CHOOSE(CONTROL!$C$21, $C$9, 100%, $E$9)</f>
        <v>49.835999999999999</v>
      </c>
      <c r="G760" s="14">
        <f>CHOOSE(CONTROL!$C$42, 49.8516, 49.8516)*CHOOSE(CONTROL!$C$21, $C$9, 100%, $E$9)</f>
        <v>49.851599999999998</v>
      </c>
      <c r="H760" s="14">
        <f>CHOOSE(CONTROL!$C$42, 50.078, 50.078) * CHOOSE(CONTROL!$C$21, $C$9, 100%, $E$9)</f>
        <v>50.078000000000003</v>
      </c>
      <c r="I760" s="14">
        <f>CHOOSE(CONTROL!$C$42, 49.8641, 49.8641)* CHOOSE(CONTROL!$C$21, $C$9, 100%, $E$9)</f>
        <v>49.864100000000001</v>
      </c>
      <c r="J760" s="14">
        <f>CHOOSE(CONTROL!$C$42, 49.829, 49.829)* CHOOSE(CONTROL!$C$21, $C$9, 100%, $E$9)</f>
        <v>49.829000000000001</v>
      </c>
      <c r="K760" s="53">
        <f>CHOOSE(CONTROL!$C$42, 49.8602, 49.8602) * CHOOSE(CONTROL!$C$21, $C$9, 100%, $E$9)</f>
        <v>49.860199999999999</v>
      </c>
      <c r="L760" s="14">
        <f>CHOOSE(CONTROL!$C$42, 50.665, 50.665) * CHOOSE(CONTROL!$C$21, $C$9, 100%, $E$9)</f>
        <v>50.664999999999999</v>
      </c>
      <c r="M760" s="14">
        <f>CHOOSE(CONTROL!$C$42, 49.3399, 49.3399) * CHOOSE(CONTROL!$C$21, $C$9, 100%, $E$9)</f>
        <v>49.3399</v>
      </c>
      <c r="N760" s="14">
        <f>CHOOSE(CONTROL!$C$42, 49.3554, 49.3554) * CHOOSE(CONTROL!$C$21, $C$9, 100%, $E$9)</f>
        <v>49.355400000000003</v>
      </c>
      <c r="O760" s="14">
        <f>CHOOSE(CONTROL!$C$42, 49.5865, 49.5865) * CHOOSE(CONTROL!$C$21, $C$9, 100%, $E$9)</f>
        <v>49.586500000000001</v>
      </c>
      <c r="P760" s="14">
        <f>CHOOSE(CONTROL!$C$42, 49.3748, 49.3748) * CHOOSE(CONTROL!$C$21, $C$9, 100%, $E$9)</f>
        <v>49.3748</v>
      </c>
      <c r="Q760" s="14">
        <f>CHOOSE(CONTROL!$C$42, 50.1818, 50.1818) * CHOOSE(CONTROL!$C$21, $C$9, 100%, $E$9)</f>
        <v>50.181800000000003</v>
      </c>
      <c r="R760" s="14">
        <f>CHOOSE(CONTROL!$C$42, 50.8942, 50.8942) * CHOOSE(CONTROL!$C$21, $C$9, 100%, $E$9)</f>
        <v>50.894199999999998</v>
      </c>
      <c r="S760" s="14">
        <f>CHOOSE(CONTROL!$C$42, 48.4078, 48.4078) * CHOOSE(CONTROL!$C$21, $C$9, 100%, $E$9)</f>
        <v>48.407800000000002</v>
      </c>
      <c r="T76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60" s="57">
        <f>(1000*CHOOSE(CONTROL!$C$42, 695, 695)*CHOOSE(CONTROL!$C$42, 0.5599, 0.5599)*CHOOSE(CONTROL!$C$42, 30, 30))/1000000</f>
        <v>11.673914999999997</v>
      </c>
      <c r="V760" s="57">
        <f>(1000*CHOOSE(CONTROL!$C$42, 500, 500)*CHOOSE(CONTROL!$C$42, 0.275, 0.275)*CHOOSE(CONTROL!$C$42, 30, 30))/1000000</f>
        <v>4.125</v>
      </c>
      <c r="W760" s="57">
        <f>(1000*CHOOSE(CONTROL!$C$42, 0.1146, 0.1146)*CHOOSE(CONTROL!$C$42, 121.5, 121.5)*CHOOSE(CONTROL!$C$42, 30, 30))/1000000</f>
        <v>0.417717</v>
      </c>
      <c r="X760" s="57">
        <f>(30*0.1790888*245000/1000000)+(30*0.2374*100000/1000000)</f>
        <v>2.0285026799999999</v>
      </c>
      <c r="Y760" s="57"/>
      <c r="Z760" s="14"/>
      <c r="AA760" s="56"/>
      <c r="AB760" s="50">
        <f>(B760*141.293+C760*267.993+D760*115.016+E760*89.698+F760*40+G760*185+H760*0+I760*100+J760*300)/(141.293+267.993+115.016+89.698+0+40+185+100+300)</f>
        <v>49.883653920661814</v>
      </c>
      <c r="AC760" s="45">
        <f>(M760*'RAP TEMPLATE-GAS AVAILABILITY'!O759+N760*'RAP TEMPLATE-GAS AVAILABILITY'!P759+O760*'RAP TEMPLATE-GAS AVAILABILITY'!Q759+P760*'RAP TEMPLATE-GAS AVAILABILITY'!R759)/('RAP TEMPLATE-GAS AVAILABILITY'!O759+'RAP TEMPLATE-GAS AVAILABILITY'!P759+'RAP TEMPLATE-GAS AVAILABILITY'!Q759+'RAP TEMPLATE-GAS AVAILABILITY'!R759)</f>
        <v>49.457582014388493</v>
      </c>
    </row>
    <row r="761" spans="1:29" ht="15.75" x14ac:dyDescent="0.25">
      <c r="A761" s="32">
        <v>64070</v>
      </c>
      <c r="B761" s="14">
        <f>CHOOSE(CONTROL!$C$42, 50.2927, 50.2927) * CHOOSE(CONTROL!$C$21, $C$9, 100%, $E$9)</f>
        <v>50.292700000000004</v>
      </c>
      <c r="C761" s="14">
        <f>CHOOSE(CONTROL!$C$42, 50.3006, 50.3006) * CHOOSE(CONTROL!$C$21, $C$9, 100%, $E$9)</f>
        <v>50.300600000000003</v>
      </c>
      <c r="D761" s="14">
        <f>CHOOSE(CONTROL!$C$42, 50.4982, 50.4982) * CHOOSE(CONTROL!$C$21, $C$9, 100%, $E$9)</f>
        <v>50.498199999999997</v>
      </c>
      <c r="E761" s="14">
        <f>CHOOSE(CONTROL!$C$42, 50.5294, 50.5294) * CHOOSE(CONTROL!$C$21, $C$9, 100%, $E$9)</f>
        <v>50.529400000000003</v>
      </c>
      <c r="F761" s="14">
        <f>CHOOSE(CONTROL!$C$42, 50.2762, 50.2762)*CHOOSE(CONTROL!$C$21, $C$9, 100%, $E$9)</f>
        <v>50.276200000000003</v>
      </c>
      <c r="G761" s="14">
        <f>CHOOSE(CONTROL!$C$42, 50.2922, 50.2922)*CHOOSE(CONTROL!$C$21, $C$9, 100%, $E$9)</f>
        <v>50.292200000000001</v>
      </c>
      <c r="H761" s="14">
        <f>CHOOSE(CONTROL!$C$42, 50.518, 50.518) * CHOOSE(CONTROL!$C$21, $C$9, 100%, $E$9)</f>
        <v>50.518000000000001</v>
      </c>
      <c r="I761" s="14">
        <f>CHOOSE(CONTROL!$C$42, 50.3041, 50.3041)* CHOOSE(CONTROL!$C$21, $C$9, 100%, $E$9)</f>
        <v>50.304099999999998</v>
      </c>
      <c r="J761" s="14">
        <f>CHOOSE(CONTROL!$C$42, 50.2692, 50.2692)* CHOOSE(CONTROL!$C$21, $C$9, 100%, $E$9)</f>
        <v>50.269199999999998</v>
      </c>
      <c r="K761" s="53">
        <f>CHOOSE(CONTROL!$C$42, 50.3002, 50.3002) * CHOOSE(CONTROL!$C$21, $C$9, 100%, $E$9)</f>
        <v>50.300199999999997</v>
      </c>
      <c r="L761" s="14">
        <f>CHOOSE(CONTROL!$C$42, 51.105, 51.105) * CHOOSE(CONTROL!$C$21, $C$9, 100%, $E$9)</f>
        <v>51.104999999999997</v>
      </c>
      <c r="M761" s="14">
        <f>CHOOSE(CONTROL!$C$42, 49.7757, 49.7757) * CHOOSE(CONTROL!$C$21, $C$9, 100%, $E$9)</f>
        <v>49.775700000000001</v>
      </c>
      <c r="N761" s="14">
        <f>CHOOSE(CONTROL!$C$42, 49.7916, 49.7916) * CHOOSE(CONTROL!$C$21, $C$9, 100%, $E$9)</f>
        <v>49.791600000000003</v>
      </c>
      <c r="O761" s="14">
        <f>CHOOSE(CONTROL!$C$42, 50.022, 50.022) * CHOOSE(CONTROL!$C$21, $C$9, 100%, $E$9)</f>
        <v>50.021999999999998</v>
      </c>
      <c r="P761" s="14">
        <f>CHOOSE(CONTROL!$C$42, 49.8103, 49.8103) * CHOOSE(CONTROL!$C$21, $C$9, 100%, $E$9)</f>
        <v>49.810299999999998</v>
      </c>
      <c r="Q761" s="14">
        <f>CHOOSE(CONTROL!$C$42, 50.6173, 50.6173) * CHOOSE(CONTROL!$C$21, $C$9, 100%, $E$9)</f>
        <v>50.6173</v>
      </c>
      <c r="R761" s="14">
        <f>CHOOSE(CONTROL!$C$42, 51.3309, 51.3309) * CHOOSE(CONTROL!$C$21, $C$9, 100%, $E$9)</f>
        <v>51.3309</v>
      </c>
      <c r="S761" s="14">
        <f>CHOOSE(CONTROL!$C$42, 48.835, 48.835) * CHOOSE(CONTROL!$C$21, $C$9, 100%, $E$9)</f>
        <v>48.835000000000001</v>
      </c>
      <c r="T76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61" s="57">
        <f>(1000*CHOOSE(CONTROL!$C$42, 695, 695)*CHOOSE(CONTROL!$C$42, 0.5599, 0.5599)*CHOOSE(CONTROL!$C$42, 31, 31))/1000000</f>
        <v>12.063045499999998</v>
      </c>
      <c r="V761" s="57">
        <f>(1000*CHOOSE(CONTROL!$C$42, 500, 500)*CHOOSE(CONTROL!$C$42, 0.275, 0.275)*CHOOSE(CONTROL!$C$42, 31, 31))/1000000</f>
        <v>4.2625000000000002</v>
      </c>
      <c r="W761" s="57">
        <f>(1000*CHOOSE(CONTROL!$C$42, 0.1146, 0.1146)*CHOOSE(CONTROL!$C$42, 121.5, 121.5)*CHOOSE(CONTROL!$C$42, 31, 31))/1000000</f>
        <v>0.43164089999999994</v>
      </c>
      <c r="X761" s="57">
        <f>(31*0.1790888*245000/1000000)+(31*0.2374*100000/1000000)</f>
        <v>2.0961194359999999</v>
      </c>
      <c r="Y761" s="57"/>
      <c r="Z761" s="14"/>
      <c r="AA761" s="56"/>
      <c r="AB761" s="50">
        <f>(B761*194.205+C761*267.466+D761*133.845+E761*53.484+F761*40+G761*185+H761*0+I761*100+J761*300)/(194.205+267.466+133.845+53.484+0+40+185+100+300)</f>
        <v>50.320655487990585</v>
      </c>
      <c r="AC761" s="45">
        <f>(M761*'RAP TEMPLATE-GAS AVAILABILITY'!O760+N761*'RAP TEMPLATE-GAS AVAILABILITY'!P760+O761*'RAP TEMPLATE-GAS AVAILABILITY'!Q760+P761*'RAP TEMPLATE-GAS AVAILABILITY'!R760)/('RAP TEMPLATE-GAS AVAILABILITY'!O760+'RAP TEMPLATE-GAS AVAILABILITY'!P760+'RAP TEMPLATE-GAS AVAILABILITY'!Q760+'RAP TEMPLATE-GAS AVAILABILITY'!R760)</f>
        <v>49.89322589928058</v>
      </c>
    </row>
    <row r="762" spans="1:29" ht="15.75" x14ac:dyDescent="0.25">
      <c r="A762" s="32">
        <v>64100</v>
      </c>
      <c r="B762" s="14">
        <f>CHOOSE(CONTROL!$C$42, 51.7192, 51.7192) * CHOOSE(CONTROL!$C$21, $C$9, 100%, $E$9)</f>
        <v>51.719200000000001</v>
      </c>
      <c r="C762" s="14">
        <f>CHOOSE(CONTROL!$C$42, 51.7271, 51.7271) * CHOOSE(CONTROL!$C$21, $C$9, 100%, $E$9)</f>
        <v>51.7271</v>
      </c>
      <c r="D762" s="14">
        <f>CHOOSE(CONTROL!$C$42, 51.9247, 51.9247) * CHOOSE(CONTROL!$C$21, $C$9, 100%, $E$9)</f>
        <v>51.924700000000001</v>
      </c>
      <c r="E762" s="14">
        <f>CHOOSE(CONTROL!$C$42, 51.9558, 51.9558) * CHOOSE(CONTROL!$C$21, $C$9, 100%, $E$9)</f>
        <v>51.955800000000004</v>
      </c>
      <c r="F762" s="14">
        <f>CHOOSE(CONTROL!$C$42, 51.703, 51.703)*CHOOSE(CONTROL!$C$21, $C$9, 100%, $E$9)</f>
        <v>51.703000000000003</v>
      </c>
      <c r="G762" s="14">
        <f>CHOOSE(CONTROL!$C$42, 51.7192, 51.7192)*CHOOSE(CONTROL!$C$21, $C$9, 100%, $E$9)</f>
        <v>51.719200000000001</v>
      </c>
      <c r="H762" s="14">
        <f>CHOOSE(CONTROL!$C$42, 51.9445, 51.9445) * CHOOSE(CONTROL!$C$21, $C$9, 100%, $E$9)</f>
        <v>51.944499999999998</v>
      </c>
      <c r="I762" s="14">
        <f>CHOOSE(CONTROL!$C$42, 51.7306, 51.7306)* CHOOSE(CONTROL!$C$21, $C$9, 100%, $E$9)</f>
        <v>51.730600000000003</v>
      </c>
      <c r="J762" s="14">
        <f>CHOOSE(CONTROL!$C$42, 51.696, 51.696)* CHOOSE(CONTROL!$C$21, $C$9, 100%, $E$9)</f>
        <v>51.695999999999998</v>
      </c>
      <c r="K762" s="53">
        <f>CHOOSE(CONTROL!$C$42, 51.7267, 51.7267) * CHOOSE(CONTROL!$C$21, $C$9, 100%, $E$9)</f>
        <v>51.726700000000001</v>
      </c>
      <c r="L762" s="14">
        <f>CHOOSE(CONTROL!$C$42, 52.5315, 52.5315) * CHOOSE(CONTROL!$C$21, $C$9, 100%, $E$9)</f>
        <v>52.531500000000001</v>
      </c>
      <c r="M762" s="14">
        <f>CHOOSE(CONTROL!$C$42, 51.1882, 51.1882) * CHOOSE(CONTROL!$C$21, $C$9, 100%, $E$9)</f>
        <v>51.188200000000002</v>
      </c>
      <c r="N762" s="14">
        <f>CHOOSE(CONTROL!$C$42, 51.2042, 51.2042) * CHOOSE(CONTROL!$C$21, $C$9, 100%, $E$9)</f>
        <v>51.2042</v>
      </c>
      <c r="O762" s="14">
        <f>CHOOSE(CONTROL!$C$42, 51.4341, 51.4341) * CHOOSE(CONTROL!$C$21, $C$9, 100%, $E$9)</f>
        <v>51.434100000000001</v>
      </c>
      <c r="P762" s="14">
        <f>CHOOSE(CONTROL!$C$42, 51.2224, 51.2224) * CHOOSE(CONTROL!$C$21, $C$9, 100%, $E$9)</f>
        <v>51.2224</v>
      </c>
      <c r="Q762" s="14">
        <f>CHOOSE(CONTROL!$C$42, 52.0294, 52.0294) * CHOOSE(CONTROL!$C$21, $C$9, 100%, $E$9)</f>
        <v>52.029400000000003</v>
      </c>
      <c r="R762" s="14">
        <f>CHOOSE(CONTROL!$C$42, 52.7465, 52.7465) * CHOOSE(CONTROL!$C$21, $C$9, 100%, $E$9)</f>
        <v>52.746499999999997</v>
      </c>
      <c r="S762" s="14">
        <f>CHOOSE(CONTROL!$C$42, 50.2203, 50.2203) * CHOOSE(CONTROL!$C$21, $C$9, 100%, $E$9)</f>
        <v>50.220300000000002</v>
      </c>
      <c r="T76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62" s="57">
        <f>(1000*CHOOSE(CONTROL!$C$42, 695, 695)*CHOOSE(CONTROL!$C$42, 0.5599, 0.5599)*CHOOSE(CONTROL!$C$42, 30, 30))/1000000</f>
        <v>11.673914999999997</v>
      </c>
      <c r="V762" s="57">
        <f>(1000*CHOOSE(CONTROL!$C$42, 500, 500)*CHOOSE(CONTROL!$C$42, 0.275, 0.275)*CHOOSE(CONTROL!$C$42, 30, 30))/1000000</f>
        <v>4.125</v>
      </c>
      <c r="W762" s="57">
        <f>(1000*CHOOSE(CONTROL!$C$42, 0.1146, 0.1146)*CHOOSE(CONTROL!$C$42, 121.5, 121.5)*CHOOSE(CONTROL!$C$42, 30, 30))/1000000</f>
        <v>0.417717</v>
      </c>
      <c r="X762" s="57">
        <f>(30*0.1790888*245000/1000000)+(30*0.2374*100000/1000000)</f>
        <v>2.0285026799999999</v>
      </c>
      <c r="Y762" s="57"/>
      <c r="Z762" s="14"/>
      <c r="AA762" s="56"/>
      <c r="AB762" s="50">
        <f>(B762*194.205+C762*267.466+D762*133.845+E762*53.484+F762*40+G762*185+H762*0+I762*100+J762*300)/(194.205+267.466+133.845+53.484+0+40+185+100+300)</f>
        <v>51.747303958634227</v>
      </c>
      <c r="AC762" s="45">
        <f>(M762*'RAP TEMPLATE-GAS AVAILABILITY'!O761+N762*'RAP TEMPLATE-GAS AVAILABILITY'!P761+O762*'RAP TEMPLATE-GAS AVAILABILITY'!Q761+P762*'RAP TEMPLATE-GAS AVAILABILITY'!R761)/('RAP TEMPLATE-GAS AVAILABILITY'!O761+'RAP TEMPLATE-GAS AVAILABILITY'!P761+'RAP TEMPLATE-GAS AVAILABILITY'!Q761+'RAP TEMPLATE-GAS AVAILABILITY'!R761)</f>
        <v>51.305492805755392</v>
      </c>
    </row>
    <row r="763" spans="1:29" ht="15.75" x14ac:dyDescent="0.25">
      <c r="A763" s="32">
        <v>64131</v>
      </c>
      <c r="B763" s="14">
        <f>CHOOSE(CONTROL!$C$42, 50.7271, 50.7271) * CHOOSE(CONTROL!$C$21, $C$9, 100%, $E$9)</f>
        <v>50.7271</v>
      </c>
      <c r="C763" s="14">
        <f>CHOOSE(CONTROL!$C$42, 50.735, 50.735) * CHOOSE(CONTROL!$C$21, $C$9, 100%, $E$9)</f>
        <v>50.734999999999999</v>
      </c>
      <c r="D763" s="14">
        <f>CHOOSE(CONTROL!$C$42, 50.9326, 50.9326) * CHOOSE(CONTROL!$C$21, $C$9, 100%, $E$9)</f>
        <v>50.932600000000001</v>
      </c>
      <c r="E763" s="14">
        <f>CHOOSE(CONTROL!$C$42, 50.9637, 50.9637) * CHOOSE(CONTROL!$C$21, $C$9, 100%, $E$9)</f>
        <v>50.963700000000003</v>
      </c>
      <c r="F763" s="14">
        <f>CHOOSE(CONTROL!$C$42, 50.7113, 50.7113)*CHOOSE(CONTROL!$C$21, $C$9, 100%, $E$9)</f>
        <v>50.711300000000001</v>
      </c>
      <c r="G763" s="14">
        <f>CHOOSE(CONTROL!$C$42, 50.7276, 50.7276)*CHOOSE(CONTROL!$C$21, $C$9, 100%, $E$9)</f>
        <v>50.727600000000002</v>
      </c>
      <c r="H763" s="14">
        <f>CHOOSE(CONTROL!$C$42, 50.9524, 50.9524) * CHOOSE(CONTROL!$C$21, $C$9, 100%, $E$9)</f>
        <v>50.952399999999997</v>
      </c>
      <c r="I763" s="14">
        <f>CHOOSE(CONTROL!$C$42, 50.7384, 50.7384)* CHOOSE(CONTROL!$C$21, $C$9, 100%, $E$9)</f>
        <v>50.738399999999999</v>
      </c>
      <c r="J763" s="14">
        <f>CHOOSE(CONTROL!$C$42, 50.7043, 50.7043)* CHOOSE(CONTROL!$C$21, $C$9, 100%, $E$9)</f>
        <v>50.704300000000003</v>
      </c>
      <c r="K763" s="53">
        <f>CHOOSE(CONTROL!$C$42, 50.7346, 50.7346) * CHOOSE(CONTROL!$C$21, $C$9, 100%, $E$9)</f>
        <v>50.7346</v>
      </c>
      <c r="L763" s="14">
        <f>CHOOSE(CONTROL!$C$42, 51.5394, 51.5394) * CHOOSE(CONTROL!$C$21, $C$9, 100%, $E$9)</f>
        <v>51.539400000000001</v>
      </c>
      <c r="M763" s="14">
        <f>CHOOSE(CONTROL!$C$42, 50.2065, 50.2065) * CHOOSE(CONTROL!$C$21, $C$9, 100%, $E$9)</f>
        <v>50.206499999999998</v>
      </c>
      <c r="N763" s="14">
        <f>CHOOSE(CONTROL!$C$42, 50.2226, 50.2226) * CHOOSE(CONTROL!$C$21, $C$9, 100%, $E$9)</f>
        <v>50.2226</v>
      </c>
      <c r="O763" s="14">
        <f>CHOOSE(CONTROL!$C$42, 50.452, 50.452) * CHOOSE(CONTROL!$C$21, $C$9, 100%, $E$9)</f>
        <v>50.451999999999998</v>
      </c>
      <c r="P763" s="14">
        <f>CHOOSE(CONTROL!$C$42, 50.2403, 50.2403) * CHOOSE(CONTROL!$C$21, $C$9, 100%, $E$9)</f>
        <v>50.240299999999998</v>
      </c>
      <c r="Q763" s="14">
        <f>CHOOSE(CONTROL!$C$42, 51.0473, 51.0473) * CHOOSE(CONTROL!$C$21, $C$9, 100%, $E$9)</f>
        <v>51.0473</v>
      </c>
      <c r="R763" s="14">
        <f>CHOOSE(CONTROL!$C$42, 51.7619, 51.7619) * CHOOSE(CONTROL!$C$21, $C$9, 100%, $E$9)</f>
        <v>51.761899999999997</v>
      </c>
      <c r="S763" s="14">
        <f>CHOOSE(CONTROL!$C$42, 49.2568, 49.2568) * CHOOSE(CONTROL!$C$21, $C$9, 100%, $E$9)</f>
        <v>49.256799999999998</v>
      </c>
      <c r="T76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63" s="57">
        <f>(1000*CHOOSE(CONTROL!$C$42, 695, 695)*CHOOSE(CONTROL!$C$42, 0.5599, 0.5599)*CHOOSE(CONTROL!$C$42, 31, 31))/1000000</f>
        <v>12.063045499999998</v>
      </c>
      <c r="V763" s="57">
        <f>(1000*CHOOSE(CONTROL!$C$42, 500, 500)*CHOOSE(CONTROL!$C$42, 0.275, 0.275)*CHOOSE(CONTROL!$C$42, 31, 31))/1000000</f>
        <v>4.2625000000000002</v>
      </c>
      <c r="W763" s="57">
        <f>(1000*CHOOSE(CONTROL!$C$42, 0.1146, 0.1146)*CHOOSE(CONTROL!$C$42, 121.5, 121.5)*CHOOSE(CONTROL!$C$42, 31, 31))/1000000</f>
        <v>0.43164089999999994</v>
      </c>
      <c r="X763" s="57">
        <f>(31*0.1790888*245000/1000000)+(31*0.2374*100000/1000000)</f>
        <v>2.0961194359999999</v>
      </c>
      <c r="Y763" s="57"/>
      <c r="Z763" s="14"/>
      <c r="AA763" s="56"/>
      <c r="AB763" s="50">
        <f>(B763*194.205+C763*267.466+D763*133.845+E763*53.484+F763*40+G763*185+H763*0+I763*100+J763*300)/(194.205+267.466+133.845+53.484+0+40+185+100+300)</f>
        <v>50.755375465698584</v>
      </c>
      <c r="AC763" s="45">
        <f>(M763*'RAP TEMPLATE-GAS AVAILABILITY'!O762+N763*'RAP TEMPLATE-GAS AVAILABILITY'!P762+O763*'RAP TEMPLATE-GAS AVAILABILITY'!Q762+P763*'RAP TEMPLATE-GAS AVAILABILITY'!R762)/('RAP TEMPLATE-GAS AVAILABILITY'!O762+'RAP TEMPLATE-GAS AVAILABILITY'!P762+'RAP TEMPLATE-GAS AVAILABILITY'!Q762+'RAP TEMPLATE-GAS AVAILABILITY'!R762)</f>
        <v>50.323559712230214</v>
      </c>
    </row>
    <row r="764" spans="1:29" ht="15.75" x14ac:dyDescent="0.25">
      <c r="A764" s="32">
        <v>64162</v>
      </c>
      <c r="B764" s="14">
        <f>CHOOSE(CONTROL!$C$42, 48.2217, 48.2217) * CHOOSE(CONTROL!$C$21, $C$9, 100%, $E$9)</f>
        <v>48.221699999999998</v>
      </c>
      <c r="C764" s="14">
        <f>CHOOSE(CONTROL!$C$42, 48.2296, 48.2296) * CHOOSE(CONTROL!$C$21, $C$9, 100%, $E$9)</f>
        <v>48.229599999999998</v>
      </c>
      <c r="D764" s="14">
        <f>CHOOSE(CONTROL!$C$42, 48.4272, 48.4272) * CHOOSE(CONTROL!$C$21, $C$9, 100%, $E$9)</f>
        <v>48.427199999999999</v>
      </c>
      <c r="E764" s="14">
        <f>CHOOSE(CONTROL!$C$42, 48.4583, 48.4583) * CHOOSE(CONTROL!$C$21, $C$9, 100%, $E$9)</f>
        <v>48.458300000000001</v>
      </c>
      <c r="F764" s="14">
        <f>CHOOSE(CONTROL!$C$42, 48.2061, 48.2061)*CHOOSE(CONTROL!$C$21, $C$9, 100%, $E$9)</f>
        <v>48.206099999999999</v>
      </c>
      <c r="G764" s="14">
        <f>CHOOSE(CONTROL!$C$42, 48.2225, 48.2225)*CHOOSE(CONTROL!$C$21, $C$9, 100%, $E$9)</f>
        <v>48.222499999999997</v>
      </c>
      <c r="H764" s="14">
        <f>CHOOSE(CONTROL!$C$42, 48.4469, 48.4469) * CHOOSE(CONTROL!$C$21, $C$9, 100%, $E$9)</f>
        <v>48.446899999999999</v>
      </c>
      <c r="I764" s="14">
        <f>CHOOSE(CONTROL!$C$42, 48.233, 48.233)* CHOOSE(CONTROL!$C$21, $C$9, 100%, $E$9)</f>
        <v>48.232999999999997</v>
      </c>
      <c r="J764" s="14">
        <f>CHOOSE(CONTROL!$C$42, 48.1991, 48.1991)* CHOOSE(CONTROL!$C$21, $C$9, 100%, $E$9)</f>
        <v>48.199100000000001</v>
      </c>
      <c r="K764" s="53">
        <f>CHOOSE(CONTROL!$C$42, 48.2291, 48.2291) * CHOOSE(CONTROL!$C$21, $C$9, 100%, $E$9)</f>
        <v>48.229100000000003</v>
      </c>
      <c r="L764" s="14">
        <f>CHOOSE(CONTROL!$C$42, 49.0339, 49.0339) * CHOOSE(CONTROL!$C$21, $C$9, 100%, $E$9)</f>
        <v>49.033900000000003</v>
      </c>
      <c r="M764" s="14">
        <f>CHOOSE(CONTROL!$C$42, 47.7265, 47.7265) * CHOOSE(CONTROL!$C$21, $C$9, 100%, $E$9)</f>
        <v>47.726500000000001</v>
      </c>
      <c r="N764" s="14">
        <f>CHOOSE(CONTROL!$C$42, 47.7427, 47.7427) * CHOOSE(CONTROL!$C$21, $C$9, 100%, $E$9)</f>
        <v>47.742699999999999</v>
      </c>
      <c r="O764" s="14">
        <f>CHOOSE(CONTROL!$C$42, 47.9719, 47.9719) * CHOOSE(CONTROL!$C$21, $C$9, 100%, $E$9)</f>
        <v>47.971899999999998</v>
      </c>
      <c r="P764" s="14">
        <f>CHOOSE(CONTROL!$C$42, 47.7601, 47.7601) * CHOOSE(CONTROL!$C$21, $C$9, 100%, $E$9)</f>
        <v>47.760100000000001</v>
      </c>
      <c r="Q764" s="14">
        <f>CHOOSE(CONTROL!$C$42, 48.5672, 48.5672) * CHOOSE(CONTROL!$C$21, $C$9, 100%, $E$9)</f>
        <v>48.5672</v>
      </c>
      <c r="R764" s="14">
        <f>CHOOSE(CONTROL!$C$42, 49.2756, 49.2756) * CHOOSE(CONTROL!$C$21, $C$9, 100%, $E$9)</f>
        <v>49.275599999999997</v>
      </c>
      <c r="S764" s="14">
        <f>CHOOSE(CONTROL!$C$42, 46.8238, 46.8238) * CHOOSE(CONTROL!$C$21, $C$9, 100%, $E$9)</f>
        <v>46.823799999999999</v>
      </c>
      <c r="T76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64" s="57">
        <f>(1000*CHOOSE(CONTROL!$C$42, 695, 695)*CHOOSE(CONTROL!$C$42, 0.5599, 0.5599)*CHOOSE(CONTROL!$C$42, 31, 31))/1000000</f>
        <v>12.063045499999998</v>
      </c>
      <c r="V764" s="57">
        <f>(1000*CHOOSE(CONTROL!$C$42, 500, 500)*CHOOSE(CONTROL!$C$42, 0.275, 0.275)*CHOOSE(CONTROL!$C$42, 31, 31))/1000000</f>
        <v>4.2625000000000002</v>
      </c>
      <c r="W764" s="57">
        <f>(1000*CHOOSE(CONTROL!$C$42, 0.1146, 0.1146)*CHOOSE(CONTROL!$C$42, 121.5, 121.5)*CHOOSE(CONTROL!$C$42, 31, 31))/1000000</f>
        <v>0.43164089999999994</v>
      </c>
      <c r="X764" s="57">
        <f>(31*0.1790888*245000/1000000)+(31*0.2374*100000/1000000)</f>
        <v>2.0961194359999999</v>
      </c>
      <c r="Y764" s="57"/>
      <c r="Z764" s="14"/>
      <c r="AA764" s="56"/>
      <c r="AB764" s="50">
        <f>(B764*194.205+C764*267.466+D764*133.845+E764*53.484+F764*40+G764*185+H764*0+I764*100+J764*300)/(194.205+267.466+133.845+53.484+0+40+185+100+300)</f>
        <v>48.250072404474096</v>
      </c>
      <c r="AC764" s="45">
        <f>(M764*'RAP TEMPLATE-GAS AVAILABILITY'!O763+N764*'RAP TEMPLATE-GAS AVAILABILITY'!P763+O764*'RAP TEMPLATE-GAS AVAILABILITY'!Q763+P764*'RAP TEMPLATE-GAS AVAILABILITY'!R763)/('RAP TEMPLATE-GAS AVAILABILITY'!O763+'RAP TEMPLATE-GAS AVAILABILITY'!P763+'RAP TEMPLATE-GAS AVAILABILITY'!Q763+'RAP TEMPLATE-GAS AVAILABILITY'!R763)</f>
        <v>47.843491366906484</v>
      </c>
    </row>
    <row r="765" spans="1:29" ht="15.75" x14ac:dyDescent="0.25">
      <c r="A765" s="32">
        <v>64192</v>
      </c>
      <c r="B765" s="14">
        <f>CHOOSE(CONTROL!$C$42, 45.1601, 45.1601) * CHOOSE(CONTROL!$C$21, $C$9, 100%, $E$9)</f>
        <v>45.1601</v>
      </c>
      <c r="C765" s="14">
        <f>CHOOSE(CONTROL!$C$42, 45.1681, 45.1681) * CHOOSE(CONTROL!$C$21, $C$9, 100%, $E$9)</f>
        <v>45.168100000000003</v>
      </c>
      <c r="D765" s="14">
        <f>CHOOSE(CONTROL!$C$42, 45.3656, 45.3656) * CHOOSE(CONTROL!$C$21, $C$9, 100%, $E$9)</f>
        <v>45.365600000000001</v>
      </c>
      <c r="E765" s="14">
        <f>CHOOSE(CONTROL!$C$42, 45.3968, 45.3968) * CHOOSE(CONTROL!$C$21, $C$9, 100%, $E$9)</f>
        <v>45.396799999999999</v>
      </c>
      <c r="F765" s="14">
        <f>CHOOSE(CONTROL!$C$42, 45.1445, 45.1445)*CHOOSE(CONTROL!$C$21, $C$9, 100%, $E$9)</f>
        <v>45.144500000000001</v>
      </c>
      <c r="G765" s="14">
        <f>CHOOSE(CONTROL!$C$42, 45.1609, 45.1609)*CHOOSE(CONTROL!$C$21, $C$9, 100%, $E$9)</f>
        <v>45.160899999999998</v>
      </c>
      <c r="H765" s="14">
        <f>CHOOSE(CONTROL!$C$42, 45.3854, 45.3854) * CHOOSE(CONTROL!$C$21, $C$9, 100%, $E$9)</f>
        <v>45.385399999999997</v>
      </c>
      <c r="I765" s="14">
        <f>CHOOSE(CONTROL!$C$42, 45.1715, 45.1715)* CHOOSE(CONTROL!$C$21, $C$9, 100%, $E$9)</f>
        <v>45.171500000000002</v>
      </c>
      <c r="J765" s="14">
        <f>CHOOSE(CONTROL!$C$42, 45.1375, 45.1375)* CHOOSE(CONTROL!$C$21, $C$9, 100%, $E$9)</f>
        <v>45.137500000000003</v>
      </c>
      <c r="K765" s="53">
        <f>CHOOSE(CONTROL!$C$42, 45.1676, 45.1676) * CHOOSE(CONTROL!$C$21, $C$9, 100%, $E$9)</f>
        <v>45.1676</v>
      </c>
      <c r="L765" s="14">
        <f>CHOOSE(CONTROL!$C$42, 45.9724, 45.9724) * CHOOSE(CONTROL!$C$21, $C$9, 100%, $E$9)</f>
        <v>45.9724</v>
      </c>
      <c r="M765" s="14">
        <f>CHOOSE(CONTROL!$C$42, 44.6958, 44.6958) * CHOOSE(CONTROL!$C$21, $C$9, 100%, $E$9)</f>
        <v>44.695799999999998</v>
      </c>
      <c r="N765" s="14">
        <f>CHOOSE(CONTROL!$C$42, 44.712, 44.712) * CHOOSE(CONTROL!$C$21, $C$9, 100%, $E$9)</f>
        <v>44.712000000000003</v>
      </c>
      <c r="O765" s="14">
        <f>CHOOSE(CONTROL!$C$42, 44.9412, 44.9412) * CHOOSE(CONTROL!$C$21, $C$9, 100%, $E$9)</f>
        <v>44.941200000000002</v>
      </c>
      <c r="P765" s="14">
        <f>CHOOSE(CONTROL!$C$42, 44.7295, 44.7295) * CHOOSE(CONTROL!$C$21, $C$9, 100%, $E$9)</f>
        <v>44.729500000000002</v>
      </c>
      <c r="Q765" s="14">
        <f>CHOOSE(CONTROL!$C$42, 45.5365, 45.5365) * CHOOSE(CONTROL!$C$21, $C$9, 100%, $E$9)</f>
        <v>45.536499999999997</v>
      </c>
      <c r="R765" s="14">
        <f>CHOOSE(CONTROL!$C$42, 46.2374, 46.2374) * CHOOSE(CONTROL!$C$21, $C$9, 100%, $E$9)</f>
        <v>46.237400000000001</v>
      </c>
      <c r="S765" s="14">
        <f>CHOOSE(CONTROL!$C$42, 43.8508, 43.8508) * CHOOSE(CONTROL!$C$21, $C$9, 100%, $E$9)</f>
        <v>43.8508</v>
      </c>
      <c r="T76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65" s="57">
        <f>(1000*CHOOSE(CONTROL!$C$42, 695, 695)*CHOOSE(CONTROL!$C$42, 0.5599, 0.5599)*CHOOSE(CONTROL!$C$42, 30, 30))/1000000</f>
        <v>11.673914999999997</v>
      </c>
      <c r="V765" s="57">
        <f>(1000*CHOOSE(CONTROL!$C$42, 500, 500)*CHOOSE(CONTROL!$C$42, 0.275, 0.275)*CHOOSE(CONTROL!$C$42, 30, 30))/1000000</f>
        <v>4.125</v>
      </c>
      <c r="W765" s="57">
        <f>(1000*CHOOSE(CONTROL!$C$42, 0.1146, 0.1146)*CHOOSE(CONTROL!$C$42, 121.5, 121.5)*CHOOSE(CONTROL!$C$42, 30, 30))/1000000</f>
        <v>0.417717</v>
      </c>
      <c r="X765" s="57">
        <f>(30*0.1790888*245000/1000000)+(30*0.2374*100000/1000000)</f>
        <v>2.0285026799999999</v>
      </c>
      <c r="Y765" s="57"/>
      <c r="Z765" s="14"/>
      <c r="AA765" s="56"/>
      <c r="AB765" s="50">
        <f>(B765*194.205+C765*267.466+D765*133.845+E765*53.484+F765*40+G765*185+H765*0+I765*100+J765*300)/(194.205+267.466+133.845+53.484+0+40+185+100+300)</f>
        <v>45.188505446075354</v>
      </c>
      <c r="AC765" s="45">
        <f>(M765*'RAP TEMPLATE-GAS AVAILABILITY'!O764+N765*'RAP TEMPLATE-GAS AVAILABILITY'!P764+O765*'RAP TEMPLATE-GAS AVAILABILITY'!Q764+P765*'RAP TEMPLATE-GAS AVAILABILITY'!R764)/('RAP TEMPLATE-GAS AVAILABILITY'!O764+'RAP TEMPLATE-GAS AVAILABILITY'!P764+'RAP TEMPLATE-GAS AVAILABILITY'!Q764+'RAP TEMPLATE-GAS AVAILABILITY'!R764)</f>
        <v>44.812805755395686</v>
      </c>
    </row>
    <row r="766" spans="1:29" ht="15.75" x14ac:dyDescent="0.25">
      <c r="A766" s="32">
        <v>64223</v>
      </c>
      <c r="B766" s="14">
        <f>CHOOSE(CONTROL!$C$42, 44.2416, 44.2416) * CHOOSE(CONTROL!$C$21, $C$9, 100%, $E$9)</f>
        <v>44.241599999999998</v>
      </c>
      <c r="C766" s="14">
        <f>CHOOSE(CONTROL!$C$42, 44.2468, 44.2468) * CHOOSE(CONTROL!$C$21, $C$9, 100%, $E$9)</f>
        <v>44.2468</v>
      </c>
      <c r="D766" s="14">
        <f>CHOOSE(CONTROL!$C$42, 44.4493, 44.4493) * CHOOSE(CONTROL!$C$21, $C$9, 100%, $E$9)</f>
        <v>44.449300000000001</v>
      </c>
      <c r="E766" s="14">
        <f>CHOOSE(CONTROL!$C$42, 44.4781, 44.4781) * CHOOSE(CONTROL!$C$21, $C$9, 100%, $E$9)</f>
        <v>44.478099999999998</v>
      </c>
      <c r="F766" s="14">
        <f>CHOOSE(CONTROL!$C$42, 44.2279, 44.2279)*CHOOSE(CONTROL!$C$21, $C$9, 100%, $E$9)</f>
        <v>44.227899999999998</v>
      </c>
      <c r="G766" s="14">
        <f>CHOOSE(CONTROL!$C$42, 44.2439, 44.2439)*CHOOSE(CONTROL!$C$21, $C$9, 100%, $E$9)</f>
        <v>44.243899999999996</v>
      </c>
      <c r="H766" s="14">
        <f>CHOOSE(CONTROL!$C$42, 44.4686, 44.4686) * CHOOSE(CONTROL!$C$21, $C$9, 100%, $E$9)</f>
        <v>44.468600000000002</v>
      </c>
      <c r="I766" s="14">
        <f>CHOOSE(CONTROL!$C$42, 44.2547, 44.2547)* CHOOSE(CONTROL!$C$21, $C$9, 100%, $E$9)</f>
        <v>44.2547</v>
      </c>
      <c r="J766" s="14">
        <f>CHOOSE(CONTROL!$C$42, 44.2209, 44.2209)* CHOOSE(CONTROL!$C$21, $C$9, 100%, $E$9)</f>
        <v>44.2209</v>
      </c>
      <c r="K766" s="53">
        <f>CHOOSE(CONTROL!$C$42, 44.2508, 44.2508) * CHOOSE(CONTROL!$C$21, $C$9, 100%, $E$9)</f>
        <v>44.250799999999998</v>
      </c>
      <c r="L766" s="14">
        <f>CHOOSE(CONTROL!$C$42, 45.0556, 45.0556) * CHOOSE(CONTROL!$C$21, $C$9, 100%, $E$9)</f>
        <v>45.055599999999998</v>
      </c>
      <c r="M766" s="14">
        <f>CHOOSE(CONTROL!$C$42, 43.7885, 43.7885) * CHOOSE(CONTROL!$C$21, $C$9, 100%, $E$9)</f>
        <v>43.788499999999999</v>
      </c>
      <c r="N766" s="14">
        <f>CHOOSE(CONTROL!$C$42, 43.8043, 43.8043) * CHOOSE(CONTROL!$C$21, $C$9, 100%, $E$9)</f>
        <v>43.804299999999998</v>
      </c>
      <c r="O766" s="14">
        <f>CHOOSE(CONTROL!$C$42, 44.0336, 44.0336) * CHOOSE(CONTROL!$C$21, $C$9, 100%, $E$9)</f>
        <v>44.0336</v>
      </c>
      <c r="P766" s="14">
        <f>CHOOSE(CONTROL!$C$42, 43.8219, 43.8219) * CHOOSE(CONTROL!$C$21, $C$9, 100%, $E$9)</f>
        <v>43.821899999999999</v>
      </c>
      <c r="Q766" s="14">
        <f>CHOOSE(CONTROL!$C$42, 44.6289, 44.6289) * CHOOSE(CONTROL!$C$21, $C$9, 100%, $E$9)</f>
        <v>44.628900000000002</v>
      </c>
      <c r="R766" s="14">
        <f>CHOOSE(CONTROL!$C$42, 45.3275, 45.3275) * CHOOSE(CONTROL!$C$21, $C$9, 100%, $E$9)</f>
        <v>45.327500000000001</v>
      </c>
      <c r="S766" s="14">
        <f>CHOOSE(CONTROL!$C$42, 42.9604, 42.9604) * CHOOSE(CONTROL!$C$21, $C$9, 100%, $E$9)</f>
        <v>42.9604</v>
      </c>
      <c r="T76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66" s="57">
        <f>(1000*CHOOSE(CONTROL!$C$42, 695, 695)*CHOOSE(CONTROL!$C$42, 0.5599, 0.5599)*CHOOSE(CONTROL!$C$42, 31, 31))/1000000</f>
        <v>12.063045499999998</v>
      </c>
      <c r="V766" s="57">
        <f>(1000*CHOOSE(CONTROL!$C$42, 500, 500)*CHOOSE(CONTROL!$C$42, 0.275, 0.275)*CHOOSE(CONTROL!$C$42, 31, 31))/1000000</f>
        <v>4.2625000000000002</v>
      </c>
      <c r="W766" s="57">
        <f>(1000*CHOOSE(CONTROL!$C$42, 0.1146, 0.1146)*CHOOSE(CONTROL!$C$42, 121.5, 121.5)*CHOOSE(CONTROL!$C$42, 31, 31))/1000000</f>
        <v>0.43164089999999994</v>
      </c>
      <c r="X766" s="57">
        <f>(31*0.1790888*245000/1000000)+(31*0.2374*100000/1000000)</f>
        <v>2.0961194359999999</v>
      </c>
      <c r="Y766" s="57"/>
      <c r="Z766" s="14"/>
      <c r="AA766" s="56"/>
      <c r="AB766" s="50">
        <f>(B766*131.881+C766*277.167+D766*79.08+E766*125.872+F766*40+G766*185+H766*0+I766*100+J766*300)/(131.881+277.167+79.08+125.872+0+40+185+100+300)</f>
        <v>44.275992584665055</v>
      </c>
      <c r="AC766" s="45">
        <f>(M766*'RAP TEMPLATE-GAS AVAILABILITY'!O765+N766*'RAP TEMPLATE-GAS AVAILABILITY'!P765+O766*'RAP TEMPLATE-GAS AVAILABILITY'!Q765+P766*'RAP TEMPLATE-GAS AVAILABILITY'!R765)/('RAP TEMPLATE-GAS AVAILABILITY'!O765+'RAP TEMPLATE-GAS AVAILABILITY'!P765+'RAP TEMPLATE-GAS AVAILABILITY'!Q765+'RAP TEMPLATE-GAS AVAILABILITY'!R765)</f>
        <v>43.905303597122298</v>
      </c>
    </row>
    <row r="767" spans="1:29" ht="15.75" x14ac:dyDescent="0.25">
      <c r="A767" s="32">
        <v>64253</v>
      </c>
      <c r="B767" s="14">
        <f>CHOOSE(CONTROL!$C$42, 45.4066, 45.4066) * CHOOSE(CONTROL!$C$21, $C$9, 100%, $E$9)</f>
        <v>45.406599999999997</v>
      </c>
      <c r="C767" s="14">
        <f>CHOOSE(CONTROL!$C$42, 45.4115, 45.4115) * CHOOSE(CONTROL!$C$21, $C$9, 100%, $E$9)</f>
        <v>45.411499999999997</v>
      </c>
      <c r="D767" s="14">
        <f>CHOOSE(CONTROL!$C$42, 45.4746, 45.4746) * CHOOSE(CONTROL!$C$21, $C$9, 100%, $E$9)</f>
        <v>45.474600000000002</v>
      </c>
      <c r="E767" s="14">
        <f>CHOOSE(CONTROL!$C$42, 45.5084, 45.5084) * CHOOSE(CONTROL!$C$21, $C$9, 100%, $E$9)</f>
        <v>45.508400000000002</v>
      </c>
      <c r="F767" s="14">
        <f>CHOOSE(CONTROL!$C$42, 45.4073, 45.4073)*CHOOSE(CONTROL!$C$21, $C$9, 100%, $E$9)</f>
        <v>45.407299999999999</v>
      </c>
      <c r="G767" s="14">
        <f>CHOOSE(CONTROL!$C$42, 45.4236, 45.4236)*CHOOSE(CONTROL!$C$21, $C$9, 100%, $E$9)</f>
        <v>45.4236</v>
      </c>
      <c r="H767" s="14">
        <f>CHOOSE(CONTROL!$C$42, 45.4976, 45.4976) * CHOOSE(CONTROL!$C$21, $C$9, 100%, $E$9)</f>
        <v>45.497599999999998</v>
      </c>
      <c r="I767" s="14">
        <f>CHOOSE(CONTROL!$C$42, 45.4201, 45.4201)* CHOOSE(CONTROL!$C$21, $C$9, 100%, $E$9)</f>
        <v>45.420099999999998</v>
      </c>
      <c r="J767" s="14">
        <f>CHOOSE(CONTROL!$C$42, 45.4003, 45.4003)* CHOOSE(CONTROL!$C$21, $C$9, 100%, $E$9)</f>
        <v>45.400300000000001</v>
      </c>
      <c r="K767" s="53">
        <f>CHOOSE(CONTROL!$C$42, 45.4162, 45.4162) * CHOOSE(CONTROL!$C$21, $C$9, 100%, $E$9)</f>
        <v>45.416200000000003</v>
      </c>
      <c r="L767" s="14">
        <f>CHOOSE(CONTROL!$C$42, 46.0846, 46.0846) * CHOOSE(CONTROL!$C$21, $C$9, 100%, $E$9)</f>
        <v>46.084600000000002</v>
      </c>
      <c r="M767" s="14">
        <f>CHOOSE(CONTROL!$C$42, 44.9559, 44.9559) * CHOOSE(CONTROL!$C$21, $C$9, 100%, $E$9)</f>
        <v>44.9559</v>
      </c>
      <c r="N767" s="14">
        <f>CHOOSE(CONTROL!$C$42, 44.9721, 44.9721) * CHOOSE(CONTROL!$C$21, $C$9, 100%, $E$9)</f>
        <v>44.972099999999998</v>
      </c>
      <c r="O767" s="14">
        <f>CHOOSE(CONTROL!$C$42, 45.0523, 45.0523) * CHOOSE(CONTROL!$C$21, $C$9, 100%, $E$9)</f>
        <v>45.052300000000002</v>
      </c>
      <c r="P767" s="14">
        <f>CHOOSE(CONTROL!$C$42, 44.9756, 44.9756) * CHOOSE(CONTROL!$C$21, $C$9, 100%, $E$9)</f>
        <v>44.9756</v>
      </c>
      <c r="Q767" s="14">
        <f>CHOOSE(CONTROL!$C$42, 45.6476, 45.6476) * CHOOSE(CONTROL!$C$21, $C$9, 100%, $E$9)</f>
        <v>45.647599999999997</v>
      </c>
      <c r="R767" s="14">
        <f>CHOOSE(CONTROL!$C$42, 46.3487, 46.3487) * CHOOSE(CONTROL!$C$21, $C$9, 100%, $E$9)</f>
        <v>46.348700000000001</v>
      </c>
      <c r="S767" s="14">
        <f>CHOOSE(CONTROL!$C$42, 44.0922, 44.0922) * CHOOSE(CONTROL!$C$21, $C$9, 100%, $E$9)</f>
        <v>44.092199999999998</v>
      </c>
      <c r="T76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67" s="57">
        <f>(1000*CHOOSE(CONTROL!$C$42, 695, 695)*CHOOSE(CONTROL!$C$42, 0.5599, 0.5599)*CHOOSE(CONTROL!$C$42, 30, 30))/1000000</f>
        <v>11.673914999999997</v>
      </c>
      <c r="V767" s="57">
        <f>(1000*CHOOSE(CONTROL!$C$42, 500, 500)*CHOOSE(CONTROL!$C$42, 0.275, 0.275)*CHOOSE(CONTROL!$C$42, 30, 30))/1000000</f>
        <v>4.125</v>
      </c>
      <c r="W767" s="57">
        <f>(1000*CHOOSE(CONTROL!$C$42, 0.1146, 0.1146)*CHOOSE(CONTROL!$C$42, 121.5, 121.5)*CHOOSE(CONTROL!$C$42, 30, 30))/1000000</f>
        <v>0.417717</v>
      </c>
      <c r="X767" s="57">
        <f>(30*0.1790888*100000/1000000)+(30*0.2374*100000/1000000)</f>
        <v>1.2494664</v>
      </c>
      <c r="Y767" s="57"/>
      <c r="Z767" s="14"/>
      <c r="AA767" s="56"/>
      <c r="AB767" s="50">
        <f>(B767*122.58+C767*297.941+D767*89.177+E767*40.302+F767*40+G767*160+H767*0+I767*100+J767*300)/(122.58+297.941+89.177+40.302+0+40+160+100+300)</f>
        <v>45.418630165652175</v>
      </c>
      <c r="AC767" s="45">
        <f>(M767*'RAP TEMPLATE-GAS AVAILABILITY'!O766+N767*'RAP TEMPLATE-GAS AVAILABILITY'!P766+O767*'RAP TEMPLATE-GAS AVAILABILITY'!Q766+P767*'RAP TEMPLATE-GAS AVAILABILITY'!R766)/('RAP TEMPLATE-GAS AVAILABILITY'!O766+'RAP TEMPLATE-GAS AVAILABILITY'!P766+'RAP TEMPLATE-GAS AVAILABILITY'!Q766+'RAP TEMPLATE-GAS AVAILABILITY'!R766)</f>
        <v>45.003358992805758</v>
      </c>
    </row>
    <row r="768" spans="1:29" ht="15.75" x14ac:dyDescent="0.25">
      <c r="A768" s="32">
        <v>64284</v>
      </c>
      <c r="B768" s="14">
        <f>CHOOSE(CONTROL!$C$42, 48.5022, 48.5022) * CHOOSE(CONTROL!$C$21, $C$9, 100%, $E$9)</f>
        <v>48.502200000000002</v>
      </c>
      <c r="C768" s="14">
        <f>CHOOSE(CONTROL!$C$42, 48.5071, 48.5071) * CHOOSE(CONTROL!$C$21, $C$9, 100%, $E$9)</f>
        <v>48.507100000000001</v>
      </c>
      <c r="D768" s="14">
        <f>CHOOSE(CONTROL!$C$42, 48.5702, 48.5702) * CHOOSE(CONTROL!$C$21, $C$9, 100%, $E$9)</f>
        <v>48.5702</v>
      </c>
      <c r="E768" s="14">
        <f>CHOOSE(CONTROL!$C$42, 48.604, 48.604) * CHOOSE(CONTROL!$C$21, $C$9, 100%, $E$9)</f>
        <v>48.603999999999999</v>
      </c>
      <c r="F768" s="14">
        <f>CHOOSE(CONTROL!$C$42, 48.5049, 48.5049)*CHOOSE(CONTROL!$C$21, $C$9, 100%, $E$9)</f>
        <v>48.504899999999999</v>
      </c>
      <c r="G768" s="14">
        <f>CHOOSE(CONTROL!$C$42, 48.5217, 48.5217)*CHOOSE(CONTROL!$C$21, $C$9, 100%, $E$9)</f>
        <v>48.521700000000003</v>
      </c>
      <c r="H768" s="14">
        <f>CHOOSE(CONTROL!$C$42, 48.5932, 48.5932) * CHOOSE(CONTROL!$C$21, $C$9, 100%, $E$9)</f>
        <v>48.593200000000003</v>
      </c>
      <c r="I768" s="14">
        <f>CHOOSE(CONTROL!$C$42, 48.5157, 48.5157)* CHOOSE(CONTROL!$C$21, $C$9, 100%, $E$9)</f>
        <v>48.515700000000002</v>
      </c>
      <c r="J768" s="14">
        <f>CHOOSE(CONTROL!$C$42, 48.4979, 48.4979)* CHOOSE(CONTROL!$C$21, $C$9, 100%, $E$9)</f>
        <v>48.497900000000001</v>
      </c>
      <c r="K768" s="53">
        <f>CHOOSE(CONTROL!$C$42, 48.5118, 48.5118) * CHOOSE(CONTROL!$C$21, $C$9, 100%, $E$9)</f>
        <v>48.511800000000001</v>
      </c>
      <c r="L768" s="14">
        <f>CHOOSE(CONTROL!$C$42, 49.1802, 49.1802) * CHOOSE(CONTROL!$C$21, $C$9, 100%, $E$9)</f>
        <v>49.180199999999999</v>
      </c>
      <c r="M768" s="14">
        <f>CHOOSE(CONTROL!$C$42, 48.0223, 48.0223) * CHOOSE(CONTROL!$C$21, $C$9, 100%, $E$9)</f>
        <v>48.022300000000001</v>
      </c>
      <c r="N768" s="14">
        <f>CHOOSE(CONTROL!$C$42, 48.039, 48.039) * CHOOSE(CONTROL!$C$21, $C$9, 100%, $E$9)</f>
        <v>48.039000000000001</v>
      </c>
      <c r="O768" s="14">
        <f>CHOOSE(CONTROL!$C$42, 48.1166, 48.1166) * CHOOSE(CONTROL!$C$21, $C$9, 100%, $E$9)</f>
        <v>48.116599999999998</v>
      </c>
      <c r="P768" s="14">
        <f>CHOOSE(CONTROL!$C$42, 48.04, 48.04) * CHOOSE(CONTROL!$C$21, $C$9, 100%, $E$9)</f>
        <v>48.04</v>
      </c>
      <c r="Q768" s="14">
        <f>CHOOSE(CONTROL!$C$42, 48.7119, 48.7119) * CHOOSE(CONTROL!$C$21, $C$9, 100%, $E$9)</f>
        <v>48.7119</v>
      </c>
      <c r="R768" s="14">
        <f>CHOOSE(CONTROL!$C$42, 49.4207, 49.4207) * CHOOSE(CONTROL!$C$21, $C$9, 100%, $E$9)</f>
        <v>49.420699999999997</v>
      </c>
      <c r="S768" s="14">
        <f>CHOOSE(CONTROL!$C$42, 47.0983, 47.0983) * CHOOSE(CONTROL!$C$21, $C$9, 100%, $E$9)</f>
        <v>47.098300000000002</v>
      </c>
      <c r="T76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68" s="57">
        <f>(1000*CHOOSE(CONTROL!$C$42, 695, 695)*CHOOSE(CONTROL!$C$42, 0.5599, 0.5599)*CHOOSE(CONTROL!$C$42, 31, 31))/1000000</f>
        <v>12.063045499999998</v>
      </c>
      <c r="V768" s="57">
        <f>(1000*CHOOSE(CONTROL!$C$42, 500, 500)*CHOOSE(CONTROL!$C$42, 0.275, 0.275)*CHOOSE(CONTROL!$C$42, 31, 31))/1000000</f>
        <v>4.2625000000000002</v>
      </c>
      <c r="W768" s="57">
        <f>(1000*CHOOSE(CONTROL!$C$42, 0.1146, 0.1146)*CHOOSE(CONTROL!$C$42, 121.5, 121.5)*CHOOSE(CONTROL!$C$42, 31, 31))/1000000</f>
        <v>0.43164089999999994</v>
      </c>
      <c r="X768" s="57">
        <f>(31*0.1790888*100000/1000000)+(31*0.2374*100000/1000000)</f>
        <v>1.2911152800000001</v>
      </c>
      <c r="Y768" s="57"/>
      <c r="Z768" s="14"/>
      <c r="AA768" s="56"/>
      <c r="AB768" s="50">
        <f>(B768*122.58+C768*297.941+D768*89.177+E768*40.302+F768*40+G768*160+H768*0+I768*100+J768*300)/(122.58+297.941+89.177+40.302+0+40+160+100+300)</f>
        <v>48.51516929608696</v>
      </c>
      <c r="AC768" s="45">
        <f>(M768*'RAP TEMPLATE-GAS AVAILABILITY'!O767+N768*'RAP TEMPLATE-GAS AVAILABILITY'!P767+O768*'RAP TEMPLATE-GAS AVAILABILITY'!Q767+P768*'RAP TEMPLATE-GAS AVAILABILITY'!R767)/('RAP TEMPLATE-GAS AVAILABILITY'!O767+'RAP TEMPLATE-GAS AVAILABILITY'!P767+'RAP TEMPLATE-GAS AVAILABILITY'!Q767+'RAP TEMPLATE-GAS AVAILABILITY'!R767)</f>
        <v>48.068548201438851</v>
      </c>
    </row>
    <row r="769" spans="1:29" ht="15.75" x14ac:dyDescent="0.25">
      <c r="A769" s="32">
        <v>64315</v>
      </c>
      <c r="B769" s="14">
        <f>CHOOSE(CONTROL!$C$42, 52.4761, 52.4761) * CHOOSE(CONTROL!$C$21, $C$9, 100%, $E$9)</f>
        <v>52.476100000000002</v>
      </c>
      <c r="C769" s="14">
        <f>CHOOSE(CONTROL!$C$42, 52.481, 52.481) * CHOOSE(CONTROL!$C$21, $C$9, 100%, $E$9)</f>
        <v>52.481000000000002</v>
      </c>
      <c r="D769" s="14">
        <f>CHOOSE(CONTROL!$C$42, 52.5453, 52.5453) * CHOOSE(CONTROL!$C$21, $C$9, 100%, $E$9)</f>
        <v>52.545299999999997</v>
      </c>
      <c r="E769" s="14">
        <f>CHOOSE(CONTROL!$C$42, 52.5791, 52.5791) * CHOOSE(CONTROL!$C$21, $C$9, 100%, $E$9)</f>
        <v>52.579099999999997</v>
      </c>
      <c r="F769" s="14">
        <f>CHOOSE(CONTROL!$C$42, 52.4776, 52.4776)*CHOOSE(CONTROL!$C$21, $C$9, 100%, $E$9)</f>
        <v>52.477600000000002</v>
      </c>
      <c r="G769" s="14">
        <f>CHOOSE(CONTROL!$C$42, 52.4935, 52.4935)*CHOOSE(CONTROL!$C$21, $C$9, 100%, $E$9)</f>
        <v>52.493499999999997</v>
      </c>
      <c r="H769" s="14">
        <f>CHOOSE(CONTROL!$C$42, 52.5683, 52.5683) * CHOOSE(CONTROL!$C$21, $C$9, 100%, $E$9)</f>
        <v>52.568300000000001</v>
      </c>
      <c r="I769" s="14">
        <f>CHOOSE(CONTROL!$C$42, 52.496, 52.496)* CHOOSE(CONTROL!$C$21, $C$9, 100%, $E$9)</f>
        <v>52.496000000000002</v>
      </c>
      <c r="J769" s="14">
        <f>CHOOSE(CONTROL!$C$42, 52.4706, 52.4706)* CHOOSE(CONTROL!$C$21, $C$9, 100%, $E$9)</f>
        <v>52.470599999999997</v>
      </c>
      <c r="K769" s="53">
        <f>CHOOSE(CONTROL!$C$42, 52.4921, 52.4921) * CHOOSE(CONTROL!$C$21, $C$9, 100%, $E$9)</f>
        <v>52.492100000000001</v>
      </c>
      <c r="L769" s="14">
        <f>CHOOSE(CONTROL!$C$42, 53.1553, 53.1553) * CHOOSE(CONTROL!$C$21, $C$9, 100%, $E$9)</f>
        <v>53.155299999999997</v>
      </c>
      <c r="M769" s="14">
        <f>CHOOSE(CONTROL!$C$42, 51.9549, 51.9549) * CHOOSE(CONTROL!$C$21, $C$9, 100%, $E$9)</f>
        <v>51.954900000000002</v>
      </c>
      <c r="N769" s="14">
        <f>CHOOSE(CONTROL!$C$42, 51.9706, 51.9706) * CHOOSE(CONTROL!$C$21, $C$9, 100%, $E$9)</f>
        <v>51.970599999999997</v>
      </c>
      <c r="O769" s="14">
        <f>CHOOSE(CONTROL!$C$42, 52.0516, 52.0516) * CHOOSE(CONTROL!$C$21, $C$9, 100%, $E$9)</f>
        <v>52.051600000000001</v>
      </c>
      <c r="P769" s="14">
        <f>CHOOSE(CONTROL!$C$42, 51.9801, 51.9801) * CHOOSE(CONTROL!$C$21, $C$9, 100%, $E$9)</f>
        <v>51.9801</v>
      </c>
      <c r="Q769" s="14">
        <f>CHOOSE(CONTROL!$C$42, 52.6469, 52.6469) * CHOOSE(CONTROL!$C$21, $C$9, 100%, $E$9)</f>
        <v>52.646900000000002</v>
      </c>
      <c r="R769" s="14">
        <f>CHOOSE(CONTROL!$C$42, 53.3655, 53.3655) * CHOOSE(CONTROL!$C$21, $C$9, 100%, $E$9)</f>
        <v>53.365499999999997</v>
      </c>
      <c r="S769" s="14">
        <f>CHOOSE(CONTROL!$C$42, 50.9574, 50.9574) * CHOOSE(CONTROL!$C$21, $C$9, 100%, $E$9)</f>
        <v>50.9574</v>
      </c>
      <c r="T76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69" s="57">
        <f>(1000*CHOOSE(CONTROL!$C$42, 695, 695)*CHOOSE(CONTROL!$C$42, 0.5599, 0.5599)*CHOOSE(CONTROL!$C$42, 31, 31))/1000000</f>
        <v>12.063045499999998</v>
      </c>
      <c r="V769" s="57">
        <f>(1000*CHOOSE(CONTROL!$C$42, 500, 500)*CHOOSE(CONTROL!$C$42, 0.275, 0.275)*CHOOSE(CONTROL!$C$42, 31, 31))/1000000</f>
        <v>4.2625000000000002</v>
      </c>
      <c r="W769" s="57">
        <f>(1000*CHOOSE(CONTROL!$C$42, 0.1146, 0.1146)*CHOOSE(CONTROL!$C$42, 121.5, 121.5)*CHOOSE(CONTROL!$C$42, 31, 31))/1000000</f>
        <v>0.43164089999999994</v>
      </c>
      <c r="X769" s="57">
        <f>(31*0.1790888*100000/1000000)+(31*0.2374*100000/1000000)</f>
        <v>1.2911152800000001</v>
      </c>
      <c r="Y769" s="57"/>
      <c r="Z769" s="14"/>
      <c r="AA769" s="56"/>
      <c r="AB769" s="50">
        <f>(B769*122.58+C769*297.941+D769*89.177+E769*40.302+F769*40+G769*160+H769*0+I769*100+J769*300)/(122.58+297.941+89.177+40.302+0+40+160+100+300)</f>
        <v>52.489113969826086</v>
      </c>
      <c r="AC769" s="45">
        <f>(M769*'RAP TEMPLATE-GAS AVAILABILITY'!O768+N769*'RAP TEMPLATE-GAS AVAILABILITY'!P768+O769*'RAP TEMPLATE-GAS AVAILABILITY'!Q768+P769*'RAP TEMPLATE-GAS AVAILABILITY'!R768)/('RAP TEMPLATE-GAS AVAILABILITY'!O768+'RAP TEMPLATE-GAS AVAILABILITY'!P768+'RAP TEMPLATE-GAS AVAILABILITY'!Q768+'RAP TEMPLATE-GAS AVAILABILITY'!R768)</f>
        <v>52.003257553956836</v>
      </c>
    </row>
    <row r="770" spans="1:29" ht="15.75" x14ac:dyDescent="0.25">
      <c r="A770" s="32">
        <v>64344</v>
      </c>
      <c r="B770" s="14">
        <f>CHOOSE(CONTROL!$C$42, 53.4102, 53.4102) * CHOOSE(CONTROL!$C$21, $C$9, 100%, $E$9)</f>
        <v>53.410200000000003</v>
      </c>
      <c r="C770" s="14">
        <f>CHOOSE(CONTROL!$C$42, 53.4151, 53.4151) * CHOOSE(CONTROL!$C$21, $C$9, 100%, $E$9)</f>
        <v>53.415100000000002</v>
      </c>
      <c r="D770" s="14">
        <f>CHOOSE(CONTROL!$C$42, 53.4794, 53.4794) * CHOOSE(CONTROL!$C$21, $C$9, 100%, $E$9)</f>
        <v>53.479399999999998</v>
      </c>
      <c r="E770" s="14">
        <f>CHOOSE(CONTROL!$C$42, 53.5132, 53.5132) * CHOOSE(CONTROL!$C$21, $C$9, 100%, $E$9)</f>
        <v>53.513199999999998</v>
      </c>
      <c r="F770" s="14">
        <f>CHOOSE(CONTROL!$C$42, 53.4117, 53.4117)*CHOOSE(CONTROL!$C$21, $C$9, 100%, $E$9)</f>
        <v>53.411700000000003</v>
      </c>
      <c r="G770" s="14">
        <f>CHOOSE(CONTROL!$C$42, 53.4277, 53.4277)*CHOOSE(CONTROL!$C$21, $C$9, 100%, $E$9)</f>
        <v>53.427700000000002</v>
      </c>
      <c r="H770" s="14">
        <f>CHOOSE(CONTROL!$C$42, 53.5024, 53.5024) * CHOOSE(CONTROL!$C$21, $C$9, 100%, $E$9)</f>
        <v>53.502400000000002</v>
      </c>
      <c r="I770" s="14">
        <f>CHOOSE(CONTROL!$C$42, 53.4301, 53.4301)* CHOOSE(CONTROL!$C$21, $C$9, 100%, $E$9)</f>
        <v>53.430100000000003</v>
      </c>
      <c r="J770" s="14">
        <f>CHOOSE(CONTROL!$C$42, 53.4047, 53.4047)* CHOOSE(CONTROL!$C$21, $C$9, 100%, $E$9)</f>
        <v>53.404699999999998</v>
      </c>
      <c r="K770" s="53">
        <f>CHOOSE(CONTROL!$C$42, 53.4262, 53.4262) * CHOOSE(CONTROL!$C$21, $C$9, 100%, $E$9)</f>
        <v>53.426200000000001</v>
      </c>
      <c r="L770" s="14">
        <f>CHOOSE(CONTROL!$C$42, 54.0894, 54.0894) * CHOOSE(CONTROL!$C$21, $C$9, 100%, $E$9)</f>
        <v>54.089399999999998</v>
      </c>
      <c r="M770" s="14">
        <f>CHOOSE(CONTROL!$C$42, 52.8796, 52.8796) * CHOOSE(CONTROL!$C$21, $C$9, 100%, $E$9)</f>
        <v>52.879600000000003</v>
      </c>
      <c r="N770" s="14">
        <f>CHOOSE(CONTROL!$C$42, 52.8954, 52.8954) * CHOOSE(CONTROL!$C$21, $C$9, 100%, $E$9)</f>
        <v>52.895400000000002</v>
      </c>
      <c r="O770" s="14">
        <f>CHOOSE(CONTROL!$C$42, 52.9763, 52.9763) * CHOOSE(CONTROL!$C$21, $C$9, 100%, $E$9)</f>
        <v>52.976300000000002</v>
      </c>
      <c r="P770" s="14">
        <f>CHOOSE(CONTROL!$C$42, 52.9048, 52.9048) * CHOOSE(CONTROL!$C$21, $C$9, 100%, $E$9)</f>
        <v>52.904800000000002</v>
      </c>
      <c r="Q770" s="14">
        <f>CHOOSE(CONTROL!$C$42, 53.5716, 53.5716) * CHOOSE(CONTROL!$C$21, $C$9, 100%, $E$9)</f>
        <v>53.571599999999997</v>
      </c>
      <c r="R770" s="14">
        <f>CHOOSE(CONTROL!$C$42, 54.2925, 54.2925) * CHOOSE(CONTROL!$C$21, $C$9, 100%, $E$9)</f>
        <v>54.292499999999997</v>
      </c>
      <c r="S770" s="14">
        <f>CHOOSE(CONTROL!$C$42, 51.8645, 51.8645) * CHOOSE(CONTROL!$C$21, $C$9, 100%, $E$9)</f>
        <v>51.8645</v>
      </c>
      <c r="T77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770" s="57">
        <f>(1000*CHOOSE(CONTROL!$C$42, 695, 695)*CHOOSE(CONTROL!$C$42, 0.5599, 0.5599)*CHOOSE(CONTROL!$C$42, 29, 29))/1000000</f>
        <v>11.284784499999999</v>
      </c>
      <c r="V770" s="57">
        <f>(1000*CHOOSE(CONTROL!$C$42, 500, 500)*CHOOSE(CONTROL!$C$42, 0.275, 0.275)*CHOOSE(CONTROL!$C$42, 29, 29))/1000000</f>
        <v>3.9874999999999998</v>
      </c>
      <c r="W770" s="57">
        <f>(1000*CHOOSE(CONTROL!$C$42, 0.1146, 0.1146)*CHOOSE(CONTROL!$C$42, 121.5, 121.5)*CHOOSE(CONTROL!$C$42, 29, 29))/1000000</f>
        <v>0.40379309999999996</v>
      </c>
      <c r="X770" s="57">
        <f>(29*0.1790888*100000/1000000)+(29*0.2374*100000/1000000)</f>
        <v>1.2078175199999999</v>
      </c>
      <c r="Y770" s="57"/>
      <c r="Z770" s="14"/>
      <c r="AA770" s="56"/>
      <c r="AB770" s="50">
        <f>(B770*122.58+C770*297.941+D770*89.177+E770*40.302+F770*40+G770*160+H770*0+I770*100+J770*300)/(122.58+297.941+89.177+40.302+0+40+160+100+300)</f>
        <v>53.423227882869568</v>
      </c>
      <c r="AC770" s="45">
        <f>(M770*'RAP TEMPLATE-GAS AVAILABILITY'!O769+N770*'RAP TEMPLATE-GAS AVAILABILITY'!P769+O770*'RAP TEMPLATE-GAS AVAILABILITY'!Q769+P770*'RAP TEMPLATE-GAS AVAILABILITY'!R769)/('RAP TEMPLATE-GAS AVAILABILITY'!O769+'RAP TEMPLATE-GAS AVAILABILITY'!P769+'RAP TEMPLATE-GAS AVAILABILITY'!Q769+'RAP TEMPLATE-GAS AVAILABILITY'!R769)</f>
        <v>52.927963309352521</v>
      </c>
    </row>
    <row r="771" spans="1:29" ht="15.75" x14ac:dyDescent="0.25">
      <c r="A771" s="32">
        <v>64375</v>
      </c>
      <c r="B771" s="14">
        <f>CHOOSE(CONTROL!$C$42, 51.8939, 51.8939) * CHOOSE(CONTROL!$C$21, $C$9, 100%, $E$9)</f>
        <v>51.893900000000002</v>
      </c>
      <c r="C771" s="14">
        <f>CHOOSE(CONTROL!$C$42, 51.8988, 51.8988) * CHOOSE(CONTROL!$C$21, $C$9, 100%, $E$9)</f>
        <v>51.898800000000001</v>
      </c>
      <c r="D771" s="14">
        <f>CHOOSE(CONTROL!$C$42, 51.9631, 51.9631) * CHOOSE(CONTROL!$C$21, $C$9, 100%, $E$9)</f>
        <v>51.963099999999997</v>
      </c>
      <c r="E771" s="14">
        <f>CHOOSE(CONTROL!$C$42, 51.9969, 51.9969) * CHOOSE(CONTROL!$C$21, $C$9, 100%, $E$9)</f>
        <v>51.996899999999997</v>
      </c>
      <c r="F771" s="14">
        <f>CHOOSE(CONTROL!$C$42, 51.8951, 51.8951)*CHOOSE(CONTROL!$C$21, $C$9, 100%, $E$9)</f>
        <v>51.895099999999999</v>
      </c>
      <c r="G771" s="14">
        <f>CHOOSE(CONTROL!$C$42, 51.911, 51.911)*CHOOSE(CONTROL!$C$21, $C$9, 100%, $E$9)</f>
        <v>51.911000000000001</v>
      </c>
      <c r="H771" s="14">
        <f>CHOOSE(CONTROL!$C$42, 51.9861, 51.9861) * CHOOSE(CONTROL!$C$21, $C$9, 100%, $E$9)</f>
        <v>51.9861</v>
      </c>
      <c r="I771" s="14">
        <f>CHOOSE(CONTROL!$C$42, 51.9139, 51.9139)* CHOOSE(CONTROL!$C$21, $C$9, 100%, $E$9)</f>
        <v>51.913899999999998</v>
      </c>
      <c r="J771" s="14">
        <f>CHOOSE(CONTROL!$C$42, 51.8881, 51.8881)* CHOOSE(CONTROL!$C$21, $C$9, 100%, $E$9)</f>
        <v>51.888100000000001</v>
      </c>
      <c r="K771" s="53">
        <f>CHOOSE(CONTROL!$C$42, 51.91, 51.91) * CHOOSE(CONTROL!$C$21, $C$9, 100%, $E$9)</f>
        <v>51.91</v>
      </c>
      <c r="L771" s="14">
        <f>CHOOSE(CONTROL!$C$42, 52.5731, 52.5731) * CHOOSE(CONTROL!$C$21, $C$9, 100%, $E$9)</f>
        <v>52.573099999999997</v>
      </c>
      <c r="M771" s="14">
        <f>CHOOSE(CONTROL!$C$42, 51.3783, 51.3783) * CHOOSE(CONTROL!$C$21, $C$9, 100%, $E$9)</f>
        <v>51.378300000000003</v>
      </c>
      <c r="N771" s="14">
        <f>CHOOSE(CONTROL!$C$42, 51.394, 51.394) * CHOOSE(CONTROL!$C$21, $C$9, 100%, $E$9)</f>
        <v>51.393999999999998</v>
      </c>
      <c r="O771" s="14">
        <f>CHOOSE(CONTROL!$C$42, 51.4753, 51.4753) * CHOOSE(CONTROL!$C$21, $C$9, 100%, $E$9)</f>
        <v>51.475299999999997</v>
      </c>
      <c r="P771" s="14">
        <f>CHOOSE(CONTROL!$C$42, 51.4038, 51.4038) * CHOOSE(CONTROL!$C$21, $C$9, 100%, $E$9)</f>
        <v>51.403799999999997</v>
      </c>
      <c r="Q771" s="14">
        <f>CHOOSE(CONTROL!$C$42, 52.0706, 52.0706) * CHOOSE(CONTROL!$C$21, $C$9, 100%, $E$9)</f>
        <v>52.070599999999999</v>
      </c>
      <c r="R771" s="14">
        <f>CHOOSE(CONTROL!$C$42, 52.7878, 52.7878) * CHOOSE(CONTROL!$C$21, $C$9, 100%, $E$9)</f>
        <v>52.787799999999997</v>
      </c>
      <c r="S771" s="14">
        <f>CHOOSE(CONTROL!$C$42, 50.392, 50.392) * CHOOSE(CONTROL!$C$21, $C$9, 100%, $E$9)</f>
        <v>50.392000000000003</v>
      </c>
      <c r="T77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71" s="57">
        <f>(1000*CHOOSE(CONTROL!$C$42, 695, 695)*CHOOSE(CONTROL!$C$42, 0.5599, 0.5599)*CHOOSE(CONTROL!$C$42, 31, 31))/1000000</f>
        <v>12.063045499999998</v>
      </c>
      <c r="V771" s="57">
        <f>(1000*CHOOSE(CONTROL!$C$42, 500, 500)*CHOOSE(CONTROL!$C$42, 0.275, 0.275)*CHOOSE(CONTROL!$C$42, 31, 31))/1000000</f>
        <v>4.2625000000000002</v>
      </c>
      <c r="W771" s="57">
        <f>(1000*CHOOSE(CONTROL!$C$42, 0.1146, 0.1146)*CHOOSE(CONTROL!$C$42, 121.5, 121.5)*CHOOSE(CONTROL!$C$42, 31, 31))/1000000</f>
        <v>0.43164089999999994</v>
      </c>
      <c r="X771" s="57">
        <f>(31*0.1790888*100000/1000000)+(31*0.2374*100000/1000000)</f>
        <v>1.2911152800000001</v>
      </c>
      <c r="Y771" s="57"/>
      <c r="Z771" s="14"/>
      <c r="AA771" s="56"/>
      <c r="AB771" s="50">
        <f>(B771*122.58+C771*297.941+D771*89.177+E771*40.302+F771*40+G771*160+H771*0+I771*100+J771*300)/(122.58+297.941+89.177+40.302+0+40+160+100+300)</f>
        <v>51.90679223069565</v>
      </c>
      <c r="AC771" s="45">
        <f>(M771*'RAP TEMPLATE-GAS AVAILABILITY'!O770+N771*'RAP TEMPLATE-GAS AVAILABILITY'!P770+O771*'RAP TEMPLATE-GAS AVAILABILITY'!Q770+P771*'RAP TEMPLATE-GAS AVAILABILITY'!R770)/('RAP TEMPLATE-GAS AVAILABILITY'!O770+'RAP TEMPLATE-GAS AVAILABILITY'!P770+'RAP TEMPLATE-GAS AVAILABILITY'!Q770+'RAP TEMPLATE-GAS AVAILABILITY'!R770)</f>
        <v>51.426836690647484</v>
      </c>
    </row>
    <row r="772" spans="1:29" ht="15.75" x14ac:dyDescent="0.25">
      <c r="A772" s="32">
        <v>64405</v>
      </c>
      <c r="B772" s="14">
        <f>CHOOSE(CONTROL!$C$42, 51.7397, 51.7397) * CHOOSE(CONTROL!$C$21, $C$9, 100%, $E$9)</f>
        <v>51.739699999999999</v>
      </c>
      <c r="C772" s="14">
        <f>CHOOSE(CONTROL!$C$42, 51.7441, 51.7441) * CHOOSE(CONTROL!$C$21, $C$9, 100%, $E$9)</f>
        <v>51.744100000000003</v>
      </c>
      <c r="D772" s="14">
        <f>CHOOSE(CONTROL!$C$42, 51.9448, 51.9448) * CHOOSE(CONTROL!$C$21, $C$9, 100%, $E$9)</f>
        <v>51.944800000000001</v>
      </c>
      <c r="E772" s="14">
        <f>CHOOSE(CONTROL!$C$42, 51.9766, 51.9766) * CHOOSE(CONTROL!$C$21, $C$9, 100%, $E$9)</f>
        <v>51.976599999999998</v>
      </c>
      <c r="F772" s="14">
        <f>CHOOSE(CONTROL!$C$42, 51.7243, 51.7243)*CHOOSE(CONTROL!$C$21, $C$9, 100%, $E$9)</f>
        <v>51.724299999999999</v>
      </c>
      <c r="G772" s="14">
        <f>CHOOSE(CONTROL!$C$42, 51.7399, 51.7399)*CHOOSE(CONTROL!$C$21, $C$9, 100%, $E$9)</f>
        <v>51.739899999999999</v>
      </c>
      <c r="H772" s="14">
        <f>CHOOSE(CONTROL!$C$42, 51.9663, 51.9663) * CHOOSE(CONTROL!$C$21, $C$9, 100%, $E$9)</f>
        <v>51.966299999999997</v>
      </c>
      <c r="I772" s="14">
        <f>CHOOSE(CONTROL!$C$42, 51.7524, 51.7524)* CHOOSE(CONTROL!$C$21, $C$9, 100%, $E$9)</f>
        <v>51.752400000000002</v>
      </c>
      <c r="J772" s="14">
        <f>CHOOSE(CONTROL!$C$42, 51.7173, 51.7173)* CHOOSE(CONTROL!$C$21, $C$9, 100%, $E$9)</f>
        <v>51.717300000000002</v>
      </c>
      <c r="K772" s="53">
        <f>CHOOSE(CONTROL!$C$42, 51.7486, 51.7486) * CHOOSE(CONTROL!$C$21, $C$9, 100%, $E$9)</f>
        <v>51.748600000000003</v>
      </c>
      <c r="L772" s="14">
        <f>CHOOSE(CONTROL!$C$42, 52.5533, 52.5533) * CHOOSE(CONTROL!$C$21, $C$9, 100%, $E$9)</f>
        <v>52.5533</v>
      </c>
      <c r="M772" s="14">
        <f>CHOOSE(CONTROL!$C$42, 51.2092, 51.2092) * CHOOSE(CONTROL!$C$21, $C$9, 100%, $E$9)</f>
        <v>51.209200000000003</v>
      </c>
      <c r="N772" s="14">
        <f>CHOOSE(CONTROL!$C$42, 51.2246, 51.2246) * CHOOSE(CONTROL!$C$21, $C$9, 100%, $E$9)</f>
        <v>51.224600000000002</v>
      </c>
      <c r="O772" s="14">
        <f>CHOOSE(CONTROL!$C$42, 51.4557, 51.4557) * CHOOSE(CONTROL!$C$21, $C$9, 100%, $E$9)</f>
        <v>51.4557</v>
      </c>
      <c r="P772" s="14">
        <f>CHOOSE(CONTROL!$C$42, 51.244, 51.244) * CHOOSE(CONTROL!$C$21, $C$9, 100%, $E$9)</f>
        <v>51.244</v>
      </c>
      <c r="Q772" s="14">
        <f>CHOOSE(CONTROL!$C$42, 52.051, 52.051) * CHOOSE(CONTROL!$C$21, $C$9, 100%, $E$9)</f>
        <v>52.051000000000002</v>
      </c>
      <c r="R772" s="14">
        <f>CHOOSE(CONTROL!$C$42, 52.7682, 52.7682) * CHOOSE(CONTROL!$C$21, $C$9, 100%, $E$9)</f>
        <v>52.7682</v>
      </c>
      <c r="S772" s="14">
        <f>CHOOSE(CONTROL!$C$42, 50.2415, 50.2415) * CHOOSE(CONTROL!$C$21, $C$9, 100%, $E$9)</f>
        <v>50.241500000000002</v>
      </c>
      <c r="T77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72" s="57">
        <f>(1000*CHOOSE(CONTROL!$C$42, 695, 695)*CHOOSE(CONTROL!$C$42, 0.5599, 0.5599)*CHOOSE(CONTROL!$C$42, 30, 30))/1000000</f>
        <v>11.673914999999997</v>
      </c>
      <c r="V772" s="57">
        <f>(1000*CHOOSE(CONTROL!$C$42, 500, 500)*CHOOSE(CONTROL!$C$42, 0.275, 0.275)*CHOOSE(CONTROL!$C$42, 30, 30))/1000000</f>
        <v>4.125</v>
      </c>
      <c r="W772" s="57">
        <f>(1000*CHOOSE(CONTROL!$C$42, 0.1146, 0.1146)*CHOOSE(CONTROL!$C$42, 121.5, 121.5)*CHOOSE(CONTROL!$C$42, 30, 30))/1000000</f>
        <v>0.417717</v>
      </c>
      <c r="X772" s="57">
        <f>(30*0.1790888*245000/1000000)+(30*0.2374*100000/1000000)</f>
        <v>2.0285026799999999</v>
      </c>
      <c r="Y772" s="57"/>
      <c r="Z772" s="14"/>
      <c r="AA772" s="56"/>
      <c r="AB772" s="50">
        <f>(B772*141.293+C772*267.993+D772*115.016+E772*89.698+F772*40+G772*185+H772*0+I772*100+J772*300)/(141.293+267.993+115.016+89.698+0+40+185+100+300)</f>
        <v>51.771975550443912</v>
      </c>
      <c r="AC772" s="45">
        <f>(M772*'RAP TEMPLATE-GAS AVAILABILITY'!O771+N772*'RAP TEMPLATE-GAS AVAILABILITY'!P771+O772*'RAP TEMPLATE-GAS AVAILABILITY'!Q771+P772*'RAP TEMPLATE-GAS AVAILABILITY'!R771)/('RAP TEMPLATE-GAS AVAILABILITY'!O771+'RAP TEMPLATE-GAS AVAILABILITY'!P771+'RAP TEMPLATE-GAS AVAILABILITY'!Q771+'RAP TEMPLATE-GAS AVAILABILITY'!R771)</f>
        <v>51.326816546762593</v>
      </c>
    </row>
    <row r="773" spans="1:29" ht="15.75" x14ac:dyDescent="0.25">
      <c r="A773" s="32">
        <v>64436</v>
      </c>
      <c r="B773" s="14">
        <f>CHOOSE(CONTROL!$C$42, 52.1977, 52.1977) * CHOOSE(CONTROL!$C$21, $C$9, 100%, $E$9)</f>
        <v>52.197699999999998</v>
      </c>
      <c r="C773" s="14">
        <f>CHOOSE(CONTROL!$C$42, 52.2056, 52.2056) * CHOOSE(CONTROL!$C$21, $C$9, 100%, $E$9)</f>
        <v>52.205599999999997</v>
      </c>
      <c r="D773" s="14">
        <f>CHOOSE(CONTROL!$C$42, 52.4032, 52.4032) * CHOOSE(CONTROL!$C$21, $C$9, 100%, $E$9)</f>
        <v>52.403199999999998</v>
      </c>
      <c r="E773" s="14">
        <f>CHOOSE(CONTROL!$C$42, 52.4343, 52.4343) * CHOOSE(CONTROL!$C$21, $C$9, 100%, $E$9)</f>
        <v>52.4343</v>
      </c>
      <c r="F773" s="14">
        <f>CHOOSE(CONTROL!$C$42, 52.1811, 52.1811)*CHOOSE(CONTROL!$C$21, $C$9, 100%, $E$9)</f>
        <v>52.181100000000001</v>
      </c>
      <c r="G773" s="14">
        <f>CHOOSE(CONTROL!$C$42, 52.1972, 52.1972)*CHOOSE(CONTROL!$C$21, $C$9, 100%, $E$9)</f>
        <v>52.197200000000002</v>
      </c>
      <c r="H773" s="14">
        <f>CHOOSE(CONTROL!$C$42, 52.423, 52.423) * CHOOSE(CONTROL!$C$21, $C$9, 100%, $E$9)</f>
        <v>52.423000000000002</v>
      </c>
      <c r="I773" s="14">
        <f>CHOOSE(CONTROL!$C$42, 52.2091, 52.2091)* CHOOSE(CONTROL!$C$21, $C$9, 100%, $E$9)</f>
        <v>52.209099999999999</v>
      </c>
      <c r="J773" s="14">
        <f>CHOOSE(CONTROL!$C$42, 52.1741, 52.1741)* CHOOSE(CONTROL!$C$21, $C$9, 100%, $E$9)</f>
        <v>52.174100000000003</v>
      </c>
      <c r="K773" s="53">
        <f>CHOOSE(CONTROL!$C$42, 52.2052, 52.2052) * CHOOSE(CONTROL!$C$21, $C$9, 100%, $E$9)</f>
        <v>52.205199999999998</v>
      </c>
      <c r="L773" s="14">
        <f>CHOOSE(CONTROL!$C$42, 53.01, 53.01) * CHOOSE(CONTROL!$C$21, $C$9, 100%, $E$9)</f>
        <v>53.01</v>
      </c>
      <c r="M773" s="14">
        <f>CHOOSE(CONTROL!$C$42, 51.6614, 51.6614) * CHOOSE(CONTROL!$C$21, $C$9, 100%, $E$9)</f>
        <v>51.6614</v>
      </c>
      <c r="N773" s="14">
        <f>CHOOSE(CONTROL!$C$42, 51.6773, 51.6773) * CHOOSE(CONTROL!$C$21, $C$9, 100%, $E$9)</f>
        <v>51.677300000000002</v>
      </c>
      <c r="O773" s="14">
        <f>CHOOSE(CONTROL!$C$42, 51.9078, 51.9078) * CHOOSE(CONTROL!$C$21, $C$9, 100%, $E$9)</f>
        <v>51.907800000000002</v>
      </c>
      <c r="P773" s="14">
        <f>CHOOSE(CONTROL!$C$42, 51.6961, 51.6961) * CHOOSE(CONTROL!$C$21, $C$9, 100%, $E$9)</f>
        <v>51.696100000000001</v>
      </c>
      <c r="Q773" s="14">
        <f>CHOOSE(CONTROL!$C$42, 52.5031, 52.5031) * CHOOSE(CONTROL!$C$21, $C$9, 100%, $E$9)</f>
        <v>52.503100000000003</v>
      </c>
      <c r="R773" s="14">
        <f>CHOOSE(CONTROL!$C$42, 53.2213, 53.2213) * CHOOSE(CONTROL!$C$21, $C$9, 100%, $E$9)</f>
        <v>53.221299999999999</v>
      </c>
      <c r="S773" s="14">
        <f>CHOOSE(CONTROL!$C$42, 50.6849, 50.6849) * CHOOSE(CONTROL!$C$21, $C$9, 100%, $E$9)</f>
        <v>50.684899999999999</v>
      </c>
      <c r="T77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73" s="57">
        <f>(1000*CHOOSE(CONTROL!$C$42, 695, 695)*CHOOSE(CONTROL!$C$42, 0.5599, 0.5599)*CHOOSE(CONTROL!$C$42, 31, 31))/1000000</f>
        <v>12.063045499999998</v>
      </c>
      <c r="V773" s="57">
        <f>(1000*CHOOSE(CONTROL!$C$42, 500, 500)*CHOOSE(CONTROL!$C$42, 0.275, 0.275)*CHOOSE(CONTROL!$C$42, 31, 31))/1000000</f>
        <v>4.2625000000000002</v>
      </c>
      <c r="W773" s="57">
        <f>(1000*CHOOSE(CONTROL!$C$42, 0.1146, 0.1146)*CHOOSE(CONTROL!$C$42, 121.5, 121.5)*CHOOSE(CONTROL!$C$42, 31, 31))/1000000</f>
        <v>0.43164089999999994</v>
      </c>
      <c r="X773" s="57">
        <f>(31*0.1790888*245000/1000000)+(31*0.2374*100000/1000000)</f>
        <v>2.0961194359999999</v>
      </c>
      <c r="Y773" s="57"/>
      <c r="Z773" s="14"/>
      <c r="AA773" s="56"/>
      <c r="AB773" s="50">
        <f>(B773*194.205+C773*267.466+D773*133.845+E773*53.484+F773*40+G773*185+H773*0+I773*100+J773*300)/(194.205+267.466+133.845+53.484+0+40+185+100+300)</f>
        <v>52.225624602276291</v>
      </c>
      <c r="AC773" s="45">
        <f>(M773*'RAP TEMPLATE-GAS AVAILABILITY'!O772+N773*'RAP TEMPLATE-GAS AVAILABILITY'!P772+O773*'RAP TEMPLATE-GAS AVAILABILITY'!Q772+P773*'RAP TEMPLATE-GAS AVAILABILITY'!R772)/('RAP TEMPLATE-GAS AVAILABILITY'!O772+'RAP TEMPLATE-GAS AVAILABILITY'!P772+'RAP TEMPLATE-GAS AVAILABILITY'!Q772+'RAP TEMPLATE-GAS AVAILABILITY'!R772)</f>
        <v>51.778985611510798</v>
      </c>
    </row>
    <row r="774" spans="1:29" ht="15.75" x14ac:dyDescent="0.25">
      <c r="A774" s="32">
        <v>64466</v>
      </c>
      <c r="B774" s="14">
        <f>CHOOSE(CONTROL!$C$42, 53.6782, 53.6782) * CHOOSE(CONTROL!$C$21, $C$9, 100%, $E$9)</f>
        <v>53.678199999999997</v>
      </c>
      <c r="C774" s="14">
        <f>CHOOSE(CONTROL!$C$42, 53.6861, 53.6861) * CHOOSE(CONTROL!$C$21, $C$9, 100%, $E$9)</f>
        <v>53.686100000000003</v>
      </c>
      <c r="D774" s="14">
        <f>CHOOSE(CONTROL!$C$42, 53.8837, 53.8837) * CHOOSE(CONTROL!$C$21, $C$9, 100%, $E$9)</f>
        <v>53.883699999999997</v>
      </c>
      <c r="E774" s="14">
        <f>CHOOSE(CONTROL!$C$42, 53.9148, 53.9148) * CHOOSE(CONTROL!$C$21, $C$9, 100%, $E$9)</f>
        <v>53.9148</v>
      </c>
      <c r="F774" s="14">
        <f>CHOOSE(CONTROL!$C$42, 53.662, 53.662)*CHOOSE(CONTROL!$C$21, $C$9, 100%, $E$9)</f>
        <v>53.661999999999999</v>
      </c>
      <c r="G774" s="14">
        <f>CHOOSE(CONTROL!$C$42, 53.6782, 53.6782)*CHOOSE(CONTROL!$C$21, $C$9, 100%, $E$9)</f>
        <v>53.678199999999997</v>
      </c>
      <c r="H774" s="14">
        <f>CHOOSE(CONTROL!$C$42, 53.9035, 53.9035) * CHOOSE(CONTROL!$C$21, $C$9, 100%, $E$9)</f>
        <v>53.903500000000001</v>
      </c>
      <c r="I774" s="14">
        <f>CHOOSE(CONTROL!$C$42, 53.6896, 53.6896)* CHOOSE(CONTROL!$C$21, $C$9, 100%, $E$9)</f>
        <v>53.689599999999999</v>
      </c>
      <c r="J774" s="14">
        <f>CHOOSE(CONTROL!$C$42, 53.655, 53.655)* CHOOSE(CONTROL!$C$21, $C$9, 100%, $E$9)</f>
        <v>53.655000000000001</v>
      </c>
      <c r="K774" s="53">
        <f>CHOOSE(CONTROL!$C$42, 53.6857, 53.6857) * CHOOSE(CONTROL!$C$21, $C$9, 100%, $E$9)</f>
        <v>53.685699999999997</v>
      </c>
      <c r="L774" s="14">
        <f>CHOOSE(CONTROL!$C$42, 54.4905, 54.4905) * CHOOSE(CONTROL!$C$21, $C$9, 100%, $E$9)</f>
        <v>54.490499999999997</v>
      </c>
      <c r="M774" s="14">
        <f>CHOOSE(CONTROL!$C$42, 53.1274, 53.1274) * CHOOSE(CONTROL!$C$21, $C$9, 100%, $E$9)</f>
        <v>53.127400000000002</v>
      </c>
      <c r="N774" s="14">
        <f>CHOOSE(CONTROL!$C$42, 53.1434, 53.1434) * CHOOSE(CONTROL!$C$21, $C$9, 100%, $E$9)</f>
        <v>53.1434</v>
      </c>
      <c r="O774" s="14">
        <f>CHOOSE(CONTROL!$C$42, 53.3733, 53.3733) * CHOOSE(CONTROL!$C$21, $C$9, 100%, $E$9)</f>
        <v>53.3733</v>
      </c>
      <c r="P774" s="14">
        <f>CHOOSE(CONTROL!$C$42, 53.1616, 53.1616) * CHOOSE(CONTROL!$C$21, $C$9, 100%, $E$9)</f>
        <v>53.1616</v>
      </c>
      <c r="Q774" s="14">
        <f>CHOOSE(CONTROL!$C$42, 53.9686, 53.9686) * CHOOSE(CONTROL!$C$21, $C$9, 100%, $E$9)</f>
        <v>53.968600000000002</v>
      </c>
      <c r="R774" s="14">
        <f>CHOOSE(CONTROL!$C$42, 54.6906, 54.6906) * CHOOSE(CONTROL!$C$21, $C$9, 100%, $E$9)</f>
        <v>54.690600000000003</v>
      </c>
      <c r="S774" s="14">
        <f>CHOOSE(CONTROL!$C$42, 52.1227, 52.1227) * CHOOSE(CONTROL!$C$21, $C$9, 100%, $E$9)</f>
        <v>52.122700000000002</v>
      </c>
      <c r="T77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74" s="57">
        <f>(1000*CHOOSE(CONTROL!$C$42, 695, 695)*CHOOSE(CONTROL!$C$42, 0.5599, 0.5599)*CHOOSE(CONTROL!$C$42, 30, 30))/1000000</f>
        <v>11.673914999999997</v>
      </c>
      <c r="V774" s="57">
        <f>(1000*CHOOSE(CONTROL!$C$42, 500, 500)*CHOOSE(CONTROL!$C$42, 0.275, 0.275)*CHOOSE(CONTROL!$C$42, 30, 30))/1000000</f>
        <v>4.125</v>
      </c>
      <c r="W774" s="57">
        <f>(1000*CHOOSE(CONTROL!$C$42, 0.1146, 0.1146)*CHOOSE(CONTROL!$C$42, 121.5, 121.5)*CHOOSE(CONTROL!$C$42, 30, 30))/1000000</f>
        <v>0.417717</v>
      </c>
      <c r="X774" s="57">
        <f>(30*0.1790888*245000/1000000)+(30*0.2374*100000/1000000)</f>
        <v>2.0285026799999999</v>
      </c>
      <c r="Y774" s="57"/>
      <c r="Z774" s="14"/>
      <c r="AA774" s="56"/>
      <c r="AB774" s="50">
        <f>(B774*194.205+C774*267.466+D774*133.845+E774*53.484+F774*40+G774*185+H774*0+I774*100+J774*300)/(194.205+267.466+133.845+53.484+0+40+185+100+300)</f>
        <v>53.706303958634223</v>
      </c>
      <c r="AC774" s="45">
        <f>(M774*'RAP TEMPLATE-GAS AVAILABILITY'!O773+N774*'RAP TEMPLATE-GAS AVAILABILITY'!P773+O774*'RAP TEMPLATE-GAS AVAILABILITY'!Q773+P774*'RAP TEMPLATE-GAS AVAILABILITY'!R773)/('RAP TEMPLATE-GAS AVAILABILITY'!O773+'RAP TEMPLATE-GAS AVAILABILITY'!P773+'RAP TEMPLATE-GAS AVAILABILITY'!Q773+'RAP TEMPLATE-GAS AVAILABILITY'!R773)</f>
        <v>53.244692805755399</v>
      </c>
    </row>
    <row r="775" spans="1:29" ht="15.75" x14ac:dyDescent="0.25">
      <c r="A775" s="32">
        <v>64497</v>
      </c>
      <c r="B775" s="14">
        <f>CHOOSE(CONTROL!$C$42, 52.6485, 52.6485) * CHOOSE(CONTROL!$C$21, $C$9, 100%, $E$9)</f>
        <v>52.648499999999999</v>
      </c>
      <c r="C775" s="14">
        <f>CHOOSE(CONTROL!$C$42, 52.6564, 52.6564) * CHOOSE(CONTROL!$C$21, $C$9, 100%, $E$9)</f>
        <v>52.656399999999998</v>
      </c>
      <c r="D775" s="14">
        <f>CHOOSE(CONTROL!$C$42, 52.854, 52.854) * CHOOSE(CONTROL!$C$21, $C$9, 100%, $E$9)</f>
        <v>52.853999999999999</v>
      </c>
      <c r="E775" s="14">
        <f>CHOOSE(CONTROL!$C$42, 52.8851, 52.8851) * CHOOSE(CONTROL!$C$21, $C$9, 100%, $E$9)</f>
        <v>52.885100000000001</v>
      </c>
      <c r="F775" s="14">
        <f>CHOOSE(CONTROL!$C$42, 52.6328, 52.6328)*CHOOSE(CONTROL!$C$21, $C$9, 100%, $E$9)</f>
        <v>52.632800000000003</v>
      </c>
      <c r="G775" s="14">
        <f>CHOOSE(CONTROL!$C$42, 52.6491, 52.6491)*CHOOSE(CONTROL!$C$21, $C$9, 100%, $E$9)</f>
        <v>52.649099999999997</v>
      </c>
      <c r="H775" s="14">
        <f>CHOOSE(CONTROL!$C$42, 52.8738, 52.8738) * CHOOSE(CONTROL!$C$21, $C$9, 100%, $E$9)</f>
        <v>52.873800000000003</v>
      </c>
      <c r="I775" s="14">
        <f>CHOOSE(CONTROL!$C$42, 52.6599, 52.6599)* CHOOSE(CONTROL!$C$21, $C$9, 100%, $E$9)</f>
        <v>52.6599</v>
      </c>
      <c r="J775" s="14">
        <f>CHOOSE(CONTROL!$C$42, 52.6258, 52.6258)* CHOOSE(CONTROL!$C$21, $C$9, 100%, $E$9)</f>
        <v>52.625799999999998</v>
      </c>
      <c r="K775" s="53">
        <f>CHOOSE(CONTROL!$C$42, 52.656, 52.656) * CHOOSE(CONTROL!$C$21, $C$9, 100%, $E$9)</f>
        <v>52.655999999999999</v>
      </c>
      <c r="L775" s="14">
        <f>CHOOSE(CONTROL!$C$42, 53.4608, 53.4608) * CHOOSE(CONTROL!$C$21, $C$9, 100%, $E$9)</f>
        <v>53.460799999999999</v>
      </c>
      <c r="M775" s="14">
        <f>CHOOSE(CONTROL!$C$42, 52.1085, 52.1085) * CHOOSE(CONTROL!$C$21, $C$9, 100%, $E$9)</f>
        <v>52.108499999999999</v>
      </c>
      <c r="N775" s="14">
        <f>CHOOSE(CONTROL!$C$42, 52.1246, 52.1246) * CHOOSE(CONTROL!$C$21, $C$9, 100%, $E$9)</f>
        <v>52.124600000000001</v>
      </c>
      <c r="O775" s="14">
        <f>CHOOSE(CONTROL!$C$42, 52.354, 52.354) * CHOOSE(CONTROL!$C$21, $C$9, 100%, $E$9)</f>
        <v>52.353999999999999</v>
      </c>
      <c r="P775" s="14">
        <f>CHOOSE(CONTROL!$C$42, 52.1423, 52.1423) * CHOOSE(CONTROL!$C$21, $C$9, 100%, $E$9)</f>
        <v>52.142299999999999</v>
      </c>
      <c r="Q775" s="14">
        <f>CHOOSE(CONTROL!$C$42, 52.9493, 52.9493) * CHOOSE(CONTROL!$C$21, $C$9, 100%, $E$9)</f>
        <v>52.949300000000001</v>
      </c>
      <c r="R775" s="14">
        <f>CHOOSE(CONTROL!$C$42, 53.6687, 53.6687) * CHOOSE(CONTROL!$C$21, $C$9, 100%, $E$9)</f>
        <v>53.668700000000001</v>
      </c>
      <c r="S775" s="14">
        <f>CHOOSE(CONTROL!$C$42, 51.1227, 51.1227) * CHOOSE(CONTROL!$C$21, $C$9, 100%, $E$9)</f>
        <v>51.122700000000002</v>
      </c>
      <c r="T77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75" s="57">
        <f>(1000*CHOOSE(CONTROL!$C$42, 695, 695)*CHOOSE(CONTROL!$C$42, 0.5599, 0.5599)*CHOOSE(CONTROL!$C$42, 31, 31))/1000000</f>
        <v>12.063045499999998</v>
      </c>
      <c r="V775" s="57">
        <f>(1000*CHOOSE(CONTROL!$C$42, 500, 500)*CHOOSE(CONTROL!$C$42, 0.275, 0.275)*CHOOSE(CONTROL!$C$42, 31, 31))/1000000</f>
        <v>4.2625000000000002</v>
      </c>
      <c r="W775" s="57">
        <f>(1000*CHOOSE(CONTROL!$C$42, 0.1146, 0.1146)*CHOOSE(CONTROL!$C$42, 121.5, 121.5)*CHOOSE(CONTROL!$C$42, 31, 31))/1000000</f>
        <v>0.43164089999999994</v>
      </c>
      <c r="X775" s="57">
        <f>(31*0.1790888*245000/1000000)+(31*0.2374*100000/1000000)</f>
        <v>2.0961194359999999</v>
      </c>
      <c r="Y775" s="57"/>
      <c r="Z775" s="14"/>
      <c r="AA775" s="56"/>
      <c r="AB775" s="50">
        <f>(B775*194.205+C775*267.466+D775*133.845+E775*53.484+F775*40+G775*185+H775*0+I775*100+J775*300)/(194.205+267.466+133.845+53.484+0+40+185+100+300)</f>
        <v>52.67682452378336</v>
      </c>
      <c r="AC775" s="45">
        <f>(M775*'RAP TEMPLATE-GAS AVAILABILITY'!O774+N775*'RAP TEMPLATE-GAS AVAILABILITY'!P774+O775*'RAP TEMPLATE-GAS AVAILABILITY'!Q774+P775*'RAP TEMPLATE-GAS AVAILABILITY'!R774)/('RAP TEMPLATE-GAS AVAILABILITY'!O774+'RAP TEMPLATE-GAS AVAILABILITY'!P774+'RAP TEMPLATE-GAS AVAILABILITY'!Q774+'RAP TEMPLATE-GAS AVAILABILITY'!R774)</f>
        <v>52.225559712230208</v>
      </c>
    </row>
    <row r="776" spans="1:29" ht="15.75" x14ac:dyDescent="0.25">
      <c r="A776" s="32">
        <v>64528</v>
      </c>
      <c r="B776" s="14">
        <f>CHOOSE(CONTROL!$C$42, 50.0482, 50.0482) * CHOOSE(CONTROL!$C$21, $C$9, 100%, $E$9)</f>
        <v>50.048200000000001</v>
      </c>
      <c r="C776" s="14">
        <f>CHOOSE(CONTROL!$C$42, 50.0561, 50.0561) * CHOOSE(CONTROL!$C$21, $C$9, 100%, $E$9)</f>
        <v>50.056100000000001</v>
      </c>
      <c r="D776" s="14">
        <f>CHOOSE(CONTROL!$C$42, 50.2537, 50.2537) * CHOOSE(CONTROL!$C$21, $C$9, 100%, $E$9)</f>
        <v>50.253700000000002</v>
      </c>
      <c r="E776" s="14">
        <f>CHOOSE(CONTROL!$C$42, 50.2848, 50.2848) * CHOOSE(CONTROL!$C$21, $C$9, 100%, $E$9)</f>
        <v>50.284799999999997</v>
      </c>
      <c r="F776" s="14">
        <f>CHOOSE(CONTROL!$C$42, 50.0326, 50.0326)*CHOOSE(CONTROL!$C$21, $C$9, 100%, $E$9)</f>
        <v>50.032600000000002</v>
      </c>
      <c r="G776" s="14">
        <f>CHOOSE(CONTROL!$C$42, 50.049, 50.049)*CHOOSE(CONTROL!$C$21, $C$9, 100%, $E$9)</f>
        <v>50.048999999999999</v>
      </c>
      <c r="H776" s="14">
        <f>CHOOSE(CONTROL!$C$42, 50.2735, 50.2735) * CHOOSE(CONTROL!$C$21, $C$9, 100%, $E$9)</f>
        <v>50.273499999999999</v>
      </c>
      <c r="I776" s="14">
        <f>CHOOSE(CONTROL!$C$42, 50.0596, 50.0596)* CHOOSE(CONTROL!$C$21, $C$9, 100%, $E$9)</f>
        <v>50.059600000000003</v>
      </c>
      <c r="J776" s="14">
        <f>CHOOSE(CONTROL!$C$42, 50.0256, 50.0256)* CHOOSE(CONTROL!$C$21, $C$9, 100%, $E$9)</f>
        <v>50.025599999999997</v>
      </c>
      <c r="K776" s="53">
        <f>CHOOSE(CONTROL!$C$42, 50.0557, 50.0557) * CHOOSE(CONTROL!$C$21, $C$9, 100%, $E$9)</f>
        <v>50.055700000000002</v>
      </c>
      <c r="L776" s="14">
        <f>CHOOSE(CONTROL!$C$42, 50.8605, 50.8605) * CHOOSE(CONTROL!$C$21, $C$9, 100%, $E$9)</f>
        <v>50.860500000000002</v>
      </c>
      <c r="M776" s="14">
        <f>CHOOSE(CONTROL!$C$42, 49.5346, 49.5346) * CHOOSE(CONTROL!$C$21, $C$9, 100%, $E$9)</f>
        <v>49.534599999999998</v>
      </c>
      <c r="N776" s="14">
        <f>CHOOSE(CONTROL!$C$42, 49.5508, 49.5508) * CHOOSE(CONTROL!$C$21, $C$9, 100%, $E$9)</f>
        <v>49.550800000000002</v>
      </c>
      <c r="O776" s="14">
        <f>CHOOSE(CONTROL!$C$42, 49.7799, 49.7799) * CHOOSE(CONTROL!$C$21, $C$9, 100%, $E$9)</f>
        <v>49.779899999999998</v>
      </c>
      <c r="P776" s="14">
        <f>CHOOSE(CONTROL!$C$42, 49.5682, 49.5682) * CHOOSE(CONTROL!$C$21, $C$9, 100%, $E$9)</f>
        <v>49.568199999999997</v>
      </c>
      <c r="Q776" s="14">
        <f>CHOOSE(CONTROL!$C$42, 50.3752, 50.3752) * CHOOSE(CONTROL!$C$21, $C$9, 100%, $E$9)</f>
        <v>50.3752</v>
      </c>
      <c r="R776" s="14">
        <f>CHOOSE(CONTROL!$C$42, 51.0882, 51.0882) * CHOOSE(CONTROL!$C$21, $C$9, 100%, $E$9)</f>
        <v>51.088200000000001</v>
      </c>
      <c r="S776" s="14">
        <f>CHOOSE(CONTROL!$C$42, 48.5976, 48.5976) * CHOOSE(CONTROL!$C$21, $C$9, 100%, $E$9)</f>
        <v>48.5976</v>
      </c>
      <c r="T77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76" s="57">
        <f>(1000*CHOOSE(CONTROL!$C$42, 695, 695)*CHOOSE(CONTROL!$C$42, 0.5599, 0.5599)*CHOOSE(CONTROL!$C$42, 31, 31))/1000000</f>
        <v>12.063045499999998</v>
      </c>
      <c r="V776" s="57">
        <f>(1000*CHOOSE(CONTROL!$C$42, 500, 500)*CHOOSE(CONTROL!$C$42, 0.275, 0.275)*CHOOSE(CONTROL!$C$42, 31, 31))/1000000</f>
        <v>4.2625000000000002</v>
      </c>
      <c r="W776" s="57">
        <f>(1000*CHOOSE(CONTROL!$C$42, 0.1146, 0.1146)*CHOOSE(CONTROL!$C$42, 121.5, 121.5)*CHOOSE(CONTROL!$C$42, 31, 31))/1000000</f>
        <v>0.43164089999999994</v>
      </c>
      <c r="X776" s="57">
        <f>(31*0.1790888*245000/1000000)+(31*0.2374*100000/1000000)</f>
        <v>2.0961194359999999</v>
      </c>
      <c r="Y776" s="57"/>
      <c r="Z776" s="14"/>
      <c r="AA776" s="56"/>
      <c r="AB776" s="50">
        <f>(B776*194.205+C776*267.466+D776*133.845+E776*53.484+F776*40+G776*185+H776*0+I776*100+J776*300)/(194.205+267.466+133.845+53.484+0+40+185+100+300)</f>
        <v>50.076580253767659</v>
      </c>
      <c r="AC776" s="45">
        <f>(M776*'RAP TEMPLATE-GAS AVAILABILITY'!O775+N776*'RAP TEMPLATE-GAS AVAILABILITY'!P775+O776*'RAP TEMPLATE-GAS AVAILABILITY'!Q775+P776*'RAP TEMPLATE-GAS AVAILABILITY'!R775)/('RAP TEMPLATE-GAS AVAILABILITY'!O775+'RAP TEMPLATE-GAS AVAILABILITY'!P775+'RAP TEMPLATE-GAS AVAILABILITY'!Q775+'RAP TEMPLATE-GAS AVAILABILITY'!R775)</f>
        <v>49.651546043165474</v>
      </c>
    </row>
    <row r="777" spans="1:29" ht="15.75" x14ac:dyDescent="0.25">
      <c r="A777" s="32">
        <v>64558</v>
      </c>
      <c r="B777" s="14">
        <f>CHOOSE(CONTROL!$C$42, 46.8707, 46.8707) * CHOOSE(CONTROL!$C$21, $C$9, 100%, $E$9)</f>
        <v>46.870699999999999</v>
      </c>
      <c r="C777" s="14">
        <f>CHOOSE(CONTROL!$C$42, 46.8786, 46.8786) * CHOOSE(CONTROL!$C$21, $C$9, 100%, $E$9)</f>
        <v>46.878599999999999</v>
      </c>
      <c r="D777" s="14">
        <f>CHOOSE(CONTROL!$C$42, 47.0762, 47.0762) * CHOOSE(CONTROL!$C$21, $C$9, 100%, $E$9)</f>
        <v>47.0762</v>
      </c>
      <c r="E777" s="14">
        <f>CHOOSE(CONTROL!$C$42, 47.1073, 47.1073) * CHOOSE(CONTROL!$C$21, $C$9, 100%, $E$9)</f>
        <v>47.107300000000002</v>
      </c>
      <c r="F777" s="14">
        <f>CHOOSE(CONTROL!$C$42, 46.8551, 46.8551)*CHOOSE(CONTROL!$C$21, $C$9, 100%, $E$9)</f>
        <v>46.8551</v>
      </c>
      <c r="G777" s="14">
        <f>CHOOSE(CONTROL!$C$42, 46.8714, 46.8714)*CHOOSE(CONTROL!$C$21, $C$9, 100%, $E$9)</f>
        <v>46.871400000000001</v>
      </c>
      <c r="H777" s="14">
        <f>CHOOSE(CONTROL!$C$42, 47.096, 47.096) * CHOOSE(CONTROL!$C$21, $C$9, 100%, $E$9)</f>
        <v>47.095999999999997</v>
      </c>
      <c r="I777" s="14">
        <f>CHOOSE(CONTROL!$C$42, 46.8821, 46.8821)* CHOOSE(CONTROL!$C$21, $C$9, 100%, $E$9)</f>
        <v>46.882100000000001</v>
      </c>
      <c r="J777" s="14">
        <f>CHOOSE(CONTROL!$C$42, 46.8481, 46.8481)* CHOOSE(CONTROL!$C$21, $C$9, 100%, $E$9)</f>
        <v>46.848100000000002</v>
      </c>
      <c r="K777" s="53">
        <f>CHOOSE(CONTROL!$C$42, 46.8782, 46.8782) * CHOOSE(CONTROL!$C$21, $C$9, 100%, $E$9)</f>
        <v>46.8782</v>
      </c>
      <c r="L777" s="14">
        <f>CHOOSE(CONTROL!$C$42, 47.683, 47.683) * CHOOSE(CONTROL!$C$21, $C$9, 100%, $E$9)</f>
        <v>47.683</v>
      </c>
      <c r="M777" s="14">
        <f>CHOOSE(CONTROL!$C$42, 46.3891, 46.3891) * CHOOSE(CONTROL!$C$21, $C$9, 100%, $E$9)</f>
        <v>46.389099999999999</v>
      </c>
      <c r="N777" s="14">
        <f>CHOOSE(CONTROL!$C$42, 46.4053, 46.4053) * CHOOSE(CONTROL!$C$21, $C$9, 100%, $E$9)</f>
        <v>46.405299999999997</v>
      </c>
      <c r="O777" s="14">
        <f>CHOOSE(CONTROL!$C$42, 46.6345, 46.6345) * CHOOSE(CONTROL!$C$21, $C$9, 100%, $E$9)</f>
        <v>46.634500000000003</v>
      </c>
      <c r="P777" s="14">
        <f>CHOOSE(CONTROL!$C$42, 46.4228, 46.4228) * CHOOSE(CONTROL!$C$21, $C$9, 100%, $E$9)</f>
        <v>46.422800000000002</v>
      </c>
      <c r="Q777" s="14">
        <f>CHOOSE(CONTROL!$C$42, 47.2298, 47.2298) * CHOOSE(CONTROL!$C$21, $C$9, 100%, $E$9)</f>
        <v>47.229799999999997</v>
      </c>
      <c r="R777" s="14">
        <f>CHOOSE(CONTROL!$C$42, 47.9349, 47.9349) * CHOOSE(CONTROL!$C$21, $C$9, 100%, $E$9)</f>
        <v>47.934899999999999</v>
      </c>
      <c r="S777" s="14">
        <f>CHOOSE(CONTROL!$C$42, 45.5119, 45.5119) * CHOOSE(CONTROL!$C$21, $C$9, 100%, $E$9)</f>
        <v>45.511899999999997</v>
      </c>
      <c r="T77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77" s="57">
        <f>(1000*CHOOSE(CONTROL!$C$42, 695, 695)*CHOOSE(CONTROL!$C$42, 0.5599, 0.5599)*CHOOSE(CONTROL!$C$42, 30, 30))/1000000</f>
        <v>11.673914999999997</v>
      </c>
      <c r="V777" s="57">
        <f>(1000*CHOOSE(CONTROL!$C$42, 500, 500)*CHOOSE(CONTROL!$C$42, 0.275, 0.275)*CHOOSE(CONTROL!$C$42, 30, 30))/1000000</f>
        <v>4.125</v>
      </c>
      <c r="W777" s="57">
        <f>(1000*CHOOSE(CONTROL!$C$42, 0.1146, 0.1146)*CHOOSE(CONTROL!$C$42, 121.5, 121.5)*CHOOSE(CONTROL!$C$42, 30, 30))/1000000</f>
        <v>0.417717</v>
      </c>
      <c r="X777" s="57">
        <f>(30*0.1790888*245000/1000000)+(30*0.2374*100000/1000000)</f>
        <v>2.0285026799999999</v>
      </c>
      <c r="Y777" s="57"/>
      <c r="Z777" s="14"/>
      <c r="AA777" s="56"/>
      <c r="AB777" s="50">
        <f>(B777*194.205+C777*267.466+D777*133.845+E777*53.484+F777*40+G777*185+H777*0+I777*100+J777*300)/(194.205+267.466+133.845+53.484+0+40+185+100+300)</f>
        <v>46.89906573257457</v>
      </c>
      <c r="AC777" s="45">
        <f>(M777*'RAP TEMPLATE-GAS AVAILABILITY'!O776+N777*'RAP TEMPLATE-GAS AVAILABILITY'!P776+O777*'RAP TEMPLATE-GAS AVAILABILITY'!Q776+P777*'RAP TEMPLATE-GAS AVAILABILITY'!R776)/('RAP TEMPLATE-GAS AVAILABILITY'!O776+'RAP TEMPLATE-GAS AVAILABILITY'!P776+'RAP TEMPLATE-GAS AVAILABILITY'!Q776+'RAP TEMPLATE-GAS AVAILABILITY'!R776)</f>
        <v>46.50610575539568</v>
      </c>
    </row>
    <row r="778" spans="1:29" ht="15.75" x14ac:dyDescent="0.25">
      <c r="A778" s="32">
        <v>64589</v>
      </c>
      <c r="B778" s="14">
        <f>CHOOSE(CONTROL!$C$42, 45.9174, 45.9174) * CHOOSE(CONTROL!$C$21, $C$9, 100%, $E$9)</f>
        <v>45.917400000000001</v>
      </c>
      <c r="C778" s="14">
        <f>CHOOSE(CONTROL!$C$42, 45.9226, 45.9226) * CHOOSE(CONTROL!$C$21, $C$9, 100%, $E$9)</f>
        <v>45.922600000000003</v>
      </c>
      <c r="D778" s="14">
        <f>CHOOSE(CONTROL!$C$42, 46.1251, 46.1251) * CHOOSE(CONTROL!$C$21, $C$9, 100%, $E$9)</f>
        <v>46.125100000000003</v>
      </c>
      <c r="E778" s="14">
        <f>CHOOSE(CONTROL!$C$42, 46.1539, 46.1539) * CHOOSE(CONTROL!$C$21, $C$9, 100%, $E$9)</f>
        <v>46.1539</v>
      </c>
      <c r="F778" s="14">
        <f>CHOOSE(CONTROL!$C$42, 45.9038, 45.9038)*CHOOSE(CONTROL!$C$21, $C$9, 100%, $E$9)</f>
        <v>45.903799999999997</v>
      </c>
      <c r="G778" s="14">
        <f>CHOOSE(CONTROL!$C$42, 45.9198, 45.9198)*CHOOSE(CONTROL!$C$21, $C$9, 100%, $E$9)</f>
        <v>45.919800000000002</v>
      </c>
      <c r="H778" s="14">
        <f>CHOOSE(CONTROL!$C$42, 46.1444, 46.1444) * CHOOSE(CONTROL!$C$21, $C$9, 100%, $E$9)</f>
        <v>46.144399999999997</v>
      </c>
      <c r="I778" s="14">
        <f>CHOOSE(CONTROL!$C$42, 45.9305, 45.9305)* CHOOSE(CONTROL!$C$21, $C$9, 100%, $E$9)</f>
        <v>45.930500000000002</v>
      </c>
      <c r="J778" s="14">
        <f>CHOOSE(CONTROL!$C$42, 45.8968, 45.8968)* CHOOSE(CONTROL!$C$21, $C$9, 100%, $E$9)</f>
        <v>45.896799999999999</v>
      </c>
      <c r="K778" s="53">
        <f>CHOOSE(CONTROL!$C$42, 45.9266, 45.9266) * CHOOSE(CONTROL!$C$21, $C$9, 100%, $E$9)</f>
        <v>45.926600000000001</v>
      </c>
      <c r="L778" s="14">
        <f>CHOOSE(CONTROL!$C$42, 46.7314, 46.7314) * CHOOSE(CONTROL!$C$21, $C$9, 100%, $E$9)</f>
        <v>46.731400000000001</v>
      </c>
      <c r="M778" s="14">
        <f>CHOOSE(CONTROL!$C$42, 45.4474, 45.4474) * CHOOSE(CONTROL!$C$21, $C$9, 100%, $E$9)</f>
        <v>45.447400000000002</v>
      </c>
      <c r="N778" s="14">
        <f>CHOOSE(CONTROL!$C$42, 45.4632, 45.4632) * CHOOSE(CONTROL!$C$21, $C$9, 100%, $E$9)</f>
        <v>45.463200000000001</v>
      </c>
      <c r="O778" s="14">
        <f>CHOOSE(CONTROL!$C$42, 45.6926, 45.6926) * CHOOSE(CONTROL!$C$21, $C$9, 100%, $E$9)</f>
        <v>45.692599999999999</v>
      </c>
      <c r="P778" s="14">
        <f>CHOOSE(CONTROL!$C$42, 45.4809, 45.4809) * CHOOSE(CONTROL!$C$21, $C$9, 100%, $E$9)</f>
        <v>45.480899999999998</v>
      </c>
      <c r="Q778" s="14">
        <f>CHOOSE(CONTROL!$C$42, 46.2879, 46.2879) * CHOOSE(CONTROL!$C$21, $C$9, 100%, $E$9)</f>
        <v>46.2879</v>
      </c>
      <c r="R778" s="14">
        <f>CHOOSE(CONTROL!$C$42, 46.9906, 46.9906) * CHOOSE(CONTROL!$C$21, $C$9, 100%, $E$9)</f>
        <v>46.990600000000001</v>
      </c>
      <c r="S778" s="14">
        <f>CHOOSE(CONTROL!$C$42, 44.5878, 44.5878) * CHOOSE(CONTROL!$C$21, $C$9, 100%, $E$9)</f>
        <v>44.587800000000001</v>
      </c>
      <c r="T77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78" s="57">
        <f>(1000*CHOOSE(CONTROL!$C$42, 695, 695)*CHOOSE(CONTROL!$C$42, 0.5599, 0.5599)*CHOOSE(CONTROL!$C$42, 31, 31))/1000000</f>
        <v>12.063045499999998</v>
      </c>
      <c r="V778" s="57">
        <f>(1000*CHOOSE(CONTROL!$C$42, 500, 500)*CHOOSE(CONTROL!$C$42, 0.275, 0.275)*CHOOSE(CONTROL!$C$42, 31, 31))/1000000</f>
        <v>4.2625000000000002</v>
      </c>
      <c r="W778" s="57">
        <f>(1000*CHOOSE(CONTROL!$C$42, 0.1146, 0.1146)*CHOOSE(CONTROL!$C$42, 121.5, 121.5)*CHOOSE(CONTROL!$C$42, 31, 31))/1000000</f>
        <v>0.43164089999999994</v>
      </c>
      <c r="X778" s="57">
        <f>(31*0.1790888*245000/1000000)+(31*0.2374*100000/1000000)</f>
        <v>2.0961194359999999</v>
      </c>
      <c r="Y778" s="57"/>
      <c r="Z778" s="14"/>
      <c r="AA778" s="56"/>
      <c r="AB778" s="50">
        <f>(B778*131.881+C778*277.167+D778*79.08+E778*125.872+F778*40+G778*185+H778*0+I778*100+J778*300)/(131.881+277.167+79.08+125.872+0+40+185+100+300)</f>
        <v>45.95183495754641</v>
      </c>
      <c r="AC778" s="45">
        <f>(M778*'RAP TEMPLATE-GAS AVAILABILITY'!O777+N778*'RAP TEMPLATE-GAS AVAILABILITY'!P777+O778*'RAP TEMPLATE-GAS AVAILABILITY'!Q777+P778*'RAP TEMPLATE-GAS AVAILABILITY'!R777)/('RAP TEMPLATE-GAS AVAILABILITY'!O777+'RAP TEMPLATE-GAS AVAILABILITY'!P777+'RAP TEMPLATE-GAS AVAILABILITY'!Q777+'RAP TEMPLATE-GAS AVAILABILITY'!R777)</f>
        <v>45.564263309352519</v>
      </c>
    </row>
    <row r="779" spans="1:29" ht="15.75" x14ac:dyDescent="0.25">
      <c r="A779" s="32">
        <v>64619</v>
      </c>
      <c r="B779" s="14">
        <f>CHOOSE(CONTROL!$C$42, 47.1266, 47.1266) * CHOOSE(CONTROL!$C$21, $C$9, 100%, $E$9)</f>
        <v>47.126600000000003</v>
      </c>
      <c r="C779" s="14">
        <f>CHOOSE(CONTROL!$C$42, 47.1315, 47.1315) * CHOOSE(CONTROL!$C$21, $C$9, 100%, $E$9)</f>
        <v>47.131500000000003</v>
      </c>
      <c r="D779" s="14">
        <f>CHOOSE(CONTROL!$C$42, 47.1946, 47.1946) * CHOOSE(CONTROL!$C$21, $C$9, 100%, $E$9)</f>
        <v>47.194600000000001</v>
      </c>
      <c r="E779" s="14">
        <f>CHOOSE(CONTROL!$C$42, 47.2284, 47.2284) * CHOOSE(CONTROL!$C$21, $C$9, 100%, $E$9)</f>
        <v>47.228400000000001</v>
      </c>
      <c r="F779" s="14">
        <f>CHOOSE(CONTROL!$C$42, 47.1273, 47.1273)*CHOOSE(CONTROL!$C$21, $C$9, 100%, $E$9)</f>
        <v>47.127299999999998</v>
      </c>
      <c r="G779" s="14">
        <f>CHOOSE(CONTROL!$C$42, 47.1435, 47.1435)*CHOOSE(CONTROL!$C$21, $C$9, 100%, $E$9)</f>
        <v>47.143500000000003</v>
      </c>
      <c r="H779" s="14">
        <f>CHOOSE(CONTROL!$C$42, 47.2176, 47.2176) * CHOOSE(CONTROL!$C$21, $C$9, 100%, $E$9)</f>
        <v>47.217599999999997</v>
      </c>
      <c r="I779" s="14">
        <f>CHOOSE(CONTROL!$C$42, 47.1401, 47.1401)* CHOOSE(CONTROL!$C$21, $C$9, 100%, $E$9)</f>
        <v>47.140099999999997</v>
      </c>
      <c r="J779" s="14">
        <f>CHOOSE(CONTROL!$C$42, 47.1203, 47.1203)* CHOOSE(CONTROL!$C$21, $C$9, 100%, $E$9)</f>
        <v>47.1203</v>
      </c>
      <c r="K779" s="53">
        <f>CHOOSE(CONTROL!$C$42, 47.1362, 47.1362) * CHOOSE(CONTROL!$C$21, $C$9, 100%, $E$9)</f>
        <v>47.136200000000002</v>
      </c>
      <c r="L779" s="14">
        <f>CHOOSE(CONTROL!$C$42, 47.8046, 47.8046) * CHOOSE(CONTROL!$C$21, $C$9, 100%, $E$9)</f>
        <v>47.804600000000001</v>
      </c>
      <c r="M779" s="14">
        <f>CHOOSE(CONTROL!$C$42, 46.6586, 46.6586) * CHOOSE(CONTROL!$C$21, $C$9, 100%, $E$9)</f>
        <v>46.6586</v>
      </c>
      <c r="N779" s="14">
        <f>CHOOSE(CONTROL!$C$42, 46.6747, 46.6747) * CHOOSE(CONTROL!$C$21, $C$9, 100%, $E$9)</f>
        <v>46.674700000000001</v>
      </c>
      <c r="O779" s="14">
        <f>CHOOSE(CONTROL!$C$42, 46.7549, 46.7549) * CHOOSE(CONTROL!$C$21, $C$9, 100%, $E$9)</f>
        <v>46.754899999999999</v>
      </c>
      <c r="P779" s="14">
        <f>CHOOSE(CONTROL!$C$42, 46.6782, 46.6782) * CHOOSE(CONTROL!$C$21, $C$9, 100%, $E$9)</f>
        <v>46.678199999999997</v>
      </c>
      <c r="Q779" s="14">
        <f>CHOOSE(CONTROL!$C$42, 47.3502, 47.3502) * CHOOSE(CONTROL!$C$21, $C$9, 100%, $E$9)</f>
        <v>47.350200000000001</v>
      </c>
      <c r="R779" s="14">
        <f>CHOOSE(CONTROL!$C$42, 48.0556, 48.0556) * CHOOSE(CONTROL!$C$21, $C$9, 100%, $E$9)</f>
        <v>48.055599999999998</v>
      </c>
      <c r="S779" s="14">
        <f>CHOOSE(CONTROL!$C$42, 45.7625, 45.7625) * CHOOSE(CONTROL!$C$21, $C$9, 100%, $E$9)</f>
        <v>45.762500000000003</v>
      </c>
      <c r="T77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79" s="57">
        <f>(1000*CHOOSE(CONTROL!$C$42, 695, 695)*CHOOSE(CONTROL!$C$42, 0.5599, 0.5599)*CHOOSE(CONTROL!$C$42, 30, 30))/1000000</f>
        <v>11.673914999999997</v>
      </c>
      <c r="V779" s="57">
        <f>(1000*CHOOSE(CONTROL!$C$42, 500, 500)*CHOOSE(CONTROL!$C$42, 0.275, 0.275)*CHOOSE(CONTROL!$C$42, 30, 30))/1000000</f>
        <v>4.125</v>
      </c>
      <c r="W779" s="57">
        <f>(1000*CHOOSE(CONTROL!$C$42, 0.1146, 0.1146)*CHOOSE(CONTROL!$C$42, 121.5, 121.5)*CHOOSE(CONTROL!$C$42, 30, 30))/1000000</f>
        <v>0.417717</v>
      </c>
      <c r="X779" s="57">
        <f>(30*0.1790888*100000/1000000)+(30*0.2374*100000/1000000)</f>
        <v>1.2494664</v>
      </c>
      <c r="Y779" s="57"/>
      <c r="Z779" s="14"/>
      <c r="AA779" s="56"/>
      <c r="AB779" s="50">
        <f>(B779*122.58+C779*297.941+D779*89.177+E779*40.302+F779*40+G779*160+H779*0+I779*100+J779*300)/(122.58+297.941+89.177+40.302+0+40+160+100+300)</f>
        <v>47.138616252608699</v>
      </c>
      <c r="AC779" s="45">
        <f>(M779*'RAP TEMPLATE-GAS AVAILABILITY'!O778+N779*'RAP TEMPLATE-GAS AVAILABILITY'!P778+O779*'RAP TEMPLATE-GAS AVAILABILITY'!Q778+P779*'RAP TEMPLATE-GAS AVAILABILITY'!R778)/('RAP TEMPLATE-GAS AVAILABILITY'!O778+'RAP TEMPLATE-GAS AVAILABILITY'!P778+'RAP TEMPLATE-GAS AVAILABILITY'!Q778+'RAP TEMPLATE-GAS AVAILABILITY'!R778)</f>
        <v>46.705993525179856</v>
      </c>
    </row>
    <row r="780" spans="1:29" ht="15.75" x14ac:dyDescent="0.25">
      <c r="A780" s="32">
        <v>64650</v>
      </c>
      <c r="B780" s="14">
        <f>CHOOSE(CONTROL!$C$42, 50.3394, 50.3394) * CHOOSE(CONTROL!$C$21, $C$9, 100%, $E$9)</f>
        <v>50.339399999999998</v>
      </c>
      <c r="C780" s="14">
        <f>CHOOSE(CONTROL!$C$42, 50.3444, 50.3444) * CHOOSE(CONTROL!$C$21, $C$9, 100%, $E$9)</f>
        <v>50.3444</v>
      </c>
      <c r="D780" s="14">
        <f>CHOOSE(CONTROL!$C$42, 50.4074, 50.4074) * CHOOSE(CONTROL!$C$21, $C$9, 100%, $E$9)</f>
        <v>50.407400000000003</v>
      </c>
      <c r="E780" s="14">
        <f>CHOOSE(CONTROL!$C$42, 50.4412, 50.4412) * CHOOSE(CONTROL!$C$21, $C$9, 100%, $E$9)</f>
        <v>50.441200000000002</v>
      </c>
      <c r="F780" s="14">
        <f>CHOOSE(CONTROL!$C$42, 50.3422, 50.3422)*CHOOSE(CONTROL!$C$21, $C$9, 100%, $E$9)</f>
        <v>50.342199999999998</v>
      </c>
      <c r="G780" s="14">
        <f>CHOOSE(CONTROL!$C$42, 50.359, 50.359)*CHOOSE(CONTROL!$C$21, $C$9, 100%, $E$9)</f>
        <v>50.359000000000002</v>
      </c>
      <c r="H780" s="14">
        <f>CHOOSE(CONTROL!$C$42, 50.4304, 50.4304) * CHOOSE(CONTROL!$C$21, $C$9, 100%, $E$9)</f>
        <v>50.430399999999999</v>
      </c>
      <c r="I780" s="14">
        <f>CHOOSE(CONTROL!$C$42, 50.353, 50.353)* CHOOSE(CONTROL!$C$21, $C$9, 100%, $E$9)</f>
        <v>50.353000000000002</v>
      </c>
      <c r="J780" s="14">
        <f>CHOOSE(CONTROL!$C$42, 50.3352, 50.3352)* CHOOSE(CONTROL!$C$21, $C$9, 100%, $E$9)</f>
        <v>50.3352</v>
      </c>
      <c r="K780" s="53">
        <f>CHOOSE(CONTROL!$C$42, 50.3491, 50.3491) * CHOOSE(CONTROL!$C$21, $C$9, 100%, $E$9)</f>
        <v>50.3491</v>
      </c>
      <c r="L780" s="14">
        <f>CHOOSE(CONTROL!$C$42, 51.0174, 51.0174) * CHOOSE(CONTROL!$C$21, $C$9, 100%, $E$9)</f>
        <v>51.017400000000002</v>
      </c>
      <c r="M780" s="14">
        <f>CHOOSE(CONTROL!$C$42, 49.841, 49.841) * CHOOSE(CONTROL!$C$21, $C$9, 100%, $E$9)</f>
        <v>49.841000000000001</v>
      </c>
      <c r="N780" s="14">
        <f>CHOOSE(CONTROL!$C$42, 49.8577, 49.8577) * CHOOSE(CONTROL!$C$21, $C$9, 100%, $E$9)</f>
        <v>49.857700000000001</v>
      </c>
      <c r="O780" s="14">
        <f>CHOOSE(CONTROL!$C$42, 49.9353, 49.9353) * CHOOSE(CONTROL!$C$21, $C$9, 100%, $E$9)</f>
        <v>49.935299999999998</v>
      </c>
      <c r="P780" s="14">
        <f>CHOOSE(CONTROL!$C$42, 49.8587, 49.8587) * CHOOSE(CONTROL!$C$21, $C$9, 100%, $E$9)</f>
        <v>49.858699999999999</v>
      </c>
      <c r="Q780" s="14">
        <f>CHOOSE(CONTROL!$C$42, 50.5306, 50.5306) * CHOOSE(CONTROL!$C$21, $C$9, 100%, $E$9)</f>
        <v>50.5306</v>
      </c>
      <c r="R780" s="14">
        <f>CHOOSE(CONTROL!$C$42, 51.2439, 51.2439) * CHOOSE(CONTROL!$C$21, $C$9, 100%, $E$9)</f>
        <v>51.243899999999996</v>
      </c>
      <c r="S780" s="14">
        <f>CHOOSE(CONTROL!$C$42, 48.8825, 48.8825) * CHOOSE(CONTROL!$C$21, $C$9, 100%, $E$9)</f>
        <v>48.8825</v>
      </c>
      <c r="T78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80" s="57">
        <f>(1000*CHOOSE(CONTROL!$C$42, 695, 695)*CHOOSE(CONTROL!$C$42, 0.5599, 0.5599)*CHOOSE(CONTROL!$C$42, 31, 31))/1000000</f>
        <v>12.063045499999998</v>
      </c>
      <c r="V780" s="57">
        <f>(1000*CHOOSE(CONTROL!$C$42, 500, 500)*CHOOSE(CONTROL!$C$42, 0.275, 0.275)*CHOOSE(CONTROL!$C$42, 31, 31))/1000000</f>
        <v>4.2625000000000002</v>
      </c>
      <c r="W780" s="57">
        <f>(1000*CHOOSE(CONTROL!$C$42, 0.1146, 0.1146)*CHOOSE(CONTROL!$C$42, 121.5, 121.5)*CHOOSE(CONTROL!$C$42, 31, 31))/1000000</f>
        <v>0.43164089999999994</v>
      </c>
      <c r="X780" s="57">
        <f>(31*0.1790888*100000/1000000)+(31*0.2374*100000/1000000)</f>
        <v>1.2911152800000001</v>
      </c>
      <c r="Y780" s="57"/>
      <c r="Z780" s="14"/>
      <c r="AA780" s="56"/>
      <c r="AB780" s="50">
        <f>(B780*122.58+C780*297.941+D780*89.177+E780*40.302+F780*40+G780*160+H780*0+I780*100+J780*300)/(122.58+297.941+89.177+40.302+0+40+160+100+300)</f>
        <v>50.352447377913037</v>
      </c>
      <c r="AC780" s="45">
        <f>(M780*'RAP TEMPLATE-GAS AVAILABILITY'!O779+N780*'RAP TEMPLATE-GAS AVAILABILITY'!P779+O780*'RAP TEMPLATE-GAS AVAILABILITY'!Q779+P780*'RAP TEMPLATE-GAS AVAILABILITY'!R779)/('RAP TEMPLATE-GAS AVAILABILITY'!O779+'RAP TEMPLATE-GAS AVAILABILITY'!P779+'RAP TEMPLATE-GAS AVAILABILITY'!Q779+'RAP TEMPLATE-GAS AVAILABILITY'!R779)</f>
        <v>49.887248201438858</v>
      </c>
    </row>
    <row r="781" spans="1:29" ht="15.75" x14ac:dyDescent="0.25">
      <c r="A781" s="32">
        <v>64681</v>
      </c>
      <c r="B781" s="14">
        <f>CHOOSE(CONTROL!$C$42, 54.4638, 54.4638) * CHOOSE(CONTROL!$C$21, $C$9, 100%, $E$9)</f>
        <v>54.463799999999999</v>
      </c>
      <c r="C781" s="14">
        <f>CHOOSE(CONTROL!$C$42, 54.4688, 54.4688) * CHOOSE(CONTROL!$C$21, $C$9, 100%, $E$9)</f>
        <v>54.468800000000002</v>
      </c>
      <c r="D781" s="14">
        <f>CHOOSE(CONTROL!$C$42, 54.5331, 54.5331) * CHOOSE(CONTROL!$C$21, $C$9, 100%, $E$9)</f>
        <v>54.533099999999997</v>
      </c>
      <c r="E781" s="14">
        <f>CHOOSE(CONTROL!$C$42, 54.5668, 54.5668) * CHOOSE(CONTROL!$C$21, $C$9, 100%, $E$9)</f>
        <v>54.566800000000001</v>
      </c>
      <c r="F781" s="14">
        <f>CHOOSE(CONTROL!$C$42, 54.4653, 54.4653)*CHOOSE(CONTROL!$C$21, $C$9, 100%, $E$9)</f>
        <v>54.465299999999999</v>
      </c>
      <c r="G781" s="14">
        <f>CHOOSE(CONTROL!$C$42, 54.4813, 54.4813)*CHOOSE(CONTROL!$C$21, $C$9, 100%, $E$9)</f>
        <v>54.481299999999997</v>
      </c>
      <c r="H781" s="14">
        <f>CHOOSE(CONTROL!$C$42, 54.556, 54.556) * CHOOSE(CONTROL!$C$21, $C$9, 100%, $E$9)</f>
        <v>54.555999999999997</v>
      </c>
      <c r="I781" s="14">
        <f>CHOOSE(CONTROL!$C$42, 54.4838, 54.4838)* CHOOSE(CONTROL!$C$21, $C$9, 100%, $E$9)</f>
        <v>54.483800000000002</v>
      </c>
      <c r="J781" s="14">
        <f>CHOOSE(CONTROL!$C$42, 54.4583, 54.4583)* CHOOSE(CONTROL!$C$21, $C$9, 100%, $E$9)</f>
        <v>54.458300000000001</v>
      </c>
      <c r="K781" s="53">
        <f>CHOOSE(CONTROL!$C$42, 54.4799, 54.4799) * CHOOSE(CONTROL!$C$21, $C$9, 100%, $E$9)</f>
        <v>54.479900000000001</v>
      </c>
      <c r="L781" s="14">
        <f>CHOOSE(CONTROL!$C$42, 55.143, 55.143) * CHOOSE(CONTROL!$C$21, $C$9, 100%, $E$9)</f>
        <v>55.143000000000001</v>
      </c>
      <c r="M781" s="14">
        <f>CHOOSE(CONTROL!$C$42, 53.9226, 53.9226) * CHOOSE(CONTROL!$C$21, $C$9, 100%, $E$9)</f>
        <v>53.922600000000003</v>
      </c>
      <c r="N781" s="14">
        <f>CHOOSE(CONTROL!$C$42, 53.9384, 53.9384) * CHOOSE(CONTROL!$C$21, $C$9, 100%, $E$9)</f>
        <v>53.938400000000001</v>
      </c>
      <c r="O781" s="14">
        <f>CHOOSE(CONTROL!$C$42, 54.0193, 54.0193) * CHOOSE(CONTROL!$C$21, $C$9, 100%, $E$9)</f>
        <v>54.019300000000001</v>
      </c>
      <c r="P781" s="14">
        <f>CHOOSE(CONTROL!$C$42, 53.9478, 53.9478) * CHOOSE(CONTROL!$C$21, $C$9, 100%, $E$9)</f>
        <v>53.947800000000001</v>
      </c>
      <c r="Q781" s="14">
        <f>CHOOSE(CONTROL!$C$42, 54.6146, 54.6146) * CHOOSE(CONTROL!$C$21, $C$9, 100%, $E$9)</f>
        <v>54.614600000000003</v>
      </c>
      <c r="R781" s="14">
        <f>CHOOSE(CONTROL!$C$42, 55.3381, 55.3381) * CHOOSE(CONTROL!$C$21, $C$9, 100%, $E$9)</f>
        <v>55.338099999999997</v>
      </c>
      <c r="S781" s="14">
        <f>CHOOSE(CONTROL!$C$42, 52.8877, 52.8877) * CHOOSE(CONTROL!$C$21, $C$9, 100%, $E$9)</f>
        <v>52.887700000000002</v>
      </c>
      <c r="T78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81" s="57">
        <f>(1000*CHOOSE(CONTROL!$C$42, 695, 695)*CHOOSE(CONTROL!$C$42, 0.5599, 0.5599)*CHOOSE(CONTROL!$C$42, 31, 31))/1000000</f>
        <v>12.063045499999998</v>
      </c>
      <c r="V781" s="57">
        <f>(1000*CHOOSE(CONTROL!$C$42, 500, 500)*CHOOSE(CONTROL!$C$42, 0.275, 0.275)*CHOOSE(CONTROL!$C$42, 31, 31))/1000000</f>
        <v>4.2625000000000002</v>
      </c>
      <c r="W781" s="57">
        <f>(1000*CHOOSE(CONTROL!$C$42, 0.1146, 0.1146)*CHOOSE(CONTROL!$C$42, 121.5, 121.5)*CHOOSE(CONTROL!$C$42, 31, 31))/1000000</f>
        <v>0.43164089999999994</v>
      </c>
      <c r="X781" s="57">
        <f>(31*0.1790888*100000/1000000)+(31*0.2374*100000/1000000)</f>
        <v>1.2911152800000001</v>
      </c>
      <c r="Y781" s="57"/>
      <c r="Z781" s="14"/>
      <c r="AA781" s="56"/>
      <c r="AB781" s="50">
        <f>(B781*122.58+C781*297.941+D781*89.177+E781*40.302+F781*40+G781*160+H781*0+I781*100+J781*300)/(122.58+297.941+89.177+40.302+0+40+160+100+300)</f>
        <v>54.476870240956515</v>
      </c>
      <c r="AC781" s="45">
        <f>(M781*'RAP TEMPLATE-GAS AVAILABILITY'!O780+N781*'RAP TEMPLATE-GAS AVAILABILITY'!P780+O781*'RAP TEMPLATE-GAS AVAILABILITY'!Q780+P781*'RAP TEMPLATE-GAS AVAILABILITY'!R780)/('RAP TEMPLATE-GAS AVAILABILITY'!O780+'RAP TEMPLATE-GAS AVAILABILITY'!P780+'RAP TEMPLATE-GAS AVAILABILITY'!Q780+'RAP TEMPLATE-GAS AVAILABILITY'!R780)</f>
        <v>53.970963309352513</v>
      </c>
    </row>
    <row r="782" spans="1:29" ht="15.75" x14ac:dyDescent="0.25">
      <c r="A782" s="32">
        <v>64709</v>
      </c>
      <c r="B782" s="14">
        <f>CHOOSE(CONTROL!$C$42, 55.4333, 55.4333) * CHOOSE(CONTROL!$C$21, $C$9, 100%, $E$9)</f>
        <v>55.433300000000003</v>
      </c>
      <c r="C782" s="14">
        <f>CHOOSE(CONTROL!$C$42, 55.4383, 55.4383) * CHOOSE(CONTROL!$C$21, $C$9, 100%, $E$9)</f>
        <v>55.438299999999998</v>
      </c>
      <c r="D782" s="14">
        <f>CHOOSE(CONTROL!$C$42, 55.5025, 55.5025) * CHOOSE(CONTROL!$C$21, $C$9, 100%, $E$9)</f>
        <v>55.502499999999998</v>
      </c>
      <c r="E782" s="14">
        <f>CHOOSE(CONTROL!$C$42, 55.5363, 55.5363) * CHOOSE(CONTROL!$C$21, $C$9, 100%, $E$9)</f>
        <v>55.536299999999997</v>
      </c>
      <c r="F782" s="14">
        <f>CHOOSE(CONTROL!$C$42, 55.4349, 55.4349)*CHOOSE(CONTROL!$C$21, $C$9, 100%, $E$9)</f>
        <v>55.434899999999999</v>
      </c>
      <c r="G782" s="14">
        <f>CHOOSE(CONTROL!$C$42, 55.4508, 55.4508)*CHOOSE(CONTROL!$C$21, $C$9, 100%, $E$9)</f>
        <v>55.450800000000001</v>
      </c>
      <c r="H782" s="14">
        <f>CHOOSE(CONTROL!$C$42, 55.5255, 55.5255) * CHOOSE(CONTROL!$C$21, $C$9, 100%, $E$9)</f>
        <v>55.525500000000001</v>
      </c>
      <c r="I782" s="14">
        <f>CHOOSE(CONTROL!$C$42, 55.4533, 55.4533)* CHOOSE(CONTROL!$C$21, $C$9, 100%, $E$9)</f>
        <v>55.453299999999999</v>
      </c>
      <c r="J782" s="14">
        <f>CHOOSE(CONTROL!$C$42, 55.4279, 55.4279)* CHOOSE(CONTROL!$C$21, $C$9, 100%, $E$9)</f>
        <v>55.427900000000001</v>
      </c>
      <c r="K782" s="53">
        <f>CHOOSE(CONTROL!$C$42, 55.4494, 55.4494) * CHOOSE(CONTROL!$C$21, $C$9, 100%, $E$9)</f>
        <v>55.449399999999997</v>
      </c>
      <c r="L782" s="14">
        <f>CHOOSE(CONTROL!$C$42, 56.1125, 56.1125) * CHOOSE(CONTROL!$C$21, $C$9, 100%, $E$9)</f>
        <v>56.112499999999997</v>
      </c>
      <c r="M782" s="14">
        <f>CHOOSE(CONTROL!$C$42, 54.8823, 54.8823) * CHOOSE(CONTROL!$C$21, $C$9, 100%, $E$9)</f>
        <v>54.882300000000001</v>
      </c>
      <c r="N782" s="14">
        <f>CHOOSE(CONTROL!$C$42, 54.8981, 54.8981) * CHOOSE(CONTROL!$C$21, $C$9, 100%, $E$9)</f>
        <v>54.898099999999999</v>
      </c>
      <c r="O782" s="14">
        <f>CHOOSE(CONTROL!$C$42, 54.979, 54.979) * CHOOSE(CONTROL!$C$21, $C$9, 100%, $E$9)</f>
        <v>54.978999999999999</v>
      </c>
      <c r="P782" s="14">
        <f>CHOOSE(CONTROL!$C$42, 54.9075, 54.9075) * CHOOSE(CONTROL!$C$21, $C$9, 100%, $E$9)</f>
        <v>54.907499999999999</v>
      </c>
      <c r="Q782" s="14">
        <f>CHOOSE(CONTROL!$C$42, 55.5743, 55.5743) * CHOOSE(CONTROL!$C$21, $C$9, 100%, $E$9)</f>
        <v>55.574300000000001</v>
      </c>
      <c r="R782" s="14">
        <f>CHOOSE(CONTROL!$C$42, 56.3002, 56.3002) * CHOOSE(CONTROL!$C$21, $C$9, 100%, $E$9)</f>
        <v>56.300199999999997</v>
      </c>
      <c r="S782" s="14">
        <f>CHOOSE(CONTROL!$C$42, 53.8292, 53.8292) * CHOOSE(CONTROL!$C$21, $C$9, 100%, $E$9)</f>
        <v>53.8292</v>
      </c>
      <c r="T78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82" s="57">
        <f>(1000*CHOOSE(CONTROL!$C$42, 695, 695)*CHOOSE(CONTROL!$C$42, 0.5599, 0.5599)*CHOOSE(CONTROL!$C$42, 28, 28))/1000000</f>
        <v>10.895653999999999</v>
      </c>
      <c r="V782" s="57">
        <f>(1000*CHOOSE(CONTROL!$C$42, 500, 500)*CHOOSE(CONTROL!$C$42, 0.275, 0.275)*CHOOSE(CONTROL!$C$42, 28, 28))/1000000</f>
        <v>3.85</v>
      </c>
      <c r="W782" s="57">
        <f>(1000*CHOOSE(CONTROL!$C$42, 0.1146, 0.1146)*CHOOSE(CONTROL!$C$42, 121.5, 121.5)*CHOOSE(CONTROL!$C$42, 28, 28))/1000000</f>
        <v>0.38986920000000003</v>
      </c>
      <c r="X782" s="57">
        <f>(28*0.1790888*100000/1000000)+(28*0.2374*100000/1000000)</f>
        <v>1.16616864</v>
      </c>
      <c r="Y782" s="57"/>
      <c r="Z782" s="14"/>
      <c r="AA782" s="56"/>
      <c r="AB782" s="50">
        <f>(B782*122.58+C782*297.941+D782*89.177+E782*40.302+F782*40+G782*160+H782*0+I782*100+J782*300)/(122.58+297.941+89.177+40.302+0+40+160+100+300)</f>
        <v>55.446392051652175</v>
      </c>
      <c r="AC782" s="45">
        <f>(M782*'RAP TEMPLATE-GAS AVAILABILITY'!O781+N782*'RAP TEMPLATE-GAS AVAILABILITY'!P781+O782*'RAP TEMPLATE-GAS AVAILABILITY'!Q781+P782*'RAP TEMPLATE-GAS AVAILABILITY'!R781)/('RAP TEMPLATE-GAS AVAILABILITY'!O781+'RAP TEMPLATE-GAS AVAILABILITY'!P781+'RAP TEMPLATE-GAS AVAILABILITY'!Q781+'RAP TEMPLATE-GAS AVAILABILITY'!R781)</f>
        <v>54.930663309352518</v>
      </c>
    </row>
    <row r="783" spans="1:29" ht="15.75" x14ac:dyDescent="0.25">
      <c r="A783" s="32">
        <v>64740</v>
      </c>
      <c r="B783" s="14">
        <f>CHOOSE(CONTROL!$C$42, 53.8596, 53.8596) * CHOOSE(CONTROL!$C$21, $C$9, 100%, $E$9)</f>
        <v>53.8596</v>
      </c>
      <c r="C783" s="14">
        <f>CHOOSE(CONTROL!$C$42, 53.8646, 53.8646) * CHOOSE(CONTROL!$C$21, $C$9, 100%, $E$9)</f>
        <v>53.864600000000003</v>
      </c>
      <c r="D783" s="14">
        <f>CHOOSE(CONTROL!$C$42, 53.9288, 53.9288) * CHOOSE(CONTROL!$C$21, $C$9, 100%, $E$9)</f>
        <v>53.928800000000003</v>
      </c>
      <c r="E783" s="14">
        <f>CHOOSE(CONTROL!$C$42, 53.9626, 53.9626) * CHOOSE(CONTROL!$C$21, $C$9, 100%, $E$9)</f>
        <v>53.962600000000002</v>
      </c>
      <c r="F783" s="14">
        <f>CHOOSE(CONTROL!$C$42, 53.8609, 53.8609)*CHOOSE(CONTROL!$C$21, $C$9, 100%, $E$9)</f>
        <v>53.860900000000001</v>
      </c>
      <c r="G783" s="14">
        <f>CHOOSE(CONTROL!$C$42, 53.8767, 53.8767)*CHOOSE(CONTROL!$C$21, $C$9, 100%, $E$9)</f>
        <v>53.8767</v>
      </c>
      <c r="H783" s="14">
        <f>CHOOSE(CONTROL!$C$42, 53.9518, 53.9518) * CHOOSE(CONTROL!$C$21, $C$9, 100%, $E$9)</f>
        <v>53.951799999999999</v>
      </c>
      <c r="I783" s="14">
        <f>CHOOSE(CONTROL!$C$42, 53.8796, 53.8796)* CHOOSE(CONTROL!$C$21, $C$9, 100%, $E$9)</f>
        <v>53.879600000000003</v>
      </c>
      <c r="J783" s="14">
        <f>CHOOSE(CONTROL!$C$42, 53.8539, 53.8539)* CHOOSE(CONTROL!$C$21, $C$9, 100%, $E$9)</f>
        <v>53.853900000000003</v>
      </c>
      <c r="K783" s="53">
        <f>CHOOSE(CONTROL!$C$42, 53.8757, 53.8757) * CHOOSE(CONTROL!$C$21, $C$9, 100%, $E$9)</f>
        <v>53.875700000000002</v>
      </c>
      <c r="L783" s="14">
        <f>CHOOSE(CONTROL!$C$42, 54.5388, 54.5388) * CHOOSE(CONTROL!$C$21, $C$9, 100%, $E$9)</f>
        <v>54.538800000000002</v>
      </c>
      <c r="M783" s="14">
        <f>CHOOSE(CONTROL!$C$42, 53.3242, 53.3242) * CHOOSE(CONTROL!$C$21, $C$9, 100%, $E$9)</f>
        <v>53.324199999999998</v>
      </c>
      <c r="N783" s="14">
        <f>CHOOSE(CONTROL!$C$42, 53.3399, 53.3399) * CHOOSE(CONTROL!$C$21, $C$9, 100%, $E$9)</f>
        <v>53.3399</v>
      </c>
      <c r="O783" s="14">
        <f>CHOOSE(CONTROL!$C$42, 53.4212, 53.4212) * CHOOSE(CONTROL!$C$21, $C$9, 100%, $E$9)</f>
        <v>53.421199999999999</v>
      </c>
      <c r="P783" s="14">
        <f>CHOOSE(CONTROL!$C$42, 53.3497, 53.3497) * CHOOSE(CONTROL!$C$21, $C$9, 100%, $E$9)</f>
        <v>53.349699999999999</v>
      </c>
      <c r="Q783" s="14">
        <f>CHOOSE(CONTROL!$C$42, 54.0165, 54.0165) * CHOOSE(CONTROL!$C$21, $C$9, 100%, $E$9)</f>
        <v>54.016500000000001</v>
      </c>
      <c r="R783" s="14">
        <f>CHOOSE(CONTROL!$C$42, 54.7385, 54.7385) * CHOOSE(CONTROL!$C$21, $C$9, 100%, $E$9)</f>
        <v>54.738500000000002</v>
      </c>
      <c r="S783" s="14">
        <f>CHOOSE(CONTROL!$C$42, 52.3009, 52.3009) * CHOOSE(CONTROL!$C$21, $C$9, 100%, $E$9)</f>
        <v>52.300899999999999</v>
      </c>
      <c r="T78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83" s="57">
        <f>(1000*CHOOSE(CONTROL!$C$42, 695, 695)*CHOOSE(CONTROL!$C$42, 0.5599, 0.5599)*CHOOSE(CONTROL!$C$42, 31, 31))/1000000</f>
        <v>12.063045499999998</v>
      </c>
      <c r="V783" s="57">
        <f>(1000*CHOOSE(CONTROL!$C$42, 500, 500)*CHOOSE(CONTROL!$C$42, 0.275, 0.275)*CHOOSE(CONTROL!$C$42, 31, 31))/1000000</f>
        <v>4.2625000000000002</v>
      </c>
      <c r="W783" s="57">
        <f>(1000*CHOOSE(CONTROL!$C$42, 0.1146, 0.1146)*CHOOSE(CONTROL!$C$42, 121.5, 121.5)*CHOOSE(CONTROL!$C$42, 31, 31))/1000000</f>
        <v>0.43164089999999994</v>
      </c>
      <c r="X783" s="57">
        <f>(31*0.1790888*100000/1000000)+(31*0.2374*100000/1000000)</f>
        <v>1.2911152800000001</v>
      </c>
      <c r="Y783" s="57"/>
      <c r="Z783" s="14"/>
      <c r="AA783" s="56"/>
      <c r="AB783" s="50">
        <f>(B783*122.58+C783*297.941+D783*89.177+E783*40.302+F783*40+G783*160+H783*0+I783*100+J783*300)/(122.58+297.941+89.177+40.302+0+40+160+100+300)</f>
        <v>53.872547703826086</v>
      </c>
      <c r="AC783" s="45">
        <f>(M783*'RAP TEMPLATE-GAS AVAILABILITY'!O782+N783*'RAP TEMPLATE-GAS AVAILABILITY'!P782+O783*'RAP TEMPLATE-GAS AVAILABILITY'!Q782+P783*'RAP TEMPLATE-GAS AVAILABILITY'!R782)/('RAP TEMPLATE-GAS AVAILABILITY'!O782+'RAP TEMPLATE-GAS AVAILABILITY'!P782+'RAP TEMPLATE-GAS AVAILABILITY'!Q782+'RAP TEMPLATE-GAS AVAILABILITY'!R782)</f>
        <v>53.372736690647478</v>
      </c>
    </row>
    <row r="784" spans="1:29" ht="15.75" x14ac:dyDescent="0.25">
      <c r="A784" s="32">
        <v>64770</v>
      </c>
      <c r="B784" s="14">
        <f>CHOOSE(CONTROL!$C$42, 53.6995, 53.6995) * CHOOSE(CONTROL!$C$21, $C$9, 100%, $E$9)</f>
        <v>53.6995</v>
      </c>
      <c r="C784" s="14">
        <f>CHOOSE(CONTROL!$C$42, 53.7039, 53.7039) * CHOOSE(CONTROL!$C$21, $C$9, 100%, $E$9)</f>
        <v>53.703899999999997</v>
      </c>
      <c r="D784" s="14">
        <f>CHOOSE(CONTROL!$C$42, 53.9046, 53.9046) * CHOOSE(CONTROL!$C$21, $C$9, 100%, $E$9)</f>
        <v>53.904600000000002</v>
      </c>
      <c r="E784" s="14">
        <f>CHOOSE(CONTROL!$C$42, 53.9364, 53.9364) * CHOOSE(CONTROL!$C$21, $C$9, 100%, $E$9)</f>
        <v>53.936399999999999</v>
      </c>
      <c r="F784" s="14">
        <f>CHOOSE(CONTROL!$C$42, 53.6841, 53.6841)*CHOOSE(CONTROL!$C$21, $C$9, 100%, $E$9)</f>
        <v>53.684100000000001</v>
      </c>
      <c r="G784" s="14">
        <f>CHOOSE(CONTROL!$C$42, 53.6997, 53.6997)*CHOOSE(CONTROL!$C$21, $C$9, 100%, $E$9)</f>
        <v>53.6997</v>
      </c>
      <c r="H784" s="14">
        <f>CHOOSE(CONTROL!$C$42, 53.9262, 53.9262) * CHOOSE(CONTROL!$C$21, $C$9, 100%, $E$9)</f>
        <v>53.926200000000001</v>
      </c>
      <c r="I784" s="14">
        <f>CHOOSE(CONTROL!$C$42, 53.7123, 53.7123)* CHOOSE(CONTROL!$C$21, $C$9, 100%, $E$9)</f>
        <v>53.712299999999999</v>
      </c>
      <c r="J784" s="14">
        <f>CHOOSE(CONTROL!$C$42, 53.6771, 53.6771)* CHOOSE(CONTROL!$C$21, $C$9, 100%, $E$9)</f>
        <v>53.677100000000003</v>
      </c>
      <c r="K784" s="53">
        <f>CHOOSE(CONTROL!$C$42, 53.7084, 53.7084) * CHOOSE(CONTROL!$C$21, $C$9, 100%, $E$9)</f>
        <v>53.708399999999997</v>
      </c>
      <c r="L784" s="14">
        <f>CHOOSE(CONTROL!$C$42, 54.5132, 54.5132) * CHOOSE(CONTROL!$C$21, $C$9, 100%, $E$9)</f>
        <v>54.513199999999998</v>
      </c>
      <c r="M784" s="14">
        <f>CHOOSE(CONTROL!$C$42, 53.1492, 53.1492) * CHOOSE(CONTROL!$C$21, $C$9, 100%, $E$9)</f>
        <v>53.1492</v>
      </c>
      <c r="N784" s="14">
        <f>CHOOSE(CONTROL!$C$42, 53.1647, 53.1647) * CHOOSE(CONTROL!$C$21, $C$9, 100%, $E$9)</f>
        <v>53.164700000000003</v>
      </c>
      <c r="O784" s="14">
        <f>CHOOSE(CONTROL!$C$42, 53.3958, 53.3958) * CHOOSE(CONTROL!$C$21, $C$9, 100%, $E$9)</f>
        <v>53.395800000000001</v>
      </c>
      <c r="P784" s="14">
        <f>CHOOSE(CONTROL!$C$42, 53.1841, 53.1841) * CHOOSE(CONTROL!$C$21, $C$9, 100%, $E$9)</f>
        <v>53.184100000000001</v>
      </c>
      <c r="Q784" s="14">
        <f>CHOOSE(CONTROL!$C$42, 53.9911, 53.9911) * CHOOSE(CONTROL!$C$21, $C$9, 100%, $E$9)</f>
        <v>53.991100000000003</v>
      </c>
      <c r="R784" s="14">
        <f>CHOOSE(CONTROL!$C$42, 54.7131, 54.7131) * CHOOSE(CONTROL!$C$21, $C$9, 100%, $E$9)</f>
        <v>54.713099999999997</v>
      </c>
      <c r="S784" s="14">
        <f>CHOOSE(CONTROL!$C$42, 52.1447, 52.1447) * CHOOSE(CONTROL!$C$21, $C$9, 100%, $E$9)</f>
        <v>52.1447</v>
      </c>
      <c r="T78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84" s="57">
        <f>(1000*CHOOSE(CONTROL!$C$42, 695, 695)*CHOOSE(CONTROL!$C$42, 0.5599, 0.5599)*CHOOSE(CONTROL!$C$42, 30, 30))/1000000</f>
        <v>11.673914999999997</v>
      </c>
      <c r="V784" s="57">
        <f>(1000*CHOOSE(CONTROL!$C$42, 500, 500)*CHOOSE(CONTROL!$C$42, 0.275, 0.275)*CHOOSE(CONTROL!$C$42, 30, 30))/1000000</f>
        <v>4.125</v>
      </c>
      <c r="W784" s="57">
        <f>(1000*CHOOSE(CONTROL!$C$42, 0.1146, 0.1146)*CHOOSE(CONTROL!$C$42, 121.5, 121.5)*CHOOSE(CONTROL!$C$42, 30, 30))/1000000</f>
        <v>0.417717</v>
      </c>
      <c r="X784" s="57">
        <f>(30*0.1790888*245000/1000000)+(30*0.2374*100000/1000000)</f>
        <v>2.0285026799999999</v>
      </c>
      <c r="Y784" s="57"/>
      <c r="Z784" s="14"/>
      <c r="AA784" s="56"/>
      <c r="AB784" s="50">
        <f>(B784*141.293+C784*267.993+D784*115.016+E784*89.698+F784*40+G784*185+H784*0+I784*100+J784*300)/(141.293+267.993+115.016+89.698+0+40+185+100+300)</f>
        <v>53.731783621468928</v>
      </c>
      <c r="AC784" s="45">
        <f>(M784*'RAP TEMPLATE-GAS AVAILABILITY'!O783+N784*'RAP TEMPLATE-GAS AVAILABILITY'!P783+O784*'RAP TEMPLATE-GAS AVAILABILITY'!Q783+P784*'RAP TEMPLATE-GAS AVAILABILITY'!R783)/('RAP TEMPLATE-GAS AVAILABILITY'!O783+'RAP TEMPLATE-GAS AVAILABILITY'!P783+'RAP TEMPLATE-GAS AVAILABILITY'!Q783+'RAP TEMPLATE-GAS AVAILABILITY'!R783)</f>
        <v>53.266882014388493</v>
      </c>
    </row>
    <row r="785" spans="1:29" ht="15.75" x14ac:dyDescent="0.25">
      <c r="A785" s="32">
        <v>64801</v>
      </c>
      <c r="B785" s="14">
        <f>CHOOSE(CONTROL!$C$42, 54.1748, 54.1748) * CHOOSE(CONTROL!$C$21, $C$9, 100%, $E$9)</f>
        <v>54.174799999999998</v>
      </c>
      <c r="C785" s="14">
        <f>CHOOSE(CONTROL!$C$42, 54.1828, 54.1828) * CHOOSE(CONTROL!$C$21, $C$9, 100%, $E$9)</f>
        <v>54.1828</v>
      </c>
      <c r="D785" s="14">
        <f>CHOOSE(CONTROL!$C$42, 54.3803, 54.3803) * CHOOSE(CONTROL!$C$21, $C$9, 100%, $E$9)</f>
        <v>54.380299999999998</v>
      </c>
      <c r="E785" s="14">
        <f>CHOOSE(CONTROL!$C$42, 54.4115, 54.4115) * CHOOSE(CONTROL!$C$21, $C$9, 100%, $E$9)</f>
        <v>54.411499999999997</v>
      </c>
      <c r="F785" s="14">
        <f>CHOOSE(CONTROL!$C$42, 54.1583, 54.1583)*CHOOSE(CONTROL!$C$21, $C$9, 100%, $E$9)</f>
        <v>54.158299999999997</v>
      </c>
      <c r="G785" s="14">
        <f>CHOOSE(CONTROL!$C$42, 54.1744, 54.1744)*CHOOSE(CONTROL!$C$21, $C$9, 100%, $E$9)</f>
        <v>54.174399999999999</v>
      </c>
      <c r="H785" s="14">
        <f>CHOOSE(CONTROL!$C$42, 54.4001, 54.4001) * CHOOSE(CONTROL!$C$21, $C$9, 100%, $E$9)</f>
        <v>54.400100000000002</v>
      </c>
      <c r="I785" s="14">
        <f>CHOOSE(CONTROL!$C$42, 54.1862, 54.1862)* CHOOSE(CONTROL!$C$21, $C$9, 100%, $E$9)</f>
        <v>54.186199999999999</v>
      </c>
      <c r="J785" s="14">
        <f>CHOOSE(CONTROL!$C$42, 54.1513, 54.1513)* CHOOSE(CONTROL!$C$21, $C$9, 100%, $E$9)</f>
        <v>54.151299999999999</v>
      </c>
      <c r="K785" s="53">
        <f>CHOOSE(CONTROL!$C$42, 54.1823, 54.1823) * CHOOSE(CONTROL!$C$21, $C$9, 100%, $E$9)</f>
        <v>54.182299999999998</v>
      </c>
      <c r="L785" s="14">
        <f>CHOOSE(CONTROL!$C$42, 54.9871, 54.9871) * CHOOSE(CONTROL!$C$21, $C$9, 100%, $E$9)</f>
        <v>54.987099999999998</v>
      </c>
      <c r="M785" s="14">
        <f>CHOOSE(CONTROL!$C$42, 53.6186, 53.6186) * CHOOSE(CONTROL!$C$21, $C$9, 100%, $E$9)</f>
        <v>53.618600000000001</v>
      </c>
      <c r="N785" s="14">
        <f>CHOOSE(CONTROL!$C$42, 53.6345, 53.6345) * CHOOSE(CONTROL!$C$21, $C$9, 100%, $E$9)</f>
        <v>53.634500000000003</v>
      </c>
      <c r="O785" s="14">
        <f>CHOOSE(CONTROL!$C$42, 53.8649, 53.8649) * CHOOSE(CONTROL!$C$21, $C$9, 100%, $E$9)</f>
        <v>53.864899999999999</v>
      </c>
      <c r="P785" s="14">
        <f>CHOOSE(CONTROL!$C$42, 53.6532, 53.6532) * CHOOSE(CONTROL!$C$21, $C$9, 100%, $E$9)</f>
        <v>53.653199999999998</v>
      </c>
      <c r="Q785" s="14">
        <f>CHOOSE(CONTROL!$C$42, 54.4602, 54.4602) * CHOOSE(CONTROL!$C$21, $C$9, 100%, $E$9)</f>
        <v>54.4602</v>
      </c>
      <c r="R785" s="14">
        <f>CHOOSE(CONTROL!$C$42, 55.1834, 55.1834) * CHOOSE(CONTROL!$C$21, $C$9, 100%, $E$9)</f>
        <v>55.183399999999999</v>
      </c>
      <c r="S785" s="14">
        <f>CHOOSE(CONTROL!$C$42, 52.6049, 52.6049) * CHOOSE(CONTROL!$C$21, $C$9, 100%, $E$9)</f>
        <v>52.604900000000001</v>
      </c>
      <c r="T78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85" s="57">
        <f>(1000*CHOOSE(CONTROL!$C$42, 695, 695)*CHOOSE(CONTROL!$C$42, 0.5599, 0.5599)*CHOOSE(CONTROL!$C$42, 31, 31))/1000000</f>
        <v>12.063045499999998</v>
      </c>
      <c r="V785" s="57">
        <f>(1000*CHOOSE(CONTROL!$C$42, 500, 500)*CHOOSE(CONTROL!$C$42, 0.275, 0.275)*CHOOSE(CONTROL!$C$42, 31, 31))/1000000</f>
        <v>4.2625000000000002</v>
      </c>
      <c r="W785" s="57">
        <f>(1000*CHOOSE(CONTROL!$C$42, 0.1146, 0.1146)*CHOOSE(CONTROL!$C$42, 121.5, 121.5)*CHOOSE(CONTROL!$C$42, 31, 31))/1000000</f>
        <v>0.43164089999999994</v>
      </c>
      <c r="X785" s="57">
        <f>(31*0.1790888*245000/1000000)+(31*0.2374*100000/1000000)</f>
        <v>2.0961194359999999</v>
      </c>
      <c r="Y785" s="57"/>
      <c r="Z785" s="14"/>
      <c r="AA785" s="56"/>
      <c r="AB785" s="50">
        <f>(B785*194.205+C785*267.466+D785*133.845+E785*53.484+F785*40+G785*185+H785*0+I785*100+J785*300)/(194.205+267.466+133.845+53.484+0+40+185+100+300)</f>
        <v>54.202791003375211</v>
      </c>
      <c r="AC785" s="45">
        <f>(M785*'RAP TEMPLATE-GAS AVAILABILITY'!O784+N785*'RAP TEMPLATE-GAS AVAILABILITY'!P784+O785*'RAP TEMPLATE-GAS AVAILABILITY'!Q784+P785*'RAP TEMPLATE-GAS AVAILABILITY'!R784)/('RAP TEMPLATE-GAS AVAILABILITY'!O784+'RAP TEMPLATE-GAS AVAILABILITY'!P784+'RAP TEMPLATE-GAS AVAILABILITY'!Q784+'RAP TEMPLATE-GAS AVAILABILITY'!R784)</f>
        <v>53.736125899280573</v>
      </c>
    </row>
    <row r="786" spans="1:29" ht="15.75" x14ac:dyDescent="0.25">
      <c r="A786" s="32">
        <v>64831</v>
      </c>
      <c r="B786" s="14">
        <f>CHOOSE(CONTROL!$C$42, 55.7114, 55.7114) * CHOOSE(CONTROL!$C$21, $C$9, 100%, $E$9)</f>
        <v>55.711399999999998</v>
      </c>
      <c r="C786" s="14">
        <f>CHOOSE(CONTROL!$C$42, 55.7194, 55.7194) * CHOOSE(CONTROL!$C$21, $C$9, 100%, $E$9)</f>
        <v>55.7194</v>
      </c>
      <c r="D786" s="14">
        <f>CHOOSE(CONTROL!$C$42, 55.9169, 55.9169) * CHOOSE(CONTROL!$C$21, $C$9, 100%, $E$9)</f>
        <v>55.916899999999998</v>
      </c>
      <c r="E786" s="14">
        <f>CHOOSE(CONTROL!$C$42, 55.9481, 55.9481) * CHOOSE(CONTROL!$C$21, $C$9, 100%, $E$9)</f>
        <v>55.948099999999997</v>
      </c>
      <c r="F786" s="14">
        <f>CHOOSE(CONTROL!$C$42, 55.6953, 55.6953)*CHOOSE(CONTROL!$C$21, $C$9, 100%, $E$9)</f>
        <v>55.695300000000003</v>
      </c>
      <c r="G786" s="14">
        <f>CHOOSE(CONTROL!$C$42, 55.7115, 55.7115)*CHOOSE(CONTROL!$C$21, $C$9, 100%, $E$9)</f>
        <v>55.711500000000001</v>
      </c>
      <c r="H786" s="14">
        <f>CHOOSE(CONTROL!$C$42, 55.9367, 55.9367) * CHOOSE(CONTROL!$C$21, $C$9, 100%, $E$9)</f>
        <v>55.936700000000002</v>
      </c>
      <c r="I786" s="14">
        <f>CHOOSE(CONTROL!$C$42, 55.7228, 55.7228)* CHOOSE(CONTROL!$C$21, $C$9, 100%, $E$9)</f>
        <v>55.722799999999999</v>
      </c>
      <c r="J786" s="14">
        <f>CHOOSE(CONTROL!$C$42, 55.6883, 55.6883)* CHOOSE(CONTROL!$C$21, $C$9, 100%, $E$9)</f>
        <v>55.688299999999998</v>
      </c>
      <c r="K786" s="53">
        <f>CHOOSE(CONTROL!$C$42, 55.7189, 55.7189) * CHOOSE(CONTROL!$C$21, $C$9, 100%, $E$9)</f>
        <v>55.718899999999998</v>
      </c>
      <c r="L786" s="14">
        <f>CHOOSE(CONTROL!$C$42, 56.5237, 56.5237) * CHOOSE(CONTROL!$C$21, $C$9, 100%, $E$9)</f>
        <v>56.523699999999998</v>
      </c>
      <c r="M786" s="14">
        <f>CHOOSE(CONTROL!$C$42, 55.1401, 55.1401) * CHOOSE(CONTROL!$C$21, $C$9, 100%, $E$9)</f>
        <v>55.140099999999997</v>
      </c>
      <c r="N786" s="14">
        <f>CHOOSE(CONTROL!$C$42, 55.1561, 55.1561) * CHOOSE(CONTROL!$C$21, $C$9, 100%, $E$9)</f>
        <v>55.156100000000002</v>
      </c>
      <c r="O786" s="14">
        <f>CHOOSE(CONTROL!$C$42, 55.386, 55.386) * CHOOSE(CONTROL!$C$21, $C$9, 100%, $E$9)</f>
        <v>55.386000000000003</v>
      </c>
      <c r="P786" s="14">
        <f>CHOOSE(CONTROL!$C$42, 55.1743, 55.1743) * CHOOSE(CONTROL!$C$21, $C$9, 100%, $E$9)</f>
        <v>55.174300000000002</v>
      </c>
      <c r="Q786" s="14">
        <f>CHOOSE(CONTROL!$C$42, 55.9813, 55.9813) * CHOOSE(CONTROL!$C$21, $C$9, 100%, $E$9)</f>
        <v>55.981299999999997</v>
      </c>
      <c r="R786" s="14">
        <f>CHOOSE(CONTROL!$C$42, 56.7083, 56.7083) * CHOOSE(CONTROL!$C$21, $C$9, 100%, $E$9)</f>
        <v>56.708300000000001</v>
      </c>
      <c r="S786" s="14">
        <f>CHOOSE(CONTROL!$C$42, 54.0971, 54.0971) * CHOOSE(CONTROL!$C$21, $C$9, 100%, $E$9)</f>
        <v>54.097099999999998</v>
      </c>
      <c r="T78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86" s="57">
        <f>(1000*CHOOSE(CONTROL!$C$42, 695, 695)*CHOOSE(CONTROL!$C$42, 0.5599, 0.5599)*CHOOSE(CONTROL!$C$42, 30, 30))/1000000</f>
        <v>11.673914999999997</v>
      </c>
      <c r="V786" s="57">
        <f>(1000*CHOOSE(CONTROL!$C$42, 500, 500)*CHOOSE(CONTROL!$C$42, 0.275, 0.275)*CHOOSE(CONTROL!$C$42, 30, 30))/1000000</f>
        <v>4.125</v>
      </c>
      <c r="W786" s="57">
        <f>(1000*CHOOSE(CONTROL!$C$42, 0.1146, 0.1146)*CHOOSE(CONTROL!$C$42, 121.5, 121.5)*CHOOSE(CONTROL!$C$42, 30, 30))/1000000</f>
        <v>0.417717</v>
      </c>
      <c r="X786" s="57">
        <f>(30*0.1790888*245000/1000000)+(30*0.2374*100000/1000000)</f>
        <v>2.0285026799999999</v>
      </c>
      <c r="Y786" s="57"/>
      <c r="Z786" s="14"/>
      <c r="AA786" s="56"/>
      <c r="AB786" s="50">
        <f>(B786*194.205+C786*267.466+D786*133.845+E786*53.484+F786*40+G786*185+H786*0+I786*100+J786*300)/(194.205+267.466+133.845+53.484+0+40+185+100+300)</f>
        <v>55.739570359733122</v>
      </c>
      <c r="AC786" s="45">
        <f>(M786*'RAP TEMPLATE-GAS AVAILABILITY'!O785+N786*'RAP TEMPLATE-GAS AVAILABILITY'!P785+O786*'RAP TEMPLATE-GAS AVAILABILITY'!Q785+P786*'RAP TEMPLATE-GAS AVAILABILITY'!R785)/('RAP TEMPLATE-GAS AVAILABILITY'!O785+'RAP TEMPLATE-GAS AVAILABILITY'!P785+'RAP TEMPLATE-GAS AVAILABILITY'!Q785+'RAP TEMPLATE-GAS AVAILABILITY'!R785)</f>
        <v>55.257392805755394</v>
      </c>
    </row>
    <row r="787" spans="1:29" ht="15.75" x14ac:dyDescent="0.25">
      <c r="A787" s="32">
        <v>64862</v>
      </c>
      <c r="B787" s="14">
        <f>CHOOSE(CONTROL!$C$42, 54.6427, 54.6427) * CHOOSE(CONTROL!$C$21, $C$9, 100%, $E$9)</f>
        <v>54.642699999999998</v>
      </c>
      <c r="C787" s="14">
        <f>CHOOSE(CONTROL!$C$42, 54.6506, 54.6506) * CHOOSE(CONTROL!$C$21, $C$9, 100%, $E$9)</f>
        <v>54.650599999999997</v>
      </c>
      <c r="D787" s="14">
        <f>CHOOSE(CONTROL!$C$42, 54.8482, 54.8482) * CHOOSE(CONTROL!$C$21, $C$9, 100%, $E$9)</f>
        <v>54.848199999999999</v>
      </c>
      <c r="E787" s="14">
        <f>CHOOSE(CONTROL!$C$42, 54.8794, 54.8794) * CHOOSE(CONTROL!$C$21, $C$9, 100%, $E$9)</f>
        <v>54.879399999999997</v>
      </c>
      <c r="F787" s="14">
        <f>CHOOSE(CONTROL!$C$42, 54.627, 54.627)*CHOOSE(CONTROL!$C$21, $C$9, 100%, $E$9)</f>
        <v>54.627000000000002</v>
      </c>
      <c r="G787" s="14">
        <f>CHOOSE(CONTROL!$C$42, 54.6433, 54.6433)*CHOOSE(CONTROL!$C$21, $C$9, 100%, $E$9)</f>
        <v>54.643300000000004</v>
      </c>
      <c r="H787" s="14">
        <f>CHOOSE(CONTROL!$C$42, 54.868, 54.868) * CHOOSE(CONTROL!$C$21, $C$9, 100%, $E$9)</f>
        <v>54.868000000000002</v>
      </c>
      <c r="I787" s="14">
        <f>CHOOSE(CONTROL!$C$42, 54.6541, 54.6541)* CHOOSE(CONTROL!$C$21, $C$9, 100%, $E$9)</f>
        <v>54.6541</v>
      </c>
      <c r="J787" s="14">
        <f>CHOOSE(CONTROL!$C$42, 54.62, 54.62)* CHOOSE(CONTROL!$C$21, $C$9, 100%, $E$9)</f>
        <v>54.62</v>
      </c>
      <c r="K787" s="53">
        <f>CHOOSE(CONTROL!$C$42, 54.6502, 54.6502) * CHOOSE(CONTROL!$C$21, $C$9, 100%, $E$9)</f>
        <v>54.650199999999998</v>
      </c>
      <c r="L787" s="14">
        <f>CHOOSE(CONTROL!$C$42, 55.455, 55.455) * CHOOSE(CONTROL!$C$21, $C$9, 100%, $E$9)</f>
        <v>55.454999999999998</v>
      </c>
      <c r="M787" s="14">
        <f>CHOOSE(CONTROL!$C$42, 54.0826, 54.0826) * CHOOSE(CONTROL!$C$21, $C$9, 100%, $E$9)</f>
        <v>54.082599999999999</v>
      </c>
      <c r="N787" s="14">
        <f>CHOOSE(CONTROL!$C$42, 54.0987, 54.0987) * CHOOSE(CONTROL!$C$21, $C$9, 100%, $E$9)</f>
        <v>54.098700000000001</v>
      </c>
      <c r="O787" s="14">
        <f>CHOOSE(CONTROL!$C$42, 54.3281, 54.3281) * CHOOSE(CONTROL!$C$21, $C$9, 100%, $E$9)</f>
        <v>54.328099999999999</v>
      </c>
      <c r="P787" s="14">
        <f>CHOOSE(CONTROL!$C$42, 54.1164, 54.1164) * CHOOSE(CONTROL!$C$21, $C$9, 100%, $E$9)</f>
        <v>54.116399999999999</v>
      </c>
      <c r="Q787" s="14">
        <f>CHOOSE(CONTROL!$C$42, 54.9234, 54.9234) * CHOOSE(CONTROL!$C$21, $C$9, 100%, $E$9)</f>
        <v>54.923400000000001</v>
      </c>
      <c r="R787" s="14">
        <f>CHOOSE(CONTROL!$C$42, 55.6477, 55.6477) * CHOOSE(CONTROL!$C$21, $C$9, 100%, $E$9)</f>
        <v>55.6477</v>
      </c>
      <c r="S787" s="14">
        <f>CHOOSE(CONTROL!$C$42, 53.0593, 53.0593) * CHOOSE(CONTROL!$C$21, $C$9, 100%, $E$9)</f>
        <v>53.0593</v>
      </c>
      <c r="T78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87" s="57">
        <f>(1000*CHOOSE(CONTROL!$C$42, 695, 695)*CHOOSE(CONTROL!$C$42, 0.5599, 0.5599)*CHOOSE(CONTROL!$C$42, 31, 31))/1000000</f>
        <v>12.063045499999998</v>
      </c>
      <c r="V787" s="57">
        <f>(1000*CHOOSE(CONTROL!$C$42, 500, 500)*CHOOSE(CONTROL!$C$42, 0.275, 0.275)*CHOOSE(CONTROL!$C$42, 31, 31))/1000000</f>
        <v>4.2625000000000002</v>
      </c>
      <c r="W787" s="57">
        <f>(1000*CHOOSE(CONTROL!$C$42, 0.1146, 0.1146)*CHOOSE(CONTROL!$C$42, 121.5, 121.5)*CHOOSE(CONTROL!$C$42, 31, 31))/1000000</f>
        <v>0.43164089999999994</v>
      </c>
      <c r="X787" s="57">
        <f>(31*0.1790888*245000/1000000)+(31*0.2374*100000/1000000)</f>
        <v>2.0961194359999999</v>
      </c>
      <c r="Y787" s="57"/>
      <c r="Z787" s="14"/>
      <c r="AA787" s="56"/>
      <c r="AB787" s="50">
        <f>(B787*194.205+C787*267.466+D787*133.845+E787*53.484+F787*40+G787*185+H787*0+I787*100+J787*300)/(194.205+267.466+133.845+53.484+0+40+185+100+300)</f>
        <v>54.671028721899539</v>
      </c>
      <c r="AC787" s="45">
        <f>(M787*'RAP TEMPLATE-GAS AVAILABILITY'!O786+N787*'RAP TEMPLATE-GAS AVAILABILITY'!P786+O787*'RAP TEMPLATE-GAS AVAILABILITY'!Q786+P787*'RAP TEMPLATE-GAS AVAILABILITY'!R786)/('RAP TEMPLATE-GAS AVAILABILITY'!O786+'RAP TEMPLATE-GAS AVAILABILITY'!P786+'RAP TEMPLATE-GAS AVAILABILITY'!Q786+'RAP TEMPLATE-GAS AVAILABILITY'!R786)</f>
        <v>54.199659712230215</v>
      </c>
    </row>
    <row r="788" spans="1:29" ht="15.75" x14ac:dyDescent="0.25">
      <c r="A788" s="32">
        <v>64893</v>
      </c>
      <c r="B788" s="14">
        <f>CHOOSE(CONTROL!$C$42, 51.9439, 51.9439) * CHOOSE(CONTROL!$C$21, $C$9, 100%, $E$9)</f>
        <v>51.943899999999999</v>
      </c>
      <c r="C788" s="14">
        <f>CHOOSE(CONTROL!$C$42, 51.9518, 51.9518) * CHOOSE(CONTROL!$C$21, $C$9, 100%, $E$9)</f>
        <v>51.951799999999999</v>
      </c>
      <c r="D788" s="14">
        <f>CHOOSE(CONTROL!$C$42, 52.1494, 52.1494) * CHOOSE(CONTROL!$C$21, $C$9, 100%, $E$9)</f>
        <v>52.1494</v>
      </c>
      <c r="E788" s="14">
        <f>CHOOSE(CONTROL!$C$42, 52.1805, 52.1805) * CHOOSE(CONTROL!$C$21, $C$9, 100%, $E$9)</f>
        <v>52.180500000000002</v>
      </c>
      <c r="F788" s="14">
        <f>CHOOSE(CONTROL!$C$42, 51.9283, 51.9283)*CHOOSE(CONTROL!$C$21, $C$9, 100%, $E$9)</f>
        <v>51.9283</v>
      </c>
      <c r="G788" s="14">
        <f>CHOOSE(CONTROL!$C$42, 51.9447, 51.9447)*CHOOSE(CONTROL!$C$21, $C$9, 100%, $E$9)</f>
        <v>51.944699999999997</v>
      </c>
      <c r="H788" s="14">
        <f>CHOOSE(CONTROL!$C$42, 52.1692, 52.1692) * CHOOSE(CONTROL!$C$21, $C$9, 100%, $E$9)</f>
        <v>52.169199999999996</v>
      </c>
      <c r="I788" s="14">
        <f>CHOOSE(CONTROL!$C$42, 51.9553, 51.9553)* CHOOSE(CONTROL!$C$21, $C$9, 100%, $E$9)</f>
        <v>51.955300000000001</v>
      </c>
      <c r="J788" s="14">
        <f>CHOOSE(CONTROL!$C$42, 51.9213, 51.9213)* CHOOSE(CONTROL!$C$21, $C$9, 100%, $E$9)</f>
        <v>51.921300000000002</v>
      </c>
      <c r="K788" s="53">
        <f>CHOOSE(CONTROL!$C$42, 51.9514, 51.9514) * CHOOSE(CONTROL!$C$21, $C$9, 100%, $E$9)</f>
        <v>51.9514</v>
      </c>
      <c r="L788" s="14">
        <f>CHOOSE(CONTROL!$C$42, 52.7562, 52.7562) * CHOOSE(CONTROL!$C$21, $C$9, 100%, $E$9)</f>
        <v>52.7562</v>
      </c>
      <c r="M788" s="14">
        <f>CHOOSE(CONTROL!$C$42, 51.4112, 51.4112) * CHOOSE(CONTROL!$C$21, $C$9, 100%, $E$9)</f>
        <v>51.411200000000001</v>
      </c>
      <c r="N788" s="14">
        <f>CHOOSE(CONTROL!$C$42, 51.4274, 51.4274) * CHOOSE(CONTROL!$C$21, $C$9, 100%, $E$9)</f>
        <v>51.427399999999999</v>
      </c>
      <c r="O788" s="14">
        <f>CHOOSE(CONTROL!$C$42, 51.6565, 51.6565) * CHOOSE(CONTROL!$C$21, $C$9, 100%, $E$9)</f>
        <v>51.656500000000001</v>
      </c>
      <c r="P788" s="14">
        <f>CHOOSE(CONTROL!$C$42, 51.4448, 51.4448) * CHOOSE(CONTROL!$C$21, $C$9, 100%, $E$9)</f>
        <v>51.444800000000001</v>
      </c>
      <c r="Q788" s="14">
        <f>CHOOSE(CONTROL!$C$42, 52.2518, 52.2518) * CHOOSE(CONTROL!$C$21, $C$9, 100%, $E$9)</f>
        <v>52.251800000000003</v>
      </c>
      <c r="R788" s="14">
        <f>CHOOSE(CONTROL!$C$42, 52.9695, 52.9695) * CHOOSE(CONTROL!$C$21, $C$9, 100%, $E$9)</f>
        <v>52.969499999999996</v>
      </c>
      <c r="S788" s="14">
        <f>CHOOSE(CONTROL!$C$42, 50.4385, 50.4385) * CHOOSE(CONTROL!$C$21, $C$9, 100%, $E$9)</f>
        <v>50.438499999999998</v>
      </c>
      <c r="T78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788" s="57">
        <f>(1000*CHOOSE(CONTROL!$C$42, 695, 695)*CHOOSE(CONTROL!$C$42, 0.5599, 0.5599)*CHOOSE(CONTROL!$C$42, 31, 31))/1000000</f>
        <v>12.063045499999998</v>
      </c>
      <c r="V788" s="57">
        <f>(1000*CHOOSE(CONTROL!$C$42, 500, 500)*CHOOSE(CONTROL!$C$42, 0.275, 0.275)*CHOOSE(CONTROL!$C$42, 31, 31))/1000000</f>
        <v>4.2625000000000002</v>
      </c>
      <c r="W788" s="57">
        <f>(1000*CHOOSE(CONTROL!$C$42, 0.1146, 0.1146)*CHOOSE(CONTROL!$C$42, 121.5, 121.5)*CHOOSE(CONTROL!$C$42, 31, 31))/1000000</f>
        <v>0.43164089999999994</v>
      </c>
      <c r="X788" s="57">
        <f>(31*0.1790888*245000/1000000)+(31*0.2374*100000/1000000)</f>
        <v>2.0961194359999999</v>
      </c>
      <c r="Y788" s="57"/>
      <c r="Z788" s="14"/>
      <c r="AA788" s="56"/>
      <c r="AB788" s="50">
        <f>(B788*194.205+C788*267.466+D788*133.845+E788*53.484+F788*40+G788*185+H788*0+I788*100+J788*300)/(194.205+267.466+133.845+53.484+0+40+185+100+300)</f>
        <v>51.972280253767657</v>
      </c>
      <c r="AC788" s="45">
        <f>(M788*'RAP TEMPLATE-GAS AVAILABILITY'!O787+N788*'RAP TEMPLATE-GAS AVAILABILITY'!P787+O788*'RAP TEMPLATE-GAS AVAILABILITY'!Q787+P788*'RAP TEMPLATE-GAS AVAILABILITY'!R787)/('RAP TEMPLATE-GAS AVAILABILITY'!O787+'RAP TEMPLATE-GAS AVAILABILITY'!P787+'RAP TEMPLATE-GAS AVAILABILITY'!Q787+'RAP TEMPLATE-GAS AVAILABILITY'!R787)</f>
        <v>51.528146043165471</v>
      </c>
    </row>
    <row r="789" spans="1:29" ht="15.75" x14ac:dyDescent="0.25">
      <c r="A789" s="32">
        <v>64923</v>
      </c>
      <c r="B789" s="14">
        <f>CHOOSE(CONTROL!$C$42, 48.6461, 48.6461) * CHOOSE(CONTROL!$C$21, $C$9, 100%, $E$9)</f>
        <v>48.646099999999997</v>
      </c>
      <c r="C789" s="14">
        <f>CHOOSE(CONTROL!$C$42, 48.654, 48.654) * CHOOSE(CONTROL!$C$21, $C$9, 100%, $E$9)</f>
        <v>48.654000000000003</v>
      </c>
      <c r="D789" s="14">
        <f>CHOOSE(CONTROL!$C$42, 48.8516, 48.8516) * CHOOSE(CONTROL!$C$21, $C$9, 100%, $E$9)</f>
        <v>48.851599999999998</v>
      </c>
      <c r="E789" s="14">
        <f>CHOOSE(CONTROL!$C$42, 48.8827, 48.8827) * CHOOSE(CONTROL!$C$21, $C$9, 100%, $E$9)</f>
        <v>48.8827</v>
      </c>
      <c r="F789" s="14">
        <f>CHOOSE(CONTROL!$C$42, 48.6304, 48.6304)*CHOOSE(CONTROL!$C$21, $C$9, 100%, $E$9)</f>
        <v>48.630400000000002</v>
      </c>
      <c r="G789" s="14">
        <f>CHOOSE(CONTROL!$C$42, 48.6468, 48.6468)*CHOOSE(CONTROL!$C$21, $C$9, 100%, $E$9)</f>
        <v>48.646799999999999</v>
      </c>
      <c r="H789" s="14">
        <f>CHOOSE(CONTROL!$C$42, 48.8713, 48.8713) * CHOOSE(CONTROL!$C$21, $C$9, 100%, $E$9)</f>
        <v>48.871299999999998</v>
      </c>
      <c r="I789" s="14">
        <f>CHOOSE(CONTROL!$C$42, 48.6574, 48.6574)* CHOOSE(CONTROL!$C$21, $C$9, 100%, $E$9)</f>
        <v>48.657400000000003</v>
      </c>
      <c r="J789" s="14">
        <f>CHOOSE(CONTROL!$C$42, 48.6234, 48.6234)* CHOOSE(CONTROL!$C$21, $C$9, 100%, $E$9)</f>
        <v>48.623399999999997</v>
      </c>
      <c r="K789" s="53">
        <f>CHOOSE(CONTROL!$C$42, 48.6535, 48.6535) * CHOOSE(CONTROL!$C$21, $C$9, 100%, $E$9)</f>
        <v>48.653500000000001</v>
      </c>
      <c r="L789" s="14">
        <f>CHOOSE(CONTROL!$C$42, 49.4583, 49.4583) * CHOOSE(CONTROL!$C$21, $C$9, 100%, $E$9)</f>
        <v>49.458300000000001</v>
      </c>
      <c r="M789" s="14">
        <f>CHOOSE(CONTROL!$C$42, 48.1466, 48.1466) * CHOOSE(CONTROL!$C$21, $C$9, 100%, $E$9)</f>
        <v>48.146599999999999</v>
      </c>
      <c r="N789" s="14">
        <f>CHOOSE(CONTROL!$C$42, 48.1627, 48.1627) * CHOOSE(CONTROL!$C$21, $C$9, 100%, $E$9)</f>
        <v>48.162700000000001</v>
      </c>
      <c r="O789" s="14">
        <f>CHOOSE(CONTROL!$C$42, 48.392, 48.392) * CHOOSE(CONTROL!$C$21, $C$9, 100%, $E$9)</f>
        <v>48.392000000000003</v>
      </c>
      <c r="P789" s="14">
        <f>CHOOSE(CONTROL!$C$42, 48.1802, 48.1802) * CHOOSE(CONTROL!$C$21, $C$9, 100%, $E$9)</f>
        <v>48.180199999999999</v>
      </c>
      <c r="Q789" s="14">
        <f>CHOOSE(CONTROL!$C$42, 48.9873, 48.9873) * CHOOSE(CONTROL!$C$21, $C$9, 100%, $E$9)</f>
        <v>48.987299999999998</v>
      </c>
      <c r="R789" s="14">
        <f>CHOOSE(CONTROL!$C$42, 49.6967, 49.6967) * CHOOSE(CONTROL!$C$21, $C$9, 100%, $E$9)</f>
        <v>49.6967</v>
      </c>
      <c r="S789" s="14">
        <f>CHOOSE(CONTROL!$C$42, 47.2359, 47.2359) * CHOOSE(CONTROL!$C$21, $C$9, 100%, $E$9)</f>
        <v>47.235900000000001</v>
      </c>
      <c r="T78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789" s="57">
        <f>(1000*CHOOSE(CONTROL!$C$42, 695, 695)*CHOOSE(CONTROL!$C$42, 0.5599, 0.5599)*CHOOSE(CONTROL!$C$42, 30, 30))/1000000</f>
        <v>11.673914999999997</v>
      </c>
      <c r="V789" s="57">
        <f>(1000*CHOOSE(CONTROL!$C$42, 500, 500)*CHOOSE(CONTROL!$C$42, 0.275, 0.275)*CHOOSE(CONTROL!$C$42, 30, 30))/1000000</f>
        <v>4.125</v>
      </c>
      <c r="W789" s="57">
        <f>(1000*CHOOSE(CONTROL!$C$42, 0.1146, 0.1146)*CHOOSE(CONTROL!$C$42, 121.5, 121.5)*CHOOSE(CONTROL!$C$42, 30, 30))/1000000</f>
        <v>0.417717</v>
      </c>
      <c r="X789" s="57">
        <f>(30*0.1790888*245000/1000000)+(30*0.2374*100000/1000000)</f>
        <v>2.0285026799999999</v>
      </c>
      <c r="Y789" s="57"/>
      <c r="Z789" s="14"/>
      <c r="AA789" s="56"/>
      <c r="AB789" s="50">
        <f>(B789*194.205+C789*267.466+D789*133.845+E789*53.484+F789*40+G789*185+H789*0+I789*100+J789*300)/(194.205+267.466+133.845+53.484+0+40+185+100+300)</f>
        <v>48.674431195682878</v>
      </c>
      <c r="AC789" s="45">
        <f>(M789*'RAP TEMPLATE-GAS AVAILABILITY'!O788+N789*'RAP TEMPLATE-GAS AVAILABILITY'!P788+O789*'RAP TEMPLATE-GAS AVAILABILITY'!Q788+P789*'RAP TEMPLATE-GAS AVAILABILITY'!R788)/('RAP TEMPLATE-GAS AVAILABILITY'!O788+'RAP TEMPLATE-GAS AVAILABILITY'!P788+'RAP TEMPLATE-GAS AVAILABILITY'!Q788+'RAP TEMPLATE-GAS AVAILABILITY'!R788)</f>
        <v>48.263585611510784</v>
      </c>
    </row>
    <row r="790" spans="1:29" ht="15.75" x14ac:dyDescent="0.25">
      <c r="A790" s="32">
        <v>64954</v>
      </c>
      <c r="B790" s="14">
        <f>CHOOSE(CONTROL!$C$42, 47.6567, 47.6567) * CHOOSE(CONTROL!$C$21, $C$9, 100%, $E$9)</f>
        <v>47.656700000000001</v>
      </c>
      <c r="C790" s="14">
        <f>CHOOSE(CONTROL!$C$42, 47.6619, 47.6619) * CHOOSE(CONTROL!$C$21, $C$9, 100%, $E$9)</f>
        <v>47.661900000000003</v>
      </c>
      <c r="D790" s="14">
        <f>CHOOSE(CONTROL!$C$42, 47.8645, 47.8645) * CHOOSE(CONTROL!$C$21, $C$9, 100%, $E$9)</f>
        <v>47.8645</v>
      </c>
      <c r="E790" s="14">
        <f>CHOOSE(CONTROL!$C$42, 47.8932, 47.8932) * CHOOSE(CONTROL!$C$21, $C$9, 100%, $E$9)</f>
        <v>47.8932</v>
      </c>
      <c r="F790" s="14">
        <f>CHOOSE(CONTROL!$C$42, 47.6431, 47.6431)*CHOOSE(CONTROL!$C$21, $C$9, 100%, $E$9)</f>
        <v>47.643099999999997</v>
      </c>
      <c r="G790" s="14">
        <f>CHOOSE(CONTROL!$C$42, 47.6591, 47.6591)*CHOOSE(CONTROL!$C$21, $C$9, 100%, $E$9)</f>
        <v>47.659100000000002</v>
      </c>
      <c r="H790" s="14">
        <f>CHOOSE(CONTROL!$C$42, 47.8837, 47.8837) * CHOOSE(CONTROL!$C$21, $C$9, 100%, $E$9)</f>
        <v>47.883699999999997</v>
      </c>
      <c r="I790" s="14">
        <f>CHOOSE(CONTROL!$C$42, 47.6698, 47.6698)* CHOOSE(CONTROL!$C$21, $C$9, 100%, $E$9)</f>
        <v>47.669800000000002</v>
      </c>
      <c r="J790" s="14">
        <f>CHOOSE(CONTROL!$C$42, 47.6361, 47.6361)* CHOOSE(CONTROL!$C$21, $C$9, 100%, $E$9)</f>
        <v>47.636099999999999</v>
      </c>
      <c r="K790" s="53">
        <f>CHOOSE(CONTROL!$C$42, 47.6659, 47.6659) * CHOOSE(CONTROL!$C$21, $C$9, 100%, $E$9)</f>
        <v>47.665900000000001</v>
      </c>
      <c r="L790" s="14">
        <f>CHOOSE(CONTROL!$C$42, 48.4707, 48.4707) * CHOOSE(CONTROL!$C$21, $C$9, 100%, $E$9)</f>
        <v>48.470700000000001</v>
      </c>
      <c r="M790" s="14">
        <f>CHOOSE(CONTROL!$C$42, 47.1692, 47.1692) * CHOOSE(CONTROL!$C$21, $C$9, 100%, $E$9)</f>
        <v>47.169199999999996</v>
      </c>
      <c r="N790" s="14">
        <f>CHOOSE(CONTROL!$C$42, 47.185, 47.185) * CHOOSE(CONTROL!$C$21, $C$9, 100%, $E$9)</f>
        <v>47.185000000000002</v>
      </c>
      <c r="O790" s="14">
        <f>CHOOSE(CONTROL!$C$42, 47.4143, 47.4143) * CHOOSE(CONTROL!$C$21, $C$9, 100%, $E$9)</f>
        <v>47.414299999999997</v>
      </c>
      <c r="P790" s="14">
        <f>CHOOSE(CONTROL!$C$42, 47.2026, 47.2026) * CHOOSE(CONTROL!$C$21, $C$9, 100%, $E$9)</f>
        <v>47.202599999999997</v>
      </c>
      <c r="Q790" s="14">
        <f>CHOOSE(CONTROL!$C$42, 48.0096, 48.0096) * CHOOSE(CONTROL!$C$21, $C$9, 100%, $E$9)</f>
        <v>48.009599999999999</v>
      </c>
      <c r="R790" s="14">
        <f>CHOOSE(CONTROL!$C$42, 48.7166, 48.7166) * CHOOSE(CONTROL!$C$21, $C$9, 100%, $E$9)</f>
        <v>48.7166</v>
      </c>
      <c r="S790" s="14">
        <f>CHOOSE(CONTROL!$C$42, 46.2769, 46.2769) * CHOOSE(CONTROL!$C$21, $C$9, 100%, $E$9)</f>
        <v>46.276899999999998</v>
      </c>
      <c r="T79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790" s="57">
        <f>(1000*CHOOSE(CONTROL!$C$42, 695, 695)*CHOOSE(CONTROL!$C$42, 0.5599, 0.5599)*CHOOSE(CONTROL!$C$42, 31, 31))/1000000</f>
        <v>12.063045499999998</v>
      </c>
      <c r="V790" s="57">
        <f>(1000*CHOOSE(CONTROL!$C$42, 500, 500)*CHOOSE(CONTROL!$C$42, 0.275, 0.275)*CHOOSE(CONTROL!$C$42, 31, 31))/1000000</f>
        <v>4.2625000000000002</v>
      </c>
      <c r="W790" s="57">
        <f>(1000*CHOOSE(CONTROL!$C$42, 0.1146, 0.1146)*CHOOSE(CONTROL!$C$42, 121.5, 121.5)*CHOOSE(CONTROL!$C$42, 31, 31))/1000000</f>
        <v>0.43164089999999994</v>
      </c>
      <c r="X790" s="57">
        <f>(31*0.1790888*245000/1000000)+(31*0.2374*100000/1000000)</f>
        <v>2.0961194359999999</v>
      </c>
      <c r="Y790" s="57"/>
      <c r="Z790" s="14"/>
      <c r="AA790" s="56"/>
      <c r="AB790" s="50">
        <f>(B790*131.881+C790*277.167+D790*79.08+E790*125.872+F790*40+G790*185+H790*0+I790*100+J790*300)/(131.881+277.167+79.08+125.872+0+40+185+100+300)</f>
        <v>47.691141340112999</v>
      </c>
      <c r="AC790" s="45">
        <f>(M790*'RAP TEMPLATE-GAS AVAILABILITY'!O789+N790*'RAP TEMPLATE-GAS AVAILABILITY'!P789+O790*'RAP TEMPLATE-GAS AVAILABILITY'!Q789+P790*'RAP TEMPLATE-GAS AVAILABILITY'!R789)/('RAP TEMPLATE-GAS AVAILABILITY'!O789+'RAP TEMPLATE-GAS AVAILABILITY'!P789+'RAP TEMPLATE-GAS AVAILABILITY'!Q789+'RAP TEMPLATE-GAS AVAILABILITY'!R789)</f>
        <v>47.286003597122303</v>
      </c>
    </row>
    <row r="791" spans="1:29" ht="15.75" x14ac:dyDescent="0.25">
      <c r="A791" s="32">
        <v>64984</v>
      </c>
      <c r="B791" s="14">
        <f>CHOOSE(CONTROL!$C$42, 48.9117, 48.9117) * CHOOSE(CONTROL!$C$21, $C$9, 100%, $E$9)</f>
        <v>48.911700000000003</v>
      </c>
      <c r="C791" s="14">
        <f>CHOOSE(CONTROL!$C$42, 48.9166, 48.9166) * CHOOSE(CONTROL!$C$21, $C$9, 100%, $E$9)</f>
        <v>48.916600000000003</v>
      </c>
      <c r="D791" s="14">
        <f>CHOOSE(CONTROL!$C$42, 48.9797, 48.9797) * CHOOSE(CONTROL!$C$21, $C$9, 100%, $E$9)</f>
        <v>48.979700000000001</v>
      </c>
      <c r="E791" s="14">
        <f>CHOOSE(CONTROL!$C$42, 49.0135, 49.0135) * CHOOSE(CONTROL!$C$21, $C$9, 100%, $E$9)</f>
        <v>49.013500000000001</v>
      </c>
      <c r="F791" s="14">
        <f>CHOOSE(CONTROL!$C$42, 48.9124, 48.9124)*CHOOSE(CONTROL!$C$21, $C$9, 100%, $E$9)</f>
        <v>48.912399999999998</v>
      </c>
      <c r="G791" s="14">
        <f>CHOOSE(CONTROL!$C$42, 48.9287, 48.9287)*CHOOSE(CONTROL!$C$21, $C$9, 100%, $E$9)</f>
        <v>48.928699999999999</v>
      </c>
      <c r="H791" s="14">
        <f>CHOOSE(CONTROL!$C$42, 49.0027, 49.0027) * CHOOSE(CONTROL!$C$21, $C$9, 100%, $E$9)</f>
        <v>49.002699999999997</v>
      </c>
      <c r="I791" s="14">
        <f>CHOOSE(CONTROL!$C$42, 48.9252, 48.9252)* CHOOSE(CONTROL!$C$21, $C$9, 100%, $E$9)</f>
        <v>48.925199999999997</v>
      </c>
      <c r="J791" s="14">
        <f>CHOOSE(CONTROL!$C$42, 48.9054, 48.9054)* CHOOSE(CONTROL!$C$21, $C$9, 100%, $E$9)</f>
        <v>48.9054</v>
      </c>
      <c r="K791" s="53">
        <f>CHOOSE(CONTROL!$C$42, 48.9213, 48.9213) * CHOOSE(CONTROL!$C$21, $C$9, 100%, $E$9)</f>
        <v>48.921300000000002</v>
      </c>
      <c r="L791" s="14">
        <f>CHOOSE(CONTROL!$C$42, 49.5897, 49.5897) * CHOOSE(CONTROL!$C$21, $C$9, 100%, $E$9)</f>
        <v>49.589700000000001</v>
      </c>
      <c r="M791" s="14">
        <f>CHOOSE(CONTROL!$C$42, 48.4257, 48.4257) * CHOOSE(CONTROL!$C$21, $C$9, 100%, $E$9)</f>
        <v>48.425699999999999</v>
      </c>
      <c r="N791" s="14">
        <f>CHOOSE(CONTROL!$C$42, 48.4418, 48.4418) * CHOOSE(CONTROL!$C$21, $C$9, 100%, $E$9)</f>
        <v>48.441800000000001</v>
      </c>
      <c r="O791" s="14">
        <f>CHOOSE(CONTROL!$C$42, 48.522, 48.522) * CHOOSE(CONTROL!$C$21, $C$9, 100%, $E$9)</f>
        <v>48.521999999999998</v>
      </c>
      <c r="P791" s="14">
        <f>CHOOSE(CONTROL!$C$42, 48.4454, 48.4454) * CHOOSE(CONTROL!$C$21, $C$9, 100%, $E$9)</f>
        <v>48.445399999999999</v>
      </c>
      <c r="Q791" s="14">
        <f>CHOOSE(CONTROL!$C$42, 49.1173, 49.1173) * CHOOSE(CONTROL!$C$21, $C$9, 100%, $E$9)</f>
        <v>49.1173</v>
      </c>
      <c r="R791" s="14">
        <f>CHOOSE(CONTROL!$C$42, 49.8271, 49.8271) * CHOOSE(CONTROL!$C$21, $C$9, 100%, $E$9)</f>
        <v>49.827100000000002</v>
      </c>
      <c r="S791" s="14">
        <f>CHOOSE(CONTROL!$C$42, 47.496, 47.496) * CHOOSE(CONTROL!$C$21, $C$9, 100%, $E$9)</f>
        <v>47.496000000000002</v>
      </c>
      <c r="T79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791" s="57">
        <f>(1000*CHOOSE(CONTROL!$C$42, 695, 695)*CHOOSE(CONTROL!$C$42, 0.5599, 0.5599)*CHOOSE(CONTROL!$C$42, 30, 30))/1000000</f>
        <v>11.673914999999997</v>
      </c>
      <c r="V791" s="57">
        <f>(1000*CHOOSE(CONTROL!$C$42, 500, 500)*CHOOSE(CONTROL!$C$42, 0.275, 0.275)*CHOOSE(CONTROL!$C$42, 30, 30))/1000000</f>
        <v>4.125</v>
      </c>
      <c r="W791" s="57">
        <f>(1000*CHOOSE(CONTROL!$C$42, 0.1146, 0.1146)*CHOOSE(CONTROL!$C$42, 121.5, 121.5)*CHOOSE(CONTROL!$C$42, 30, 30))/1000000</f>
        <v>0.417717</v>
      </c>
      <c r="X791" s="57">
        <f>(30*0.1790888*100000/1000000)+(30*0.2374*100000/1000000)</f>
        <v>1.2494664</v>
      </c>
      <c r="Y791" s="57"/>
      <c r="Z791" s="14"/>
      <c r="AA791" s="56"/>
      <c r="AB791" s="50">
        <f>(B791*122.58+C791*297.941+D791*89.177+E791*40.302+F791*40+G791*160+H791*0+I791*100+J791*300)/(122.58+297.941+89.177+40.302+0+40+160+100+300)</f>
        <v>48.923730165652167</v>
      </c>
      <c r="AC791" s="45">
        <f>(M791*'RAP TEMPLATE-GAS AVAILABILITY'!O790+N791*'RAP TEMPLATE-GAS AVAILABILITY'!P790+O791*'RAP TEMPLATE-GAS AVAILABILITY'!Q790+P791*'RAP TEMPLATE-GAS AVAILABILITY'!R790)/('RAP TEMPLATE-GAS AVAILABILITY'!O790+'RAP TEMPLATE-GAS AVAILABILITY'!P790+'RAP TEMPLATE-GAS AVAILABILITY'!Q790+'RAP TEMPLATE-GAS AVAILABILITY'!R790)</f>
        <v>48.473107913669061</v>
      </c>
    </row>
    <row r="792" spans="1:29" ht="15.75" x14ac:dyDescent="0.25">
      <c r="A792" s="32">
        <v>65015</v>
      </c>
      <c r="B792" s="14">
        <f>CHOOSE(CONTROL!$C$42, 52.2463, 52.2463) * CHOOSE(CONTROL!$C$21, $C$9, 100%, $E$9)</f>
        <v>52.246299999999998</v>
      </c>
      <c r="C792" s="14">
        <f>CHOOSE(CONTROL!$C$42, 52.2512, 52.2512) * CHOOSE(CONTROL!$C$21, $C$9, 100%, $E$9)</f>
        <v>52.251199999999997</v>
      </c>
      <c r="D792" s="14">
        <f>CHOOSE(CONTROL!$C$42, 52.3143, 52.3143) * CHOOSE(CONTROL!$C$21, $C$9, 100%, $E$9)</f>
        <v>52.314300000000003</v>
      </c>
      <c r="E792" s="14">
        <f>CHOOSE(CONTROL!$C$42, 52.3481, 52.3481) * CHOOSE(CONTROL!$C$21, $C$9, 100%, $E$9)</f>
        <v>52.348100000000002</v>
      </c>
      <c r="F792" s="14">
        <f>CHOOSE(CONTROL!$C$42, 52.249, 52.249)*CHOOSE(CONTROL!$C$21, $C$9, 100%, $E$9)</f>
        <v>52.249000000000002</v>
      </c>
      <c r="G792" s="14">
        <f>CHOOSE(CONTROL!$C$42, 52.2658, 52.2658)*CHOOSE(CONTROL!$C$21, $C$9, 100%, $E$9)</f>
        <v>52.265799999999999</v>
      </c>
      <c r="H792" s="14">
        <f>CHOOSE(CONTROL!$C$42, 52.3373, 52.3373) * CHOOSE(CONTROL!$C$21, $C$9, 100%, $E$9)</f>
        <v>52.337299999999999</v>
      </c>
      <c r="I792" s="14">
        <f>CHOOSE(CONTROL!$C$42, 52.2598, 52.2598)* CHOOSE(CONTROL!$C$21, $C$9, 100%, $E$9)</f>
        <v>52.259799999999998</v>
      </c>
      <c r="J792" s="14">
        <f>CHOOSE(CONTROL!$C$42, 52.242, 52.242)* CHOOSE(CONTROL!$C$21, $C$9, 100%, $E$9)</f>
        <v>52.241999999999997</v>
      </c>
      <c r="K792" s="53">
        <f>CHOOSE(CONTROL!$C$42, 52.2559, 52.2559) * CHOOSE(CONTROL!$C$21, $C$9, 100%, $E$9)</f>
        <v>52.255899999999997</v>
      </c>
      <c r="L792" s="14">
        <f>CHOOSE(CONTROL!$C$42, 52.9243, 52.9243) * CHOOSE(CONTROL!$C$21, $C$9, 100%, $E$9)</f>
        <v>52.924300000000002</v>
      </c>
      <c r="M792" s="14">
        <f>CHOOSE(CONTROL!$C$42, 51.7286, 51.7286) * CHOOSE(CONTROL!$C$21, $C$9, 100%, $E$9)</f>
        <v>51.7286</v>
      </c>
      <c r="N792" s="14">
        <f>CHOOSE(CONTROL!$C$42, 51.7453, 51.7453) * CHOOSE(CONTROL!$C$21, $C$9, 100%, $E$9)</f>
        <v>51.7453</v>
      </c>
      <c r="O792" s="14">
        <f>CHOOSE(CONTROL!$C$42, 51.8229, 51.8229) * CHOOSE(CONTROL!$C$21, $C$9, 100%, $E$9)</f>
        <v>51.822899999999997</v>
      </c>
      <c r="P792" s="14">
        <f>CHOOSE(CONTROL!$C$42, 51.7463, 51.7463) * CHOOSE(CONTROL!$C$21, $C$9, 100%, $E$9)</f>
        <v>51.746299999999998</v>
      </c>
      <c r="Q792" s="14">
        <f>CHOOSE(CONTROL!$C$42, 52.4182, 52.4182) * CHOOSE(CONTROL!$C$21, $C$9, 100%, $E$9)</f>
        <v>52.418199999999999</v>
      </c>
      <c r="R792" s="14">
        <f>CHOOSE(CONTROL!$C$42, 53.1363, 53.1363) * CHOOSE(CONTROL!$C$21, $C$9, 100%, $E$9)</f>
        <v>53.136299999999999</v>
      </c>
      <c r="S792" s="14">
        <f>CHOOSE(CONTROL!$C$42, 50.7342, 50.7342) * CHOOSE(CONTROL!$C$21, $C$9, 100%, $E$9)</f>
        <v>50.734200000000001</v>
      </c>
      <c r="T79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792" s="57">
        <f>(1000*CHOOSE(CONTROL!$C$42, 695, 695)*CHOOSE(CONTROL!$C$42, 0.5599, 0.5599)*CHOOSE(CONTROL!$C$42, 31, 31))/1000000</f>
        <v>12.063045499999998</v>
      </c>
      <c r="V792" s="57">
        <f>(1000*CHOOSE(CONTROL!$C$42, 500, 500)*CHOOSE(CONTROL!$C$42, 0.275, 0.275)*CHOOSE(CONTROL!$C$42, 31, 31))/1000000</f>
        <v>4.2625000000000002</v>
      </c>
      <c r="W792" s="57">
        <f>(1000*CHOOSE(CONTROL!$C$42, 0.1146, 0.1146)*CHOOSE(CONTROL!$C$42, 121.5, 121.5)*CHOOSE(CONTROL!$C$42, 31, 31))/1000000</f>
        <v>0.43164089999999994</v>
      </c>
      <c r="X792" s="57">
        <f>(31*0.1790888*100000/1000000)+(31*0.2374*100000/1000000)</f>
        <v>1.2911152800000001</v>
      </c>
      <c r="Y792" s="57"/>
      <c r="Z792" s="14"/>
      <c r="AA792" s="56"/>
      <c r="AB792" s="50">
        <f>(B792*122.58+C792*297.941+D792*89.177+E792*40.302+F792*40+G792*160+H792*0+I792*100+J792*300)/(122.58+297.941+89.177+40.302+0+40+160+100+300)</f>
        <v>52.259269296086956</v>
      </c>
      <c r="AC792" s="45">
        <f>(M792*'RAP TEMPLATE-GAS AVAILABILITY'!O791+N792*'RAP TEMPLATE-GAS AVAILABILITY'!P791+O792*'RAP TEMPLATE-GAS AVAILABILITY'!Q791+P792*'RAP TEMPLATE-GAS AVAILABILITY'!R791)/('RAP TEMPLATE-GAS AVAILABILITY'!O791+'RAP TEMPLATE-GAS AVAILABILITY'!P791+'RAP TEMPLATE-GAS AVAILABILITY'!Q791+'RAP TEMPLATE-GAS AVAILABILITY'!R791)</f>
        <v>51.774848201438843</v>
      </c>
    </row>
    <row r="793" spans="1:29" ht="15.75" x14ac:dyDescent="0.25">
      <c r="A793" s="32">
        <v>65046</v>
      </c>
      <c r="B793" s="14">
        <f>CHOOSE(CONTROL!$C$42, 56.5269, 56.5269) * CHOOSE(CONTROL!$C$21, $C$9, 100%, $E$9)</f>
        <v>56.526899999999998</v>
      </c>
      <c r="C793" s="14">
        <f>CHOOSE(CONTROL!$C$42, 56.5319, 56.5319) * CHOOSE(CONTROL!$C$21, $C$9, 100%, $E$9)</f>
        <v>56.5319</v>
      </c>
      <c r="D793" s="14">
        <f>CHOOSE(CONTROL!$C$42, 56.5961, 56.5961) * CHOOSE(CONTROL!$C$21, $C$9, 100%, $E$9)</f>
        <v>56.5961</v>
      </c>
      <c r="E793" s="14">
        <f>CHOOSE(CONTROL!$C$42, 56.6299, 56.6299) * CHOOSE(CONTROL!$C$21, $C$9, 100%, $E$9)</f>
        <v>56.629899999999999</v>
      </c>
      <c r="F793" s="14">
        <f>CHOOSE(CONTROL!$C$42, 56.5284, 56.5284)*CHOOSE(CONTROL!$C$21, $C$9, 100%, $E$9)</f>
        <v>56.528399999999998</v>
      </c>
      <c r="G793" s="14">
        <f>CHOOSE(CONTROL!$C$42, 56.5444, 56.5444)*CHOOSE(CONTROL!$C$21, $C$9, 100%, $E$9)</f>
        <v>56.544400000000003</v>
      </c>
      <c r="H793" s="14">
        <f>CHOOSE(CONTROL!$C$42, 56.6191, 56.6191) * CHOOSE(CONTROL!$C$21, $C$9, 100%, $E$9)</f>
        <v>56.619100000000003</v>
      </c>
      <c r="I793" s="14">
        <f>CHOOSE(CONTROL!$C$42, 56.5469, 56.5469)* CHOOSE(CONTROL!$C$21, $C$9, 100%, $E$9)</f>
        <v>56.546900000000001</v>
      </c>
      <c r="J793" s="14">
        <f>CHOOSE(CONTROL!$C$42, 56.5214, 56.5214)* CHOOSE(CONTROL!$C$21, $C$9, 100%, $E$9)</f>
        <v>56.5214</v>
      </c>
      <c r="K793" s="53">
        <f>CHOOSE(CONTROL!$C$42, 56.543, 56.543) * CHOOSE(CONTROL!$C$21, $C$9, 100%, $E$9)</f>
        <v>56.542999999999999</v>
      </c>
      <c r="L793" s="14">
        <f>CHOOSE(CONTROL!$C$42, 57.2061, 57.2061) * CHOOSE(CONTROL!$C$21, $C$9, 100%, $E$9)</f>
        <v>57.206099999999999</v>
      </c>
      <c r="M793" s="14">
        <f>CHOOSE(CONTROL!$C$42, 55.9649, 55.9649) * CHOOSE(CONTROL!$C$21, $C$9, 100%, $E$9)</f>
        <v>55.9649</v>
      </c>
      <c r="N793" s="14">
        <f>CHOOSE(CONTROL!$C$42, 55.9806, 55.9806) * CHOOSE(CONTROL!$C$21, $C$9, 100%, $E$9)</f>
        <v>55.980600000000003</v>
      </c>
      <c r="O793" s="14">
        <f>CHOOSE(CONTROL!$C$42, 56.0616, 56.0616) * CHOOSE(CONTROL!$C$21, $C$9, 100%, $E$9)</f>
        <v>56.061599999999999</v>
      </c>
      <c r="P793" s="14">
        <f>CHOOSE(CONTROL!$C$42, 55.9901, 55.9901) * CHOOSE(CONTROL!$C$21, $C$9, 100%, $E$9)</f>
        <v>55.990099999999998</v>
      </c>
      <c r="Q793" s="14">
        <f>CHOOSE(CONTROL!$C$42, 56.6569, 56.6569) * CHOOSE(CONTROL!$C$21, $C$9, 100%, $E$9)</f>
        <v>56.6569</v>
      </c>
      <c r="R793" s="14">
        <f>CHOOSE(CONTROL!$C$42, 57.3855, 57.3855) * CHOOSE(CONTROL!$C$21, $C$9, 100%, $E$9)</f>
        <v>57.3855</v>
      </c>
      <c r="S793" s="14">
        <f>CHOOSE(CONTROL!$C$42, 54.8912, 54.8912) * CHOOSE(CONTROL!$C$21, $C$9, 100%, $E$9)</f>
        <v>54.891199999999998</v>
      </c>
      <c r="T79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793" s="57">
        <f>(1000*CHOOSE(CONTROL!$C$42, 695, 695)*CHOOSE(CONTROL!$C$42, 0.5599, 0.5599)*CHOOSE(CONTROL!$C$42, 31, 31))/1000000</f>
        <v>12.063045499999998</v>
      </c>
      <c r="V793" s="57">
        <f>(1000*CHOOSE(CONTROL!$C$42, 500, 500)*CHOOSE(CONTROL!$C$42, 0.275, 0.275)*CHOOSE(CONTROL!$C$42, 31, 31))/1000000</f>
        <v>4.2625000000000002</v>
      </c>
      <c r="W793" s="57">
        <f>(1000*CHOOSE(CONTROL!$C$42, 0.1146, 0.1146)*CHOOSE(CONTROL!$C$42, 121.5, 121.5)*CHOOSE(CONTROL!$C$42, 31, 31))/1000000</f>
        <v>0.43164089999999994</v>
      </c>
      <c r="X793" s="57">
        <f>(31*0.1790888*100000/1000000)+(31*0.2374*100000/1000000)</f>
        <v>1.2911152800000001</v>
      </c>
      <c r="Y793" s="57"/>
      <c r="Z793" s="14"/>
      <c r="AA793" s="56"/>
      <c r="AB793" s="50">
        <f>(B793*122.58+C793*297.941+D793*89.177+E793*40.302+F793*40+G793*160+H793*0+I793*100+J793*300)/(122.58+297.941+89.177+40.302+0+40+160+100+300)</f>
        <v>56.539962486434781</v>
      </c>
      <c r="AC793" s="45">
        <f>(M793*'RAP TEMPLATE-GAS AVAILABILITY'!O792+N793*'RAP TEMPLATE-GAS AVAILABILITY'!P792+O793*'RAP TEMPLATE-GAS AVAILABILITY'!Q792+P793*'RAP TEMPLATE-GAS AVAILABILITY'!R792)/('RAP TEMPLATE-GAS AVAILABILITY'!O792+'RAP TEMPLATE-GAS AVAILABILITY'!P792+'RAP TEMPLATE-GAS AVAILABILITY'!Q792+'RAP TEMPLATE-GAS AVAILABILITY'!R792)</f>
        <v>56.013257553956834</v>
      </c>
    </row>
    <row r="794" spans="1:29" ht="15.75" x14ac:dyDescent="0.25">
      <c r="A794" s="32">
        <v>65074</v>
      </c>
      <c r="B794" s="14">
        <f>CHOOSE(CONTROL!$C$42, 57.5331, 57.5331) * CHOOSE(CONTROL!$C$21, $C$9, 100%, $E$9)</f>
        <v>57.533099999999997</v>
      </c>
      <c r="C794" s="14">
        <f>CHOOSE(CONTROL!$C$42, 57.5381, 57.5381) * CHOOSE(CONTROL!$C$21, $C$9, 100%, $E$9)</f>
        <v>57.5381</v>
      </c>
      <c r="D794" s="14">
        <f>CHOOSE(CONTROL!$C$42, 57.6024, 57.6024) * CHOOSE(CONTROL!$C$21, $C$9, 100%, $E$9)</f>
        <v>57.602400000000003</v>
      </c>
      <c r="E794" s="14">
        <f>CHOOSE(CONTROL!$C$42, 57.6361, 57.6361) * CHOOSE(CONTROL!$C$21, $C$9, 100%, $E$9)</f>
        <v>57.636099999999999</v>
      </c>
      <c r="F794" s="14">
        <f>CHOOSE(CONTROL!$C$42, 57.5347, 57.5347)*CHOOSE(CONTROL!$C$21, $C$9, 100%, $E$9)</f>
        <v>57.534700000000001</v>
      </c>
      <c r="G794" s="14">
        <f>CHOOSE(CONTROL!$C$42, 57.5506, 57.5506)*CHOOSE(CONTROL!$C$21, $C$9, 100%, $E$9)</f>
        <v>57.550600000000003</v>
      </c>
      <c r="H794" s="14">
        <f>CHOOSE(CONTROL!$C$42, 57.6253, 57.6253) * CHOOSE(CONTROL!$C$21, $C$9, 100%, $E$9)</f>
        <v>57.625300000000003</v>
      </c>
      <c r="I794" s="14">
        <f>CHOOSE(CONTROL!$C$42, 57.5531, 57.5531)* CHOOSE(CONTROL!$C$21, $C$9, 100%, $E$9)</f>
        <v>57.553100000000001</v>
      </c>
      <c r="J794" s="14">
        <f>CHOOSE(CONTROL!$C$42, 57.5277, 57.5277)* CHOOSE(CONTROL!$C$21, $C$9, 100%, $E$9)</f>
        <v>57.527700000000003</v>
      </c>
      <c r="K794" s="53">
        <f>CHOOSE(CONTROL!$C$42, 57.5492, 57.5492) * CHOOSE(CONTROL!$C$21, $C$9, 100%, $E$9)</f>
        <v>57.549199999999999</v>
      </c>
      <c r="L794" s="14">
        <f>CHOOSE(CONTROL!$C$42, 58.2123, 58.2123) * CHOOSE(CONTROL!$C$21, $C$9, 100%, $E$9)</f>
        <v>58.212299999999999</v>
      </c>
      <c r="M794" s="14">
        <f>CHOOSE(CONTROL!$C$42, 56.961, 56.961) * CHOOSE(CONTROL!$C$21, $C$9, 100%, $E$9)</f>
        <v>56.960999999999999</v>
      </c>
      <c r="N794" s="14">
        <f>CHOOSE(CONTROL!$C$42, 56.9767, 56.9767) * CHOOSE(CONTROL!$C$21, $C$9, 100%, $E$9)</f>
        <v>56.976700000000001</v>
      </c>
      <c r="O794" s="14">
        <f>CHOOSE(CONTROL!$C$42, 57.0576, 57.0576) * CHOOSE(CONTROL!$C$21, $C$9, 100%, $E$9)</f>
        <v>57.057600000000001</v>
      </c>
      <c r="P794" s="14">
        <f>CHOOSE(CONTROL!$C$42, 56.9862, 56.9862) * CHOOSE(CONTROL!$C$21, $C$9, 100%, $E$9)</f>
        <v>56.986199999999997</v>
      </c>
      <c r="Q794" s="14">
        <f>CHOOSE(CONTROL!$C$42, 57.6529, 57.6529) * CHOOSE(CONTROL!$C$21, $C$9, 100%, $E$9)</f>
        <v>57.652900000000002</v>
      </c>
      <c r="R794" s="14">
        <f>CHOOSE(CONTROL!$C$42, 58.3841, 58.3841) * CHOOSE(CONTROL!$C$21, $C$9, 100%, $E$9)</f>
        <v>58.384099999999997</v>
      </c>
      <c r="S794" s="14">
        <f>CHOOSE(CONTROL!$C$42, 55.8683, 55.8683) * CHOOSE(CONTROL!$C$21, $C$9, 100%, $E$9)</f>
        <v>55.868299999999998</v>
      </c>
      <c r="T79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794" s="57">
        <f>(1000*CHOOSE(CONTROL!$C$42, 695, 695)*CHOOSE(CONTROL!$C$42, 0.5599, 0.5599)*CHOOSE(CONTROL!$C$42, 28, 28))/1000000</f>
        <v>10.895653999999999</v>
      </c>
      <c r="V794" s="57">
        <f>(1000*CHOOSE(CONTROL!$C$42, 500, 500)*CHOOSE(CONTROL!$C$42, 0.275, 0.275)*CHOOSE(CONTROL!$C$42, 28, 28))/1000000</f>
        <v>3.85</v>
      </c>
      <c r="W794" s="57">
        <f>(1000*CHOOSE(CONTROL!$C$42, 0.1146, 0.1146)*CHOOSE(CONTROL!$C$42, 121.5, 121.5)*CHOOSE(CONTROL!$C$42, 28, 28))/1000000</f>
        <v>0.38986920000000003</v>
      </c>
      <c r="X794" s="57">
        <f>(28*0.1790888*100000/1000000)+(28*0.2374*100000/1000000)</f>
        <v>1.16616864</v>
      </c>
      <c r="Y794" s="57"/>
      <c r="Z794" s="14"/>
      <c r="AA794" s="56"/>
      <c r="AB794" s="50">
        <f>(B794*122.58+C794*297.941+D794*89.177+E794*40.302+F794*40+G794*160+H794*0+I794*100+J794*300)/(122.58+297.941+89.177+40.302+0+40+160+100+300)</f>
        <v>57.54619980617391</v>
      </c>
      <c r="AC794" s="45">
        <f>(M794*'RAP TEMPLATE-GAS AVAILABILITY'!O793+N794*'RAP TEMPLATE-GAS AVAILABILITY'!P793+O794*'RAP TEMPLATE-GAS AVAILABILITY'!Q793+P794*'RAP TEMPLATE-GAS AVAILABILITY'!R793)/('RAP TEMPLATE-GAS AVAILABILITY'!O793+'RAP TEMPLATE-GAS AVAILABILITY'!P793+'RAP TEMPLATE-GAS AVAILABILITY'!Q793+'RAP TEMPLATE-GAS AVAILABILITY'!R793)</f>
        <v>57.009312230215826</v>
      </c>
    </row>
    <row r="795" spans="1:29" ht="15.75" x14ac:dyDescent="0.25">
      <c r="A795" s="32">
        <v>65105</v>
      </c>
      <c r="B795" s="14">
        <f>CHOOSE(CONTROL!$C$42, 55.8998, 55.8998) * CHOOSE(CONTROL!$C$21, $C$9, 100%, $E$9)</f>
        <v>55.899799999999999</v>
      </c>
      <c r="C795" s="14">
        <f>CHOOSE(CONTROL!$C$42, 55.9048, 55.9048) * CHOOSE(CONTROL!$C$21, $C$9, 100%, $E$9)</f>
        <v>55.904800000000002</v>
      </c>
      <c r="D795" s="14">
        <f>CHOOSE(CONTROL!$C$42, 55.969, 55.969) * CHOOSE(CONTROL!$C$21, $C$9, 100%, $E$9)</f>
        <v>55.969000000000001</v>
      </c>
      <c r="E795" s="14">
        <f>CHOOSE(CONTROL!$C$42, 56.0028, 56.0028) * CHOOSE(CONTROL!$C$21, $C$9, 100%, $E$9)</f>
        <v>56.002800000000001</v>
      </c>
      <c r="F795" s="14">
        <f>CHOOSE(CONTROL!$C$42, 55.9011, 55.9011)*CHOOSE(CONTROL!$C$21, $C$9, 100%, $E$9)</f>
        <v>55.9011</v>
      </c>
      <c r="G795" s="14">
        <f>CHOOSE(CONTROL!$C$42, 55.9169, 55.9169)*CHOOSE(CONTROL!$C$21, $C$9, 100%, $E$9)</f>
        <v>55.916899999999998</v>
      </c>
      <c r="H795" s="14">
        <f>CHOOSE(CONTROL!$C$42, 55.992, 55.992) * CHOOSE(CONTROL!$C$21, $C$9, 100%, $E$9)</f>
        <v>55.991999999999997</v>
      </c>
      <c r="I795" s="14">
        <f>CHOOSE(CONTROL!$C$42, 55.9198, 55.9198)* CHOOSE(CONTROL!$C$21, $C$9, 100%, $E$9)</f>
        <v>55.919800000000002</v>
      </c>
      <c r="J795" s="14">
        <f>CHOOSE(CONTROL!$C$42, 55.8941, 55.8941)* CHOOSE(CONTROL!$C$21, $C$9, 100%, $E$9)</f>
        <v>55.894100000000002</v>
      </c>
      <c r="K795" s="53">
        <f>CHOOSE(CONTROL!$C$42, 55.9159, 55.9159) * CHOOSE(CONTROL!$C$21, $C$9, 100%, $E$9)</f>
        <v>55.915900000000001</v>
      </c>
      <c r="L795" s="14">
        <f>CHOOSE(CONTROL!$C$42, 56.579, 56.579) * CHOOSE(CONTROL!$C$21, $C$9, 100%, $E$9)</f>
        <v>56.579000000000001</v>
      </c>
      <c r="M795" s="14">
        <f>CHOOSE(CONTROL!$C$42, 55.3438, 55.3438) * CHOOSE(CONTROL!$C$21, $C$9, 100%, $E$9)</f>
        <v>55.343800000000002</v>
      </c>
      <c r="N795" s="14">
        <f>CHOOSE(CONTROL!$C$42, 55.3595, 55.3595) * CHOOSE(CONTROL!$C$21, $C$9, 100%, $E$9)</f>
        <v>55.359499999999997</v>
      </c>
      <c r="O795" s="14">
        <f>CHOOSE(CONTROL!$C$42, 55.4408, 55.4408) * CHOOSE(CONTROL!$C$21, $C$9, 100%, $E$9)</f>
        <v>55.440800000000003</v>
      </c>
      <c r="P795" s="14">
        <f>CHOOSE(CONTROL!$C$42, 55.3693, 55.3693) * CHOOSE(CONTROL!$C$21, $C$9, 100%, $E$9)</f>
        <v>55.369300000000003</v>
      </c>
      <c r="Q795" s="14">
        <f>CHOOSE(CONTROL!$C$42, 56.0361, 56.0361) * CHOOSE(CONTROL!$C$21, $C$9, 100%, $E$9)</f>
        <v>56.036099999999998</v>
      </c>
      <c r="R795" s="14">
        <f>CHOOSE(CONTROL!$C$42, 56.7632, 56.7632) * CHOOSE(CONTROL!$C$21, $C$9, 100%, $E$9)</f>
        <v>56.763199999999998</v>
      </c>
      <c r="S795" s="14">
        <f>CHOOSE(CONTROL!$C$42, 54.2822, 54.2822) * CHOOSE(CONTROL!$C$21, $C$9, 100%, $E$9)</f>
        <v>54.282200000000003</v>
      </c>
      <c r="T79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795" s="57">
        <f>(1000*CHOOSE(CONTROL!$C$42, 695, 695)*CHOOSE(CONTROL!$C$42, 0.5599, 0.5599)*CHOOSE(CONTROL!$C$42, 31, 31))/1000000</f>
        <v>12.063045499999998</v>
      </c>
      <c r="V795" s="57">
        <f>(1000*CHOOSE(CONTROL!$C$42, 500, 500)*CHOOSE(CONTROL!$C$42, 0.275, 0.275)*CHOOSE(CONTROL!$C$42, 31, 31))/1000000</f>
        <v>4.2625000000000002</v>
      </c>
      <c r="W795" s="57">
        <f>(1000*CHOOSE(CONTROL!$C$42, 0.1146, 0.1146)*CHOOSE(CONTROL!$C$42, 121.5, 121.5)*CHOOSE(CONTROL!$C$42, 31, 31))/1000000</f>
        <v>0.43164089999999994</v>
      </c>
      <c r="X795" s="57">
        <f>(31*0.1790888*100000/1000000)+(31*0.2374*100000/1000000)</f>
        <v>1.2911152800000001</v>
      </c>
      <c r="Y795" s="57"/>
      <c r="Z795" s="14"/>
      <c r="AA795" s="56"/>
      <c r="AB795" s="50">
        <f>(B795*122.58+C795*297.941+D795*89.177+E795*40.302+F795*40+G795*160+H795*0+I795*100+J795*300)/(122.58+297.941+89.177+40.302+0+40+160+100+300)</f>
        <v>55.912747703826085</v>
      </c>
      <c r="AC795" s="45">
        <f>(M795*'RAP TEMPLATE-GAS AVAILABILITY'!O794+N795*'RAP TEMPLATE-GAS AVAILABILITY'!P794+O795*'RAP TEMPLATE-GAS AVAILABILITY'!Q794+P795*'RAP TEMPLATE-GAS AVAILABILITY'!R794)/('RAP TEMPLATE-GAS AVAILABILITY'!O794+'RAP TEMPLATE-GAS AVAILABILITY'!P794+'RAP TEMPLATE-GAS AVAILABILITY'!Q794+'RAP TEMPLATE-GAS AVAILABILITY'!R794)</f>
        <v>55.39233669064749</v>
      </c>
    </row>
    <row r="796" spans="1:29" ht="15.75" x14ac:dyDescent="0.25">
      <c r="A796" s="32">
        <v>65135</v>
      </c>
      <c r="B796" s="14">
        <f>CHOOSE(CONTROL!$C$42, 55.7336, 55.7336) * CHOOSE(CONTROL!$C$21, $C$9, 100%, $E$9)</f>
        <v>55.733600000000003</v>
      </c>
      <c r="C796" s="14">
        <f>CHOOSE(CONTROL!$C$42, 55.738, 55.738) * CHOOSE(CONTROL!$C$21, $C$9, 100%, $E$9)</f>
        <v>55.738</v>
      </c>
      <c r="D796" s="14">
        <f>CHOOSE(CONTROL!$C$42, 55.9387, 55.9387) * CHOOSE(CONTROL!$C$21, $C$9, 100%, $E$9)</f>
        <v>55.938699999999997</v>
      </c>
      <c r="E796" s="14">
        <f>CHOOSE(CONTROL!$C$42, 55.9705, 55.9705) * CHOOSE(CONTROL!$C$21, $C$9, 100%, $E$9)</f>
        <v>55.970500000000001</v>
      </c>
      <c r="F796" s="14">
        <f>CHOOSE(CONTROL!$C$42, 55.7182, 55.7182)*CHOOSE(CONTROL!$C$21, $C$9, 100%, $E$9)</f>
        <v>55.718200000000003</v>
      </c>
      <c r="G796" s="14">
        <f>CHOOSE(CONTROL!$C$42, 55.7338, 55.7338)*CHOOSE(CONTROL!$C$21, $C$9, 100%, $E$9)</f>
        <v>55.733800000000002</v>
      </c>
      <c r="H796" s="14">
        <f>CHOOSE(CONTROL!$C$42, 55.9603, 55.9603) * CHOOSE(CONTROL!$C$21, $C$9, 100%, $E$9)</f>
        <v>55.960299999999997</v>
      </c>
      <c r="I796" s="14">
        <f>CHOOSE(CONTROL!$C$42, 55.7464, 55.7464)* CHOOSE(CONTROL!$C$21, $C$9, 100%, $E$9)</f>
        <v>55.746400000000001</v>
      </c>
      <c r="J796" s="14">
        <f>CHOOSE(CONTROL!$C$42, 55.7112, 55.7112)* CHOOSE(CONTROL!$C$21, $C$9, 100%, $E$9)</f>
        <v>55.711199999999998</v>
      </c>
      <c r="K796" s="53">
        <f>CHOOSE(CONTROL!$C$42, 55.7425, 55.7425) * CHOOSE(CONTROL!$C$21, $C$9, 100%, $E$9)</f>
        <v>55.7425</v>
      </c>
      <c r="L796" s="14">
        <f>CHOOSE(CONTROL!$C$42, 56.5473, 56.5473) * CHOOSE(CONTROL!$C$21, $C$9, 100%, $E$9)</f>
        <v>56.5473</v>
      </c>
      <c r="M796" s="14">
        <f>CHOOSE(CONTROL!$C$42, 55.1628, 55.1628) * CHOOSE(CONTROL!$C$21, $C$9, 100%, $E$9)</f>
        <v>55.162799999999997</v>
      </c>
      <c r="N796" s="14">
        <f>CHOOSE(CONTROL!$C$42, 55.1783, 55.1783) * CHOOSE(CONTROL!$C$21, $C$9, 100%, $E$9)</f>
        <v>55.1783</v>
      </c>
      <c r="O796" s="14">
        <f>CHOOSE(CONTROL!$C$42, 55.4094, 55.4094) * CHOOSE(CONTROL!$C$21, $C$9, 100%, $E$9)</f>
        <v>55.409399999999998</v>
      </c>
      <c r="P796" s="14">
        <f>CHOOSE(CONTROL!$C$42, 55.1977, 55.1977) * CHOOSE(CONTROL!$C$21, $C$9, 100%, $E$9)</f>
        <v>55.197699999999998</v>
      </c>
      <c r="Q796" s="14">
        <f>CHOOSE(CONTROL!$C$42, 56.0047, 56.0047) * CHOOSE(CONTROL!$C$21, $C$9, 100%, $E$9)</f>
        <v>56.0047</v>
      </c>
      <c r="R796" s="14">
        <f>CHOOSE(CONTROL!$C$42, 56.7317, 56.7317) * CHOOSE(CONTROL!$C$21, $C$9, 100%, $E$9)</f>
        <v>56.731699999999996</v>
      </c>
      <c r="S796" s="14">
        <f>CHOOSE(CONTROL!$C$42, 54.12, 54.12) * CHOOSE(CONTROL!$C$21, $C$9, 100%, $E$9)</f>
        <v>54.12</v>
      </c>
      <c r="T79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796" s="57">
        <f>(1000*CHOOSE(CONTROL!$C$42, 695, 695)*CHOOSE(CONTROL!$C$42, 0.5599, 0.5599)*CHOOSE(CONTROL!$C$42, 30, 30))/1000000</f>
        <v>11.673914999999997</v>
      </c>
      <c r="V796" s="57">
        <f>(1000*CHOOSE(CONTROL!$C$42, 500, 500)*CHOOSE(CONTROL!$C$42, 0.275, 0.275)*CHOOSE(CONTROL!$C$42, 30, 30))/1000000</f>
        <v>4.125</v>
      </c>
      <c r="W796" s="57">
        <f>(1000*CHOOSE(CONTROL!$C$42, 0.1146, 0.1146)*CHOOSE(CONTROL!$C$42, 121.5, 121.5)*CHOOSE(CONTROL!$C$42, 30, 30))/1000000</f>
        <v>0.417717</v>
      </c>
      <c r="X796" s="57">
        <f>(30*0.1790888*245000/1000000)+(30*0.2374*100000/1000000)</f>
        <v>2.0285026799999999</v>
      </c>
      <c r="Y796" s="57"/>
      <c r="Z796" s="14"/>
      <c r="AA796" s="56"/>
      <c r="AB796" s="50">
        <f>(B796*141.293+C796*267.993+D796*115.016+E796*89.698+F796*40+G796*185+H796*0+I796*100+J796*300)/(141.293+267.993+115.016+89.698+0+40+185+100+300)</f>
        <v>55.76588362146893</v>
      </c>
      <c r="AC796" s="45">
        <f>(M796*'RAP TEMPLATE-GAS AVAILABILITY'!O795+N796*'RAP TEMPLATE-GAS AVAILABILITY'!P795+O796*'RAP TEMPLATE-GAS AVAILABILITY'!Q795+P796*'RAP TEMPLATE-GAS AVAILABILITY'!R795)/('RAP TEMPLATE-GAS AVAILABILITY'!O795+'RAP TEMPLATE-GAS AVAILABILITY'!P795+'RAP TEMPLATE-GAS AVAILABILITY'!Q795+'RAP TEMPLATE-GAS AVAILABILITY'!R795)</f>
        <v>55.280482014388483</v>
      </c>
    </row>
    <row r="797" spans="1:29" ht="15.75" x14ac:dyDescent="0.25">
      <c r="A797" s="32">
        <v>65166</v>
      </c>
      <c r="B797" s="14">
        <f>CHOOSE(CONTROL!$C$42, 56.2269, 56.2269) * CHOOSE(CONTROL!$C$21, $C$9, 100%, $E$9)</f>
        <v>56.226900000000001</v>
      </c>
      <c r="C797" s="14">
        <f>CHOOSE(CONTROL!$C$42, 56.2348, 56.2348) * CHOOSE(CONTROL!$C$21, $C$9, 100%, $E$9)</f>
        <v>56.2348</v>
      </c>
      <c r="D797" s="14">
        <f>CHOOSE(CONTROL!$C$42, 56.4324, 56.4324) * CHOOSE(CONTROL!$C$21, $C$9, 100%, $E$9)</f>
        <v>56.432400000000001</v>
      </c>
      <c r="E797" s="14">
        <f>CHOOSE(CONTROL!$C$42, 56.4635, 56.4635) * CHOOSE(CONTROL!$C$21, $C$9, 100%, $E$9)</f>
        <v>56.463500000000003</v>
      </c>
      <c r="F797" s="14">
        <f>CHOOSE(CONTROL!$C$42, 56.2103, 56.2103)*CHOOSE(CONTROL!$C$21, $C$9, 100%, $E$9)</f>
        <v>56.210299999999997</v>
      </c>
      <c r="G797" s="14">
        <f>CHOOSE(CONTROL!$C$42, 56.2264, 56.2264)*CHOOSE(CONTROL!$C$21, $C$9, 100%, $E$9)</f>
        <v>56.226399999999998</v>
      </c>
      <c r="H797" s="14">
        <f>CHOOSE(CONTROL!$C$42, 56.4522, 56.4522) * CHOOSE(CONTROL!$C$21, $C$9, 100%, $E$9)</f>
        <v>56.452199999999998</v>
      </c>
      <c r="I797" s="14">
        <f>CHOOSE(CONTROL!$C$42, 56.2382, 56.2382)* CHOOSE(CONTROL!$C$21, $C$9, 100%, $E$9)</f>
        <v>56.238199999999999</v>
      </c>
      <c r="J797" s="14">
        <f>CHOOSE(CONTROL!$C$42, 56.2033, 56.2033)* CHOOSE(CONTROL!$C$21, $C$9, 100%, $E$9)</f>
        <v>56.203299999999999</v>
      </c>
      <c r="K797" s="53">
        <f>CHOOSE(CONTROL!$C$42, 56.2344, 56.2344) * CHOOSE(CONTROL!$C$21, $C$9, 100%, $E$9)</f>
        <v>56.234400000000001</v>
      </c>
      <c r="L797" s="14">
        <f>CHOOSE(CONTROL!$C$42, 57.0392, 57.0392) * CHOOSE(CONTROL!$C$21, $C$9, 100%, $E$9)</f>
        <v>57.039200000000001</v>
      </c>
      <c r="M797" s="14">
        <f>CHOOSE(CONTROL!$C$42, 55.6499, 55.6499) * CHOOSE(CONTROL!$C$21, $C$9, 100%, $E$9)</f>
        <v>55.649900000000002</v>
      </c>
      <c r="N797" s="14">
        <f>CHOOSE(CONTROL!$C$42, 55.6659, 55.6659) * CHOOSE(CONTROL!$C$21, $C$9, 100%, $E$9)</f>
        <v>55.665900000000001</v>
      </c>
      <c r="O797" s="14">
        <f>CHOOSE(CONTROL!$C$42, 55.8963, 55.8963) * CHOOSE(CONTROL!$C$21, $C$9, 100%, $E$9)</f>
        <v>55.896299999999997</v>
      </c>
      <c r="P797" s="14">
        <f>CHOOSE(CONTROL!$C$42, 55.6846, 55.6846) * CHOOSE(CONTROL!$C$21, $C$9, 100%, $E$9)</f>
        <v>55.684600000000003</v>
      </c>
      <c r="Q797" s="14">
        <f>CHOOSE(CONTROL!$C$42, 56.4916, 56.4916) * CHOOSE(CONTROL!$C$21, $C$9, 100%, $E$9)</f>
        <v>56.491599999999998</v>
      </c>
      <c r="R797" s="14">
        <f>CHOOSE(CONTROL!$C$42, 57.2198, 57.2198) * CHOOSE(CONTROL!$C$21, $C$9, 100%, $E$9)</f>
        <v>57.219799999999999</v>
      </c>
      <c r="S797" s="14">
        <f>CHOOSE(CONTROL!$C$42, 54.5977, 54.5977) * CHOOSE(CONTROL!$C$21, $C$9, 100%, $E$9)</f>
        <v>54.597700000000003</v>
      </c>
      <c r="T79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797" s="57">
        <f>(1000*CHOOSE(CONTROL!$C$42, 695, 695)*CHOOSE(CONTROL!$C$42, 0.5599, 0.5599)*CHOOSE(CONTROL!$C$42, 31, 31))/1000000</f>
        <v>12.063045499999998</v>
      </c>
      <c r="V797" s="57">
        <f>(1000*CHOOSE(CONTROL!$C$42, 500, 500)*CHOOSE(CONTROL!$C$42, 0.275, 0.275)*CHOOSE(CONTROL!$C$42, 31, 31))/1000000</f>
        <v>4.2625000000000002</v>
      </c>
      <c r="W797" s="57">
        <f>(1000*CHOOSE(CONTROL!$C$42, 0.1146, 0.1146)*CHOOSE(CONTROL!$C$42, 121.5, 121.5)*CHOOSE(CONTROL!$C$42, 31, 31))/1000000</f>
        <v>0.43164089999999994</v>
      </c>
      <c r="X797" s="57">
        <f>(31*0.1790888*245000/1000000)+(31*0.2374*100000/1000000)</f>
        <v>2.0961194359999999</v>
      </c>
      <c r="Y797" s="57"/>
      <c r="Z797" s="14"/>
      <c r="AA797" s="56"/>
      <c r="AB797" s="50">
        <f>(B797*194.205+C797*267.466+D797*133.845+E797*53.484+F797*40+G797*185+H797*0+I797*100+J797*300)/(194.205+267.466+133.845+53.484+0+40+185+100+300)</f>
        <v>56.254816752982734</v>
      </c>
      <c r="AC797" s="45">
        <f>(M797*'RAP TEMPLATE-GAS AVAILABILITY'!O796+N797*'RAP TEMPLATE-GAS AVAILABILITY'!P796+O797*'RAP TEMPLATE-GAS AVAILABILITY'!Q796+P797*'RAP TEMPLATE-GAS AVAILABILITY'!R796)/('RAP TEMPLATE-GAS AVAILABILITY'!O796+'RAP TEMPLATE-GAS AVAILABILITY'!P796+'RAP TEMPLATE-GAS AVAILABILITY'!Q796+'RAP TEMPLATE-GAS AVAILABILITY'!R796)</f>
        <v>55.767491366906469</v>
      </c>
    </row>
    <row r="798" spans="1:29" ht="15.75" x14ac:dyDescent="0.25">
      <c r="A798" s="32">
        <v>65196</v>
      </c>
      <c r="B798" s="14">
        <f>CHOOSE(CONTROL!$C$42, 57.8217, 57.8217) * CHOOSE(CONTROL!$C$21, $C$9, 100%, $E$9)</f>
        <v>57.8217</v>
      </c>
      <c r="C798" s="14">
        <f>CHOOSE(CONTROL!$C$42, 57.8296, 57.8296) * CHOOSE(CONTROL!$C$21, $C$9, 100%, $E$9)</f>
        <v>57.829599999999999</v>
      </c>
      <c r="D798" s="14">
        <f>CHOOSE(CONTROL!$C$42, 58.0272, 58.0272) * CHOOSE(CONTROL!$C$21, $C$9, 100%, $E$9)</f>
        <v>58.027200000000001</v>
      </c>
      <c r="E798" s="14">
        <f>CHOOSE(CONTROL!$C$42, 58.0583, 58.0583) * CHOOSE(CONTROL!$C$21, $C$9, 100%, $E$9)</f>
        <v>58.058300000000003</v>
      </c>
      <c r="F798" s="14">
        <f>CHOOSE(CONTROL!$C$42, 57.8055, 57.8055)*CHOOSE(CONTROL!$C$21, $C$9, 100%, $E$9)</f>
        <v>57.805500000000002</v>
      </c>
      <c r="G798" s="14">
        <f>CHOOSE(CONTROL!$C$42, 57.8217, 57.8217)*CHOOSE(CONTROL!$C$21, $C$9, 100%, $E$9)</f>
        <v>57.8217</v>
      </c>
      <c r="H798" s="14">
        <f>CHOOSE(CONTROL!$C$42, 58.047, 58.047) * CHOOSE(CONTROL!$C$21, $C$9, 100%, $E$9)</f>
        <v>58.046999999999997</v>
      </c>
      <c r="I798" s="14">
        <f>CHOOSE(CONTROL!$C$42, 57.833, 57.833)* CHOOSE(CONTROL!$C$21, $C$9, 100%, $E$9)</f>
        <v>57.832999999999998</v>
      </c>
      <c r="J798" s="14">
        <f>CHOOSE(CONTROL!$C$42, 57.7985, 57.7985)* CHOOSE(CONTROL!$C$21, $C$9, 100%, $E$9)</f>
        <v>57.798499999999997</v>
      </c>
      <c r="K798" s="53">
        <f>CHOOSE(CONTROL!$C$42, 57.8292, 57.8292) * CHOOSE(CONTROL!$C$21, $C$9, 100%, $E$9)</f>
        <v>57.8292</v>
      </c>
      <c r="L798" s="14">
        <f>CHOOSE(CONTROL!$C$42, 58.634, 58.634) * CHOOSE(CONTROL!$C$21, $C$9, 100%, $E$9)</f>
        <v>58.634</v>
      </c>
      <c r="M798" s="14">
        <f>CHOOSE(CONTROL!$C$42, 57.2291, 57.2291) * CHOOSE(CONTROL!$C$21, $C$9, 100%, $E$9)</f>
        <v>57.229100000000003</v>
      </c>
      <c r="N798" s="14">
        <f>CHOOSE(CONTROL!$C$42, 57.2451, 57.2451) * CHOOSE(CONTROL!$C$21, $C$9, 100%, $E$9)</f>
        <v>57.245100000000001</v>
      </c>
      <c r="O798" s="14">
        <f>CHOOSE(CONTROL!$C$42, 57.475, 57.475) * CHOOSE(CONTROL!$C$21, $C$9, 100%, $E$9)</f>
        <v>57.475000000000001</v>
      </c>
      <c r="P798" s="14">
        <f>CHOOSE(CONTROL!$C$42, 57.2633, 57.2633) * CHOOSE(CONTROL!$C$21, $C$9, 100%, $E$9)</f>
        <v>57.263300000000001</v>
      </c>
      <c r="Q798" s="14">
        <f>CHOOSE(CONTROL!$C$42, 58.0703, 58.0703) * CHOOSE(CONTROL!$C$21, $C$9, 100%, $E$9)</f>
        <v>58.070300000000003</v>
      </c>
      <c r="R798" s="14">
        <f>CHOOSE(CONTROL!$C$42, 58.8025, 58.8025) * CHOOSE(CONTROL!$C$21, $C$9, 100%, $E$9)</f>
        <v>58.802500000000002</v>
      </c>
      <c r="S798" s="14">
        <f>CHOOSE(CONTROL!$C$42, 56.1464, 56.1464) * CHOOSE(CONTROL!$C$21, $C$9, 100%, $E$9)</f>
        <v>56.1464</v>
      </c>
      <c r="T79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798" s="57">
        <f>(1000*CHOOSE(CONTROL!$C$42, 695, 695)*CHOOSE(CONTROL!$C$42, 0.5599, 0.5599)*CHOOSE(CONTROL!$C$42, 30, 30))/1000000</f>
        <v>11.673914999999997</v>
      </c>
      <c r="V798" s="57">
        <f>(1000*CHOOSE(CONTROL!$C$42, 500, 500)*CHOOSE(CONTROL!$C$42, 0.275, 0.275)*CHOOSE(CONTROL!$C$42, 30, 30))/1000000</f>
        <v>4.125</v>
      </c>
      <c r="W798" s="57">
        <f>(1000*CHOOSE(CONTROL!$C$42, 0.1146, 0.1146)*CHOOSE(CONTROL!$C$42, 121.5, 121.5)*CHOOSE(CONTROL!$C$42, 30, 30))/1000000</f>
        <v>0.417717</v>
      </c>
      <c r="X798" s="57">
        <f>(30*0.1790888*245000/1000000)+(30*0.2374*100000/1000000)</f>
        <v>2.0285026799999999</v>
      </c>
      <c r="Y798" s="57"/>
      <c r="Z798" s="14"/>
      <c r="AA798" s="56"/>
      <c r="AB798" s="50">
        <f>(B798*194.205+C798*267.466+D798*133.845+E798*53.484+F798*40+G798*185+H798*0+I798*100+J798*300)/(194.205+267.466+133.845+53.484+0+40+185+100+300)</f>
        <v>57.849796109340666</v>
      </c>
      <c r="AC798" s="45">
        <f>(M798*'RAP TEMPLATE-GAS AVAILABILITY'!O797+N798*'RAP TEMPLATE-GAS AVAILABILITY'!P797+O798*'RAP TEMPLATE-GAS AVAILABILITY'!Q797+P798*'RAP TEMPLATE-GAS AVAILABILITY'!R797)/('RAP TEMPLATE-GAS AVAILABILITY'!O797+'RAP TEMPLATE-GAS AVAILABILITY'!P797+'RAP TEMPLATE-GAS AVAILABILITY'!Q797+'RAP TEMPLATE-GAS AVAILABILITY'!R797)</f>
        <v>57.3463928057554</v>
      </c>
    </row>
    <row r="799" spans="1:29" ht="15.75" x14ac:dyDescent="0.25">
      <c r="A799" s="32">
        <v>65227</v>
      </c>
      <c r="B799" s="14">
        <f>CHOOSE(CONTROL!$C$42, 56.7125, 56.7125) * CHOOSE(CONTROL!$C$21, $C$9, 100%, $E$9)</f>
        <v>56.712499999999999</v>
      </c>
      <c r="C799" s="14">
        <f>CHOOSE(CONTROL!$C$42, 56.7204, 56.7204) * CHOOSE(CONTROL!$C$21, $C$9, 100%, $E$9)</f>
        <v>56.720399999999998</v>
      </c>
      <c r="D799" s="14">
        <f>CHOOSE(CONTROL!$C$42, 56.918, 56.918) * CHOOSE(CONTROL!$C$21, $C$9, 100%, $E$9)</f>
        <v>56.917999999999999</v>
      </c>
      <c r="E799" s="14">
        <f>CHOOSE(CONTROL!$C$42, 56.9491, 56.9491) * CHOOSE(CONTROL!$C$21, $C$9, 100%, $E$9)</f>
        <v>56.949100000000001</v>
      </c>
      <c r="F799" s="14">
        <f>CHOOSE(CONTROL!$C$42, 56.6967, 56.6967)*CHOOSE(CONTROL!$C$21, $C$9, 100%, $E$9)</f>
        <v>56.6967</v>
      </c>
      <c r="G799" s="14">
        <f>CHOOSE(CONTROL!$C$42, 56.713, 56.713)*CHOOSE(CONTROL!$C$21, $C$9, 100%, $E$9)</f>
        <v>56.713000000000001</v>
      </c>
      <c r="H799" s="14">
        <f>CHOOSE(CONTROL!$C$42, 56.9378, 56.9378) * CHOOSE(CONTROL!$C$21, $C$9, 100%, $E$9)</f>
        <v>56.937800000000003</v>
      </c>
      <c r="I799" s="14">
        <f>CHOOSE(CONTROL!$C$42, 56.7239, 56.7239)* CHOOSE(CONTROL!$C$21, $C$9, 100%, $E$9)</f>
        <v>56.7239</v>
      </c>
      <c r="J799" s="14">
        <f>CHOOSE(CONTROL!$C$42, 56.6897, 56.6897)* CHOOSE(CONTROL!$C$21, $C$9, 100%, $E$9)</f>
        <v>56.689700000000002</v>
      </c>
      <c r="K799" s="53">
        <f>CHOOSE(CONTROL!$C$42, 56.72, 56.72) * CHOOSE(CONTROL!$C$21, $C$9, 100%, $E$9)</f>
        <v>56.72</v>
      </c>
      <c r="L799" s="14">
        <f>CHOOSE(CONTROL!$C$42, 57.5248, 57.5248) * CHOOSE(CONTROL!$C$21, $C$9, 100%, $E$9)</f>
        <v>57.524799999999999</v>
      </c>
      <c r="M799" s="14">
        <f>CHOOSE(CONTROL!$C$42, 56.1315, 56.1315) * CHOOSE(CONTROL!$C$21, $C$9, 100%, $E$9)</f>
        <v>56.131500000000003</v>
      </c>
      <c r="N799" s="14">
        <f>CHOOSE(CONTROL!$C$42, 56.1476, 56.1476) * CHOOSE(CONTROL!$C$21, $C$9, 100%, $E$9)</f>
        <v>56.147599999999997</v>
      </c>
      <c r="O799" s="14">
        <f>CHOOSE(CONTROL!$C$42, 56.377, 56.377) * CHOOSE(CONTROL!$C$21, $C$9, 100%, $E$9)</f>
        <v>56.377000000000002</v>
      </c>
      <c r="P799" s="14">
        <f>CHOOSE(CONTROL!$C$42, 56.1653, 56.1653) * CHOOSE(CONTROL!$C$21, $C$9, 100%, $E$9)</f>
        <v>56.165300000000002</v>
      </c>
      <c r="Q799" s="14">
        <f>CHOOSE(CONTROL!$C$42, 56.9723, 56.9723) * CHOOSE(CONTROL!$C$21, $C$9, 100%, $E$9)</f>
        <v>56.972299999999997</v>
      </c>
      <c r="R799" s="14">
        <f>CHOOSE(CONTROL!$C$42, 57.7017, 57.7017) * CHOOSE(CONTROL!$C$21, $C$9, 100%, $E$9)</f>
        <v>57.701700000000002</v>
      </c>
      <c r="S799" s="14">
        <f>CHOOSE(CONTROL!$C$42, 55.0692, 55.0692) * CHOOSE(CONTROL!$C$21, $C$9, 100%, $E$9)</f>
        <v>55.069200000000002</v>
      </c>
      <c r="T79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799" s="57">
        <f>(1000*CHOOSE(CONTROL!$C$42, 695, 695)*CHOOSE(CONTROL!$C$42, 0.5599, 0.5599)*CHOOSE(CONTROL!$C$42, 31, 31))/1000000</f>
        <v>12.063045499999998</v>
      </c>
      <c r="V799" s="57">
        <f>(1000*CHOOSE(CONTROL!$C$42, 500, 500)*CHOOSE(CONTROL!$C$42, 0.275, 0.275)*CHOOSE(CONTROL!$C$42, 31, 31))/1000000</f>
        <v>4.2625000000000002</v>
      </c>
      <c r="W799" s="57">
        <f>(1000*CHOOSE(CONTROL!$C$42, 0.1146, 0.1146)*CHOOSE(CONTROL!$C$42, 121.5, 121.5)*CHOOSE(CONTROL!$C$42, 31, 31))/1000000</f>
        <v>0.43164089999999994</v>
      </c>
      <c r="X799" s="57">
        <f>(31*0.1790888*245000/1000000)+(31*0.2374*100000/1000000)</f>
        <v>2.0961194359999999</v>
      </c>
      <c r="Y799" s="57"/>
      <c r="Z799" s="14"/>
      <c r="AA799" s="56"/>
      <c r="AB799" s="50">
        <f>(B799*194.205+C799*267.466+D799*133.845+E799*53.484+F799*40+G799*185+H799*0+I799*100+J799*300)/(194.205+267.466+133.845+53.484+0+40+185+100+300)</f>
        <v>56.740783314992157</v>
      </c>
      <c r="AC799" s="45">
        <f>(M799*'RAP TEMPLATE-GAS AVAILABILITY'!O798+N799*'RAP TEMPLATE-GAS AVAILABILITY'!P798+O799*'RAP TEMPLATE-GAS AVAILABILITY'!Q798+P799*'RAP TEMPLATE-GAS AVAILABILITY'!R798)/('RAP TEMPLATE-GAS AVAILABILITY'!O798+'RAP TEMPLATE-GAS AVAILABILITY'!P798+'RAP TEMPLATE-GAS AVAILABILITY'!Q798+'RAP TEMPLATE-GAS AVAILABILITY'!R798)</f>
        <v>56.248559712230218</v>
      </c>
    </row>
    <row r="800" spans="1:29" ht="15.75" x14ac:dyDescent="0.25">
      <c r="A800" s="32">
        <v>65258</v>
      </c>
      <c r="B800" s="14">
        <f>CHOOSE(CONTROL!$C$42, 53.9114, 53.9114) * CHOOSE(CONTROL!$C$21, $C$9, 100%, $E$9)</f>
        <v>53.9114</v>
      </c>
      <c r="C800" s="14">
        <f>CHOOSE(CONTROL!$C$42, 53.9193, 53.9193) * CHOOSE(CONTROL!$C$21, $C$9, 100%, $E$9)</f>
        <v>53.9193</v>
      </c>
      <c r="D800" s="14">
        <f>CHOOSE(CONTROL!$C$42, 54.1169, 54.1169) * CHOOSE(CONTROL!$C$21, $C$9, 100%, $E$9)</f>
        <v>54.116900000000001</v>
      </c>
      <c r="E800" s="14">
        <f>CHOOSE(CONTROL!$C$42, 54.1481, 54.1481) * CHOOSE(CONTROL!$C$21, $C$9, 100%, $E$9)</f>
        <v>54.148099999999999</v>
      </c>
      <c r="F800" s="14">
        <f>CHOOSE(CONTROL!$C$42, 53.8959, 53.8959)*CHOOSE(CONTROL!$C$21, $C$9, 100%, $E$9)</f>
        <v>53.895899999999997</v>
      </c>
      <c r="G800" s="14">
        <f>CHOOSE(CONTROL!$C$42, 53.9122, 53.9122)*CHOOSE(CONTROL!$C$21, $C$9, 100%, $E$9)</f>
        <v>53.912199999999999</v>
      </c>
      <c r="H800" s="14">
        <f>CHOOSE(CONTROL!$C$42, 54.1367, 54.1367) * CHOOSE(CONTROL!$C$21, $C$9, 100%, $E$9)</f>
        <v>54.136699999999998</v>
      </c>
      <c r="I800" s="14">
        <f>CHOOSE(CONTROL!$C$42, 53.9228, 53.9228)* CHOOSE(CONTROL!$C$21, $C$9, 100%, $E$9)</f>
        <v>53.922800000000002</v>
      </c>
      <c r="J800" s="14">
        <f>CHOOSE(CONTROL!$C$42, 53.8889, 53.8889)* CHOOSE(CONTROL!$C$21, $C$9, 100%, $E$9)</f>
        <v>53.8889</v>
      </c>
      <c r="K800" s="53">
        <f>CHOOSE(CONTROL!$C$42, 53.9189, 53.9189) * CHOOSE(CONTROL!$C$21, $C$9, 100%, $E$9)</f>
        <v>53.918900000000001</v>
      </c>
      <c r="L800" s="14">
        <f>CHOOSE(CONTROL!$C$42, 54.7237, 54.7237) * CHOOSE(CONTROL!$C$21, $C$9, 100%, $E$9)</f>
        <v>54.723700000000001</v>
      </c>
      <c r="M800" s="14">
        <f>CHOOSE(CONTROL!$C$42, 53.3589, 53.3589) * CHOOSE(CONTROL!$C$21, $C$9, 100%, $E$9)</f>
        <v>53.358899999999998</v>
      </c>
      <c r="N800" s="14">
        <f>CHOOSE(CONTROL!$C$42, 53.3751, 53.3751) * CHOOSE(CONTROL!$C$21, $C$9, 100%, $E$9)</f>
        <v>53.375100000000003</v>
      </c>
      <c r="O800" s="14">
        <f>CHOOSE(CONTROL!$C$42, 53.6042, 53.6042) * CHOOSE(CONTROL!$C$21, $C$9, 100%, $E$9)</f>
        <v>53.604199999999999</v>
      </c>
      <c r="P800" s="14">
        <f>CHOOSE(CONTROL!$C$42, 53.3925, 53.3925) * CHOOSE(CONTROL!$C$21, $C$9, 100%, $E$9)</f>
        <v>53.392499999999998</v>
      </c>
      <c r="Q800" s="14">
        <f>CHOOSE(CONTROL!$C$42, 54.1995, 54.1995) * CHOOSE(CONTROL!$C$21, $C$9, 100%, $E$9)</f>
        <v>54.1995</v>
      </c>
      <c r="R800" s="14">
        <f>CHOOSE(CONTROL!$C$42, 54.922, 54.922) * CHOOSE(CONTROL!$C$21, $C$9, 100%, $E$9)</f>
        <v>54.921999999999997</v>
      </c>
      <c r="S800" s="14">
        <f>CHOOSE(CONTROL!$C$42, 52.3491, 52.3491) * CHOOSE(CONTROL!$C$21, $C$9, 100%, $E$9)</f>
        <v>52.3491</v>
      </c>
      <c r="T80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00" s="57">
        <f>(1000*CHOOSE(CONTROL!$C$42, 695, 695)*CHOOSE(CONTROL!$C$42, 0.5599, 0.5599)*CHOOSE(CONTROL!$C$42, 31, 31))/1000000</f>
        <v>12.063045499999998</v>
      </c>
      <c r="V800" s="57">
        <f>(1000*CHOOSE(CONTROL!$C$42, 500, 500)*CHOOSE(CONTROL!$C$42, 0.275, 0.275)*CHOOSE(CONTROL!$C$42, 31, 31))/1000000</f>
        <v>4.2625000000000002</v>
      </c>
      <c r="W800" s="57">
        <f>(1000*CHOOSE(CONTROL!$C$42, 0.1146, 0.1146)*CHOOSE(CONTROL!$C$42, 121.5, 121.5)*CHOOSE(CONTROL!$C$42, 31, 31))/1000000</f>
        <v>0.43164089999999994</v>
      </c>
      <c r="X800" s="57">
        <f>(31*0.1790888*245000/1000000)+(31*0.2374*100000/1000000)</f>
        <v>2.0961194359999999</v>
      </c>
      <c r="Y800" s="57"/>
      <c r="Z800" s="14"/>
      <c r="AA800" s="56"/>
      <c r="AB800" s="50">
        <f>(B800*194.205+C800*267.466+D800*133.845+E800*53.484+F800*40+G800*185+H800*0+I800*100+J800*300)/(194.205+267.466+133.845+53.484+0+40+185+100+300)</f>
        <v>53.939811139481947</v>
      </c>
      <c r="AC800" s="45">
        <f>(M800*'RAP TEMPLATE-GAS AVAILABILITY'!O799+N800*'RAP TEMPLATE-GAS AVAILABILITY'!P799+O800*'RAP TEMPLATE-GAS AVAILABILITY'!Q799+P800*'RAP TEMPLATE-GAS AVAILABILITY'!R799)/('RAP TEMPLATE-GAS AVAILABILITY'!O799+'RAP TEMPLATE-GAS AVAILABILITY'!P799+'RAP TEMPLATE-GAS AVAILABILITY'!Q799+'RAP TEMPLATE-GAS AVAILABILITY'!R799)</f>
        <v>53.475846043165475</v>
      </c>
    </row>
    <row r="801" spans="1:29" ht="15.75" x14ac:dyDescent="0.25">
      <c r="A801" s="32">
        <v>65288</v>
      </c>
      <c r="B801" s="14">
        <f>CHOOSE(CONTROL!$C$42, 50.4887, 50.4887) * CHOOSE(CONTROL!$C$21, $C$9, 100%, $E$9)</f>
        <v>50.488700000000001</v>
      </c>
      <c r="C801" s="14">
        <f>CHOOSE(CONTROL!$C$42, 50.4966, 50.4966) * CHOOSE(CONTROL!$C$21, $C$9, 100%, $E$9)</f>
        <v>50.496600000000001</v>
      </c>
      <c r="D801" s="14">
        <f>CHOOSE(CONTROL!$C$42, 50.6942, 50.6942) * CHOOSE(CONTROL!$C$21, $C$9, 100%, $E$9)</f>
        <v>50.694200000000002</v>
      </c>
      <c r="E801" s="14">
        <f>CHOOSE(CONTROL!$C$42, 50.7253, 50.7253) * CHOOSE(CONTROL!$C$21, $C$9, 100%, $E$9)</f>
        <v>50.725299999999997</v>
      </c>
      <c r="F801" s="14">
        <f>CHOOSE(CONTROL!$C$42, 50.473, 50.473)*CHOOSE(CONTROL!$C$21, $C$9, 100%, $E$9)</f>
        <v>50.472999999999999</v>
      </c>
      <c r="G801" s="14">
        <f>CHOOSE(CONTROL!$C$42, 50.4894, 50.4894)*CHOOSE(CONTROL!$C$21, $C$9, 100%, $E$9)</f>
        <v>50.489400000000003</v>
      </c>
      <c r="H801" s="14">
        <f>CHOOSE(CONTROL!$C$42, 50.7139, 50.7139) * CHOOSE(CONTROL!$C$21, $C$9, 100%, $E$9)</f>
        <v>50.713900000000002</v>
      </c>
      <c r="I801" s="14">
        <f>CHOOSE(CONTROL!$C$42, 50.5, 50.5)* CHOOSE(CONTROL!$C$21, $C$9, 100%, $E$9)</f>
        <v>50.5</v>
      </c>
      <c r="J801" s="14">
        <f>CHOOSE(CONTROL!$C$42, 50.466, 50.466)* CHOOSE(CONTROL!$C$21, $C$9, 100%, $E$9)</f>
        <v>50.466000000000001</v>
      </c>
      <c r="K801" s="53">
        <f>CHOOSE(CONTROL!$C$42, 50.4961, 50.4961) * CHOOSE(CONTROL!$C$21, $C$9, 100%, $E$9)</f>
        <v>50.496099999999998</v>
      </c>
      <c r="L801" s="14">
        <f>CHOOSE(CONTROL!$C$42, 51.3009, 51.3009) * CHOOSE(CONTROL!$C$21, $C$9, 100%, $E$9)</f>
        <v>51.300899999999999</v>
      </c>
      <c r="M801" s="14">
        <f>CHOOSE(CONTROL!$C$42, 49.9706, 49.9706) * CHOOSE(CONTROL!$C$21, $C$9, 100%, $E$9)</f>
        <v>49.970599999999997</v>
      </c>
      <c r="N801" s="14">
        <f>CHOOSE(CONTROL!$C$42, 49.9867, 49.9867) * CHOOSE(CONTROL!$C$21, $C$9, 100%, $E$9)</f>
        <v>49.986699999999999</v>
      </c>
      <c r="O801" s="14">
        <f>CHOOSE(CONTROL!$C$42, 50.216, 50.216) * CHOOSE(CONTROL!$C$21, $C$9, 100%, $E$9)</f>
        <v>50.216000000000001</v>
      </c>
      <c r="P801" s="14">
        <f>CHOOSE(CONTROL!$C$42, 50.0043, 50.0043) * CHOOSE(CONTROL!$C$21, $C$9, 100%, $E$9)</f>
        <v>50.004300000000001</v>
      </c>
      <c r="Q801" s="14">
        <f>CHOOSE(CONTROL!$C$42, 50.8113, 50.8113) * CHOOSE(CONTROL!$C$21, $C$9, 100%, $E$9)</f>
        <v>50.811300000000003</v>
      </c>
      <c r="R801" s="14">
        <f>CHOOSE(CONTROL!$C$42, 51.5253, 51.5253) * CHOOSE(CONTROL!$C$21, $C$9, 100%, $E$9)</f>
        <v>51.525300000000001</v>
      </c>
      <c r="S801" s="14">
        <f>CHOOSE(CONTROL!$C$42, 49.0253, 49.0253) * CHOOSE(CONTROL!$C$21, $C$9, 100%, $E$9)</f>
        <v>49.025300000000001</v>
      </c>
      <c r="T80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01" s="57">
        <f>(1000*CHOOSE(CONTROL!$C$42, 695, 695)*CHOOSE(CONTROL!$C$42, 0.5599, 0.5599)*CHOOSE(CONTROL!$C$42, 30, 30))/1000000</f>
        <v>11.673914999999997</v>
      </c>
      <c r="V801" s="57">
        <f>(1000*CHOOSE(CONTROL!$C$42, 500, 500)*CHOOSE(CONTROL!$C$42, 0.275, 0.275)*CHOOSE(CONTROL!$C$42, 30, 30))/1000000</f>
        <v>4.125</v>
      </c>
      <c r="W801" s="57">
        <f>(1000*CHOOSE(CONTROL!$C$42, 0.1146, 0.1146)*CHOOSE(CONTROL!$C$42, 121.5, 121.5)*CHOOSE(CONTROL!$C$42, 30, 30))/1000000</f>
        <v>0.417717</v>
      </c>
      <c r="X801" s="57">
        <f>(30*0.1790888*245000/1000000)+(30*0.2374*100000/1000000)</f>
        <v>2.0285026799999999</v>
      </c>
      <c r="Y801" s="57"/>
      <c r="Z801" s="14"/>
      <c r="AA801" s="56"/>
      <c r="AB801" s="50">
        <f>(B801*194.205+C801*267.466+D801*133.845+E801*53.484+F801*40+G801*185+H801*0+I801*100+J801*300)/(194.205+267.466+133.845+53.484+0+40+185+100+300)</f>
        <v>50.51703119568289</v>
      </c>
      <c r="AC801" s="45">
        <f>(M801*'RAP TEMPLATE-GAS AVAILABILITY'!O800+N801*'RAP TEMPLATE-GAS AVAILABILITY'!P800+O801*'RAP TEMPLATE-GAS AVAILABILITY'!Q800+P801*'RAP TEMPLATE-GAS AVAILABILITY'!R800)/('RAP TEMPLATE-GAS AVAILABILITY'!O800+'RAP TEMPLATE-GAS AVAILABILITY'!P800+'RAP TEMPLATE-GAS AVAILABILITY'!Q800+'RAP TEMPLATE-GAS AVAILABILITY'!R800)</f>
        <v>50.087599999999995</v>
      </c>
    </row>
    <row r="802" spans="1:29" ht="15.75" x14ac:dyDescent="0.25">
      <c r="A802" s="32">
        <v>65319</v>
      </c>
      <c r="B802" s="14">
        <f>CHOOSE(CONTROL!$C$42, 49.4619, 49.4619) * CHOOSE(CONTROL!$C$21, $C$9, 100%, $E$9)</f>
        <v>49.4619</v>
      </c>
      <c r="C802" s="14">
        <f>CHOOSE(CONTROL!$C$42, 49.4671, 49.4671) * CHOOSE(CONTROL!$C$21, $C$9, 100%, $E$9)</f>
        <v>49.467100000000002</v>
      </c>
      <c r="D802" s="14">
        <f>CHOOSE(CONTROL!$C$42, 49.6696, 49.6696) * CHOOSE(CONTROL!$C$21, $C$9, 100%, $E$9)</f>
        <v>49.669600000000003</v>
      </c>
      <c r="E802" s="14">
        <f>CHOOSE(CONTROL!$C$42, 49.6984, 49.6984) * CHOOSE(CONTROL!$C$21, $C$9, 100%, $E$9)</f>
        <v>49.698399999999999</v>
      </c>
      <c r="F802" s="14">
        <f>CHOOSE(CONTROL!$C$42, 49.4483, 49.4483)*CHOOSE(CONTROL!$C$21, $C$9, 100%, $E$9)</f>
        <v>49.448300000000003</v>
      </c>
      <c r="G802" s="14">
        <f>CHOOSE(CONTROL!$C$42, 49.4643, 49.4643)*CHOOSE(CONTROL!$C$21, $C$9, 100%, $E$9)</f>
        <v>49.464300000000001</v>
      </c>
      <c r="H802" s="14">
        <f>CHOOSE(CONTROL!$C$42, 49.6889, 49.6889) * CHOOSE(CONTROL!$C$21, $C$9, 100%, $E$9)</f>
        <v>49.688899999999997</v>
      </c>
      <c r="I802" s="14">
        <f>CHOOSE(CONTROL!$C$42, 49.475, 49.475)* CHOOSE(CONTROL!$C$21, $C$9, 100%, $E$9)</f>
        <v>49.475000000000001</v>
      </c>
      <c r="J802" s="14">
        <f>CHOOSE(CONTROL!$C$42, 49.4413, 49.4413)* CHOOSE(CONTROL!$C$21, $C$9, 100%, $E$9)</f>
        <v>49.441299999999998</v>
      </c>
      <c r="K802" s="53">
        <f>CHOOSE(CONTROL!$C$42, 49.4711, 49.4711) * CHOOSE(CONTROL!$C$21, $C$9, 100%, $E$9)</f>
        <v>49.4711</v>
      </c>
      <c r="L802" s="14">
        <f>CHOOSE(CONTROL!$C$42, 50.2759, 50.2759) * CHOOSE(CONTROL!$C$21, $C$9, 100%, $E$9)</f>
        <v>50.2759</v>
      </c>
      <c r="M802" s="14">
        <f>CHOOSE(CONTROL!$C$42, 48.9561, 48.9561) * CHOOSE(CONTROL!$C$21, $C$9, 100%, $E$9)</f>
        <v>48.956099999999999</v>
      </c>
      <c r="N802" s="14">
        <f>CHOOSE(CONTROL!$C$42, 48.972, 48.972) * CHOOSE(CONTROL!$C$21, $C$9, 100%, $E$9)</f>
        <v>48.972000000000001</v>
      </c>
      <c r="O802" s="14">
        <f>CHOOSE(CONTROL!$C$42, 49.2013, 49.2013) * CHOOSE(CONTROL!$C$21, $C$9, 100%, $E$9)</f>
        <v>49.201300000000003</v>
      </c>
      <c r="P802" s="14">
        <f>CHOOSE(CONTROL!$C$42, 48.9896, 48.9896) * CHOOSE(CONTROL!$C$21, $C$9, 100%, $E$9)</f>
        <v>48.989600000000003</v>
      </c>
      <c r="Q802" s="14">
        <f>CHOOSE(CONTROL!$C$42, 49.7966, 49.7966) * CHOOSE(CONTROL!$C$21, $C$9, 100%, $E$9)</f>
        <v>49.796599999999998</v>
      </c>
      <c r="R802" s="14">
        <f>CHOOSE(CONTROL!$C$42, 50.5081, 50.5081) * CHOOSE(CONTROL!$C$21, $C$9, 100%, $E$9)</f>
        <v>50.508099999999999</v>
      </c>
      <c r="S802" s="14">
        <f>CHOOSE(CONTROL!$C$42, 48.0299, 48.0299) * CHOOSE(CONTROL!$C$21, $C$9, 100%, $E$9)</f>
        <v>48.029899999999998</v>
      </c>
      <c r="T80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02" s="57">
        <f>(1000*CHOOSE(CONTROL!$C$42, 695, 695)*CHOOSE(CONTROL!$C$42, 0.5599, 0.5599)*CHOOSE(CONTROL!$C$42, 31, 31))/1000000</f>
        <v>12.063045499999998</v>
      </c>
      <c r="V802" s="57">
        <f>(1000*CHOOSE(CONTROL!$C$42, 500, 500)*CHOOSE(CONTROL!$C$42, 0.275, 0.275)*CHOOSE(CONTROL!$C$42, 31, 31))/1000000</f>
        <v>4.2625000000000002</v>
      </c>
      <c r="W802" s="57">
        <f>(1000*CHOOSE(CONTROL!$C$42, 0.1146, 0.1146)*CHOOSE(CONTROL!$C$42, 121.5, 121.5)*CHOOSE(CONTROL!$C$42, 31, 31))/1000000</f>
        <v>0.43164089999999994</v>
      </c>
      <c r="X802" s="57">
        <f>(31*0.1790888*245000/1000000)+(31*0.2374*100000/1000000)</f>
        <v>2.0961194359999999</v>
      </c>
      <c r="Y802" s="57"/>
      <c r="Z802" s="14"/>
      <c r="AA802" s="56"/>
      <c r="AB802" s="50">
        <f>(B802*131.881+C802*277.167+D802*79.08+E802*125.872+F802*40+G802*185+H802*0+I802*100+J802*300)/(131.881+277.167+79.08+125.872+0+40+185+100+300)</f>
        <v>49.496334957546409</v>
      </c>
      <c r="AC802" s="45">
        <f>(M802*'RAP TEMPLATE-GAS AVAILABILITY'!O801+N802*'RAP TEMPLATE-GAS AVAILABILITY'!P801+O802*'RAP TEMPLATE-GAS AVAILABILITY'!Q801+P802*'RAP TEMPLATE-GAS AVAILABILITY'!R801)/('RAP TEMPLATE-GAS AVAILABILITY'!O801+'RAP TEMPLATE-GAS AVAILABILITY'!P801+'RAP TEMPLATE-GAS AVAILABILITY'!Q801+'RAP TEMPLATE-GAS AVAILABILITY'!R801)</f>
        <v>49.072969064748207</v>
      </c>
    </row>
    <row r="803" spans="1:29" ht="15.75" x14ac:dyDescent="0.25">
      <c r="A803" s="32">
        <v>65349</v>
      </c>
      <c r="B803" s="14">
        <f>CHOOSE(CONTROL!$C$42, 50.7644, 50.7644) * CHOOSE(CONTROL!$C$21, $C$9, 100%, $E$9)</f>
        <v>50.764400000000002</v>
      </c>
      <c r="C803" s="14">
        <f>CHOOSE(CONTROL!$C$42, 50.7694, 50.7694) * CHOOSE(CONTROL!$C$21, $C$9, 100%, $E$9)</f>
        <v>50.769399999999997</v>
      </c>
      <c r="D803" s="14">
        <f>CHOOSE(CONTROL!$C$42, 50.8325, 50.8325) * CHOOSE(CONTROL!$C$21, $C$9, 100%, $E$9)</f>
        <v>50.832500000000003</v>
      </c>
      <c r="E803" s="14">
        <f>CHOOSE(CONTROL!$C$42, 50.8662, 50.8662) * CHOOSE(CONTROL!$C$21, $C$9, 100%, $E$9)</f>
        <v>50.866199999999999</v>
      </c>
      <c r="F803" s="14">
        <f>CHOOSE(CONTROL!$C$42, 50.7651, 50.7651)*CHOOSE(CONTROL!$C$21, $C$9, 100%, $E$9)</f>
        <v>50.765099999999997</v>
      </c>
      <c r="G803" s="14">
        <f>CHOOSE(CONTROL!$C$42, 50.7814, 50.7814)*CHOOSE(CONTROL!$C$21, $C$9, 100%, $E$9)</f>
        <v>50.781399999999998</v>
      </c>
      <c r="H803" s="14">
        <f>CHOOSE(CONTROL!$C$42, 50.8554, 50.8554) * CHOOSE(CONTROL!$C$21, $C$9, 100%, $E$9)</f>
        <v>50.855400000000003</v>
      </c>
      <c r="I803" s="14">
        <f>CHOOSE(CONTROL!$C$42, 50.778, 50.778)* CHOOSE(CONTROL!$C$21, $C$9, 100%, $E$9)</f>
        <v>50.777999999999999</v>
      </c>
      <c r="J803" s="14">
        <f>CHOOSE(CONTROL!$C$42, 50.7581, 50.7581)* CHOOSE(CONTROL!$C$21, $C$9, 100%, $E$9)</f>
        <v>50.758099999999999</v>
      </c>
      <c r="K803" s="53">
        <f>CHOOSE(CONTROL!$C$42, 50.7741, 50.7741) * CHOOSE(CONTROL!$C$21, $C$9, 100%, $E$9)</f>
        <v>50.774099999999997</v>
      </c>
      <c r="L803" s="14">
        <f>CHOOSE(CONTROL!$C$42, 51.4424, 51.4424) * CHOOSE(CONTROL!$C$21, $C$9, 100%, $E$9)</f>
        <v>51.442399999999999</v>
      </c>
      <c r="M803" s="14">
        <f>CHOOSE(CONTROL!$C$42, 50.2597, 50.2597) * CHOOSE(CONTROL!$C$21, $C$9, 100%, $E$9)</f>
        <v>50.259700000000002</v>
      </c>
      <c r="N803" s="14">
        <f>CHOOSE(CONTROL!$C$42, 50.2759, 50.2759) * CHOOSE(CONTROL!$C$21, $C$9, 100%, $E$9)</f>
        <v>50.2759</v>
      </c>
      <c r="O803" s="14">
        <f>CHOOSE(CONTROL!$C$42, 50.3561, 50.3561) * CHOOSE(CONTROL!$C$21, $C$9, 100%, $E$9)</f>
        <v>50.356099999999998</v>
      </c>
      <c r="P803" s="14">
        <f>CHOOSE(CONTROL!$C$42, 50.2794, 50.2794) * CHOOSE(CONTROL!$C$21, $C$9, 100%, $E$9)</f>
        <v>50.279400000000003</v>
      </c>
      <c r="Q803" s="14">
        <f>CHOOSE(CONTROL!$C$42, 50.9514, 50.9514) * CHOOSE(CONTROL!$C$21, $C$9, 100%, $E$9)</f>
        <v>50.9514</v>
      </c>
      <c r="R803" s="14">
        <f>CHOOSE(CONTROL!$C$42, 51.6657, 51.6657) * CHOOSE(CONTROL!$C$21, $C$9, 100%, $E$9)</f>
        <v>51.665700000000001</v>
      </c>
      <c r="S803" s="14">
        <f>CHOOSE(CONTROL!$C$42, 49.2952, 49.2952) * CHOOSE(CONTROL!$C$21, $C$9, 100%, $E$9)</f>
        <v>49.295200000000001</v>
      </c>
      <c r="T80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03" s="57">
        <f>(1000*CHOOSE(CONTROL!$C$42, 695, 695)*CHOOSE(CONTROL!$C$42, 0.5599, 0.5599)*CHOOSE(CONTROL!$C$42, 30, 30))/1000000</f>
        <v>11.673914999999997</v>
      </c>
      <c r="V803" s="57">
        <f>(1000*CHOOSE(CONTROL!$C$42, 500, 500)*CHOOSE(CONTROL!$C$42, 0.275, 0.275)*CHOOSE(CONTROL!$C$42, 30, 30))/1000000</f>
        <v>4.125</v>
      </c>
      <c r="W803" s="57">
        <f>(1000*CHOOSE(CONTROL!$C$42, 0.1146, 0.1146)*CHOOSE(CONTROL!$C$42, 121.5, 121.5)*CHOOSE(CONTROL!$C$42, 30, 30))/1000000</f>
        <v>0.417717</v>
      </c>
      <c r="X803" s="57">
        <f>(30*0.1790888*100000/1000000)+(30*0.2374*100000/1000000)</f>
        <v>1.2494664</v>
      </c>
      <c r="Y803" s="57"/>
      <c r="Z803" s="14"/>
      <c r="AA803" s="56"/>
      <c r="AB803" s="50">
        <f>(B803*122.58+C803*297.941+D803*89.177+E803*40.302+F803*40+G803*160+H803*0+I803*100+J803*300)/(122.58+297.941+89.177+40.302+0+40+160+100+300)</f>
        <v>50.77647252373913</v>
      </c>
      <c r="AC803" s="45">
        <f>(M803*'RAP TEMPLATE-GAS AVAILABILITY'!O802+N803*'RAP TEMPLATE-GAS AVAILABILITY'!P802+O803*'RAP TEMPLATE-GAS AVAILABILITY'!Q802+P803*'RAP TEMPLATE-GAS AVAILABILITY'!R802)/('RAP TEMPLATE-GAS AVAILABILITY'!O802+'RAP TEMPLATE-GAS AVAILABILITY'!P802+'RAP TEMPLATE-GAS AVAILABILITY'!Q802+'RAP TEMPLATE-GAS AVAILABILITY'!R802)</f>
        <v>50.307158992805753</v>
      </c>
    </row>
    <row r="804" spans="1:29" ht="15.75" x14ac:dyDescent="0.25">
      <c r="A804" s="32">
        <v>65380</v>
      </c>
      <c r="B804" s="14">
        <f>CHOOSE(CONTROL!$C$42, 54.2253, 54.2253) * CHOOSE(CONTROL!$C$21, $C$9, 100%, $E$9)</f>
        <v>54.225299999999997</v>
      </c>
      <c r="C804" s="14">
        <f>CHOOSE(CONTROL!$C$42, 54.2303, 54.2303) * CHOOSE(CONTROL!$C$21, $C$9, 100%, $E$9)</f>
        <v>54.2303</v>
      </c>
      <c r="D804" s="14">
        <f>CHOOSE(CONTROL!$C$42, 54.2934, 54.2934) * CHOOSE(CONTROL!$C$21, $C$9, 100%, $E$9)</f>
        <v>54.293399999999998</v>
      </c>
      <c r="E804" s="14">
        <f>CHOOSE(CONTROL!$C$42, 54.3271, 54.3271) * CHOOSE(CONTROL!$C$21, $C$9, 100%, $E$9)</f>
        <v>54.327100000000002</v>
      </c>
      <c r="F804" s="14">
        <f>CHOOSE(CONTROL!$C$42, 54.2281, 54.2281)*CHOOSE(CONTROL!$C$21, $C$9, 100%, $E$9)</f>
        <v>54.228099999999998</v>
      </c>
      <c r="G804" s="14">
        <f>CHOOSE(CONTROL!$C$42, 54.2449, 54.2449)*CHOOSE(CONTROL!$C$21, $C$9, 100%, $E$9)</f>
        <v>54.244900000000001</v>
      </c>
      <c r="H804" s="14">
        <f>CHOOSE(CONTROL!$C$42, 54.3163, 54.3163) * CHOOSE(CONTROL!$C$21, $C$9, 100%, $E$9)</f>
        <v>54.316299999999998</v>
      </c>
      <c r="I804" s="14">
        <f>CHOOSE(CONTROL!$C$42, 54.2389, 54.2389)* CHOOSE(CONTROL!$C$21, $C$9, 100%, $E$9)</f>
        <v>54.238900000000001</v>
      </c>
      <c r="J804" s="14">
        <f>CHOOSE(CONTROL!$C$42, 54.2211, 54.2211)* CHOOSE(CONTROL!$C$21, $C$9, 100%, $E$9)</f>
        <v>54.2211</v>
      </c>
      <c r="K804" s="53">
        <f>CHOOSE(CONTROL!$C$42, 54.235, 54.235) * CHOOSE(CONTROL!$C$21, $C$9, 100%, $E$9)</f>
        <v>54.234999999999999</v>
      </c>
      <c r="L804" s="14">
        <f>CHOOSE(CONTROL!$C$42, 54.9033, 54.9033) * CHOOSE(CONTROL!$C$21, $C$9, 100%, $E$9)</f>
        <v>54.903300000000002</v>
      </c>
      <c r="M804" s="14">
        <f>CHOOSE(CONTROL!$C$42, 53.6877, 53.6877) * CHOOSE(CONTROL!$C$21, $C$9, 100%, $E$9)</f>
        <v>53.6877</v>
      </c>
      <c r="N804" s="14">
        <f>CHOOSE(CONTROL!$C$42, 53.7044, 53.7044) * CHOOSE(CONTROL!$C$21, $C$9, 100%, $E$9)</f>
        <v>53.7044</v>
      </c>
      <c r="O804" s="14">
        <f>CHOOSE(CONTROL!$C$42, 53.782, 53.782) * CHOOSE(CONTROL!$C$21, $C$9, 100%, $E$9)</f>
        <v>53.781999999999996</v>
      </c>
      <c r="P804" s="14">
        <f>CHOOSE(CONTROL!$C$42, 53.7054, 53.7054) * CHOOSE(CONTROL!$C$21, $C$9, 100%, $E$9)</f>
        <v>53.705399999999997</v>
      </c>
      <c r="Q804" s="14">
        <f>CHOOSE(CONTROL!$C$42, 54.3773, 54.3773) * CHOOSE(CONTROL!$C$21, $C$9, 100%, $E$9)</f>
        <v>54.377299999999998</v>
      </c>
      <c r="R804" s="14">
        <f>CHOOSE(CONTROL!$C$42, 55.1003, 55.1003) * CHOOSE(CONTROL!$C$21, $C$9, 100%, $E$9)</f>
        <v>55.100299999999997</v>
      </c>
      <c r="S804" s="14">
        <f>CHOOSE(CONTROL!$C$42, 52.6561, 52.6561) * CHOOSE(CONTROL!$C$21, $C$9, 100%, $E$9)</f>
        <v>52.656100000000002</v>
      </c>
      <c r="T80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04" s="57">
        <f>(1000*CHOOSE(CONTROL!$C$42, 695, 695)*CHOOSE(CONTROL!$C$42, 0.5599, 0.5599)*CHOOSE(CONTROL!$C$42, 31, 31))/1000000</f>
        <v>12.063045499999998</v>
      </c>
      <c r="V804" s="57">
        <f>(1000*CHOOSE(CONTROL!$C$42, 500, 500)*CHOOSE(CONTROL!$C$42, 0.275, 0.275)*CHOOSE(CONTROL!$C$42, 31, 31))/1000000</f>
        <v>4.2625000000000002</v>
      </c>
      <c r="W804" s="57">
        <f>(1000*CHOOSE(CONTROL!$C$42, 0.1146, 0.1146)*CHOOSE(CONTROL!$C$42, 121.5, 121.5)*CHOOSE(CONTROL!$C$42, 31, 31))/1000000</f>
        <v>0.43164089999999994</v>
      </c>
      <c r="X804" s="57">
        <f>(31*0.1790888*100000/1000000)+(31*0.2374*100000/1000000)</f>
        <v>1.2911152800000001</v>
      </c>
      <c r="Y804" s="57"/>
      <c r="Z804" s="14"/>
      <c r="AA804" s="56"/>
      <c r="AB804" s="50">
        <f>(B804*122.58+C804*297.941+D804*89.177+E804*40.302+F804*40+G804*160+H804*0+I804*100+J804*300)/(122.58+297.941+89.177+40.302+0+40+160+100+300)</f>
        <v>54.238355132434783</v>
      </c>
      <c r="AC804" s="45">
        <f>(M804*'RAP TEMPLATE-GAS AVAILABILITY'!O803+N804*'RAP TEMPLATE-GAS AVAILABILITY'!P803+O804*'RAP TEMPLATE-GAS AVAILABILITY'!Q803+P804*'RAP TEMPLATE-GAS AVAILABILITY'!R803)/('RAP TEMPLATE-GAS AVAILABILITY'!O803+'RAP TEMPLATE-GAS AVAILABILITY'!P803+'RAP TEMPLATE-GAS AVAILABILITY'!Q803+'RAP TEMPLATE-GAS AVAILABILITY'!R803)</f>
        <v>53.733948201438842</v>
      </c>
    </row>
    <row r="805" spans="1:29" ht="15.75" x14ac:dyDescent="0.25">
      <c r="A805" s="32">
        <v>65411</v>
      </c>
      <c r="B805" s="14">
        <f>CHOOSE(CONTROL!$C$42, 58.6682, 58.6682) * CHOOSE(CONTROL!$C$21, $C$9, 100%, $E$9)</f>
        <v>58.668199999999999</v>
      </c>
      <c r="C805" s="14">
        <f>CHOOSE(CONTROL!$C$42, 58.6731, 58.6731) * CHOOSE(CONTROL!$C$21, $C$9, 100%, $E$9)</f>
        <v>58.673099999999998</v>
      </c>
      <c r="D805" s="14">
        <f>CHOOSE(CONTROL!$C$42, 58.7374, 58.7374) * CHOOSE(CONTROL!$C$21, $C$9, 100%, $E$9)</f>
        <v>58.737400000000001</v>
      </c>
      <c r="E805" s="14">
        <f>CHOOSE(CONTROL!$C$42, 58.7712, 58.7712) * CHOOSE(CONTROL!$C$21, $C$9, 100%, $E$9)</f>
        <v>58.7712</v>
      </c>
      <c r="F805" s="14">
        <f>CHOOSE(CONTROL!$C$42, 58.6697, 58.6697)*CHOOSE(CONTROL!$C$21, $C$9, 100%, $E$9)</f>
        <v>58.669699999999999</v>
      </c>
      <c r="G805" s="14">
        <f>CHOOSE(CONTROL!$C$42, 58.6856, 58.6856)*CHOOSE(CONTROL!$C$21, $C$9, 100%, $E$9)</f>
        <v>58.685600000000001</v>
      </c>
      <c r="H805" s="14">
        <f>CHOOSE(CONTROL!$C$42, 58.7604, 58.7604) * CHOOSE(CONTROL!$C$21, $C$9, 100%, $E$9)</f>
        <v>58.760399999999997</v>
      </c>
      <c r="I805" s="14">
        <f>CHOOSE(CONTROL!$C$42, 58.6881, 58.6881)* CHOOSE(CONTROL!$C$21, $C$9, 100%, $E$9)</f>
        <v>58.688099999999999</v>
      </c>
      <c r="J805" s="14">
        <f>CHOOSE(CONTROL!$C$42, 58.6627, 58.6627)* CHOOSE(CONTROL!$C$21, $C$9, 100%, $E$9)</f>
        <v>58.662700000000001</v>
      </c>
      <c r="K805" s="53">
        <f>CHOOSE(CONTROL!$C$42, 58.6842, 58.6842) * CHOOSE(CONTROL!$C$21, $C$9, 100%, $E$9)</f>
        <v>58.684199999999997</v>
      </c>
      <c r="L805" s="14">
        <f>CHOOSE(CONTROL!$C$42, 59.3474, 59.3474) * CHOOSE(CONTROL!$C$21, $C$9, 100%, $E$9)</f>
        <v>59.3474</v>
      </c>
      <c r="M805" s="14">
        <f>CHOOSE(CONTROL!$C$42, 58.0845, 58.0845) * CHOOSE(CONTROL!$C$21, $C$9, 100%, $E$9)</f>
        <v>58.084499999999998</v>
      </c>
      <c r="N805" s="14">
        <f>CHOOSE(CONTROL!$C$42, 58.1002, 58.1002) * CHOOSE(CONTROL!$C$21, $C$9, 100%, $E$9)</f>
        <v>58.100200000000001</v>
      </c>
      <c r="O805" s="14">
        <f>CHOOSE(CONTROL!$C$42, 58.1812, 58.1812) * CHOOSE(CONTROL!$C$21, $C$9, 100%, $E$9)</f>
        <v>58.181199999999997</v>
      </c>
      <c r="P805" s="14">
        <f>CHOOSE(CONTROL!$C$42, 58.1097, 58.1097) * CHOOSE(CONTROL!$C$21, $C$9, 100%, $E$9)</f>
        <v>58.109699999999997</v>
      </c>
      <c r="Q805" s="14">
        <f>CHOOSE(CONTROL!$C$42, 58.7765, 58.7765) * CHOOSE(CONTROL!$C$21, $C$9, 100%, $E$9)</f>
        <v>58.776499999999999</v>
      </c>
      <c r="R805" s="14">
        <f>CHOOSE(CONTROL!$C$42, 59.5104, 59.5104) * CHOOSE(CONTROL!$C$21, $C$9, 100%, $E$9)</f>
        <v>59.510399999999997</v>
      </c>
      <c r="S805" s="14">
        <f>CHOOSE(CONTROL!$C$42, 56.9705, 56.9705) * CHOOSE(CONTROL!$C$21, $C$9, 100%, $E$9)</f>
        <v>56.970500000000001</v>
      </c>
      <c r="T80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05" s="57">
        <f>(1000*CHOOSE(CONTROL!$C$42, 695, 695)*CHOOSE(CONTROL!$C$42, 0.5599, 0.5599)*CHOOSE(CONTROL!$C$42, 31, 31))/1000000</f>
        <v>12.063045499999998</v>
      </c>
      <c r="V805" s="57">
        <f>(1000*CHOOSE(CONTROL!$C$42, 500, 500)*CHOOSE(CONTROL!$C$42, 0.275, 0.275)*CHOOSE(CONTROL!$C$42, 31, 31))/1000000</f>
        <v>4.2625000000000002</v>
      </c>
      <c r="W805" s="57">
        <f>(1000*CHOOSE(CONTROL!$C$42, 0.1146, 0.1146)*CHOOSE(CONTROL!$C$42, 121.5, 121.5)*CHOOSE(CONTROL!$C$42, 31, 31))/1000000</f>
        <v>0.43164089999999994</v>
      </c>
      <c r="X805" s="57">
        <f>(31*0.1790888*100000/1000000)+(31*0.2374*100000/1000000)</f>
        <v>1.2911152800000001</v>
      </c>
      <c r="Y805" s="57"/>
      <c r="Z805" s="14"/>
      <c r="AA805" s="56"/>
      <c r="AB805" s="50">
        <f>(B805*122.58+C805*297.941+D805*89.177+E805*40.302+F805*40+G805*160+H805*0+I805*100+J805*300)/(122.58+297.941+89.177+40.302+0+40+160+100+300)</f>
        <v>58.681213969826082</v>
      </c>
      <c r="AC805" s="45">
        <f>(M805*'RAP TEMPLATE-GAS AVAILABILITY'!O804+N805*'RAP TEMPLATE-GAS AVAILABILITY'!P804+O805*'RAP TEMPLATE-GAS AVAILABILITY'!Q804+P805*'RAP TEMPLATE-GAS AVAILABILITY'!R804)/('RAP TEMPLATE-GAS AVAILABILITY'!O804+'RAP TEMPLATE-GAS AVAILABILITY'!P804+'RAP TEMPLATE-GAS AVAILABILITY'!Q804+'RAP TEMPLATE-GAS AVAILABILITY'!R804)</f>
        <v>58.132857553956825</v>
      </c>
    </row>
    <row r="806" spans="1:29" ht="15.75" x14ac:dyDescent="0.25">
      <c r="A806" s="32">
        <v>65439</v>
      </c>
      <c r="B806" s="14">
        <f>CHOOSE(CONTROL!$C$42, 59.7125, 59.7125) * CHOOSE(CONTROL!$C$21, $C$9, 100%, $E$9)</f>
        <v>59.712499999999999</v>
      </c>
      <c r="C806" s="14">
        <f>CHOOSE(CONTROL!$C$42, 59.7174, 59.7174) * CHOOSE(CONTROL!$C$21, $C$9, 100%, $E$9)</f>
        <v>59.717399999999998</v>
      </c>
      <c r="D806" s="14">
        <f>CHOOSE(CONTROL!$C$42, 59.7817, 59.7817) * CHOOSE(CONTROL!$C$21, $C$9, 100%, $E$9)</f>
        <v>59.781700000000001</v>
      </c>
      <c r="E806" s="14">
        <f>CHOOSE(CONTROL!$C$42, 59.8155, 59.8155) * CHOOSE(CONTROL!$C$21, $C$9, 100%, $E$9)</f>
        <v>59.8155</v>
      </c>
      <c r="F806" s="14">
        <f>CHOOSE(CONTROL!$C$42, 59.714, 59.714)*CHOOSE(CONTROL!$C$21, $C$9, 100%, $E$9)</f>
        <v>59.713999999999999</v>
      </c>
      <c r="G806" s="14">
        <f>CHOOSE(CONTROL!$C$42, 59.73, 59.73)*CHOOSE(CONTROL!$C$21, $C$9, 100%, $E$9)</f>
        <v>59.73</v>
      </c>
      <c r="H806" s="14">
        <f>CHOOSE(CONTROL!$C$42, 59.8047, 59.8047) * CHOOSE(CONTROL!$C$21, $C$9, 100%, $E$9)</f>
        <v>59.804699999999997</v>
      </c>
      <c r="I806" s="14">
        <f>CHOOSE(CONTROL!$C$42, 59.7325, 59.7325)* CHOOSE(CONTROL!$C$21, $C$9, 100%, $E$9)</f>
        <v>59.732500000000002</v>
      </c>
      <c r="J806" s="14">
        <f>CHOOSE(CONTROL!$C$42, 59.707, 59.707)* CHOOSE(CONTROL!$C$21, $C$9, 100%, $E$9)</f>
        <v>59.707000000000001</v>
      </c>
      <c r="K806" s="53">
        <f>CHOOSE(CONTROL!$C$42, 59.7286, 59.7286) * CHOOSE(CONTROL!$C$21, $C$9, 100%, $E$9)</f>
        <v>59.7286</v>
      </c>
      <c r="L806" s="14">
        <f>CHOOSE(CONTROL!$C$42, 60.3917, 60.3917) * CHOOSE(CONTROL!$C$21, $C$9, 100%, $E$9)</f>
        <v>60.3917</v>
      </c>
      <c r="M806" s="14">
        <f>CHOOSE(CONTROL!$C$42, 59.1183, 59.1183) * CHOOSE(CONTROL!$C$21, $C$9, 100%, $E$9)</f>
        <v>59.118299999999998</v>
      </c>
      <c r="N806" s="14">
        <f>CHOOSE(CONTROL!$C$42, 59.1341, 59.1341) * CHOOSE(CONTROL!$C$21, $C$9, 100%, $E$9)</f>
        <v>59.134099999999997</v>
      </c>
      <c r="O806" s="14">
        <f>CHOOSE(CONTROL!$C$42, 59.215, 59.215) * CHOOSE(CONTROL!$C$21, $C$9, 100%, $E$9)</f>
        <v>59.215000000000003</v>
      </c>
      <c r="P806" s="14">
        <f>CHOOSE(CONTROL!$C$42, 59.1435, 59.1435) * CHOOSE(CONTROL!$C$21, $C$9, 100%, $E$9)</f>
        <v>59.143500000000003</v>
      </c>
      <c r="Q806" s="14">
        <f>CHOOSE(CONTROL!$C$42, 59.8103, 59.8103) * CHOOSE(CONTROL!$C$21, $C$9, 100%, $E$9)</f>
        <v>59.810299999999998</v>
      </c>
      <c r="R806" s="14">
        <f>CHOOSE(CONTROL!$C$42, 60.5468, 60.5468) * CHOOSE(CONTROL!$C$21, $C$9, 100%, $E$9)</f>
        <v>60.546799999999998</v>
      </c>
      <c r="S806" s="14">
        <f>CHOOSE(CONTROL!$C$42, 57.9847, 57.9847) * CHOOSE(CONTROL!$C$21, $C$9, 100%, $E$9)</f>
        <v>57.984699999999997</v>
      </c>
      <c r="T80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06" s="57">
        <f>(1000*CHOOSE(CONTROL!$C$42, 695, 695)*CHOOSE(CONTROL!$C$42, 0.5599, 0.5599)*CHOOSE(CONTROL!$C$42, 28, 28))/1000000</f>
        <v>10.895653999999999</v>
      </c>
      <c r="V806" s="57">
        <f>(1000*CHOOSE(CONTROL!$C$42, 500, 500)*CHOOSE(CONTROL!$C$42, 0.275, 0.275)*CHOOSE(CONTROL!$C$42, 28, 28))/1000000</f>
        <v>3.85</v>
      </c>
      <c r="W806" s="57">
        <f>(1000*CHOOSE(CONTROL!$C$42, 0.1146, 0.1146)*CHOOSE(CONTROL!$C$42, 121.5, 121.5)*CHOOSE(CONTROL!$C$42, 28, 28))/1000000</f>
        <v>0.38986920000000003</v>
      </c>
      <c r="X806" s="57">
        <f>(28*0.1790888*100000/1000000)+(28*0.2374*100000/1000000)</f>
        <v>1.16616864</v>
      </c>
      <c r="Y806" s="57"/>
      <c r="Z806" s="14"/>
      <c r="AA806" s="56"/>
      <c r="AB806" s="50">
        <f>(B806*122.58+C806*297.941+D806*89.177+E806*40.302+F806*40+G806*160+H806*0+I806*100+J806*300)/(122.58+297.941+89.177+40.302+0+40+160+100+300)</f>
        <v>59.725536578521741</v>
      </c>
      <c r="AC806" s="45">
        <f>(M806*'RAP TEMPLATE-GAS AVAILABILITY'!O805+N806*'RAP TEMPLATE-GAS AVAILABILITY'!P805+O806*'RAP TEMPLATE-GAS AVAILABILITY'!Q805+P806*'RAP TEMPLATE-GAS AVAILABILITY'!R805)/('RAP TEMPLATE-GAS AVAILABILITY'!O805+'RAP TEMPLATE-GAS AVAILABILITY'!P805+'RAP TEMPLATE-GAS AVAILABILITY'!Q805+'RAP TEMPLATE-GAS AVAILABILITY'!R805)</f>
        <v>59.166663309352515</v>
      </c>
    </row>
    <row r="807" spans="1:29" ht="15.75" x14ac:dyDescent="0.25">
      <c r="A807" s="32">
        <v>65470</v>
      </c>
      <c r="B807" s="14">
        <f>CHOOSE(CONTROL!$C$42, 58.0173, 58.0173) * CHOOSE(CONTROL!$C$21, $C$9, 100%, $E$9)</f>
        <v>58.017299999999999</v>
      </c>
      <c r="C807" s="14">
        <f>CHOOSE(CONTROL!$C$42, 58.0222, 58.0222) * CHOOSE(CONTROL!$C$21, $C$9, 100%, $E$9)</f>
        <v>58.022199999999998</v>
      </c>
      <c r="D807" s="14">
        <f>CHOOSE(CONTROL!$C$42, 58.0865, 58.0865) * CHOOSE(CONTROL!$C$21, $C$9, 100%, $E$9)</f>
        <v>58.086500000000001</v>
      </c>
      <c r="E807" s="14">
        <f>CHOOSE(CONTROL!$C$42, 58.1203, 58.1203) * CHOOSE(CONTROL!$C$21, $C$9, 100%, $E$9)</f>
        <v>58.1203</v>
      </c>
      <c r="F807" s="14">
        <f>CHOOSE(CONTROL!$C$42, 58.0185, 58.0185)*CHOOSE(CONTROL!$C$21, $C$9, 100%, $E$9)</f>
        <v>58.018500000000003</v>
      </c>
      <c r="G807" s="14">
        <f>CHOOSE(CONTROL!$C$42, 58.0344, 58.0344)*CHOOSE(CONTROL!$C$21, $C$9, 100%, $E$9)</f>
        <v>58.034399999999998</v>
      </c>
      <c r="H807" s="14">
        <f>CHOOSE(CONTROL!$C$42, 58.1095, 58.1095) * CHOOSE(CONTROL!$C$21, $C$9, 100%, $E$9)</f>
        <v>58.109499999999997</v>
      </c>
      <c r="I807" s="14">
        <f>CHOOSE(CONTROL!$C$42, 58.0373, 58.0373)* CHOOSE(CONTROL!$C$21, $C$9, 100%, $E$9)</f>
        <v>58.037300000000002</v>
      </c>
      <c r="J807" s="14">
        <f>CHOOSE(CONTROL!$C$42, 58.0115, 58.0115)* CHOOSE(CONTROL!$C$21, $C$9, 100%, $E$9)</f>
        <v>58.011499999999998</v>
      </c>
      <c r="K807" s="53">
        <f>CHOOSE(CONTROL!$C$42, 58.0334, 58.0334) * CHOOSE(CONTROL!$C$21, $C$9, 100%, $E$9)</f>
        <v>58.0334</v>
      </c>
      <c r="L807" s="14">
        <f>CHOOSE(CONTROL!$C$42, 58.6965, 58.6965) * CHOOSE(CONTROL!$C$21, $C$9, 100%, $E$9)</f>
        <v>58.6965</v>
      </c>
      <c r="M807" s="14">
        <f>CHOOSE(CONTROL!$C$42, 57.4399, 57.4399) * CHOOSE(CONTROL!$C$21, $C$9, 100%, $E$9)</f>
        <v>57.439900000000002</v>
      </c>
      <c r="N807" s="14">
        <f>CHOOSE(CONTROL!$C$42, 57.4556, 57.4556) * CHOOSE(CONTROL!$C$21, $C$9, 100%, $E$9)</f>
        <v>57.455599999999997</v>
      </c>
      <c r="O807" s="14">
        <f>CHOOSE(CONTROL!$C$42, 57.5369, 57.5369) * CHOOSE(CONTROL!$C$21, $C$9, 100%, $E$9)</f>
        <v>57.536900000000003</v>
      </c>
      <c r="P807" s="14">
        <f>CHOOSE(CONTROL!$C$42, 57.4654, 57.4654) * CHOOSE(CONTROL!$C$21, $C$9, 100%, $E$9)</f>
        <v>57.465400000000002</v>
      </c>
      <c r="Q807" s="14">
        <f>CHOOSE(CONTROL!$C$42, 58.1322, 58.1322) * CHOOSE(CONTROL!$C$21, $C$9, 100%, $E$9)</f>
        <v>58.132199999999997</v>
      </c>
      <c r="R807" s="14">
        <f>CHOOSE(CONTROL!$C$42, 58.8645, 58.8645) * CHOOSE(CONTROL!$C$21, $C$9, 100%, $E$9)</f>
        <v>58.8645</v>
      </c>
      <c r="S807" s="14">
        <f>CHOOSE(CONTROL!$C$42, 56.3384, 56.3384) * CHOOSE(CONTROL!$C$21, $C$9, 100%, $E$9)</f>
        <v>56.3384</v>
      </c>
      <c r="T80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07" s="57">
        <f>(1000*CHOOSE(CONTROL!$C$42, 695, 695)*CHOOSE(CONTROL!$C$42, 0.5599, 0.5599)*CHOOSE(CONTROL!$C$42, 31, 31))/1000000</f>
        <v>12.063045499999998</v>
      </c>
      <c r="V807" s="57">
        <f>(1000*CHOOSE(CONTROL!$C$42, 500, 500)*CHOOSE(CONTROL!$C$42, 0.275, 0.275)*CHOOSE(CONTROL!$C$42, 31, 31))/1000000</f>
        <v>4.2625000000000002</v>
      </c>
      <c r="W807" s="57">
        <f>(1000*CHOOSE(CONTROL!$C$42, 0.1146, 0.1146)*CHOOSE(CONTROL!$C$42, 121.5, 121.5)*CHOOSE(CONTROL!$C$42, 31, 31))/1000000</f>
        <v>0.43164089999999994</v>
      </c>
      <c r="X807" s="57">
        <f>(31*0.1790888*100000/1000000)+(31*0.2374*100000/1000000)</f>
        <v>1.2911152800000001</v>
      </c>
      <c r="Y807" s="57"/>
      <c r="Z807" s="14"/>
      <c r="AA807" s="56"/>
      <c r="AB807" s="50">
        <f>(B807*122.58+C807*297.941+D807*89.177+E807*40.302+F807*40+G807*160+H807*0+I807*100+J807*300)/(122.58+297.941+89.177+40.302+0+40+160+100+300)</f>
        <v>58.030192230695661</v>
      </c>
      <c r="AC807" s="45">
        <f>(M807*'RAP TEMPLATE-GAS AVAILABILITY'!O806+N807*'RAP TEMPLATE-GAS AVAILABILITY'!P806+O807*'RAP TEMPLATE-GAS AVAILABILITY'!Q806+P807*'RAP TEMPLATE-GAS AVAILABILITY'!R806)/('RAP TEMPLATE-GAS AVAILABILITY'!O806+'RAP TEMPLATE-GAS AVAILABILITY'!P806+'RAP TEMPLATE-GAS AVAILABILITY'!Q806+'RAP TEMPLATE-GAS AVAILABILITY'!R806)</f>
        <v>57.48843669064749</v>
      </c>
    </row>
    <row r="808" spans="1:29" ht="15.75" x14ac:dyDescent="0.25">
      <c r="A808" s="32">
        <v>65500</v>
      </c>
      <c r="B808" s="14">
        <f>CHOOSE(CONTROL!$C$42, 57.8447, 57.8447) * CHOOSE(CONTROL!$C$21, $C$9, 100%, $E$9)</f>
        <v>57.844700000000003</v>
      </c>
      <c r="C808" s="14">
        <f>CHOOSE(CONTROL!$C$42, 57.8491, 57.8491) * CHOOSE(CONTROL!$C$21, $C$9, 100%, $E$9)</f>
        <v>57.8491</v>
      </c>
      <c r="D808" s="14">
        <f>CHOOSE(CONTROL!$C$42, 58.0499, 58.0499) * CHOOSE(CONTROL!$C$21, $C$9, 100%, $E$9)</f>
        <v>58.049900000000001</v>
      </c>
      <c r="E808" s="14">
        <f>CHOOSE(CONTROL!$C$42, 58.0816, 58.0816) * CHOOSE(CONTROL!$C$21, $C$9, 100%, $E$9)</f>
        <v>58.081600000000002</v>
      </c>
      <c r="F808" s="14">
        <f>CHOOSE(CONTROL!$C$42, 57.8293, 57.8293)*CHOOSE(CONTROL!$C$21, $C$9, 100%, $E$9)</f>
        <v>57.829300000000003</v>
      </c>
      <c r="G808" s="14">
        <f>CHOOSE(CONTROL!$C$42, 57.845, 57.845)*CHOOSE(CONTROL!$C$21, $C$9, 100%, $E$9)</f>
        <v>57.844999999999999</v>
      </c>
      <c r="H808" s="14">
        <f>CHOOSE(CONTROL!$C$42, 58.0714, 58.0714) * CHOOSE(CONTROL!$C$21, $C$9, 100%, $E$9)</f>
        <v>58.071399999999997</v>
      </c>
      <c r="I808" s="14">
        <f>CHOOSE(CONTROL!$C$42, 57.8575, 57.8575)* CHOOSE(CONTROL!$C$21, $C$9, 100%, $E$9)</f>
        <v>57.857500000000002</v>
      </c>
      <c r="J808" s="14">
        <f>CHOOSE(CONTROL!$C$42, 57.8223, 57.8223)* CHOOSE(CONTROL!$C$21, $C$9, 100%, $E$9)</f>
        <v>57.822299999999998</v>
      </c>
      <c r="K808" s="53">
        <f>CHOOSE(CONTROL!$C$42, 57.8536, 57.8536) * CHOOSE(CONTROL!$C$21, $C$9, 100%, $E$9)</f>
        <v>57.8536</v>
      </c>
      <c r="L808" s="14">
        <f>CHOOSE(CONTROL!$C$42, 58.6584, 58.6584) * CHOOSE(CONTROL!$C$21, $C$9, 100%, $E$9)</f>
        <v>58.6584</v>
      </c>
      <c r="M808" s="14">
        <f>CHOOSE(CONTROL!$C$42, 57.2526, 57.2526) * CHOOSE(CONTROL!$C$21, $C$9, 100%, $E$9)</f>
        <v>57.252600000000001</v>
      </c>
      <c r="N808" s="14">
        <f>CHOOSE(CONTROL!$C$42, 57.2681, 57.2681) * CHOOSE(CONTROL!$C$21, $C$9, 100%, $E$9)</f>
        <v>57.268099999999997</v>
      </c>
      <c r="O808" s="14">
        <f>CHOOSE(CONTROL!$C$42, 57.4992, 57.4992) * CHOOSE(CONTROL!$C$21, $C$9, 100%, $E$9)</f>
        <v>57.499200000000002</v>
      </c>
      <c r="P808" s="14">
        <f>CHOOSE(CONTROL!$C$42, 57.2875, 57.2875) * CHOOSE(CONTROL!$C$21, $C$9, 100%, $E$9)</f>
        <v>57.287500000000001</v>
      </c>
      <c r="Q808" s="14">
        <f>CHOOSE(CONTROL!$C$42, 58.0945, 58.0945) * CHOOSE(CONTROL!$C$21, $C$9, 100%, $E$9)</f>
        <v>58.094499999999996</v>
      </c>
      <c r="R808" s="14">
        <f>CHOOSE(CONTROL!$C$42, 58.8267, 58.8267) * CHOOSE(CONTROL!$C$21, $C$9, 100%, $E$9)</f>
        <v>58.826700000000002</v>
      </c>
      <c r="S808" s="14">
        <f>CHOOSE(CONTROL!$C$42, 56.1701, 56.1701) * CHOOSE(CONTROL!$C$21, $C$9, 100%, $E$9)</f>
        <v>56.170099999999998</v>
      </c>
      <c r="T80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08" s="57">
        <f>(1000*CHOOSE(CONTROL!$C$42, 695, 695)*CHOOSE(CONTROL!$C$42, 0.5599, 0.5599)*CHOOSE(CONTROL!$C$42, 30, 30))/1000000</f>
        <v>11.673914999999997</v>
      </c>
      <c r="V808" s="57">
        <f>(1000*CHOOSE(CONTROL!$C$42, 500, 500)*CHOOSE(CONTROL!$C$42, 0.275, 0.275)*CHOOSE(CONTROL!$C$42, 30, 30))/1000000</f>
        <v>4.125</v>
      </c>
      <c r="W808" s="57">
        <f>(1000*CHOOSE(CONTROL!$C$42, 0.1146, 0.1146)*CHOOSE(CONTROL!$C$42, 121.5, 121.5)*CHOOSE(CONTROL!$C$42, 30, 30))/1000000</f>
        <v>0.417717</v>
      </c>
      <c r="X808" s="57">
        <f>(30*0.1790888*245000/1000000)+(30*0.2374*100000/1000000)</f>
        <v>2.0285026799999999</v>
      </c>
      <c r="Y808" s="57"/>
      <c r="Z808" s="14"/>
      <c r="AA808" s="56"/>
      <c r="AB808" s="50">
        <f>(B808*141.293+C808*267.993+D808*115.016+E808*89.698+F808*40+G808*185+H808*0+I808*100+J808*300)/(141.293+267.993+115.016+89.698+0+40+185+100+300)</f>
        <v>57.877007835835343</v>
      </c>
      <c r="AC808" s="45">
        <f>(M808*'RAP TEMPLATE-GAS AVAILABILITY'!O807+N808*'RAP TEMPLATE-GAS AVAILABILITY'!P807+O808*'RAP TEMPLATE-GAS AVAILABILITY'!Q807+P808*'RAP TEMPLATE-GAS AVAILABILITY'!R807)/('RAP TEMPLATE-GAS AVAILABILITY'!O807+'RAP TEMPLATE-GAS AVAILABILITY'!P807+'RAP TEMPLATE-GAS AVAILABILITY'!Q807+'RAP TEMPLATE-GAS AVAILABILITY'!R807)</f>
        <v>57.370282014388486</v>
      </c>
    </row>
    <row r="809" spans="1:29" ht="15.75" x14ac:dyDescent="0.25">
      <c r="A809" s="32">
        <v>65531</v>
      </c>
      <c r="B809" s="14">
        <f>CHOOSE(CONTROL!$C$42, 58.3567, 58.3567) * CHOOSE(CONTROL!$C$21, $C$9, 100%, $E$9)</f>
        <v>58.356699999999996</v>
      </c>
      <c r="C809" s="14">
        <f>CHOOSE(CONTROL!$C$42, 58.3646, 58.3646) * CHOOSE(CONTROL!$C$21, $C$9, 100%, $E$9)</f>
        <v>58.364600000000003</v>
      </c>
      <c r="D809" s="14">
        <f>CHOOSE(CONTROL!$C$42, 58.5622, 58.5622) * CHOOSE(CONTROL!$C$21, $C$9, 100%, $E$9)</f>
        <v>58.562199999999997</v>
      </c>
      <c r="E809" s="14">
        <f>CHOOSE(CONTROL!$C$42, 58.5933, 58.5933) * CHOOSE(CONTROL!$C$21, $C$9, 100%, $E$9)</f>
        <v>58.593299999999999</v>
      </c>
      <c r="F809" s="14">
        <f>CHOOSE(CONTROL!$C$42, 58.3401, 58.3401)*CHOOSE(CONTROL!$C$21, $C$9, 100%, $E$9)</f>
        <v>58.3401</v>
      </c>
      <c r="G809" s="14">
        <f>CHOOSE(CONTROL!$C$42, 58.3562, 58.3562)*CHOOSE(CONTROL!$C$21, $C$9, 100%, $E$9)</f>
        <v>58.356200000000001</v>
      </c>
      <c r="H809" s="14">
        <f>CHOOSE(CONTROL!$C$42, 58.5819, 58.5819) * CHOOSE(CONTROL!$C$21, $C$9, 100%, $E$9)</f>
        <v>58.581899999999997</v>
      </c>
      <c r="I809" s="14">
        <f>CHOOSE(CONTROL!$C$42, 58.368, 58.368)* CHOOSE(CONTROL!$C$21, $C$9, 100%, $E$9)</f>
        <v>58.368000000000002</v>
      </c>
      <c r="J809" s="14">
        <f>CHOOSE(CONTROL!$C$42, 58.3331, 58.3331)* CHOOSE(CONTROL!$C$21, $C$9, 100%, $E$9)</f>
        <v>58.333100000000002</v>
      </c>
      <c r="K809" s="53">
        <f>CHOOSE(CONTROL!$C$42, 58.3641, 58.3641) * CHOOSE(CONTROL!$C$21, $C$9, 100%, $E$9)</f>
        <v>58.364100000000001</v>
      </c>
      <c r="L809" s="14">
        <f>CHOOSE(CONTROL!$C$42, 59.1689, 59.1689) * CHOOSE(CONTROL!$C$21, $C$9, 100%, $E$9)</f>
        <v>59.168900000000001</v>
      </c>
      <c r="M809" s="14">
        <f>CHOOSE(CONTROL!$C$42, 57.7582, 57.7582) * CHOOSE(CONTROL!$C$21, $C$9, 100%, $E$9)</f>
        <v>57.758200000000002</v>
      </c>
      <c r="N809" s="14">
        <f>CHOOSE(CONTROL!$C$42, 57.7741, 57.7741) * CHOOSE(CONTROL!$C$21, $C$9, 100%, $E$9)</f>
        <v>57.774099999999997</v>
      </c>
      <c r="O809" s="14">
        <f>CHOOSE(CONTROL!$C$42, 58.0046, 58.0046) * CHOOSE(CONTROL!$C$21, $C$9, 100%, $E$9)</f>
        <v>58.004600000000003</v>
      </c>
      <c r="P809" s="14">
        <f>CHOOSE(CONTROL!$C$42, 57.7929, 57.7929) * CHOOSE(CONTROL!$C$21, $C$9, 100%, $E$9)</f>
        <v>57.792900000000003</v>
      </c>
      <c r="Q809" s="14">
        <f>CHOOSE(CONTROL!$C$42, 58.5999, 58.5999) * CHOOSE(CONTROL!$C$21, $C$9, 100%, $E$9)</f>
        <v>58.599899999999998</v>
      </c>
      <c r="R809" s="14">
        <f>CHOOSE(CONTROL!$C$42, 59.3334, 59.3334) * CHOOSE(CONTROL!$C$21, $C$9, 100%, $E$9)</f>
        <v>59.333399999999997</v>
      </c>
      <c r="S809" s="14">
        <f>CHOOSE(CONTROL!$C$42, 56.6659, 56.6659) * CHOOSE(CONTROL!$C$21, $C$9, 100%, $E$9)</f>
        <v>56.665900000000001</v>
      </c>
      <c r="T80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09" s="57">
        <f>(1000*CHOOSE(CONTROL!$C$42, 695, 695)*CHOOSE(CONTROL!$C$42, 0.5599, 0.5599)*CHOOSE(CONTROL!$C$42, 31, 31))/1000000</f>
        <v>12.063045499999998</v>
      </c>
      <c r="V809" s="57">
        <f>(1000*CHOOSE(CONTROL!$C$42, 500, 500)*CHOOSE(CONTROL!$C$42, 0.275, 0.275)*CHOOSE(CONTROL!$C$42, 31, 31))/1000000</f>
        <v>4.2625000000000002</v>
      </c>
      <c r="W809" s="57">
        <f>(1000*CHOOSE(CONTROL!$C$42, 0.1146, 0.1146)*CHOOSE(CONTROL!$C$42, 121.5, 121.5)*CHOOSE(CONTROL!$C$42, 31, 31))/1000000</f>
        <v>0.43164089999999994</v>
      </c>
      <c r="X809" s="57">
        <f>(31*0.1790888*245000/1000000)+(31*0.2374*100000/1000000)</f>
        <v>2.0961194359999999</v>
      </c>
      <c r="Y809" s="57"/>
      <c r="Z809" s="14"/>
      <c r="AA809" s="56"/>
      <c r="AB809" s="50">
        <f>(B809*194.205+C809*267.466+D809*133.845+E809*53.484+F809*40+G809*185+H809*0+I809*100+J809*300)/(194.205+267.466+133.845+53.484+0+40+185+100+300)</f>
        <v>58.384616752982737</v>
      </c>
      <c r="AC809" s="45">
        <f>(M809*'RAP TEMPLATE-GAS AVAILABILITY'!O808+N809*'RAP TEMPLATE-GAS AVAILABILITY'!P808+O809*'RAP TEMPLATE-GAS AVAILABILITY'!Q808+P809*'RAP TEMPLATE-GAS AVAILABILITY'!R808)/('RAP TEMPLATE-GAS AVAILABILITY'!O808+'RAP TEMPLATE-GAS AVAILABILITY'!P808+'RAP TEMPLATE-GAS AVAILABILITY'!Q808+'RAP TEMPLATE-GAS AVAILABILITY'!R808)</f>
        <v>57.875785611510793</v>
      </c>
    </row>
    <row r="810" spans="1:29" ht="15.75" x14ac:dyDescent="0.25">
      <c r="A810" s="32">
        <v>65561</v>
      </c>
      <c r="B810" s="14">
        <f>CHOOSE(CONTROL!$C$42, 60.0119, 60.0119) * CHOOSE(CONTROL!$C$21, $C$9, 100%, $E$9)</f>
        <v>60.011899999999997</v>
      </c>
      <c r="C810" s="14">
        <f>CHOOSE(CONTROL!$C$42, 60.0198, 60.0198) * CHOOSE(CONTROL!$C$21, $C$9, 100%, $E$9)</f>
        <v>60.019799999999996</v>
      </c>
      <c r="D810" s="14">
        <f>CHOOSE(CONTROL!$C$42, 60.2174, 60.2174) * CHOOSE(CONTROL!$C$21, $C$9, 100%, $E$9)</f>
        <v>60.217399999999998</v>
      </c>
      <c r="E810" s="14">
        <f>CHOOSE(CONTROL!$C$42, 60.2485, 60.2485) * CHOOSE(CONTROL!$C$21, $C$9, 100%, $E$9)</f>
        <v>60.2485</v>
      </c>
      <c r="F810" s="14">
        <f>CHOOSE(CONTROL!$C$42, 59.9957, 59.9957)*CHOOSE(CONTROL!$C$21, $C$9, 100%, $E$9)</f>
        <v>59.995699999999999</v>
      </c>
      <c r="G810" s="14">
        <f>CHOOSE(CONTROL!$C$42, 60.0119, 60.0119)*CHOOSE(CONTROL!$C$21, $C$9, 100%, $E$9)</f>
        <v>60.011899999999997</v>
      </c>
      <c r="H810" s="14">
        <f>CHOOSE(CONTROL!$C$42, 60.2371, 60.2371) * CHOOSE(CONTROL!$C$21, $C$9, 100%, $E$9)</f>
        <v>60.237099999999998</v>
      </c>
      <c r="I810" s="14">
        <f>CHOOSE(CONTROL!$C$42, 60.0232, 60.0232)* CHOOSE(CONTROL!$C$21, $C$9, 100%, $E$9)</f>
        <v>60.023200000000003</v>
      </c>
      <c r="J810" s="14">
        <f>CHOOSE(CONTROL!$C$42, 59.9887, 59.9887)* CHOOSE(CONTROL!$C$21, $C$9, 100%, $E$9)</f>
        <v>59.988700000000001</v>
      </c>
      <c r="K810" s="53">
        <f>CHOOSE(CONTROL!$C$42, 60.0193, 60.0193) * CHOOSE(CONTROL!$C$21, $C$9, 100%, $E$9)</f>
        <v>60.019300000000001</v>
      </c>
      <c r="L810" s="14">
        <f>CHOOSE(CONTROL!$C$42, 60.8241, 60.8241) * CHOOSE(CONTROL!$C$21, $C$9, 100%, $E$9)</f>
        <v>60.824100000000001</v>
      </c>
      <c r="M810" s="14">
        <f>CHOOSE(CONTROL!$C$42, 59.3971, 59.3971) * CHOOSE(CONTROL!$C$21, $C$9, 100%, $E$9)</f>
        <v>59.397100000000002</v>
      </c>
      <c r="N810" s="14">
        <f>CHOOSE(CONTROL!$C$42, 59.4132, 59.4132) * CHOOSE(CONTROL!$C$21, $C$9, 100%, $E$9)</f>
        <v>59.413200000000003</v>
      </c>
      <c r="O810" s="14">
        <f>CHOOSE(CONTROL!$C$42, 59.6431, 59.6431) * CHOOSE(CONTROL!$C$21, $C$9, 100%, $E$9)</f>
        <v>59.643099999999997</v>
      </c>
      <c r="P810" s="14">
        <f>CHOOSE(CONTROL!$C$42, 59.4314, 59.4314) * CHOOSE(CONTROL!$C$21, $C$9, 100%, $E$9)</f>
        <v>59.431399999999996</v>
      </c>
      <c r="Q810" s="14">
        <f>CHOOSE(CONTROL!$C$42, 60.2384, 60.2384) * CHOOSE(CONTROL!$C$21, $C$9, 100%, $E$9)</f>
        <v>60.238399999999999</v>
      </c>
      <c r="R810" s="14">
        <f>CHOOSE(CONTROL!$C$42, 60.976, 60.976) * CHOOSE(CONTROL!$C$21, $C$9, 100%, $E$9)</f>
        <v>60.975999999999999</v>
      </c>
      <c r="S810" s="14">
        <f>CHOOSE(CONTROL!$C$42, 58.2733, 58.2733) * CHOOSE(CONTROL!$C$21, $C$9, 100%, $E$9)</f>
        <v>58.273299999999999</v>
      </c>
      <c r="T81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10" s="57">
        <f>(1000*CHOOSE(CONTROL!$C$42, 695, 695)*CHOOSE(CONTROL!$C$42, 0.5599, 0.5599)*CHOOSE(CONTROL!$C$42, 30, 30))/1000000</f>
        <v>11.673914999999997</v>
      </c>
      <c r="V810" s="57">
        <f>(1000*CHOOSE(CONTROL!$C$42, 500, 500)*CHOOSE(CONTROL!$C$42, 0.275, 0.275)*CHOOSE(CONTROL!$C$42, 30, 30))/1000000</f>
        <v>4.125</v>
      </c>
      <c r="W810" s="57">
        <f>(1000*CHOOSE(CONTROL!$C$42, 0.1146, 0.1146)*CHOOSE(CONTROL!$C$42, 121.5, 121.5)*CHOOSE(CONTROL!$C$42, 30, 30))/1000000</f>
        <v>0.417717</v>
      </c>
      <c r="X810" s="57">
        <f>(30*0.1790888*245000/1000000)+(30*0.2374*100000/1000000)</f>
        <v>2.0285026799999999</v>
      </c>
      <c r="Y810" s="57"/>
      <c r="Z810" s="14"/>
      <c r="AA810" s="56"/>
      <c r="AB810" s="50">
        <f>(B810*194.205+C810*267.466+D810*133.845+E810*53.484+F810*40+G810*185+H810*0+I810*100+J810*300)/(194.205+267.466+133.845+53.484+0+40+185+100+300)</f>
        <v>60.039996109340656</v>
      </c>
      <c r="AC810" s="45">
        <f>(M810*'RAP TEMPLATE-GAS AVAILABILITY'!O809+N810*'RAP TEMPLATE-GAS AVAILABILITY'!P809+O810*'RAP TEMPLATE-GAS AVAILABILITY'!Q809+P810*'RAP TEMPLATE-GAS AVAILABILITY'!R809)/('RAP TEMPLATE-GAS AVAILABILITY'!O809+'RAP TEMPLATE-GAS AVAILABILITY'!P809+'RAP TEMPLATE-GAS AVAILABILITY'!Q809+'RAP TEMPLATE-GAS AVAILABILITY'!R809)</f>
        <v>59.514458273381301</v>
      </c>
    </row>
    <row r="811" spans="1:29" ht="15.75" x14ac:dyDescent="0.25">
      <c r="A811" s="32">
        <v>65592</v>
      </c>
      <c r="B811" s="14">
        <f>CHOOSE(CONTROL!$C$42, 58.8607, 58.8607) * CHOOSE(CONTROL!$C$21, $C$9, 100%, $E$9)</f>
        <v>58.860700000000001</v>
      </c>
      <c r="C811" s="14">
        <f>CHOOSE(CONTROL!$C$42, 58.8686, 58.8686) * CHOOSE(CONTROL!$C$21, $C$9, 100%, $E$9)</f>
        <v>58.868600000000001</v>
      </c>
      <c r="D811" s="14">
        <f>CHOOSE(CONTROL!$C$42, 59.0662, 59.0662) * CHOOSE(CONTROL!$C$21, $C$9, 100%, $E$9)</f>
        <v>59.066200000000002</v>
      </c>
      <c r="E811" s="14">
        <f>CHOOSE(CONTROL!$C$42, 59.0973, 59.0973) * CHOOSE(CONTROL!$C$21, $C$9, 100%, $E$9)</f>
        <v>59.097299999999997</v>
      </c>
      <c r="F811" s="14">
        <f>CHOOSE(CONTROL!$C$42, 58.8449, 58.8449)*CHOOSE(CONTROL!$C$21, $C$9, 100%, $E$9)</f>
        <v>58.844900000000003</v>
      </c>
      <c r="G811" s="14">
        <f>CHOOSE(CONTROL!$C$42, 58.8612, 58.8612)*CHOOSE(CONTROL!$C$21, $C$9, 100%, $E$9)</f>
        <v>58.861199999999997</v>
      </c>
      <c r="H811" s="14">
        <f>CHOOSE(CONTROL!$C$42, 59.0859, 59.0859) * CHOOSE(CONTROL!$C$21, $C$9, 100%, $E$9)</f>
        <v>59.085900000000002</v>
      </c>
      <c r="I811" s="14">
        <f>CHOOSE(CONTROL!$C$42, 58.872, 58.872)* CHOOSE(CONTROL!$C$21, $C$9, 100%, $E$9)</f>
        <v>58.872</v>
      </c>
      <c r="J811" s="14">
        <f>CHOOSE(CONTROL!$C$42, 58.8379, 58.8379)* CHOOSE(CONTROL!$C$21, $C$9, 100%, $E$9)</f>
        <v>58.837899999999998</v>
      </c>
      <c r="K811" s="53">
        <f>CHOOSE(CONTROL!$C$42, 58.8681, 58.8681) * CHOOSE(CONTROL!$C$21, $C$9, 100%, $E$9)</f>
        <v>58.868099999999998</v>
      </c>
      <c r="L811" s="14">
        <f>CHOOSE(CONTROL!$C$42, 59.6729, 59.6729) * CHOOSE(CONTROL!$C$21, $C$9, 100%, $E$9)</f>
        <v>59.672899999999998</v>
      </c>
      <c r="M811" s="14">
        <f>CHOOSE(CONTROL!$C$42, 58.258, 58.258) * CHOOSE(CONTROL!$C$21, $C$9, 100%, $E$9)</f>
        <v>58.258000000000003</v>
      </c>
      <c r="N811" s="14">
        <f>CHOOSE(CONTROL!$C$42, 58.2741, 58.2741) * CHOOSE(CONTROL!$C$21, $C$9, 100%, $E$9)</f>
        <v>58.274099999999997</v>
      </c>
      <c r="O811" s="14">
        <f>CHOOSE(CONTROL!$C$42, 58.5035, 58.5035) * CHOOSE(CONTROL!$C$21, $C$9, 100%, $E$9)</f>
        <v>58.503500000000003</v>
      </c>
      <c r="P811" s="14">
        <f>CHOOSE(CONTROL!$C$42, 58.2918, 58.2918) * CHOOSE(CONTROL!$C$21, $C$9, 100%, $E$9)</f>
        <v>58.291800000000002</v>
      </c>
      <c r="Q811" s="14">
        <f>CHOOSE(CONTROL!$C$42, 59.0988, 59.0988) * CHOOSE(CONTROL!$C$21, $C$9, 100%, $E$9)</f>
        <v>59.098799999999997</v>
      </c>
      <c r="R811" s="14">
        <f>CHOOSE(CONTROL!$C$42, 59.8335, 59.8335) * CHOOSE(CONTROL!$C$21, $C$9, 100%, $E$9)</f>
        <v>59.833500000000001</v>
      </c>
      <c r="S811" s="14">
        <f>CHOOSE(CONTROL!$C$42, 57.1553, 57.1553) * CHOOSE(CONTROL!$C$21, $C$9, 100%, $E$9)</f>
        <v>57.155299999999997</v>
      </c>
      <c r="T81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11" s="57">
        <f>(1000*CHOOSE(CONTROL!$C$42, 695, 695)*CHOOSE(CONTROL!$C$42, 0.5599, 0.5599)*CHOOSE(CONTROL!$C$42, 31, 31))/1000000</f>
        <v>12.063045499999998</v>
      </c>
      <c r="V811" s="57">
        <f>(1000*CHOOSE(CONTROL!$C$42, 500, 500)*CHOOSE(CONTROL!$C$42, 0.275, 0.275)*CHOOSE(CONTROL!$C$42, 31, 31))/1000000</f>
        <v>4.2625000000000002</v>
      </c>
      <c r="W811" s="57">
        <f>(1000*CHOOSE(CONTROL!$C$42, 0.1146, 0.1146)*CHOOSE(CONTROL!$C$42, 121.5, 121.5)*CHOOSE(CONTROL!$C$42, 31, 31))/1000000</f>
        <v>0.43164089999999994</v>
      </c>
      <c r="X811" s="57">
        <f>(31*0.1790888*245000/1000000)+(31*0.2374*100000/1000000)</f>
        <v>2.0961194359999999</v>
      </c>
      <c r="Y811" s="57"/>
      <c r="Z811" s="14"/>
      <c r="AA811" s="56"/>
      <c r="AB811" s="50">
        <f>(B811*194.205+C811*267.466+D811*133.845+E811*53.484+F811*40+G811*185+H811*0+I811*100+J811*300)/(194.205+267.466+133.845+53.484+0+40+185+100+300)</f>
        <v>58.888975465698593</v>
      </c>
      <c r="AC811" s="45">
        <f>(M811*'RAP TEMPLATE-GAS AVAILABILITY'!O810+N811*'RAP TEMPLATE-GAS AVAILABILITY'!P810+O811*'RAP TEMPLATE-GAS AVAILABILITY'!Q810+P811*'RAP TEMPLATE-GAS AVAILABILITY'!R810)/('RAP TEMPLATE-GAS AVAILABILITY'!O810+'RAP TEMPLATE-GAS AVAILABILITY'!P810+'RAP TEMPLATE-GAS AVAILABILITY'!Q810+'RAP TEMPLATE-GAS AVAILABILITY'!R810)</f>
        <v>58.375059712230218</v>
      </c>
    </row>
    <row r="812" spans="1:29" ht="15.75" x14ac:dyDescent="0.25">
      <c r="A812" s="32">
        <v>65623</v>
      </c>
      <c r="B812" s="14">
        <f>CHOOSE(CONTROL!$C$42, 55.9535, 55.9535) * CHOOSE(CONTROL!$C$21, $C$9, 100%, $E$9)</f>
        <v>55.953499999999998</v>
      </c>
      <c r="C812" s="14">
        <f>CHOOSE(CONTROL!$C$42, 55.9614, 55.9614) * CHOOSE(CONTROL!$C$21, $C$9, 100%, $E$9)</f>
        <v>55.961399999999998</v>
      </c>
      <c r="D812" s="14">
        <f>CHOOSE(CONTROL!$C$42, 56.159, 56.159) * CHOOSE(CONTROL!$C$21, $C$9, 100%, $E$9)</f>
        <v>56.158999999999999</v>
      </c>
      <c r="E812" s="14">
        <f>CHOOSE(CONTROL!$C$42, 56.1901, 56.1901) * CHOOSE(CONTROL!$C$21, $C$9, 100%, $E$9)</f>
        <v>56.190100000000001</v>
      </c>
      <c r="F812" s="14">
        <f>CHOOSE(CONTROL!$C$42, 55.9379, 55.9379)*CHOOSE(CONTROL!$C$21, $C$9, 100%, $E$9)</f>
        <v>55.937899999999999</v>
      </c>
      <c r="G812" s="14">
        <f>CHOOSE(CONTROL!$C$42, 55.9543, 55.9543)*CHOOSE(CONTROL!$C$21, $C$9, 100%, $E$9)</f>
        <v>55.954300000000003</v>
      </c>
      <c r="H812" s="14">
        <f>CHOOSE(CONTROL!$C$42, 56.1788, 56.1788) * CHOOSE(CONTROL!$C$21, $C$9, 100%, $E$9)</f>
        <v>56.178800000000003</v>
      </c>
      <c r="I812" s="14">
        <f>CHOOSE(CONTROL!$C$42, 55.9649, 55.9649)* CHOOSE(CONTROL!$C$21, $C$9, 100%, $E$9)</f>
        <v>55.9649</v>
      </c>
      <c r="J812" s="14">
        <f>CHOOSE(CONTROL!$C$42, 55.9309, 55.9309)* CHOOSE(CONTROL!$C$21, $C$9, 100%, $E$9)</f>
        <v>55.930900000000001</v>
      </c>
      <c r="K812" s="53">
        <f>CHOOSE(CONTROL!$C$42, 55.961, 55.961) * CHOOSE(CONTROL!$C$21, $C$9, 100%, $E$9)</f>
        <v>55.960999999999999</v>
      </c>
      <c r="L812" s="14">
        <f>CHOOSE(CONTROL!$C$42, 56.7658, 56.7658) * CHOOSE(CONTROL!$C$21, $C$9, 100%, $E$9)</f>
        <v>56.765799999999999</v>
      </c>
      <c r="M812" s="14">
        <f>CHOOSE(CONTROL!$C$42, 55.3803, 55.3803) * CHOOSE(CONTROL!$C$21, $C$9, 100%, $E$9)</f>
        <v>55.380299999999998</v>
      </c>
      <c r="N812" s="14">
        <f>CHOOSE(CONTROL!$C$42, 55.3965, 55.3965) * CHOOSE(CONTROL!$C$21, $C$9, 100%, $E$9)</f>
        <v>55.396500000000003</v>
      </c>
      <c r="O812" s="14">
        <f>CHOOSE(CONTROL!$C$42, 55.6256, 55.6256) * CHOOSE(CONTROL!$C$21, $C$9, 100%, $E$9)</f>
        <v>55.625599999999999</v>
      </c>
      <c r="P812" s="14">
        <f>CHOOSE(CONTROL!$C$42, 55.4139, 55.4139) * CHOOSE(CONTROL!$C$21, $C$9, 100%, $E$9)</f>
        <v>55.413899999999998</v>
      </c>
      <c r="Q812" s="14">
        <f>CHOOSE(CONTROL!$C$42, 56.2209, 56.2209) * CHOOSE(CONTROL!$C$21, $C$9, 100%, $E$9)</f>
        <v>56.2209</v>
      </c>
      <c r="R812" s="14">
        <f>CHOOSE(CONTROL!$C$42, 56.9485, 56.9485) * CHOOSE(CONTROL!$C$21, $C$9, 100%, $E$9)</f>
        <v>56.948500000000003</v>
      </c>
      <c r="S812" s="14">
        <f>CHOOSE(CONTROL!$C$42, 54.3322, 54.3322) * CHOOSE(CONTROL!$C$21, $C$9, 100%, $E$9)</f>
        <v>54.3322</v>
      </c>
      <c r="T81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12" s="57">
        <f>(1000*CHOOSE(CONTROL!$C$42, 695, 695)*CHOOSE(CONTROL!$C$42, 0.5599, 0.5599)*CHOOSE(CONTROL!$C$42, 31, 31))/1000000</f>
        <v>12.063045499999998</v>
      </c>
      <c r="V812" s="57">
        <f>(1000*CHOOSE(CONTROL!$C$42, 500, 500)*CHOOSE(CONTROL!$C$42, 0.275, 0.275)*CHOOSE(CONTROL!$C$42, 31, 31))/1000000</f>
        <v>4.2625000000000002</v>
      </c>
      <c r="W812" s="57">
        <f>(1000*CHOOSE(CONTROL!$C$42, 0.1146, 0.1146)*CHOOSE(CONTROL!$C$42, 121.5, 121.5)*CHOOSE(CONTROL!$C$42, 31, 31))/1000000</f>
        <v>0.43164089999999994</v>
      </c>
      <c r="X812" s="57">
        <f>(31*0.1790888*245000/1000000)+(31*0.2374*100000/1000000)</f>
        <v>2.0961194359999999</v>
      </c>
      <c r="Y812" s="57"/>
      <c r="Z812" s="14"/>
      <c r="AA812" s="56"/>
      <c r="AB812" s="50">
        <f>(B812*194.205+C812*267.466+D812*133.845+E812*53.484+F812*40+G812*185+H812*0+I812*100+J812*300)/(194.205+267.466+133.845+53.484+0+40+185+100+300)</f>
        <v>55.98188025376767</v>
      </c>
      <c r="AC812" s="45">
        <f>(M812*'RAP TEMPLATE-GAS AVAILABILITY'!O811+N812*'RAP TEMPLATE-GAS AVAILABILITY'!P811+O812*'RAP TEMPLATE-GAS AVAILABILITY'!Q811+P812*'RAP TEMPLATE-GAS AVAILABILITY'!R811)/('RAP TEMPLATE-GAS AVAILABILITY'!O811+'RAP TEMPLATE-GAS AVAILABILITY'!P811+'RAP TEMPLATE-GAS AVAILABILITY'!Q811+'RAP TEMPLATE-GAS AVAILABILITY'!R811)</f>
        <v>55.497246043165461</v>
      </c>
    </row>
    <row r="813" spans="1:29" ht="15.75" x14ac:dyDescent="0.25">
      <c r="A813" s="32">
        <v>65653</v>
      </c>
      <c r="B813" s="14">
        <f>CHOOSE(CONTROL!$C$42, 52.4011, 52.4011) * CHOOSE(CONTROL!$C$21, $C$9, 100%, $E$9)</f>
        <v>52.4011</v>
      </c>
      <c r="C813" s="14">
        <f>CHOOSE(CONTROL!$C$42, 52.409, 52.409) * CHOOSE(CONTROL!$C$21, $C$9, 100%, $E$9)</f>
        <v>52.408999999999999</v>
      </c>
      <c r="D813" s="14">
        <f>CHOOSE(CONTROL!$C$42, 52.6066, 52.6066) * CHOOSE(CONTROL!$C$21, $C$9, 100%, $E$9)</f>
        <v>52.6066</v>
      </c>
      <c r="E813" s="14">
        <f>CHOOSE(CONTROL!$C$42, 52.6377, 52.6377) * CHOOSE(CONTROL!$C$21, $C$9, 100%, $E$9)</f>
        <v>52.637700000000002</v>
      </c>
      <c r="F813" s="14">
        <f>CHOOSE(CONTROL!$C$42, 52.3855, 52.3855)*CHOOSE(CONTROL!$C$21, $C$9, 100%, $E$9)</f>
        <v>52.3855</v>
      </c>
      <c r="G813" s="14">
        <f>CHOOSE(CONTROL!$C$42, 52.4018, 52.4018)*CHOOSE(CONTROL!$C$21, $C$9, 100%, $E$9)</f>
        <v>52.401800000000001</v>
      </c>
      <c r="H813" s="14">
        <f>CHOOSE(CONTROL!$C$42, 52.6263, 52.6263) * CHOOSE(CONTROL!$C$21, $C$9, 100%, $E$9)</f>
        <v>52.626300000000001</v>
      </c>
      <c r="I813" s="14">
        <f>CHOOSE(CONTROL!$C$42, 52.4124, 52.4124)* CHOOSE(CONTROL!$C$21, $C$9, 100%, $E$9)</f>
        <v>52.412399999999998</v>
      </c>
      <c r="J813" s="14">
        <f>CHOOSE(CONTROL!$C$42, 52.3785, 52.3785)* CHOOSE(CONTROL!$C$21, $C$9, 100%, $E$9)</f>
        <v>52.378500000000003</v>
      </c>
      <c r="K813" s="53">
        <f>CHOOSE(CONTROL!$C$42, 52.4086, 52.4086) * CHOOSE(CONTROL!$C$21, $C$9, 100%, $E$9)</f>
        <v>52.4086</v>
      </c>
      <c r="L813" s="14">
        <f>CHOOSE(CONTROL!$C$42, 53.2133, 53.2133) * CHOOSE(CONTROL!$C$21, $C$9, 100%, $E$9)</f>
        <v>53.213299999999997</v>
      </c>
      <c r="M813" s="14">
        <f>CHOOSE(CONTROL!$C$42, 51.8637, 51.8637) * CHOOSE(CONTROL!$C$21, $C$9, 100%, $E$9)</f>
        <v>51.863700000000001</v>
      </c>
      <c r="N813" s="14">
        <f>CHOOSE(CONTROL!$C$42, 51.8799, 51.8799) * CHOOSE(CONTROL!$C$21, $C$9, 100%, $E$9)</f>
        <v>51.879899999999999</v>
      </c>
      <c r="O813" s="14">
        <f>CHOOSE(CONTROL!$C$42, 52.1091, 52.1091) * CHOOSE(CONTROL!$C$21, $C$9, 100%, $E$9)</f>
        <v>52.109099999999998</v>
      </c>
      <c r="P813" s="14">
        <f>CHOOSE(CONTROL!$C$42, 51.8974, 51.8974) * CHOOSE(CONTROL!$C$21, $C$9, 100%, $E$9)</f>
        <v>51.897399999999998</v>
      </c>
      <c r="Q813" s="14">
        <f>CHOOSE(CONTROL!$C$42, 52.7044, 52.7044) * CHOOSE(CONTROL!$C$21, $C$9, 100%, $E$9)</f>
        <v>52.7044</v>
      </c>
      <c r="R813" s="14">
        <f>CHOOSE(CONTROL!$C$42, 53.4231, 53.4231) * CHOOSE(CONTROL!$C$21, $C$9, 100%, $E$9)</f>
        <v>53.423099999999998</v>
      </c>
      <c r="S813" s="14">
        <f>CHOOSE(CONTROL!$C$42, 50.8824, 50.8824) * CHOOSE(CONTROL!$C$21, $C$9, 100%, $E$9)</f>
        <v>50.882399999999997</v>
      </c>
      <c r="T81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13" s="57">
        <f>(1000*CHOOSE(CONTROL!$C$42, 695, 695)*CHOOSE(CONTROL!$C$42, 0.5599, 0.5599)*CHOOSE(CONTROL!$C$42, 30, 30))/1000000</f>
        <v>11.673914999999997</v>
      </c>
      <c r="V813" s="57">
        <f>(1000*CHOOSE(CONTROL!$C$42, 500, 500)*CHOOSE(CONTROL!$C$42, 0.275, 0.275)*CHOOSE(CONTROL!$C$42, 30, 30))/1000000</f>
        <v>4.125</v>
      </c>
      <c r="W813" s="57">
        <f>(1000*CHOOSE(CONTROL!$C$42, 0.1146, 0.1146)*CHOOSE(CONTROL!$C$42, 121.5, 121.5)*CHOOSE(CONTROL!$C$42, 30, 30))/1000000</f>
        <v>0.417717</v>
      </c>
      <c r="X813" s="57">
        <f>(30*0.1790888*245000/1000000)+(30*0.2374*100000/1000000)</f>
        <v>2.0285026799999999</v>
      </c>
      <c r="Y813" s="57"/>
      <c r="Z813" s="14"/>
      <c r="AA813" s="56"/>
      <c r="AB813" s="50">
        <f>(B813*194.205+C813*267.466+D813*133.845+E813*53.484+F813*40+G813*185+H813*0+I813*100+J813*300)/(194.205+267.466+133.845+53.484+0+40+185+100+300)</f>
        <v>52.429457883281003</v>
      </c>
      <c r="AC813" s="45">
        <f>(M813*'RAP TEMPLATE-GAS AVAILABILITY'!O812+N813*'RAP TEMPLATE-GAS AVAILABILITY'!P812+O813*'RAP TEMPLATE-GAS AVAILABILITY'!Q812+P813*'RAP TEMPLATE-GAS AVAILABILITY'!R812)/('RAP TEMPLATE-GAS AVAILABILITY'!O812+'RAP TEMPLATE-GAS AVAILABILITY'!P812+'RAP TEMPLATE-GAS AVAILABILITY'!Q812+'RAP TEMPLATE-GAS AVAILABILITY'!R812)</f>
        <v>51.980705755395682</v>
      </c>
    </row>
    <row r="814" spans="1:29" ht="15.75" x14ac:dyDescent="0.25">
      <c r="A814" s="32">
        <v>65684</v>
      </c>
      <c r="B814" s="14">
        <f>CHOOSE(CONTROL!$C$42, 51.3355, 51.3355) * CHOOSE(CONTROL!$C$21, $C$9, 100%, $E$9)</f>
        <v>51.335500000000003</v>
      </c>
      <c r="C814" s="14">
        <f>CHOOSE(CONTROL!$C$42, 51.3407, 51.3407) * CHOOSE(CONTROL!$C$21, $C$9, 100%, $E$9)</f>
        <v>51.340699999999998</v>
      </c>
      <c r="D814" s="14">
        <f>CHOOSE(CONTROL!$C$42, 51.5432, 51.5432) * CHOOSE(CONTROL!$C$21, $C$9, 100%, $E$9)</f>
        <v>51.543199999999999</v>
      </c>
      <c r="E814" s="14">
        <f>CHOOSE(CONTROL!$C$42, 51.572, 51.572) * CHOOSE(CONTROL!$C$21, $C$9, 100%, $E$9)</f>
        <v>51.572000000000003</v>
      </c>
      <c r="F814" s="14">
        <f>CHOOSE(CONTROL!$C$42, 51.3218, 51.3218)*CHOOSE(CONTROL!$C$21, $C$9, 100%, $E$9)</f>
        <v>51.321800000000003</v>
      </c>
      <c r="G814" s="14">
        <f>CHOOSE(CONTROL!$C$42, 51.3378, 51.3378)*CHOOSE(CONTROL!$C$21, $C$9, 100%, $E$9)</f>
        <v>51.337800000000001</v>
      </c>
      <c r="H814" s="14">
        <f>CHOOSE(CONTROL!$C$42, 51.5625, 51.5625) * CHOOSE(CONTROL!$C$21, $C$9, 100%, $E$9)</f>
        <v>51.5625</v>
      </c>
      <c r="I814" s="14">
        <f>CHOOSE(CONTROL!$C$42, 51.3486, 51.3486)* CHOOSE(CONTROL!$C$21, $C$9, 100%, $E$9)</f>
        <v>51.348599999999998</v>
      </c>
      <c r="J814" s="14">
        <f>CHOOSE(CONTROL!$C$42, 51.3148, 51.3148)* CHOOSE(CONTROL!$C$21, $C$9, 100%, $E$9)</f>
        <v>51.314799999999998</v>
      </c>
      <c r="K814" s="53">
        <f>CHOOSE(CONTROL!$C$42, 51.3447, 51.3447) * CHOOSE(CONTROL!$C$21, $C$9, 100%, $E$9)</f>
        <v>51.344700000000003</v>
      </c>
      <c r="L814" s="14">
        <f>CHOOSE(CONTROL!$C$42, 52.1495, 52.1495) * CHOOSE(CONTROL!$C$21, $C$9, 100%, $E$9)</f>
        <v>52.149500000000003</v>
      </c>
      <c r="M814" s="14">
        <f>CHOOSE(CONTROL!$C$42, 50.8108, 50.8108) * CHOOSE(CONTROL!$C$21, $C$9, 100%, $E$9)</f>
        <v>50.8108</v>
      </c>
      <c r="N814" s="14">
        <f>CHOOSE(CONTROL!$C$42, 50.8267, 50.8267) * CHOOSE(CONTROL!$C$21, $C$9, 100%, $E$9)</f>
        <v>50.826700000000002</v>
      </c>
      <c r="O814" s="14">
        <f>CHOOSE(CONTROL!$C$42, 51.056, 51.056) * CHOOSE(CONTROL!$C$21, $C$9, 100%, $E$9)</f>
        <v>51.055999999999997</v>
      </c>
      <c r="P814" s="14">
        <f>CHOOSE(CONTROL!$C$42, 50.8443, 50.8443) * CHOOSE(CONTROL!$C$21, $C$9, 100%, $E$9)</f>
        <v>50.844299999999997</v>
      </c>
      <c r="Q814" s="14">
        <f>CHOOSE(CONTROL!$C$42, 51.6513, 51.6513) * CHOOSE(CONTROL!$C$21, $C$9, 100%, $E$9)</f>
        <v>51.651299999999999</v>
      </c>
      <c r="R814" s="14">
        <f>CHOOSE(CONTROL!$C$42, 52.3674, 52.3674) * CHOOSE(CONTROL!$C$21, $C$9, 100%, $E$9)</f>
        <v>52.367400000000004</v>
      </c>
      <c r="S814" s="14">
        <f>CHOOSE(CONTROL!$C$42, 49.8493, 49.8493) * CHOOSE(CONTROL!$C$21, $C$9, 100%, $E$9)</f>
        <v>49.849299999999999</v>
      </c>
      <c r="T81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14" s="57">
        <f>(1000*CHOOSE(CONTROL!$C$42, 695, 695)*CHOOSE(CONTROL!$C$42, 0.5599, 0.5599)*CHOOSE(CONTROL!$C$42, 31, 31))/1000000</f>
        <v>12.063045499999998</v>
      </c>
      <c r="V814" s="57">
        <f>(1000*CHOOSE(CONTROL!$C$42, 500, 500)*CHOOSE(CONTROL!$C$42, 0.275, 0.275)*CHOOSE(CONTROL!$C$42, 31, 31))/1000000</f>
        <v>4.2625000000000002</v>
      </c>
      <c r="W814" s="57">
        <f>(1000*CHOOSE(CONTROL!$C$42, 0.1146, 0.1146)*CHOOSE(CONTROL!$C$42, 121.5, 121.5)*CHOOSE(CONTROL!$C$42, 31, 31))/1000000</f>
        <v>0.43164089999999994</v>
      </c>
      <c r="X814" s="57">
        <f>(31*0.1790888*245000/1000000)+(31*0.2374*100000/1000000)</f>
        <v>2.0961194359999999</v>
      </c>
      <c r="Y814" s="57"/>
      <c r="Z814" s="14"/>
      <c r="AA814" s="56"/>
      <c r="AB814" s="50">
        <f>(B814*131.881+C814*277.167+D814*79.08+E814*125.872+F814*40+G814*185+H814*0+I814*100+J814*300)/(131.881+277.167+79.08+125.872+0+40+185+100+300)</f>
        <v>51.36989258466506</v>
      </c>
      <c r="AC814" s="45">
        <f>(M814*'RAP TEMPLATE-GAS AVAILABILITY'!O813+N814*'RAP TEMPLATE-GAS AVAILABILITY'!P813+O814*'RAP TEMPLATE-GAS AVAILABILITY'!Q813+P814*'RAP TEMPLATE-GAS AVAILABILITY'!R813)/('RAP TEMPLATE-GAS AVAILABILITY'!O813+'RAP TEMPLATE-GAS AVAILABILITY'!P813+'RAP TEMPLATE-GAS AVAILABILITY'!Q813+'RAP TEMPLATE-GAS AVAILABILITY'!R813)</f>
        <v>50.927669064748194</v>
      </c>
    </row>
    <row r="815" spans="1:29" ht="15.75" x14ac:dyDescent="0.25">
      <c r="A815" s="32">
        <v>65714</v>
      </c>
      <c r="B815" s="14">
        <f>CHOOSE(CONTROL!$C$42, 52.6874, 52.6874) * CHOOSE(CONTROL!$C$21, $C$9, 100%, $E$9)</f>
        <v>52.687399999999997</v>
      </c>
      <c r="C815" s="14">
        <f>CHOOSE(CONTROL!$C$42, 52.6923, 52.6923) * CHOOSE(CONTROL!$C$21, $C$9, 100%, $E$9)</f>
        <v>52.692300000000003</v>
      </c>
      <c r="D815" s="14">
        <f>CHOOSE(CONTROL!$C$42, 52.7554, 52.7554) * CHOOSE(CONTROL!$C$21, $C$9, 100%, $E$9)</f>
        <v>52.755400000000002</v>
      </c>
      <c r="E815" s="14">
        <f>CHOOSE(CONTROL!$C$42, 52.7892, 52.7892) * CHOOSE(CONTROL!$C$21, $C$9, 100%, $E$9)</f>
        <v>52.789200000000001</v>
      </c>
      <c r="F815" s="14">
        <f>CHOOSE(CONTROL!$C$42, 52.6881, 52.6881)*CHOOSE(CONTROL!$C$21, $C$9, 100%, $E$9)</f>
        <v>52.688099999999999</v>
      </c>
      <c r="G815" s="14">
        <f>CHOOSE(CONTROL!$C$42, 52.7044, 52.7044)*CHOOSE(CONTROL!$C$21, $C$9, 100%, $E$9)</f>
        <v>52.7044</v>
      </c>
      <c r="H815" s="14">
        <f>CHOOSE(CONTROL!$C$42, 52.7784, 52.7784) * CHOOSE(CONTROL!$C$21, $C$9, 100%, $E$9)</f>
        <v>52.778399999999998</v>
      </c>
      <c r="I815" s="14">
        <f>CHOOSE(CONTROL!$C$42, 52.7009, 52.7009)* CHOOSE(CONTROL!$C$21, $C$9, 100%, $E$9)</f>
        <v>52.700899999999997</v>
      </c>
      <c r="J815" s="14">
        <f>CHOOSE(CONTROL!$C$42, 52.6811, 52.6811)* CHOOSE(CONTROL!$C$21, $C$9, 100%, $E$9)</f>
        <v>52.681100000000001</v>
      </c>
      <c r="K815" s="53">
        <f>CHOOSE(CONTROL!$C$42, 52.697, 52.697) * CHOOSE(CONTROL!$C$21, $C$9, 100%, $E$9)</f>
        <v>52.697000000000003</v>
      </c>
      <c r="L815" s="14">
        <f>CHOOSE(CONTROL!$C$42, 53.3654, 53.3654) * CHOOSE(CONTROL!$C$21, $C$9, 100%, $E$9)</f>
        <v>53.365400000000001</v>
      </c>
      <c r="M815" s="14">
        <f>CHOOSE(CONTROL!$C$42, 52.1633, 52.1633) * CHOOSE(CONTROL!$C$21, $C$9, 100%, $E$9)</f>
        <v>52.1633</v>
      </c>
      <c r="N815" s="14">
        <f>CHOOSE(CONTROL!$C$42, 52.1794, 52.1794) * CHOOSE(CONTROL!$C$21, $C$9, 100%, $E$9)</f>
        <v>52.179400000000001</v>
      </c>
      <c r="O815" s="14">
        <f>CHOOSE(CONTROL!$C$42, 52.2596, 52.2596) * CHOOSE(CONTROL!$C$21, $C$9, 100%, $E$9)</f>
        <v>52.259599999999999</v>
      </c>
      <c r="P815" s="14">
        <f>CHOOSE(CONTROL!$C$42, 52.1829, 52.1829) * CHOOSE(CONTROL!$C$21, $C$9, 100%, $E$9)</f>
        <v>52.182899999999997</v>
      </c>
      <c r="Q815" s="14">
        <f>CHOOSE(CONTROL!$C$42, 52.8549, 52.8549) * CHOOSE(CONTROL!$C$21, $C$9, 100%, $E$9)</f>
        <v>52.854900000000001</v>
      </c>
      <c r="R815" s="14">
        <f>CHOOSE(CONTROL!$C$42, 53.574, 53.574) * CHOOSE(CONTROL!$C$21, $C$9, 100%, $E$9)</f>
        <v>53.573999999999998</v>
      </c>
      <c r="S815" s="14">
        <f>CHOOSE(CONTROL!$C$42, 51.1626, 51.1626) * CHOOSE(CONTROL!$C$21, $C$9, 100%, $E$9)</f>
        <v>51.162599999999998</v>
      </c>
      <c r="T81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15" s="57">
        <f>(1000*CHOOSE(CONTROL!$C$42, 695, 695)*CHOOSE(CONTROL!$C$42, 0.5599, 0.5599)*CHOOSE(CONTROL!$C$42, 30, 30))/1000000</f>
        <v>11.673914999999997</v>
      </c>
      <c r="V815" s="57">
        <f>(1000*CHOOSE(CONTROL!$C$42, 500, 500)*CHOOSE(CONTROL!$C$42, 0.275, 0.275)*CHOOSE(CONTROL!$C$42, 30, 30))/1000000</f>
        <v>4.125</v>
      </c>
      <c r="W815" s="57">
        <f>(1000*CHOOSE(CONTROL!$C$42, 0.1146, 0.1146)*CHOOSE(CONTROL!$C$42, 121.5, 121.5)*CHOOSE(CONTROL!$C$42, 30, 30))/1000000</f>
        <v>0.417717</v>
      </c>
      <c r="X815" s="57">
        <f>(30*0.1790888*100000/1000000)+(30*0.2374*100000/1000000)</f>
        <v>1.2494664</v>
      </c>
      <c r="Y815" s="57"/>
      <c r="Z815" s="14"/>
      <c r="AA815" s="56"/>
      <c r="AB815" s="50">
        <f>(B815*122.58+C815*297.941+D815*89.177+E815*40.302+F815*40+G815*160+H815*0+I815*100+J815*300)/(122.58+297.941+89.177+40.302+0+40+160+100+300)</f>
        <v>52.699430165652174</v>
      </c>
      <c r="AC815" s="45">
        <f>(M815*'RAP TEMPLATE-GAS AVAILABILITY'!O814+N815*'RAP TEMPLATE-GAS AVAILABILITY'!P814+O815*'RAP TEMPLATE-GAS AVAILABILITY'!Q814+P815*'RAP TEMPLATE-GAS AVAILABILITY'!R814)/('RAP TEMPLATE-GAS AVAILABILITY'!O814+'RAP TEMPLATE-GAS AVAILABILITY'!P814+'RAP TEMPLATE-GAS AVAILABILITY'!Q814+'RAP TEMPLATE-GAS AVAILABILITY'!R814)</f>
        <v>52.210693525179856</v>
      </c>
    </row>
    <row r="816" spans="1:29" ht="15.75" x14ac:dyDescent="0.25">
      <c r="A816" s="32">
        <v>65745</v>
      </c>
      <c r="B816" s="14">
        <f>CHOOSE(CONTROL!$C$42, 56.2794, 56.2794) * CHOOSE(CONTROL!$C$21, $C$9, 100%, $E$9)</f>
        <v>56.279400000000003</v>
      </c>
      <c r="C816" s="14">
        <f>CHOOSE(CONTROL!$C$42, 56.2843, 56.2843) * CHOOSE(CONTROL!$C$21, $C$9, 100%, $E$9)</f>
        <v>56.284300000000002</v>
      </c>
      <c r="D816" s="14">
        <f>CHOOSE(CONTROL!$C$42, 56.3474, 56.3474) * CHOOSE(CONTROL!$C$21, $C$9, 100%, $E$9)</f>
        <v>56.3474</v>
      </c>
      <c r="E816" s="14">
        <f>CHOOSE(CONTROL!$C$42, 56.3812, 56.3812) * CHOOSE(CONTROL!$C$21, $C$9, 100%, $E$9)</f>
        <v>56.3812</v>
      </c>
      <c r="F816" s="14">
        <f>CHOOSE(CONTROL!$C$42, 56.2821, 56.2821)*CHOOSE(CONTROL!$C$21, $C$9, 100%, $E$9)</f>
        <v>56.2821</v>
      </c>
      <c r="G816" s="14">
        <f>CHOOSE(CONTROL!$C$42, 56.2989, 56.2989)*CHOOSE(CONTROL!$C$21, $C$9, 100%, $E$9)</f>
        <v>56.298900000000003</v>
      </c>
      <c r="H816" s="14">
        <f>CHOOSE(CONTROL!$C$42, 56.3704, 56.3704) * CHOOSE(CONTROL!$C$21, $C$9, 100%, $E$9)</f>
        <v>56.370399999999997</v>
      </c>
      <c r="I816" s="14">
        <f>CHOOSE(CONTROL!$C$42, 56.2929, 56.2929)* CHOOSE(CONTROL!$C$21, $C$9, 100%, $E$9)</f>
        <v>56.292900000000003</v>
      </c>
      <c r="J816" s="14">
        <f>CHOOSE(CONTROL!$C$42, 56.2751, 56.2751)* CHOOSE(CONTROL!$C$21, $C$9, 100%, $E$9)</f>
        <v>56.275100000000002</v>
      </c>
      <c r="K816" s="53">
        <f>CHOOSE(CONTROL!$C$42, 56.289, 56.289) * CHOOSE(CONTROL!$C$21, $C$9, 100%, $E$9)</f>
        <v>56.289000000000001</v>
      </c>
      <c r="L816" s="14">
        <f>CHOOSE(CONTROL!$C$42, 56.9574, 56.9574) * CHOOSE(CONTROL!$C$21, $C$9, 100%, $E$9)</f>
        <v>56.9574</v>
      </c>
      <c r="M816" s="14">
        <f>CHOOSE(CONTROL!$C$42, 55.721, 55.721) * CHOOSE(CONTROL!$C$21, $C$9, 100%, $E$9)</f>
        <v>55.720999999999997</v>
      </c>
      <c r="N816" s="14">
        <f>CHOOSE(CONTROL!$C$42, 55.7377, 55.7377) * CHOOSE(CONTROL!$C$21, $C$9, 100%, $E$9)</f>
        <v>55.737699999999997</v>
      </c>
      <c r="O816" s="14">
        <f>CHOOSE(CONTROL!$C$42, 55.8153, 55.8153) * CHOOSE(CONTROL!$C$21, $C$9, 100%, $E$9)</f>
        <v>55.815300000000001</v>
      </c>
      <c r="P816" s="14">
        <f>CHOOSE(CONTROL!$C$42, 55.7387, 55.7387) * CHOOSE(CONTROL!$C$21, $C$9, 100%, $E$9)</f>
        <v>55.738700000000001</v>
      </c>
      <c r="Q816" s="14">
        <f>CHOOSE(CONTROL!$C$42, 56.4106, 56.4106) * CHOOSE(CONTROL!$C$21, $C$9, 100%, $E$9)</f>
        <v>56.410600000000002</v>
      </c>
      <c r="R816" s="14">
        <f>CHOOSE(CONTROL!$C$42, 57.1387, 57.1387) * CHOOSE(CONTROL!$C$21, $C$9, 100%, $E$9)</f>
        <v>57.1387</v>
      </c>
      <c r="S816" s="14">
        <f>CHOOSE(CONTROL!$C$42, 54.6508, 54.6508) * CHOOSE(CONTROL!$C$21, $C$9, 100%, $E$9)</f>
        <v>54.650799999999997</v>
      </c>
      <c r="T81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16" s="57">
        <f>(1000*CHOOSE(CONTROL!$C$42, 695, 695)*CHOOSE(CONTROL!$C$42, 0.5599, 0.5599)*CHOOSE(CONTROL!$C$42, 31, 31))/1000000</f>
        <v>12.063045499999998</v>
      </c>
      <c r="V816" s="57">
        <f>(1000*CHOOSE(CONTROL!$C$42, 500, 500)*CHOOSE(CONTROL!$C$42, 0.275, 0.275)*CHOOSE(CONTROL!$C$42, 31, 31))/1000000</f>
        <v>4.2625000000000002</v>
      </c>
      <c r="W816" s="57">
        <f>(1000*CHOOSE(CONTROL!$C$42, 0.1146, 0.1146)*CHOOSE(CONTROL!$C$42, 121.5, 121.5)*CHOOSE(CONTROL!$C$42, 31, 31))/1000000</f>
        <v>0.43164089999999994</v>
      </c>
      <c r="X816" s="57">
        <f>(31*0.1790888*100000/1000000)+(31*0.2374*100000/1000000)</f>
        <v>1.2911152800000001</v>
      </c>
      <c r="Y816" s="57"/>
      <c r="Z816" s="14"/>
      <c r="AA816" s="56"/>
      <c r="AB816" s="50">
        <f>(B816*122.58+C816*297.941+D816*89.177+E816*40.302+F816*40+G816*160+H816*0+I816*100+J816*300)/(122.58+297.941+89.177+40.302+0+40+160+100+300)</f>
        <v>56.292369296086953</v>
      </c>
      <c r="AC816" s="45">
        <f>(M816*'RAP TEMPLATE-GAS AVAILABILITY'!O815+N816*'RAP TEMPLATE-GAS AVAILABILITY'!P815+O816*'RAP TEMPLATE-GAS AVAILABILITY'!Q815+P816*'RAP TEMPLATE-GAS AVAILABILITY'!R815)/('RAP TEMPLATE-GAS AVAILABILITY'!O815+'RAP TEMPLATE-GAS AVAILABILITY'!P815+'RAP TEMPLATE-GAS AVAILABILITY'!Q815+'RAP TEMPLATE-GAS AVAILABILITY'!R815)</f>
        <v>55.767248201438854</v>
      </c>
    </row>
    <row r="817" spans="1:29" ht="15.75" x14ac:dyDescent="0.25">
      <c r="A817" s="32">
        <v>65776</v>
      </c>
      <c r="B817" s="14">
        <f>CHOOSE(CONTROL!$C$42, 60.8905, 60.8905) * CHOOSE(CONTROL!$C$21, $C$9, 100%, $E$9)</f>
        <v>60.890500000000003</v>
      </c>
      <c r="C817" s="14">
        <f>CHOOSE(CONTROL!$C$42, 60.8955, 60.8955) * CHOOSE(CONTROL!$C$21, $C$9, 100%, $E$9)</f>
        <v>60.895499999999998</v>
      </c>
      <c r="D817" s="14">
        <f>CHOOSE(CONTROL!$C$42, 60.9597, 60.9597) * CHOOSE(CONTROL!$C$21, $C$9, 100%, $E$9)</f>
        <v>60.959699999999998</v>
      </c>
      <c r="E817" s="14">
        <f>CHOOSE(CONTROL!$C$42, 60.9935, 60.9935) * CHOOSE(CONTROL!$C$21, $C$9, 100%, $E$9)</f>
        <v>60.993499999999997</v>
      </c>
      <c r="F817" s="14">
        <f>CHOOSE(CONTROL!$C$42, 60.892, 60.892)*CHOOSE(CONTROL!$C$21, $C$9, 100%, $E$9)</f>
        <v>60.892000000000003</v>
      </c>
      <c r="G817" s="14">
        <f>CHOOSE(CONTROL!$C$42, 60.9079, 60.9079)*CHOOSE(CONTROL!$C$21, $C$9, 100%, $E$9)</f>
        <v>60.907899999999998</v>
      </c>
      <c r="H817" s="14">
        <f>CHOOSE(CONTROL!$C$42, 60.9827, 60.9827) * CHOOSE(CONTROL!$C$21, $C$9, 100%, $E$9)</f>
        <v>60.982700000000001</v>
      </c>
      <c r="I817" s="14">
        <f>CHOOSE(CONTROL!$C$42, 60.9105, 60.9105)* CHOOSE(CONTROL!$C$21, $C$9, 100%, $E$9)</f>
        <v>60.910499999999999</v>
      </c>
      <c r="J817" s="14">
        <f>CHOOSE(CONTROL!$C$42, 60.885, 60.885)* CHOOSE(CONTROL!$C$21, $C$9, 100%, $E$9)</f>
        <v>60.884999999999998</v>
      </c>
      <c r="K817" s="53">
        <f>CHOOSE(CONTROL!$C$42, 60.9066, 60.9066) * CHOOSE(CONTROL!$C$21, $C$9, 100%, $E$9)</f>
        <v>60.906599999999997</v>
      </c>
      <c r="L817" s="14">
        <f>CHOOSE(CONTROL!$C$42, 61.5697, 61.5697) * CHOOSE(CONTROL!$C$21, $C$9, 100%, $E$9)</f>
        <v>61.569699999999997</v>
      </c>
      <c r="M817" s="14">
        <f>CHOOSE(CONTROL!$C$42, 60.2844, 60.2844) * CHOOSE(CONTROL!$C$21, $C$9, 100%, $E$9)</f>
        <v>60.284399999999998</v>
      </c>
      <c r="N817" s="14">
        <f>CHOOSE(CONTROL!$C$42, 60.3002, 60.3002) * CHOOSE(CONTROL!$C$21, $C$9, 100%, $E$9)</f>
        <v>60.300199999999997</v>
      </c>
      <c r="O817" s="14">
        <f>CHOOSE(CONTROL!$C$42, 60.3811, 60.3811) * CHOOSE(CONTROL!$C$21, $C$9, 100%, $E$9)</f>
        <v>60.381100000000004</v>
      </c>
      <c r="P817" s="14">
        <f>CHOOSE(CONTROL!$C$42, 60.3097, 60.3097) * CHOOSE(CONTROL!$C$21, $C$9, 100%, $E$9)</f>
        <v>60.309699999999999</v>
      </c>
      <c r="Q817" s="14">
        <f>CHOOSE(CONTROL!$C$42, 60.9764, 60.9764) * CHOOSE(CONTROL!$C$21, $C$9, 100%, $E$9)</f>
        <v>60.976399999999998</v>
      </c>
      <c r="R817" s="14">
        <f>CHOOSE(CONTROL!$C$42, 61.7159, 61.7159) * CHOOSE(CONTROL!$C$21, $C$9, 100%, $E$9)</f>
        <v>61.715899999999998</v>
      </c>
      <c r="S817" s="14">
        <f>CHOOSE(CONTROL!$C$42, 59.1286, 59.1286) * CHOOSE(CONTROL!$C$21, $C$9, 100%, $E$9)</f>
        <v>59.128599999999999</v>
      </c>
      <c r="T81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17" s="57">
        <f>(1000*CHOOSE(CONTROL!$C$42, 695, 695)*CHOOSE(CONTROL!$C$42, 0.5599, 0.5599)*CHOOSE(CONTROL!$C$42, 31, 31))/1000000</f>
        <v>12.063045499999998</v>
      </c>
      <c r="V817" s="57">
        <f>(1000*CHOOSE(CONTROL!$C$42, 500, 500)*CHOOSE(CONTROL!$C$42, 0.275, 0.275)*CHOOSE(CONTROL!$C$42, 31, 31))/1000000</f>
        <v>4.2625000000000002</v>
      </c>
      <c r="W817" s="57">
        <f>(1000*CHOOSE(CONTROL!$C$42, 0.1146, 0.1146)*CHOOSE(CONTROL!$C$42, 121.5, 121.5)*CHOOSE(CONTROL!$C$42, 31, 31))/1000000</f>
        <v>0.43164089999999994</v>
      </c>
      <c r="X817" s="57">
        <f>(31*0.1790888*100000/1000000)+(31*0.2374*100000/1000000)</f>
        <v>1.2911152800000001</v>
      </c>
      <c r="Y817" s="57"/>
      <c r="Z817" s="14"/>
      <c r="AA817" s="56"/>
      <c r="AB817" s="50">
        <f>(B817*122.58+C817*297.941+D817*89.177+E817*40.302+F817*40+G817*160+H817*0+I817*100+J817*300)/(122.58+297.941+89.177+40.302+0+40+160+100+300)</f>
        <v>60.903548573391305</v>
      </c>
      <c r="AC817" s="45">
        <f>(M817*'RAP TEMPLATE-GAS AVAILABILITY'!O816+N817*'RAP TEMPLATE-GAS AVAILABILITY'!P816+O817*'RAP TEMPLATE-GAS AVAILABILITY'!Q816+P817*'RAP TEMPLATE-GAS AVAILABILITY'!R816)/('RAP TEMPLATE-GAS AVAILABILITY'!O816+'RAP TEMPLATE-GAS AVAILABILITY'!P816+'RAP TEMPLATE-GAS AVAILABILITY'!Q816+'RAP TEMPLATE-GAS AVAILABILITY'!R816)</f>
        <v>60.332777697841728</v>
      </c>
    </row>
    <row r="818" spans="1:29" ht="15.75" x14ac:dyDescent="0.25">
      <c r="A818" s="32">
        <v>65805</v>
      </c>
      <c r="B818" s="14">
        <f>CHOOSE(CONTROL!$C$42, 61.9744, 61.9744) * CHOOSE(CONTROL!$C$21, $C$9, 100%, $E$9)</f>
        <v>61.974400000000003</v>
      </c>
      <c r="C818" s="14">
        <f>CHOOSE(CONTROL!$C$42, 61.9793, 61.9793) * CHOOSE(CONTROL!$C$21, $C$9, 100%, $E$9)</f>
        <v>61.979300000000002</v>
      </c>
      <c r="D818" s="14">
        <f>CHOOSE(CONTROL!$C$42, 62.0436, 62.0436) * CHOOSE(CONTROL!$C$21, $C$9, 100%, $E$9)</f>
        <v>62.043599999999998</v>
      </c>
      <c r="E818" s="14">
        <f>CHOOSE(CONTROL!$C$42, 62.0774, 62.0774) * CHOOSE(CONTROL!$C$21, $C$9, 100%, $E$9)</f>
        <v>62.077399999999997</v>
      </c>
      <c r="F818" s="14">
        <f>CHOOSE(CONTROL!$C$42, 61.976, 61.976)*CHOOSE(CONTROL!$C$21, $C$9, 100%, $E$9)</f>
        <v>61.975999999999999</v>
      </c>
      <c r="G818" s="14">
        <f>CHOOSE(CONTROL!$C$42, 61.9919, 61.9919)*CHOOSE(CONTROL!$C$21, $C$9, 100%, $E$9)</f>
        <v>61.991900000000001</v>
      </c>
      <c r="H818" s="14">
        <f>CHOOSE(CONTROL!$C$42, 62.0666, 62.0666) * CHOOSE(CONTROL!$C$21, $C$9, 100%, $E$9)</f>
        <v>62.066600000000001</v>
      </c>
      <c r="I818" s="14">
        <f>CHOOSE(CONTROL!$C$42, 61.9944, 61.9944)* CHOOSE(CONTROL!$C$21, $C$9, 100%, $E$9)</f>
        <v>61.994399999999999</v>
      </c>
      <c r="J818" s="14">
        <f>CHOOSE(CONTROL!$C$42, 61.969, 61.969)* CHOOSE(CONTROL!$C$21, $C$9, 100%, $E$9)</f>
        <v>61.969000000000001</v>
      </c>
      <c r="K818" s="53">
        <f>CHOOSE(CONTROL!$C$42, 61.9905, 61.9905) * CHOOSE(CONTROL!$C$21, $C$9, 100%, $E$9)</f>
        <v>61.990499999999997</v>
      </c>
      <c r="L818" s="14">
        <f>CHOOSE(CONTROL!$C$42, 62.6536, 62.6536) * CHOOSE(CONTROL!$C$21, $C$9, 100%, $E$9)</f>
        <v>62.653599999999997</v>
      </c>
      <c r="M818" s="14">
        <f>CHOOSE(CONTROL!$C$42, 61.3574, 61.3574) * CHOOSE(CONTROL!$C$21, $C$9, 100%, $E$9)</f>
        <v>61.357399999999998</v>
      </c>
      <c r="N818" s="14">
        <f>CHOOSE(CONTROL!$C$42, 61.3732, 61.3732) * CHOOSE(CONTROL!$C$21, $C$9, 100%, $E$9)</f>
        <v>61.373199999999997</v>
      </c>
      <c r="O818" s="14">
        <f>CHOOSE(CONTROL!$C$42, 61.4541, 61.4541) * CHOOSE(CONTROL!$C$21, $C$9, 100%, $E$9)</f>
        <v>61.454099999999997</v>
      </c>
      <c r="P818" s="14">
        <f>CHOOSE(CONTROL!$C$42, 61.3826, 61.3826) * CHOOSE(CONTROL!$C$21, $C$9, 100%, $E$9)</f>
        <v>61.382599999999996</v>
      </c>
      <c r="Q818" s="14">
        <f>CHOOSE(CONTROL!$C$42, 62.0494, 62.0494) * CHOOSE(CONTROL!$C$21, $C$9, 100%, $E$9)</f>
        <v>62.049399999999999</v>
      </c>
      <c r="R818" s="14">
        <f>CHOOSE(CONTROL!$C$42, 62.7915, 62.7915) * CHOOSE(CONTROL!$C$21, $C$9, 100%, $E$9)</f>
        <v>62.791499999999999</v>
      </c>
      <c r="S818" s="14">
        <f>CHOOSE(CONTROL!$C$42, 60.1812, 60.1812) * CHOOSE(CONTROL!$C$21, $C$9, 100%, $E$9)</f>
        <v>60.181199999999997</v>
      </c>
      <c r="T81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18" s="57">
        <f>(1000*CHOOSE(CONTROL!$C$42, 695, 695)*CHOOSE(CONTROL!$C$42, 0.5599, 0.5599)*CHOOSE(CONTROL!$C$42, 29, 29))/1000000</f>
        <v>11.284784499999999</v>
      </c>
      <c r="V818" s="57">
        <f>(1000*CHOOSE(CONTROL!$C$42, 500, 500)*CHOOSE(CONTROL!$C$42, 0.275, 0.275)*CHOOSE(CONTROL!$C$42, 29, 29))/1000000</f>
        <v>3.9874999999999998</v>
      </c>
      <c r="W818" s="57">
        <f>(1000*CHOOSE(CONTROL!$C$42, 0.1146, 0.1146)*CHOOSE(CONTROL!$C$42, 121.5, 121.5)*CHOOSE(CONTROL!$C$42, 29, 29))/1000000</f>
        <v>0.40379309999999996</v>
      </c>
      <c r="X818" s="57">
        <f>(29*0.1790888*100000/1000000)+(29*0.2374*100000/1000000)</f>
        <v>1.2078175199999999</v>
      </c>
      <c r="Y818" s="57"/>
      <c r="Z818" s="14"/>
      <c r="AA818" s="56"/>
      <c r="AB818" s="50">
        <f>(B818*122.58+C818*297.941+D818*89.177+E818*40.302+F818*40+G818*160+H818*0+I818*100+J818*300)/(122.58+297.941+89.177+40.302+0+40+160+100+300)</f>
        <v>61.987466143739127</v>
      </c>
      <c r="AC818" s="45">
        <f>(M818*'RAP TEMPLATE-GAS AVAILABILITY'!O817+N818*'RAP TEMPLATE-GAS AVAILABILITY'!P817+O818*'RAP TEMPLATE-GAS AVAILABILITY'!Q817+P818*'RAP TEMPLATE-GAS AVAILABILITY'!R817)/('RAP TEMPLATE-GAS AVAILABILITY'!O817+'RAP TEMPLATE-GAS AVAILABILITY'!P817+'RAP TEMPLATE-GAS AVAILABILITY'!Q817+'RAP TEMPLATE-GAS AVAILABILITY'!R817)</f>
        <v>61.405763309352515</v>
      </c>
    </row>
    <row r="819" spans="1:29" ht="15.75" x14ac:dyDescent="0.25">
      <c r="A819" s="32">
        <v>65836</v>
      </c>
      <c r="B819" s="14">
        <f>CHOOSE(CONTROL!$C$42, 60.215, 60.215) * CHOOSE(CONTROL!$C$21, $C$9, 100%, $E$9)</f>
        <v>60.215000000000003</v>
      </c>
      <c r="C819" s="14">
        <f>CHOOSE(CONTROL!$C$42, 60.2199, 60.2199) * CHOOSE(CONTROL!$C$21, $C$9, 100%, $E$9)</f>
        <v>60.219900000000003</v>
      </c>
      <c r="D819" s="14">
        <f>CHOOSE(CONTROL!$C$42, 60.2842, 60.2842) * CHOOSE(CONTROL!$C$21, $C$9, 100%, $E$9)</f>
        <v>60.284199999999998</v>
      </c>
      <c r="E819" s="14">
        <f>CHOOSE(CONTROL!$C$42, 60.318, 60.318) * CHOOSE(CONTROL!$C$21, $C$9, 100%, $E$9)</f>
        <v>60.317999999999998</v>
      </c>
      <c r="F819" s="14">
        <f>CHOOSE(CONTROL!$C$42, 60.2162, 60.2162)*CHOOSE(CONTROL!$C$21, $C$9, 100%, $E$9)</f>
        <v>60.216200000000001</v>
      </c>
      <c r="G819" s="14">
        <f>CHOOSE(CONTROL!$C$42, 60.2321, 60.2321)*CHOOSE(CONTROL!$C$21, $C$9, 100%, $E$9)</f>
        <v>60.232100000000003</v>
      </c>
      <c r="H819" s="14">
        <f>CHOOSE(CONTROL!$C$42, 60.3072, 60.3072) * CHOOSE(CONTROL!$C$21, $C$9, 100%, $E$9)</f>
        <v>60.307200000000002</v>
      </c>
      <c r="I819" s="14">
        <f>CHOOSE(CONTROL!$C$42, 60.235, 60.235)* CHOOSE(CONTROL!$C$21, $C$9, 100%, $E$9)</f>
        <v>60.234999999999999</v>
      </c>
      <c r="J819" s="14">
        <f>CHOOSE(CONTROL!$C$42, 60.2092, 60.2092)* CHOOSE(CONTROL!$C$21, $C$9, 100%, $E$9)</f>
        <v>60.209200000000003</v>
      </c>
      <c r="K819" s="53">
        <f>CHOOSE(CONTROL!$C$42, 60.2311, 60.2311) * CHOOSE(CONTROL!$C$21, $C$9, 100%, $E$9)</f>
        <v>60.231099999999998</v>
      </c>
      <c r="L819" s="14">
        <f>CHOOSE(CONTROL!$C$42, 60.8942, 60.8942) * CHOOSE(CONTROL!$C$21, $C$9, 100%, $E$9)</f>
        <v>60.894199999999998</v>
      </c>
      <c r="M819" s="14">
        <f>CHOOSE(CONTROL!$C$42, 59.6154, 59.6154) * CHOOSE(CONTROL!$C$21, $C$9, 100%, $E$9)</f>
        <v>59.615400000000001</v>
      </c>
      <c r="N819" s="14">
        <f>CHOOSE(CONTROL!$C$42, 59.6311, 59.6311) * CHOOSE(CONTROL!$C$21, $C$9, 100%, $E$9)</f>
        <v>59.631100000000004</v>
      </c>
      <c r="O819" s="14">
        <f>CHOOSE(CONTROL!$C$42, 59.7124, 59.7124) * CHOOSE(CONTROL!$C$21, $C$9, 100%, $E$9)</f>
        <v>59.712400000000002</v>
      </c>
      <c r="P819" s="14">
        <f>CHOOSE(CONTROL!$C$42, 59.6409, 59.6409) * CHOOSE(CONTROL!$C$21, $C$9, 100%, $E$9)</f>
        <v>59.640900000000002</v>
      </c>
      <c r="Q819" s="14">
        <f>CHOOSE(CONTROL!$C$42, 60.3077, 60.3077) * CHOOSE(CONTROL!$C$21, $C$9, 100%, $E$9)</f>
        <v>60.307699999999997</v>
      </c>
      <c r="R819" s="14">
        <f>CHOOSE(CONTROL!$C$42, 61.0455, 61.0455) * CHOOSE(CONTROL!$C$21, $C$9, 100%, $E$9)</f>
        <v>61.045499999999997</v>
      </c>
      <c r="S819" s="14">
        <f>CHOOSE(CONTROL!$C$42, 58.4726, 58.4726) * CHOOSE(CONTROL!$C$21, $C$9, 100%, $E$9)</f>
        <v>58.4726</v>
      </c>
      <c r="T81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19" s="57">
        <f>(1000*CHOOSE(CONTROL!$C$42, 695, 695)*CHOOSE(CONTROL!$C$42, 0.5599, 0.5599)*CHOOSE(CONTROL!$C$42, 31, 31))/1000000</f>
        <v>12.063045499999998</v>
      </c>
      <c r="V819" s="57">
        <f>(1000*CHOOSE(CONTROL!$C$42, 500, 500)*CHOOSE(CONTROL!$C$42, 0.275, 0.275)*CHOOSE(CONTROL!$C$42, 31, 31))/1000000</f>
        <v>4.2625000000000002</v>
      </c>
      <c r="W819" s="57">
        <f>(1000*CHOOSE(CONTROL!$C$42, 0.1146, 0.1146)*CHOOSE(CONTROL!$C$42, 121.5, 121.5)*CHOOSE(CONTROL!$C$42, 31, 31))/1000000</f>
        <v>0.43164089999999994</v>
      </c>
      <c r="X819" s="57">
        <f>(31*0.1790888*100000/1000000)+(31*0.2374*100000/1000000)</f>
        <v>1.2911152800000001</v>
      </c>
      <c r="Y819" s="57"/>
      <c r="Z819" s="14"/>
      <c r="AA819" s="56"/>
      <c r="AB819" s="50">
        <f>(B819*122.58+C819*297.941+D819*89.177+E819*40.302+F819*40+G819*160+H819*0+I819*100+J819*300)/(122.58+297.941+89.177+40.302+0+40+160+100+300)</f>
        <v>60.227892230695652</v>
      </c>
      <c r="AC819" s="45">
        <f>(M819*'RAP TEMPLATE-GAS AVAILABILITY'!O818+N819*'RAP TEMPLATE-GAS AVAILABILITY'!P818+O819*'RAP TEMPLATE-GAS AVAILABILITY'!Q818+P819*'RAP TEMPLATE-GAS AVAILABILITY'!R818)/('RAP TEMPLATE-GAS AVAILABILITY'!O818+'RAP TEMPLATE-GAS AVAILABILITY'!P818+'RAP TEMPLATE-GAS AVAILABILITY'!Q818+'RAP TEMPLATE-GAS AVAILABILITY'!R818)</f>
        <v>59.663936690647482</v>
      </c>
    </row>
    <row r="820" spans="1:29" ht="15.75" x14ac:dyDescent="0.25">
      <c r="A820" s="32">
        <v>65866</v>
      </c>
      <c r="B820" s="14">
        <f>CHOOSE(CONTROL!$C$42, 60.0359, 60.0359) * CHOOSE(CONTROL!$C$21, $C$9, 100%, $E$9)</f>
        <v>60.035899999999998</v>
      </c>
      <c r="C820" s="14">
        <f>CHOOSE(CONTROL!$C$42, 60.0402, 60.0402) * CHOOSE(CONTROL!$C$21, $C$9, 100%, $E$9)</f>
        <v>60.040199999999999</v>
      </c>
      <c r="D820" s="14">
        <f>CHOOSE(CONTROL!$C$42, 60.241, 60.241) * CHOOSE(CONTROL!$C$21, $C$9, 100%, $E$9)</f>
        <v>60.241</v>
      </c>
      <c r="E820" s="14">
        <f>CHOOSE(CONTROL!$C$42, 60.2727, 60.2727) * CHOOSE(CONTROL!$C$21, $C$9, 100%, $E$9)</f>
        <v>60.2727</v>
      </c>
      <c r="F820" s="14">
        <f>CHOOSE(CONTROL!$C$42, 60.0204, 60.0204)*CHOOSE(CONTROL!$C$21, $C$9, 100%, $E$9)</f>
        <v>60.020400000000002</v>
      </c>
      <c r="G820" s="14">
        <f>CHOOSE(CONTROL!$C$42, 60.0361, 60.0361)*CHOOSE(CONTROL!$C$21, $C$9, 100%, $E$9)</f>
        <v>60.036099999999998</v>
      </c>
      <c r="H820" s="14">
        <f>CHOOSE(CONTROL!$C$42, 60.2625, 60.2625) * CHOOSE(CONTROL!$C$21, $C$9, 100%, $E$9)</f>
        <v>60.262500000000003</v>
      </c>
      <c r="I820" s="14">
        <f>CHOOSE(CONTROL!$C$42, 60.0486, 60.0486)* CHOOSE(CONTROL!$C$21, $C$9, 100%, $E$9)</f>
        <v>60.0486</v>
      </c>
      <c r="J820" s="14">
        <f>CHOOSE(CONTROL!$C$42, 60.0134, 60.0134)* CHOOSE(CONTROL!$C$21, $C$9, 100%, $E$9)</f>
        <v>60.013399999999997</v>
      </c>
      <c r="K820" s="53">
        <f>CHOOSE(CONTROL!$C$42, 60.0447, 60.0447) * CHOOSE(CONTROL!$C$21, $C$9, 100%, $E$9)</f>
        <v>60.044699999999999</v>
      </c>
      <c r="L820" s="14">
        <f>CHOOSE(CONTROL!$C$42, 60.8495, 60.8495) * CHOOSE(CONTROL!$C$21, $C$9, 100%, $E$9)</f>
        <v>60.849499999999999</v>
      </c>
      <c r="M820" s="14">
        <f>CHOOSE(CONTROL!$C$42, 59.4216, 59.4216) * CHOOSE(CONTROL!$C$21, $C$9, 100%, $E$9)</f>
        <v>59.421599999999998</v>
      </c>
      <c r="N820" s="14">
        <f>CHOOSE(CONTROL!$C$42, 59.4371, 59.4371) * CHOOSE(CONTROL!$C$21, $C$9, 100%, $E$9)</f>
        <v>59.437100000000001</v>
      </c>
      <c r="O820" s="14">
        <f>CHOOSE(CONTROL!$C$42, 59.6682, 59.6682) * CHOOSE(CONTROL!$C$21, $C$9, 100%, $E$9)</f>
        <v>59.668199999999999</v>
      </c>
      <c r="P820" s="14">
        <f>CHOOSE(CONTROL!$C$42, 59.4565, 59.4565) * CHOOSE(CONTROL!$C$21, $C$9, 100%, $E$9)</f>
        <v>59.456499999999998</v>
      </c>
      <c r="Q820" s="14">
        <f>CHOOSE(CONTROL!$C$42, 60.2635, 60.2635) * CHOOSE(CONTROL!$C$21, $C$9, 100%, $E$9)</f>
        <v>60.263500000000001</v>
      </c>
      <c r="R820" s="14">
        <f>CHOOSE(CONTROL!$C$42, 61.0012, 61.0012) * CHOOSE(CONTROL!$C$21, $C$9, 100%, $E$9)</f>
        <v>61.001199999999997</v>
      </c>
      <c r="S820" s="14">
        <f>CHOOSE(CONTROL!$C$42, 58.2979, 58.2979) * CHOOSE(CONTROL!$C$21, $C$9, 100%, $E$9)</f>
        <v>58.297899999999998</v>
      </c>
      <c r="T82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20" s="57">
        <f>(1000*CHOOSE(CONTROL!$C$42, 695, 695)*CHOOSE(CONTROL!$C$42, 0.5599, 0.5599)*CHOOSE(CONTROL!$C$42, 30, 30))/1000000</f>
        <v>11.673914999999997</v>
      </c>
      <c r="V820" s="57">
        <f>(1000*CHOOSE(CONTROL!$C$42, 500, 500)*CHOOSE(CONTROL!$C$42, 0.275, 0.275)*CHOOSE(CONTROL!$C$42, 30, 30))/1000000</f>
        <v>4.125</v>
      </c>
      <c r="W820" s="57">
        <f>(1000*CHOOSE(CONTROL!$C$42, 0.1146, 0.1146)*CHOOSE(CONTROL!$C$42, 121.5, 121.5)*CHOOSE(CONTROL!$C$42, 30, 30))/1000000</f>
        <v>0.417717</v>
      </c>
      <c r="X820" s="57">
        <f>(30*0.1790888*245000/1000000)+(30*0.2374*100000/1000000)</f>
        <v>2.0285026799999999</v>
      </c>
      <c r="Y820" s="57"/>
      <c r="Z820" s="14"/>
      <c r="AA820" s="56"/>
      <c r="AB820" s="50">
        <f>(B820*141.293+C820*267.993+D820*115.016+E820*89.698+F820*40+G820*185+H820*0+I820*100+J820*300)/(141.293+267.993+115.016+89.698+0+40+185+100+300)</f>
        <v>60.068119239628736</v>
      </c>
      <c r="AC820" s="45">
        <f>(M820*'RAP TEMPLATE-GAS AVAILABILITY'!O819+N820*'RAP TEMPLATE-GAS AVAILABILITY'!P819+O820*'RAP TEMPLATE-GAS AVAILABILITY'!Q819+P820*'RAP TEMPLATE-GAS AVAILABILITY'!R819)/('RAP TEMPLATE-GAS AVAILABILITY'!O819+'RAP TEMPLATE-GAS AVAILABILITY'!P819+'RAP TEMPLATE-GAS AVAILABILITY'!Q819+'RAP TEMPLATE-GAS AVAILABILITY'!R819)</f>
        <v>59.53928201438849</v>
      </c>
    </row>
    <row r="821" spans="1:29" ht="15.75" x14ac:dyDescent="0.25">
      <c r="A821" s="32">
        <v>65897</v>
      </c>
      <c r="B821" s="14">
        <f>CHOOSE(CONTROL!$C$42, 60.5671, 60.5671) * CHOOSE(CONTROL!$C$21, $C$9, 100%, $E$9)</f>
        <v>60.567100000000003</v>
      </c>
      <c r="C821" s="14">
        <f>CHOOSE(CONTROL!$C$42, 60.575, 60.575) * CHOOSE(CONTROL!$C$21, $C$9, 100%, $E$9)</f>
        <v>60.575000000000003</v>
      </c>
      <c r="D821" s="14">
        <f>CHOOSE(CONTROL!$C$42, 60.7726, 60.7726) * CHOOSE(CONTROL!$C$21, $C$9, 100%, $E$9)</f>
        <v>60.772599999999997</v>
      </c>
      <c r="E821" s="14">
        <f>CHOOSE(CONTROL!$C$42, 60.8037, 60.8037) * CHOOSE(CONTROL!$C$21, $C$9, 100%, $E$9)</f>
        <v>60.803699999999999</v>
      </c>
      <c r="F821" s="14">
        <f>CHOOSE(CONTROL!$C$42, 60.5505, 60.5505)*CHOOSE(CONTROL!$C$21, $C$9, 100%, $E$9)</f>
        <v>60.5505</v>
      </c>
      <c r="G821" s="14">
        <f>CHOOSE(CONTROL!$C$42, 60.5666, 60.5666)*CHOOSE(CONTROL!$C$21, $C$9, 100%, $E$9)</f>
        <v>60.566600000000001</v>
      </c>
      <c r="H821" s="14">
        <f>CHOOSE(CONTROL!$C$42, 60.7924, 60.7924) * CHOOSE(CONTROL!$C$21, $C$9, 100%, $E$9)</f>
        <v>60.792400000000001</v>
      </c>
      <c r="I821" s="14">
        <f>CHOOSE(CONTROL!$C$42, 60.5785, 60.5785)* CHOOSE(CONTROL!$C$21, $C$9, 100%, $E$9)</f>
        <v>60.578499999999998</v>
      </c>
      <c r="J821" s="14">
        <f>CHOOSE(CONTROL!$C$42, 60.5435, 60.5435)* CHOOSE(CONTROL!$C$21, $C$9, 100%, $E$9)</f>
        <v>60.543500000000002</v>
      </c>
      <c r="K821" s="53">
        <f>CHOOSE(CONTROL!$C$42, 60.5746, 60.5746) * CHOOSE(CONTROL!$C$21, $C$9, 100%, $E$9)</f>
        <v>60.574599999999997</v>
      </c>
      <c r="L821" s="14">
        <f>CHOOSE(CONTROL!$C$42, 61.3794, 61.3794) * CHOOSE(CONTROL!$C$21, $C$9, 100%, $E$9)</f>
        <v>61.379399999999997</v>
      </c>
      <c r="M821" s="14">
        <f>CHOOSE(CONTROL!$C$42, 59.9464, 59.9464) * CHOOSE(CONTROL!$C$21, $C$9, 100%, $E$9)</f>
        <v>59.946399999999997</v>
      </c>
      <c r="N821" s="14">
        <f>CHOOSE(CONTROL!$C$42, 59.9623, 59.9623) * CHOOSE(CONTROL!$C$21, $C$9, 100%, $E$9)</f>
        <v>59.962299999999999</v>
      </c>
      <c r="O821" s="14">
        <f>CHOOSE(CONTROL!$C$42, 60.1927, 60.1927) * CHOOSE(CONTROL!$C$21, $C$9, 100%, $E$9)</f>
        <v>60.192700000000002</v>
      </c>
      <c r="P821" s="14">
        <f>CHOOSE(CONTROL!$C$42, 59.981, 59.981) * CHOOSE(CONTROL!$C$21, $C$9, 100%, $E$9)</f>
        <v>59.981000000000002</v>
      </c>
      <c r="Q821" s="14">
        <f>CHOOSE(CONTROL!$C$42, 60.788, 60.788) * CHOOSE(CONTROL!$C$21, $C$9, 100%, $E$9)</f>
        <v>60.787999999999997</v>
      </c>
      <c r="R821" s="14">
        <f>CHOOSE(CONTROL!$C$42, 61.527, 61.527) * CHOOSE(CONTROL!$C$21, $C$9, 100%, $E$9)</f>
        <v>61.527000000000001</v>
      </c>
      <c r="S821" s="14">
        <f>CHOOSE(CONTROL!$C$42, 58.8125, 58.8125) * CHOOSE(CONTROL!$C$21, $C$9, 100%, $E$9)</f>
        <v>58.8125</v>
      </c>
      <c r="T82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21" s="57">
        <f>(1000*CHOOSE(CONTROL!$C$42, 695, 695)*CHOOSE(CONTROL!$C$42, 0.5599, 0.5599)*CHOOSE(CONTROL!$C$42, 31, 31))/1000000</f>
        <v>12.063045499999998</v>
      </c>
      <c r="V821" s="57">
        <f>(1000*CHOOSE(CONTROL!$C$42, 500, 500)*CHOOSE(CONTROL!$C$42, 0.275, 0.275)*CHOOSE(CONTROL!$C$42, 31, 31))/1000000</f>
        <v>4.2625000000000002</v>
      </c>
      <c r="W821" s="57">
        <f>(1000*CHOOSE(CONTROL!$C$42, 0.1146, 0.1146)*CHOOSE(CONTROL!$C$42, 121.5, 121.5)*CHOOSE(CONTROL!$C$42, 31, 31))/1000000</f>
        <v>0.43164089999999994</v>
      </c>
      <c r="X821" s="57">
        <f>(31*0.1790888*245000/1000000)+(31*0.2374*100000/1000000)</f>
        <v>2.0961194359999999</v>
      </c>
      <c r="Y821" s="57"/>
      <c r="Z821" s="14"/>
      <c r="AA821" s="56"/>
      <c r="AB821" s="50">
        <f>(B821*194.205+C821*267.466+D821*133.845+E821*53.484+F821*40+G821*185+H821*0+I821*100+J821*300)/(194.205+267.466+133.845+53.484+0+40+185+100+300)</f>
        <v>60.59502460227629</v>
      </c>
      <c r="AC821" s="45">
        <f>(M821*'RAP TEMPLATE-GAS AVAILABILITY'!O820+N821*'RAP TEMPLATE-GAS AVAILABILITY'!P820+O821*'RAP TEMPLATE-GAS AVAILABILITY'!Q820+P821*'RAP TEMPLATE-GAS AVAILABILITY'!R820)/('RAP TEMPLATE-GAS AVAILABILITY'!O820+'RAP TEMPLATE-GAS AVAILABILITY'!P820+'RAP TEMPLATE-GAS AVAILABILITY'!Q820+'RAP TEMPLATE-GAS AVAILABILITY'!R820)</f>
        <v>60.063925899280569</v>
      </c>
    </row>
    <row r="822" spans="1:29" ht="15.75" x14ac:dyDescent="0.25">
      <c r="A822" s="32">
        <v>65927</v>
      </c>
      <c r="B822" s="14">
        <f>CHOOSE(CONTROL!$C$42, 62.285, 62.285) * CHOOSE(CONTROL!$C$21, $C$9, 100%, $E$9)</f>
        <v>62.284999999999997</v>
      </c>
      <c r="C822" s="14">
        <f>CHOOSE(CONTROL!$C$42, 62.2929, 62.2929) * CHOOSE(CONTROL!$C$21, $C$9, 100%, $E$9)</f>
        <v>62.292900000000003</v>
      </c>
      <c r="D822" s="14">
        <f>CHOOSE(CONTROL!$C$42, 62.4905, 62.4905) * CHOOSE(CONTROL!$C$21, $C$9, 100%, $E$9)</f>
        <v>62.490499999999997</v>
      </c>
      <c r="E822" s="14">
        <f>CHOOSE(CONTROL!$C$42, 62.5217, 62.5217) * CHOOSE(CONTROL!$C$21, $C$9, 100%, $E$9)</f>
        <v>62.521700000000003</v>
      </c>
      <c r="F822" s="14">
        <f>CHOOSE(CONTROL!$C$42, 62.2689, 62.2689)*CHOOSE(CONTROL!$C$21, $C$9, 100%, $E$9)</f>
        <v>62.268900000000002</v>
      </c>
      <c r="G822" s="14">
        <f>CHOOSE(CONTROL!$C$42, 62.285, 62.285)*CHOOSE(CONTROL!$C$21, $C$9, 100%, $E$9)</f>
        <v>62.284999999999997</v>
      </c>
      <c r="H822" s="14">
        <f>CHOOSE(CONTROL!$C$42, 62.5103, 62.5103) * CHOOSE(CONTROL!$C$21, $C$9, 100%, $E$9)</f>
        <v>62.510300000000001</v>
      </c>
      <c r="I822" s="14">
        <f>CHOOSE(CONTROL!$C$42, 62.2964, 62.2964)* CHOOSE(CONTROL!$C$21, $C$9, 100%, $E$9)</f>
        <v>62.296399999999998</v>
      </c>
      <c r="J822" s="14">
        <f>CHOOSE(CONTROL!$C$42, 62.2619, 62.2619)* CHOOSE(CONTROL!$C$21, $C$9, 100%, $E$9)</f>
        <v>62.261899999999997</v>
      </c>
      <c r="K822" s="53">
        <f>CHOOSE(CONTROL!$C$42, 62.2925, 62.2925) * CHOOSE(CONTROL!$C$21, $C$9, 100%, $E$9)</f>
        <v>62.292499999999997</v>
      </c>
      <c r="L822" s="14">
        <f>CHOOSE(CONTROL!$C$42, 63.0973, 63.0973) * CHOOSE(CONTROL!$C$21, $C$9, 100%, $E$9)</f>
        <v>63.097299999999997</v>
      </c>
      <c r="M822" s="14">
        <f>CHOOSE(CONTROL!$C$42, 61.6474, 61.6474) * CHOOSE(CONTROL!$C$21, $C$9, 100%, $E$9)</f>
        <v>61.647399999999998</v>
      </c>
      <c r="N822" s="14">
        <f>CHOOSE(CONTROL!$C$42, 61.6634, 61.6634) * CHOOSE(CONTROL!$C$21, $C$9, 100%, $E$9)</f>
        <v>61.663400000000003</v>
      </c>
      <c r="O822" s="14">
        <f>CHOOSE(CONTROL!$C$42, 61.8933, 61.8933) * CHOOSE(CONTROL!$C$21, $C$9, 100%, $E$9)</f>
        <v>61.893300000000004</v>
      </c>
      <c r="P822" s="14">
        <f>CHOOSE(CONTROL!$C$42, 61.6816, 61.6816) * CHOOSE(CONTROL!$C$21, $C$9, 100%, $E$9)</f>
        <v>61.681600000000003</v>
      </c>
      <c r="Q822" s="14">
        <f>CHOOSE(CONTROL!$C$42, 62.4886, 62.4886) * CHOOSE(CONTROL!$C$21, $C$9, 100%, $E$9)</f>
        <v>62.488599999999998</v>
      </c>
      <c r="R822" s="14">
        <f>CHOOSE(CONTROL!$C$42, 63.2318, 63.2318) * CHOOSE(CONTROL!$C$21, $C$9, 100%, $E$9)</f>
        <v>63.2318</v>
      </c>
      <c r="S822" s="14">
        <f>CHOOSE(CONTROL!$C$42, 60.4807, 60.4807) * CHOOSE(CONTROL!$C$21, $C$9, 100%, $E$9)</f>
        <v>60.480699999999999</v>
      </c>
      <c r="T82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22" s="57">
        <f>(1000*CHOOSE(CONTROL!$C$42, 695, 695)*CHOOSE(CONTROL!$C$42, 0.5599, 0.5599)*CHOOSE(CONTROL!$C$42, 30, 30))/1000000</f>
        <v>11.673914999999997</v>
      </c>
      <c r="V822" s="57">
        <f>(1000*CHOOSE(CONTROL!$C$42, 500, 500)*CHOOSE(CONTROL!$C$42, 0.275, 0.275)*CHOOSE(CONTROL!$C$42, 30, 30))/1000000</f>
        <v>4.125</v>
      </c>
      <c r="W822" s="57">
        <f>(1000*CHOOSE(CONTROL!$C$42, 0.1146, 0.1146)*CHOOSE(CONTROL!$C$42, 121.5, 121.5)*CHOOSE(CONTROL!$C$42, 30, 30))/1000000</f>
        <v>0.417717</v>
      </c>
      <c r="X822" s="57">
        <f>(30*0.1790888*245000/1000000)+(30*0.2374*100000/1000000)</f>
        <v>2.0285026799999999</v>
      </c>
      <c r="Y822" s="57"/>
      <c r="Z822" s="14"/>
      <c r="AA822" s="56"/>
      <c r="AB822" s="50">
        <f>(B822*194.205+C822*267.466+D822*133.845+E822*53.484+F822*40+G822*185+H822*0+I822*100+J822*300)/(194.205+267.466+133.845+53.484+0+40+185+100+300)</f>
        <v>62.313134844348504</v>
      </c>
      <c r="AC822" s="45">
        <f>(M822*'RAP TEMPLATE-GAS AVAILABILITY'!O821+N822*'RAP TEMPLATE-GAS AVAILABILITY'!P821+O822*'RAP TEMPLATE-GAS AVAILABILITY'!Q821+P822*'RAP TEMPLATE-GAS AVAILABILITY'!R821)/('RAP TEMPLATE-GAS AVAILABILITY'!O821+'RAP TEMPLATE-GAS AVAILABILITY'!P821+'RAP TEMPLATE-GAS AVAILABILITY'!Q821+'RAP TEMPLATE-GAS AVAILABILITY'!R821)</f>
        <v>61.764692805755402</v>
      </c>
    </row>
    <row r="823" spans="1:29" ht="15.75" x14ac:dyDescent="0.25">
      <c r="A823" s="32">
        <v>65958</v>
      </c>
      <c r="B823" s="14">
        <f>CHOOSE(CONTROL!$C$42, 61.0902, 61.0902) * CHOOSE(CONTROL!$C$21, $C$9, 100%, $E$9)</f>
        <v>61.090200000000003</v>
      </c>
      <c r="C823" s="14">
        <f>CHOOSE(CONTROL!$C$42, 61.0981, 61.0981) * CHOOSE(CONTROL!$C$21, $C$9, 100%, $E$9)</f>
        <v>61.098100000000002</v>
      </c>
      <c r="D823" s="14">
        <f>CHOOSE(CONTROL!$C$42, 61.2957, 61.2957) * CHOOSE(CONTROL!$C$21, $C$9, 100%, $E$9)</f>
        <v>61.295699999999997</v>
      </c>
      <c r="E823" s="14">
        <f>CHOOSE(CONTROL!$C$42, 61.3268, 61.3268) * CHOOSE(CONTROL!$C$21, $C$9, 100%, $E$9)</f>
        <v>61.326799999999999</v>
      </c>
      <c r="F823" s="14">
        <f>CHOOSE(CONTROL!$C$42, 61.0745, 61.0745)*CHOOSE(CONTROL!$C$21, $C$9, 100%, $E$9)</f>
        <v>61.0745</v>
      </c>
      <c r="G823" s="14">
        <f>CHOOSE(CONTROL!$C$42, 61.0908, 61.0908)*CHOOSE(CONTROL!$C$21, $C$9, 100%, $E$9)</f>
        <v>61.090800000000002</v>
      </c>
      <c r="H823" s="14">
        <f>CHOOSE(CONTROL!$C$42, 61.3155, 61.3155) * CHOOSE(CONTROL!$C$21, $C$9, 100%, $E$9)</f>
        <v>61.3155</v>
      </c>
      <c r="I823" s="14">
        <f>CHOOSE(CONTROL!$C$42, 61.1016, 61.1016)* CHOOSE(CONTROL!$C$21, $C$9, 100%, $E$9)</f>
        <v>61.101599999999998</v>
      </c>
      <c r="J823" s="14">
        <f>CHOOSE(CONTROL!$C$42, 61.0675, 61.0675)* CHOOSE(CONTROL!$C$21, $C$9, 100%, $E$9)</f>
        <v>61.067500000000003</v>
      </c>
      <c r="K823" s="53">
        <f>CHOOSE(CONTROL!$C$42, 61.0977, 61.0977) * CHOOSE(CONTROL!$C$21, $C$9, 100%, $E$9)</f>
        <v>61.097700000000003</v>
      </c>
      <c r="L823" s="14">
        <f>CHOOSE(CONTROL!$C$42, 61.9025, 61.9025) * CHOOSE(CONTROL!$C$21, $C$9, 100%, $E$9)</f>
        <v>61.902500000000003</v>
      </c>
      <c r="M823" s="14">
        <f>CHOOSE(CONTROL!$C$42, 60.465, 60.465) * CHOOSE(CONTROL!$C$21, $C$9, 100%, $E$9)</f>
        <v>60.465000000000003</v>
      </c>
      <c r="N823" s="14">
        <f>CHOOSE(CONTROL!$C$42, 60.4811, 60.4811) * CHOOSE(CONTROL!$C$21, $C$9, 100%, $E$9)</f>
        <v>60.481099999999998</v>
      </c>
      <c r="O823" s="14">
        <f>CHOOSE(CONTROL!$C$42, 60.7105, 60.7105) * CHOOSE(CONTROL!$C$21, $C$9, 100%, $E$9)</f>
        <v>60.710500000000003</v>
      </c>
      <c r="P823" s="14">
        <f>CHOOSE(CONTROL!$C$42, 60.4988, 60.4988) * CHOOSE(CONTROL!$C$21, $C$9, 100%, $E$9)</f>
        <v>60.498800000000003</v>
      </c>
      <c r="Q823" s="14">
        <f>CHOOSE(CONTROL!$C$42, 61.3058, 61.3058) * CHOOSE(CONTROL!$C$21, $C$9, 100%, $E$9)</f>
        <v>61.305799999999998</v>
      </c>
      <c r="R823" s="14">
        <f>CHOOSE(CONTROL!$C$42, 62.0461, 62.0461) * CHOOSE(CONTROL!$C$21, $C$9, 100%, $E$9)</f>
        <v>62.046100000000003</v>
      </c>
      <c r="S823" s="14">
        <f>CHOOSE(CONTROL!$C$42, 59.3204, 59.3204) * CHOOSE(CONTROL!$C$21, $C$9, 100%, $E$9)</f>
        <v>59.320399999999999</v>
      </c>
      <c r="T82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23" s="57">
        <f>(1000*CHOOSE(CONTROL!$C$42, 695, 695)*CHOOSE(CONTROL!$C$42, 0.5599, 0.5599)*CHOOSE(CONTROL!$C$42, 31, 31))/1000000</f>
        <v>12.063045499999998</v>
      </c>
      <c r="V823" s="57">
        <f>(1000*CHOOSE(CONTROL!$C$42, 500, 500)*CHOOSE(CONTROL!$C$42, 0.275, 0.275)*CHOOSE(CONTROL!$C$42, 31, 31))/1000000</f>
        <v>4.2625000000000002</v>
      </c>
      <c r="W823" s="57">
        <f>(1000*CHOOSE(CONTROL!$C$42, 0.1146, 0.1146)*CHOOSE(CONTROL!$C$42, 121.5, 121.5)*CHOOSE(CONTROL!$C$42, 31, 31))/1000000</f>
        <v>0.43164089999999994</v>
      </c>
      <c r="X823" s="57">
        <f>(31*0.1790888*245000/1000000)+(31*0.2374*100000/1000000)</f>
        <v>2.0961194359999999</v>
      </c>
      <c r="Y823" s="57"/>
      <c r="Z823" s="14"/>
      <c r="AA823" s="56"/>
      <c r="AB823" s="50">
        <f>(B823*194.205+C823*267.466+D823*133.845+E823*53.484+F823*40+G823*185+H823*0+I823*100+J823*300)/(194.205+267.466+133.845+53.484+0+40+185+100+300)</f>
        <v>61.118524523783364</v>
      </c>
      <c r="AC823" s="45">
        <f>(M823*'RAP TEMPLATE-GAS AVAILABILITY'!O822+N823*'RAP TEMPLATE-GAS AVAILABILITY'!P822+O823*'RAP TEMPLATE-GAS AVAILABILITY'!Q822+P823*'RAP TEMPLATE-GAS AVAILABILITY'!R822)/('RAP TEMPLATE-GAS AVAILABILITY'!O822+'RAP TEMPLATE-GAS AVAILABILITY'!P822+'RAP TEMPLATE-GAS AVAILABILITY'!Q822+'RAP TEMPLATE-GAS AVAILABILITY'!R822)</f>
        <v>60.582059712230219</v>
      </c>
    </row>
    <row r="824" spans="1:29" ht="15.75" x14ac:dyDescent="0.25">
      <c r="A824" s="32">
        <v>65989</v>
      </c>
      <c r="B824" s="14">
        <f>CHOOSE(CONTROL!$C$42, 58.0729, 58.0729) * CHOOSE(CONTROL!$C$21, $C$9, 100%, $E$9)</f>
        <v>58.072899999999997</v>
      </c>
      <c r="C824" s="14">
        <f>CHOOSE(CONTROL!$C$42, 58.0808, 58.0808) * CHOOSE(CONTROL!$C$21, $C$9, 100%, $E$9)</f>
        <v>58.080800000000004</v>
      </c>
      <c r="D824" s="14">
        <f>CHOOSE(CONTROL!$C$42, 58.2784, 58.2784) * CHOOSE(CONTROL!$C$21, $C$9, 100%, $E$9)</f>
        <v>58.278399999999998</v>
      </c>
      <c r="E824" s="14">
        <f>CHOOSE(CONTROL!$C$42, 58.3095, 58.3095) * CHOOSE(CONTROL!$C$21, $C$9, 100%, $E$9)</f>
        <v>58.3095</v>
      </c>
      <c r="F824" s="14">
        <f>CHOOSE(CONTROL!$C$42, 58.0573, 58.0573)*CHOOSE(CONTROL!$C$21, $C$9, 100%, $E$9)</f>
        <v>58.057299999999998</v>
      </c>
      <c r="G824" s="14">
        <f>CHOOSE(CONTROL!$C$42, 58.0737, 58.0737)*CHOOSE(CONTROL!$C$21, $C$9, 100%, $E$9)</f>
        <v>58.073700000000002</v>
      </c>
      <c r="H824" s="14">
        <f>CHOOSE(CONTROL!$C$42, 58.2982, 58.2982) * CHOOSE(CONTROL!$C$21, $C$9, 100%, $E$9)</f>
        <v>58.298200000000001</v>
      </c>
      <c r="I824" s="14">
        <f>CHOOSE(CONTROL!$C$42, 58.0843, 58.0843)* CHOOSE(CONTROL!$C$21, $C$9, 100%, $E$9)</f>
        <v>58.084299999999999</v>
      </c>
      <c r="J824" s="14">
        <f>CHOOSE(CONTROL!$C$42, 58.0503, 58.0503)* CHOOSE(CONTROL!$C$21, $C$9, 100%, $E$9)</f>
        <v>58.0503</v>
      </c>
      <c r="K824" s="53">
        <f>CHOOSE(CONTROL!$C$42, 58.0804, 58.0804) * CHOOSE(CONTROL!$C$21, $C$9, 100%, $E$9)</f>
        <v>58.080399999999997</v>
      </c>
      <c r="L824" s="14">
        <f>CHOOSE(CONTROL!$C$42, 58.8852, 58.8852) * CHOOSE(CONTROL!$C$21, $C$9, 100%, $E$9)</f>
        <v>58.885199999999998</v>
      </c>
      <c r="M824" s="14">
        <f>CHOOSE(CONTROL!$C$42, 57.4783, 57.4783) * CHOOSE(CONTROL!$C$21, $C$9, 100%, $E$9)</f>
        <v>57.478299999999997</v>
      </c>
      <c r="N824" s="14">
        <f>CHOOSE(CONTROL!$C$42, 57.4945, 57.4945) * CHOOSE(CONTROL!$C$21, $C$9, 100%, $E$9)</f>
        <v>57.494500000000002</v>
      </c>
      <c r="O824" s="14">
        <f>CHOOSE(CONTROL!$C$42, 57.7237, 57.7237) * CHOOSE(CONTROL!$C$21, $C$9, 100%, $E$9)</f>
        <v>57.723700000000001</v>
      </c>
      <c r="P824" s="14">
        <f>CHOOSE(CONTROL!$C$42, 57.512, 57.512) * CHOOSE(CONTROL!$C$21, $C$9, 100%, $E$9)</f>
        <v>57.512</v>
      </c>
      <c r="Q824" s="14">
        <f>CHOOSE(CONTROL!$C$42, 58.319, 58.319) * CHOOSE(CONTROL!$C$21, $C$9, 100%, $E$9)</f>
        <v>58.319000000000003</v>
      </c>
      <c r="R824" s="14">
        <f>CHOOSE(CONTROL!$C$42, 59.0518, 59.0518) * CHOOSE(CONTROL!$C$21, $C$9, 100%, $E$9)</f>
        <v>59.0518</v>
      </c>
      <c r="S824" s="14">
        <f>CHOOSE(CONTROL!$C$42, 56.3903, 56.3903) * CHOOSE(CONTROL!$C$21, $C$9, 100%, $E$9)</f>
        <v>56.390300000000003</v>
      </c>
      <c r="T82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24" s="57">
        <f>(1000*CHOOSE(CONTROL!$C$42, 695, 695)*CHOOSE(CONTROL!$C$42, 0.5599, 0.5599)*CHOOSE(CONTROL!$C$42, 31, 31))/1000000</f>
        <v>12.063045499999998</v>
      </c>
      <c r="V824" s="57">
        <f>(1000*CHOOSE(CONTROL!$C$42, 500, 500)*CHOOSE(CONTROL!$C$42, 0.275, 0.275)*CHOOSE(CONTROL!$C$42, 31, 31))/1000000</f>
        <v>4.2625000000000002</v>
      </c>
      <c r="W824" s="57">
        <f>(1000*CHOOSE(CONTROL!$C$42, 0.1146, 0.1146)*CHOOSE(CONTROL!$C$42, 121.5, 121.5)*CHOOSE(CONTROL!$C$42, 31, 31))/1000000</f>
        <v>0.43164089999999994</v>
      </c>
      <c r="X824" s="57">
        <f>(31*0.1790888*245000/1000000)+(31*0.2374*100000/1000000)</f>
        <v>2.0961194359999999</v>
      </c>
      <c r="Y824" s="57"/>
      <c r="Z824" s="14"/>
      <c r="AA824" s="56"/>
      <c r="AB824" s="50">
        <f>(B824*194.205+C824*267.466+D824*133.845+E824*53.484+F824*40+G824*185+H824*0+I824*100+J824*300)/(194.205+267.466+133.845+53.484+0+40+185+100+300)</f>
        <v>58.101280253767662</v>
      </c>
      <c r="AC824" s="45">
        <f>(M824*'RAP TEMPLATE-GAS AVAILABILITY'!O823+N824*'RAP TEMPLATE-GAS AVAILABILITY'!P823+O824*'RAP TEMPLATE-GAS AVAILABILITY'!Q823+P824*'RAP TEMPLATE-GAS AVAILABILITY'!R823)/('RAP TEMPLATE-GAS AVAILABILITY'!O823+'RAP TEMPLATE-GAS AVAILABILITY'!P823+'RAP TEMPLATE-GAS AVAILABILITY'!Q823+'RAP TEMPLATE-GAS AVAILABILITY'!R823)</f>
        <v>57.595305755395685</v>
      </c>
    </row>
    <row r="825" spans="1:29" ht="15.75" x14ac:dyDescent="0.25">
      <c r="A825" s="32">
        <v>66019</v>
      </c>
      <c r="B825" s="14">
        <f>CHOOSE(CONTROL!$C$42, 54.3859, 54.3859) * CHOOSE(CONTROL!$C$21, $C$9, 100%, $E$9)</f>
        <v>54.385899999999999</v>
      </c>
      <c r="C825" s="14">
        <f>CHOOSE(CONTROL!$C$42, 54.3939, 54.3939) * CHOOSE(CONTROL!$C$21, $C$9, 100%, $E$9)</f>
        <v>54.393900000000002</v>
      </c>
      <c r="D825" s="14">
        <f>CHOOSE(CONTROL!$C$42, 54.5914, 54.5914) * CHOOSE(CONTROL!$C$21, $C$9, 100%, $E$9)</f>
        <v>54.5914</v>
      </c>
      <c r="E825" s="14">
        <f>CHOOSE(CONTROL!$C$42, 54.6226, 54.6226) * CHOOSE(CONTROL!$C$21, $C$9, 100%, $E$9)</f>
        <v>54.622599999999998</v>
      </c>
      <c r="F825" s="14">
        <f>CHOOSE(CONTROL!$C$42, 54.3703, 54.3703)*CHOOSE(CONTROL!$C$21, $C$9, 100%, $E$9)</f>
        <v>54.3703</v>
      </c>
      <c r="G825" s="14">
        <f>CHOOSE(CONTROL!$C$42, 54.3866, 54.3866)*CHOOSE(CONTROL!$C$21, $C$9, 100%, $E$9)</f>
        <v>54.386600000000001</v>
      </c>
      <c r="H825" s="14">
        <f>CHOOSE(CONTROL!$C$42, 54.6112, 54.6112) * CHOOSE(CONTROL!$C$21, $C$9, 100%, $E$9)</f>
        <v>54.611199999999997</v>
      </c>
      <c r="I825" s="14">
        <f>CHOOSE(CONTROL!$C$42, 54.3973, 54.3973)* CHOOSE(CONTROL!$C$21, $C$9, 100%, $E$9)</f>
        <v>54.397300000000001</v>
      </c>
      <c r="J825" s="14">
        <f>CHOOSE(CONTROL!$C$42, 54.3633, 54.3633)* CHOOSE(CONTROL!$C$21, $C$9, 100%, $E$9)</f>
        <v>54.363300000000002</v>
      </c>
      <c r="K825" s="53">
        <f>CHOOSE(CONTROL!$C$42, 54.3934, 54.3934) * CHOOSE(CONTROL!$C$21, $C$9, 100%, $E$9)</f>
        <v>54.3934</v>
      </c>
      <c r="L825" s="14">
        <f>CHOOSE(CONTROL!$C$42, 55.1982, 55.1982) * CHOOSE(CONTROL!$C$21, $C$9, 100%, $E$9)</f>
        <v>55.1982</v>
      </c>
      <c r="M825" s="14">
        <f>CHOOSE(CONTROL!$C$42, 53.8285, 53.8285) * CHOOSE(CONTROL!$C$21, $C$9, 100%, $E$9)</f>
        <v>53.828499999999998</v>
      </c>
      <c r="N825" s="14">
        <f>CHOOSE(CONTROL!$C$42, 53.8447, 53.8447) * CHOOSE(CONTROL!$C$21, $C$9, 100%, $E$9)</f>
        <v>53.844700000000003</v>
      </c>
      <c r="O825" s="14">
        <f>CHOOSE(CONTROL!$C$42, 54.0739, 54.0739) * CHOOSE(CONTROL!$C$21, $C$9, 100%, $E$9)</f>
        <v>54.073900000000002</v>
      </c>
      <c r="P825" s="14">
        <f>CHOOSE(CONTROL!$C$42, 53.8622, 53.8622) * CHOOSE(CONTROL!$C$21, $C$9, 100%, $E$9)</f>
        <v>53.862200000000001</v>
      </c>
      <c r="Q825" s="14">
        <f>CHOOSE(CONTROL!$C$42, 54.6692, 54.6692) * CHOOSE(CONTROL!$C$21, $C$9, 100%, $E$9)</f>
        <v>54.669199999999996</v>
      </c>
      <c r="R825" s="14">
        <f>CHOOSE(CONTROL!$C$42, 55.3929, 55.3929) * CHOOSE(CONTROL!$C$21, $C$9, 100%, $E$9)</f>
        <v>55.392899999999997</v>
      </c>
      <c r="S825" s="14">
        <f>CHOOSE(CONTROL!$C$42, 52.8099, 52.8099) * CHOOSE(CONTROL!$C$21, $C$9, 100%, $E$9)</f>
        <v>52.809899999999999</v>
      </c>
      <c r="T82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25" s="57">
        <f>(1000*CHOOSE(CONTROL!$C$42, 695, 695)*CHOOSE(CONTROL!$C$42, 0.5599, 0.5599)*CHOOSE(CONTROL!$C$42, 30, 30))/1000000</f>
        <v>11.673914999999997</v>
      </c>
      <c r="V825" s="57">
        <f>(1000*CHOOSE(CONTROL!$C$42, 500, 500)*CHOOSE(CONTROL!$C$42, 0.275, 0.275)*CHOOSE(CONTROL!$C$42, 30, 30))/1000000</f>
        <v>4.125</v>
      </c>
      <c r="W825" s="57">
        <f>(1000*CHOOSE(CONTROL!$C$42, 0.1146, 0.1146)*CHOOSE(CONTROL!$C$42, 121.5, 121.5)*CHOOSE(CONTROL!$C$42, 30, 30))/1000000</f>
        <v>0.417717</v>
      </c>
      <c r="X825" s="57">
        <f>(30*0.1790888*245000/1000000)+(30*0.2374*100000/1000000)</f>
        <v>2.0285026799999999</v>
      </c>
      <c r="Y825" s="57"/>
      <c r="Z825" s="14"/>
      <c r="AA825" s="56"/>
      <c r="AB825" s="50">
        <f>(B825*194.205+C825*267.466+D825*133.845+E825*53.484+F825*40+G825*185+H825*0+I825*100+J825*300)/(194.205+267.466+133.845+53.484+0+40+185+100+300)</f>
        <v>54.414290924882259</v>
      </c>
      <c r="AC825" s="45">
        <f>(M825*'RAP TEMPLATE-GAS AVAILABILITY'!O824+N825*'RAP TEMPLATE-GAS AVAILABILITY'!P824+O825*'RAP TEMPLATE-GAS AVAILABILITY'!Q824+P825*'RAP TEMPLATE-GAS AVAILABILITY'!R824)/('RAP TEMPLATE-GAS AVAILABILITY'!O824+'RAP TEMPLATE-GAS AVAILABILITY'!P824+'RAP TEMPLATE-GAS AVAILABILITY'!Q824+'RAP TEMPLATE-GAS AVAILABILITY'!R824)</f>
        <v>53.945505755395679</v>
      </c>
    </row>
    <row r="826" spans="1:29" ht="15.75" x14ac:dyDescent="0.25">
      <c r="A826" s="32">
        <v>66050</v>
      </c>
      <c r="B826" s="14">
        <f>CHOOSE(CONTROL!$C$42, 53.28, 53.28) * CHOOSE(CONTROL!$C$21, $C$9, 100%, $E$9)</f>
        <v>53.28</v>
      </c>
      <c r="C826" s="14">
        <f>CHOOSE(CONTROL!$C$42, 53.2852, 53.2852) * CHOOSE(CONTROL!$C$21, $C$9, 100%, $E$9)</f>
        <v>53.285200000000003</v>
      </c>
      <c r="D826" s="14">
        <f>CHOOSE(CONTROL!$C$42, 53.4878, 53.4878) * CHOOSE(CONTROL!$C$21, $C$9, 100%, $E$9)</f>
        <v>53.4878</v>
      </c>
      <c r="E826" s="14">
        <f>CHOOSE(CONTROL!$C$42, 53.5166, 53.5166) * CHOOSE(CONTROL!$C$21, $C$9, 100%, $E$9)</f>
        <v>53.516599999999997</v>
      </c>
      <c r="F826" s="14">
        <f>CHOOSE(CONTROL!$C$42, 53.2664, 53.2664)*CHOOSE(CONTROL!$C$21, $C$9, 100%, $E$9)</f>
        <v>53.266399999999997</v>
      </c>
      <c r="G826" s="14">
        <f>CHOOSE(CONTROL!$C$42, 53.2824, 53.2824)*CHOOSE(CONTROL!$C$21, $C$9, 100%, $E$9)</f>
        <v>53.282400000000003</v>
      </c>
      <c r="H826" s="14">
        <f>CHOOSE(CONTROL!$C$42, 53.5071, 53.5071) * CHOOSE(CONTROL!$C$21, $C$9, 100%, $E$9)</f>
        <v>53.507100000000001</v>
      </c>
      <c r="I826" s="14">
        <f>CHOOSE(CONTROL!$C$42, 53.2932, 53.2932)* CHOOSE(CONTROL!$C$21, $C$9, 100%, $E$9)</f>
        <v>53.293199999999999</v>
      </c>
      <c r="J826" s="14">
        <f>CHOOSE(CONTROL!$C$42, 53.2594, 53.2594)* CHOOSE(CONTROL!$C$21, $C$9, 100%, $E$9)</f>
        <v>53.259399999999999</v>
      </c>
      <c r="K826" s="53">
        <f>CHOOSE(CONTROL!$C$42, 53.2893, 53.2893) * CHOOSE(CONTROL!$C$21, $C$9, 100%, $E$9)</f>
        <v>53.289299999999997</v>
      </c>
      <c r="L826" s="14">
        <f>CHOOSE(CONTROL!$C$42, 54.0941, 54.0941) * CHOOSE(CONTROL!$C$21, $C$9, 100%, $E$9)</f>
        <v>54.094099999999997</v>
      </c>
      <c r="M826" s="14">
        <f>CHOOSE(CONTROL!$C$42, 52.7357, 52.7357) * CHOOSE(CONTROL!$C$21, $C$9, 100%, $E$9)</f>
        <v>52.735700000000001</v>
      </c>
      <c r="N826" s="14">
        <f>CHOOSE(CONTROL!$C$42, 52.7516, 52.7516) * CHOOSE(CONTROL!$C$21, $C$9, 100%, $E$9)</f>
        <v>52.751600000000003</v>
      </c>
      <c r="O826" s="14">
        <f>CHOOSE(CONTROL!$C$42, 52.9809, 52.9809) * CHOOSE(CONTROL!$C$21, $C$9, 100%, $E$9)</f>
        <v>52.980899999999998</v>
      </c>
      <c r="P826" s="14">
        <f>CHOOSE(CONTROL!$C$42, 52.7692, 52.7692) * CHOOSE(CONTROL!$C$21, $C$9, 100%, $E$9)</f>
        <v>52.769199999999998</v>
      </c>
      <c r="Q826" s="14">
        <f>CHOOSE(CONTROL!$C$42, 53.5762, 53.5762) * CHOOSE(CONTROL!$C$21, $C$9, 100%, $E$9)</f>
        <v>53.5762</v>
      </c>
      <c r="R826" s="14">
        <f>CHOOSE(CONTROL!$C$42, 54.2971, 54.2971) * CHOOSE(CONTROL!$C$21, $C$9, 100%, $E$9)</f>
        <v>54.2971</v>
      </c>
      <c r="S826" s="14">
        <f>CHOOSE(CONTROL!$C$42, 51.7377, 51.7377) * CHOOSE(CONTROL!$C$21, $C$9, 100%, $E$9)</f>
        <v>51.737699999999997</v>
      </c>
      <c r="T82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26" s="57">
        <f>(1000*CHOOSE(CONTROL!$C$42, 695, 695)*CHOOSE(CONTROL!$C$42, 0.5599, 0.5599)*CHOOSE(CONTROL!$C$42, 31, 31))/1000000</f>
        <v>12.063045499999998</v>
      </c>
      <c r="V826" s="57">
        <f>(1000*CHOOSE(CONTROL!$C$42, 500, 500)*CHOOSE(CONTROL!$C$42, 0.275, 0.275)*CHOOSE(CONTROL!$C$42, 31, 31))/1000000</f>
        <v>4.2625000000000002</v>
      </c>
      <c r="W826" s="57">
        <f>(1000*CHOOSE(CONTROL!$C$42, 0.1146, 0.1146)*CHOOSE(CONTROL!$C$42, 121.5, 121.5)*CHOOSE(CONTROL!$C$42, 31, 31))/1000000</f>
        <v>0.43164089999999994</v>
      </c>
      <c r="X826" s="57">
        <f>(31*0.1790888*245000/1000000)+(31*0.2374*100000/1000000)</f>
        <v>2.0961194359999999</v>
      </c>
      <c r="Y826" s="57"/>
      <c r="Z826" s="14"/>
      <c r="AA826" s="56"/>
      <c r="AB826" s="50">
        <f>(B826*131.881+C826*277.167+D826*79.08+E826*125.872+F826*40+G826*185+H826*0+I826*100+J826*300)/(131.881+277.167+79.08+125.872+0+40+185+100+300)</f>
        <v>53.314459570298624</v>
      </c>
      <c r="AC826" s="45">
        <f>(M826*'RAP TEMPLATE-GAS AVAILABILITY'!O825+N826*'RAP TEMPLATE-GAS AVAILABILITY'!P825+O826*'RAP TEMPLATE-GAS AVAILABILITY'!Q825+P826*'RAP TEMPLATE-GAS AVAILABILITY'!R825)/('RAP TEMPLATE-GAS AVAILABILITY'!O825+'RAP TEMPLATE-GAS AVAILABILITY'!P825+'RAP TEMPLATE-GAS AVAILABILITY'!Q825+'RAP TEMPLATE-GAS AVAILABILITY'!R825)</f>
        <v>52.852569064748202</v>
      </c>
    </row>
    <row r="827" spans="1:29" ht="15.75" x14ac:dyDescent="0.25">
      <c r="A827" s="32">
        <v>66080</v>
      </c>
      <c r="B827" s="14">
        <f>CHOOSE(CONTROL!$C$42, 54.6832, 54.6832) * CHOOSE(CONTROL!$C$21, $C$9, 100%, $E$9)</f>
        <v>54.683199999999999</v>
      </c>
      <c r="C827" s="14">
        <f>CHOOSE(CONTROL!$C$42, 54.6881, 54.6881) * CHOOSE(CONTROL!$C$21, $C$9, 100%, $E$9)</f>
        <v>54.688099999999999</v>
      </c>
      <c r="D827" s="14">
        <f>CHOOSE(CONTROL!$C$42, 54.7512, 54.7512) * CHOOSE(CONTROL!$C$21, $C$9, 100%, $E$9)</f>
        <v>54.751199999999997</v>
      </c>
      <c r="E827" s="14">
        <f>CHOOSE(CONTROL!$C$42, 54.785, 54.785) * CHOOSE(CONTROL!$C$21, $C$9, 100%, $E$9)</f>
        <v>54.784999999999997</v>
      </c>
      <c r="F827" s="14">
        <f>CHOOSE(CONTROL!$C$42, 54.6839, 54.6839)*CHOOSE(CONTROL!$C$21, $C$9, 100%, $E$9)</f>
        <v>54.683900000000001</v>
      </c>
      <c r="G827" s="14">
        <f>CHOOSE(CONTROL!$C$42, 54.7002, 54.7002)*CHOOSE(CONTROL!$C$21, $C$9, 100%, $E$9)</f>
        <v>54.700200000000002</v>
      </c>
      <c r="H827" s="14">
        <f>CHOOSE(CONTROL!$C$42, 54.7742, 54.7742) * CHOOSE(CONTROL!$C$21, $C$9, 100%, $E$9)</f>
        <v>54.7742</v>
      </c>
      <c r="I827" s="14">
        <f>CHOOSE(CONTROL!$C$42, 54.6967, 54.6967)* CHOOSE(CONTROL!$C$21, $C$9, 100%, $E$9)</f>
        <v>54.6967</v>
      </c>
      <c r="J827" s="14">
        <f>CHOOSE(CONTROL!$C$42, 54.6769, 54.6769)* CHOOSE(CONTROL!$C$21, $C$9, 100%, $E$9)</f>
        <v>54.676900000000003</v>
      </c>
      <c r="K827" s="53">
        <f>CHOOSE(CONTROL!$C$42, 54.6928, 54.6928) * CHOOSE(CONTROL!$C$21, $C$9, 100%, $E$9)</f>
        <v>54.692799999999998</v>
      </c>
      <c r="L827" s="14">
        <f>CHOOSE(CONTROL!$C$42, 55.3612, 55.3612) * CHOOSE(CONTROL!$C$21, $C$9, 100%, $E$9)</f>
        <v>55.361199999999997</v>
      </c>
      <c r="M827" s="14">
        <f>CHOOSE(CONTROL!$C$42, 54.1389, 54.1389) * CHOOSE(CONTROL!$C$21, $C$9, 100%, $E$9)</f>
        <v>54.1389</v>
      </c>
      <c r="N827" s="14">
        <f>CHOOSE(CONTROL!$C$42, 54.155, 54.155) * CHOOSE(CONTROL!$C$21, $C$9, 100%, $E$9)</f>
        <v>54.155000000000001</v>
      </c>
      <c r="O827" s="14">
        <f>CHOOSE(CONTROL!$C$42, 54.2352, 54.2352) * CHOOSE(CONTROL!$C$21, $C$9, 100%, $E$9)</f>
        <v>54.235199999999999</v>
      </c>
      <c r="P827" s="14">
        <f>CHOOSE(CONTROL!$C$42, 54.1586, 54.1586) * CHOOSE(CONTROL!$C$21, $C$9, 100%, $E$9)</f>
        <v>54.1586</v>
      </c>
      <c r="Q827" s="14">
        <f>CHOOSE(CONTROL!$C$42, 54.8305, 54.8305) * CHOOSE(CONTROL!$C$21, $C$9, 100%, $E$9)</f>
        <v>54.830500000000001</v>
      </c>
      <c r="R827" s="14">
        <f>CHOOSE(CONTROL!$C$42, 55.5546, 55.5546) * CHOOSE(CONTROL!$C$21, $C$9, 100%, $E$9)</f>
        <v>55.554600000000001</v>
      </c>
      <c r="S827" s="14">
        <f>CHOOSE(CONTROL!$C$42, 53.1007, 53.1007) * CHOOSE(CONTROL!$C$21, $C$9, 100%, $E$9)</f>
        <v>53.100700000000003</v>
      </c>
      <c r="T82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27" s="57">
        <f>(1000*CHOOSE(CONTROL!$C$42, 695, 695)*CHOOSE(CONTROL!$C$42, 0.5599, 0.5599)*CHOOSE(CONTROL!$C$42, 30, 30))/1000000</f>
        <v>11.673914999999997</v>
      </c>
      <c r="V827" s="57">
        <f>(1000*CHOOSE(CONTROL!$C$42, 500, 500)*CHOOSE(CONTROL!$C$42, 0.275, 0.275)*CHOOSE(CONTROL!$C$42, 30, 30))/1000000</f>
        <v>4.125</v>
      </c>
      <c r="W827" s="57">
        <f>(1000*CHOOSE(CONTROL!$C$42, 0.1146, 0.1146)*CHOOSE(CONTROL!$C$42, 121.5, 121.5)*CHOOSE(CONTROL!$C$42, 30, 30))/1000000</f>
        <v>0.417717</v>
      </c>
      <c r="X827" s="57">
        <f>(30*0.1790888*100000/1000000)+(30*0.2374*100000/1000000)</f>
        <v>1.2494664</v>
      </c>
      <c r="Y827" s="57"/>
      <c r="Z827" s="14"/>
      <c r="AA827" s="56"/>
      <c r="AB827" s="50">
        <f>(B827*122.58+C827*297.941+D827*89.177+E827*40.302+F827*40+G827*160+H827*0+I827*100+J827*300)/(122.58+297.941+89.177+40.302+0+40+160+100+300)</f>
        <v>54.69523016565217</v>
      </c>
      <c r="AC827" s="45">
        <f>(M827*'RAP TEMPLATE-GAS AVAILABILITY'!O826+N827*'RAP TEMPLATE-GAS AVAILABILITY'!P826+O827*'RAP TEMPLATE-GAS AVAILABILITY'!Q826+P827*'RAP TEMPLATE-GAS AVAILABILITY'!R826)/('RAP TEMPLATE-GAS AVAILABILITY'!O826+'RAP TEMPLATE-GAS AVAILABILITY'!P826+'RAP TEMPLATE-GAS AVAILABILITY'!Q826+'RAP TEMPLATE-GAS AVAILABILITY'!R826)</f>
        <v>54.186307913669062</v>
      </c>
    </row>
    <row r="828" spans="1:29" ht="15.75" x14ac:dyDescent="0.25">
      <c r="A828" s="32">
        <v>66111</v>
      </c>
      <c r="B828" s="14">
        <f>CHOOSE(CONTROL!$C$42, 58.4112, 58.4112) * CHOOSE(CONTROL!$C$21, $C$9, 100%, $E$9)</f>
        <v>58.411200000000001</v>
      </c>
      <c r="C828" s="14">
        <f>CHOOSE(CONTROL!$C$42, 58.4162, 58.4162) * CHOOSE(CONTROL!$C$21, $C$9, 100%, $E$9)</f>
        <v>58.416200000000003</v>
      </c>
      <c r="D828" s="14">
        <f>CHOOSE(CONTROL!$C$42, 58.4793, 58.4793) * CHOOSE(CONTROL!$C$21, $C$9, 100%, $E$9)</f>
        <v>58.479300000000002</v>
      </c>
      <c r="E828" s="14">
        <f>CHOOSE(CONTROL!$C$42, 58.513, 58.513) * CHOOSE(CONTROL!$C$21, $C$9, 100%, $E$9)</f>
        <v>58.512999999999998</v>
      </c>
      <c r="F828" s="14">
        <f>CHOOSE(CONTROL!$C$42, 58.414, 58.414)*CHOOSE(CONTROL!$C$21, $C$9, 100%, $E$9)</f>
        <v>58.414000000000001</v>
      </c>
      <c r="G828" s="14">
        <f>CHOOSE(CONTROL!$C$42, 58.4308, 58.4308)*CHOOSE(CONTROL!$C$21, $C$9, 100%, $E$9)</f>
        <v>58.430799999999998</v>
      </c>
      <c r="H828" s="14">
        <f>CHOOSE(CONTROL!$C$42, 58.5022, 58.5022) * CHOOSE(CONTROL!$C$21, $C$9, 100%, $E$9)</f>
        <v>58.502200000000002</v>
      </c>
      <c r="I828" s="14">
        <f>CHOOSE(CONTROL!$C$42, 58.4248, 58.4248)* CHOOSE(CONTROL!$C$21, $C$9, 100%, $E$9)</f>
        <v>58.424799999999998</v>
      </c>
      <c r="J828" s="14">
        <f>CHOOSE(CONTROL!$C$42, 58.407, 58.407)* CHOOSE(CONTROL!$C$21, $C$9, 100%, $E$9)</f>
        <v>58.406999999999996</v>
      </c>
      <c r="K828" s="53">
        <f>CHOOSE(CONTROL!$C$42, 58.4209, 58.4209) * CHOOSE(CONTROL!$C$21, $C$9, 100%, $E$9)</f>
        <v>58.420900000000003</v>
      </c>
      <c r="L828" s="14">
        <f>CHOOSE(CONTROL!$C$42, 59.0892, 59.0892) * CHOOSE(CONTROL!$C$21, $C$9, 100%, $E$9)</f>
        <v>59.089199999999998</v>
      </c>
      <c r="M828" s="14">
        <f>CHOOSE(CONTROL!$C$42, 57.8314, 57.8314) * CHOOSE(CONTROL!$C$21, $C$9, 100%, $E$9)</f>
        <v>57.831400000000002</v>
      </c>
      <c r="N828" s="14">
        <f>CHOOSE(CONTROL!$C$42, 57.848, 57.848) * CHOOSE(CONTROL!$C$21, $C$9, 100%, $E$9)</f>
        <v>57.847999999999999</v>
      </c>
      <c r="O828" s="14">
        <f>CHOOSE(CONTROL!$C$42, 57.9257, 57.9257) * CHOOSE(CONTROL!$C$21, $C$9, 100%, $E$9)</f>
        <v>57.925699999999999</v>
      </c>
      <c r="P828" s="14">
        <f>CHOOSE(CONTROL!$C$42, 57.849, 57.849) * CHOOSE(CONTROL!$C$21, $C$9, 100%, $E$9)</f>
        <v>57.848999999999997</v>
      </c>
      <c r="Q828" s="14">
        <f>CHOOSE(CONTROL!$C$42, 58.521, 58.521) * CHOOSE(CONTROL!$C$21, $C$9, 100%, $E$9)</f>
        <v>58.521000000000001</v>
      </c>
      <c r="R828" s="14">
        <f>CHOOSE(CONTROL!$C$42, 59.2543, 59.2543) * CHOOSE(CONTROL!$C$21, $C$9, 100%, $E$9)</f>
        <v>59.254300000000001</v>
      </c>
      <c r="S828" s="14">
        <f>CHOOSE(CONTROL!$C$42, 56.721, 56.721) * CHOOSE(CONTROL!$C$21, $C$9, 100%, $E$9)</f>
        <v>56.720999999999997</v>
      </c>
      <c r="T82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28" s="57">
        <f>(1000*CHOOSE(CONTROL!$C$42, 695, 695)*CHOOSE(CONTROL!$C$42, 0.5599, 0.5599)*CHOOSE(CONTROL!$C$42, 31, 31))/1000000</f>
        <v>12.063045499999998</v>
      </c>
      <c r="V828" s="57">
        <f>(1000*CHOOSE(CONTROL!$C$42, 500, 500)*CHOOSE(CONTROL!$C$42, 0.275, 0.275)*CHOOSE(CONTROL!$C$42, 31, 31))/1000000</f>
        <v>4.2625000000000002</v>
      </c>
      <c r="W828" s="57">
        <f>(1000*CHOOSE(CONTROL!$C$42, 0.1146, 0.1146)*CHOOSE(CONTROL!$C$42, 121.5, 121.5)*CHOOSE(CONTROL!$C$42, 31, 31))/1000000</f>
        <v>0.43164089999999994</v>
      </c>
      <c r="X828" s="57">
        <f>(31*0.1790888*100000/1000000)+(31*0.2374*100000/1000000)</f>
        <v>1.2911152800000001</v>
      </c>
      <c r="Y828" s="57"/>
      <c r="Z828" s="14"/>
      <c r="AA828" s="56"/>
      <c r="AB828" s="50">
        <f>(B828*122.58+C828*297.941+D828*89.177+E828*40.302+F828*40+G828*160+H828*0+I828*100+J828*300)/(122.58+297.941+89.177+40.302+0+40+160+100+300)</f>
        <v>58.424255132434773</v>
      </c>
      <c r="AC828" s="45">
        <f>(M828*'RAP TEMPLATE-GAS AVAILABILITY'!O827+N828*'RAP TEMPLATE-GAS AVAILABILITY'!P827+O828*'RAP TEMPLATE-GAS AVAILABILITY'!Q827+P828*'RAP TEMPLATE-GAS AVAILABILITY'!R827)/('RAP TEMPLATE-GAS AVAILABILITY'!O827+'RAP TEMPLATE-GAS AVAILABILITY'!P827+'RAP TEMPLATE-GAS AVAILABILITY'!Q827+'RAP TEMPLATE-GAS AVAILABILITY'!R827)</f>
        <v>57.877628057553963</v>
      </c>
    </row>
    <row r="829" spans="1:29" ht="15.75" x14ac:dyDescent="0.25">
      <c r="A829" s="32">
        <v>66142</v>
      </c>
      <c r="B829" s="14">
        <f>CHOOSE(CONTROL!$C$42, 63.197, 63.197) * CHOOSE(CONTROL!$C$21, $C$9, 100%, $E$9)</f>
        <v>63.197000000000003</v>
      </c>
      <c r="C829" s="14">
        <f>CHOOSE(CONTROL!$C$42, 63.202, 63.202) * CHOOSE(CONTROL!$C$21, $C$9, 100%, $E$9)</f>
        <v>63.201999999999998</v>
      </c>
      <c r="D829" s="14">
        <f>CHOOSE(CONTROL!$C$42, 63.2663, 63.2663) * CHOOSE(CONTROL!$C$21, $C$9, 100%, $E$9)</f>
        <v>63.266300000000001</v>
      </c>
      <c r="E829" s="14">
        <f>CHOOSE(CONTROL!$C$42, 63.3, 63.3) * CHOOSE(CONTROL!$C$21, $C$9, 100%, $E$9)</f>
        <v>63.3</v>
      </c>
      <c r="F829" s="14">
        <f>CHOOSE(CONTROL!$C$42, 63.1986, 63.1986)*CHOOSE(CONTROL!$C$21, $C$9, 100%, $E$9)</f>
        <v>63.198599999999999</v>
      </c>
      <c r="G829" s="14">
        <f>CHOOSE(CONTROL!$C$42, 63.2145, 63.2145)*CHOOSE(CONTROL!$C$21, $C$9, 100%, $E$9)</f>
        <v>63.214500000000001</v>
      </c>
      <c r="H829" s="14">
        <f>CHOOSE(CONTROL!$C$42, 63.2892, 63.2892) * CHOOSE(CONTROL!$C$21, $C$9, 100%, $E$9)</f>
        <v>63.289200000000001</v>
      </c>
      <c r="I829" s="14">
        <f>CHOOSE(CONTROL!$C$42, 63.217, 63.217)* CHOOSE(CONTROL!$C$21, $C$9, 100%, $E$9)</f>
        <v>63.216999999999999</v>
      </c>
      <c r="J829" s="14">
        <f>CHOOSE(CONTROL!$C$42, 63.1916, 63.1916)* CHOOSE(CONTROL!$C$21, $C$9, 100%, $E$9)</f>
        <v>63.191600000000001</v>
      </c>
      <c r="K829" s="53">
        <f>CHOOSE(CONTROL!$C$42, 63.2131, 63.2131) * CHOOSE(CONTROL!$C$21, $C$9, 100%, $E$9)</f>
        <v>63.213099999999997</v>
      </c>
      <c r="L829" s="14">
        <f>CHOOSE(CONTROL!$C$42, 63.8762, 63.8762) * CHOOSE(CONTROL!$C$21, $C$9, 100%, $E$9)</f>
        <v>63.876199999999997</v>
      </c>
      <c r="M829" s="14">
        <f>CHOOSE(CONTROL!$C$42, 62.5677, 62.5677) * CHOOSE(CONTROL!$C$21, $C$9, 100%, $E$9)</f>
        <v>62.567700000000002</v>
      </c>
      <c r="N829" s="14">
        <f>CHOOSE(CONTROL!$C$42, 62.5834, 62.5834) * CHOOSE(CONTROL!$C$21, $C$9, 100%, $E$9)</f>
        <v>62.583399999999997</v>
      </c>
      <c r="O829" s="14">
        <f>CHOOSE(CONTROL!$C$42, 62.6644, 62.6644) * CHOOSE(CONTROL!$C$21, $C$9, 100%, $E$9)</f>
        <v>62.664400000000001</v>
      </c>
      <c r="P829" s="14">
        <f>CHOOSE(CONTROL!$C$42, 62.5929, 62.5929) * CHOOSE(CONTROL!$C$21, $C$9, 100%, $E$9)</f>
        <v>62.5929</v>
      </c>
      <c r="Q829" s="14">
        <f>CHOOSE(CONTROL!$C$42, 63.2597, 63.2597) * CHOOSE(CONTROL!$C$21, $C$9, 100%, $E$9)</f>
        <v>63.259700000000002</v>
      </c>
      <c r="R829" s="14">
        <f>CHOOSE(CONTROL!$C$42, 64.0048, 64.0048) * CHOOSE(CONTROL!$C$21, $C$9, 100%, $E$9)</f>
        <v>64.004800000000003</v>
      </c>
      <c r="S829" s="14">
        <f>CHOOSE(CONTROL!$C$42, 61.3685, 61.3685) * CHOOSE(CONTROL!$C$21, $C$9, 100%, $E$9)</f>
        <v>61.368499999999997</v>
      </c>
      <c r="T82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29" s="57">
        <f>(1000*CHOOSE(CONTROL!$C$42, 695, 695)*CHOOSE(CONTROL!$C$42, 0.5599, 0.5599)*CHOOSE(CONTROL!$C$42, 31, 31))/1000000</f>
        <v>12.063045499999998</v>
      </c>
      <c r="V829" s="57">
        <f>(1000*CHOOSE(CONTROL!$C$42, 500, 500)*CHOOSE(CONTROL!$C$42, 0.275, 0.275)*CHOOSE(CONTROL!$C$42, 31, 31))/1000000</f>
        <v>4.2625000000000002</v>
      </c>
      <c r="W829" s="57">
        <f>(1000*CHOOSE(CONTROL!$C$42, 0.1146, 0.1146)*CHOOSE(CONTROL!$C$42, 121.5, 121.5)*CHOOSE(CONTROL!$C$42, 31, 31))/1000000</f>
        <v>0.43164089999999994</v>
      </c>
      <c r="X829" s="57">
        <f>(31*0.1790888*100000/1000000)+(31*0.2374*100000/1000000)</f>
        <v>1.2911152800000001</v>
      </c>
      <c r="Y829" s="57"/>
      <c r="Z829" s="14"/>
      <c r="AA829" s="56"/>
      <c r="AB829" s="50">
        <f>(B829*122.58+C829*297.941+D829*89.177+E829*40.302+F829*40+G829*160+H829*0+I829*100+J829*300)/(122.58+297.941+89.177+40.302+0+40+160+100+300)</f>
        <v>63.210099806173908</v>
      </c>
      <c r="AC829" s="45">
        <f>(M829*'RAP TEMPLATE-GAS AVAILABILITY'!O828+N829*'RAP TEMPLATE-GAS AVAILABILITY'!P828+O829*'RAP TEMPLATE-GAS AVAILABILITY'!Q828+P829*'RAP TEMPLATE-GAS AVAILABILITY'!R828)/('RAP TEMPLATE-GAS AVAILABILITY'!O828+'RAP TEMPLATE-GAS AVAILABILITY'!P828+'RAP TEMPLATE-GAS AVAILABILITY'!Q828+'RAP TEMPLATE-GAS AVAILABILITY'!R828)</f>
        <v>62.616057553956828</v>
      </c>
    </row>
    <row r="830" spans="1:29" ht="15.75" x14ac:dyDescent="0.25">
      <c r="A830" s="32">
        <v>66170</v>
      </c>
      <c r="B830" s="14">
        <f>CHOOSE(CONTROL!$C$42, 64.322, 64.322) * CHOOSE(CONTROL!$C$21, $C$9, 100%, $E$9)</f>
        <v>64.322000000000003</v>
      </c>
      <c r="C830" s="14">
        <f>CHOOSE(CONTROL!$C$42, 64.3269, 64.3269) * CHOOSE(CONTROL!$C$21, $C$9, 100%, $E$9)</f>
        <v>64.326899999999995</v>
      </c>
      <c r="D830" s="14">
        <f>CHOOSE(CONTROL!$C$42, 64.3912, 64.3912) * CHOOSE(CONTROL!$C$21, $C$9, 100%, $E$9)</f>
        <v>64.391199999999998</v>
      </c>
      <c r="E830" s="14">
        <f>CHOOSE(CONTROL!$C$42, 64.425, 64.425) * CHOOSE(CONTROL!$C$21, $C$9, 100%, $E$9)</f>
        <v>64.424999999999997</v>
      </c>
      <c r="F830" s="14">
        <f>CHOOSE(CONTROL!$C$42, 64.3236, 64.3236)*CHOOSE(CONTROL!$C$21, $C$9, 100%, $E$9)</f>
        <v>64.323599999999999</v>
      </c>
      <c r="G830" s="14">
        <f>CHOOSE(CONTROL!$C$42, 64.3395, 64.3395)*CHOOSE(CONTROL!$C$21, $C$9, 100%, $E$9)</f>
        <v>64.339500000000001</v>
      </c>
      <c r="H830" s="14">
        <f>CHOOSE(CONTROL!$C$42, 64.4142, 64.4142) * CHOOSE(CONTROL!$C$21, $C$9, 100%, $E$9)</f>
        <v>64.414199999999994</v>
      </c>
      <c r="I830" s="14">
        <f>CHOOSE(CONTROL!$C$42, 64.342, 64.342)* CHOOSE(CONTROL!$C$21, $C$9, 100%, $E$9)</f>
        <v>64.341999999999999</v>
      </c>
      <c r="J830" s="14">
        <f>CHOOSE(CONTROL!$C$42, 64.3166, 64.3166)* CHOOSE(CONTROL!$C$21, $C$9, 100%, $E$9)</f>
        <v>64.316599999999994</v>
      </c>
      <c r="K830" s="53">
        <f>CHOOSE(CONTROL!$C$42, 64.3381, 64.3381) * CHOOSE(CONTROL!$C$21, $C$9, 100%, $E$9)</f>
        <v>64.338099999999997</v>
      </c>
      <c r="L830" s="14">
        <f>CHOOSE(CONTROL!$C$42, 65.0012, 65.0012) * CHOOSE(CONTROL!$C$21, $C$9, 100%, $E$9)</f>
        <v>65.001199999999997</v>
      </c>
      <c r="M830" s="14">
        <f>CHOOSE(CONTROL!$C$42, 63.6813, 63.6813) * CHOOSE(CONTROL!$C$21, $C$9, 100%, $E$9)</f>
        <v>63.6813</v>
      </c>
      <c r="N830" s="14">
        <f>CHOOSE(CONTROL!$C$42, 63.6971, 63.6971) * CHOOSE(CONTROL!$C$21, $C$9, 100%, $E$9)</f>
        <v>63.697099999999999</v>
      </c>
      <c r="O830" s="14">
        <f>CHOOSE(CONTROL!$C$42, 63.778, 63.778) * CHOOSE(CONTROL!$C$21, $C$9, 100%, $E$9)</f>
        <v>63.777999999999999</v>
      </c>
      <c r="P830" s="14">
        <f>CHOOSE(CONTROL!$C$42, 63.7065, 63.7065) * CHOOSE(CONTROL!$C$21, $C$9, 100%, $E$9)</f>
        <v>63.706499999999998</v>
      </c>
      <c r="Q830" s="14">
        <f>CHOOSE(CONTROL!$C$42, 64.3733, 64.3733) * CHOOSE(CONTROL!$C$21, $C$9, 100%, $E$9)</f>
        <v>64.3733</v>
      </c>
      <c r="R830" s="14">
        <f>CHOOSE(CONTROL!$C$42, 65.1212, 65.1212) * CHOOSE(CONTROL!$C$21, $C$9, 100%, $E$9)</f>
        <v>65.121200000000002</v>
      </c>
      <c r="S830" s="14">
        <f>CHOOSE(CONTROL!$C$42, 62.4609, 62.4609) * CHOOSE(CONTROL!$C$21, $C$9, 100%, $E$9)</f>
        <v>62.460900000000002</v>
      </c>
      <c r="T83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30" s="57">
        <f>(1000*CHOOSE(CONTROL!$C$42, 695, 695)*CHOOSE(CONTROL!$C$42, 0.5599, 0.5599)*CHOOSE(CONTROL!$C$42, 28, 28))/1000000</f>
        <v>10.895653999999999</v>
      </c>
      <c r="V830" s="57">
        <f>(1000*CHOOSE(CONTROL!$C$42, 500, 500)*CHOOSE(CONTROL!$C$42, 0.275, 0.275)*CHOOSE(CONTROL!$C$42, 28, 28))/1000000</f>
        <v>3.85</v>
      </c>
      <c r="W830" s="57">
        <f>(1000*CHOOSE(CONTROL!$C$42, 0.1146, 0.1146)*CHOOSE(CONTROL!$C$42, 121.5, 121.5)*CHOOSE(CONTROL!$C$42, 28, 28))/1000000</f>
        <v>0.38986920000000003</v>
      </c>
      <c r="X830" s="57">
        <f>(28*0.1790888*100000/1000000)+(28*0.2374*100000/1000000)</f>
        <v>1.16616864</v>
      </c>
      <c r="Y830" s="57"/>
      <c r="Z830" s="14"/>
      <c r="AA830" s="56"/>
      <c r="AB830" s="50">
        <f>(B830*122.58+C830*297.941+D830*89.177+E830*40.302+F830*40+G830*160+H830*0+I830*100+J830*300)/(122.58+297.941+89.177+40.302+0+40+160+100+300)</f>
        <v>64.335066143739127</v>
      </c>
      <c r="AC830" s="45">
        <f>(M830*'RAP TEMPLATE-GAS AVAILABILITY'!O829+N830*'RAP TEMPLATE-GAS AVAILABILITY'!P829+O830*'RAP TEMPLATE-GAS AVAILABILITY'!Q829+P830*'RAP TEMPLATE-GAS AVAILABILITY'!R829)/('RAP TEMPLATE-GAS AVAILABILITY'!O829+'RAP TEMPLATE-GAS AVAILABILITY'!P829+'RAP TEMPLATE-GAS AVAILABILITY'!Q829+'RAP TEMPLATE-GAS AVAILABILITY'!R829)</f>
        <v>63.729663309352517</v>
      </c>
    </row>
    <row r="831" spans="1:29" ht="15.75" x14ac:dyDescent="0.25">
      <c r="A831" s="32">
        <v>66201</v>
      </c>
      <c r="B831" s="14">
        <f>CHOOSE(CONTROL!$C$42, 62.4959, 62.4959) * CHOOSE(CONTROL!$C$21, $C$9, 100%, $E$9)</f>
        <v>62.495899999999999</v>
      </c>
      <c r="C831" s="14">
        <f>CHOOSE(CONTROL!$C$42, 62.5009, 62.5009) * CHOOSE(CONTROL!$C$21, $C$9, 100%, $E$9)</f>
        <v>62.500900000000001</v>
      </c>
      <c r="D831" s="14">
        <f>CHOOSE(CONTROL!$C$42, 62.5652, 62.5652) * CHOOSE(CONTROL!$C$21, $C$9, 100%, $E$9)</f>
        <v>62.565199999999997</v>
      </c>
      <c r="E831" s="14">
        <f>CHOOSE(CONTROL!$C$42, 62.5989, 62.5989) * CHOOSE(CONTROL!$C$21, $C$9, 100%, $E$9)</f>
        <v>62.5989</v>
      </c>
      <c r="F831" s="14">
        <f>CHOOSE(CONTROL!$C$42, 62.4972, 62.4972)*CHOOSE(CONTROL!$C$21, $C$9, 100%, $E$9)</f>
        <v>62.497199999999999</v>
      </c>
      <c r="G831" s="14">
        <f>CHOOSE(CONTROL!$C$42, 62.513, 62.513)*CHOOSE(CONTROL!$C$21, $C$9, 100%, $E$9)</f>
        <v>62.512999999999998</v>
      </c>
      <c r="H831" s="14">
        <f>CHOOSE(CONTROL!$C$42, 62.5881, 62.5881) * CHOOSE(CONTROL!$C$21, $C$9, 100%, $E$9)</f>
        <v>62.588099999999997</v>
      </c>
      <c r="I831" s="14">
        <f>CHOOSE(CONTROL!$C$42, 62.5159, 62.5159)* CHOOSE(CONTROL!$C$21, $C$9, 100%, $E$9)</f>
        <v>62.515900000000002</v>
      </c>
      <c r="J831" s="14">
        <f>CHOOSE(CONTROL!$C$42, 62.4902, 62.4902)* CHOOSE(CONTROL!$C$21, $C$9, 100%, $E$9)</f>
        <v>62.490200000000002</v>
      </c>
      <c r="K831" s="53">
        <f>CHOOSE(CONTROL!$C$42, 62.512, 62.512) * CHOOSE(CONTROL!$C$21, $C$9, 100%, $E$9)</f>
        <v>62.512</v>
      </c>
      <c r="L831" s="14">
        <f>CHOOSE(CONTROL!$C$42, 63.1751, 63.1751) * CHOOSE(CONTROL!$C$21, $C$9, 100%, $E$9)</f>
        <v>63.1751</v>
      </c>
      <c r="M831" s="14">
        <f>CHOOSE(CONTROL!$C$42, 61.8734, 61.8734) * CHOOSE(CONTROL!$C$21, $C$9, 100%, $E$9)</f>
        <v>61.873399999999997</v>
      </c>
      <c r="N831" s="14">
        <f>CHOOSE(CONTROL!$C$42, 61.8891, 61.8891) * CHOOSE(CONTROL!$C$21, $C$9, 100%, $E$9)</f>
        <v>61.889099999999999</v>
      </c>
      <c r="O831" s="14">
        <f>CHOOSE(CONTROL!$C$42, 61.9703, 61.9703) * CHOOSE(CONTROL!$C$21, $C$9, 100%, $E$9)</f>
        <v>61.970300000000002</v>
      </c>
      <c r="P831" s="14">
        <f>CHOOSE(CONTROL!$C$42, 61.8989, 61.8989) * CHOOSE(CONTROL!$C$21, $C$9, 100%, $E$9)</f>
        <v>61.898899999999998</v>
      </c>
      <c r="Q831" s="14">
        <f>CHOOSE(CONTROL!$C$42, 62.5656, 62.5656) * CHOOSE(CONTROL!$C$21, $C$9, 100%, $E$9)</f>
        <v>62.565600000000003</v>
      </c>
      <c r="R831" s="14">
        <f>CHOOSE(CONTROL!$C$42, 63.309, 63.309) * CHOOSE(CONTROL!$C$21, $C$9, 100%, $E$9)</f>
        <v>63.308999999999997</v>
      </c>
      <c r="S831" s="14">
        <f>CHOOSE(CONTROL!$C$42, 60.6877, 60.6877) * CHOOSE(CONTROL!$C$21, $C$9, 100%, $E$9)</f>
        <v>60.6877</v>
      </c>
      <c r="T83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31" s="57">
        <f>(1000*CHOOSE(CONTROL!$C$42, 695, 695)*CHOOSE(CONTROL!$C$42, 0.5599, 0.5599)*CHOOSE(CONTROL!$C$42, 31, 31))/1000000</f>
        <v>12.063045499999998</v>
      </c>
      <c r="V831" s="57">
        <f>(1000*CHOOSE(CONTROL!$C$42, 500, 500)*CHOOSE(CONTROL!$C$42, 0.275, 0.275)*CHOOSE(CONTROL!$C$42, 31, 31))/1000000</f>
        <v>4.2625000000000002</v>
      </c>
      <c r="W831" s="57">
        <f>(1000*CHOOSE(CONTROL!$C$42, 0.1146, 0.1146)*CHOOSE(CONTROL!$C$42, 121.5, 121.5)*CHOOSE(CONTROL!$C$42, 31, 31))/1000000</f>
        <v>0.43164089999999994</v>
      </c>
      <c r="X831" s="57">
        <f>(31*0.1790888*100000/1000000)+(31*0.2374*100000/1000000)</f>
        <v>1.2911152800000001</v>
      </c>
      <c r="Y831" s="57"/>
      <c r="Z831" s="14"/>
      <c r="AA831" s="56"/>
      <c r="AB831" s="50">
        <f>(B831*122.58+C831*297.941+D831*89.177+E831*40.302+F831*40+G831*160+H831*0+I831*100+J831*300)/(122.58+297.941+89.177+40.302+0+40+160+100+300)</f>
        <v>62.508855458347824</v>
      </c>
      <c r="AC831" s="45">
        <f>(M831*'RAP TEMPLATE-GAS AVAILABILITY'!O830+N831*'RAP TEMPLATE-GAS AVAILABILITY'!P830+O831*'RAP TEMPLATE-GAS AVAILABILITY'!Q830+P831*'RAP TEMPLATE-GAS AVAILABILITY'!R830)/('RAP TEMPLATE-GAS AVAILABILITY'!O830+'RAP TEMPLATE-GAS AVAILABILITY'!P830+'RAP TEMPLATE-GAS AVAILABILITY'!Q830+'RAP TEMPLATE-GAS AVAILABILITY'!R830)</f>
        <v>61.921891366906479</v>
      </c>
    </row>
    <row r="832" spans="1:29" ht="15.75" x14ac:dyDescent="0.25">
      <c r="A832" s="32">
        <v>66231</v>
      </c>
      <c r="B832" s="14">
        <f>CHOOSE(CONTROL!$C$42, 62.31, 62.31) * CHOOSE(CONTROL!$C$21, $C$9, 100%, $E$9)</f>
        <v>62.31</v>
      </c>
      <c r="C832" s="14">
        <f>CHOOSE(CONTROL!$C$42, 62.3144, 62.3144) * CHOOSE(CONTROL!$C$21, $C$9, 100%, $E$9)</f>
        <v>62.314399999999999</v>
      </c>
      <c r="D832" s="14">
        <f>CHOOSE(CONTROL!$C$42, 62.5151, 62.5151) * CHOOSE(CONTROL!$C$21, $C$9, 100%, $E$9)</f>
        <v>62.515099999999997</v>
      </c>
      <c r="E832" s="14">
        <f>CHOOSE(CONTROL!$C$42, 62.5469, 62.5469) * CHOOSE(CONTROL!$C$21, $C$9, 100%, $E$9)</f>
        <v>62.546900000000001</v>
      </c>
      <c r="F832" s="14">
        <f>CHOOSE(CONTROL!$C$42, 62.2946, 62.2946)*CHOOSE(CONTROL!$C$21, $C$9, 100%, $E$9)</f>
        <v>62.294600000000003</v>
      </c>
      <c r="G832" s="14">
        <f>CHOOSE(CONTROL!$C$42, 62.3102, 62.3102)*CHOOSE(CONTROL!$C$21, $C$9, 100%, $E$9)</f>
        <v>62.310200000000002</v>
      </c>
      <c r="H832" s="14">
        <f>CHOOSE(CONTROL!$C$42, 62.5366, 62.5366) * CHOOSE(CONTROL!$C$21, $C$9, 100%, $E$9)</f>
        <v>62.5366</v>
      </c>
      <c r="I832" s="14">
        <f>CHOOSE(CONTROL!$C$42, 62.3227, 62.3227)* CHOOSE(CONTROL!$C$21, $C$9, 100%, $E$9)</f>
        <v>62.322699999999998</v>
      </c>
      <c r="J832" s="14">
        <f>CHOOSE(CONTROL!$C$42, 62.2876, 62.2876)* CHOOSE(CONTROL!$C$21, $C$9, 100%, $E$9)</f>
        <v>62.287599999999998</v>
      </c>
      <c r="K832" s="53">
        <f>CHOOSE(CONTROL!$C$42, 62.3188, 62.3188) * CHOOSE(CONTROL!$C$21, $C$9, 100%, $E$9)</f>
        <v>62.318800000000003</v>
      </c>
      <c r="L832" s="14">
        <f>CHOOSE(CONTROL!$C$42, 63.1236, 63.1236) * CHOOSE(CONTROL!$C$21, $C$9, 100%, $E$9)</f>
        <v>63.123600000000003</v>
      </c>
      <c r="M832" s="14">
        <f>CHOOSE(CONTROL!$C$42, 61.6728, 61.6728) * CHOOSE(CONTROL!$C$21, $C$9, 100%, $E$9)</f>
        <v>61.672800000000002</v>
      </c>
      <c r="N832" s="14">
        <f>CHOOSE(CONTROL!$C$42, 61.6883, 61.6883) * CHOOSE(CONTROL!$C$21, $C$9, 100%, $E$9)</f>
        <v>61.688299999999998</v>
      </c>
      <c r="O832" s="14">
        <f>CHOOSE(CONTROL!$C$42, 61.9194, 61.9194) * CHOOSE(CONTROL!$C$21, $C$9, 100%, $E$9)</f>
        <v>61.919400000000003</v>
      </c>
      <c r="P832" s="14">
        <f>CHOOSE(CONTROL!$C$42, 61.7077, 61.7077) * CHOOSE(CONTROL!$C$21, $C$9, 100%, $E$9)</f>
        <v>61.707700000000003</v>
      </c>
      <c r="Q832" s="14">
        <f>CHOOSE(CONTROL!$C$42, 62.5147, 62.5147) * CHOOSE(CONTROL!$C$21, $C$9, 100%, $E$9)</f>
        <v>62.514699999999998</v>
      </c>
      <c r="R832" s="14">
        <f>CHOOSE(CONTROL!$C$42, 63.258, 63.258) * CHOOSE(CONTROL!$C$21, $C$9, 100%, $E$9)</f>
        <v>63.258000000000003</v>
      </c>
      <c r="S832" s="14">
        <f>CHOOSE(CONTROL!$C$42, 60.5063, 60.5063) * CHOOSE(CONTROL!$C$21, $C$9, 100%, $E$9)</f>
        <v>60.506300000000003</v>
      </c>
      <c r="T83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32" s="57">
        <f>(1000*CHOOSE(CONTROL!$C$42, 695, 695)*CHOOSE(CONTROL!$C$42, 0.5599, 0.5599)*CHOOSE(CONTROL!$C$42, 30, 30))/1000000</f>
        <v>11.673914999999997</v>
      </c>
      <c r="V832" s="57">
        <f>(1000*CHOOSE(CONTROL!$C$42, 500, 500)*CHOOSE(CONTROL!$C$42, 0.275, 0.275)*CHOOSE(CONTROL!$C$42, 30, 30))/1000000</f>
        <v>4.125</v>
      </c>
      <c r="W832" s="57">
        <f>(1000*CHOOSE(CONTROL!$C$42, 0.1146, 0.1146)*CHOOSE(CONTROL!$C$42, 121.5, 121.5)*CHOOSE(CONTROL!$C$42, 30, 30))/1000000</f>
        <v>0.417717</v>
      </c>
      <c r="X832" s="57">
        <f>(30*0.1790888*245000/1000000)+(30*0.2374*100000/1000000)</f>
        <v>2.0285026799999999</v>
      </c>
      <c r="Y832" s="57"/>
      <c r="Z832" s="14"/>
      <c r="AA832" s="56"/>
      <c r="AB832" s="50">
        <f>(B832*141.293+C832*267.993+D832*115.016+E832*89.698+F832*40+G832*185+H832*0+I832*100+J832*300)/(141.293+267.993+115.016+89.698+0+40+185+100+300)</f>
        <v>62.342275550443901</v>
      </c>
      <c r="AC832" s="45">
        <f>(M832*'RAP TEMPLATE-GAS AVAILABILITY'!O831+N832*'RAP TEMPLATE-GAS AVAILABILITY'!P831+O832*'RAP TEMPLATE-GAS AVAILABILITY'!Q831+P832*'RAP TEMPLATE-GAS AVAILABILITY'!R831)/('RAP TEMPLATE-GAS AVAILABILITY'!O831+'RAP TEMPLATE-GAS AVAILABILITY'!P831+'RAP TEMPLATE-GAS AVAILABILITY'!Q831+'RAP TEMPLATE-GAS AVAILABILITY'!R831)</f>
        <v>61.790482014388502</v>
      </c>
    </row>
    <row r="833" spans="1:29" ht="15.75" x14ac:dyDescent="0.25">
      <c r="A833" s="32">
        <v>66262</v>
      </c>
      <c r="B833" s="14">
        <f>CHOOSE(CONTROL!$C$42, 62.8613, 62.8613) * CHOOSE(CONTROL!$C$21, $C$9, 100%, $E$9)</f>
        <v>62.8613</v>
      </c>
      <c r="C833" s="14">
        <f>CHOOSE(CONTROL!$C$42, 62.8692, 62.8692) * CHOOSE(CONTROL!$C$21, $C$9, 100%, $E$9)</f>
        <v>62.869199999999999</v>
      </c>
      <c r="D833" s="14">
        <f>CHOOSE(CONTROL!$C$42, 63.0668, 63.0668) * CHOOSE(CONTROL!$C$21, $C$9, 100%, $E$9)</f>
        <v>63.066800000000001</v>
      </c>
      <c r="E833" s="14">
        <f>CHOOSE(CONTROL!$C$42, 63.0979, 63.0979) * CHOOSE(CONTROL!$C$21, $C$9, 100%, $E$9)</f>
        <v>63.097900000000003</v>
      </c>
      <c r="F833" s="14">
        <f>CHOOSE(CONTROL!$C$42, 62.8447, 62.8447)*CHOOSE(CONTROL!$C$21, $C$9, 100%, $E$9)</f>
        <v>62.844700000000003</v>
      </c>
      <c r="G833" s="14">
        <f>CHOOSE(CONTROL!$C$42, 62.8608, 62.8608)*CHOOSE(CONTROL!$C$21, $C$9, 100%, $E$9)</f>
        <v>62.860799999999998</v>
      </c>
      <c r="H833" s="14">
        <f>CHOOSE(CONTROL!$C$42, 63.0866, 63.0866) * CHOOSE(CONTROL!$C$21, $C$9, 100%, $E$9)</f>
        <v>63.086599999999997</v>
      </c>
      <c r="I833" s="14">
        <f>CHOOSE(CONTROL!$C$42, 62.8727, 62.8727)* CHOOSE(CONTROL!$C$21, $C$9, 100%, $E$9)</f>
        <v>62.872700000000002</v>
      </c>
      <c r="J833" s="14">
        <f>CHOOSE(CONTROL!$C$42, 62.8377, 62.8377)* CHOOSE(CONTROL!$C$21, $C$9, 100%, $E$9)</f>
        <v>62.837699999999998</v>
      </c>
      <c r="K833" s="53">
        <f>CHOOSE(CONTROL!$C$42, 62.8688, 62.8688) * CHOOSE(CONTROL!$C$21, $C$9, 100%, $E$9)</f>
        <v>62.8688</v>
      </c>
      <c r="L833" s="14">
        <f>CHOOSE(CONTROL!$C$42, 63.6736, 63.6736) * CHOOSE(CONTROL!$C$21, $C$9, 100%, $E$9)</f>
        <v>63.6736</v>
      </c>
      <c r="M833" s="14">
        <f>CHOOSE(CONTROL!$C$42, 62.2174, 62.2174) * CHOOSE(CONTROL!$C$21, $C$9, 100%, $E$9)</f>
        <v>62.217399999999998</v>
      </c>
      <c r="N833" s="14">
        <f>CHOOSE(CONTROL!$C$42, 62.2333, 62.2333) * CHOOSE(CONTROL!$C$21, $C$9, 100%, $E$9)</f>
        <v>62.2333</v>
      </c>
      <c r="O833" s="14">
        <f>CHOOSE(CONTROL!$C$42, 62.4637, 62.4637) * CHOOSE(CONTROL!$C$21, $C$9, 100%, $E$9)</f>
        <v>62.463700000000003</v>
      </c>
      <c r="P833" s="14">
        <f>CHOOSE(CONTROL!$C$42, 62.252, 62.252) * CHOOSE(CONTROL!$C$21, $C$9, 100%, $E$9)</f>
        <v>62.252000000000002</v>
      </c>
      <c r="Q833" s="14">
        <f>CHOOSE(CONTROL!$C$42, 63.059, 63.059) * CHOOSE(CONTROL!$C$21, $C$9, 100%, $E$9)</f>
        <v>63.058999999999997</v>
      </c>
      <c r="R833" s="14">
        <f>CHOOSE(CONTROL!$C$42, 63.8037, 63.8037) * CHOOSE(CONTROL!$C$21, $C$9, 100%, $E$9)</f>
        <v>63.803699999999999</v>
      </c>
      <c r="S833" s="14">
        <f>CHOOSE(CONTROL!$C$42, 61.0404, 61.0404) * CHOOSE(CONTROL!$C$21, $C$9, 100%, $E$9)</f>
        <v>61.040399999999998</v>
      </c>
      <c r="T83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33" s="57">
        <f>(1000*CHOOSE(CONTROL!$C$42, 695, 695)*CHOOSE(CONTROL!$C$42, 0.5599, 0.5599)*CHOOSE(CONTROL!$C$42, 31, 31))/1000000</f>
        <v>12.063045499999998</v>
      </c>
      <c r="V833" s="57">
        <f>(1000*CHOOSE(CONTROL!$C$42, 500, 500)*CHOOSE(CONTROL!$C$42, 0.275, 0.275)*CHOOSE(CONTROL!$C$42, 31, 31))/1000000</f>
        <v>4.2625000000000002</v>
      </c>
      <c r="W833" s="57">
        <f>(1000*CHOOSE(CONTROL!$C$42, 0.1146, 0.1146)*CHOOSE(CONTROL!$C$42, 121.5, 121.5)*CHOOSE(CONTROL!$C$42, 31, 31))/1000000</f>
        <v>0.43164089999999994</v>
      </c>
      <c r="X833" s="57">
        <f>(31*0.1790888*245000/1000000)+(31*0.2374*100000/1000000)</f>
        <v>2.0961194359999999</v>
      </c>
      <c r="Y833" s="57"/>
      <c r="Z833" s="14"/>
      <c r="AA833" s="56"/>
      <c r="AB833" s="50">
        <f>(B833*194.205+C833*267.466+D833*133.845+E833*53.484+F833*40+G833*185+H833*0+I833*100+J833*300)/(194.205+267.466+133.845+53.484+0+40+185+100+300)</f>
        <v>62.8892246022763</v>
      </c>
      <c r="AC833" s="45">
        <f>(M833*'RAP TEMPLATE-GAS AVAILABILITY'!O832+N833*'RAP TEMPLATE-GAS AVAILABILITY'!P832+O833*'RAP TEMPLATE-GAS AVAILABILITY'!Q832+P833*'RAP TEMPLATE-GAS AVAILABILITY'!R832)/('RAP TEMPLATE-GAS AVAILABILITY'!O832+'RAP TEMPLATE-GAS AVAILABILITY'!P832+'RAP TEMPLATE-GAS AVAILABILITY'!Q832+'RAP TEMPLATE-GAS AVAILABILITY'!R832)</f>
        <v>62.33492589928057</v>
      </c>
    </row>
    <row r="834" spans="1:29" ht="15.75" x14ac:dyDescent="0.25">
      <c r="A834" s="32">
        <v>66292</v>
      </c>
      <c r="B834" s="14">
        <f>CHOOSE(CONTROL!$C$42, 64.6443, 64.6443) * CHOOSE(CONTROL!$C$21, $C$9, 100%, $E$9)</f>
        <v>64.644300000000001</v>
      </c>
      <c r="C834" s="14">
        <f>CHOOSE(CONTROL!$C$42, 64.6522, 64.6522) * CHOOSE(CONTROL!$C$21, $C$9, 100%, $E$9)</f>
        <v>64.652199999999993</v>
      </c>
      <c r="D834" s="14">
        <f>CHOOSE(CONTROL!$C$42, 64.8498, 64.8498) * CHOOSE(CONTROL!$C$21, $C$9, 100%, $E$9)</f>
        <v>64.849800000000002</v>
      </c>
      <c r="E834" s="14">
        <f>CHOOSE(CONTROL!$C$42, 64.8809, 64.8809) * CHOOSE(CONTROL!$C$21, $C$9, 100%, $E$9)</f>
        <v>64.880899999999997</v>
      </c>
      <c r="F834" s="14">
        <f>CHOOSE(CONTROL!$C$42, 64.6281, 64.6281)*CHOOSE(CONTROL!$C$21, $C$9, 100%, $E$9)</f>
        <v>64.628100000000003</v>
      </c>
      <c r="G834" s="14">
        <f>CHOOSE(CONTROL!$C$42, 64.6443, 64.6443)*CHOOSE(CONTROL!$C$21, $C$9, 100%, $E$9)</f>
        <v>64.644300000000001</v>
      </c>
      <c r="H834" s="14">
        <f>CHOOSE(CONTROL!$C$42, 64.8696, 64.8696) * CHOOSE(CONTROL!$C$21, $C$9, 100%, $E$9)</f>
        <v>64.869600000000005</v>
      </c>
      <c r="I834" s="14">
        <f>CHOOSE(CONTROL!$C$42, 64.6557, 64.6557)* CHOOSE(CONTROL!$C$21, $C$9, 100%, $E$9)</f>
        <v>64.655699999999996</v>
      </c>
      <c r="J834" s="14">
        <f>CHOOSE(CONTROL!$C$42, 64.6211, 64.6211)* CHOOSE(CONTROL!$C$21, $C$9, 100%, $E$9)</f>
        <v>64.621099999999998</v>
      </c>
      <c r="K834" s="53">
        <f>CHOOSE(CONTROL!$C$42, 64.6518, 64.6518) * CHOOSE(CONTROL!$C$21, $C$9, 100%, $E$9)</f>
        <v>64.651799999999994</v>
      </c>
      <c r="L834" s="14">
        <f>CHOOSE(CONTROL!$C$42, 65.4566, 65.4566) * CHOOSE(CONTROL!$C$21, $C$9, 100%, $E$9)</f>
        <v>65.456599999999995</v>
      </c>
      <c r="M834" s="14">
        <f>CHOOSE(CONTROL!$C$42, 63.9828, 63.9828) * CHOOSE(CONTROL!$C$21, $C$9, 100%, $E$9)</f>
        <v>63.982799999999997</v>
      </c>
      <c r="N834" s="14">
        <f>CHOOSE(CONTROL!$C$42, 63.9988, 63.9988) * CHOOSE(CONTROL!$C$21, $C$9, 100%, $E$9)</f>
        <v>63.998800000000003</v>
      </c>
      <c r="O834" s="14">
        <f>CHOOSE(CONTROL!$C$42, 64.2287, 64.2287) * CHOOSE(CONTROL!$C$21, $C$9, 100%, $E$9)</f>
        <v>64.228700000000003</v>
      </c>
      <c r="P834" s="14">
        <f>CHOOSE(CONTROL!$C$42, 64.017, 64.017) * CHOOSE(CONTROL!$C$21, $C$9, 100%, $E$9)</f>
        <v>64.016999999999996</v>
      </c>
      <c r="Q834" s="14">
        <f>CHOOSE(CONTROL!$C$42, 64.824, 64.824) * CHOOSE(CONTROL!$C$21, $C$9, 100%, $E$9)</f>
        <v>64.823999999999998</v>
      </c>
      <c r="R834" s="14">
        <f>CHOOSE(CONTROL!$C$42, 65.5731, 65.5731) * CHOOSE(CONTROL!$C$21, $C$9, 100%, $E$9)</f>
        <v>65.573099999999997</v>
      </c>
      <c r="S834" s="14">
        <f>CHOOSE(CONTROL!$C$42, 62.7718, 62.7718) * CHOOSE(CONTROL!$C$21, $C$9, 100%, $E$9)</f>
        <v>62.771799999999999</v>
      </c>
      <c r="T83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34" s="57">
        <f>(1000*CHOOSE(CONTROL!$C$42, 695, 695)*CHOOSE(CONTROL!$C$42, 0.5599, 0.5599)*CHOOSE(CONTROL!$C$42, 30, 30))/1000000</f>
        <v>11.673914999999997</v>
      </c>
      <c r="V834" s="57">
        <f>(1000*CHOOSE(CONTROL!$C$42, 500, 500)*CHOOSE(CONTROL!$C$42, 0.275, 0.275)*CHOOSE(CONTROL!$C$42, 30, 30))/1000000</f>
        <v>4.125</v>
      </c>
      <c r="W834" s="57">
        <f>(1000*CHOOSE(CONTROL!$C$42, 0.1146, 0.1146)*CHOOSE(CONTROL!$C$42, 121.5, 121.5)*CHOOSE(CONTROL!$C$42, 30, 30))/1000000</f>
        <v>0.417717</v>
      </c>
      <c r="X834" s="57">
        <f>(30*0.1790888*245000/1000000)+(30*0.2374*100000/1000000)</f>
        <v>2.0285026799999999</v>
      </c>
      <c r="Y834" s="57"/>
      <c r="Z834" s="14"/>
      <c r="AA834" s="56"/>
      <c r="AB834" s="50">
        <f>(B834*194.205+C834*267.466+D834*133.845+E834*53.484+F834*40+G834*185+H834*0+I834*100+J834*300)/(194.205+267.466+133.845+53.484+0+40+185+100+300)</f>
        <v>64.67240395863422</v>
      </c>
      <c r="AC834" s="45">
        <f>(M834*'RAP TEMPLATE-GAS AVAILABILITY'!O833+N834*'RAP TEMPLATE-GAS AVAILABILITY'!P833+O834*'RAP TEMPLATE-GAS AVAILABILITY'!Q833+P834*'RAP TEMPLATE-GAS AVAILABILITY'!R833)/('RAP TEMPLATE-GAS AVAILABILITY'!O833+'RAP TEMPLATE-GAS AVAILABILITY'!P833+'RAP TEMPLATE-GAS AVAILABILITY'!Q833+'RAP TEMPLATE-GAS AVAILABILITY'!R833)</f>
        <v>64.100092805755395</v>
      </c>
    </row>
    <row r="835" spans="1:29" ht="15.75" x14ac:dyDescent="0.25">
      <c r="A835" s="32">
        <v>66323</v>
      </c>
      <c r="B835" s="14">
        <f>CHOOSE(CONTROL!$C$42, 63.4042, 63.4042) * CHOOSE(CONTROL!$C$21, $C$9, 100%, $E$9)</f>
        <v>63.404200000000003</v>
      </c>
      <c r="C835" s="14">
        <f>CHOOSE(CONTROL!$C$42, 63.4121, 63.4121) * CHOOSE(CONTROL!$C$21, $C$9, 100%, $E$9)</f>
        <v>63.412100000000002</v>
      </c>
      <c r="D835" s="14">
        <f>CHOOSE(CONTROL!$C$42, 63.6097, 63.6097) * CHOOSE(CONTROL!$C$21, $C$9, 100%, $E$9)</f>
        <v>63.609699999999997</v>
      </c>
      <c r="E835" s="14">
        <f>CHOOSE(CONTROL!$C$42, 63.6408, 63.6408) * CHOOSE(CONTROL!$C$21, $C$9, 100%, $E$9)</f>
        <v>63.640799999999999</v>
      </c>
      <c r="F835" s="14">
        <f>CHOOSE(CONTROL!$C$42, 63.3885, 63.3885)*CHOOSE(CONTROL!$C$21, $C$9, 100%, $E$9)</f>
        <v>63.388500000000001</v>
      </c>
      <c r="G835" s="14">
        <f>CHOOSE(CONTROL!$C$42, 63.4048, 63.4048)*CHOOSE(CONTROL!$C$21, $C$9, 100%, $E$9)</f>
        <v>63.404800000000002</v>
      </c>
      <c r="H835" s="14">
        <f>CHOOSE(CONTROL!$C$42, 63.6295, 63.6295) * CHOOSE(CONTROL!$C$21, $C$9, 100%, $E$9)</f>
        <v>63.6295</v>
      </c>
      <c r="I835" s="14">
        <f>CHOOSE(CONTROL!$C$42, 63.4156, 63.4156)* CHOOSE(CONTROL!$C$21, $C$9, 100%, $E$9)</f>
        <v>63.415599999999998</v>
      </c>
      <c r="J835" s="14">
        <f>CHOOSE(CONTROL!$C$42, 63.3815, 63.3815)* CHOOSE(CONTROL!$C$21, $C$9, 100%, $E$9)</f>
        <v>63.381500000000003</v>
      </c>
      <c r="K835" s="53">
        <f>CHOOSE(CONTROL!$C$42, 63.4117, 63.4117) * CHOOSE(CONTROL!$C$21, $C$9, 100%, $E$9)</f>
        <v>63.411700000000003</v>
      </c>
      <c r="L835" s="14">
        <f>CHOOSE(CONTROL!$C$42, 64.2165, 64.2165) * CHOOSE(CONTROL!$C$21, $C$9, 100%, $E$9)</f>
        <v>64.216499999999996</v>
      </c>
      <c r="M835" s="14">
        <f>CHOOSE(CONTROL!$C$42, 62.7557, 62.7557) * CHOOSE(CONTROL!$C$21, $C$9, 100%, $E$9)</f>
        <v>62.755699999999997</v>
      </c>
      <c r="N835" s="14">
        <f>CHOOSE(CONTROL!$C$42, 62.7718, 62.7718) * CHOOSE(CONTROL!$C$21, $C$9, 100%, $E$9)</f>
        <v>62.771799999999999</v>
      </c>
      <c r="O835" s="14">
        <f>CHOOSE(CONTROL!$C$42, 63.0012, 63.0012) * CHOOSE(CONTROL!$C$21, $C$9, 100%, $E$9)</f>
        <v>63.001199999999997</v>
      </c>
      <c r="P835" s="14">
        <f>CHOOSE(CONTROL!$C$42, 62.7895, 62.7895) * CHOOSE(CONTROL!$C$21, $C$9, 100%, $E$9)</f>
        <v>62.789499999999997</v>
      </c>
      <c r="Q835" s="14">
        <f>CHOOSE(CONTROL!$C$42, 63.5965, 63.5965) * CHOOSE(CONTROL!$C$21, $C$9, 100%, $E$9)</f>
        <v>63.596499999999999</v>
      </c>
      <c r="R835" s="14">
        <f>CHOOSE(CONTROL!$C$42, 64.3425, 64.3425) * CHOOSE(CONTROL!$C$21, $C$9, 100%, $E$9)</f>
        <v>64.342500000000001</v>
      </c>
      <c r="S835" s="14">
        <f>CHOOSE(CONTROL!$C$42, 61.5676, 61.5676) * CHOOSE(CONTROL!$C$21, $C$9, 100%, $E$9)</f>
        <v>61.567599999999999</v>
      </c>
      <c r="T83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35" s="57">
        <f>(1000*CHOOSE(CONTROL!$C$42, 695, 695)*CHOOSE(CONTROL!$C$42, 0.5599, 0.5599)*CHOOSE(CONTROL!$C$42, 31, 31))/1000000</f>
        <v>12.063045499999998</v>
      </c>
      <c r="V835" s="57">
        <f>(1000*CHOOSE(CONTROL!$C$42, 500, 500)*CHOOSE(CONTROL!$C$42, 0.275, 0.275)*CHOOSE(CONTROL!$C$42, 31, 31))/1000000</f>
        <v>4.2625000000000002</v>
      </c>
      <c r="W835" s="57">
        <f>(1000*CHOOSE(CONTROL!$C$42, 0.1146, 0.1146)*CHOOSE(CONTROL!$C$42, 121.5, 121.5)*CHOOSE(CONTROL!$C$42, 31, 31))/1000000</f>
        <v>0.43164089999999994</v>
      </c>
      <c r="X835" s="57">
        <f>(31*0.1790888*245000/1000000)+(31*0.2374*100000/1000000)</f>
        <v>2.0961194359999999</v>
      </c>
      <c r="Y835" s="57"/>
      <c r="Z835" s="14"/>
      <c r="AA835" s="56"/>
      <c r="AB835" s="50">
        <f>(B835*194.205+C835*267.466+D835*133.845+E835*53.484+F835*40+G835*185+H835*0+I835*100+J835*300)/(194.205+267.466+133.845+53.484+0+40+185+100+300)</f>
        <v>63.432524523783357</v>
      </c>
      <c r="AC835" s="45">
        <f>(M835*'RAP TEMPLATE-GAS AVAILABILITY'!O834+N835*'RAP TEMPLATE-GAS AVAILABILITY'!P834+O835*'RAP TEMPLATE-GAS AVAILABILITY'!Q834+P835*'RAP TEMPLATE-GAS AVAILABILITY'!R834)/('RAP TEMPLATE-GAS AVAILABILITY'!O834+'RAP TEMPLATE-GAS AVAILABILITY'!P834+'RAP TEMPLATE-GAS AVAILABILITY'!Q834+'RAP TEMPLATE-GAS AVAILABILITY'!R834)</f>
        <v>62.872759712230213</v>
      </c>
    </row>
    <row r="836" spans="1:29" ht="15.75" x14ac:dyDescent="0.25">
      <c r="A836" s="32">
        <v>66354</v>
      </c>
      <c r="B836" s="14">
        <f>CHOOSE(CONTROL!$C$42, 60.2726, 60.2726) * CHOOSE(CONTROL!$C$21, $C$9, 100%, $E$9)</f>
        <v>60.272599999999997</v>
      </c>
      <c r="C836" s="14">
        <f>CHOOSE(CONTROL!$C$42, 60.2805, 60.2805) * CHOOSE(CONTROL!$C$21, $C$9, 100%, $E$9)</f>
        <v>60.280500000000004</v>
      </c>
      <c r="D836" s="14">
        <f>CHOOSE(CONTROL!$C$42, 60.4781, 60.4781) * CHOOSE(CONTROL!$C$21, $C$9, 100%, $E$9)</f>
        <v>60.478099999999998</v>
      </c>
      <c r="E836" s="14">
        <f>CHOOSE(CONTROL!$C$42, 60.5092, 60.5092) * CHOOSE(CONTROL!$C$21, $C$9, 100%, $E$9)</f>
        <v>60.5092</v>
      </c>
      <c r="F836" s="14">
        <f>CHOOSE(CONTROL!$C$42, 60.257, 60.257)*CHOOSE(CONTROL!$C$21, $C$9, 100%, $E$9)</f>
        <v>60.256999999999998</v>
      </c>
      <c r="G836" s="14">
        <f>CHOOSE(CONTROL!$C$42, 60.2734, 60.2734)*CHOOSE(CONTROL!$C$21, $C$9, 100%, $E$9)</f>
        <v>60.273400000000002</v>
      </c>
      <c r="H836" s="14">
        <f>CHOOSE(CONTROL!$C$42, 60.4979, 60.4979) * CHOOSE(CONTROL!$C$21, $C$9, 100%, $E$9)</f>
        <v>60.497900000000001</v>
      </c>
      <c r="I836" s="14">
        <f>CHOOSE(CONTROL!$C$42, 60.284, 60.284)* CHOOSE(CONTROL!$C$21, $C$9, 100%, $E$9)</f>
        <v>60.283999999999999</v>
      </c>
      <c r="J836" s="14">
        <f>CHOOSE(CONTROL!$C$42, 60.25, 60.25)* CHOOSE(CONTROL!$C$21, $C$9, 100%, $E$9)</f>
        <v>60.25</v>
      </c>
      <c r="K836" s="53">
        <f>CHOOSE(CONTROL!$C$42, 60.2801, 60.2801) * CHOOSE(CONTROL!$C$21, $C$9, 100%, $E$9)</f>
        <v>60.280099999999997</v>
      </c>
      <c r="L836" s="14">
        <f>CHOOSE(CONTROL!$C$42, 61.0849, 61.0849) * CHOOSE(CONTROL!$C$21, $C$9, 100%, $E$9)</f>
        <v>61.084899999999998</v>
      </c>
      <c r="M836" s="14">
        <f>CHOOSE(CONTROL!$C$42, 59.6558, 59.6558) * CHOOSE(CONTROL!$C$21, $C$9, 100%, $E$9)</f>
        <v>59.655799999999999</v>
      </c>
      <c r="N836" s="14">
        <f>CHOOSE(CONTROL!$C$42, 59.672, 59.672) * CHOOSE(CONTROL!$C$21, $C$9, 100%, $E$9)</f>
        <v>59.671999999999997</v>
      </c>
      <c r="O836" s="14">
        <f>CHOOSE(CONTROL!$C$42, 59.9012, 59.9012) * CHOOSE(CONTROL!$C$21, $C$9, 100%, $E$9)</f>
        <v>59.901200000000003</v>
      </c>
      <c r="P836" s="14">
        <f>CHOOSE(CONTROL!$C$42, 59.6895, 59.6895) * CHOOSE(CONTROL!$C$21, $C$9, 100%, $E$9)</f>
        <v>59.689500000000002</v>
      </c>
      <c r="Q836" s="14">
        <f>CHOOSE(CONTROL!$C$42, 60.4965, 60.4965) * CHOOSE(CONTROL!$C$21, $C$9, 100%, $E$9)</f>
        <v>60.496499999999997</v>
      </c>
      <c r="R836" s="14">
        <f>CHOOSE(CONTROL!$C$42, 61.2347, 61.2347) * CHOOSE(CONTROL!$C$21, $C$9, 100%, $E$9)</f>
        <v>61.234699999999997</v>
      </c>
      <c r="S836" s="14">
        <f>CHOOSE(CONTROL!$C$42, 58.5265, 58.5265) * CHOOSE(CONTROL!$C$21, $C$9, 100%, $E$9)</f>
        <v>58.526499999999999</v>
      </c>
      <c r="T83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36" s="57">
        <f>(1000*CHOOSE(CONTROL!$C$42, 695, 695)*CHOOSE(CONTROL!$C$42, 0.5599, 0.5599)*CHOOSE(CONTROL!$C$42, 31, 31))/1000000</f>
        <v>12.063045499999998</v>
      </c>
      <c r="V836" s="57">
        <f>(1000*CHOOSE(CONTROL!$C$42, 500, 500)*CHOOSE(CONTROL!$C$42, 0.275, 0.275)*CHOOSE(CONTROL!$C$42, 31, 31))/1000000</f>
        <v>4.2625000000000002</v>
      </c>
      <c r="W836" s="57">
        <f>(1000*CHOOSE(CONTROL!$C$42, 0.1146, 0.1146)*CHOOSE(CONTROL!$C$42, 121.5, 121.5)*CHOOSE(CONTROL!$C$42, 31, 31))/1000000</f>
        <v>0.43164089999999994</v>
      </c>
      <c r="X836" s="57">
        <f>(31*0.1790888*245000/1000000)+(31*0.2374*100000/1000000)</f>
        <v>2.0961194359999999</v>
      </c>
      <c r="Y836" s="57"/>
      <c r="Z836" s="14"/>
      <c r="AA836" s="56"/>
      <c r="AB836" s="50">
        <f>(B836*194.205+C836*267.466+D836*133.845+E836*53.484+F836*40+G836*185+H836*0+I836*100+J836*300)/(194.205+267.466+133.845+53.484+0+40+185+100+300)</f>
        <v>60.300980253767655</v>
      </c>
      <c r="AC836" s="45">
        <f>(M836*'RAP TEMPLATE-GAS AVAILABILITY'!O835+N836*'RAP TEMPLATE-GAS AVAILABILITY'!P835+O836*'RAP TEMPLATE-GAS AVAILABILITY'!Q835+P836*'RAP TEMPLATE-GAS AVAILABILITY'!R835)/('RAP TEMPLATE-GAS AVAILABILITY'!O835+'RAP TEMPLATE-GAS AVAILABILITY'!P835+'RAP TEMPLATE-GAS AVAILABILITY'!Q835+'RAP TEMPLATE-GAS AVAILABILITY'!R835)</f>
        <v>59.77280575539568</v>
      </c>
    </row>
    <row r="837" spans="1:29" ht="15.75" x14ac:dyDescent="0.25">
      <c r="A837" s="32">
        <v>66384</v>
      </c>
      <c r="B837" s="14">
        <f>CHOOSE(CONTROL!$C$42, 56.446, 56.446) * CHOOSE(CONTROL!$C$21, $C$9, 100%, $E$9)</f>
        <v>56.445999999999998</v>
      </c>
      <c r="C837" s="14">
        <f>CHOOSE(CONTROL!$C$42, 56.4539, 56.4539) * CHOOSE(CONTROL!$C$21, $C$9, 100%, $E$9)</f>
        <v>56.453899999999997</v>
      </c>
      <c r="D837" s="14">
        <f>CHOOSE(CONTROL!$C$42, 56.6515, 56.6515) * CHOOSE(CONTROL!$C$21, $C$9, 100%, $E$9)</f>
        <v>56.651499999999999</v>
      </c>
      <c r="E837" s="14">
        <f>CHOOSE(CONTROL!$C$42, 56.6826, 56.6826) * CHOOSE(CONTROL!$C$21, $C$9, 100%, $E$9)</f>
        <v>56.682600000000001</v>
      </c>
      <c r="F837" s="14">
        <f>CHOOSE(CONTROL!$C$42, 56.4304, 56.4304)*CHOOSE(CONTROL!$C$21, $C$9, 100%, $E$9)</f>
        <v>56.430399999999999</v>
      </c>
      <c r="G837" s="14">
        <f>CHOOSE(CONTROL!$C$42, 56.4467, 56.4467)*CHOOSE(CONTROL!$C$21, $C$9, 100%, $E$9)</f>
        <v>56.4467</v>
      </c>
      <c r="H837" s="14">
        <f>CHOOSE(CONTROL!$C$42, 56.6713, 56.6713) * CHOOSE(CONTROL!$C$21, $C$9, 100%, $E$9)</f>
        <v>56.671300000000002</v>
      </c>
      <c r="I837" s="14">
        <f>CHOOSE(CONTROL!$C$42, 56.4573, 56.4573)* CHOOSE(CONTROL!$C$21, $C$9, 100%, $E$9)</f>
        <v>56.457299999999996</v>
      </c>
      <c r="J837" s="14">
        <f>CHOOSE(CONTROL!$C$42, 56.4234, 56.4234)* CHOOSE(CONTROL!$C$21, $C$9, 100%, $E$9)</f>
        <v>56.423400000000001</v>
      </c>
      <c r="K837" s="53">
        <f>CHOOSE(CONTROL!$C$42, 56.4535, 56.4535) * CHOOSE(CONTROL!$C$21, $C$9, 100%, $E$9)</f>
        <v>56.453499999999998</v>
      </c>
      <c r="L837" s="14">
        <f>CHOOSE(CONTROL!$C$42, 57.2583, 57.2583) * CHOOSE(CONTROL!$C$21, $C$9, 100%, $E$9)</f>
        <v>57.258299999999998</v>
      </c>
      <c r="M837" s="14">
        <f>CHOOSE(CONTROL!$C$42, 55.8678, 55.8678) * CHOOSE(CONTROL!$C$21, $C$9, 100%, $E$9)</f>
        <v>55.867800000000003</v>
      </c>
      <c r="N837" s="14">
        <f>CHOOSE(CONTROL!$C$42, 55.8839, 55.8839) * CHOOSE(CONTROL!$C$21, $C$9, 100%, $E$9)</f>
        <v>55.883899999999997</v>
      </c>
      <c r="O837" s="14">
        <f>CHOOSE(CONTROL!$C$42, 56.1132, 56.1132) * CHOOSE(CONTROL!$C$21, $C$9, 100%, $E$9)</f>
        <v>56.113199999999999</v>
      </c>
      <c r="P837" s="14">
        <f>CHOOSE(CONTROL!$C$42, 55.9015, 55.9015) * CHOOSE(CONTROL!$C$21, $C$9, 100%, $E$9)</f>
        <v>55.901499999999999</v>
      </c>
      <c r="Q837" s="14">
        <f>CHOOSE(CONTROL!$C$42, 56.7085, 56.7085) * CHOOSE(CONTROL!$C$21, $C$9, 100%, $E$9)</f>
        <v>56.708500000000001</v>
      </c>
      <c r="R837" s="14">
        <f>CHOOSE(CONTROL!$C$42, 57.4372, 57.4372) * CHOOSE(CONTROL!$C$21, $C$9, 100%, $E$9)</f>
        <v>57.437199999999997</v>
      </c>
      <c r="S837" s="14">
        <f>CHOOSE(CONTROL!$C$42, 54.8104, 54.8104) * CHOOSE(CONTROL!$C$21, $C$9, 100%, $E$9)</f>
        <v>54.810400000000001</v>
      </c>
      <c r="T83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37" s="57">
        <f>(1000*CHOOSE(CONTROL!$C$42, 695, 695)*CHOOSE(CONTROL!$C$42, 0.5599, 0.5599)*CHOOSE(CONTROL!$C$42, 30, 30))/1000000</f>
        <v>11.673914999999997</v>
      </c>
      <c r="V837" s="57">
        <f>(1000*CHOOSE(CONTROL!$C$42, 500, 500)*CHOOSE(CONTROL!$C$42, 0.275, 0.275)*CHOOSE(CONTROL!$C$42, 30, 30))/1000000</f>
        <v>4.125</v>
      </c>
      <c r="W837" s="57">
        <f>(1000*CHOOSE(CONTROL!$C$42, 0.1146, 0.1146)*CHOOSE(CONTROL!$C$42, 121.5, 121.5)*CHOOSE(CONTROL!$C$42, 30, 30))/1000000</f>
        <v>0.417717</v>
      </c>
      <c r="X837" s="57">
        <f>(30*0.1790888*245000/1000000)+(30*0.2374*100000/1000000)</f>
        <v>2.0285026799999999</v>
      </c>
      <c r="Y837" s="57"/>
      <c r="Z837" s="14"/>
      <c r="AA837" s="56"/>
      <c r="AB837" s="50">
        <f>(B837*194.205+C837*267.466+D837*133.845+E837*53.484+F837*40+G837*185+H837*0+I837*100+J837*300)/(194.205+267.466+133.845+53.484+0+40+185+100+300)</f>
        <v>56.474357883281002</v>
      </c>
      <c r="AC837" s="45">
        <f>(M837*'RAP TEMPLATE-GAS AVAILABILITY'!O836+N837*'RAP TEMPLATE-GAS AVAILABILITY'!P836+O837*'RAP TEMPLATE-GAS AVAILABILITY'!Q836+P837*'RAP TEMPLATE-GAS AVAILABILITY'!R836)/('RAP TEMPLATE-GAS AVAILABILITY'!O836+'RAP TEMPLATE-GAS AVAILABILITY'!P836+'RAP TEMPLATE-GAS AVAILABILITY'!Q836+'RAP TEMPLATE-GAS AVAILABILITY'!R836)</f>
        <v>55.9848</v>
      </c>
    </row>
    <row r="838" spans="1:29" ht="15.75" x14ac:dyDescent="0.25">
      <c r="A838" s="32">
        <v>66415</v>
      </c>
      <c r="B838" s="14">
        <f>CHOOSE(CONTROL!$C$42, 55.2982, 55.2982) * CHOOSE(CONTROL!$C$21, $C$9, 100%, $E$9)</f>
        <v>55.298200000000001</v>
      </c>
      <c r="C838" s="14">
        <f>CHOOSE(CONTROL!$C$42, 55.3035, 55.3035) * CHOOSE(CONTROL!$C$21, $C$9, 100%, $E$9)</f>
        <v>55.3035</v>
      </c>
      <c r="D838" s="14">
        <f>CHOOSE(CONTROL!$C$42, 55.506, 55.506) * CHOOSE(CONTROL!$C$21, $C$9, 100%, $E$9)</f>
        <v>55.506</v>
      </c>
      <c r="E838" s="14">
        <f>CHOOSE(CONTROL!$C$42, 55.5348, 55.5348) * CHOOSE(CONTROL!$C$21, $C$9, 100%, $E$9)</f>
        <v>55.534799999999997</v>
      </c>
      <c r="F838" s="14">
        <f>CHOOSE(CONTROL!$C$42, 55.2846, 55.2846)*CHOOSE(CONTROL!$C$21, $C$9, 100%, $E$9)</f>
        <v>55.284599999999998</v>
      </c>
      <c r="G838" s="14">
        <f>CHOOSE(CONTROL!$C$42, 55.3006, 55.3006)*CHOOSE(CONTROL!$C$21, $C$9, 100%, $E$9)</f>
        <v>55.300600000000003</v>
      </c>
      <c r="H838" s="14">
        <f>CHOOSE(CONTROL!$C$42, 55.5253, 55.5253) * CHOOSE(CONTROL!$C$21, $C$9, 100%, $E$9)</f>
        <v>55.525300000000001</v>
      </c>
      <c r="I838" s="14">
        <f>CHOOSE(CONTROL!$C$42, 55.3114, 55.3114)* CHOOSE(CONTROL!$C$21, $C$9, 100%, $E$9)</f>
        <v>55.311399999999999</v>
      </c>
      <c r="J838" s="14">
        <f>CHOOSE(CONTROL!$C$42, 55.2776, 55.2776)* CHOOSE(CONTROL!$C$21, $C$9, 100%, $E$9)</f>
        <v>55.2776</v>
      </c>
      <c r="K838" s="53">
        <f>CHOOSE(CONTROL!$C$42, 55.3075, 55.3075) * CHOOSE(CONTROL!$C$21, $C$9, 100%, $E$9)</f>
        <v>55.307499999999997</v>
      </c>
      <c r="L838" s="14">
        <f>CHOOSE(CONTROL!$C$42, 56.1123, 56.1123) * CHOOSE(CONTROL!$C$21, $C$9, 100%, $E$9)</f>
        <v>56.112299999999998</v>
      </c>
      <c r="M838" s="14">
        <f>CHOOSE(CONTROL!$C$42, 54.7336, 54.7336) * CHOOSE(CONTROL!$C$21, $C$9, 100%, $E$9)</f>
        <v>54.733600000000003</v>
      </c>
      <c r="N838" s="14">
        <f>CHOOSE(CONTROL!$C$42, 54.7494, 54.7494) * CHOOSE(CONTROL!$C$21, $C$9, 100%, $E$9)</f>
        <v>54.749400000000001</v>
      </c>
      <c r="O838" s="14">
        <f>CHOOSE(CONTROL!$C$42, 54.9788, 54.9788) * CHOOSE(CONTROL!$C$21, $C$9, 100%, $E$9)</f>
        <v>54.9788</v>
      </c>
      <c r="P838" s="14">
        <f>CHOOSE(CONTROL!$C$42, 54.7671, 54.7671) * CHOOSE(CONTROL!$C$21, $C$9, 100%, $E$9)</f>
        <v>54.767099999999999</v>
      </c>
      <c r="Q838" s="14">
        <f>CHOOSE(CONTROL!$C$42, 55.5741, 55.5741) * CHOOSE(CONTROL!$C$21, $C$9, 100%, $E$9)</f>
        <v>55.574100000000001</v>
      </c>
      <c r="R838" s="14">
        <f>CHOOSE(CONTROL!$C$42, 56.3, 56.3) * CHOOSE(CONTROL!$C$21, $C$9, 100%, $E$9)</f>
        <v>56.3</v>
      </c>
      <c r="S838" s="14">
        <f>CHOOSE(CONTROL!$C$42, 53.6976, 53.6976) * CHOOSE(CONTROL!$C$21, $C$9, 100%, $E$9)</f>
        <v>53.697600000000001</v>
      </c>
      <c r="T83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38" s="57">
        <f>(1000*CHOOSE(CONTROL!$C$42, 695, 695)*CHOOSE(CONTROL!$C$42, 0.5599, 0.5599)*CHOOSE(CONTROL!$C$42, 31, 31))/1000000</f>
        <v>12.063045499999998</v>
      </c>
      <c r="V838" s="57">
        <f>(1000*CHOOSE(CONTROL!$C$42, 500, 500)*CHOOSE(CONTROL!$C$42, 0.275, 0.275)*CHOOSE(CONTROL!$C$42, 31, 31))/1000000</f>
        <v>4.2625000000000002</v>
      </c>
      <c r="W838" s="57">
        <f>(1000*CHOOSE(CONTROL!$C$42, 0.1146, 0.1146)*CHOOSE(CONTROL!$C$42, 121.5, 121.5)*CHOOSE(CONTROL!$C$42, 31, 31))/1000000</f>
        <v>0.43164089999999994</v>
      </c>
      <c r="X838" s="57">
        <f>(31*0.1790888*245000/1000000)+(31*0.2374*100000/1000000)</f>
        <v>2.0961194359999999</v>
      </c>
      <c r="Y838" s="57"/>
      <c r="Z838" s="14"/>
      <c r="AA838" s="56"/>
      <c r="AB838" s="50">
        <f>(B838*131.881+C838*277.167+D838*79.08+E838*125.872+F838*40+G838*185+H838*0+I838*100+J838*300)/(131.881+277.167+79.08+125.872+0+40+185+100+300)</f>
        <v>55.332681940516537</v>
      </c>
      <c r="AC838" s="45">
        <f>(M838*'RAP TEMPLATE-GAS AVAILABILITY'!O837+N838*'RAP TEMPLATE-GAS AVAILABILITY'!P837+O838*'RAP TEMPLATE-GAS AVAILABILITY'!Q837+P838*'RAP TEMPLATE-GAS AVAILABILITY'!R837)/('RAP TEMPLATE-GAS AVAILABILITY'!O837+'RAP TEMPLATE-GAS AVAILABILITY'!P837+'RAP TEMPLATE-GAS AVAILABILITY'!Q837+'RAP TEMPLATE-GAS AVAILABILITY'!R837)</f>
        <v>54.85046330935252</v>
      </c>
    </row>
    <row r="839" spans="1:29" ht="15.75" x14ac:dyDescent="0.25">
      <c r="A839" s="32">
        <v>66445</v>
      </c>
      <c r="B839" s="14">
        <f>CHOOSE(CONTROL!$C$42, 56.7546, 56.7546) * CHOOSE(CONTROL!$C$21, $C$9, 100%, $E$9)</f>
        <v>56.754600000000003</v>
      </c>
      <c r="C839" s="14">
        <f>CHOOSE(CONTROL!$C$42, 56.7595, 56.7595) * CHOOSE(CONTROL!$C$21, $C$9, 100%, $E$9)</f>
        <v>56.759500000000003</v>
      </c>
      <c r="D839" s="14">
        <f>CHOOSE(CONTROL!$C$42, 56.8226, 56.8226) * CHOOSE(CONTROL!$C$21, $C$9, 100%, $E$9)</f>
        <v>56.822600000000001</v>
      </c>
      <c r="E839" s="14">
        <f>CHOOSE(CONTROL!$C$42, 56.8564, 56.8564) * CHOOSE(CONTROL!$C$21, $C$9, 100%, $E$9)</f>
        <v>56.856400000000001</v>
      </c>
      <c r="F839" s="14">
        <f>CHOOSE(CONTROL!$C$42, 56.7553, 56.7553)*CHOOSE(CONTROL!$C$21, $C$9, 100%, $E$9)</f>
        <v>56.755299999999998</v>
      </c>
      <c r="G839" s="14">
        <f>CHOOSE(CONTROL!$C$42, 56.7715, 56.7715)*CHOOSE(CONTROL!$C$21, $C$9, 100%, $E$9)</f>
        <v>56.771500000000003</v>
      </c>
      <c r="H839" s="14">
        <f>CHOOSE(CONTROL!$C$42, 56.8456, 56.8456) * CHOOSE(CONTROL!$C$21, $C$9, 100%, $E$9)</f>
        <v>56.845599999999997</v>
      </c>
      <c r="I839" s="14">
        <f>CHOOSE(CONTROL!$C$42, 56.7681, 56.7681)* CHOOSE(CONTROL!$C$21, $C$9, 100%, $E$9)</f>
        <v>56.768099999999997</v>
      </c>
      <c r="J839" s="14">
        <f>CHOOSE(CONTROL!$C$42, 56.7483, 56.7483)* CHOOSE(CONTROL!$C$21, $C$9, 100%, $E$9)</f>
        <v>56.7483</v>
      </c>
      <c r="K839" s="53">
        <f>CHOOSE(CONTROL!$C$42, 56.7642, 56.7642) * CHOOSE(CONTROL!$C$21, $C$9, 100%, $E$9)</f>
        <v>56.764200000000002</v>
      </c>
      <c r="L839" s="14">
        <f>CHOOSE(CONTROL!$C$42, 57.4326, 57.4326) * CHOOSE(CONTROL!$C$21, $C$9, 100%, $E$9)</f>
        <v>57.432600000000001</v>
      </c>
      <c r="M839" s="14">
        <f>CHOOSE(CONTROL!$C$42, 56.1894, 56.1894) * CHOOSE(CONTROL!$C$21, $C$9, 100%, $E$9)</f>
        <v>56.189399999999999</v>
      </c>
      <c r="N839" s="14">
        <f>CHOOSE(CONTROL!$C$42, 56.2055, 56.2055) * CHOOSE(CONTROL!$C$21, $C$9, 100%, $E$9)</f>
        <v>56.205500000000001</v>
      </c>
      <c r="O839" s="14">
        <f>CHOOSE(CONTROL!$C$42, 56.2857, 56.2857) * CHOOSE(CONTROL!$C$21, $C$9, 100%, $E$9)</f>
        <v>56.285699999999999</v>
      </c>
      <c r="P839" s="14">
        <f>CHOOSE(CONTROL!$C$42, 56.2091, 56.2091) * CHOOSE(CONTROL!$C$21, $C$9, 100%, $E$9)</f>
        <v>56.209099999999999</v>
      </c>
      <c r="Q839" s="14">
        <f>CHOOSE(CONTROL!$C$42, 56.881, 56.881) * CHOOSE(CONTROL!$C$21, $C$9, 100%, $E$9)</f>
        <v>56.881</v>
      </c>
      <c r="R839" s="14">
        <f>CHOOSE(CONTROL!$C$42, 57.6102, 57.6102) * CHOOSE(CONTROL!$C$21, $C$9, 100%, $E$9)</f>
        <v>57.610199999999999</v>
      </c>
      <c r="S839" s="14">
        <f>CHOOSE(CONTROL!$C$42, 55.1122, 55.1122) * CHOOSE(CONTROL!$C$21, $C$9, 100%, $E$9)</f>
        <v>55.112200000000001</v>
      </c>
      <c r="T83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39" s="57">
        <f>(1000*CHOOSE(CONTROL!$C$42, 695, 695)*CHOOSE(CONTROL!$C$42, 0.5599, 0.5599)*CHOOSE(CONTROL!$C$42, 30, 30))/1000000</f>
        <v>11.673914999999997</v>
      </c>
      <c r="V839" s="57">
        <f>(1000*CHOOSE(CONTROL!$C$42, 500, 500)*CHOOSE(CONTROL!$C$42, 0.275, 0.275)*CHOOSE(CONTROL!$C$42, 30, 30))/1000000</f>
        <v>4.125</v>
      </c>
      <c r="W839" s="57">
        <f>(1000*CHOOSE(CONTROL!$C$42, 0.1146, 0.1146)*CHOOSE(CONTROL!$C$42, 121.5, 121.5)*CHOOSE(CONTROL!$C$42, 30, 30))/1000000</f>
        <v>0.417717</v>
      </c>
      <c r="X839" s="57">
        <f>(30*0.1790888*100000/1000000)+(30*0.2374*100000/1000000)</f>
        <v>1.2494664</v>
      </c>
      <c r="Y839" s="57"/>
      <c r="Z839" s="14"/>
      <c r="AA839" s="56"/>
      <c r="AB839" s="50">
        <f>(B839*122.58+C839*297.941+D839*89.177+E839*40.302+F839*40+G839*160+H839*0+I839*100+J839*300)/(122.58+297.941+89.177+40.302+0+40+160+100+300)</f>
        <v>56.766616252608692</v>
      </c>
      <c r="AC839" s="45">
        <f>(M839*'RAP TEMPLATE-GAS AVAILABILITY'!O838+N839*'RAP TEMPLATE-GAS AVAILABILITY'!P838+O839*'RAP TEMPLATE-GAS AVAILABILITY'!Q838+P839*'RAP TEMPLATE-GAS AVAILABILITY'!R838)/('RAP TEMPLATE-GAS AVAILABILITY'!O838+'RAP TEMPLATE-GAS AVAILABILITY'!P838+'RAP TEMPLATE-GAS AVAILABILITY'!Q838+'RAP TEMPLATE-GAS AVAILABILITY'!R838)</f>
        <v>56.236807913669068</v>
      </c>
    </row>
    <row r="840" spans="1:29" ht="15.75" x14ac:dyDescent="0.25">
      <c r="A840" s="32">
        <v>66476</v>
      </c>
      <c r="B840" s="14">
        <f>CHOOSE(CONTROL!$C$42, 60.6239, 60.6239) * CHOOSE(CONTROL!$C$21, $C$9, 100%, $E$9)</f>
        <v>60.623899999999999</v>
      </c>
      <c r="C840" s="14">
        <f>CHOOSE(CONTROL!$C$42, 60.6288, 60.6288) * CHOOSE(CONTROL!$C$21, $C$9, 100%, $E$9)</f>
        <v>60.628799999999998</v>
      </c>
      <c r="D840" s="14">
        <f>CHOOSE(CONTROL!$C$42, 60.6919, 60.6919) * CHOOSE(CONTROL!$C$21, $C$9, 100%, $E$9)</f>
        <v>60.691899999999997</v>
      </c>
      <c r="E840" s="14">
        <f>CHOOSE(CONTROL!$C$42, 60.7257, 60.7257) * CHOOSE(CONTROL!$C$21, $C$9, 100%, $E$9)</f>
        <v>60.725700000000003</v>
      </c>
      <c r="F840" s="14">
        <f>CHOOSE(CONTROL!$C$42, 60.6266, 60.6266)*CHOOSE(CONTROL!$C$21, $C$9, 100%, $E$9)</f>
        <v>60.626600000000003</v>
      </c>
      <c r="G840" s="14">
        <f>CHOOSE(CONTROL!$C$42, 60.6434, 60.6434)*CHOOSE(CONTROL!$C$21, $C$9, 100%, $E$9)</f>
        <v>60.6434</v>
      </c>
      <c r="H840" s="14">
        <f>CHOOSE(CONTROL!$C$42, 60.7149, 60.7149) * CHOOSE(CONTROL!$C$21, $C$9, 100%, $E$9)</f>
        <v>60.7149</v>
      </c>
      <c r="I840" s="14">
        <f>CHOOSE(CONTROL!$C$42, 60.6374, 60.6374)* CHOOSE(CONTROL!$C$21, $C$9, 100%, $E$9)</f>
        <v>60.6374</v>
      </c>
      <c r="J840" s="14">
        <f>CHOOSE(CONTROL!$C$42, 60.6196, 60.6196)* CHOOSE(CONTROL!$C$21, $C$9, 100%, $E$9)</f>
        <v>60.619599999999998</v>
      </c>
      <c r="K840" s="53">
        <f>CHOOSE(CONTROL!$C$42, 60.6335, 60.6335) * CHOOSE(CONTROL!$C$21, $C$9, 100%, $E$9)</f>
        <v>60.633499999999998</v>
      </c>
      <c r="L840" s="14">
        <f>CHOOSE(CONTROL!$C$42, 61.3019, 61.3019) * CHOOSE(CONTROL!$C$21, $C$9, 100%, $E$9)</f>
        <v>61.301900000000003</v>
      </c>
      <c r="M840" s="14">
        <f>CHOOSE(CONTROL!$C$42, 60.0217, 60.0217) * CHOOSE(CONTROL!$C$21, $C$9, 100%, $E$9)</f>
        <v>60.021700000000003</v>
      </c>
      <c r="N840" s="14">
        <f>CHOOSE(CONTROL!$C$42, 60.0383, 60.0383) * CHOOSE(CONTROL!$C$21, $C$9, 100%, $E$9)</f>
        <v>60.0383</v>
      </c>
      <c r="O840" s="14">
        <f>CHOOSE(CONTROL!$C$42, 60.116, 60.116) * CHOOSE(CONTROL!$C$21, $C$9, 100%, $E$9)</f>
        <v>60.116</v>
      </c>
      <c r="P840" s="14">
        <f>CHOOSE(CONTROL!$C$42, 60.0393, 60.0393) * CHOOSE(CONTROL!$C$21, $C$9, 100%, $E$9)</f>
        <v>60.039299999999997</v>
      </c>
      <c r="Q840" s="14">
        <f>CHOOSE(CONTROL!$C$42, 60.7113, 60.7113) * CHOOSE(CONTROL!$C$21, $C$9, 100%, $E$9)</f>
        <v>60.711300000000001</v>
      </c>
      <c r="R840" s="14">
        <f>CHOOSE(CONTROL!$C$42, 61.4501, 61.4501) * CHOOSE(CONTROL!$C$21, $C$9, 100%, $E$9)</f>
        <v>61.450099999999999</v>
      </c>
      <c r="S840" s="14">
        <f>CHOOSE(CONTROL!$C$42, 58.8697, 58.8697) * CHOOSE(CONTROL!$C$21, $C$9, 100%, $E$9)</f>
        <v>58.869700000000002</v>
      </c>
      <c r="T84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40" s="57">
        <f>(1000*CHOOSE(CONTROL!$C$42, 695, 695)*CHOOSE(CONTROL!$C$42, 0.5599, 0.5599)*CHOOSE(CONTROL!$C$42, 31, 31))/1000000</f>
        <v>12.063045499999998</v>
      </c>
      <c r="V840" s="57">
        <f>(1000*CHOOSE(CONTROL!$C$42, 500, 500)*CHOOSE(CONTROL!$C$42, 0.275, 0.275)*CHOOSE(CONTROL!$C$42, 31, 31))/1000000</f>
        <v>4.2625000000000002</v>
      </c>
      <c r="W840" s="57">
        <f>(1000*CHOOSE(CONTROL!$C$42, 0.1146, 0.1146)*CHOOSE(CONTROL!$C$42, 121.5, 121.5)*CHOOSE(CONTROL!$C$42, 31, 31))/1000000</f>
        <v>0.43164089999999994</v>
      </c>
      <c r="X840" s="57">
        <f>(31*0.1790888*100000/1000000)+(31*0.2374*100000/1000000)</f>
        <v>1.2911152800000001</v>
      </c>
      <c r="Y840" s="57"/>
      <c r="Z840" s="14"/>
      <c r="AA840" s="56"/>
      <c r="AB840" s="50">
        <f>(B840*122.58+C840*297.941+D840*89.177+E840*40.302+F840*40+G840*160+H840*0+I840*100+J840*300)/(122.58+297.941+89.177+40.302+0+40+160+100+300)</f>
        <v>60.63686929608695</v>
      </c>
      <c r="AC840" s="45">
        <f>(M840*'RAP TEMPLATE-GAS AVAILABILITY'!O839+N840*'RAP TEMPLATE-GAS AVAILABILITY'!P839+O840*'RAP TEMPLATE-GAS AVAILABILITY'!Q839+P840*'RAP TEMPLATE-GAS AVAILABILITY'!R839)/('RAP TEMPLATE-GAS AVAILABILITY'!O839+'RAP TEMPLATE-GAS AVAILABILITY'!P839+'RAP TEMPLATE-GAS AVAILABILITY'!Q839+'RAP TEMPLATE-GAS AVAILABILITY'!R839)</f>
        <v>60.067928057553956</v>
      </c>
    </row>
    <row r="841" spans="1:29" ht="15.75" x14ac:dyDescent="0.25">
      <c r="A841" s="32">
        <v>66507</v>
      </c>
      <c r="B841" s="14">
        <f>CHOOSE(CONTROL!$C$42, 65.591, 65.591) * CHOOSE(CONTROL!$C$21, $C$9, 100%, $E$9)</f>
        <v>65.590999999999994</v>
      </c>
      <c r="C841" s="14">
        <f>CHOOSE(CONTROL!$C$42, 65.5959, 65.5959) * CHOOSE(CONTROL!$C$21, $C$9, 100%, $E$9)</f>
        <v>65.5959</v>
      </c>
      <c r="D841" s="14">
        <f>CHOOSE(CONTROL!$C$42, 65.6602, 65.6602) * CHOOSE(CONTROL!$C$21, $C$9, 100%, $E$9)</f>
        <v>65.660200000000003</v>
      </c>
      <c r="E841" s="14">
        <f>CHOOSE(CONTROL!$C$42, 65.694, 65.694) * CHOOSE(CONTROL!$C$21, $C$9, 100%, $E$9)</f>
        <v>65.694000000000003</v>
      </c>
      <c r="F841" s="14">
        <f>CHOOSE(CONTROL!$C$42, 65.5925, 65.5925)*CHOOSE(CONTROL!$C$21, $C$9, 100%, $E$9)</f>
        <v>65.592500000000001</v>
      </c>
      <c r="G841" s="14">
        <f>CHOOSE(CONTROL!$C$42, 65.6084, 65.6084)*CHOOSE(CONTROL!$C$21, $C$9, 100%, $E$9)</f>
        <v>65.608400000000003</v>
      </c>
      <c r="H841" s="14">
        <f>CHOOSE(CONTROL!$C$42, 65.6832, 65.6832) * CHOOSE(CONTROL!$C$21, $C$9, 100%, $E$9)</f>
        <v>65.683199999999999</v>
      </c>
      <c r="I841" s="14">
        <f>CHOOSE(CONTROL!$C$42, 65.6109, 65.6109)* CHOOSE(CONTROL!$C$21, $C$9, 100%, $E$9)</f>
        <v>65.610900000000001</v>
      </c>
      <c r="J841" s="14">
        <f>CHOOSE(CONTROL!$C$42, 65.5855, 65.5855)* CHOOSE(CONTROL!$C$21, $C$9, 100%, $E$9)</f>
        <v>65.585499999999996</v>
      </c>
      <c r="K841" s="53">
        <f>CHOOSE(CONTROL!$C$42, 65.607, 65.607) * CHOOSE(CONTROL!$C$21, $C$9, 100%, $E$9)</f>
        <v>65.606999999999999</v>
      </c>
      <c r="L841" s="14">
        <f>CHOOSE(CONTROL!$C$42, 66.2702, 66.2702) * CHOOSE(CONTROL!$C$21, $C$9, 100%, $E$9)</f>
        <v>66.270200000000003</v>
      </c>
      <c r="M841" s="14">
        <f>CHOOSE(CONTROL!$C$42, 64.9374, 64.9374) * CHOOSE(CONTROL!$C$21, $C$9, 100%, $E$9)</f>
        <v>64.937399999999997</v>
      </c>
      <c r="N841" s="14">
        <f>CHOOSE(CONTROL!$C$42, 64.9532, 64.9532) * CHOOSE(CONTROL!$C$21, $C$9, 100%, $E$9)</f>
        <v>64.953199999999995</v>
      </c>
      <c r="O841" s="14">
        <f>CHOOSE(CONTROL!$C$42, 65.0341, 65.0341) * CHOOSE(CONTROL!$C$21, $C$9, 100%, $E$9)</f>
        <v>65.034099999999995</v>
      </c>
      <c r="P841" s="14">
        <f>CHOOSE(CONTROL!$C$42, 64.9627, 64.9627) * CHOOSE(CONTROL!$C$21, $C$9, 100%, $E$9)</f>
        <v>64.962699999999998</v>
      </c>
      <c r="Q841" s="14">
        <f>CHOOSE(CONTROL!$C$42, 65.6294, 65.6294) * CHOOSE(CONTROL!$C$21, $C$9, 100%, $E$9)</f>
        <v>65.629400000000004</v>
      </c>
      <c r="R841" s="14">
        <f>CHOOSE(CONTROL!$C$42, 66.3805, 66.3805) * CHOOSE(CONTROL!$C$21, $C$9, 100%, $E$9)</f>
        <v>66.380499999999998</v>
      </c>
      <c r="S841" s="14">
        <f>CHOOSE(CONTROL!$C$42, 63.6932, 63.6932) * CHOOSE(CONTROL!$C$21, $C$9, 100%, $E$9)</f>
        <v>63.693199999999997</v>
      </c>
      <c r="T84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41" s="57">
        <f>(1000*CHOOSE(CONTROL!$C$42, 695, 695)*CHOOSE(CONTROL!$C$42, 0.5599, 0.5599)*CHOOSE(CONTROL!$C$42, 31, 31))/1000000</f>
        <v>12.063045499999998</v>
      </c>
      <c r="V841" s="57">
        <f>(1000*CHOOSE(CONTROL!$C$42, 500, 500)*CHOOSE(CONTROL!$C$42, 0.275, 0.275)*CHOOSE(CONTROL!$C$42, 31, 31))/1000000</f>
        <v>4.2625000000000002</v>
      </c>
      <c r="W841" s="57">
        <f>(1000*CHOOSE(CONTROL!$C$42, 0.1146, 0.1146)*CHOOSE(CONTROL!$C$42, 121.5, 121.5)*CHOOSE(CONTROL!$C$42, 31, 31))/1000000</f>
        <v>0.43164089999999994</v>
      </c>
      <c r="X841" s="57">
        <f>(31*0.1790888*100000/1000000)+(31*0.2374*100000/1000000)</f>
        <v>1.2911152800000001</v>
      </c>
      <c r="Y841" s="57"/>
      <c r="Z841" s="14"/>
      <c r="AA841" s="56"/>
      <c r="AB841" s="50">
        <f>(B841*122.58+C841*297.941+D841*89.177+E841*40.302+F841*40+G841*160+H841*0+I841*100+J841*300)/(122.58+297.941+89.177+40.302+0+40+160+100+300)</f>
        <v>65.60401396982607</v>
      </c>
      <c r="AC841" s="45">
        <f>(M841*'RAP TEMPLATE-GAS AVAILABILITY'!O840+N841*'RAP TEMPLATE-GAS AVAILABILITY'!P840+O841*'RAP TEMPLATE-GAS AVAILABILITY'!Q840+P841*'RAP TEMPLATE-GAS AVAILABILITY'!R840)/('RAP TEMPLATE-GAS AVAILABILITY'!O840+'RAP TEMPLATE-GAS AVAILABILITY'!P840+'RAP TEMPLATE-GAS AVAILABILITY'!Q840+'RAP TEMPLATE-GAS AVAILABILITY'!R840)</f>
        <v>64.985777697841712</v>
      </c>
    </row>
    <row r="842" spans="1:29" ht="15.75" x14ac:dyDescent="0.25">
      <c r="A842" s="32">
        <v>66535</v>
      </c>
      <c r="B842" s="14">
        <f>CHOOSE(CONTROL!$C$42, 66.7585, 66.7585) * CHOOSE(CONTROL!$C$21, $C$9, 100%, $E$9)</f>
        <v>66.758499999999998</v>
      </c>
      <c r="C842" s="14">
        <f>CHOOSE(CONTROL!$C$42, 66.7635, 66.7635) * CHOOSE(CONTROL!$C$21, $C$9, 100%, $E$9)</f>
        <v>66.763499999999993</v>
      </c>
      <c r="D842" s="14">
        <f>CHOOSE(CONTROL!$C$42, 66.8277, 66.8277) * CHOOSE(CONTROL!$C$21, $C$9, 100%, $E$9)</f>
        <v>66.827699999999993</v>
      </c>
      <c r="E842" s="14">
        <f>CHOOSE(CONTROL!$C$42, 66.8615, 66.8615) * CHOOSE(CONTROL!$C$21, $C$9, 100%, $E$9)</f>
        <v>66.861500000000007</v>
      </c>
      <c r="F842" s="14">
        <f>CHOOSE(CONTROL!$C$42, 66.7601, 66.7601)*CHOOSE(CONTROL!$C$21, $C$9, 100%, $E$9)</f>
        <v>66.760099999999994</v>
      </c>
      <c r="G842" s="14">
        <f>CHOOSE(CONTROL!$C$42, 66.776, 66.776)*CHOOSE(CONTROL!$C$21, $C$9, 100%, $E$9)</f>
        <v>66.775999999999996</v>
      </c>
      <c r="H842" s="14">
        <f>CHOOSE(CONTROL!$C$42, 66.8507, 66.8507) * CHOOSE(CONTROL!$C$21, $C$9, 100%, $E$9)</f>
        <v>66.850700000000003</v>
      </c>
      <c r="I842" s="14">
        <f>CHOOSE(CONTROL!$C$42, 66.7785, 66.7785)* CHOOSE(CONTROL!$C$21, $C$9, 100%, $E$9)</f>
        <v>66.778499999999994</v>
      </c>
      <c r="J842" s="14">
        <f>CHOOSE(CONTROL!$C$42, 66.7531, 66.7531)* CHOOSE(CONTROL!$C$21, $C$9, 100%, $E$9)</f>
        <v>66.753100000000003</v>
      </c>
      <c r="K842" s="53">
        <f>CHOOSE(CONTROL!$C$42, 66.7746, 66.7746) * CHOOSE(CONTROL!$C$21, $C$9, 100%, $E$9)</f>
        <v>66.774600000000007</v>
      </c>
      <c r="L842" s="14">
        <f>CHOOSE(CONTROL!$C$42, 67.4377, 67.4377) * CHOOSE(CONTROL!$C$21, $C$9, 100%, $E$9)</f>
        <v>67.437700000000007</v>
      </c>
      <c r="M842" s="14">
        <f>CHOOSE(CONTROL!$C$42, 66.0933, 66.0933) * CHOOSE(CONTROL!$C$21, $C$9, 100%, $E$9)</f>
        <v>66.093299999999999</v>
      </c>
      <c r="N842" s="14">
        <f>CHOOSE(CONTROL!$C$42, 66.109, 66.109) * CHOOSE(CONTROL!$C$21, $C$9, 100%, $E$9)</f>
        <v>66.108999999999995</v>
      </c>
      <c r="O842" s="14">
        <f>CHOOSE(CONTROL!$C$42, 66.1899, 66.1899) * CHOOSE(CONTROL!$C$21, $C$9, 100%, $E$9)</f>
        <v>66.189899999999994</v>
      </c>
      <c r="P842" s="14">
        <f>CHOOSE(CONTROL!$C$42, 66.1184, 66.1184) * CHOOSE(CONTROL!$C$21, $C$9, 100%, $E$9)</f>
        <v>66.118399999999994</v>
      </c>
      <c r="Q842" s="14">
        <f>CHOOSE(CONTROL!$C$42, 66.7852, 66.7852) * CHOOSE(CONTROL!$C$21, $C$9, 100%, $E$9)</f>
        <v>66.785200000000003</v>
      </c>
      <c r="R842" s="14">
        <f>CHOOSE(CONTROL!$C$42, 67.5392, 67.5392) * CHOOSE(CONTROL!$C$21, $C$9, 100%, $E$9)</f>
        <v>67.539199999999994</v>
      </c>
      <c r="S842" s="14">
        <f>CHOOSE(CONTROL!$C$42, 64.8271, 64.8271) * CHOOSE(CONTROL!$C$21, $C$9, 100%, $E$9)</f>
        <v>64.827100000000002</v>
      </c>
      <c r="T84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42" s="57">
        <f>(1000*CHOOSE(CONTROL!$C$42, 695, 695)*CHOOSE(CONTROL!$C$42, 0.5599, 0.5599)*CHOOSE(CONTROL!$C$42, 28, 28))/1000000</f>
        <v>10.895653999999999</v>
      </c>
      <c r="V842" s="57">
        <f>(1000*CHOOSE(CONTROL!$C$42, 500, 500)*CHOOSE(CONTROL!$C$42, 0.275, 0.275)*CHOOSE(CONTROL!$C$42, 28, 28))/1000000</f>
        <v>3.85</v>
      </c>
      <c r="W842" s="57">
        <f>(1000*CHOOSE(CONTROL!$C$42, 0.1146, 0.1146)*CHOOSE(CONTROL!$C$42, 121.5, 121.5)*CHOOSE(CONTROL!$C$42, 28, 28))/1000000</f>
        <v>0.38986920000000003</v>
      </c>
      <c r="X842" s="57">
        <f>(28*0.1790888*100000/1000000)+(28*0.2374*100000/1000000)</f>
        <v>1.16616864</v>
      </c>
      <c r="Y842" s="57"/>
      <c r="Z842" s="14"/>
      <c r="AA842" s="56"/>
      <c r="AB842" s="50">
        <f>(B842*122.58+C842*297.941+D842*89.177+E842*40.302+F842*40+G842*160+H842*0+I842*100+J842*300)/(122.58+297.941+89.177+40.302+0+40+160+100+300)</f>
        <v>66.771592051652178</v>
      </c>
      <c r="AC842" s="45">
        <f>(M842*'RAP TEMPLATE-GAS AVAILABILITY'!O841+N842*'RAP TEMPLATE-GAS AVAILABILITY'!P841+O842*'RAP TEMPLATE-GAS AVAILABILITY'!Q841+P842*'RAP TEMPLATE-GAS AVAILABILITY'!R841)/('RAP TEMPLATE-GAS AVAILABILITY'!O841+'RAP TEMPLATE-GAS AVAILABILITY'!P841+'RAP TEMPLATE-GAS AVAILABILITY'!Q841+'RAP TEMPLATE-GAS AVAILABILITY'!R841)</f>
        <v>66.141597841726622</v>
      </c>
    </row>
    <row r="843" spans="1:29" ht="15.75" x14ac:dyDescent="0.25">
      <c r="A843" s="32">
        <v>66566</v>
      </c>
      <c r="B843" s="14">
        <f>CHOOSE(CONTROL!$C$42, 64.8633, 64.8633) * CHOOSE(CONTROL!$C$21, $C$9, 100%, $E$9)</f>
        <v>64.863299999999995</v>
      </c>
      <c r="C843" s="14">
        <f>CHOOSE(CONTROL!$C$42, 64.8682, 64.8682) * CHOOSE(CONTROL!$C$21, $C$9, 100%, $E$9)</f>
        <v>64.868200000000002</v>
      </c>
      <c r="D843" s="14">
        <f>CHOOSE(CONTROL!$C$42, 64.9325, 64.9325) * CHOOSE(CONTROL!$C$21, $C$9, 100%, $E$9)</f>
        <v>64.932500000000005</v>
      </c>
      <c r="E843" s="14">
        <f>CHOOSE(CONTROL!$C$42, 64.9663, 64.9663) * CHOOSE(CONTROL!$C$21, $C$9, 100%, $E$9)</f>
        <v>64.966300000000004</v>
      </c>
      <c r="F843" s="14">
        <f>CHOOSE(CONTROL!$C$42, 64.8645, 64.8645)*CHOOSE(CONTROL!$C$21, $C$9, 100%, $E$9)</f>
        <v>64.864500000000007</v>
      </c>
      <c r="G843" s="14">
        <f>CHOOSE(CONTROL!$C$42, 64.8804, 64.8804)*CHOOSE(CONTROL!$C$21, $C$9, 100%, $E$9)</f>
        <v>64.880399999999995</v>
      </c>
      <c r="H843" s="14">
        <f>CHOOSE(CONTROL!$C$42, 64.9555, 64.9555) * CHOOSE(CONTROL!$C$21, $C$9, 100%, $E$9)</f>
        <v>64.955500000000001</v>
      </c>
      <c r="I843" s="14">
        <f>CHOOSE(CONTROL!$C$42, 64.8833, 64.8833)* CHOOSE(CONTROL!$C$21, $C$9, 100%, $E$9)</f>
        <v>64.883300000000006</v>
      </c>
      <c r="J843" s="14">
        <f>CHOOSE(CONTROL!$C$42, 64.8575, 64.8575)* CHOOSE(CONTROL!$C$21, $C$9, 100%, $E$9)</f>
        <v>64.857500000000002</v>
      </c>
      <c r="K843" s="53">
        <f>CHOOSE(CONTROL!$C$42, 64.8794, 64.8794) * CHOOSE(CONTROL!$C$21, $C$9, 100%, $E$9)</f>
        <v>64.879400000000004</v>
      </c>
      <c r="L843" s="14">
        <f>CHOOSE(CONTROL!$C$42, 65.5425, 65.5425) * CHOOSE(CONTROL!$C$21, $C$9, 100%, $E$9)</f>
        <v>65.542500000000004</v>
      </c>
      <c r="M843" s="14">
        <f>CHOOSE(CONTROL!$C$42, 64.2168, 64.2168) * CHOOSE(CONTROL!$C$21, $C$9, 100%, $E$9)</f>
        <v>64.216800000000006</v>
      </c>
      <c r="N843" s="14">
        <f>CHOOSE(CONTROL!$C$42, 64.2325, 64.2325) * CHOOSE(CONTROL!$C$21, $C$9, 100%, $E$9)</f>
        <v>64.232500000000002</v>
      </c>
      <c r="O843" s="14">
        <f>CHOOSE(CONTROL!$C$42, 64.3138, 64.3138) * CHOOSE(CONTROL!$C$21, $C$9, 100%, $E$9)</f>
        <v>64.313800000000001</v>
      </c>
      <c r="P843" s="14">
        <f>CHOOSE(CONTROL!$C$42, 64.2423, 64.2423) * CHOOSE(CONTROL!$C$21, $C$9, 100%, $E$9)</f>
        <v>64.2423</v>
      </c>
      <c r="Q843" s="14">
        <f>CHOOSE(CONTROL!$C$42, 64.9091, 64.9091) * CHOOSE(CONTROL!$C$21, $C$9, 100%, $E$9)</f>
        <v>64.909099999999995</v>
      </c>
      <c r="R843" s="14">
        <f>CHOOSE(CONTROL!$C$42, 65.6584, 65.6584) * CHOOSE(CONTROL!$C$21, $C$9, 100%, $E$9)</f>
        <v>65.6584</v>
      </c>
      <c r="S843" s="14">
        <f>CHOOSE(CONTROL!$C$42, 62.9866, 62.9866) * CHOOSE(CONTROL!$C$21, $C$9, 100%, $E$9)</f>
        <v>62.986600000000003</v>
      </c>
      <c r="T84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43" s="57">
        <f>(1000*CHOOSE(CONTROL!$C$42, 695, 695)*CHOOSE(CONTROL!$C$42, 0.5599, 0.5599)*CHOOSE(CONTROL!$C$42, 31, 31))/1000000</f>
        <v>12.063045499999998</v>
      </c>
      <c r="V843" s="57">
        <f>(1000*CHOOSE(CONTROL!$C$42, 500, 500)*CHOOSE(CONTROL!$C$42, 0.275, 0.275)*CHOOSE(CONTROL!$C$42, 31, 31))/1000000</f>
        <v>4.2625000000000002</v>
      </c>
      <c r="W843" s="57">
        <f>(1000*CHOOSE(CONTROL!$C$42, 0.1146, 0.1146)*CHOOSE(CONTROL!$C$42, 121.5, 121.5)*CHOOSE(CONTROL!$C$42, 31, 31))/1000000</f>
        <v>0.43164089999999994</v>
      </c>
      <c r="X843" s="57">
        <f>(31*0.1790888*100000/1000000)+(31*0.2374*100000/1000000)</f>
        <v>1.2911152800000001</v>
      </c>
      <c r="Y843" s="57"/>
      <c r="Z843" s="14"/>
      <c r="AA843" s="56"/>
      <c r="AB843" s="50">
        <f>(B843*122.58+C843*297.941+D843*89.177+E843*40.302+F843*40+G843*160+H843*0+I843*100+J843*300)/(122.58+297.941+89.177+40.302+0+40+160+100+300)</f>
        <v>64.876192230695651</v>
      </c>
      <c r="AC843" s="45">
        <f>(M843*'RAP TEMPLATE-GAS AVAILABILITY'!O842+N843*'RAP TEMPLATE-GAS AVAILABILITY'!P842+O843*'RAP TEMPLATE-GAS AVAILABILITY'!Q842+P843*'RAP TEMPLATE-GAS AVAILABILITY'!R842)/('RAP TEMPLATE-GAS AVAILABILITY'!O842+'RAP TEMPLATE-GAS AVAILABILITY'!P842+'RAP TEMPLATE-GAS AVAILABILITY'!Q842+'RAP TEMPLATE-GAS AVAILABILITY'!R842)</f>
        <v>64.265336690647487</v>
      </c>
    </row>
    <row r="844" spans="1:29" ht="15.75" x14ac:dyDescent="0.25">
      <c r="A844" s="32">
        <v>66596</v>
      </c>
      <c r="B844" s="14">
        <f>CHOOSE(CONTROL!$C$42, 64.6702, 64.6702) * CHOOSE(CONTROL!$C$21, $C$9, 100%, $E$9)</f>
        <v>64.670199999999994</v>
      </c>
      <c r="C844" s="14">
        <f>CHOOSE(CONTROL!$C$42, 64.6746, 64.6746) * CHOOSE(CONTROL!$C$21, $C$9, 100%, $E$9)</f>
        <v>64.674599999999998</v>
      </c>
      <c r="D844" s="14">
        <f>CHOOSE(CONTROL!$C$42, 64.8753, 64.8753) * CHOOSE(CONTROL!$C$21, $C$9, 100%, $E$9)</f>
        <v>64.875299999999996</v>
      </c>
      <c r="E844" s="14">
        <f>CHOOSE(CONTROL!$C$42, 64.9071, 64.9071) * CHOOSE(CONTROL!$C$21, $C$9, 100%, $E$9)</f>
        <v>64.9071</v>
      </c>
      <c r="F844" s="14">
        <f>CHOOSE(CONTROL!$C$42, 64.6548, 64.6548)*CHOOSE(CONTROL!$C$21, $C$9, 100%, $E$9)</f>
        <v>64.654799999999994</v>
      </c>
      <c r="G844" s="14">
        <f>CHOOSE(CONTROL!$C$42, 64.6705, 64.6705)*CHOOSE(CONTROL!$C$21, $C$9, 100%, $E$9)</f>
        <v>64.670500000000004</v>
      </c>
      <c r="H844" s="14">
        <f>CHOOSE(CONTROL!$C$42, 64.8969, 64.8969) * CHOOSE(CONTROL!$C$21, $C$9, 100%, $E$9)</f>
        <v>64.896900000000002</v>
      </c>
      <c r="I844" s="14">
        <f>CHOOSE(CONTROL!$C$42, 64.683, 64.683)* CHOOSE(CONTROL!$C$21, $C$9, 100%, $E$9)</f>
        <v>64.683000000000007</v>
      </c>
      <c r="J844" s="14">
        <f>CHOOSE(CONTROL!$C$42, 64.6478, 64.6478)* CHOOSE(CONTROL!$C$21, $C$9, 100%, $E$9)</f>
        <v>64.647800000000004</v>
      </c>
      <c r="K844" s="53">
        <f>CHOOSE(CONTROL!$C$42, 64.6791, 64.6791) * CHOOSE(CONTROL!$C$21, $C$9, 100%, $E$9)</f>
        <v>64.679100000000005</v>
      </c>
      <c r="L844" s="14">
        <f>CHOOSE(CONTROL!$C$42, 65.4839, 65.4839) * CHOOSE(CONTROL!$C$21, $C$9, 100%, $E$9)</f>
        <v>65.483900000000006</v>
      </c>
      <c r="M844" s="14">
        <f>CHOOSE(CONTROL!$C$42, 64.0092, 64.0092) * CHOOSE(CONTROL!$C$21, $C$9, 100%, $E$9)</f>
        <v>64.009200000000007</v>
      </c>
      <c r="N844" s="14">
        <f>CHOOSE(CONTROL!$C$42, 64.0247, 64.0247) * CHOOSE(CONTROL!$C$21, $C$9, 100%, $E$9)</f>
        <v>64.024699999999996</v>
      </c>
      <c r="O844" s="14">
        <f>CHOOSE(CONTROL!$C$42, 64.2558, 64.2558) * CHOOSE(CONTROL!$C$21, $C$9, 100%, $E$9)</f>
        <v>64.255799999999994</v>
      </c>
      <c r="P844" s="14">
        <f>CHOOSE(CONTROL!$C$42, 64.0441, 64.0441) * CHOOSE(CONTROL!$C$21, $C$9, 100%, $E$9)</f>
        <v>64.0441</v>
      </c>
      <c r="Q844" s="14">
        <f>CHOOSE(CONTROL!$C$42, 64.8511, 64.8511) * CHOOSE(CONTROL!$C$21, $C$9, 100%, $E$9)</f>
        <v>64.851100000000002</v>
      </c>
      <c r="R844" s="14">
        <f>CHOOSE(CONTROL!$C$42, 65.6002, 65.6002) * CHOOSE(CONTROL!$C$21, $C$9, 100%, $E$9)</f>
        <v>65.600200000000001</v>
      </c>
      <c r="S844" s="14">
        <f>CHOOSE(CONTROL!$C$42, 62.7984, 62.7984) * CHOOSE(CONTROL!$C$21, $C$9, 100%, $E$9)</f>
        <v>62.798400000000001</v>
      </c>
      <c r="T84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44" s="57">
        <f>(1000*CHOOSE(CONTROL!$C$42, 695, 695)*CHOOSE(CONTROL!$C$42, 0.5599, 0.5599)*CHOOSE(CONTROL!$C$42, 30, 30))/1000000</f>
        <v>11.673914999999997</v>
      </c>
      <c r="V844" s="57">
        <f>(1000*CHOOSE(CONTROL!$C$42, 500, 500)*CHOOSE(CONTROL!$C$42, 0.275, 0.275)*CHOOSE(CONTROL!$C$42, 30, 30))/1000000</f>
        <v>4.125</v>
      </c>
      <c r="W844" s="57">
        <f>(1000*CHOOSE(CONTROL!$C$42, 0.1146, 0.1146)*CHOOSE(CONTROL!$C$42, 121.5, 121.5)*CHOOSE(CONTROL!$C$42, 30, 30))/1000000</f>
        <v>0.417717</v>
      </c>
      <c r="X844" s="57">
        <f>(30*0.1790888*245000/1000000)+(30*0.2374*100000/1000000)</f>
        <v>2.0285026799999999</v>
      </c>
      <c r="Y844" s="57"/>
      <c r="Z844" s="14"/>
      <c r="AA844" s="56"/>
      <c r="AB844" s="50">
        <f>(B844*141.293+C844*267.993+D844*115.016+E844*89.698+F844*40+G844*185+H844*0+I844*100+J844*300)/(141.293+267.993+115.016+89.698+0+40+185+100+300)</f>
        <v>64.702498552865222</v>
      </c>
      <c r="AC844" s="45">
        <f>(M844*'RAP TEMPLATE-GAS AVAILABILITY'!O843+N844*'RAP TEMPLATE-GAS AVAILABILITY'!P843+O844*'RAP TEMPLATE-GAS AVAILABILITY'!Q843+P844*'RAP TEMPLATE-GAS AVAILABILITY'!R843)/('RAP TEMPLATE-GAS AVAILABILITY'!O843+'RAP TEMPLATE-GAS AVAILABILITY'!P843+'RAP TEMPLATE-GAS AVAILABILITY'!Q843+'RAP TEMPLATE-GAS AVAILABILITY'!R843)</f>
        <v>64.126882014388499</v>
      </c>
    </row>
    <row r="845" spans="1:29" ht="15.75" x14ac:dyDescent="0.25">
      <c r="A845" s="32">
        <v>66627</v>
      </c>
      <c r="B845" s="14">
        <f>CHOOSE(CONTROL!$C$42, 65.2424, 65.2424) * CHOOSE(CONTROL!$C$21, $C$9, 100%, $E$9)</f>
        <v>65.242400000000004</v>
      </c>
      <c r="C845" s="14">
        <f>CHOOSE(CONTROL!$C$42, 65.2503, 65.2503) * CHOOSE(CONTROL!$C$21, $C$9, 100%, $E$9)</f>
        <v>65.250299999999996</v>
      </c>
      <c r="D845" s="14">
        <f>CHOOSE(CONTROL!$C$42, 65.4479, 65.4479) * CHOOSE(CONTROL!$C$21, $C$9, 100%, $E$9)</f>
        <v>65.447900000000004</v>
      </c>
      <c r="E845" s="14">
        <f>CHOOSE(CONTROL!$C$42, 65.479, 65.479) * CHOOSE(CONTROL!$C$21, $C$9, 100%, $E$9)</f>
        <v>65.478999999999999</v>
      </c>
      <c r="F845" s="14">
        <f>CHOOSE(CONTROL!$C$42, 65.2258, 65.2258)*CHOOSE(CONTROL!$C$21, $C$9, 100%, $E$9)</f>
        <v>65.225800000000007</v>
      </c>
      <c r="G845" s="14">
        <f>CHOOSE(CONTROL!$C$42, 65.2419, 65.2419)*CHOOSE(CONTROL!$C$21, $C$9, 100%, $E$9)</f>
        <v>65.241900000000001</v>
      </c>
      <c r="H845" s="14">
        <f>CHOOSE(CONTROL!$C$42, 65.4677, 65.4677) * CHOOSE(CONTROL!$C$21, $C$9, 100%, $E$9)</f>
        <v>65.467699999999994</v>
      </c>
      <c r="I845" s="14">
        <f>CHOOSE(CONTROL!$C$42, 65.2538, 65.2538)* CHOOSE(CONTROL!$C$21, $C$9, 100%, $E$9)</f>
        <v>65.253799999999998</v>
      </c>
      <c r="J845" s="14">
        <f>CHOOSE(CONTROL!$C$42, 65.2188, 65.2188)* CHOOSE(CONTROL!$C$21, $C$9, 100%, $E$9)</f>
        <v>65.218800000000002</v>
      </c>
      <c r="K845" s="53">
        <f>CHOOSE(CONTROL!$C$42, 65.2499, 65.2499) * CHOOSE(CONTROL!$C$21, $C$9, 100%, $E$9)</f>
        <v>65.249899999999997</v>
      </c>
      <c r="L845" s="14">
        <f>CHOOSE(CONTROL!$C$42, 66.0547, 66.0547) * CHOOSE(CONTROL!$C$21, $C$9, 100%, $E$9)</f>
        <v>66.054699999999997</v>
      </c>
      <c r="M845" s="14">
        <f>CHOOSE(CONTROL!$C$42, 64.5745, 64.5745) * CHOOSE(CONTROL!$C$21, $C$9, 100%, $E$9)</f>
        <v>64.5745</v>
      </c>
      <c r="N845" s="14">
        <f>CHOOSE(CONTROL!$C$42, 64.5904, 64.5904) * CHOOSE(CONTROL!$C$21, $C$9, 100%, $E$9)</f>
        <v>64.590400000000002</v>
      </c>
      <c r="O845" s="14">
        <f>CHOOSE(CONTROL!$C$42, 64.8208, 64.8208) * CHOOSE(CONTROL!$C$21, $C$9, 100%, $E$9)</f>
        <v>64.820800000000006</v>
      </c>
      <c r="P845" s="14">
        <f>CHOOSE(CONTROL!$C$42, 64.6091, 64.6091) * CHOOSE(CONTROL!$C$21, $C$9, 100%, $E$9)</f>
        <v>64.609099999999998</v>
      </c>
      <c r="Q845" s="14">
        <f>CHOOSE(CONTROL!$C$42, 65.4161, 65.4161) * CHOOSE(CONTROL!$C$21, $C$9, 100%, $E$9)</f>
        <v>65.4161</v>
      </c>
      <c r="R845" s="14">
        <f>CHOOSE(CONTROL!$C$42, 66.1666, 66.1666) * CHOOSE(CONTROL!$C$21, $C$9, 100%, $E$9)</f>
        <v>66.166600000000003</v>
      </c>
      <c r="S845" s="14">
        <f>CHOOSE(CONTROL!$C$42, 63.3526, 63.3526) * CHOOSE(CONTROL!$C$21, $C$9, 100%, $E$9)</f>
        <v>63.352600000000002</v>
      </c>
      <c r="T84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45" s="57">
        <f>(1000*CHOOSE(CONTROL!$C$42, 695, 695)*CHOOSE(CONTROL!$C$42, 0.5599, 0.5599)*CHOOSE(CONTROL!$C$42, 31, 31))/1000000</f>
        <v>12.063045499999998</v>
      </c>
      <c r="V845" s="57">
        <f>(1000*CHOOSE(CONTROL!$C$42, 500, 500)*CHOOSE(CONTROL!$C$42, 0.275, 0.275)*CHOOSE(CONTROL!$C$42, 31, 31))/1000000</f>
        <v>4.2625000000000002</v>
      </c>
      <c r="W845" s="57">
        <f>(1000*CHOOSE(CONTROL!$C$42, 0.1146, 0.1146)*CHOOSE(CONTROL!$C$42, 121.5, 121.5)*CHOOSE(CONTROL!$C$42, 31, 31))/1000000</f>
        <v>0.43164089999999994</v>
      </c>
      <c r="X845" s="57">
        <f>(31*0.1790888*245000/1000000)+(31*0.2374*100000/1000000)</f>
        <v>2.0961194359999999</v>
      </c>
      <c r="Y845" s="57"/>
      <c r="Z845" s="14"/>
      <c r="AA845" s="56"/>
      <c r="AB845" s="50">
        <f>(B845*194.205+C845*267.466+D845*133.845+E845*53.484+F845*40+G845*185+H845*0+I845*100+J845*300)/(194.205+267.466+133.845+53.484+0+40+185+100+300)</f>
        <v>65.27032460227629</v>
      </c>
      <c r="AC845" s="45">
        <f>(M845*'RAP TEMPLATE-GAS AVAILABILITY'!O844+N845*'RAP TEMPLATE-GAS AVAILABILITY'!P844+O845*'RAP TEMPLATE-GAS AVAILABILITY'!Q844+P845*'RAP TEMPLATE-GAS AVAILABILITY'!R844)/('RAP TEMPLATE-GAS AVAILABILITY'!O844+'RAP TEMPLATE-GAS AVAILABILITY'!P844+'RAP TEMPLATE-GAS AVAILABILITY'!Q844+'RAP TEMPLATE-GAS AVAILABILITY'!R844)</f>
        <v>64.69202589928058</v>
      </c>
    </row>
    <row r="846" spans="1:29" ht="15.75" x14ac:dyDescent="0.25">
      <c r="A846" s="32">
        <v>66657</v>
      </c>
      <c r="B846" s="14">
        <f>CHOOSE(CONTROL!$C$42, 67.0929, 67.0929) * CHOOSE(CONTROL!$C$21, $C$9, 100%, $E$9)</f>
        <v>67.0929</v>
      </c>
      <c r="C846" s="14">
        <f>CHOOSE(CONTROL!$C$42, 67.1008, 67.1008) * CHOOSE(CONTROL!$C$21, $C$9, 100%, $E$9)</f>
        <v>67.100800000000007</v>
      </c>
      <c r="D846" s="14">
        <f>CHOOSE(CONTROL!$C$42, 67.2984, 67.2984) * CHOOSE(CONTROL!$C$21, $C$9, 100%, $E$9)</f>
        <v>67.298400000000001</v>
      </c>
      <c r="E846" s="14">
        <f>CHOOSE(CONTROL!$C$42, 67.3296, 67.3296) * CHOOSE(CONTROL!$C$21, $C$9, 100%, $E$9)</f>
        <v>67.329599999999999</v>
      </c>
      <c r="F846" s="14">
        <f>CHOOSE(CONTROL!$C$42, 67.0768, 67.0768)*CHOOSE(CONTROL!$C$21, $C$9, 100%, $E$9)</f>
        <v>67.076800000000006</v>
      </c>
      <c r="G846" s="14">
        <f>CHOOSE(CONTROL!$C$42, 67.093, 67.093)*CHOOSE(CONTROL!$C$21, $C$9, 100%, $E$9)</f>
        <v>67.093000000000004</v>
      </c>
      <c r="H846" s="14">
        <f>CHOOSE(CONTROL!$C$42, 67.3182, 67.3182) * CHOOSE(CONTROL!$C$21, $C$9, 100%, $E$9)</f>
        <v>67.318200000000004</v>
      </c>
      <c r="I846" s="14">
        <f>CHOOSE(CONTROL!$C$42, 67.1043, 67.1043)* CHOOSE(CONTROL!$C$21, $C$9, 100%, $E$9)</f>
        <v>67.104299999999995</v>
      </c>
      <c r="J846" s="14">
        <f>CHOOSE(CONTROL!$C$42, 67.0698, 67.0698)* CHOOSE(CONTROL!$C$21, $C$9, 100%, $E$9)</f>
        <v>67.069800000000001</v>
      </c>
      <c r="K846" s="53">
        <f>CHOOSE(CONTROL!$C$42, 67.1004, 67.1004) * CHOOSE(CONTROL!$C$21, $C$9, 100%, $E$9)</f>
        <v>67.100399999999993</v>
      </c>
      <c r="L846" s="14">
        <f>CHOOSE(CONTROL!$C$42, 67.9052, 67.9052) * CHOOSE(CONTROL!$C$21, $C$9, 100%, $E$9)</f>
        <v>67.905199999999994</v>
      </c>
      <c r="M846" s="14">
        <f>CHOOSE(CONTROL!$C$42, 66.4067, 66.4067) * CHOOSE(CONTROL!$C$21, $C$9, 100%, $E$9)</f>
        <v>66.406700000000001</v>
      </c>
      <c r="N846" s="14">
        <f>CHOOSE(CONTROL!$C$42, 66.4228, 66.4228) * CHOOSE(CONTROL!$C$21, $C$9, 100%, $E$9)</f>
        <v>66.422799999999995</v>
      </c>
      <c r="O846" s="14">
        <f>CHOOSE(CONTROL!$C$42, 66.6527, 66.6527) * CHOOSE(CONTROL!$C$21, $C$9, 100%, $E$9)</f>
        <v>66.652699999999996</v>
      </c>
      <c r="P846" s="14">
        <f>CHOOSE(CONTROL!$C$42, 66.441, 66.441) * CHOOSE(CONTROL!$C$21, $C$9, 100%, $E$9)</f>
        <v>66.441000000000003</v>
      </c>
      <c r="Q846" s="14">
        <f>CHOOSE(CONTROL!$C$42, 67.248, 67.248) * CHOOSE(CONTROL!$C$21, $C$9, 100%, $E$9)</f>
        <v>67.248000000000005</v>
      </c>
      <c r="R846" s="14">
        <f>CHOOSE(CONTROL!$C$42, 68.0031, 68.0031) * CHOOSE(CONTROL!$C$21, $C$9, 100%, $E$9)</f>
        <v>68.003100000000003</v>
      </c>
      <c r="S846" s="14">
        <f>CHOOSE(CONTROL!$C$42, 65.1497, 65.1497) * CHOOSE(CONTROL!$C$21, $C$9, 100%, $E$9)</f>
        <v>65.149699999999996</v>
      </c>
      <c r="T84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46" s="57">
        <f>(1000*CHOOSE(CONTROL!$C$42, 695, 695)*CHOOSE(CONTROL!$C$42, 0.5599, 0.5599)*CHOOSE(CONTROL!$C$42, 30, 30))/1000000</f>
        <v>11.673914999999997</v>
      </c>
      <c r="V846" s="57">
        <f>(1000*CHOOSE(CONTROL!$C$42, 500, 500)*CHOOSE(CONTROL!$C$42, 0.275, 0.275)*CHOOSE(CONTROL!$C$42, 30, 30))/1000000</f>
        <v>4.125</v>
      </c>
      <c r="W846" s="57">
        <f>(1000*CHOOSE(CONTROL!$C$42, 0.1146, 0.1146)*CHOOSE(CONTROL!$C$42, 121.5, 121.5)*CHOOSE(CONTROL!$C$42, 30, 30))/1000000</f>
        <v>0.417717</v>
      </c>
      <c r="X846" s="57">
        <f>(30*0.1790888*245000/1000000)+(30*0.2374*100000/1000000)</f>
        <v>2.0285026799999999</v>
      </c>
      <c r="Y846" s="57"/>
      <c r="Z846" s="14"/>
      <c r="AA846" s="56"/>
      <c r="AB846" s="50">
        <f>(B846*194.205+C846*267.466+D846*133.845+E846*53.484+F846*40+G846*185+H846*0+I846*100+J846*300)/(194.205+267.466+133.845+53.484+0+40+185+100+300)</f>
        <v>67.121049365541609</v>
      </c>
      <c r="AC846" s="45">
        <f>(M846*'RAP TEMPLATE-GAS AVAILABILITY'!O845+N846*'RAP TEMPLATE-GAS AVAILABILITY'!P845+O846*'RAP TEMPLATE-GAS AVAILABILITY'!Q845+P846*'RAP TEMPLATE-GAS AVAILABILITY'!R845)/('RAP TEMPLATE-GAS AVAILABILITY'!O845+'RAP TEMPLATE-GAS AVAILABILITY'!P845+'RAP TEMPLATE-GAS AVAILABILITY'!Q845+'RAP TEMPLATE-GAS AVAILABILITY'!R845)</f>
        <v>66.5240582733813</v>
      </c>
    </row>
    <row r="847" spans="1:29" ht="15.75" x14ac:dyDescent="0.25">
      <c r="A847" s="32">
        <v>66688</v>
      </c>
      <c r="B847" s="14">
        <f>CHOOSE(CONTROL!$C$42, 65.8059, 65.8059) * CHOOSE(CONTROL!$C$21, $C$9, 100%, $E$9)</f>
        <v>65.805899999999994</v>
      </c>
      <c r="C847" s="14">
        <f>CHOOSE(CONTROL!$C$42, 65.8138, 65.8138) * CHOOSE(CONTROL!$C$21, $C$9, 100%, $E$9)</f>
        <v>65.813800000000001</v>
      </c>
      <c r="D847" s="14">
        <f>CHOOSE(CONTROL!$C$42, 66.0114, 66.0114) * CHOOSE(CONTROL!$C$21, $C$9, 100%, $E$9)</f>
        <v>66.011399999999995</v>
      </c>
      <c r="E847" s="14">
        <f>CHOOSE(CONTROL!$C$42, 66.0425, 66.0425) * CHOOSE(CONTROL!$C$21, $C$9, 100%, $E$9)</f>
        <v>66.042500000000004</v>
      </c>
      <c r="F847" s="14">
        <f>CHOOSE(CONTROL!$C$42, 65.7901, 65.7901)*CHOOSE(CONTROL!$C$21, $C$9, 100%, $E$9)</f>
        <v>65.790099999999995</v>
      </c>
      <c r="G847" s="14">
        <f>CHOOSE(CONTROL!$C$42, 65.8064, 65.8064)*CHOOSE(CONTROL!$C$21, $C$9, 100%, $E$9)</f>
        <v>65.806399999999996</v>
      </c>
      <c r="H847" s="14">
        <f>CHOOSE(CONTROL!$C$42, 66.0311, 66.0311) * CHOOSE(CONTROL!$C$21, $C$9, 100%, $E$9)</f>
        <v>66.031099999999995</v>
      </c>
      <c r="I847" s="14">
        <f>CHOOSE(CONTROL!$C$42, 65.8172, 65.8172)* CHOOSE(CONTROL!$C$21, $C$9, 100%, $E$9)</f>
        <v>65.8172</v>
      </c>
      <c r="J847" s="14">
        <f>CHOOSE(CONTROL!$C$42, 65.7831, 65.7831)* CHOOSE(CONTROL!$C$21, $C$9, 100%, $E$9)</f>
        <v>65.783100000000005</v>
      </c>
      <c r="K847" s="53">
        <f>CHOOSE(CONTROL!$C$42, 65.8133, 65.8133) * CHOOSE(CONTROL!$C$21, $C$9, 100%, $E$9)</f>
        <v>65.813299999999998</v>
      </c>
      <c r="L847" s="14">
        <f>CHOOSE(CONTROL!$C$42, 66.6181, 66.6181) * CHOOSE(CONTROL!$C$21, $C$9, 100%, $E$9)</f>
        <v>66.618099999999998</v>
      </c>
      <c r="M847" s="14">
        <f>CHOOSE(CONTROL!$C$42, 65.1331, 65.1331) * CHOOSE(CONTROL!$C$21, $C$9, 100%, $E$9)</f>
        <v>65.133099999999999</v>
      </c>
      <c r="N847" s="14">
        <f>CHOOSE(CONTROL!$C$42, 65.1492, 65.1492) * CHOOSE(CONTROL!$C$21, $C$9, 100%, $E$9)</f>
        <v>65.149199999999993</v>
      </c>
      <c r="O847" s="14">
        <f>CHOOSE(CONTROL!$C$42, 65.3786, 65.3786) * CHOOSE(CONTROL!$C$21, $C$9, 100%, $E$9)</f>
        <v>65.378600000000006</v>
      </c>
      <c r="P847" s="14">
        <f>CHOOSE(CONTROL!$C$42, 65.1669, 65.1669) * CHOOSE(CONTROL!$C$21, $C$9, 100%, $E$9)</f>
        <v>65.166899999999998</v>
      </c>
      <c r="Q847" s="14">
        <f>CHOOSE(CONTROL!$C$42, 65.9739, 65.9739) * CHOOSE(CONTROL!$C$21, $C$9, 100%, $E$9)</f>
        <v>65.9739</v>
      </c>
      <c r="R847" s="14">
        <f>CHOOSE(CONTROL!$C$42, 66.7258, 66.7258) * CHOOSE(CONTROL!$C$21, $C$9, 100%, $E$9)</f>
        <v>66.725800000000007</v>
      </c>
      <c r="S847" s="14">
        <f>CHOOSE(CONTROL!$C$42, 63.8998, 63.8998) * CHOOSE(CONTROL!$C$21, $C$9, 100%, $E$9)</f>
        <v>63.899799999999999</v>
      </c>
      <c r="T84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47" s="57">
        <f>(1000*CHOOSE(CONTROL!$C$42, 695, 695)*CHOOSE(CONTROL!$C$42, 0.5599, 0.5599)*CHOOSE(CONTROL!$C$42, 31, 31))/1000000</f>
        <v>12.063045499999998</v>
      </c>
      <c r="V847" s="57">
        <f>(1000*CHOOSE(CONTROL!$C$42, 500, 500)*CHOOSE(CONTROL!$C$42, 0.275, 0.275)*CHOOSE(CONTROL!$C$42, 31, 31))/1000000</f>
        <v>4.2625000000000002</v>
      </c>
      <c r="W847" s="57">
        <f>(1000*CHOOSE(CONTROL!$C$42, 0.1146, 0.1146)*CHOOSE(CONTROL!$C$42, 121.5, 121.5)*CHOOSE(CONTROL!$C$42, 31, 31))/1000000</f>
        <v>0.43164089999999994</v>
      </c>
      <c r="X847" s="57">
        <f>(31*0.1790888*245000/1000000)+(31*0.2374*100000/1000000)</f>
        <v>2.0961194359999999</v>
      </c>
      <c r="Y847" s="57"/>
      <c r="Z847" s="14"/>
      <c r="AA847" s="56"/>
      <c r="AB847" s="50">
        <f>(B847*194.205+C847*267.466+D847*133.845+E847*53.484+F847*40+G847*185+H847*0+I847*100+J847*300)/(194.205+267.466+133.845+53.484+0+40+185+100+300)</f>
        <v>65.834175465698593</v>
      </c>
      <c r="AC847" s="45">
        <f>(M847*'RAP TEMPLATE-GAS AVAILABILITY'!O846+N847*'RAP TEMPLATE-GAS AVAILABILITY'!P846+O847*'RAP TEMPLATE-GAS AVAILABILITY'!Q846+P847*'RAP TEMPLATE-GAS AVAILABILITY'!R846)/('RAP TEMPLATE-GAS AVAILABILITY'!O846+'RAP TEMPLATE-GAS AVAILABILITY'!P846+'RAP TEMPLATE-GAS AVAILABILITY'!Q846+'RAP TEMPLATE-GAS AVAILABILITY'!R846)</f>
        <v>65.250159712230229</v>
      </c>
    </row>
    <row r="848" spans="1:29" ht="15.75" x14ac:dyDescent="0.25">
      <c r="A848" s="32">
        <v>66719</v>
      </c>
      <c r="B848" s="14">
        <f>CHOOSE(CONTROL!$C$42, 62.5556, 62.5556) * CHOOSE(CONTROL!$C$21, $C$9, 100%, $E$9)</f>
        <v>62.555599999999998</v>
      </c>
      <c r="C848" s="14">
        <f>CHOOSE(CONTROL!$C$42, 62.5636, 62.5636) * CHOOSE(CONTROL!$C$21, $C$9, 100%, $E$9)</f>
        <v>62.563600000000001</v>
      </c>
      <c r="D848" s="14">
        <f>CHOOSE(CONTROL!$C$42, 62.7611, 62.7611) * CHOOSE(CONTROL!$C$21, $C$9, 100%, $E$9)</f>
        <v>62.761099999999999</v>
      </c>
      <c r="E848" s="14">
        <f>CHOOSE(CONTROL!$C$42, 62.7923, 62.7923) * CHOOSE(CONTROL!$C$21, $C$9, 100%, $E$9)</f>
        <v>62.792299999999997</v>
      </c>
      <c r="F848" s="14">
        <f>CHOOSE(CONTROL!$C$42, 62.5401, 62.5401)*CHOOSE(CONTROL!$C$21, $C$9, 100%, $E$9)</f>
        <v>62.540100000000002</v>
      </c>
      <c r="G848" s="14">
        <f>CHOOSE(CONTROL!$C$42, 62.5564, 62.5564)*CHOOSE(CONTROL!$C$21, $C$9, 100%, $E$9)</f>
        <v>62.556399999999996</v>
      </c>
      <c r="H848" s="14">
        <f>CHOOSE(CONTROL!$C$42, 62.7809, 62.7809) * CHOOSE(CONTROL!$C$21, $C$9, 100%, $E$9)</f>
        <v>62.780900000000003</v>
      </c>
      <c r="I848" s="14">
        <f>CHOOSE(CONTROL!$C$42, 62.567, 62.567)* CHOOSE(CONTROL!$C$21, $C$9, 100%, $E$9)</f>
        <v>62.567</v>
      </c>
      <c r="J848" s="14">
        <f>CHOOSE(CONTROL!$C$42, 62.5331, 62.5331)* CHOOSE(CONTROL!$C$21, $C$9, 100%, $E$9)</f>
        <v>62.533099999999997</v>
      </c>
      <c r="K848" s="53">
        <f>CHOOSE(CONTROL!$C$42, 62.5631, 62.5631) * CHOOSE(CONTROL!$C$21, $C$9, 100%, $E$9)</f>
        <v>62.563099999999999</v>
      </c>
      <c r="L848" s="14">
        <f>CHOOSE(CONTROL!$C$42, 63.3679, 63.3679) * CHOOSE(CONTROL!$C$21, $C$9, 100%, $E$9)</f>
        <v>63.367899999999999</v>
      </c>
      <c r="M848" s="14">
        <f>CHOOSE(CONTROL!$C$42, 61.9158, 61.9158) * CHOOSE(CONTROL!$C$21, $C$9, 100%, $E$9)</f>
        <v>61.915799999999997</v>
      </c>
      <c r="N848" s="14">
        <f>CHOOSE(CONTROL!$C$42, 61.932, 61.932) * CHOOSE(CONTROL!$C$21, $C$9, 100%, $E$9)</f>
        <v>61.932000000000002</v>
      </c>
      <c r="O848" s="14">
        <f>CHOOSE(CONTROL!$C$42, 62.1612, 62.1612) * CHOOSE(CONTROL!$C$21, $C$9, 100%, $E$9)</f>
        <v>62.161200000000001</v>
      </c>
      <c r="P848" s="14">
        <f>CHOOSE(CONTROL!$C$42, 61.9495, 61.9495) * CHOOSE(CONTROL!$C$21, $C$9, 100%, $E$9)</f>
        <v>61.9495</v>
      </c>
      <c r="Q848" s="14">
        <f>CHOOSE(CONTROL!$C$42, 62.7565, 62.7565) * CHOOSE(CONTROL!$C$21, $C$9, 100%, $E$9)</f>
        <v>62.756500000000003</v>
      </c>
      <c r="R848" s="14">
        <f>CHOOSE(CONTROL!$C$42, 63.5004, 63.5004) * CHOOSE(CONTROL!$C$21, $C$9, 100%, $E$9)</f>
        <v>63.500399999999999</v>
      </c>
      <c r="S848" s="14">
        <f>CHOOSE(CONTROL!$C$42, 60.7435, 60.7435) * CHOOSE(CONTROL!$C$21, $C$9, 100%, $E$9)</f>
        <v>60.743499999999997</v>
      </c>
      <c r="T84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48" s="57">
        <f>(1000*CHOOSE(CONTROL!$C$42, 695, 695)*CHOOSE(CONTROL!$C$42, 0.5599, 0.5599)*CHOOSE(CONTROL!$C$42, 31, 31))/1000000</f>
        <v>12.063045499999998</v>
      </c>
      <c r="V848" s="57">
        <f>(1000*CHOOSE(CONTROL!$C$42, 500, 500)*CHOOSE(CONTROL!$C$42, 0.275, 0.275)*CHOOSE(CONTROL!$C$42, 31, 31))/1000000</f>
        <v>4.2625000000000002</v>
      </c>
      <c r="W848" s="57">
        <f>(1000*CHOOSE(CONTROL!$C$42, 0.1146, 0.1146)*CHOOSE(CONTROL!$C$42, 121.5, 121.5)*CHOOSE(CONTROL!$C$42, 31, 31))/1000000</f>
        <v>0.43164089999999994</v>
      </c>
      <c r="X848" s="57">
        <f>(31*0.1790888*245000/1000000)+(31*0.2374*100000/1000000)</f>
        <v>2.0961194359999999</v>
      </c>
      <c r="Y848" s="57"/>
      <c r="Z848" s="14"/>
      <c r="AA848" s="56"/>
      <c r="AB848" s="50">
        <f>(B848*194.205+C848*267.466+D848*133.845+E848*53.484+F848*40+G848*185+H848*0+I848*100+J848*300)/(194.205+267.466+133.845+53.484+0+40+185+100+300)</f>
        <v>62.584032133673468</v>
      </c>
      <c r="AC848" s="45">
        <f>(M848*'RAP TEMPLATE-GAS AVAILABILITY'!O847+N848*'RAP TEMPLATE-GAS AVAILABILITY'!P847+O848*'RAP TEMPLATE-GAS AVAILABILITY'!Q847+P848*'RAP TEMPLATE-GAS AVAILABILITY'!R847)/('RAP TEMPLATE-GAS AVAILABILITY'!O847+'RAP TEMPLATE-GAS AVAILABILITY'!P847+'RAP TEMPLATE-GAS AVAILABILITY'!Q847+'RAP TEMPLATE-GAS AVAILABILITY'!R847)</f>
        <v>62.032805755395685</v>
      </c>
    </row>
    <row r="849" spans="1:29" ht="15.75" x14ac:dyDescent="0.25">
      <c r="A849" s="32">
        <v>66749</v>
      </c>
      <c r="B849" s="14">
        <f>CHOOSE(CONTROL!$C$42, 58.5841, 58.5841) * CHOOSE(CONTROL!$C$21, $C$9, 100%, $E$9)</f>
        <v>58.584099999999999</v>
      </c>
      <c r="C849" s="14">
        <f>CHOOSE(CONTROL!$C$42, 58.592, 58.592) * CHOOSE(CONTROL!$C$21, $C$9, 100%, $E$9)</f>
        <v>58.591999999999999</v>
      </c>
      <c r="D849" s="14">
        <f>CHOOSE(CONTROL!$C$42, 58.7896, 58.7896) * CHOOSE(CONTROL!$C$21, $C$9, 100%, $E$9)</f>
        <v>58.7896</v>
      </c>
      <c r="E849" s="14">
        <f>CHOOSE(CONTROL!$C$42, 58.8207, 58.8207) * CHOOSE(CONTROL!$C$21, $C$9, 100%, $E$9)</f>
        <v>58.820700000000002</v>
      </c>
      <c r="F849" s="14">
        <f>CHOOSE(CONTROL!$C$42, 58.5684, 58.5684)*CHOOSE(CONTROL!$C$21, $C$9, 100%, $E$9)</f>
        <v>58.568399999999997</v>
      </c>
      <c r="G849" s="14">
        <f>CHOOSE(CONTROL!$C$42, 58.5848, 58.5848)*CHOOSE(CONTROL!$C$21, $C$9, 100%, $E$9)</f>
        <v>58.584800000000001</v>
      </c>
      <c r="H849" s="14">
        <f>CHOOSE(CONTROL!$C$42, 58.8093, 58.8093) * CHOOSE(CONTROL!$C$21, $C$9, 100%, $E$9)</f>
        <v>58.8093</v>
      </c>
      <c r="I849" s="14">
        <f>CHOOSE(CONTROL!$C$42, 58.5954, 58.5954)* CHOOSE(CONTROL!$C$21, $C$9, 100%, $E$9)</f>
        <v>58.595399999999998</v>
      </c>
      <c r="J849" s="14">
        <f>CHOOSE(CONTROL!$C$42, 58.5614, 58.5614)* CHOOSE(CONTROL!$C$21, $C$9, 100%, $E$9)</f>
        <v>58.561399999999999</v>
      </c>
      <c r="K849" s="53">
        <f>CHOOSE(CONTROL!$C$42, 58.5915, 58.5915) * CHOOSE(CONTROL!$C$21, $C$9, 100%, $E$9)</f>
        <v>58.591500000000003</v>
      </c>
      <c r="L849" s="14">
        <f>CHOOSE(CONTROL!$C$42, 59.3963, 59.3963) * CHOOSE(CONTROL!$C$21, $C$9, 100%, $E$9)</f>
        <v>59.396299999999997</v>
      </c>
      <c r="M849" s="14">
        <f>CHOOSE(CONTROL!$C$42, 57.9843, 57.9843) * CHOOSE(CONTROL!$C$21, $C$9, 100%, $E$9)</f>
        <v>57.984299999999998</v>
      </c>
      <c r="N849" s="14">
        <f>CHOOSE(CONTROL!$C$42, 58.0005, 58.0005) * CHOOSE(CONTROL!$C$21, $C$9, 100%, $E$9)</f>
        <v>58.000500000000002</v>
      </c>
      <c r="O849" s="14">
        <f>CHOOSE(CONTROL!$C$42, 58.2297, 58.2297) * CHOOSE(CONTROL!$C$21, $C$9, 100%, $E$9)</f>
        <v>58.229700000000001</v>
      </c>
      <c r="P849" s="14">
        <f>CHOOSE(CONTROL!$C$42, 58.018, 58.018) * CHOOSE(CONTROL!$C$21, $C$9, 100%, $E$9)</f>
        <v>58.018000000000001</v>
      </c>
      <c r="Q849" s="14">
        <f>CHOOSE(CONTROL!$C$42, 58.825, 58.825) * CHOOSE(CONTROL!$C$21, $C$9, 100%, $E$9)</f>
        <v>58.825000000000003</v>
      </c>
      <c r="R849" s="14">
        <f>CHOOSE(CONTROL!$C$42, 59.559, 59.559) * CHOOSE(CONTROL!$C$21, $C$9, 100%, $E$9)</f>
        <v>59.558999999999997</v>
      </c>
      <c r="S849" s="14">
        <f>CHOOSE(CONTROL!$C$42, 56.8867, 56.8867) * CHOOSE(CONTROL!$C$21, $C$9, 100%, $E$9)</f>
        <v>56.886699999999998</v>
      </c>
      <c r="T84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49" s="57">
        <f>(1000*CHOOSE(CONTROL!$C$42, 695, 695)*CHOOSE(CONTROL!$C$42, 0.5599, 0.5599)*CHOOSE(CONTROL!$C$42, 30, 30))/1000000</f>
        <v>11.673914999999997</v>
      </c>
      <c r="V849" s="57">
        <f>(1000*CHOOSE(CONTROL!$C$42, 500, 500)*CHOOSE(CONTROL!$C$42, 0.275, 0.275)*CHOOSE(CONTROL!$C$42, 30, 30))/1000000</f>
        <v>4.125</v>
      </c>
      <c r="W849" s="57">
        <f>(1000*CHOOSE(CONTROL!$C$42, 0.1146, 0.1146)*CHOOSE(CONTROL!$C$42, 121.5, 121.5)*CHOOSE(CONTROL!$C$42, 30, 30))/1000000</f>
        <v>0.417717</v>
      </c>
      <c r="X849" s="57">
        <f>(30*0.1790888*245000/1000000)+(30*0.2374*100000/1000000)</f>
        <v>2.0285026799999999</v>
      </c>
      <c r="Y849" s="57"/>
      <c r="Z849" s="14"/>
      <c r="AA849" s="56"/>
      <c r="AB849" s="50">
        <f>(B849*194.205+C849*267.466+D849*133.845+E849*53.484+F849*40+G849*185+H849*0+I849*100+J849*300)/(194.205+267.466+133.845+53.484+0+40+185+100+300)</f>
        <v>58.612431195682881</v>
      </c>
      <c r="AC849" s="45">
        <f>(M849*'RAP TEMPLATE-GAS AVAILABILITY'!O848+N849*'RAP TEMPLATE-GAS AVAILABILITY'!P848+O849*'RAP TEMPLATE-GAS AVAILABILITY'!Q848+P849*'RAP TEMPLATE-GAS AVAILABILITY'!R848)/('RAP TEMPLATE-GAS AVAILABILITY'!O848+'RAP TEMPLATE-GAS AVAILABILITY'!P848+'RAP TEMPLATE-GAS AVAILABILITY'!Q848+'RAP TEMPLATE-GAS AVAILABILITY'!R848)</f>
        <v>58.101305755395686</v>
      </c>
    </row>
    <row r="850" spans="1:29" ht="15.75" x14ac:dyDescent="0.25">
      <c r="A850" s="32">
        <v>66780</v>
      </c>
      <c r="B850" s="14">
        <f>CHOOSE(CONTROL!$C$42, 57.3929, 57.3929) * CHOOSE(CONTROL!$C$21, $C$9, 100%, $E$9)</f>
        <v>57.392899999999997</v>
      </c>
      <c r="C850" s="14">
        <f>CHOOSE(CONTROL!$C$42, 57.3981, 57.3981) * CHOOSE(CONTROL!$C$21, $C$9, 100%, $E$9)</f>
        <v>57.398099999999999</v>
      </c>
      <c r="D850" s="14">
        <f>CHOOSE(CONTROL!$C$42, 57.6007, 57.6007) * CHOOSE(CONTROL!$C$21, $C$9, 100%, $E$9)</f>
        <v>57.600700000000003</v>
      </c>
      <c r="E850" s="14">
        <f>CHOOSE(CONTROL!$C$42, 57.6295, 57.6295) * CHOOSE(CONTROL!$C$21, $C$9, 100%, $E$9)</f>
        <v>57.6295</v>
      </c>
      <c r="F850" s="14">
        <f>CHOOSE(CONTROL!$C$42, 57.3793, 57.3793)*CHOOSE(CONTROL!$C$21, $C$9, 100%, $E$9)</f>
        <v>57.379300000000001</v>
      </c>
      <c r="G850" s="14">
        <f>CHOOSE(CONTROL!$C$42, 57.3953, 57.3953)*CHOOSE(CONTROL!$C$21, $C$9, 100%, $E$9)</f>
        <v>57.395299999999999</v>
      </c>
      <c r="H850" s="14">
        <f>CHOOSE(CONTROL!$C$42, 57.62, 57.62) * CHOOSE(CONTROL!$C$21, $C$9, 100%, $E$9)</f>
        <v>57.62</v>
      </c>
      <c r="I850" s="14">
        <f>CHOOSE(CONTROL!$C$42, 57.406, 57.406)* CHOOSE(CONTROL!$C$21, $C$9, 100%, $E$9)</f>
        <v>57.405999999999999</v>
      </c>
      <c r="J850" s="14">
        <f>CHOOSE(CONTROL!$C$42, 57.3723, 57.3723)* CHOOSE(CONTROL!$C$21, $C$9, 100%, $E$9)</f>
        <v>57.372300000000003</v>
      </c>
      <c r="K850" s="53">
        <f>CHOOSE(CONTROL!$C$42, 57.4022, 57.4022) * CHOOSE(CONTROL!$C$21, $C$9, 100%, $E$9)</f>
        <v>57.402200000000001</v>
      </c>
      <c r="L850" s="14">
        <f>CHOOSE(CONTROL!$C$42, 58.207, 58.207) * CHOOSE(CONTROL!$C$21, $C$9, 100%, $E$9)</f>
        <v>58.207000000000001</v>
      </c>
      <c r="M850" s="14">
        <f>CHOOSE(CONTROL!$C$42, 56.8071, 56.8071) * CHOOSE(CONTROL!$C$21, $C$9, 100%, $E$9)</f>
        <v>56.807099999999998</v>
      </c>
      <c r="N850" s="14">
        <f>CHOOSE(CONTROL!$C$42, 56.823, 56.823) * CHOOSE(CONTROL!$C$21, $C$9, 100%, $E$9)</f>
        <v>56.823</v>
      </c>
      <c r="O850" s="14">
        <f>CHOOSE(CONTROL!$C$42, 57.0523, 57.0523) * CHOOSE(CONTROL!$C$21, $C$9, 100%, $E$9)</f>
        <v>57.052300000000002</v>
      </c>
      <c r="P850" s="14">
        <f>CHOOSE(CONTROL!$C$42, 56.8406, 56.8406) * CHOOSE(CONTROL!$C$21, $C$9, 100%, $E$9)</f>
        <v>56.840600000000002</v>
      </c>
      <c r="Q850" s="14">
        <f>CHOOSE(CONTROL!$C$42, 57.6476, 57.6476) * CHOOSE(CONTROL!$C$21, $C$9, 100%, $E$9)</f>
        <v>57.647599999999997</v>
      </c>
      <c r="R850" s="14">
        <f>CHOOSE(CONTROL!$C$42, 58.3787, 58.3787) * CHOOSE(CONTROL!$C$21, $C$9, 100%, $E$9)</f>
        <v>58.378700000000002</v>
      </c>
      <c r="S850" s="14">
        <f>CHOOSE(CONTROL!$C$42, 55.7317, 55.7317) * CHOOSE(CONTROL!$C$21, $C$9, 100%, $E$9)</f>
        <v>55.731699999999996</v>
      </c>
      <c r="T85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50" s="57">
        <f>(1000*CHOOSE(CONTROL!$C$42, 695, 695)*CHOOSE(CONTROL!$C$42, 0.5599, 0.5599)*CHOOSE(CONTROL!$C$42, 31, 31))/1000000</f>
        <v>12.063045499999998</v>
      </c>
      <c r="V850" s="57">
        <f>(1000*CHOOSE(CONTROL!$C$42, 500, 500)*CHOOSE(CONTROL!$C$42, 0.275, 0.275)*CHOOSE(CONTROL!$C$42, 31, 31))/1000000</f>
        <v>4.2625000000000002</v>
      </c>
      <c r="W850" s="57">
        <f>(1000*CHOOSE(CONTROL!$C$42, 0.1146, 0.1146)*CHOOSE(CONTROL!$C$42, 121.5, 121.5)*CHOOSE(CONTROL!$C$42, 31, 31))/1000000</f>
        <v>0.43164089999999994</v>
      </c>
      <c r="X850" s="57">
        <f>(31*0.1790888*245000/1000000)+(31*0.2374*100000/1000000)</f>
        <v>2.0961194359999999</v>
      </c>
      <c r="Y850" s="57"/>
      <c r="Z850" s="14"/>
      <c r="AA850" s="56"/>
      <c r="AB850" s="50">
        <f>(B850*131.881+C850*277.167+D850*79.08+E850*125.872+F850*40+G850*185+H850*0+I850*100+J850*300)/(131.881+277.167+79.08+125.872+0+40+185+100+300)</f>
        <v>57.427351499273612</v>
      </c>
      <c r="AC850" s="45">
        <f>(M850*'RAP TEMPLATE-GAS AVAILABILITY'!O849+N850*'RAP TEMPLATE-GAS AVAILABILITY'!P849+O850*'RAP TEMPLATE-GAS AVAILABILITY'!Q849+P850*'RAP TEMPLATE-GAS AVAILABILITY'!R849)/('RAP TEMPLATE-GAS AVAILABILITY'!O849+'RAP TEMPLATE-GAS AVAILABILITY'!P849+'RAP TEMPLATE-GAS AVAILABILITY'!Q849+'RAP TEMPLATE-GAS AVAILABILITY'!R849)</f>
        <v>56.923969064748199</v>
      </c>
    </row>
    <row r="851" spans="1:29" ht="15.75" x14ac:dyDescent="0.25">
      <c r="A851" s="32">
        <v>66810</v>
      </c>
      <c r="B851" s="14">
        <f>CHOOSE(CONTROL!$C$42, 58.9044, 58.9044) * CHOOSE(CONTROL!$C$21, $C$9, 100%, $E$9)</f>
        <v>58.904400000000003</v>
      </c>
      <c r="C851" s="14">
        <f>CHOOSE(CONTROL!$C$42, 58.9094, 58.9094) * CHOOSE(CONTROL!$C$21, $C$9, 100%, $E$9)</f>
        <v>58.909399999999998</v>
      </c>
      <c r="D851" s="14">
        <f>CHOOSE(CONTROL!$C$42, 58.9725, 58.9725) * CHOOSE(CONTROL!$C$21, $C$9, 100%, $E$9)</f>
        <v>58.972499999999997</v>
      </c>
      <c r="E851" s="14">
        <f>CHOOSE(CONTROL!$C$42, 59.0062, 59.0062) * CHOOSE(CONTROL!$C$21, $C$9, 100%, $E$9)</f>
        <v>59.0062</v>
      </c>
      <c r="F851" s="14">
        <f>CHOOSE(CONTROL!$C$42, 58.9051, 58.9051)*CHOOSE(CONTROL!$C$21, $C$9, 100%, $E$9)</f>
        <v>58.905099999999997</v>
      </c>
      <c r="G851" s="14">
        <f>CHOOSE(CONTROL!$C$42, 58.9214, 58.9214)*CHOOSE(CONTROL!$C$21, $C$9, 100%, $E$9)</f>
        <v>58.921399999999998</v>
      </c>
      <c r="H851" s="14">
        <f>CHOOSE(CONTROL!$C$42, 58.9954, 58.9954) * CHOOSE(CONTROL!$C$21, $C$9, 100%, $E$9)</f>
        <v>58.995399999999997</v>
      </c>
      <c r="I851" s="14">
        <f>CHOOSE(CONTROL!$C$42, 58.918, 58.918)* CHOOSE(CONTROL!$C$21, $C$9, 100%, $E$9)</f>
        <v>58.917999999999999</v>
      </c>
      <c r="J851" s="14">
        <f>CHOOSE(CONTROL!$C$42, 58.8981, 58.8981)* CHOOSE(CONTROL!$C$21, $C$9, 100%, $E$9)</f>
        <v>58.898099999999999</v>
      </c>
      <c r="K851" s="53">
        <f>CHOOSE(CONTROL!$C$42, 58.9141, 58.9141) * CHOOSE(CONTROL!$C$21, $C$9, 100%, $E$9)</f>
        <v>58.914099999999998</v>
      </c>
      <c r="L851" s="14">
        <f>CHOOSE(CONTROL!$C$42, 59.5824, 59.5824) * CHOOSE(CONTROL!$C$21, $C$9, 100%, $E$9)</f>
        <v>59.5824</v>
      </c>
      <c r="M851" s="14">
        <f>CHOOSE(CONTROL!$C$42, 58.3176, 58.3176) * CHOOSE(CONTROL!$C$21, $C$9, 100%, $E$9)</f>
        <v>58.317599999999999</v>
      </c>
      <c r="N851" s="14">
        <f>CHOOSE(CONTROL!$C$42, 58.3337, 58.3337) * CHOOSE(CONTROL!$C$21, $C$9, 100%, $E$9)</f>
        <v>58.3337</v>
      </c>
      <c r="O851" s="14">
        <f>CHOOSE(CONTROL!$C$42, 58.4139, 58.4139) * CHOOSE(CONTROL!$C$21, $C$9, 100%, $E$9)</f>
        <v>58.413899999999998</v>
      </c>
      <c r="P851" s="14">
        <f>CHOOSE(CONTROL!$C$42, 58.3372, 58.3372) * CHOOSE(CONTROL!$C$21, $C$9, 100%, $E$9)</f>
        <v>58.337200000000003</v>
      </c>
      <c r="Q851" s="14">
        <f>CHOOSE(CONTROL!$C$42, 59.0092, 59.0092) * CHOOSE(CONTROL!$C$21, $C$9, 100%, $E$9)</f>
        <v>59.0092</v>
      </c>
      <c r="R851" s="14">
        <f>CHOOSE(CONTROL!$C$42, 59.7437, 59.7437) * CHOOSE(CONTROL!$C$21, $C$9, 100%, $E$9)</f>
        <v>59.743699999999997</v>
      </c>
      <c r="S851" s="14">
        <f>CHOOSE(CONTROL!$C$42, 57.1999, 57.1999) * CHOOSE(CONTROL!$C$21, $C$9, 100%, $E$9)</f>
        <v>57.1999</v>
      </c>
      <c r="T85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51" s="57">
        <f>(1000*CHOOSE(CONTROL!$C$42, 695, 695)*CHOOSE(CONTROL!$C$42, 0.5599, 0.5599)*CHOOSE(CONTROL!$C$42, 30, 30))/1000000</f>
        <v>11.673914999999997</v>
      </c>
      <c r="V851" s="57">
        <f>(1000*CHOOSE(CONTROL!$C$42, 500, 500)*CHOOSE(CONTROL!$C$42, 0.275, 0.275)*CHOOSE(CONTROL!$C$42, 30, 30))/1000000</f>
        <v>4.125</v>
      </c>
      <c r="W851" s="57">
        <f>(1000*CHOOSE(CONTROL!$C$42, 0.1146, 0.1146)*CHOOSE(CONTROL!$C$42, 121.5, 121.5)*CHOOSE(CONTROL!$C$42, 30, 30))/1000000</f>
        <v>0.417717</v>
      </c>
      <c r="X851" s="57">
        <f>(30*0.1790888*100000/1000000)+(30*0.2374*100000/1000000)</f>
        <v>1.2494664</v>
      </c>
      <c r="Y851" s="57"/>
      <c r="Z851" s="14"/>
      <c r="AA851" s="56"/>
      <c r="AB851" s="50">
        <f>(B851*122.58+C851*297.941+D851*89.177+E851*40.302+F851*40+G851*160+H851*0+I851*100+J851*300)/(122.58+297.941+89.177+40.302+0+40+160+100+300)</f>
        <v>58.916472523739138</v>
      </c>
      <c r="AC851" s="45">
        <f>(M851*'RAP TEMPLATE-GAS AVAILABILITY'!O850+N851*'RAP TEMPLATE-GAS AVAILABILITY'!P850+O851*'RAP TEMPLATE-GAS AVAILABILITY'!Q850+P851*'RAP TEMPLATE-GAS AVAILABILITY'!R850)/('RAP TEMPLATE-GAS AVAILABILITY'!O850+'RAP TEMPLATE-GAS AVAILABILITY'!P850+'RAP TEMPLATE-GAS AVAILABILITY'!Q850+'RAP TEMPLATE-GAS AVAILABILITY'!R850)</f>
        <v>58.364993525179855</v>
      </c>
    </row>
    <row r="852" spans="1:29" ht="15.75" x14ac:dyDescent="0.25">
      <c r="A852" s="32">
        <v>66841</v>
      </c>
      <c r="B852" s="14">
        <f>CHOOSE(CONTROL!$C$42, 62.9203, 62.9203) * CHOOSE(CONTROL!$C$21, $C$9, 100%, $E$9)</f>
        <v>62.920299999999997</v>
      </c>
      <c r="C852" s="14">
        <f>CHOOSE(CONTROL!$C$42, 62.9253, 62.9253) * CHOOSE(CONTROL!$C$21, $C$9, 100%, $E$9)</f>
        <v>62.9253</v>
      </c>
      <c r="D852" s="14">
        <f>CHOOSE(CONTROL!$C$42, 62.9883, 62.9883) * CHOOSE(CONTROL!$C$21, $C$9, 100%, $E$9)</f>
        <v>62.988300000000002</v>
      </c>
      <c r="E852" s="14">
        <f>CHOOSE(CONTROL!$C$42, 63.0221, 63.0221) * CHOOSE(CONTROL!$C$21, $C$9, 100%, $E$9)</f>
        <v>63.022100000000002</v>
      </c>
      <c r="F852" s="14">
        <f>CHOOSE(CONTROL!$C$42, 62.923, 62.923)*CHOOSE(CONTROL!$C$21, $C$9, 100%, $E$9)</f>
        <v>62.923000000000002</v>
      </c>
      <c r="G852" s="14">
        <f>CHOOSE(CONTROL!$C$42, 62.9399, 62.9399)*CHOOSE(CONTROL!$C$21, $C$9, 100%, $E$9)</f>
        <v>62.939900000000002</v>
      </c>
      <c r="H852" s="14">
        <f>CHOOSE(CONTROL!$C$42, 63.0113, 63.0113) * CHOOSE(CONTROL!$C$21, $C$9, 100%, $E$9)</f>
        <v>63.011299999999999</v>
      </c>
      <c r="I852" s="14">
        <f>CHOOSE(CONTROL!$C$42, 62.9338, 62.9338)* CHOOSE(CONTROL!$C$21, $C$9, 100%, $E$9)</f>
        <v>62.933799999999998</v>
      </c>
      <c r="J852" s="14">
        <f>CHOOSE(CONTROL!$C$42, 62.916, 62.916)* CHOOSE(CONTROL!$C$21, $C$9, 100%, $E$9)</f>
        <v>62.915999999999997</v>
      </c>
      <c r="K852" s="53">
        <f>CHOOSE(CONTROL!$C$42, 62.9299, 62.9299) * CHOOSE(CONTROL!$C$21, $C$9, 100%, $E$9)</f>
        <v>62.929900000000004</v>
      </c>
      <c r="L852" s="14">
        <f>CHOOSE(CONTROL!$C$42, 63.5983, 63.5983) * CHOOSE(CONTROL!$C$21, $C$9, 100%, $E$9)</f>
        <v>63.598300000000002</v>
      </c>
      <c r="M852" s="14">
        <f>CHOOSE(CONTROL!$C$42, 62.2949, 62.2949) * CHOOSE(CONTROL!$C$21, $C$9, 100%, $E$9)</f>
        <v>62.294899999999998</v>
      </c>
      <c r="N852" s="14">
        <f>CHOOSE(CONTROL!$C$42, 62.3116, 62.3116) * CHOOSE(CONTROL!$C$21, $C$9, 100%, $E$9)</f>
        <v>62.311599999999999</v>
      </c>
      <c r="O852" s="14">
        <f>CHOOSE(CONTROL!$C$42, 62.3892, 62.3892) * CHOOSE(CONTROL!$C$21, $C$9, 100%, $E$9)</f>
        <v>62.389200000000002</v>
      </c>
      <c r="P852" s="14">
        <f>CHOOSE(CONTROL!$C$42, 62.3126, 62.3126) * CHOOSE(CONTROL!$C$21, $C$9, 100%, $E$9)</f>
        <v>62.312600000000003</v>
      </c>
      <c r="Q852" s="14">
        <f>CHOOSE(CONTROL!$C$42, 62.9845, 62.9845) * CHOOSE(CONTROL!$C$21, $C$9, 100%, $E$9)</f>
        <v>62.984499999999997</v>
      </c>
      <c r="R852" s="14">
        <f>CHOOSE(CONTROL!$C$42, 63.729, 63.729) * CHOOSE(CONTROL!$C$21, $C$9, 100%, $E$9)</f>
        <v>63.728999999999999</v>
      </c>
      <c r="S852" s="14">
        <f>CHOOSE(CONTROL!$C$42, 61.0998, 61.0998) * CHOOSE(CONTROL!$C$21, $C$9, 100%, $E$9)</f>
        <v>61.099800000000002</v>
      </c>
      <c r="T85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52" s="57">
        <f>(1000*CHOOSE(CONTROL!$C$42, 695, 695)*CHOOSE(CONTROL!$C$42, 0.5599, 0.5599)*CHOOSE(CONTROL!$C$42, 31, 31))/1000000</f>
        <v>12.063045499999998</v>
      </c>
      <c r="V852" s="57">
        <f>(1000*CHOOSE(CONTROL!$C$42, 500, 500)*CHOOSE(CONTROL!$C$42, 0.275, 0.275)*CHOOSE(CONTROL!$C$42, 31, 31))/1000000</f>
        <v>4.2625000000000002</v>
      </c>
      <c r="W852" s="57">
        <f>(1000*CHOOSE(CONTROL!$C$42, 0.1146, 0.1146)*CHOOSE(CONTROL!$C$42, 121.5, 121.5)*CHOOSE(CONTROL!$C$42, 31, 31))/1000000</f>
        <v>0.43164089999999994</v>
      </c>
      <c r="X852" s="57">
        <f>(31*0.1790888*100000/1000000)+(31*0.2374*100000/1000000)</f>
        <v>1.2911152800000001</v>
      </c>
      <c r="Y852" s="57"/>
      <c r="Z852" s="14"/>
      <c r="AA852" s="56"/>
      <c r="AB852" s="50">
        <f>(B852*122.58+C852*297.941+D852*89.177+E852*40.302+F852*40+G852*160+H852*0+I852*100+J852*300)/(122.58+297.941+89.177+40.302+0+40+160+100+300)</f>
        <v>62.933309117043464</v>
      </c>
      <c r="AC852" s="45">
        <f>(M852*'RAP TEMPLATE-GAS AVAILABILITY'!O851+N852*'RAP TEMPLATE-GAS AVAILABILITY'!P851+O852*'RAP TEMPLATE-GAS AVAILABILITY'!Q851+P852*'RAP TEMPLATE-GAS AVAILABILITY'!R851)/('RAP TEMPLATE-GAS AVAILABILITY'!O851+'RAP TEMPLATE-GAS AVAILABILITY'!P851+'RAP TEMPLATE-GAS AVAILABILITY'!Q851+'RAP TEMPLATE-GAS AVAILABILITY'!R851)</f>
        <v>62.341148201438855</v>
      </c>
    </row>
    <row r="853" spans="1:29" ht="15.75" x14ac:dyDescent="0.25">
      <c r="A853" s="32">
        <v>66872</v>
      </c>
      <c r="B853" s="14">
        <f>CHOOSE(CONTROL!$C$42, 68.0756, 68.0756) * CHOOSE(CONTROL!$C$21, $C$9, 100%, $E$9)</f>
        <v>68.075599999999994</v>
      </c>
      <c r="C853" s="14">
        <f>CHOOSE(CONTROL!$C$42, 68.0805, 68.0805) * CHOOSE(CONTROL!$C$21, $C$9, 100%, $E$9)</f>
        <v>68.080500000000001</v>
      </c>
      <c r="D853" s="14">
        <f>CHOOSE(CONTROL!$C$42, 68.1448, 68.1448) * CHOOSE(CONTROL!$C$21, $C$9, 100%, $E$9)</f>
        <v>68.144800000000004</v>
      </c>
      <c r="E853" s="14">
        <f>CHOOSE(CONTROL!$C$42, 68.1786, 68.1786) * CHOOSE(CONTROL!$C$21, $C$9, 100%, $E$9)</f>
        <v>68.178600000000003</v>
      </c>
      <c r="F853" s="14">
        <f>CHOOSE(CONTROL!$C$42, 68.0771, 68.0771)*CHOOSE(CONTROL!$C$21, $C$9, 100%, $E$9)</f>
        <v>68.077100000000002</v>
      </c>
      <c r="G853" s="14">
        <f>CHOOSE(CONTROL!$C$42, 68.093, 68.093)*CHOOSE(CONTROL!$C$21, $C$9, 100%, $E$9)</f>
        <v>68.093000000000004</v>
      </c>
      <c r="H853" s="14">
        <f>CHOOSE(CONTROL!$C$42, 68.1678, 68.1678) * CHOOSE(CONTROL!$C$21, $C$9, 100%, $E$9)</f>
        <v>68.1678</v>
      </c>
      <c r="I853" s="14">
        <f>CHOOSE(CONTROL!$C$42, 68.0955, 68.0955)* CHOOSE(CONTROL!$C$21, $C$9, 100%, $E$9)</f>
        <v>68.095500000000001</v>
      </c>
      <c r="J853" s="14">
        <f>CHOOSE(CONTROL!$C$42, 68.0701, 68.0701)* CHOOSE(CONTROL!$C$21, $C$9, 100%, $E$9)</f>
        <v>68.070099999999996</v>
      </c>
      <c r="K853" s="53">
        <f>CHOOSE(CONTROL!$C$42, 68.0916, 68.0916) * CHOOSE(CONTROL!$C$21, $C$9, 100%, $E$9)</f>
        <v>68.0916</v>
      </c>
      <c r="L853" s="14">
        <f>CHOOSE(CONTROL!$C$42, 68.7548, 68.7548) * CHOOSE(CONTROL!$C$21, $C$9, 100%, $E$9)</f>
        <v>68.754800000000003</v>
      </c>
      <c r="M853" s="14">
        <f>CHOOSE(CONTROL!$C$42, 67.3969, 67.3969) * CHOOSE(CONTROL!$C$21, $C$9, 100%, $E$9)</f>
        <v>67.396900000000002</v>
      </c>
      <c r="N853" s="14">
        <f>CHOOSE(CONTROL!$C$42, 67.4127, 67.4127) * CHOOSE(CONTROL!$C$21, $C$9, 100%, $E$9)</f>
        <v>67.412700000000001</v>
      </c>
      <c r="O853" s="14">
        <f>CHOOSE(CONTROL!$C$42, 67.4937, 67.4937) * CHOOSE(CONTROL!$C$21, $C$9, 100%, $E$9)</f>
        <v>67.493700000000004</v>
      </c>
      <c r="P853" s="14">
        <f>CHOOSE(CONTROL!$C$42, 67.4222, 67.4222) * CHOOSE(CONTROL!$C$21, $C$9, 100%, $E$9)</f>
        <v>67.422200000000004</v>
      </c>
      <c r="Q853" s="14">
        <f>CHOOSE(CONTROL!$C$42, 68.089, 68.089) * CHOOSE(CONTROL!$C$21, $C$9, 100%, $E$9)</f>
        <v>68.088999999999999</v>
      </c>
      <c r="R853" s="14">
        <f>CHOOSE(CONTROL!$C$42, 68.8462, 68.8462) * CHOOSE(CONTROL!$C$21, $C$9, 100%, $E$9)</f>
        <v>68.846199999999996</v>
      </c>
      <c r="S853" s="14">
        <f>CHOOSE(CONTROL!$C$42, 66.106, 66.106) * CHOOSE(CONTROL!$C$21, $C$9, 100%, $E$9)</f>
        <v>66.105999999999995</v>
      </c>
      <c r="T85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53" s="57">
        <f>(1000*CHOOSE(CONTROL!$C$42, 695, 695)*CHOOSE(CONTROL!$C$42, 0.5599, 0.5599)*CHOOSE(CONTROL!$C$42, 31, 31))/1000000</f>
        <v>12.063045499999998</v>
      </c>
      <c r="V853" s="57">
        <f>(1000*CHOOSE(CONTROL!$C$42, 500, 500)*CHOOSE(CONTROL!$C$42, 0.275, 0.275)*CHOOSE(CONTROL!$C$42, 31, 31))/1000000</f>
        <v>4.2625000000000002</v>
      </c>
      <c r="W853" s="57">
        <f>(1000*CHOOSE(CONTROL!$C$42, 0.1146, 0.1146)*CHOOSE(CONTROL!$C$42, 121.5, 121.5)*CHOOSE(CONTROL!$C$42, 31, 31))/1000000</f>
        <v>0.43164089999999994</v>
      </c>
      <c r="X853" s="57">
        <f>(31*0.1790888*100000/1000000)+(31*0.2374*100000/1000000)</f>
        <v>1.2911152800000001</v>
      </c>
      <c r="Y853" s="57"/>
      <c r="Z853" s="14"/>
      <c r="AA853" s="56"/>
      <c r="AB853" s="50">
        <f>(B853*122.58+C853*297.941+D853*89.177+E853*40.302+F853*40+G853*160+H853*0+I853*100+J853*300)/(122.58+297.941+89.177+40.302+0+40+160+100+300)</f>
        <v>68.088613969826085</v>
      </c>
      <c r="AC853" s="45">
        <f>(M853*'RAP TEMPLATE-GAS AVAILABILITY'!O852+N853*'RAP TEMPLATE-GAS AVAILABILITY'!P852+O853*'RAP TEMPLATE-GAS AVAILABILITY'!Q852+P853*'RAP TEMPLATE-GAS AVAILABILITY'!R852)/('RAP TEMPLATE-GAS AVAILABILITY'!O852+'RAP TEMPLATE-GAS AVAILABILITY'!P852+'RAP TEMPLATE-GAS AVAILABILITY'!Q852+'RAP TEMPLATE-GAS AVAILABILITY'!R852)</f>
        <v>67.445323021582738</v>
      </c>
    </row>
    <row r="854" spans="1:29" ht="15.75" x14ac:dyDescent="0.25">
      <c r="A854" s="32">
        <v>66900</v>
      </c>
      <c r="B854" s="14">
        <f>CHOOSE(CONTROL!$C$42, 69.2873, 69.2873) * CHOOSE(CONTROL!$C$21, $C$9, 100%, $E$9)</f>
        <v>69.287300000000002</v>
      </c>
      <c r="C854" s="14">
        <f>CHOOSE(CONTROL!$C$42, 69.2923, 69.2923) * CHOOSE(CONTROL!$C$21, $C$9, 100%, $E$9)</f>
        <v>69.292299999999997</v>
      </c>
      <c r="D854" s="14">
        <f>CHOOSE(CONTROL!$C$42, 69.3566, 69.3566) * CHOOSE(CONTROL!$C$21, $C$9, 100%, $E$9)</f>
        <v>69.3566</v>
      </c>
      <c r="E854" s="14">
        <f>CHOOSE(CONTROL!$C$42, 69.3904, 69.3904) * CHOOSE(CONTROL!$C$21, $C$9, 100%, $E$9)</f>
        <v>69.3904</v>
      </c>
      <c r="F854" s="14">
        <f>CHOOSE(CONTROL!$C$42, 69.2889, 69.2889)*CHOOSE(CONTROL!$C$21, $C$9, 100%, $E$9)</f>
        <v>69.288899999999998</v>
      </c>
      <c r="G854" s="14">
        <f>CHOOSE(CONTROL!$C$42, 69.3048, 69.3048)*CHOOSE(CONTROL!$C$21, $C$9, 100%, $E$9)</f>
        <v>69.3048</v>
      </c>
      <c r="H854" s="14">
        <f>CHOOSE(CONTROL!$C$42, 69.3795, 69.3795) * CHOOSE(CONTROL!$C$21, $C$9, 100%, $E$9)</f>
        <v>69.379499999999993</v>
      </c>
      <c r="I854" s="14">
        <f>CHOOSE(CONTROL!$C$42, 69.3073, 69.3073)* CHOOSE(CONTROL!$C$21, $C$9, 100%, $E$9)</f>
        <v>69.307299999999998</v>
      </c>
      <c r="J854" s="14">
        <f>CHOOSE(CONTROL!$C$42, 69.2819, 69.2819)* CHOOSE(CONTROL!$C$21, $C$9, 100%, $E$9)</f>
        <v>69.281899999999993</v>
      </c>
      <c r="K854" s="53">
        <f>CHOOSE(CONTROL!$C$42, 69.3034, 69.3034) * CHOOSE(CONTROL!$C$21, $C$9, 100%, $E$9)</f>
        <v>69.303399999999996</v>
      </c>
      <c r="L854" s="14">
        <f>CHOOSE(CONTROL!$C$42, 69.9665, 69.9665) * CHOOSE(CONTROL!$C$21, $C$9, 100%, $E$9)</f>
        <v>69.966499999999996</v>
      </c>
      <c r="M854" s="14">
        <f>CHOOSE(CONTROL!$C$42, 68.5966, 68.5966) * CHOOSE(CONTROL!$C$21, $C$9, 100%, $E$9)</f>
        <v>68.596599999999995</v>
      </c>
      <c r="N854" s="14">
        <f>CHOOSE(CONTROL!$C$42, 68.6123, 68.6123) * CHOOSE(CONTROL!$C$21, $C$9, 100%, $E$9)</f>
        <v>68.612300000000005</v>
      </c>
      <c r="O854" s="14">
        <f>CHOOSE(CONTROL!$C$42, 68.6932, 68.6932) * CHOOSE(CONTROL!$C$21, $C$9, 100%, $E$9)</f>
        <v>68.693200000000004</v>
      </c>
      <c r="P854" s="14">
        <f>CHOOSE(CONTROL!$C$42, 68.6218, 68.6218) * CHOOSE(CONTROL!$C$21, $C$9, 100%, $E$9)</f>
        <v>68.621799999999993</v>
      </c>
      <c r="Q854" s="14">
        <f>CHOOSE(CONTROL!$C$42, 69.2885, 69.2885) * CHOOSE(CONTROL!$C$21, $C$9, 100%, $E$9)</f>
        <v>69.288499999999999</v>
      </c>
      <c r="R854" s="14">
        <f>CHOOSE(CONTROL!$C$42, 70.0487, 70.0487) * CHOOSE(CONTROL!$C$21, $C$9, 100%, $E$9)</f>
        <v>70.048699999999997</v>
      </c>
      <c r="S854" s="14">
        <f>CHOOSE(CONTROL!$C$42, 67.2828, 67.2828) * CHOOSE(CONTROL!$C$21, $C$9, 100%, $E$9)</f>
        <v>67.282799999999995</v>
      </c>
      <c r="T85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54" s="57">
        <f>(1000*CHOOSE(CONTROL!$C$42, 695, 695)*CHOOSE(CONTROL!$C$42, 0.5599, 0.5599)*CHOOSE(CONTROL!$C$42, 28, 28))/1000000</f>
        <v>10.895653999999999</v>
      </c>
      <c r="V854" s="57">
        <f>(1000*CHOOSE(CONTROL!$C$42, 500, 500)*CHOOSE(CONTROL!$C$42, 0.275, 0.275)*CHOOSE(CONTROL!$C$42, 28, 28))/1000000</f>
        <v>3.85</v>
      </c>
      <c r="W854" s="57">
        <f>(1000*CHOOSE(CONTROL!$C$42, 0.1146, 0.1146)*CHOOSE(CONTROL!$C$42, 121.5, 121.5)*CHOOSE(CONTROL!$C$42, 28, 28))/1000000</f>
        <v>0.38986920000000003</v>
      </c>
      <c r="X854" s="57">
        <f>(28*0.1790888*100000/1000000)+(28*0.2374*100000/1000000)</f>
        <v>1.16616864</v>
      </c>
      <c r="Y854" s="57"/>
      <c r="Z854" s="14"/>
      <c r="AA854" s="56"/>
      <c r="AB854" s="50">
        <f>(B854*122.58+C854*297.941+D854*89.177+E854*40.302+F854*40+G854*160+H854*0+I854*100+J854*300)/(122.58+297.941+89.177+40.302+0+40+160+100+300)</f>
        <v>69.300403310695643</v>
      </c>
      <c r="AC854" s="45">
        <f>(M854*'RAP TEMPLATE-GAS AVAILABILITY'!O853+N854*'RAP TEMPLATE-GAS AVAILABILITY'!P853+O854*'RAP TEMPLATE-GAS AVAILABILITY'!Q853+P854*'RAP TEMPLATE-GAS AVAILABILITY'!R853)/('RAP TEMPLATE-GAS AVAILABILITY'!O853+'RAP TEMPLATE-GAS AVAILABILITY'!P853+'RAP TEMPLATE-GAS AVAILABILITY'!Q853+'RAP TEMPLATE-GAS AVAILABILITY'!R853)</f>
        <v>68.644912230215823</v>
      </c>
    </row>
    <row r="855" spans="1:29" ht="15.75" x14ac:dyDescent="0.25">
      <c r="A855" s="32">
        <v>66931</v>
      </c>
      <c r="B855" s="14">
        <f>CHOOSE(CONTROL!$C$42, 67.3203, 67.3203) * CHOOSE(CONTROL!$C$21, $C$9, 100%, $E$9)</f>
        <v>67.320300000000003</v>
      </c>
      <c r="C855" s="14">
        <f>CHOOSE(CONTROL!$C$42, 67.3253, 67.3253) * CHOOSE(CONTROL!$C$21, $C$9, 100%, $E$9)</f>
        <v>67.325299999999999</v>
      </c>
      <c r="D855" s="14">
        <f>CHOOSE(CONTROL!$C$42, 67.3895, 67.3895) * CHOOSE(CONTROL!$C$21, $C$9, 100%, $E$9)</f>
        <v>67.389499999999998</v>
      </c>
      <c r="E855" s="14">
        <f>CHOOSE(CONTROL!$C$42, 67.4233, 67.4233) * CHOOSE(CONTROL!$C$21, $C$9, 100%, $E$9)</f>
        <v>67.423299999999998</v>
      </c>
      <c r="F855" s="14">
        <f>CHOOSE(CONTROL!$C$42, 67.3216, 67.3216)*CHOOSE(CONTROL!$C$21, $C$9, 100%, $E$9)</f>
        <v>67.321600000000004</v>
      </c>
      <c r="G855" s="14">
        <f>CHOOSE(CONTROL!$C$42, 67.3374, 67.3374)*CHOOSE(CONTROL!$C$21, $C$9, 100%, $E$9)</f>
        <v>67.337400000000002</v>
      </c>
      <c r="H855" s="14">
        <f>CHOOSE(CONTROL!$C$42, 67.4125, 67.4125) * CHOOSE(CONTROL!$C$21, $C$9, 100%, $E$9)</f>
        <v>67.412499999999994</v>
      </c>
      <c r="I855" s="14">
        <f>CHOOSE(CONTROL!$C$42, 67.3403, 67.3403)* CHOOSE(CONTROL!$C$21, $C$9, 100%, $E$9)</f>
        <v>67.340299999999999</v>
      </c>
      <c r="J855" s="14">
        <f>CHOOSE(CONTROL!$C$42, 67.3146, 67.3146)* CHOOSE(CONTROL!$C$21, $C$9, 100%, $E$9)</f>
        <v>67.314599999999999</v>
      </c>
      <c r="K855" s="53">
        <f>CHOOSE(CONTROL!$C$42, 67.3364, 67.3364) * CHOOSE(CONTROL!$C$21, $C$9, 100%, $E$9)</f>
        <v>67.336399999999998</v>
      </c>
      <c r="L855" s="14">
        <f>CHOOSE(CONTROL!$C$42, 67.9995, 67.9995) * CHOOSE(CONTROL!$C$21, $C$9, 100%, $E$9)</f>
        <v>67.999499999999998</v>
      </c>
      <c r="M855" s="14">
        <f>CHOOSE(CONTROL!$C$42, 66.6491, 66.6491) * CHOOSE(CONTROL!$C$21, $C$9, 100%, $E$9)</f>
        <v>66.649100000000004</v>
      </c>
      <c r="N855" s="14">
        <f>CHOOSE(CONTROL!$C$42, 66.6648, 66.6648) * CHOOSE(CONTROL!$C$21, $C$9, 100%, $E$9)</f>
        <v>66.6648</v>
      </c>
      <c r="O855" s="14">
        <f>CHOOSE(CONTROL!$C$42, 66.746, 66.746) * CHOOSE(CONTROL!$C$21, $C$9, 100%, $E$9)</f>
        <v>66.745999999999995</v>
      </c>
      <c r="P855" s="14">
        <f>CHOOSE(CONTROL!$C$42, 66.6746, 66.6746) * CHOOSE(CONTROL!$C$21, $C$9, 100%, $E$9)</f>
        <v>66.674599999999998</v>
      </c>
      <c r="Q855" s="14">
        <f>CHOOSE(CONTROL!$C$42, 67.3413, 67.3413) * CHOOSE(CONTROL!$C$21, $C$9, 100%, $E$9)</f>
        <v>67.341300000000004</v>
      </c>
      <c r="R855" s="14">
        <f>CHOOSE(CONTROL!$C$42, 68.0967, 68.0967) * CHOOSE(CONTROL!$C$21, $C$9, 100%, $E$9)</f>
        <v>68.096699999999998</v>
      </c>
      <c r="S855" s="14">
        <f>CHOOSE(CONTROL!$C$42, 65.3726, 65.3726) * CHOOSE(CONTROL!$C$21, $C$9, 100%, $E$9)</f>
        <v>65.372600000000006</v>
      </c>
      <c r="T85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55" s="57">
        <f>(1000*CHOOSE(CONTROL!$C$42, 695, 695)*CHOOSE(CONTROL!$C$42, 0.5599, 0.5599)*CHOOSE(CONTROL!$C$42, 31, 31))/1000000</f>
        <v>12.063045499999998</v>
      </c>
      <c r="V855" s="57">
        <f>(1000*CHOOSE(CONTROL!$C$42, 500, 500)*CHOOSE(CONTROL!$C$42, 0.275, 0.275)*CHOOSE(CONTROL!$C$42, 31, 31))/1000000</f>
        <v>4.2625000000000002</v>
      </c>
      <c r="W855" s="57">
        <f>(1000*CHOOSE(CONTROL!$C$42, 0.1146, 0.1146)*CHOOSE(CONTROL!$C$42, 121.5, 121.5)*CHOOSE(CONTROL!$C$42, 31, 31))/1000000</f>
        <v>0.43164089999999994</v>
      </c>
      <c r="X855" s="57">
        <f>(31*0.1790888*100000/1000000)+(31*0.2374*100000/1000000)</f>
        <v>1.2911152800000001</v>
      </c>
      <c r="Y855" s="57"/>
      <c r="Z855" s="14"/>
      <c r="AA855" s="56"/>
      <c r="AB855" s="50">
        <f>(B855*122.58+C855*297.941+D855*89.177+E855*40.302+F855*40+G855*160+H855*0+I855*100+J855*300)/(122.58+297.941+89.177+40.302+0+40+160+100+300)</f>
        <v>67.333247703826089</v>
      </c>
      <c r="AC855" s="45">
        <f>(M855*'RAP TEMPLATE-GAS AVAILABILITY'!O854+N855*'RAP TEMPLATE-GAS AVAILABILITY'!P854+O855*'RAP TEMPLATE-GAS AVAILABILITY'!Q854+P855*'RAP TEMPLATE-GAS AVAILABILITY'!R854)/('RAP TEMPLATE-GAS AVAILABILITY'!O854+'RAP TEMPLATE-GAS AVAILABILITY'!P854+'RAP TEMPLATE-GAS AVAILABILITY'!Q854+'RAP TEMPLATE-GAS AVAILABILITY'!R854)</f>
        <v>66.697591366906465</v>
      </c>
    </row>
    <row r="856" spans="1:29" ht="15.75" x14ac:dyDescent="0.25">
      <c r="A856" s="32">
        <v>66961</v>
      </c>
      <c r="B856" s="14">
        <f>CHOOSE(CONTROL!$C$42, 67.1199, 67.1199) * CHOOSE(CONTROL!$C$21, $C$9, 100%, $E$9)</f>
        <v>67.119900000000001</v>
      </c>
      <c r="C856" s="14">
        <f>CHOOSE(CONTROL!$C$42, 67.1243, 67.1243) * CHOOSE(CONTROL!$C$21, $C$9, 100%, $E$9)</f>
        <v>67.124300000000005</v>
      </c>
      <c r="D856" s="14">
        <f>CHOOSE(CONTROL!$C$42, 67.325, 67.325) * CHOOSE(CONTROL!$C$21, $C$9, 100%, $E$9)</f>
        <v>67.325000000000003</v>
      </c>
      <c r="E856" s="14">
        <f>CHOOSE(CONTROL!$C$42, 67.3568, 67.3568) * CHOOSE(CONTROL!$C$21, $C$9, 100%, $E$9)</f>
        <v>67.356800000000007</v>
      </c>
      <c r="F856" s="14">
        <f>CHOOSE(CONTROL!$C$42, 67.1045, 67.1045)*CHOOSE(CONTROL!$C$21, $C$9, 100%, $E$9)</f>
        <v>67.104500000000002</v>
      </c>
      <c r="G856" s="14">
        <f>CHOOSE(CONTROL!$C$42, 67.1201, 67.1201)*CHOOSE(CONTROL!$C$21, $C$9, 100%, $E$9)</f>
        <v>67.120099999999994</v>
      </c>
      <c r="H856" s="14">
        <f>CHOOSE(CONTROL!$C$42, 67.3466, 67.3466) * CHOOSE(CONTROL!$C$21, $C$9, 100%, $E$9)</f>
        <v>67.346599999999995</v>
      </c>
      <c r="I856" s="14">
        <f>CHOOSE(CONTROL!$C$42, 67.1327, 67.1327)* CHOOSE(CONTROL!$C$21, $C$9, 100%, $E$9)</f>
        <v>67.1327</v>
      </c>
      <c r="J856" s="14">
        <f>CHOOSE(CONTROL!$C$42, 67.0975, 67.0975)* CHOOSE(CONTROL!$C$21, $C$9, 100%, $E$9)</f>
        <v>67.097499999999997</v>
      </c>
      <c r="K856" s="53">
        <f>CHOOSE(CONTROL!$C$42, 67.1288, 67.1288) * CHOOSE(CONTROL!$C$21, $C$9, 100%, $E$9)</f>
        <v>67.128799999999998</v>
      </c>
      <c r="L856" s="14">
        <f>CHOOSE(CONTROL!$C$42, 67.9336, 67.9336) * CHOOSE(CONTROL!$C$21, $C$9, 100%, $E$9)</f>
        <v>67.933599999999998</v>
      </c>
      <c r="M856" s="14">
        <f>CHOOSE(CONTROL!$C$42, 66.4342, 66.4342) * CHOOSE(CONTROL!$C$21, $C$9, 100%, $E$9)</f>
        <v>66.434200000000004</v>
      </c>
      <c r="N856" s="14">
        <f>CHOOSE(CONTROL!$C$42, 66.4497, 66.4497) * CHOOSE(CONTROL!$C$21, $C$9, 100%, $E$9)</f>
        <v>66.449700000000007</v>
      </c>
      <c r="O856" s="14">
        <f>CHOOSE(CONTROL!$C$42, 66.6808, 66.6808) * CHOOSE(CONTROL!$C$21, $C$9, 100%, $E$9)</f>
        <v>66.680800000000005</v>
      </c>
      <c r="P856" s="14">
        <f>CHOOSE(CONTROL!$C$42, 66.4691, 66.4691) * CHOOSE(CONTROL!$C$21, $C$9, 100%, $E$9)</f>
        <v>66.469099999999997</v>
      </c>
      <c r="Q856" s="14">
        <f>CHOOSE(CONTROL!$C$42, 67.2761, 67.2761) * CHOOSE(CONTROL!$C$21, $C$9, 100%, $E$9)</f>
        <v>67.2761</v>
      </c>
      <c r="R856" s="14">
        <f>CHOOSE(CONTROL!$C$42, 68.0313, 68.0313) * CHOOSE(CONTROL!$C$21, $C$9, 100%, $E$9)</f>
        <v>68.031300000000002</v>
      </c>
      <c r="S856" s="14">
        <f>CHOOSE(CONTROL!$C$42, 65.1773, 65.1773) * CHOOSE(CONTROL!$C$21, $C$9, 100%, $E$9)</f>
        <v>65.177300000000002</v>
      </c>
      <c r="T85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56" s="57">
        <f>(1000*CHOOSE(CONTROL!$C$42, 695, 695)*CHOOSE(CONTROL!$C$42, 0.5599, 0.5599)*CHOOSE(CONTROL!$C$42, 30, 30))/1000000</f>
        <v>11.673914999999997</v>
      </c>
      <c r="V856" s="57">
        <f>(1000*CHOOSE(CONTROL!$C$42, 500, 500)*CHOOSE(CONTROL!$C$42, 0.275, 0.275)*CHOOSE(CONTROL!$C$42, 30, 30))/1000000</f>
        <v>4.125</v>
      </c>
      <c r="W856" s="57">
        <f>(1000*CHOOSE(CONTROL!$C$42, 0.1146, 0.1146)*CHOOSE(CONTROL!$C$42, 121.5, 121.5)*CHOOSE(CONTROL!$C$42, 30, 30))/1000000</f>
        <v>0.417717</v>
      </c>
      <c r="X856" s="57">
        <f>(30*0.1790888*245000/1000000)+(30*0.2374*100000/1000000)</f>
        <v>2.0285026799999999</v>
      </c>
      <c r="Y856" s="57"/>
      <c r="Z856" s="14"/>
      <c r="AA856" s="56"/>
      <c r="AB856" s="50">
        <f>(B856*141.293+C856*267.993+D856*115.016+E856*89.698+F856*40+G856*185+H856*0+I856*100+J856*300)/(141.293+267.993+115.016+89.698+0+40+185+100+300)</f>
        <v>67.152183621468936</v>
      </c>
      <c r="AC856" s="45">
        <f>(M856*'RAP TEMPLATE-GAS AVAILABILITY'!O855+N856*'RAP TEMPLATE-GAS AVAILABILITY'!P855+O856*'RAP TEMPLATE-GAS AVAILABILITY'!Q855+P856*'RAP TEMPLATE-GAS AVAILABILITY'!R855)/('RAP TEMPLATE-GAS AVAILABILITY'!O855+'RAP TEMPLATE-GAS AVAILABILITY'!P855+'RAP TEMPLATE-GAS AVAILABILITY'!Q855+'RAP TEMPLATE-GAS AVAILABILITY'!R855)</f>
        <v>66.551882014388497</v>
      </c>
    </row>
    <row r="857" spans="1:29" ht="15.75" x14ac:dyDescent="0.25">
      <c r="A857" s="32">
        <v>66992</v>
      </c>
      <c r="B857" s="14">
        <f>CHOOSE(CONTROL!$C$42, 67.7137, 67.7137) * CHOOSE(CONTROL!$C$21, $C$9, 100%, $E$9)</f>
        <v>67.713700000000003</v>
      </c>
      <c r="C857" s="14">
        <f>CHOOSE(CONTROL!$C$42, 67.7216, 67.7216) * CHOOSE(CONTROL!$C$21, $C$9, 100%, $E$9)</f>
        <v>67.721599999999995</v>
      </c>
      <c r="D857" s="14">
        <f>CHOOSE(CONTROL!$C$42, 67.9192, 67.9192) * CHOOSE(CONTROL!$C$21, $C$9, 100%, $E$9)</f>
        <v>67.919200000000004</v>
      </c>
      <c r="E857" s="14">
        <f>CHOOSE(CONTROL!$C$42, 67.9503, 67.9503) * CHOOSE(CONTROL!$C$21, $C$9, 100%, $E$9)</f>
        <v>67.950299999999999</v>
      </c>
      <c r="F857" s="14">
        <f>CHOOSE(CONTROL!$C$42, 67.6971, 67.6971)*CHOOSE(CONTROL!$C$21, $C$9, 100%, $E$9)</f>
        <v>67.697100000000006</v>
      </c>
      <c r="G857" s="14">
        <f>CHOOSE(CONTROL!$C$42, 67.7132, 67.7132)*CHOOSE(CONTROL!$C$21, $C$9, 100%, $E$9)</f>
        <v>67.713200000000001</v>
      </c>
      <c r="H857" s="14">
        <f>CHOOSE(CONTROL!$C$42, 67.939, 67.939) * CHOOSE(CONTROL!$C$21, $C$9, 100%, $E$9)</f>
        <v>67.938999999999993</v>
      </c>
      <c r="I857" s="14">
        <f>CHOOSE(CONTROL!$C$42, 67.7251, 67.7251)* CHOOSE(CONTROL!$C$21, $C$9, 100%, $E$9)</f>
        <v>67.725099999999998</v>
      </c>
      <c r="J857" s="14">
        <f>CHOOSE(CONTROL!$C$42, 67.6901, 67.6901)* CHOOSE(CONTROL!$C$21, $C$9, 100%, $E$9)</f>
        <v>67.690100000000001</v>
      </c>
      <c r="K857" s="53">
        <f>CHOOSE(CONTROL!$C$42, 67.7212, 67.7212) * CHOOSE(CONTROL!$C$21, $C$9, 100%, $E$9)</f>
        <v>67.721199999999996</v>
      </c>
      <c r="L857" s="14">
        <f>CHOOSE(CONTROL!$C$42, 68.526, 68.526) * CHOOSE(CONTROL!$C$21, $C$9, 100%, $E$9)</f>
        <v>68.525999999999996</v>
      </c>
      <c r="M857" s="14">
        <f>CHOOSE(CONTROL!$C$42, 67.0208, 67.0208) * CHOOSE(CONTROL!$C$21, $C$9, 100%, $E$9)</f>
        <v>67.020799999999994</v>
      </c>
      <c r="N857" s="14">
        <f>CHOOSE(CONTROL!$C$42, 67.0367, 67.0367) * CHOOSE(CONTROL!$C$21, $C$9, 100%, $E$9)</f>
        <v>67.036699999999996</v>
      </c>
      <c r="O857" s="14">
        <f>CHOOSE(CONTROL!$C$42, 67.2672, 67.2672) * CHOOSE(CONTROL!$C$21, $C$9, 100%, $E$9)</f>
        <v>67.267200000000003</v>
      </c>
      <c r="P857" s="14">
        <f>CHOOSE(CONTROL!$C$42, 67.0555, 67.0555) * CHOOSE(CONTROL!$C$21, $C$9, 100%, $E$9)</f>
        <v>67.055499999999995</v>
      </c>
      <c r="Q857" s="14">
        <f>CHOOSE(CONTROL!$C$42, 67.8625, 67.8625) * CHOOSE(CONTROL!$C$21, $C$9, 100%, $E$9)</f>
        <v>67.862499999999997</v>
      </c>
      <c r="R857" s="14">
        <f>CHOOSE(CONTROL!$C$42, 68.6191, 68.6191) * CHOOSE(CONTROL!$C$21, $C$9, 100%, $E$9)</f>
        <v>68.619100000000003</v>
      </c>
      <c r="S857" s="14">
        <f>CHOOSE(CONTROL!$C$42, 65.7525, 65.7525) * CHOOSE(CONTROL!$C$21, $C$9, 100%, $E$9)</f>
        <v>65.752499999999998</v>
      </c>
      <c r="T85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57" s="57">
        <f>(1000*CHOOSE(CONTROL!$C$42, 695, 695)*CHOOSE(CONTROL!$C$42, 0.5599, 0.5599)*CHOOSE(CONTROL!$C$42, 31, 31))/1000000</f>
        <v>12.063045499999998</v>
      </c>
      <c r="V857" s="57">
        <f>(1000*CHOOSE(CONTROL!$C$42, 500, 500)*CHOOSE(CONTROL!$C$42, 0.275, 0.275)*CHOOSE(CONTROL!$C$42, 31, 31))/1000000</f>
        <v>4.2625000000000002</v>
      </c>
      <c r="W857" s="57">
        <f>(1000*CHOOSE(CONTROL!$C$42, 0.1146, 0.1146)*CHOOSE(CONTROL!$C$42, 121.5, 121.5)*CHOOSE(CONTROL!$C$42, 31, 31))/1000000</f>
        <v>0.43164089999999994</v>
      </c>
      <c r="X857" s="57">
        <f>(31*0.1790888*245000/1000000)+(31*0.2374*100000/1000000)</f>
        <v>2.0961194359999999</v>
      </c>
      <c r="Y857" s="57"/>
      <c r="Z857" s="14"/>
      <c r="AA857" s="56"/>
      <c r="AB857" s="50">
        <f>(B857*194.205+C857*267.466+D857*133.845+E857*53.484+F857*40+G857*185+H857*0+I857*100+J857*300)/(194.205+267.466+133.845+53.484+0+40+185+100+300)</f>
        <v>67.741624602276289</v>
      </c>
      <c r="AC857" s="45">
        <f>(M857*'RAP TEMPLATE-GAS AVAILABILITY'!O856+N857*'RAP TEMPLATE-GAS AVAILABILITY'!P856+O857*'RAP TEMPLATE-GAS AVAILABILITY'!Q856+P857*'RAP TEMPLATE-GAS AVAILABILITY'!R856)/('RAP TEMPLATE-GAS AVAILABILITY'!O856+'RAP TEMPLATE-GAS AVAILABILITY'!P856+'RAP TEMPLATE-GAS AVAILABILITY'!Q856+'RAP TEMPLATE-GAS AVAILABILITY'!R856)</f>
        <v>67.138385611510785</v>
      </c>
    </row>
    <row r="858" spans="1:29" ht="15.75" x14ac:dyDescent="0.25">
      <c r="A858" s="32">
        <v>67022</v>
      </c>
      <c r="B858" s="14">
        <f>CHOOSE(CONTROL!$C$42, 69.6343, 69.6343) * CHOOSE(CONTROL!$C$21, $C$9, 100%, $E$9)</f>
        <v>69.634299999999996</v>
      </c>
      <c r="C858" s="14">
        <f>CHOOSE(CONTROL!$C$42, 69.6422, 69.6422) * CHOOSE(CONTROL!$C$21, $C$9, 100%, $E$9)</f>
        <v>69.642200000000003</v>
      </c>
      <c r="D858" s="14">
        <f>CHOOSE(CONTROL!$C$42, 69.8398, 69.8398) * CHOOSE(CONTROL!$C$21, $C$9, 100%, $E$9)</f>
        <v>69.839799999999997</v>
      </c>
      <c r="E858" s="14">
        <f>CHOOSE(CONTROL!$C$42, 69.871, 69.871) * CHOOSE(CONTROL!$C$21, $C$9, 100%, $E$9)</f>
        <v>69.870999999999995</v>
      </c>
      <c r="F858" s="14">
        <f>CHOOSE(CONTROL!$C$42, 69.6182, 69.6182)*CHOOSE(CONTROL!$C$21, $C$9, 100%, $E$9)</f>
        <v>69.618200000000002</v>
      </c>
      <c r="G858" s="14">
        <f>CHOOSE(CONTROL!$C$42, 69.6344, 69.6344)*CHOOSE(CONTROL!$C$21, $C$9, 100%, $E$9)</f>
        <v>69.634399999999999</v>
      </c>
      <c r="H858" s="14">
        <f>CHOOSE(CONTROL!$C$42, 69.8596, 69.8596) * CHOOSE(CONTROL!$C$21, $C$9, 100%, $E$9)</f>
        <v>69.8596</v>
      </c>
      <c r="I858" s="14">
        <f>CHOOSE(CONTROL!$C$42, 69.6457, 69.6457)* CHOOSE(CONTROL!$C$21, $C$9, 100%, $E$9)</f>
        <v>69.645700000000005</v>
      </c>
      <c r="J858" s="14">
        <f>CHOOSE(CONTROL!$C$42, 69.6112, 69.6112)* CHOOSE(CONTROL!$C$21, $C$9, 100%, $E$9)</f>
        <v>69.611199999999997</v>
      </c>
      <c r="K858" s="53">
        <f>CHOOSE(CONTROL!$C$42, 69.6418, 69.6418) * CHOOSE(CONTROL!$C$21, $C$9, 100%, $E$9)</f>
        <v>69.641800000000003</v>
      </c>
      <c r="L858" s="14">
        <f>CHOOSE(CONTROL!$C$42, 70.4466, 70.4466) * CHOOSE(CONTROL!$C$21, $C$9, 100%, $E$9)</f>
        <v>70.446600000000004</v>
      </c>
      <c r="M858" s="14">
        <f>CHOOSE(CONTROL!$C$42, 68.9225, 68.9225) * CHOOSE(CONTROL!$C$21, $C$9, 100%, $E$9)</f>
        <v>68.922499999999999</v>
      </c>
      <c r="N858" s="14">
        <f>CHOOSE(CONTROL!$C$42, 68.9385, 68.9385) * CHOOSE(CONTROL!$C$21, $C$9, 100%, $E$9)</f>
        <v>68.938500000000005</v>
      </c>
      <c r="O858" s="14">
        <f>CHOOSE(CONTROL!$C$42, 69.1684, 69.1684) * CHOOSE(CONTROL!$C$21, $C$9, 100%, $E$9)</f>
        <v>69.168400000000005</v>
      </c>
      <c r="P858" s="14">
        <f>CHOOSE(CONTROL!$C$42, 68.9567, 68.9567) * CHOOSE(CONTROL!$C$21, $C$9, 100%, $E$9)</f>
        <v>68.956699999999998</v>
      </c>
      <c r="Q858" s="14">
        <f>CHOOSE(CONTROL!$C$42, 69.7637, 69.7637) * CHOOSE(CONTROL!$C$21, $C$9, 100%, $E$9)</f>
        <v>69.7637</v>
      </c>
      <c r="R858" s="14">
        <f>CHOOSE(CONTROL!$C$42, 70.5251, 70.5251) * CHOOSE(CONTROL!$C$21, $C$9, 100%, $E$9)</f>
        <v>70.525099999999995</v>
      </c>
      <c r="S858" s="14">
        <f>CHOOSE(CONTROL!$C$42, 67.6177, 67.6177) * CHOOSE(CONTROL!$C$21, $C$9, 100%, $E$9)</f>
        <v>67.617699999999999</v>
      </c>
      <c r="T85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58" s="57">
        <f>(1000*CHOOSE(CONTROL!$C$42, 695, 695)*CHOOSE(CONTROL!$C$42, 0.5599, 0.5599)*CHOOSE(CONTROL!$C$42, 30, 30))/1000000</f>
        <v>11.673914999999997</v>
      </c>
      <c r="V858" s="57">
        <f>(1000*CHOOSE(CONTROL!$C$42, 500, 500)*CHOOSE(CONTROL!$C$42, 0.275, 0.275)*CHOOSE(CONTROL!$C$42, 30, 30))/1000000</f>
        <v>4.125</v>
      </c>
      <c r="W858" s="57">
        <f>(1000*CHOOSE(CONTROL!$C$42, 0.1146, 0.1146)*CHOOSE(CONTROL!$C$42, 121.5, 121.5)*CHOOSE(CONTROL!$C$42, 30, 30))/1000000</f>
        <v>0.417717</v>
      </c>
      <c r="X858" s="57">
        <f>(30*0.1790888*245000/1000000)+(30*0.2374*100000/1000000)</f>
        <v>2.0285026799999999</v>
      </c>
      <c r="Y858" s="57"/>
      <c r="Z858" s="14"/>
      <c r="AA858" s="56"/>
      <c r="AB858" s="50">
        <f>(B858*194.205+C858*267.466+D858*133.845+E858*53.484+F858*40+G858*185+H858*0+I858*100+J858*300)/(194.205+267.466+133.845+53.484+0+40+185+100+300)</f>
        <v>69.662449365541605</v>
      </c>
      <c r="AC858" s="45">
        <f>(M858*'RAP TEMPLATE-GAS AVAILABILITY'!O857+N858*'RAP TEMPLATE-GAS AVAILABILITY'!P857+O858*'RAP TEMPLATE-GAS AVAILABILITY'!Q857+P858*'RAP TEMPLATE-GAS AVAILABILITY'!R857)/('RAP TEMPLATE-GAS AVAILABILITY'!O857+'RAP TEMPLATE-GAS AVAILABILITY'!P857+'RAP TEMPLATE-GAS AVAILABILITY'!Q857+'RAP TEMPLATE-GAS AVAILABILITY'!R857)</f>
        <v>69.039792805755397</v>
      </c>
    </row>
    <row r="859" spans="1:29" ht="15.75" x14ac:dyDescent="0.25">
      <c r="A859" s="32">
        <v>67053</v>
      </c>
      <c r="B859" s="14">
        <f>CHOOSE(CONTROL!$C$42, 68.2985, 68.2985) * CHOOSE(CONTROL!$C$21, $C$9, 100%, $E$9)</f>
        <v>68.298500000000004</v>
      </c>
      <c r="C859" s="14">
        <f>CHOOSE(CONTROL!$C$42, 68.3064, 68.3064) * CHOOSE(CONTROL!$C$21, $C$9, 100%, $E$9)</f>
        <v>68.306399999999996</v>
      </c>
      <c r="D859" s="14">
        <f>CHOOSE(CONTROL!$C$42, 68.504, 68.504) * CHOOSE(CONTROL!$C$21, $C$9, 100%, $E$9)</f>
        <v>68.504000000000005</v>
      </c>
      <c r="E859" s="14">
        <f>CHOOSE(CONTROL!$C$42, 68.5352, 68.5352) * CHOOSE(CONTROL!$C$21, $C$9, 100%, $E$9)</f>
        <v>68.535200000000003</v>
      </c>
      <c r="F859" s="14">
        <f>CHOOSE(CONTROL!$C$42, 68.2828, 68.2828)*CHOOSE(CONTROL!$C$21, $C$9, 100%, $E$9)</f>
        <v>68.282799999999995</v>
      </c>
      <c r="G859" s="14">
        <f>CHOOSE(CONTROL!$C$42, 68.2991, 68.2991)*CHOOSE(CONTROL!$C$21, $C$9, 100%, $E$9)</f>
        <v>68.299099999999996</v>
      </c>
      <c r="H859" s="14">
        <f>CHOOSE(CONTROL!$C$42, 68.5238, 68.5238) * CHOOSE(CONTROL!$C$21, $C$9, 100%, $E$9)</f>
        <v>68.523799999999994</v>
      </c>
      <c r="I859" s="14">
        <f>CHOOSE(CONTROL!$C$42, 68.3099, 68.3099)* CHOOSE(CONTROL!$C$21, $C$9, 100%, $E$9)</f>
        <v>68.309899999999999</v>
      </c>
      <c r="J859" s="14">
        <f>CHOOSE(CONTROL!$C$42, 68.2758, 68.2758)* CHOOSE(CONTROL!$C$21, $C$9, 100%, $E$9)</f>
        <v>68.275800000000004</v>
      </c>
      <c r="K859" s="53">
        <f>CHOOSE(CONTROL!$C$42, 68.306, 68.306) * CHOOSE(CONTROL!$C$21, $C$9, 100%, $E$9)</f>
        <v>68.305999999999997</v>
      </c>
      <c r="L859" s="14">
        <f>CHOOSE(CONTROL!$C$42, 69.1108, 69.1108) * CHOOSE(CONTROL!$C$21, $C$9, 100%, $E$9)</f>
        <v>69.110799999999998</v>
      </c>
      <c r="M859" s="14">
        <f>CHOOSE(CONTROL!$C$42, 67.6006, 67.6006) * CHOOSE(CONTROL!$C$21, $C$9, 100%, $E$9)</f>
        <v>67.6006</v>
      </c>
      <c r="N859" s="14">
        <f>CHOOSE(CONTROL!$C$42, 67.6167, 67.6167) * CHOOSE(CONTROL!$C$21, $C$9, 100%, $E$9)</f>
        <v>67.616699999999994</v>
      </c>
      <c r="O859" s="14">
        <f>CHOOSE(CONTROL!$C$42, 67.8461, 67.8461) * CHOOSE(CONTROL!$C$21, $C$9, 100%, $E$9)</f>
        <v>67.846100000000007</v>
      </c>
      <c r="P859" s="14">
        <f>CHOOSE(CONTROL!$C$42, 67.6344, 67.6344) * CHOOSE(CONTROL!$C$21, $C$9, 100%, $E$9)</f>
        <v>67.634399999999999</v>
      </c>
      <c r="Q859" s="14">
        <f>CHOOSE(CONTROL!$C$42, 68.4414, 68.4414) * CHOOSE(CONTROL!$C$21, $C$9, 100%, $E$9)</f>
        <v>68.441400000000002</v>
      </c>
      <c r="R859" s="14">
        <f>CHOOSE(CONTROL!$C$42, 69.1995, 69.1995) * CHOOSE(CONTROL!$C$21, $C$9, 100%, $E$9)</f>
        <v>69.1995</v>
      </c>
      <c r="S859" s="14">
        <f>CHOOSE(CONTROL!$C$42, 66.3204, 66.3204) * CHOOSE(CONTROL!$C$21, $C$9, 100%, $E$9)</f>
        <v>66.320400000000006</v>
      </c>
      <c r="T85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59" s="57">
        <f>(1000*CHOOSE(CONTROL!$C$42, 695, 695)*CHOOSE(CONTROL!$C$42, 0.5599, 0.5599)*CHOOSE(CONTROL!$C$42, 31, 31))/1000000</f>
        <v>12.063045499999998</v>
      </c>
      <c r="V859" s="57">
        <f>(1000*CHOOSE(CONTROL!$C$42, 500, 500)*CHOOSE(CONTROL!$C$42, 0.275, 0.275)*CHOOSE(CONTROL!$C$42, 31, 31))/1000000</f>
        <v>4.2625000000000002</v>
      </c>
      <c r="W859" s="57">
        <f>(1000*CHOOSE(CONTROL!$C$42, 0.1146, 0.1146)*CHOOSE(CONTROL!$C$42, 121.5, 121.5)*CHOOSE(CONTROL!$C$42, 31, 31))/1000000</f>
        <v>0.43164089999999994</v>
      </c>
      <c r="X859" s="57">
        <f>(31*0.1790888*245000/1000000)+(31*0.2374*100000/1000000)</f>
        <v>2.0961194359999999</v>
      </c>
      <c r="Y859" s="57"/>
      <c r="Z859" s="14"/>
      <c r="AA859" s="56"/>
      <c r="AB859" s="50">
        <f>(B859*194.205+C859*267.466+D859*133.845+E859*53.484+F859*40+G859*185+H859*0+I859*100+J859*300)/(194.205+267.466+133.845+53.484+0+40+185+100+300)</f>
        <v>68.326828721899531</v>
      </c>
      <c r="AC859" s="45">
        <f>(M859*'RAP TEMPLATE-GAS AVAILABILITY'!O858+N859*'RAP TEMPLATE-GAS AVAILABILITY'!P858+O859*'RAP TEMPLATE-GAS AVAILABILITY'!Q858+P859*'RAP TEMPLATE-GAS AVAILABILITY'!R858)/('RAP TEMPLATE-GAS AVAILABILITY'!O858+'RAP TEMPLATE-GAS AVAILABILITY'!P858+'RAP TEMPLATE-GAS AVAILABILITY'!Q858+'RAP TEMPLATE-GAS AVAILABILITY'!R858)</f>
        <v>67.717659712230216</v>
      </c>
    </row>
    <row r="860" spans="1:29" ht="15.75" x14ac:dyDescent="0.25">
      <c r="A860" s="32">
        <v>67084</v>
      </c>
      <c r="B860" s="14">
        <f>CHOOSE(CONTROL!$C$42, 64.9252, 64.9252) * CHOOSE(CONTROL!$C$21, $C$9, 100%, $E$9)</f>
        <v>64.925200000000004</v>
      </c>
      <c r="C860" s="14">
        <f>CHOOSE(CONTROL!$C$42, 64.9331, 64.9331) * CHOOSE(CONTROL!$C$21, $C$9, 100%, $E$9)</f>
        <v>64.933099999999996</v>
      </c>
      <c r="D860" s="14">
        <f>CHOOSE(CONTROL!$C$42, 65.1307, 65.1307) * CHOOSE(CONTROL!$C$21, $C$9, 100%, $E$9)</f>
        <v>65.130700000000004</v>
      </c>
      <c r="E860" s="14">
        <f>CHOOSE(CONTROL!$C$42, 65.1618, 65.1618) * CHOOSE(CONTROL!$C$21, $C$9, 100%, $E$9)</f>
        <v>65.161799999999999</v>
      </c>
      <c r="F860" s="14">
        <f>CHOOSE(CONTROL!$C$42, 64.9096, 64.9096)*CHOOSE(CONTROL!$C$21, $C$9, 100%, $E$9)</f>
        <v>64.909599999999998</v>
      </c>
      <c r="G860" s="14">
        <f>CHOOSE(CONTROL!$C$42, 64.926, 64.926)*CHOOSE(CONTROL!$C$21, $C$9, 100%, $E$9)</f>
        <v>64.926000000000002</v>
      </c>
      <c r="H860" s="14">
        <f>CHOOSE(CONTROL!$C$42, 65.1504, 65.1504) * CHOOSE(CONTROL!$C$21, $C$9, 100%, $E$9)</f>
        <v>65.150400000000005</v>
      </c>
      <c r="I860" s="14">
        <f>CHOOSE(CONTROL!$C$42, 64.9365, 64.9365)* CHOOSE(CONTROL!$C$21, $C$9, 100%, $E$9)</f>
        <v>64.936499999999995</v>
      </c>
      <c r="J860" s="14">
        <f>CHOOSE(CONTROL!$C$42, 64.9026, 64.9026)* CHOOSE(CONTROL!$C$21, $C$9, 100%, $E$9)</f>
        <v>64.902600000000007</v>
      </c>
      <c r="K860" s="53">
        <f>CHOOSE(CONTROL!$C$42, 64.9326, 64.9326) * CHOOSE(CONTROL!$C$21, $C$9, 100%, $E$9)</f>
        <v>64.932599999999994</v>
      </c>
      <c r="L860" s="14">
        <f>CHOOSE(CONTROL!$C$42, 65.7374, 65.7374) * CHOOSE(CONTROL!$C$21, $C$9, 100%, $E$9)</f>
        <v>65.737399999999994</v>
      </c>
      <c r="M860" s="14">
        <f>CHOOSE(CONTROL!$C$42, 64.2614, 64.2614) * CHOOSE(CONTROL!$C$21, $C$9, 100%, $E$9)</f>
        <v>64.261399999999995</v>
      </c>
      <c r="N860" s="14">
        <f>CHOOSE(CONTROL!$C$42, 64.2776, 64.2776) * CHOOSE(CONTROL!$C$21, $C$9, 100%, $E$9)</f>
        <v>64.277600000000007</v>
      </c>
      <c r="O860" s="14">
        <f>CHOOSE(CONTROL!$C$42, 64.5068, 64.5068) * CHOOSE(CONTROL!$C$21, $C$9, 100%, $E$9)</f>
        <v>64.506799999999998</v>
      </c>
      <c r="P860" s="14">
        <f>CHOOSE(CONTROL!$C$42, 64.2951, 64.2951) * CHOOSE(CONTROL!$C$21, $C$9, 100%, $E$9)</f>
        <v>64.295100000000005</v>
      </c>
      <c r="Q860" s="14">
        <f>CHOOSE(CONTROL!$C$42, 65.1021, 65.1021) * CHOOSE(CONTROL!$C$21, $C$9, 100%, $E$9)</f>
        <v>65.102099999999993</v>
      </c>
      <c r="R860" s="14">
        <f>CHOOSE(CONTROL!$C$42, 65.8518, 65.8518) * CHOOSE(CONTROL!$C$21, $C$9, 100%, $E$9)</f>
        <v>65.851799999999997</v>
      </c>
      <c r="S860" s="14">
        <f>CHOOSE(CONTROL!$C$42, 63.0446, 63.0446) * CHOOSE(CONTROL!$C$21, $C$9, 100%, $E$9)</f>
        <v>63.044600000000003</v>
      </c>
      <c r="T86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60" s="57">
        <f>(1000*CHOOSE(CONTROL!$C$42, 695, 695)*CHOOSE(CONTROL!$C$42, 0.5599, 0.5599)*CHOOSE(CONTROL!$C$42, 31, 31))/1000000</f>
        <v>12.063045499999998</v>
      </c>
      <c r="V860" s="57">
        <f>(1000*CHOOSE(CONTROL!$C$42, 500, 500)*CHOOSE(CONTROL!$C$42, 0.275, 0.275)*CHOOSE(CONTROL!$C$42, 31, 31))/1000000</f>
        <v>4.2625000000000002</v>
      </c>
      <c r="W860" s="57">
        <f>(1000*CHOOSE(CONTROL!$C$42, 0.1146, 0.1146)*CHOOSE(CONTROL!$C$42, 121.5, 121.5)*CHOOSE(CONTROL!$C$42, 31, 31))/1000000</f>
        <v>0.43164089999999994</v>
      </c>
      <c r="X860" s="57">
        <f>(31*0.1790888*245000/1000000)+(31*0.2374*100000/1000000)</f>
        <v>2.0961194359999999</v>
      </c>
      <c r="Y860" s="57"/>
      <c r="Z860" s="14"/>
      <c r="AA860" s="56"/>
      <c r="AB860" s="50">
        <f>(B860*194.205+C860*267.466+D860*133.845+E860*53.484+F860*40+G860*185+H860*0+I860*100+J860*300)/(194.205+267.466+133.845+53.484+0+40+185+100+300)</f>
        <v>64.953572404474102</v>
      </c>
      <c r="AC860" s="45">
        <f>(M860*'RAP TEMPLATE-GAS AVAILABILITY'!O859+N860*'RAP TEMPLATE-GAS AVAILABILITY'!P859+O860*'RAP TEMPLATE-GAS AVAILABILITY'!Q859+P860*'RAP TEMPLATE-GAS AVAILABILITY'!R859)/('RAP TEMPLATE-GAS AVAILABILITY'!O859+'RAP TEMPLATE-GAS AVAILABILITY'!P859+'RAP TEMPLATE-GAS AVAILABILITY'!Q859+'RAP TEMPLATE-GAS AVAILABILITY'!R859)</f>
        <v>64.37840575539569</v>
      </c>
    </row>
    <row r="861" spans="1:29" ht="15.75" x14ac:dyDescent="0.25">
      <c r="A861" s="32">
        <v>67114</v>
      </c>
      <c r="B861" s="14">
        <f>CHOOSE(CONTROL!$C$42, 60.8032, 60.8032) * CHOOSE(CONTROL!$C$21, $C$9, 100%, $E$9)</f>
        <v>60.803199999999997</v>
      </c>
      <c r="C861" s="14">
        <f>CHOOSE(CONTROL!$C$42, 60.8111, 60.8111) * CHOOSE(CONTROL!$C$21, $C$9, 100%, $E$9)</f>
        <v>60.811100000000003</v>
      </c>
      <c r="D861" s="14">
        <f>CHOOSE(CONTROL!$C$42, 61.0087, 61.0087) * CHOOSE(CONTROL!$C$21, $C$9, 100%, $E$9)</f>
        <v>61.008699999999997</v>
      </c>
      <c r="E861" s="14">
        <f>CHOOSE(CONTROL!$C$42, 61.0398, 61.0398) * CHOOSE(CONTROL!$C$21, $C$9, 100%, $E$9)</f>
        <v>61.0398</v>
      </c>
      <c r="F861" s="14">
        <f>CHOOSE(CONTROL!$C$42, 60.7875, 60.7875)*CHOOSE(CONTROL!$C$21, $C$9, 100%, $E$9)</f>
        <v>60.787500000000001</v>
      </c>
      <c r="G861" s="14">
        <f>CHOOSE(CONTROL!$C$42, 60.8039, 60.8039)*CHOOSE(CONTROL!$C$21, $C$9, 100%, $E$9)</f>
        <v>60.803899999999999</v>
      </c>
      <c r="H861" s="14">
        <f>CHOOSE(CONTROL!$C$42, 61.0284, 61.0284) * CHOOSE(CONTROL!$C$21, $C$9, 100%, $E$9)</f>
        <v>61.028399999999998</v>
      </c>
      <c r="I861" s="14">
        <f>CHOOSE(CONTROL!$C$42, 60.8145, 60.8145)* CHOOSE(CONTROL!$C$21, $C$9, 100%, $E$9)</f>
        <v>60.814500000000002</v>
      </c>
      <c r="J861" s="14">
        <f>CHOOSE(CONTROL!$C$42, 60.7805, 60.7805)* CHOOSE(CONTROL!$C$21, $C$9, 100%, $E$9)</f>
        <v>60.780500000000004</v>
      </c>
      <c r="K861" s="53">
        <f>CHOOSE(CONTROL!$C$42, 60.8106, 60.8106) * CHOOSE(CONTROL!$C$21, $C$9, 100%, $E$9)</f>
        <v>60.810600000000001</v>
      </c>
      <c r="L861" s="14">
        <f>CHOOSE(CONTROL!$C$42, 61.6154, 61.6154) * CHOOSE(CONTROL!$C$21, $C$9, 100%, $E$9)</f>
        <v>61.615400000000001</v>
      </c>
      <c r="M861" s="14">
        <f>CHOOSE(CONTROL!$C$42, 60.181, 60.181) * CHOOSE(CONTROL!$C$21, $C$9, 100%, $E$9)</f>
        <v>60.180999999999997</v>
      </c>
      <c r="N861" s="14">
        <f>CHOOSE(CONTROL!$C$42, 60.1971, 60.1971) * CHOOSE(CONTROL!$C$21, $C$9, 100%, $E$9)</f>
        <v>60.197099999999999</v>
      </c>
      <c r="O861" s="14">
        <f>CHOOSE(CONTROL!$C$42, 60.4264, 60.4264) * CHOOSE(CONTROL!$C$21, $C$9, 100%, $E$9)</f>
        <v>60.426400000000001</v>
      </c>
      <c r="P861" s="14">
        <f>CHOOSE(CONTROL!$C$42, 60.2147, 60.2147) * CHOOSE(CONTROL!$C$21, $C$9, 100%, $E$9)</f>
        <v>60.214700000000001</v>
      </c>
      <c r="Q861" s="14">
        <f>CHOOSE(CONTROL!$C$42, 61.0217, 61.0217) * CHOOSE(CONTROL!$C$21, $C$9, 100%, $E$9)</f>
        <v>61.021700000000003</v>
      </c>
      <c r="R861" s="14">
        <f>CHOOSE(CONTROL!$C$42, 61.7612, 61.7612) * CHOOSE(CONTROL!$C$21, $C$9, 100%, $E$9)</f>
        <v>61.761200000000002</v>
      </c>
      <c r="S861" s="14">
        <f>CHOOSE(CONTROL!$C$42, 59.0417, 59.0417) * CHOOSE(CONTROL!$C$21, $C$9, 100%, $E$9)</f>
        <v>59.041699999999999</v>
      </c>
      <c r="T86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61" s="57">
        <f>(1000*CHOOSE(CONTROL!$C$42, 695, 695)*CHOOSE(CONTROL!$C$42, 0.5599, 0.5599)*CHOOSE(CONTROL!$C$42, 30, 30))/1000000</f>
        <v>11.673914999999997</v>
      </c>
      <c r="V861" s="57">
        <f>(1000*CHOOSE(CONTROL!$C$42, 500, 500)*CHOOSE(CONTROL!$C$42, 0.275, 0.275)*CHOOSE(CONTROL!$C$42, 30, 30))/1000000</f>
        <v>4.125</v>
      </c>
      <c r="W861" s="57">
        <f>(1000*CHOOSE(CONTROL!$C$42, 0.1146, 0.1146)*CHOOSE(CONTROL!$C$42, 121.5, 121.5)*CHOOSE(CONTROL!$C$42, 30, 30))/1000000</f>
        <v>0.417717</v>
      </c>
      <c r="X861" s="57">
        <f>(30*0.1790888*245000/1000000)+(30*0.2374*100000/1000000)</f>
        <v>2.0285026799999999</v>
      </c>
      <c r="Y861" s="57"/>
      <c r="Z861" s="14"/>
      <c r="AA861" s="56"/>
      <c r="AB861" s="50">
        <f>(B861*194.205+C861*267.466+D861*133.845+E861*53.484+F861*40+G861*185+H861*0+I861*100+J861*300)/(194.205+267.466+133.845+53.484+0+40+185+100+300)</f>
        <v>60.831531195682892</v>
      </c>
      <c r="AC861" s="45">
        <f>(M861*'RAP TEMPLATE-GAS AVAILABILITY'!O860+N861*'RAP TEMPLATE-GAS AVAILABILITY'!P860+O861*'RAP TEMPLATE-GAS AVAILABILITY'!Q860+P861*'RAP TEMPLATE-GAS AVAILABILITY'!R860)/('RAP TEMPLATE-GAS AVAILABILITY'!O860+'RAP TEMPLATE-GAS AVAILABILITY'!P860+'RAP TEMPLATE-GAS AVAILABILITY'!Q860+'RAP TEMPLATE-GAS AVAILABILITY'!R860)</f>
        <v>60.298000000000002</v>
      </c>
    </row>
    <row r="862" spans="1:29" ht="15.75" x14ac:dyDescent="0.25">
      <c r="A862" s="32">
        <v>67145</v>
      </c>
      <c r="B862" s="14">
        <f>CHOOSE(CONTROL!$C$42, 59.5669, 59.5669) * CHOOSE(CONTROL!$C$21, $C$9, 100%, $E$9)</f>
        <v>59.566899999999997</v>
      </c>
      <c r="C862" s="14">
        <f>CHOOSE(CONTROL!$C$42, 59.5722, 59.5722) * CHOOSE(CONTROL!$C$21, $C$9, 100%, $E$9)</f>
        <v>59.572200000000002</v>
      </c>
      <c r="D862" s="14">
        <f>CHOOSE(CONTROL!$C$42, 59.7747, 59.7747) * CHOOSE(CONTROL!$C$21, $C$9, 100%, $E$9)</f>
        <v>59.774700000000003</v>
      </c>
      <c r="E862" s="14">
        <f>CHOOSE(CONTROL!$C$42, 59.8035, 59.8035) * CHOOSE(CONTROL!$C$21, $C$9, 100%, $E$9)</f>
        <v>59.8035</v>
      </c>
      <c r="F862" s="14">
        <f>CHOOSE(CONTROL!$C$42, 59.5533, 59.5533)*CHOOSE(CONTROL!$C$21, $C$9, 100%, $E$9)</f>
        <v>59.5533</v>
      </c>
      <c r="G862" s="14">
        <f>CHOOSE(CONTROL!$C$42, 59.5693, 59.5693)*CHOOSE(CONTROL!$C$21, $C$9, 100%, $E$9)</f>
        <v>59.569299999999998</v>
      </c>
      <c r="H862" s="14">
        <f>CHOOSE(CONTROL!$C$42, 59.794, 59.794) * CHOOSE(CONTROL!$C$21, $C$9, 100%, $E$9)</f>
        <v>59.793999999999997</v>
      </c>
      <c r="I862" s="14">
        <f>CHOOSE(CONTROL!$C$42, 59.5801, 59.5801)* CHOOSE(CONTROL!$C$21, $C$9, 100%, $E$9)</f>
        <v>59.580100000000002</v>
      </c>
      <c r="J862" s="14">
        <f>CHOOSE(CONTROL!$C$42, 59.5463, 59.5463)* CHOOSE(CONTROL!$C$21, $C$9, 100%, $E$9)</f>
        <v>59.546300000000002</v>
      </c>
      <c r="K862" s="53">
        <f>CHOOSE(CONTROL!$C$42, 59.5762, 59.5762) * CHOOSE(CONTROL!$C$21, $C$9, 100%, $E$9)</f>
        <v>59.5762</v>
      </c>
      <c r="L862" s="14">
        <f>CHOOSE(CONTROL!$C$42, 60.381, 60.381) * CHOOSE(CONTROL!$C$21, $C$9, 100%, $E$9)</f>
        <v>60.381</v>
      </c>
      <c r="M862" s="14">
        <f>CHOOSE(CONTROL!$C$42, 58.9592, 58.9592) * CHOOSE(CONTROL!$C$21, $C$9, 100%, $E$9)</f>
        <v>58.959200000000003</v>
      </c>
      <c r="N862" s="14">
        <f>CHOOSE(CONTROL!$C$42, 58.9751, 58.9751) * CHOOSE(CONTROL!$C$21, $C$9, 100%, $E$9)</f>
        <v>58.975099999999998</v>
      </c>
      <c r="O862" s="14">
        <f>CHOOSE(CONTROL!$C$42, 59.2044, 59.2044) * CHOOSE(CONTROL!$C$21, $C$9, 100%, $E$9)</f>
        <v>59.2044</v>
      </c>
      <c r="P862" s="14">
        <f>CHOOSE(CONTROL!$C$42, 58.9927, 58.9927) * CHOOSE(CONTROL!$C$21, $C$9, 100%, $E$9)</f>
        <v>58.992699999999999</v>
      </c>
      <c r="Q862" s="14">
        <f>CHOOSE(CONTROL!$C$42, 59.7997, 59.7997) * CHOOSE(CONTROL!$C$21, $C$9, 100%, $E$9)</f>
        <v>59.799700000000001</v>
      </c>
      <c r="R862" s="14">
        <f>CHOOSE(CONTROL!$C$42, 60.5362, 60.5362) * CHOOSE(CONTROL!$C$21, $C$9, 100%, $E$9)</f>
        <v>60.536200000000001</v>
      </c>
      <c r="S862" s="14">
        <f>CHOOSE(CONTROL!$C$42, 57.8429, 57.8429) * CHOOSE(CONTROL!$C$21, $C$9, 100%, $E$9)</f>
        <v>57.8429</v>
      </c>
      <c r="T86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62" s="57">
        <f>(1000*CHOOSE(CONTROL!$C$42, 695, 695)*CHOOSE(CONTROL!$C$42, 0.5599, 0.5599)*CHOOSE(CONTROL!$C$42, 31, 31))/1000000</f>
        <v>12.063045499999998</v>
      </c>
      <c r="V862" s="57">
        <f>(1000*CHOOSE(CONTROL!$C$42, 500, 500)*CHOOSE(CONTROL!$C$42, 0.275, 0.275)*CHOOSE(CONTROL!$C$42, 31, 31))/1000000</f>
        <v>4.2625000000000002</v>
      </c>
      <c r="W862" s="57">
        <f>(1000*CHOOSE(CONTROL!$C$42, 0.1146, 0.1146)*CHOOSE(CONTROL!$C$42, 121.5, 121.5)*CHOOSE(CONTROL!$C$42, 31, 31))/1000000</f>
        <v>0.43164089999999994</v>
      </c>
      <c r="X862" s="57">
        <f>(31*0.1790888*245000/1000000)+(31*0.2374*100000/1000000)</f>
        <v>2.0961194359999999</v>
      </c>
      <c r="Y862" s="57"/>
      <c r="Z862" s="14"/>
      <c r="AA862" s="56"/>
      <c r="AB862" s="50">
        <f>(B862*131.881+C862*277.167+D862*79.08+E862*125.872+F862*40+G862*185+H862*0+I862*100+J862*300)/(131.881+277.167+79.08+125.872+0+40+185+100+300)</f>
        <v>59.601381940516546</v>
      </c>
      <c r="AC862" s="45">
        <f>(M862*'RAP TEMPLATE-GAS AVAILABILITY'!O861+N862*'RAP TEMPLATE-GAS AVAILABILITY'!P861+O862*'RAP TEMPLATE-GAS AVAILABILITY'!Q861+P862*'RAP TEMPLATE-GAS AVAILABILITY'!R861)/('RAP TEMPLATE-GAS AVAILABILITY'!O861+'RAP TEMPLATE-GAS AVAILABILITY'!P861+'RAP TEMPLATE-GAS AVAILABILITY'!Q861+'RAP TEMPLATE-GAS AVAILABILITY'!R861)</f>
        <v>59.076069064748197</v>
      </c>
    </row>
    <row r="863" spans="1:29" ht="15.75" x14ac:dyDescent="0.25">
      <c r="A863" s="32">
        <v>67175</v>
      </c>
      <c r="B863" s="14">
        <f>CHOOSE(CONTROL!$C$42, 61.1357, 61.1357) * CHOOSE(CONTROL!$C$21, $C$9, 100%, $E$9)</f>
        <v>61.1357</v>
      </c>
      <c r="C863" s="14">
        <f>CHOOSE(CONTROL!$C$42, 61.1407, 61.1407) * CHOOSE(CONTROL!$C$21, $C$9, 100%, $E$9)</f>
        <v>61.140700000000002</v>
      </c>
      <c r="D863" s="14">
        <f>CHOOSE(CONTROL!$C$42, 61.2038, 61.2038) * CHOOSE(CONTROL!$C$21, $C$9, 100%, $E$9)</f>
        <v>61.203800000000001</v>
      </c>
      <c r="E863" s="14">
        <f>CHOOSE(CONTROL!$C$42, 61.2375, 61.2375) * CHOOSE(CONTROL!$C$21, $C$9, 100%, $E$9)</f>
        <v>61.237499999999997</v>
      </c>
      <c r="F863" s="14">
        <f>CHOOSE(CONTROL!$C$42, 61.1364, 61.1364)*CHOOSE(CONTROL!$C$21, $C$9, 100%, $E$9)</f>
        <v>61.136400000000002</v>
      </c>
      <c r="G863" s="14">
        <f>CHOOSE(CONTROL!$C$42, 61.1527, 61.1527)*CHOOSE(CONTROL!$C$21, $C$9, 100%, $E$9)</f>
        <v>61.152700000000003</v>
      </c>
      <c r="H863" s="14">
        <f>CHOOSE(CONTROL!$C$42, 61.2267, 61.2267) * CHOOSE(CONTROL!$C$21, $C$9, 100%, $E$9)</f>
        <v>61.226700000000001</v>
      </c>
      <c r="I863" s="14">
        <f>CHOOSE(CONTROL!$C$42, 61.1493, 61.1493)* CHOOSE(CONTROL!$C$21, $C$9, 100%, $E$9)</f>
        <v>61.149299999999997</v>
      </c>
      <c r="J863" s="14">
        <f>CHOOSE(CONTROL!$C$42, 61.1294, 61.1294)* CHOOSE(CONTROL!$C$21, $C$9, 100%, $E$9)</f>
        <v>61.129399999999997</v>
      </c>
      <c r="K863" s="53">
        <f>CHOOSE(CONTROL!$C$42, 61.1454, 61.1454) * CHOOSE(CONTROL!$C$21, $C$9, 100%, $E$9)</f>
        <v>61.145400000000002</v>
      </c>
      <c r="L863" s="14">
        <f>CHOOSE(CONTROL!$C$42, 61.8137, 61.8137) * CHOOSE(CONTROL!$C$21, $C$9, 100%, $E$9)</f>
        <v>61.813699999999997</v>
      </c>
      <c r="M863" s="14">
        <f>CHOOSE(CONTROL!$C$42, 60.5263, 60.5263) * CHOOSE(CONTROL!$C$21, $C$9, 100%, $E$9)</f>
        <v>60.526299999999999</v>
      </c>
      <c r="N863" s="14">
        <f>CHOOSE(CONTROL!$C$42, 60.5425, 60.5425) * CHOOSE(CONTROL!$C$21, $C$9, 100%, $E$9)</f>
        <v>60.542499999999997</v>
      </c>
      <c r="O863" s="14">
        <f>CHOOSE(CONTROL!$C$42, 60.6227, 60.6227) * CHOOSE(CONTROL!$C$21, $C$9, 100%, $E$9)</f>
        <v>60.622700000000002</v>
      </c>
      <c r="P863" s="14">
        <f>CHOOSE(CONTROL!$C$42, 60.546, 60.546) * CHOOSE(CONTROL!$C$21, $C$9, 100%, $E$9)</f>
        <v>60.545999999999999</v>
      </c>
      <c r="Q863" s="14">
        <f>CHOOSE(CONTROL!$C$42, 61.218, 61.218) * CHOOSE(CONTROL!$C$21, $C$9, 100%, $E$9)</f>
        <v>61.218000000000004</v>
      </c>
      <c r="R863" s="14">
        <f>CHOOSE(CONTROL!$C$42, 61.958, 61.958) * CHOOSE(CONTROL!$C$21, $C$9, 100%, $E$9)</f>
        <v>61.957999999999998</v>
      </c>
      <c r="S863" s="14">
        <f>CHOOSE(CONTROL!$C$42, 59.3668, 59.3668) * CHOOSE(CONTROL!$C$21, $C$9, 100%, $E$9)</f>
        <v>59.366799999999998</v>
      </c>
      <c r="T86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63" s="57">
        <f>(1000*CHOOSE(CONTROL!$C$42, 695, 695)*CHOOSE(CONTROL!$C$42, 0.5599, 0.5599)*CHOOSE(CONTROL!$C$42, 30, 30))/1000000</f>
        <v>11.673914999999997</v>
      </c>
      <c r="V863" s="57">
        <f>(1000*CHOOSE(CONTROL!$C$42, 500, 500)*CHOOSE(CONTROL!$C$42, 0.275, 0.275)*CHOOSE(CONTROL!$C$42, 30, 30))/1000000</f>
        <v>4.125</v>
      </c>
      <c r="W863" s="57">
        <f>(1000*CHOOSE(CONTROL!$C$42, 0.1146, 0.1146)*CHOOSE(CONTROL!$C$42, 121.5, 121.5)*CHOOSE(CONTROL!$C$42, 30, 30))/1000000</f>
        <v>0.417717</v>
      </c>
      <c r="X863" s="57">
        <f>(30*0.1790888*100000/1000000)+(30*0.2374*100000/1000000)</f>
        <v>1.2494664</v>
      </c>
      <c r="Y863" s="57"/>
      <c r="Z863" s="14"/>
      <c r="AA863" s="56"/>
      <c r="AB863" s="50">
        <f>(B863*122.58+C863*297.941+D863*89.177+E863*40.302+F863*40+G863*160+H863*0+I863*100+J863*300)/(122.58+297.941+89.177+40.302+0+40+160+100+300)</f>
        <v>61.147772523739135</v>
      </c>
      <c r="AC863" s="45">
        <f>(M863*'RAP TEMPLATE-GAS AVAILABILITY'!O862+N863*'RAP TEMPLATE-GAS AVAILABILITY'!P862+O863*'RAP TEMPLATE-GAS AVAILABILITY'!Q862+P863*'RAP TEMPLATE-GAS AVAILABILITY'!R862)/('RAP TEMPLATE-GAS AVAILABILITY'!O862+'RAP TEMPLATE-GAS AVAILABILITY'!P862+'RAP TEMPLATE-GAS AVAILABILITY'!Q862+'RAP TEMPLATE-GAS AVAILABILITY'!R862)</f>
        <v>60.57375899280575</v>
      </c>
    </row>
    <row r="864" spans="1:29" ht="15.75" x14ac:dyDescent="0.25">
      <c r="A864" s="32">
        <v>67206</v>
      </c>
      <c r="B864" s="14">
        <f>CHOOSE(CONTROL!$C$42, 65.3037, 65.3037) * CHOOSE(CONTROL!$C$21, $C$9, 100%, $E$9)</f>
        <v>65.303700000000006</v>
      </c>
      <c r="C864" s="14">
        <f>CHOOSE(CONTROL!$C$42, 65.3087, 65.3087) * CHOOSE(CONTROL!$C$21, $C$9, 100%, $E$9)</f>
        <v>65.308700000000002</v>
      </c>
      <c r="D864" s="14">
        <f>CHOOSE(CONTROL!$C$42, 65.3718, 65.3718) * CHOOSE(CONTROL!$C$21, $C$9, 100%, $E$9)</f>
        <v>65.371799999999993</v>
      </c>
      <c r="E864" s="14">
        <f>CHOOSE(CONTROL!$C$42, 65.4055, 65.4055) * CHOOSE(CONTROL!$C$21, $C$9, 100%, $E$9)</f>
        <v>65.405500000000004</v>
      </c>
      <c r="F864" s="14">
        <f>CHOOSE(CONTROL!$C$42, 65.3065, 65.3065)*CHOOSE(CONTROL!$C$21, $C$9, 100%, $E$9)</f>
        <v>65.3065</v>
      </c>
      <c r="G864" s="14">
        <f>CHOOSE(CONTROL!$C$42, 65.3233, 65.3233)*CHOOSE(CONTROL!$C$21, $C$9, 100%, $E$9)</f>
        <v>65.323300000000003</v>
      </c>
      <c r="H864" s="14">
        <f>CHOOSE(CONTROL!$C$42, 65.3947, 65.3947) * CHOOSE(CONTROL!$C$21, $C$9, 100%, $E$9)</f>
        <v>65.3947</v>
      </c>
      <c r="I864" s="14">
        <f>CHOOSE(CONTROL!$C$42, 65.3173, 65.3173)* CHOOSE(CONTROL!$C$21, $C$9, 100%, $E$9)</f>
        <v>65.317300000000003</v>
      </c>
      <c r="J864" s="14">
        <f>CHOOSE(CONTROL!$C$42, 65.2995, 65.2995)* CHOOSE(CONTROL!$C$21, $C$9, 100%, $E$9)</f>
        <v>65.299499999999995</v>
      </c>
      <c r="K864" s="53">
        <f>CHOOSE(CONTROL!$C$42, 65.3134, 65.3134) * CHOOSE(CONTROL!$C$21, $C$9, 100%, $E$9)</f>
        <v>65.313400000000001</v>
      </c>
      <c r="L864" s="14">
        <f>CHOOSE(CONTROL!$C$42, 65.9817, 65.9817) * CHOOSE(CONTROL!$C$21, $C$9, 100%, $E$9)</f>
        <v>65.981700000000004</v>
      </c>
      <c r="M864" s="14">
        <f>CHOOSE(CONTROL!$C$42, 64.6543, 64.6543) * CHOOSE(CONTROL!$C$21, $C$9, 100%, $E$9)</f>
        <v>64.654300000000006</v>
      </c>
      <c r="N864" s="14">
        <f>CHOOSE(CONTROL!$C$42, 64.671, 64.671) * CHOOSE(CONTROL!$C$21, $C$9, 100%, $E$9)</f>
        <v>64.671000000000006</v>
      </c>
      <c r="O864" s="14">
        <f>CHOOSE(CONTROL!$C$42, 64.7486, 64.7486) * CHOOSE(CONTROL!$C$21, $C$9, 100%, $E$9)</f>
        <v>64.748599999999996</v>
      </c>
      <c r="P864" s="14">
        <f>CHOOSE(CONTROL!$C$42, 64.672, 64.672) * CHOOSE(CONTROL!$C$21, $C$9, 100%, $E$9)</f>
        <v>64.671999999999997</v>
      </c>
      <c r="Q864" s="14">
        <f>CHOOSE(CONTROL!$C$42, 65.3439, 65.3439) * CHOOSE(CONTROL!$C$21, $C$9, 100%, $E$9)</f>
        <v>65.343900000000005</v>
      </c>
      <c r="R864" s="14">
        <f>CHOOSE(CONTROL!$C$42, 66.0943, 66.0943) * CHOOSE(CONTROL!$C$21, $C$9, 100%, $E$9)</f>
        <v>66.094300000000004</v>
      </c>
      <c r="S864" s="14">
        <f>CHOOSE(CONTROL!$C$42, 63.4143, 63.4143) * CHOOSE(CONTROL!$C$21, $C$9, 100%, $E$9)</f>
        <v>63.414299999999997</v>
      </c>
      <c r="T86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64" s="57">
        <f>(1000*CHOOSE(CONTROL!$C$42, 695, 695)*CHOOSE(CONTROL!$C$42, 0.5599, 0.5599)*CHOOSE(CONTROL!$C$42, 31, 31))/1000000</f>
        <v>12.063045499999998</v>
      </c>
      <c r="V864" s="57">
        <f>(1000*CHOOSE(CONTROL!$C$42, 500, 500)*CHOOSE(CONTROL!$C$42, 0.275, 0.275)*CHOOSE(CONTROL!$C$42, 31, 31))/1000000</f>
        <v>4.2625000000000002</v>
      </c>
      <c r="W864" s="57">
        <f>(1000*CHOOSE(CONTROL!$C$42, 0.1146, 0.1146)*CHOOSE(CONTROL!$C$42, 121.5, 121.5)*CHOOSE(CONTROL!$C$42, 31, 31))/1000000</f>
        <v>0.43164089999999994</v>
      </c>
      <c r="X864" s="57">
        <f>(31*0.1790888*100000/1000000)+(31*0.2374*100000/1000000)</f>
        <v>1.2911152800000001</v>
      </c>
      <c r="Y864" s="57"/>
      <c r="Z864" s="14"/>
      <c r="AA864" s="56"/>
      <c r="AB864" s="50">
        <f>(B864*122.58+C864*297.941+D864*89.177+E864*40.302+F864*40+G864*160+H864*0+I864*100+J864*300)/(122.58+297.941+89.177+40.302+0+40+160+100+300)</f>
        <v>65.316755132434793</v>
      </c>
      <c r="AC864" s="45">
        <f>(M864*'RAP TEMPLATE-GAS AVAILABILITY'!O863+N864*'RAP TEMPLATE-GAS AVAILABILITY'!P863+O864*'RAP TEMPLATE-GAS AVAILABILITY'!Q863+P864*'RAP TEMPLATE-GAS AVAILABILITY'!R863)/('RAP TEMPLATE-GAS AVAILABILITY'!O863+'RAP TEMPLATE-GAS AVAILABILITY'!P863+'RAP TEMPLATE-GAS AVAILABILITY'!Q863+'RAP TEMPLATE-GAS AVAILABILITY'!R863)</f>
        <v>64.700548201438835</v>
      </c>
    </row>
    <row r="865" spans="1:29" ht="15.75" x14ac:dyDescent="0.25">
      <c r="A865" s="32">
        <v>67237</v>
      </c>
      <c r="B865" s="14">
        <f>CHOOSE(CONTROL!$C$42, 70.6543, 70.6543) * CHOOSE(CONTROL!$C$21, $C$9, 100%, $E$9)</f>
        <v>70.654300000000006</v>
      </c>
      <c r="C865" s="14">
        <f>CHOOSE(CONTROL!$C$42, 70.6592, 70.6592) * CHOOSE(CONTROL!$C$21, $C$9, 100%, $E$9)</f>
        <v>70.659199999999998</v>
      </c>
      <c r="D865" s="14">
        <f>CHOOSE(CONTROL!$C$42, 70.7235, 70.7235) * CHOOSE(CONTROL!$C$21, $C$9, 100%, $E$9)</f>
        <v>70.723500000000001</v>
      </c>
      <c r="E865" s="14">
        <f>CHOOSE(CONTROL!$C$42, 70.7573, 70.7573) * CHOOSE(CONTROL!$C$21, $C$9, 100%, $E$9)</f>
        <v>70.757300000000001</v>
      </c>
      <c r="F865" s="14">
        <f>CHOOSE(CONTROL!$C$42, 70.6558, 70.6558)*CHOOSE(CONTROL!$C$21, $C$9, 100%, $E$9)</f>
        <v>70.655799999999999</v>
      </c>
      <c r="G865" s="14">
        <f>CHOOSE(CONTROL!$C$42, 70.6717, 70.6717)*CHOOSE(CONTROL!$C$21, $C$9, 100%, $E$9)</f>
        <v>70.671700000000001</v>
      </c>
      <c r="H865" s="14">
        <f>CHOOSE(CONTROL!$C$42, 70.7465, 70.7465) * CHOOSE(CONTROL!$C$21, $C$9, 100%, $E$9)</f>
        <v>70.746499999999997</v>
      </c>
      <c r="I865" s="14">
        <f>CHOOSE(CONTROL!$C$42, 70.6743, 70.6743)* CHOOSE(CONTROL!$C$21, $C$9, 100%, $E$9)</f>
        <v>70.674300000000002</v>
      </c>
      <c r="J865" s="14">
        <f>CHOOSE(CONTROL!$C$42, 70.6488, 70.6488)* CHOOSE(CONTROL!$C$21, $C$9, 100%, $E$9)</f>
        <v>70.648799999999994</v>
      </c>
      <c r="K865" s="53">
        <f>CHOOSE(CONTROL!$C$42, 70.6704, 70.6704) * CHOOSE(CONTROL!$C$21, $C$9, 100%, $E$9)</f>
        <v>70.670400000000001</v>
      </c>
      <c r="L865" s="14">
        <f>CHOOSE(CONTROL!$C$42, 71.3335, 71.3335) * CHOOSE(CONTROL!$C$21, $C$9, 100%, $E$9)</f>
        <v>71.333500000000001</v>
      </c>
      <c r="M865" s="14">
        <f>CHOOSE(CONTROL!$C$42, 69.9496, 69.9496) * CHOOSE(CONTROL!$C$21, $C$9, 100%, $E$9)</f>
        <v>69.949600000000004</v>
      </c>
      <c r="N865" s="14">
        <f>CHOOSE(CONTROL!$C$42, 69.9654, 69.9654) * CHOOSE(CONTROL!$C$21, $C$9, 100%, $E$9)</f>
        <v>69.965400000000002</v>
      </c>
      <c r="O865" s="14">
        <f>CHOOSE(CONTROL!$C$42, 70.0463, 70.0463) * CHOOSE(CONTROL!$C$21, $C$9, 100%, $E$9)</f>
        <v>70.046300000000002</v>
      </c>
      <c r="P865" s="14">
        <f>CHOOSE(CONTROL!$C$42, 69.9749, 69.9749) * CHOOSE(CONTROL!$C$21, $C$9, 100%, $E$9)</f>
        <v>69.974900000000005</v>
      </c>
      <c r="Q865" s="14">
        <f>CHOOSE(CONTROL!$C$42, 70.6416, 70.6416) * CHOOSE(CONTROL!$C$21, $C$9, 100%, $E$9)</f>
        <v>70.641599999999997</v>
      </c>
      <c r="R865" s="14">
        <f>CHOOSE(CONTROL!$C$42, 71.4053, 71.4053) * CHOOSE(CONTROL!$C$21, $C$9, 100%, $E$9)</f>
        <v>71.405299999999997</v>
      </c>
      <c r="S865" s="14">
        <f>CHOOSE(CONTROL!$C$42, 68.6102, 68.6102) * CHOOSE(CONTROL!$C$21, $C$9, 100%, $E$9)</f>
        <v>68.610200000000006</v>
      </c>
      <c r="T86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65" s="57">
        <f>(1000*CHOOSE(CONTROL!$C$42, 695, 695)*CHOOSE(CONTROL!$C$42, 0.5599, 0.5599)*CHOOSE(CONTROL!$C$42, 31, 31))/1000000</f>
        <v>12.063045499999998</v>
      </c>
      <c r="V865" s="57">
        <f>(1000*CHOOSE(CONTROL!$C$42, 500, 500)*CHOOSE(CONTROL!$C$42, 0.275, 0.275)*CHOOSE(CONTROL!$C$42, 31, 31))/1000000</f>
        <v>4.2625000000000002</v>
      </c>
      <c r="W865" s="57">
        <f>(1000*CHOOSE(CONTROL!$C$42, 0.1146, 0.1146)*CHOOSE(CONTROL!$C$42, 121.5, 121.5)*CHOOSE(CONTROL!$C$42, 31, 31))/1000000</f>
        <v>0.43164089999999994</v>
      </c>
      <c r="X865" s="57">
        <f>(31*0.1790888*100000/1000000)+(31*0.2374*100000/1000000)</f>
        <v>1.2911152800000001</v>
      </c>
      <c r="Y865" s="57"/>
      <c r="Z865" s="14"/>
      <c r="AA865" s="56"/>
      <c r="AB865" s="50">
        <f>(B865*122.58+C865*297.941+D865*89.177+E865*40.302+F865*40+G865*160+H865*0+I865*100+J865*300)/(122.58+297.941+89.177+40.302+0+40+160+100+300)</f>
        <v>70.667322665478267</v>
      </c>
      <c r="AC865" s="45">
        <f>(M865*'RAP TEMPLATE-GAS AVAILABILITY'!O864+N865*'RAP TEMPLATE-GAS AVAILABILITY'!P864+O865*'RAP TEMPLATE-GAS AVAILABILITY'!Q864+P865*'RAP TEMPLATE-GAS AVAILABILITY'!R864)/('RAP TEMPLATE-GAS AVAILABILITY'!O864+'RAP TEMPLATE-GAS AVAILABILITY'!P864+'RAP TEMPLATE-GAS AVAILABILITY'!Q864+'RAP TEMPLATE-GAS AVAILABILITY'!R864)</f>
        <v>69.997977697841719</v>
      </c>
    </row>
    <row r="866" spans="1:29" ht="15.75" x14ac:dyDescent="0.25">
      <c r="A866" s="32">
        <v>67266</v>
      </c>
      <c r="B866" s="14">
        <f>CHOOSE(CONTROL!$C$42, 71.912, 71.912) * CHOOSE(CONTROL!$C$21, $C$9, 100%, $E$9)</f>
        <v>71.912000000000006</v>
      </c>
      <c r="C866" s="14">
        <f>CHOOSE(CONTROL!$C$42, 71.9169, 71.9169) * CHOOSE(CONTROL!$C$21, $C$9, 100%, $E$9)</f>
        <v>71.916899999999998</v>
      </c>
      <c r="D866" s="14">
        <f>CHOOSE(CONTROL!$C$42, 71.9812, 71.9812) * CHOOSE(CONTROL!$C$21, $C$9, 100%, $E$9)</f>
        <v>71.981200000000001</v>
      </c>
      <c r="E866" s="14">
        <f>CHOOSE(CONTROL!$C$42, 72.015, 72.015) * CHOOSE(CONTROL!$C$21, $C$9, 100%, $E$9)</f>
        <v>72.015000000000001</v>
      </c>
      <c r="F866" s="14">
        <f>CHOOSE(CONTROL!$C$42, 71.9135, 71.9135)*CHOOSE(CONTROL!$C$21, $C$9, 100%, $E$9)</f>
        <v>71.913499999999999</v>
      </c>
      <c r="G866" s="14">
        <f>CHOOSE(CONTROL!$C$42, 71.9295, 71.9295)*CHOOSE(CONTROL!$C$21, $C$9, 100%, $E$9)</f>
        <v>71.929500000000004</v>
      </c>
      <c r="H866" s="14">
        <f>CHOOSE(CONTROL!$C$42, 72.0042, 72.0042) * CHOOSE(CONTROL!$C$21, $C$9, 100%, $E$9)</f>
        <v>72.004199999999997</v>
      </c>
      <c r="I866" s="14">
        <f>CHOOSE(CONTROL!$C$42, 71.9319, 71.9319)* CHOOSE(CONTROL!$C$21, $C$9, 100%, $E$9)</f>
        <v>71.931899999999999</v>
      </c>
      <c r="J866" s="14">
        <f>CHOOSE(CONTROL!$C$42, 71.9065, 71.9065)* CHOOSE(CONTROL!$C$21, $C$9, 100%, $E$9)</f>
        <v>71.906499999999994</v>
      </c>
      <c r="K866" s="53">
        <f>CHOOSE(CONTROL!$C$42, 71.9281, 71.9281) * CHOOSE(CONTROL!$C$21, $C$9, 100%, $E$9)</f>
        <v>71.928100000000001</v>
      </c>
      <c r="L866" s="14">
        <f>CHOOSE(CONTROL!$C$42, 72.5912, 72.5912) * CHOOSE(CONTROL!$C$21, $C$9, 100%, $E$9)</f>
        <v>72.591200000000001</v>
      </c>
      <c r="M866" s="14">
        <f>CHOOSE(CONTROL!$C$42, 71.1947, 71.1947) * CHOOSE(CONTROL!$C$21, $C$9, 100%, $E$9)</f>
        <v>71.194699999999997</v>
      </c>
      <c r="N866" s="14">
        <f>CHOOSE(CONTROL!$C$42, 71.2105, 71.2105) * CHOOSE(CONTROL!$C$21, $C$9, 100%, $E$9)</f>
        <v>71.210499999999996</v>
      </c>
      <c r="O866" s="14">
        <f>CHOOSE(CONTROL!$C$42, 71.2914, 71.2914) * CHOOSE(CONTROL!$C$21, $C$9, 100%, $E$9)</f>
        <v>71.291399999999996</v>
      </c>
      <c r="P866" s="14">
        <f>CHOOSE(CONTROL!$C$42, 71.2199, 71.2199) * CHOOSE(CONTROL!$C$21, $C$9, 100%, $E$9)</f>
        <v>71.219899999999996</v>
      </c>
      <c r="Q866" s="14">
        <f>CHOOSE(CONTROL!$C$42, 71.8867, 71.8867) * CHOOSE(CONTROL!$C$21, $C$9, 100%, $E$9)</f>
        <v>71.886700000000005</v>
      </c>
      <c r="R866" s="14">
        <f>CHOOSE(CONTROL!$C$42, 72.6534, 72.6534) * CHOOSE(CONTROL!$C$21, $C$9, 100%, $E$9)</f>
        <v>72.653400000000005</v>
      </c>
      <c r="S866" s="14">
        <f>CHOOSE(CONTROL!$C$42, 69.8316, 69.8316) * CHOOSE(CONTROL!$C$21, $C$9, 100%, $E$9)</f>
        <v>69.831599999999995</v>
      </c>
      <c r="T866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866" s="57">
        <f>(1000*CHOOSE(CONTROL!$C$42, 695, 695)*CHOOSE(CONTROL!$C$42, 0.5599, 0.5599)*CHOOSE(CONTROL!$C$42, 29, 29))/1000000</f>
        <v>11.284784499999999</v>
      </c>
      <c r="V866" s="57">
        <f>(1000*CHOOSE(CONTROL!$C$42, 500, 500)*CHOOSE(CONTROL!$C$42, 0.275, 0.275)*CHOOSE(CONTROL!$C$42, 29, 29))/1000000</f>
        <v>3.9874999999999998</v>
      </c>
      <c r="W866" s="57">
        <f>(1000*CHOOSE(CONTROL!$C$42, 0.1146, 0.1146)*CHOOSE(CONTROL!$C$42, 121.5, 121.5)*CHOOSE(CONTROL!$C$42, 29, 29))/1000000</f>
        <v>0.40379309999999996</v>
      </c>
      <c r="X866" s="57">
        <f>(29*0.1790888*100000/1000000)+(29*0.2374*100000/1000000)</f>
        <v>1.2078175199999999</v>
      </c>
      <c r="Y866" s="57"/>
      <c r="Z866" s="14"/>
      <c r="AA866" s="56"/>
      <c r="AB866" s="50">
        <f>(B866*122.58+C866*297.941+D866*89.177+E866*40.302+F866*40+G866*160+H866*0+I866*100+J866*300)/(122.58+297.941+89.177+40.302+0+40+160+100+300)</f>
        <v>71.925027882869571</v>
      </c>
      <c r="AC866" s="45">
        <f>(M866*'RAP TEMPLATE-GAS AVAILABILITY'!O865+N866*'RAP TEMPLATE-GAS AVAILABILITY'!P865+O866*'RAP TEMPLATE-GAS AVAILABILITY'!Q865+P866*'RAP TEMPLATE-GAS AVAILABILITY'!R865)/('RAP TEMPLATE-GAS AVAILABILITY'!O865+'RAP TEMPLATE-GAS AVAILABILITY'!P865+'RAP TEMPLATE-GAS AVAILABILITY'!Q865+'RAP TEMPLATE-GAS AVAILABILITY'!R865)</f>
        <v>71.243063309352507</v>
      </c>
    </row>
    <row r="867" spans="1:29" ht="15.75" x14ac:dyDescent="0.25">
      <c r="A867" s="32">
        <v>67297</v>
      </c>
      <c r="B867" s="14">
        <f>CHOOSE(CONTROL!$C$42, 69.8704, 69.8704) * CHOOSE(CONTROL!$C$21, $C$9, 100%, $E$9)</f>
        <v>69.870400000000004</v>
      </c>
      <c r="C867" s="14">
        <f>CHOOSE(CONTROL!$C$42, 69.8754, 69.8754) * CHOOSE(CONTROL!$C$21, $C$9, 100%, $E$9)</f>
        <v>69.875399999999999</v>
      </c>
      <c r="D867" s="14">
        <f>CHOOSE(CONTROL!$C$42, 69.9397, 69.9397) * CHOOSE(CONTROL!$C$21, $C$9, 100%, $E$9)</f>
        <v>69.939700000000002</v>
      </c>
      <c r="E867" s="14">
        <f>CHOOSE(CONTROL!$C$42, 69.9734, 69.9734) * CHOOSE(CONTROL!$C$21, $C$9, 100%, $E$9)</f>
        <v>69.973399999999998</v>
      </c>
      <c r="F867" s="14">
        <f>CHOOSE(CONTROL!$C$42, 69.8717, 69.8717)*CHOOSE(CONTROL!$C$21, $C$9, 100%, $E$9)</f>
        <v>69.871700000000004</v>
      </c>
      <c r="G867" s="14">
        <f>CHOOSE(CONTROL!$C$42, 69.8875, 69.8875)*CHOOSE(CONTROL!$C$21, $C$9, 100%, $E$9)</f>
        <v>69.887500000000003</v>
      </c>
      <c r="H867" s="14">
        <f>CHOOSE(CONTROL!$C$42, 69.9626, 69.9626) * CHOOSE(CONTROL!$C$21, $C$9, 100%, $E$9)</f>
        <v>69.962599999999995</v>
      </c>
      <c r="I867" s="14">
        <f>CHOOSE(CONTROL!$C$42, 69.8904, 69.8904)* CHOOSE(CONTROL!$C$21, $C$9, 100%, $E$9)</f>
        <v>69.8904</v>
      </c>
      <c r="J867" s="14">
        <f>CHOOSE(CONTROL!$C$42, 69.8647, 69.8647)* CHOOSE(CONTROL!$C$21, $C$9, 100%, $E$9)</f>
        <v>69.864699999999999</v>
      </c>
      <c r="K867" s="53">
        <f>CHOOSE(CONTROL!$C$42, 69.8865, 69.8865) * CHOOSE(CONTROL!$C$21, $C$9, 100%, $E$9)</f>
        <v>69.886499999999998</v>
      </c>
      <c r="L867" s="14">
        <f>CHOOSE(CONTROL!$C$42, 70.5496, 70.5496) * CHOOSE(CONTROL!$C$21, $C$9, 100%, $E$9)</f>
        <v>70.549599999999998</v>
      </c>
      <c r="M867" s="14">
        <f>CHOOSE(CONTROL!$C$42, 69.1734, 69.1734) * CHOOSE(CONTROL!$C$21, $C$9, 100%, $E$9)</f>
        <v>69.173400000000001</v>
      </c>
      <c r="N867" s="14">
        <f>CHOOSE(CONTROL!$C$42, 69.1891, 69.1891) * CHOOSE(CONTROL!$C$21, $C$9, 100%, $E$9)</f>
        <v>69.189099999999996</v>
      </c>
      <c r="O867" s="14">
        <f>CHOOSE(CONTROL!$C$42, 69.2704, 69.2704) * CHOOSE(CONTROL!$C$21, $C$9, 100%, $E$9)</f>
        <v>69.270399999999995</v>
      </c>
      <c r="P867" s="14">
        <f>CHOOSE(CONTROL!$C$42, 69.199, 69.199) * CHOOSE(CONTROL!$C$21, $C$9, 100%, $E$9)</f>
        <v>69.198999999999998</v>
      </c>
      <c r="Q867" s="14">
        <f>CHOOSE(CONTROL!$C$42, 69.8657, 69.8657) * CHOOSE(CONTROL!$C$21, $C$9, 100%, $E$9)</f>
        <v>69.865700000000004</v>
      </c>
      <c r="R867" s="14">
        <f>CHOOSE(CONTROL!$C$42, 70.6274, 70.6274) * CHOOSE(CONTROL!$C$21, $C$9, 100%, $E$9)</f>
        <v>70.627399999999994</v>
      </c>
      <c r="S867" s="14">
        <f>CHOOSE(CONTROL!$C$42, 67.849, 67.849) * CHOOSE(CONTROL!$C$21, $C$9, 100%, $E$9)</f>
        <v>67.849000000000004</v>
      </c>
      <c r="T86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67" s="57">
        <f>(1000*CHOOSE(CONTROL!$C$42, 695, 695)*CHOOSE(CONTROL!$C$42, 0.5599, 0.5599)*CHOOSE(CONTROL!$C$42, 31, 31))/1000000</f>
        <v>12.063045499999998</v>
      </c>
      <c r="V867" s="57">
        <f>(1000*CHOOSE(CONTROL!$C$42, 500, 500)*CHOOSE(CONTROL!$C$42, 0.275, 0.275)*CHOOSE(CONTROL!$C$42, 31, 31))/1000000</f>
        <v>4.2625000000000002</v>
      </c>
      <c r="W867" s="57">
        <f>(1000*CHOOSE(CONTROL!$C$42, 0.1146, 0.1146)*CHOOSE(CONTROL!$C$42, 121.5, 121.5)*CHOOSE(CONTROL!$C$42, 31, 31))/1000000</f>
        <v>0.43164089999999994</v>
      </c>
      <c r="X867" s="57">
        <f>(31*0.1790888*100000/1000000)+(31*0.2374*100000/1000000)</f>
        <v>1.2911152800000001</v>
      </c>
      <c r="Y867" s="57"/>
      <c r="Z867" s="14"/>
      <c r="AA867" s="56"/>
      <c r="AB867" s="50">
        <f>(B867*122.58+C867*297.941+D867*89.177+E867*40.302+F867*40+G867*160+H867*0+I867*100+J867*300)/(122.58+297.941+89.177+40.302+0+40+160+100+300)</f>
        <v>69.883355458347822</v>
      </c>
      <c r="AC867" s="45">
        <f>(M867*'RAP TEMPLATE-GAS AVAILABILITY'!O866+N867*'RAP TEMPLATE-GAS AVAILABILITY'!P866+O867*'RAP TEMPLATE-GAS AVAILABILITY'!Q866+P867*'RAP TEMPLATE-GAS AVAILABILITY'!R866)/('RAP TEMPLATE-GAS AVAILABILITY'!O866+'RAP TEMPLATE-GAS AVAILABILITY'!P866+'RAP TEMPLATE-GAS AVAILABILITY'!Q866+'RAP TEMPLATE-GAS AVAILABILITY'!R866)</f>
        <v>69.221951079136687</v>
      </c>
    </row>
    <row r="868" spans="1:29" ht="15.75" x14ac:dyDescent="0.25">
      <c r="A868" s="32">
        <v>67327</v>
      </c>
      <c r="B868" s="14">
        <f>CHOOSE(CONTROL!$C$42, 69.6624, 69.6624) * CHOOSE(CONTROL!$C$21, $C$9, 100%, $E$9)</f>
        <v>69.662400000000005</v>
      </c>
      <c r="C868" s="14">
        <f>CHOOSE(CONTROL!$C$42, 69.6668, 69.6668) * CHOOSE(CONTROL!$C$21, $C$9, 100%, $E$9)</f>
        <v>69.666799999999995</v>
      </c>
      <c r="D868" s="14">
        <f>CHOOSE(CONTROL!$C$42, 69.8675, 69.8675) * CHOOSE(CONTROL!$C$21, $C$9, 100%, $E$9)</f>
        <v>69.867500000000007</v>
      </c>
      <c r="E868" s="14">
        <f>CHOOSE(CONTROL!$C$42, 69.8993, 69.8993) * CHOOSE(CONTROL!$C$21, $C$9, 100%, $E$9)</f>
        <v>69.899299999999997</v>
      </c>
      <c r="F868" s="14">
        <f>CHOOSE(CONTROL!$C$42, 69.647, 69.647)*CHOOSE(CONTROL!$C$21, $C$9, 100%, $E$9)</f>
        <v>69.647000000000006</v>
      </c>
      <c r="G868" s="14">
        <f>CHOOSE(CONTROL!$C$42, 69.6626, 69.6626)*CHOOSE(CONTROL!$C$21, $C$9, 100%, $E$9)</f>
        <v>69.662599999999998</v>
      </c>
      <c r="H868" s="14">
        <f>CHOOSE(CONTROL!$C$42, 69.8891, 69.8891) * CHOOSE(CONTROL!$C$21, $C$9, 100%, $E$9)</f>
        <v>69.889099999999999</v>
      </c>
      <c r="I868" s="14">
        <f>CHOOSE(CONTROL!$C$42, 69.6752, 69.6752)* CHOOSE(CONTROL!$C$21, $C$9, 100%, $E$9)</f>
        <v>69.675200000000004</v>
      </c>
      <c r="J868" s="14">
        <f>CHOOSE(CONTROL!$C$42, 69.64, 69.64)* CHOOSE(CONTROL!$C$21, $C$9, 100%, $E$9)</f>
        <v>69.64</v>
      </c>
      <c r="K868" s="53">
        <f>CHOOSE(CONTROL!$C$42, 69.6713, 69.6713) * CHOOSE(CONTROL!$C$21, $C$9, 100%, $E$9)</f>
        <v>69.671300000000002</v>
      </c>
      <c r="L868" s="14">
        <f>CHOOSE(CONTROL!$C$42, 70.4761, 70.4761) * CHOOSE(CONTROL!$C$21, $C$9, 100%, $E$9)</f>
        <v>70.476100000000002</v>
      </c>
      <c r="M868" s="14">
        <f>CHOOSE(CONTROL!$C$42, 68.951, 68.951) * CHOOSE(CONTROL!$C$21, $C$9, 100%, $E$9)</f>
        <v>68.950999999999993</v>
      </c>
      <c r="N868" s="14">
        <f>CHOOSE(CONTROL!$C$42, 68.9665, 68.9665) * CHOOSE(CONTROL!$C$21, $C$9, 100%, $E$9)</f>
        <v>68.966499999999996</v>
      </c>
      <c r="O868" s="14">
        <f>CHOOSE(CONTROL!$C$42, 69.1976, 69.1976) * CHOOSE(CONTROL!$C$21, $C$9, 100%, $E$9)</f>
        <v>69.197599999999994</v>
      </c>
      <c r="P868" s="14">
        <f>CHOOSE(CONTROL!$C$42, 68.9859, 68.9859) * CHOOSE(CONTROL!$C$21, $C$9, 100%, $E$9)</f>
        <v>68.985900000000001</v>
      </c>
      <c r="Q868" s="14">
        <f>CHOOSE(CONTROL!$C$42, 69.7929, 69.7929) * CHOOSE(CONTROL!$C$21, $C$9, 100%, $E$9)</f>
        <v>69.792900000000003</v>
      </c>
      <c r="R868" s="14">
        <f>CHOOSE(CONTROL!$C$42, 70.5544, 70.5544) * CHOOSE(CONTROL!$C$21, $C$9, 100%, $E$9)</f>
        <v>70.554400000000001</v>
      </c>
      <c r="S868" s="14">
        <f>CHOOSE(CONTROL!$C$42, 67.6463, 67.6463) * CHOOSE(CONTROL!$C$21, $C$9, 100%, $E$9)</f>
        <v>67.646299999999997</v>
      </c>
      <c r="T86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68" s="57">
        <f>(1000*CHOOSE(CONTROL!$C$42, 695, 695)*CHOOSE(CONTROL!$C$42, 0.5599, 0.5599)*CHOOSE(CONTROL!$C$42, 30, 30))/1000000</f>
        <v>11.673914999999997</v>
      </c>
      <c r="V868" s="57">
        <f>(1000*CHOOSE(CONTROL!$C$42, 500, 500)*CHOOSE(CONTROL!$C$42, 0.275, 0.275)*CHOOSE(CONTROL!$C$42, 30, 30))/1000000</f>
        <v>4.125</v>
      </c>
      <c r="W868" s="57">
        <f>(1000*CHOOSE(CONTROL!$C$42, 0.1146, 0.1146)*CHOOSE(CONTROL!$C$42, 121.5, 121.5)*CHOOSE(CONTROL!$C$42, 30, 30))/1000000</f>
        <v>0.417717</v>
      </c>
      <c r="X868" s="57">
        <f>(30*0.1790888*245000/1000000)+(30*0.2374*100000/1000000)</f>
        <v>2.0285026799999999</v>
      </c>
      <c r="Y868" s="57"/>
      <c r="Z868" s="14"/>
      <c r="AA868" s="56"/>
      <c r="AB868" s="50">
        <f>(B868*141.293+C868*267.993+D868*115.016+E868*89.698+F868*40+G868*185+H868*0+I868*100+J868*300)/(141.293+267.993+115.016+89.698+0+40+185+100+300)</f>
        <v>69.694683621468926</v>
      </c>
      <c r="AC868" s="45">
        <f>(M868*'RAP TEMPLATE-GAS AVAILABILITY'!O867+N868*'RAP TEMPLATE-GAS AVAILABILITY'!P867+O868*'RAP TEMPLATE-GAS AVAILABILITY'!Q867+P868*'RAP TEMPLATE-GAS AVAILABILITY'!R867)/('RAP TEMPLATE-GAS AVAILABILITY'!O867+'RAP TEMPLATE-GAS AVAILABILITY'!P867+'RAP TEMPLATE-GAS AVAILABILITY'!Q867+'RAP TEMPLATE-GAS AVAILABILITY'!R867)</f>
        <v>69.068682014388486</v>
      </c>
    </row>
    <row r="869" spans="1:29" ht="15.75" x14ac:dyDescent="0.25">
      <c r="A869" s="32">
        <v>67358</v>
      </c>
      <c r="B869" s="14">
        <f>CHOOSE(CONTROL!$C$42, 70.2786, 70.2786) * CHOOSE(CONTROL!$C$21, $C$9, 100%, $E$9)</f>
        <v>70.278599999999997</v>
      </c>
      <c r="C869" s="14">
        <f>CHOOSE(CONTROL!$C$42, 70.2865, 70.2865) * CHOOSE(CONTROL!$C$21, $C$9, 100%, $E$9)</f>
        <v>70.286500000000004</v>
      </c>
      <c r="D869" s="14">
        <f>CHOOSE(CONTROL!$C$42, 70.4841, 70.4841) * CHOOSE(CONTROL!$C$21, $C$9, 100%, $E$9)</f>
        <v>70.484099999999998</v>
      </c>
      <c r="E869" s="14">
        <f>CHOOSE(CONTROL!$C$42, 70.5152, 70.5152) * CHOOSE(CONTROL!$C$21, $C$9, 100%, $E$9)</f>
        <v>70.515199999999993</v>
      </c>
      <c r="F869" s="14">
        <f>CHOOSE(CONTROL!$C$42, 70.262, 70.262)*CHOOSE(CONTROL!$C$21, $C$9, 100%, $E$9)</f>
        <v>70.262</v>
      </c>
      <c r="G869" s="14">
        <f>CHOOSE(CONTROL!$C$42, 70.2781, 70.2781)*CHOOSE(CONTROL!$C$21, $C$9, 100%, $E$9)</f>
        <v>70.278099999999995</v>
      </c>
      <c r="H869" s="14">
        <f>CHOOSE(CONTROL!$C$42, 70.5039, 70.5039) * CHOOSE(CONTROL!$C$21, $C$9, 100%, $E$9)</f>
        <v>70.503900000000002</v>
      </c>
      <c r="I869" s="14">
        <f>CHOOSE(CONTROL!$C$42, 70.29, 70.29)* CHOOSE(CONTROL!$C$21, $C$9, 100%, $E$9)</f>
        <v>70.290000000000006</v>
      </c>
      <c r="J869" s="14">
        <f>CHOOSE(CONTROL!$C$42, 70.255, 70.255)* CHOOSE(CONTROL!$C$21, $C$9, 100%, $E$9)</f>
        <v>70.254999999999995</v>
      </c>
      <c r="K869" s="53">
        <f>CHOOSE(CONTROL!$C$42, 70.2861, 70.2861) * CHOOSE(CONTROL!$C$21, $C$9, 100%, $E$9)</f>
        <v>70.286100000000005</v>
      </c>
      <c r="L869" s="14">
        <f>CHOOSE(CONTROL!$C$42, 71.0909, 71.0909) * CHOOSE(CONTROL!$C$21, $C$9, 100%, $E$9)</f>
        <v>71.090900000000005</v>
      </c>
      <c r="M869" s="14">
        <f>CHOOSE(CONTROL!$C$42, 69.5599, 69.5599) * CHOOSE(CONTROL!$C$21, $C$9, 100%, $E$9)</f>
        <v>69.559899999999999</v>
      </c>
      <c r="N869" s="14">
        <f>CHOOSE(CONTROL!$C$42, 69.5758, 69.5758) * CHOOSE(CONTROL!$C$21, $C$9, 100%, $E$9)</f>
        <v>69.575800000000001</v>
      </c>
      <c r="O869" s="14">
        <f>CHOOSE(CONTROL!$C$42, 69.8062, 69.8062) * CHOOSE(CONTROL!$C$21, $C$9, 100%, $E$9)</f>
        <v>69.806200000000004</v>
      </c>
      <c r="P869" s="14">
        <f>CHOOSE(CONTROL!$C$42, 69.5945, 69.5945) * CHOOSE(CONTROL!$C$21, $C$9, 100%, $E$9)</f>
        <v>69.594499999999996</v>
      </c>
      <c r="Q869" s="14">
        <f>CHOOSE(CONTROL!$C$42, 70.4015, 70.4015) * CHOOSE(CONTROL!$C$21, $C$9, 100%, $E$9)</f>
        <v>70.401499999999999</v>
      </c>
      <c r="R869" s="14">
        <f>CHOOSE(CONTROL!$C$42, 71.1645, 71.1645) * CHOOSE(CONTROL!$C$21, $C$9, 100%, $E$9)</f>
        <v>71.164500000000004</v>
      </c>
      <c r="S869" s="14">
        <f>CHOOSE(CONTROL!$C$42, 68.2433, 68.2433) * CHOOSE(CONTROL!$C$21, $C$9, 100%, $E$9)</f>
        <v>68.243300000000005</v>
      </c>
      <c r="T86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69" s="57">
        <f>(1000*CHOOSE(CONTROL!$C$42, 695, 695)*CHOOSE(CONTROL!$C$42, 0.5599, 0.5599)*CHOOSE(CONTROL!$C$42, 31, 31))/1000000</f>
        <v>12.063045499999998</v>
      </c>
      <c r="V869" s="57">
        <f>(1000*CHOOSE(CONTROL!$C$42, 500, 500)*CHOOSE(CONTROL!$C$42, 0.275, 0.275)*CHOOSE(CONTROL!$C$42, 31, 31))/1000000</f>
        <v>4.2625000000000002</v>
      </c>
      <c r="W869" s="57">
        <f>(1000*CHOOSE(CONTROL!$C$42, 0.1146, 0.1146)*CHOOSE(CONTROL!$C$42, 121.5, 121.5)*CHOOSE(CONTROL!$C$42, 31, 31))/1000000</f>
        <v>0.43164089999999994</v>
      </c>
      <c r="X869" s="57">
        <f>(31*0.1790888*245000/1000000)+(31*0.2374*100000/1000000)</f>
        <v>2.0961194359999999</v>
      </c>
      <c r="Y869" s="57"/>
      <c r="Z869" s="14"/>
      <c r="AA869" s="56"/>
      <c r="AB869" s="50">
        <f>(B869*194.205+C869*267.466+D869*133.845+E869*53.484+F869*40+G869*185+H869*0+I869*100+J869*300)/(194.205+267.466+133.845+53.484+0+40+185+100+300)</f>
        <v>70.306524602276298</v>
      </c>
      <c r="AC869" s="45">
        <f>(M869*'RAP TEMPLATE-GAS AVAILABILITY'!O868+N869*'RAP TEMPLATE-GAS AVAILABILITY'!P868+O869*'RAP TEMPLATE-GAS AVAILABILITY'!Q868+P869*'RAP TEMPLATE-GAS AVAILABILITY'!R868)/('RAP TEMPLATE-GAS AVAILABILITY'!O868+'RAP TEMPLATE-GAS AVAILABILITY'!P868+'RAP TEMPLATE-GAS AVAILABILITY'!Q868+'RAP TEMPLATE-GAS AVAILABILITY'!R868)</f>
        <v>69.677425899280578</v>
      </c>
    </row>
    <row r="870" spans="1:29" ht="15.75" x14ac:dyDescent="0.25">
      <c r="A870" s="32">
        <v>67388</v>
      </c>
      <c r="B870" s="14">
        <f>CHOOSE(CONTROL!$C$42, 72.272, 72.272) * CHOOSE(CONTROL!$C$21, $C$9, 100%, $E$9)</f>
        <v>72.272000000000006</v>
      </c>
      <c r="C870" s="14">
        <f>CHOOSE(CONTROL!$C$42, 72.2799, 72.2799) * CHOOSE(CONTROL!$C$21, $C$9, 100%, $E$9)</f>
        <v>72.279899999999998</v>
      </c>
      <c r="D870" s="14">
        <f>CHOOSE(CONTROL!$C$42, 72.4775, 72.4775) * CHOOSE(CONTROL!$C$21, $C$9, 100%, $E$9)</f>
        <v>72.477500000000006</v>
      </c>
      <c r="E870" s="14">
        <f>CHOOSE(CONTROL!$C$42, 72.5086, 72.5086) * CHOOSE(CONTROL!$C$21, $C$9, 100%, $E$9)</f>
        <v>72.508600000000001</v>
      </c>
      <c r="F870" s="14">
        <f>CHOOSE(CONTROL!$C$42, 72.2558, 72.2558)*CHOOSE(CONTROL!$C$21, $C$9, 100%, $E$9)</f>
        <v>72.255799999999994</v>
      </c>
      <c r="G870" s="14">
        <f>CHOOSE(CONTROL!$C$42, 72.272, 72.272)*CHOOSE(CONTROL!$C$21, $C$9, 100%, $E$9)</f>
        <v>72.272000000000006</v>
      </c>
      <c r="H870" s="14">
        <f>CHOOSE(CONTROL!$C$42, 72.4973, 72.4973) * CHOOSE(CONTROL!$C$21, $C$9, 100%, $E$9)</f>
        <v>72.497299999999996</v>
      </c>
      <c r="I870" s="14">
        <f>CHOOSE(CONTROL!$C$42, 72.2834, 72.2834)* CHOOSE(CONTROL!$C$21, $C$9, 100%, $E$9)</f>
        <v>72.2834</v>
      </c>
      <c r="J870" s="14">
        <f>CHOOSE(CONTROL!$C$42, 72.2488, 72.2488)* CHOOSE(CONTROL!$C$21, $C$9, 100%, $E$9)</f>
        <v>72.248800000000003</v>
      </c>
      <c r="K870" s="53">
        <f>CHOOSE(CONTROL!$C$42, 72.2795, 72.2795) * CHOOSE(CONTROL!$C$21, $C$9, 100%, $E$9)</f>
        <v>72.279499999999999</v>
      </c>
      <c r="L870" s="14">
        <f>CHOOSE(CONTROL!$C$42, 73.0843, 73.0843) * CHOOSE(CONTROL!$C$21, $C$9, 100%, $E$9)</f>
        <v>73.084299999999999</v>
      </c>
      <c r="M870" s="14">
        <f>CHOOSE(CONTROL!$C$42, 71.5335, 71.5335) * CHOOSE(CONTROL!$C$21, $C$9, 100%, $E$9)</f>
        <v>71.533500000000004</v>
      </c>
      <c r="N870" s="14">
        <f>CHOOSE(CONTROL!$C$42, 71.5496, 71.5496) * CHOOSE(CONTROL!$C$21, $C$9, 100%, $E$9)</f>
        <v>71.549599999999998</v>
      </c>
      <c r="O870" s="14">
        <f>CHOOSE(CONTROL!$C$42, 71.7795, 71.7795) * CHOOSE(CONTROL!$C$21, $C$9, 100%, $E$9)</f>
        <v>71.779499999999999</v>
      </c>
      <c r="P870" s="14">
        <f>CHOOSE(CONTROL!$C$42, 71.5678, 71.5678) * CHOOSE(CONTROL!$C$21, $C$9, 100%, $E$9)</f>
        <v>71.567800000000005</v>
      </c>
      <c r="Q870" s="14">
        <f>CHOOSE(CONTROL!$C$42, 72.3748, 72.3748) * CHOOSE(CONTROL!$C$21, $C$9, 100%, $E$9)</f>
        <v>72.374799999999993</v>
      </c>
      <c r="R870" s="14">
        <f>CHOOSE(CONTROL!$C$42, 73.1427, 73.1427) * CHOOSE(CONTROL!$C$21, $C$9, 100%, $E$9)</f>
        <v>73.142700000000005</v>
      </c>
      <c r="S870" s="14">
        <f>CHOOSE(CONTROL!$C$42, 70.1791, 70.1791) * CHOOSE(CONTROL!$C$21, $C$9, 100%, $E$9)</f>
        <v>70.179100000000005</v>
      </c>
      <c r="T87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70" s="57">
        <f>(1000*CHOOSE(CONTROL!$C$42, 695, 695)*CHOOSE(CONTROL!$C$42, 0.5599, 0.5599)*CHOOSE(CONTROL!$C$42, 30, 30))/1000000</f>
        <v>11.673914999999997</v>
      </c>
      <c r="V870" s="57">
        <f>(1000*CHOOSE(CONTROL!$C$42, 500, 500)*CHOOSE(CONTROL!$C$42, 0.275, 0.275)*CHOOSE(CONTROL!$C$42, 30, 30))/1000000</f>
        <v>4.125</v>
      </c>
      <c r="W870" s="57">
        <f>(1000*CHOOSE(CONTROL!$C$42, 0.1146, 0.1146)*CHOOSE(CONTROL!$C$42, 121.5, 121.5)*CHOOSE(CONTROL!$C$42, 30, 30))/1000000</f>
        <v>0.417717</v>
      </c>
      <c r="X870" s="57">
        <f>(30*0.1790888*245000/1000000)+(30*0.2374*100000/1000000)</f>
        <v>2.0285026799999999</v>
      </c>
      <c r="Y870" s="57"/>
      <c r="Z870" s="14"/>
      <c r="AA870" s="56"/>
      <c r="AB870" s="50">
        <f>(B870*194.205+C870*267.466+D870*133.845+E870*53.484+F870*40+G870*185+H870*0+I870*100+J870*300)/(194.205+267.466+133.845+53.484+0+40+185+100+300)</f>
        <v>72.300103958634224</v>
      </c>
      <c r="AC870" s="45">
        <f>(M870*'RAP TEMPLATE-GAS AVAILABILITY'!O869+N870*'RAP TEMPLATE-GAS AVAILABILITY'!P869+O870*'RAP TEMPLATE-GAS AVAILABILITY'!Q869+P870*'RAP TEMPLATE-GAS AVAILABILITY'!R869)/('RAP TEMPLATE-GAS AVAILABILITY'!O869+'RAP TEMPLATE-GAS AVAILABILITY'!P869+'RAP TEMPLATE-GAS AVAILABILITY'!Q869+'RAP TEMPLATE-GAS AVAILABILITY'!R869)</f>
        <v>71.650858273381289</v>
      </c>
    </row>
    <row r="871" spans="1:29" ht="15.75" x14ac:dyDescent="0.25">
      <c r="A871" s="32">
        <v>67419</v>
      </c>
      <c r="B871" s="14">
        <f>CHOOSE(CONTROL!$C$42, 70.8856, 70.8856) * CHOOSE(CONTROL!$C$21, $C$9, 100%, $E$9)</f>
        <v>70.885599999999997</v>
      </c>
      <c r="C871" s="14">
        <f>CHOOSE(CONTROL!$C$42, 70.8935, 70.8935) * CHOOSE(CONTROL!$C$21, $C$9, 100%, $E$9)</f>
        <v>70.893500000000003</v>
      </c>
      <c r="D871" s="14">
        <f>CHOOSE(CONTROL!$C$42, 71.0911, 71.0911) * CHOOSE(CONTROL!$C$21, $C$9, 100%, $E$9)</f>
        <v>71.091099999999997</v>
      </c>
      <c r="E871" s="14">
        <f>CHOOSE(CONTROL!$C$42, 71.1222, 71.1222) * CHOOSE(CONTROL!$C$21, $C$9, 100%, $E$9)</f>
        <v>71.122200000000007</v>
      </c>
      <c r="F871" s="14">
        <f>CHOOSE(CONTROL!$C$42, 70.8698, 70.8698)*CHOOSE(CONTROL!$C$21, $C$9, 100%, $E$9)</f>
        <v>70.869799999999998</v>
      </c>
      <c r="G871" s="14">
        <f>CHOOSE(CONTROL!$C$42, 70.8861, 70.8861)*CHOOSE(CONTROL!$C$21, $C$9, 100%, $E$9)</f>
        <v>70.886099999999999</v>
      </c>
      <c r="H871" s="14">
        <f>CHOOSE(CONTROL!$C$42, 71.1109, 71.1109) * CHOOSE(CONTROL!$C$21, $C$9, 100%, $E$9)</f>
        <v>71.110900000000001</v>
      </c>
      <c r="I871" s="14">
        <f>CHOOSE(CONTROL!$C$42, 70.8969, 70.8969)* CHOOSE(CONTROL!$C$21, $C$9, 100%, $E$9)</f>
        <v>70.896900000000002</v>
      </c>
      <c r="J871" s="14">
        <f>CHOOSE(CONTROL!$C$42, 70.8628, 70.8628)* CHOOSE(CONTROL!$C$21, $C$9, 100%, $E$9)</f>
        <v>70.862799999999993</v>
      </c>
      <c r="K871" s="53">
        <f>CHOOSE(CONTROL!$C$42, 70.8931, 70.8931) * CHOOSE(CONTROL!$C$21, $C$9, 100%, $E$9)</f>
        <v>70.893100000000004</v>
      </c>
      <c r="L871" s="14">
        <f>CHOOSE(CONTROL!$C$42, 71.6979, 71.6979) * CHOOSE(CONTROL!$C$21, $C$9, 100%, $E$9)</f>
        <v>71.697900000000004</v>
      </c>
      <c r="M871" s="14">
        <f>CHOOSE(CONTROL!$C$42, 70.1615, 70.1615) * CHOOSE(CONTROL!$C$21, $C$9, 100%, $E$9)</f>
        <v>70.161500000000004</v>
      </c>
      <c r="N871" s="14">
        <f>CHOOSE(CONTROL!$C$42, 70.1777, 70.1777) * CHOOSE(CONTROL!$C$21, $C$9, 100%, $E$9)</f>
        <v>70.177700000000002</v>
      </c>
      <c r="O871" s="14">
        <f>CHOOSE(CONTROL!$C$42, 70.407, 70.407) * CHOOSE(CONTROL!$C$21, $C$9, 100%, $E$9)</f>
        <v>70.406999999999996</v>
      </c>
      <c r="P871" s="14">
        <f>CHOOSE(CONTROL!$C$42, 70.1953, 70.1953) * CHOOSE(CONTROL!$C$21, $C$9, 100%, $E$9)</f>
        <v>70.195300000000003</v>
      </c>
      <c r="Q871" s="14">
        <f>CHOOSE(CONTROL!$C$42, 71.0023, 71.0023) * CHOOSE(CONTROL!$C$21, $C$9, 100%, $E$9)</f>
        <v>71.002300000000005</v>
      </c>
      <c r="R871" s="14">
        <f>CHOOSE(CONTROL!$C$42, 71.7669, 71.7669) * CHOOSE(CONTROL!$C$21, $C$9, 100%, $E$9)</f>
        <v>71.766900000000007</v>
      </c>
      <c r="S871" s="14">
        <f>CHOOSE(CONTROL!$C$42, 68.8327, 68.8327) * CHOOSE(CONTROL!$C$21, $C$9, 100%, $E$9)</f>
        <v>68.832700000000003</v>
      </c>
      <c r="T87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71" s="57">
        <f>(1000*CHOOSE(CONTROL!$C$42, 695, 695)*CHOOSE(CONTROL!$C$42, 0.5599, 0.5599)*CHOOSE(CONTROL!$C$42, 31, 31))/1000000</f>
        <v>12.063045499999998</v>
      </c>
      <c r="V871" s="57">
        <f>(1000*CHOOSE(CONTROL!$C$42, 500, 500)*CHOOSE(CONTROL!$C$42, 0.275, 0.275)*CHOOSE(CONTROL!$C$42, 31, 31))/1000000</f>
        <v>4.2625000000000002</v>
      </c>
      <c r="W871" s="57">
        <f>(1000*CHOOSE(CONTROL!$C$42, 0.1146, 0.1146)*CHOOSE(CONTROL!$C$42, 121.5, 121.5)*CHOOSE(CONTROL!$C$42, 31, 31))/1000000</f>
        <v>0.43164089999999994</v>
      </c>
      <c r="X871" s="57">
        <f>(31*0.1790888*245000/1000000)+(31*0.2374*100000/1000000)</f>
        <v>2.0961194359999999</v>
      </c>
      <c r="Y871" s="57"/>
      <c r="Z871" s="14"/>
      <c r="AA871" s="56"/>
      <c r="AB871" s="50">
        <f>(B871*194.205+C871*267.466+D871*133.845+E871*53.484+F871*40+G871*185+H871*0+I871*100+J871*300)/(194.205+267.466+133.845+53.484+0+40+185+100+300)</f>
        <v>70.913875465698581</v>
      </c>
      <c r="AC871" s="45">
        <f>(M871*'RAP TEMPLATE-GAS AVAILABILITY'!O870+N871*'RAP TEMPLATE-GAS AVAILABILITY'!P870+O871*'RAP TEMPLATE-GAS AVAILABILITY'!Q870+P871*'RAP TEMPLATE-GAS AVAILABILITY'!R870)/('RAP TEMPLATE-GAS AVAILABILITY'!O870+'RAP TEMPLATE-GAS AVAILABILITY'!P870+'RAP TEMPLATE-GAS AVAILABILITY'!Q870+'RAP TEMPLATE-GAS AVAILABILITY'!R870)</f>
        <v>70.27856546762591</v>
      </c>
    </row>
    <row r="872" spans="1:29" ht="15.75" x14ac:dyDescent="0.25">
      <c r="A872" s="32">
        <v>67450</v>
      </c>
      <c r="B872" s="14">
        <f>CHOOSE(CONTROL!$C$42, 67.3844, 67.3844) * CHOOSE(CONTROL!$C$21, $C$9, 100%, $E$9)</f>
        <v>67.384399999999999</v>
      </c>
      <c r="C872" s="14">
        <f>CHOOSE(CONTROL!$C$42, 67.3924, 67.3924) * CHOOSE(CONTROL!$C$21, $C$9, 100%, $E$9)</f>
        <v>67.392399999999995</v>
      </c>
      <c r="D872" s="14">
        <f>CHOOSE(CONTROL!$C$42, 67.5899, 67.5899) * CHOOSE(CONTROL!$C$21, $C$9, 100%, $E$9)</f>
        <v>67.5899</v>
      </c>
      <c r="E872" s="14">
        <f>CHOOSE(CONTROL!$C$42, 67.6211, 67.6211) * CHOOSE(CONTROL!$C$21, $C$9, 100%, $E$9)</f>
        <v>67.621099999999998</v>
      </c>
      <c r="F872" s="14">
        <f>CHOOSE(CONTROL!$C$42, 67.3689, 67.3689)*CHOOSE(CONTROL!$C$21, $C$9, 100%, $E$9)</f>
        <v>67.368899999999996</v>
      </c>
      <c r="G872" s="14">
        <f>CHOOSE(CONTROL!$C$42, 67.3852, 67.3852)*CHOOSE(CONTROL!$C$21, $C$9, 100%, $E$9)</f>
        <v>67.385199999999998</v>
      </c>
      <c r="H872" s="14">
        <f>CHOOSE(CONTROL!$C$42, 67.6097, 67.6097) * CHOOSE(CONTROL!$C$21, $C$9, 100%, $E$9)</f>
        <v>67.609700000000004</v>
      </c>
      <c r="I872" s="14">
        <f>CHOOSE(CONTROL!$C$42, 67.3958, 67.3958)* CHOOSE(CONTROL!$C$21, $C$9, 100%, $E$9)</f>
        <v>67.395799999999994</v>
      </c>
      <c r="J872" s="14">
        <f>CHOOSE(CONTROL!$C$42, 67.3619, 67.3619)* CHOOSE(CONTROL!$C$21, $C$9, 100%, $E$9)</f>
        <v>67.361900000000006</v>
      </c>
      <c r="K872" s="53">
        <f>CHOOSE(CONTROL!$C$42, 67.3919, 67.3919) * CHOOSE(CONTROL!$C$21, $C$9, 100%, $E$9)</f>
        <v>67.391900000000007</v>
      </c>
      <c r="L872" s="14">
        <f>CHOOSE(CONTROL!$C$42, 68.1967, 68.1967) * CHOOSE(CONTROL!$C$21, $C$9, 100%, $E$9)</f>
        <v>68.196700000000007</v>
      </c>
      <c r="M872" s="14">
        <f>CHOOSE(CONTROL!$C$42, 66.6959, 66.6959) * CHOOSE(CONTROL!$C$21, $C$9, 100%, $E$9)</f>
        <v>66.695899999999995</v>
      </c>
      <c r="N872" s="14">
        <f>CHOOSE(CONTROL!$C$42, 66.7121, 66.7121) * CHOOSE(CONTROL!$C$21, $C$9, 100%, $E$9)</f>
        <v>66.712100000000007</v>
      </c>
      <c r="O872" s="14">
        <f>CHOOSE(CONTROL!$C$42, 66.9412, 66.9412) * CHOOSE(CONTROL!$C$21, $C$9, 100%, $E$9)</f>
        <v>66.941199999999995</v>
      </c>
      <c r="P872" s="14">
        <f>CHOOSE(CONTROL!$C$42, 66.7295, 66.7295) * CHOOSE(CONTROL!$C$21, $C$9, 100%, $E$9)</f>
        <v>66.729500000000002</v>
      </c>
      <c r="Q872" s="14">
        <f>CHOOSE(CONTROL!$C$42, 67.5365, 67.5365) * CHOOSE(CONTROL!$C$21, $C$9, 100%, $E$9)</f>
        <v>67.536500000000004</v>
      </c>
      <c r="R872" s="14">
        <f>CHOOSE(CONTROL!$C$42, 68.2924, 68.2924) * CHOOSE(CONTROL!$C$21, $C$9, 100%, $E$9)</f>
        <v>68.292400000000001</v>
      </c>
      <c r="S872" s="14">
        <f>CHOOSE(CONTROL!$C$42, 65.4328, 65.4328) * CHOOSE(CONTROL!$C$21, $C$9, 100%, $E$9)</f>
        <v>65.4328</v>
      </c>
      <c r="T87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72" s="57">
        <f>(1000*CHOOSE(CONTROL!$C$42, 695, 695)*CHOOSE(CONTROL!$C$42, 0.5599, 0.5599)*CHOOSE(CONTROL!$C$42, 31, 31))/1000000</f>
        <v>12.063045499999998</v>
      </c>
      <c r="V872" s="57">
        <f>(1000*CHOOSE(CONTROL!$C$42, 500, 500)*CHOOSE(CONTROL!$C$42, 0.275, 0.275)*CHOOSE(CONTROL!$C$42, 31, 31))/1000000</f>
        <v>4.2625000000000002</v>
      </c>
      <c r="W872" s="57">
        <f>(1000*CHOOSE(CONTROL!$C$42, 0.1146, 0.1146)*CHOOSE(CONTROL!$C$42, 121.5, 121.5)*CHOOSE(CONTROL!$C$42, 31, 31))/1000000</f>
        <v>0.43164089999999994</v>
      </c>
      <c r="X872" s="57">
        <f>(31*0.1790888*245000/1000000)+(31*0.2374*100000/1000000)</f>
        <v>2.0961194359999999</v>
      </c>
      <c r="Y872" s="57"/>
      <c r="Z872" s="14"/>
      <c r="AA872" s="56"/>
      <c r="AB872" s="50">
        <f>(B872*194.205+C872*267.466+D872*133.845+E872*53.484+F872*40+G872*185+H872*0+I872*100+J872*300)/(194.205+267.466+133.845+53.484+0+40+185+100+300)</f>
        <v>67.412832133673476</v>
      </c>
      <c r="AC872" s="45">
        <f>(M872*'RAP TEMPLATE-GAS AVAILABILITY'!O871+N872*'RAP TEMPLATE-GAS AVAILABILITY'!P871+O872*'RAP TEMPLATE-GAS AVAILABILITY'!Q871+P872*'RAP TEMPLATE-GAS AVAILABILITY'!R871)/('RAP TEMPLATE-GAS AVAILABILITY'!O871+'RAP TEMPLATE-GAS AVAILABILITY'!P871+'RAP TEMPLATE-GAS AVAILABILITY'!Q871+'RAP TEMPLATE-GAS AVAILABILITY'!R871)</f>
        <v>66.812846043165464</v>
      </c>
    </row>
    <row r="873" spans="1:29" ht="15.75" x14ac:dyDescent="0.25">
      <c r="A873" s="32">
        <v>67480</v>
      </c>
      <c r="B873" s="14">
        <f>CHOOSE(CONTROL!$C$42, 63.1063, 63.1063) * CHOOSE(CONTROL!$C$21, $C$9, 100%, $E$9)</f>
        <v>63.106299999999997</v>
      </c>
      <c r="C873" s="14">
        <f>CHOOSE(CONTROL!$C$42, 63.1142, 63.1142) * CHOOSE(CONTROL!$C$21, $C$9, 100%, $E$9)</f>
        <v>63.114199999999997</v>
      </c>
      <c r="D873" s="14">
        <f>CHOOSE(CONTROL!$C$42, 63.3118, 63.3118) * CHOOSE(CONTROL!$C$21, $C$9, 100%, $E$9)</f>
        <v>63.311799999999998</v>
      </c>
      <c r="E873" s="14">
        <f>CHOOSE(CONTROL!$C$42, 63.3429, 63.3429) * CHOOSE(CONTROL!$C$21, $C$9, 100%, $E$9)</f>
        <v>63.3429</v>
      </c>
      <c r="F873" s="14">
        <f>CHOOSE(CONTROL!$C$42, 63.0907, 63.0907)*CHOOSE(CONTROL!$C$21, $C$9, 100%, $E$9)</f>
        <v>63.090699999999998</v>
      </c>
      <c r="G873" s="14">
        <f>CHOOSE(CONTROL!$C$42, 63.107, 63.107)*CHOOSE(CONTROL!$C$21, $C$9, 100%, $E$9)</f>
        <v>63.106999999999999</v>
      </c>
      <c r="H873" s="14">
        <f>CHOOSE(CONTROL!$C$42, 63.3316, 63.3316) * CHOOSE(CONTROL!$C$21, $C$9, 100%, $E$9)</f>
        <v>63.331600000000002</v>
      </c>
      <c r="I873" s="14">
        <f>CHOOSE(CONTROL!$C$42, 63.1177, 63.1177)* CHOOSE(CONTROL!$C$21, $C$9, 100%, $E$9)</f>
        <v>63.117699999999999</v>
      </c>
      <c r="J873" s="14">
        <f>CHOOSE(CONTROL!$C$42, 63.0837, 63.0837)* CHOOSE(CONTROL!$C$21, $C$9, 100%, $E$9)</f>
        <v>63.0837</v>
      </c>
      <c r="K873" s="53">
        <f>CHOOSE(CONTROL!$C$42, 63.1138, 63.1138) * CHOOSE(CONTROL!$C$21, $C$9, 100%, $E$9)</f>
        <v>63.113799999999998</v>
      </c>
      <c r="L873" s="14">
        <f>CHOOSE(CONTROL!$C$42, 63.9186, 63.9186) * CHOOSE(CONTROL!$C$21, $C$9, 100%, $E$9)</f>
        <v>63.918599999999998</v>
      </c>
      <c r="M873" s="14">
        <f>CHOOSE(CONTROL!$C$42, 62.4609, 62.4609) * CHOOSE(CONTROL!$C$21, $C$9, 100%, $E$9)</f>
        <v>62.460900000000002</v>
      </c>
      <c r="N873" s="14">
        <f>CHOOSE(CONTROL!$C$42, 62.477, 62.477) * CHOOSE(CONTROL!$C$21, $C$9, 100%, $E$9)</f>
        <v>62.476999999999997</v>
      </c>
      <c r="O873" s="14">
        <f>CHOOSE(CONTROL!$C$42, 62.7063, 62.7063) * CHOOSE(CONTROL!$C$21, $C$9, 100%, $E$9)</f>
        <v>62.706299999999999</v>
      </c>
      <c r="P873" s="14">
        <f>CHOOSE(CONTROL!$C$42, 62.4946, 62.4946) * CHOOSE(CONTROL!$C$21, $C$9, 100%, $E$9)</f>
        <v>62.494599999999998</v>
      </c>
      <c r="Q873" s="14">
        <f>CHOOSE(CONTROL!$C$42, 63.3016, 63.3016) * CHOOSE(CONTROL!$C$21, $C$9, 100%, $E$9)</f>
        <v>63.301600000000001</v>
      </c>
      <c r="R873" s="14">
        <f>CHOOSE(CONTROL!$C$42, 64.0468, 64.0468) * CHOOSE(CONTROL!$C$21, $C$9, 100%, $E$9)</f>
        <v>64.046800000000005</v>
      </c>
      <c r="S873" s="14">
        <f>CHOOSE(CONTROL!$C$42, 61.2783, 61.2783) * CHOOSE(CONTROL!$C$21, $C$9, 100%, $E$9)</f>
        <v>61.278300000000002</v>
      </c>
      <c r="T87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73" s="57">
        <f>(1000*CHOOSE(CONTROL!$C$42, 695, 695)*CHOOSE(CONTROL!$C$42, 0.5599, 0.5599)*CHOOSE(CONTROL!$C$42, 30, 30))/1000000</f>
        <v>11.673914999999997</v>
      </c>
      <c r="V873" s="57">
        <f>(1000*CHOOSE(CONTROL!$C$42, 500, 500)*CHOOSE(CONTROL!$C$42, 0.275, 0.275)*CHOOSE(CONTROL!$C$42, 30, 30))/1000000</f>
        <v>4.125</v>
      </c>
      <c r="W873" s="57">
        <f>(1000*CHOOSE(CONTROL!$C$42, 0.1146, 0.1146)*CHOOSE(CONTROL!$C$42, 121.5, 121.5)*CHOOSE(CONTROL!$C$42, 30, 30))/1000000</f>
        <v>0.417717</v>
      </c>
      <c r="X873" s="57">
        <f>(30*0.1790888*245000/1000000)+(30*0.2374*100000/1000000)</f>
        <v>2.0285026799999999</v>
      </c>
      <c r="Y873" s="57"/>
      <c r="Z873" s="14"/>
      <c r="AA873" s="56"/>
      <c r="AB873" s="50">
        <f>(B873*194.205+C873*267.466+D873*133.845+E873*53.484+F873*40+G873*185+H873*0+I873*100+J873*300)/(194.205+267.466+133.845+53.484+0+40+185+100+300)</f>
        <v>63.134665732574568</v>
      </c>
      <c r="AC873" s="45">
        <f>(M873*'RAP TEMPLATE-GAS AVAILABILITY'!O872+N873*'RAP TEMPLATE-GAS AVAILABILITY'!P872+O873*'RAP TEMPLATE-GAS AVAILABILITY'!Q872+P873*'RAP TEMPLATE-GAS AVAILABILITY'!R872)/('RAP TEMPLATE-GAS AVAILABILITY'!O872+'RAP TEMPLATE-GAS AVAILABILITY'!P872+'RAP TEMPLATE-GAS AVAILABILITY'!Q872+'RAP TEMPLATE-GAS AVAILABILITY'!R872)</f>
        <v>62.5779</v>
      </c>
    </row>
    <row r="874" spans="1:29" ht="15.75" x14ac:dyDescent="0.25">
      <c r="A874" s="32">
        <v>67511</v>
      </c>
      <c r="B874" s="14">
        <f>CHOOSE(CONTROL!$C$42, 61.8233, 61.8233) * CHOOSE(CONTROL!$C$21, $C$9, 100%, $E$9)</f>
        <v>61.823300000000003</v>
      </c>
      <c r="C874" s="14">
        <f>CHOOSE(CONTROL!$C$42, 61.8285, 61.8285) * CHOOSE(CONTROL!$C$21, $C$9, 100%, $E$9)</f>
        <v>61.828499999999998</v>
      </c>
      <c r="D874" s="14">
        <f>CHOOSE(CONTROL!$C$42, 62.0311, 62.0311) * CHOOSE(CONTROL!$C$21, $C$9, 100%, $E$9)</f>
        <v>62.031100000000002</v>
      </c>
      <c r="E874" s="14">
        <f>CHOOSE(CONTROL!$C$42, 62.0599, 62.0599) * CHOOSE(CONTROL!$C$21, $C$9, 100%, $E$9)</f>
        <v>62.059899999999999</v>
      </c>
      <c r="F874" s="14">
        <f>CHOOSE(CONTROL!$C$42, 61.8097, 61.8097)*CHOOSE(CONTROL!$C$21, $C$9, 100%, $E$9)</f>
        <v>61.809699999999999</v>
      </c>
      <c r="G874" s="14">
        <f>CHOOSE(CONTROL!$C$42, 61.8257, 61.8257)*CHOOSE(CONTROL!$C$21, $C$9, 100%, $E$9)</f>
        <v>61.825699999999998</v>
      </c>
      <c r="H874" s="14">
        <f>CHOOSE(CONTROL!$C$42, 62.0504, 62.0504) * CHOOSE(CONTROL!$C$21, $C$9, 100%, $E$9)</f>
        <v>62.050400000000003</v>
      </c>
      <c r="I874" s="14">
        <f>CHOOSE(CONTROL!$C$42, 61.8365, 61.8365)* CHOOSE(CONTROL!$C$21, $C$9, 100%, $E$9)</f>
        <v>61.836500000000001</v>
      </c>
      <c r="J874" s="14">
        <f>CHOOSE(CONTROL!$C$42, 61.8027, 61.8027)* CHOOSE(CONTROL!$C$21, $C$9, 100%, $E$9)</f>
        <v>61.802700000000002</v>
      </c>
      <c r="K874" s="53">
        <f>CHOOSE(CONTROL!$C$42, 61.8326, 61.8326) * CHOOSE(CONTROL!$C$21, $C$9, 100%, $E$9)</f>
        <v>61.832599999999999</v>
      </c>
      <c r="L874" s="14">
        <f>CHOOSE(CONTROL!$C$42, 62.6374, 62.6374) * CHOOSE(CONTROL!$C$21, $C$9, 100%, $E$9)</f>
        <v>62.6374</v>
      </c>
      <c r="M874" s="14">
        <f>CHOOSE(CONTROL!$C$42, 61.1928, 61.1928) * CHOOSE(CONTROL!$C$21, $C$9, 100%, $E$9)</f>
        <v>61.192799999999998</v>
      </c>
      <c r="N874" s="14">
        <f>CHOOSE(CONTROL!$C$42, 61.2087, 61.2087) * CHOOSE(CONTROL!$C$21, $C$9, 100%, $E$9)</f>
        <v>61.2087</v>
      </c>
      <c r="O874" s="14">
        <f>CHOOSE(CONTROL!$C$42, 61.438, 61.438) * CHOOSE(CONTROL!$C$21, $C$9, 100%, $E$9)</f>
        <v>61.438000000000002</v>
      </c>
      <c r="P874" s="14">
        <f>CHOOSE(CONTROL!$C$42, 61.2263, 61.2263) * CHOOSE(CONTROL!$C$21, $C$9, 100%, $E$9)</f>
        <v>61.226300000000002</v>
      </c>
      <c r="Q874" s="14">
        <f>CHOOSE(CONTROL!$C$42, 62.0333, 62.0333) * CHOOSE(CONTROL!$C$21, $C$9, 100%, $E$9)</f>
        <v>62.033299999999997</v>
      </c>
      <c r="R874" s="14">
        <f>CHOOSE(CONTROL!$C$42, 62.7754, 62.7754) * CHOOSE(CONTROL!$C$21, $C$9, 100%, $E$9)</f>
        <v>62.775399999999998</v>
      </c>
      <c r="S874" s="14">
        <f>CHOOSE(CONTROL!$C$42, 60.0341, 60.0341) * CHOOSE(CONTROL!$C$21, $C$9, 100%, $E$9)</f>
        <v>60.034100000000002</v>
      </c>
      <c r="T87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74" s="57">
        <f>(1000*CHOOSE(CONTROL!$C$42, 695, 695)*CHOOSE(CONTROL!$C$42, 0.5599, 0.5599)*CHOOSE(CONTROL!$C$42, 31, 31))/1000000</f>
        <v>12.063045499999998</v>
      </c>
      <c r="V874" s="57">
        <f>(1000*CHOOSE(CONTROL!$C$42, 500, 500)*CHOOSE(CONTROL!$C$42, 0.275, 0.275)*CHOOSE(CONTROL!$C$42, 31, 31))/1000000</f>
        <v>4.2625000000000002</v>
      </c>
      <c r="W874" s="57">
        <f>(1000*CHOOSE(CONTROL!$C$42, 0.1146, 0.1146)*CHOOSE(CONTROL!$C$42, 121.5, 121.5)*CHOOSE(CONTROL!$C$42, 31, 31))/1000000</f>
        <v>0.43164089999999994</v>
      </c>
      <c r="X874" s="57">
        <f>(31*0.1790888*245000/1000000)+(31*0.2374*100000/1000000)</f>
        <v>2.0961194359999999</v>
      </c>
      <c r="Y874" s="57"/>
      <c r="Z874" s="14"/>
      <c r="AA874" s="56"/>
      <c r="AB874" s="50">
        <f>(B874*131.881+C874*277.167+D874*79.08+E874*125.872+F874*40+G874*185+H874*0+I874*100+J874*300)/(131.881+277.167+79.08+125.872+0+40+185+100+300)</f>
        <v>61.857759570298626</v>
      </c>
      <c r="AC874" s="45">
        <f>(M874*'RAP TEMPLATE-GAS AVAILABILITY'!O873+N874*'RAP TEMPLATE-GAS AVAILABILITY'!P873+O874*'RAP TEMPLATE-GAS AVAILABILITY'!Q873+P874*'RAP TEMPLATE-GAS AVAILABILITY'!R873)/('RAP TEMPLATE-GAS AVAILABILITY'!O873+'RAP TEMPLATE-GAS AVAILABILITY'!P873+'RAP TEMPLATE-GAS AVAILABILITY'!Q873+'RAP TEMPLATE-GAS AVAILABILITY'!R873)</f>
        <v>61.309669064748192</v>
      </c>
    </row>
    <row r="875" spans="1:29" ht="15.75" x14ac:dyDescent="0.25">
      <c r="A875" s="32">
        <v>67541</v>
      </c>
      <c r="B875" s="14">
        <f>CHOOSE(CONTROL!$C$42, 63.4515, 63.4515) * CHOOSE(CONTROL!$C$21, $C$9, 100%, $E$9)</f>
        <v>63.451500000000003</v>
      </c>
      <c r="C875" s="14">
        <f>CHOOSE(CONTROL!$C$42, 63.4565, 63.4565) * CHOOSE(CONTROL!$C$21, $C$9, 100%, $E$9)</f>
        <v>63.456499999999998</v>
      </c>
      <c r="D875" s="14">
        <f>CHOOSE(CONTROL!$C$42, 63.5196, 63.5196) * CHOOSE(CONTROL!$C$21, $C$9, 100%, $E$9)</f>
        <v>63.519599999999997</v>
      </c>
      <c r="E875" s="14">
        <f>CHOOSE(CONTROL!$C$42, 63.5534, 63.5534) * CHOOSE(CONTROL!$C$21, $C$9, 100%, $E$9)</f>
        <v>63.553400000000003</v>
      </c>
      <c r="F875" s="14">
        <f>CHOOSE(CONTROL!$C$42, 63.4522, 63.4522)*CHOOSE(CONTROL!$C$21, $C$9, 100%, $E$9)</f>
        <v>63.452199999999998</v>
      </c>
      <c r="G875" s="14">
        <f>CHOOSE(CONTROL!$C$42, 63.4685, 63.4685)*CHOOSE(CONTROL!$C$21, $C$9, 100%, $E$9)</f>
        <v>63.468499999999999</v>
      </c>
      <c r="H875" s="14">
        <f>CHOOSE(CONTROL!$C$42, 63.5426, 63.5426) * CHOOSE(CONTROL!$C$21, $C$9, 100%, $E$9)</f>
        <v>63.5426</v>
      </c>
      <c r="I875" s="14">
        <f>CHOOSE(CONTROL!$C$42, 63.4651, 63.4651)* CHOOSE(CONTROL!$C$21, $C$9, 100%, $E$9)</f>
        <v>63.4651</v>
      </c>
      <c r="J875" s="14">
        <f>CHOOSE(CONTROL!$C$42, 63.4452, 63.4452)* CHOOSE(CONTROL!$C$21, $C$9, 100%, $E$9)</f>
        <v>63.4452</v>
      </c>
      <c r="K875" s="53">
        <f>CHOOSE(CONTROL!$C$42, 63.4612, 63.4612) * CHOOSE(CONTROL!$C$21, $C$9, 100%, $E$9)</f>
        <v>63.461199999999998</v>
      </c>
      <c r="L875" s="14">
        <f>CHOOSE(CONTROL!$C$42, 64.1296, 64.1296) * CHOOSE(CONTROL!$C$21, $C$9, 100%, $E$9)</f>
        <v>64.129599999999996</v>
      </c>
      <c r="M875" s="14">
        <f>CHOOSE(CONTROL!$C$42, 62.8188, 62.8188) * CHOOSE(CONTROL!$C$21, $C$9, 100%, $E$9)</f>
        <v>62.818800000000003</v>
      </c>
      <c r="N875" s="14">
        <f>CHOOSE(CONTROL!$C$42, 62.8349, 62.8349) * CHOOSE(CONTROL!$C$21, $C$9, 100%, $E$9)</f>
        <v>62.834899999999998</v>
      </c>
      <c r="O875" s="14">
        <f>CHOOSE(CONTROL!$C$42, 62.9151, 62.9151) * CHOOSE(CONTROL!$C$21, $C$9, 100%, $E$9)</f>
        <v>62.915100000000002</v>
      </c>
      <c r="P875" s="14">
        <f>CHOOSE(CONTROL!$C$42, 62.8385, 62.8385) * CHOOSE(CONTROL!$C$21, $C$9, 100%, $E$9)</f>
        <v>62.838500000000003</v>
      </c>
      <c r="Q875" s="14">
        <f>CHOOSE(CONTROL!$C$42, 63.5104, 63.5104) * CHOOSE(CONTROL!$C$21, $C$9, 100%, $E$9)</f>
        <v>63.510399999999997</v>
      </c>
      <c r="R875" s="14">
        <f>CHOOSE(CONTROL!$C$42, 64.2562, 64.2562) * CHOOSE(CONTROL!$C$21, $C$9, 100%, $E$9)</f>
        <v>64.256200000000007</v>
      </c>
      <c r="S875" s="14">
        <f>CHOOSE(CONTROL!$C$42, 61.6157, 61.6157) * CHOOSE(CONTROL!$C$21, $C$9, 100%, $E$9)</f>
        <v>61.615699999999997</v>
      </c>
      <c r="T87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75" s="57">
        <f>(1000*CHOOSE(CONTROL!$C$42, 695, 695)*CHOOSE(CONTROL!$C$42, 0.5599, 0.5599)*CHOOSE(CONTROL!$C$42, 30, 30))/1000000</f>
        <v>11.673914999999997</v>
      </c>
      <c r="V875" s="57">
        <f>(1000*CHOOSE(CONTROL!$C$42, 500, 500)*CHOOSE(CONTROL!$C$42, 0.275, 0.275)*CHOOSE(CONTROL!$C$42, 30, 30))/1000000</f>
        <v>4.125</v>
      </c>
      <c r="W875" s="57">
        <f>(1000*CHOOSE(CONTROL!$C$42, 0.1146, 0.1146)*CHOOSE(CONTROL!$C$42, 121.5, 121.5)*CHOOSE(CONTROL!$C$42, 30, 30))/1000000</f>
        <v>0.417717</v>
      </c>
      <c r="X875" s="57">
        <f>(30*0.1790888*100000/1000000)+(30*0.2374*100000/1000000)</f>
        <v>1.2494664</v>
      </c>
      <c r="Y875" s="57"/>
      <c r="Z875" s="14"/>
      <c r="AA875" s="56"/>
      <c r="AB875" s="50">
        <f>(B875*122.58+C875*297.941+D875*89.177+E875*40.302+F875*40+G875*160+H875*0+I875*100+J875*300)/(122.58+297.941+89.177+40.302+0+40+160+100+300)</f>
        <v>63.463576028260867</v>
      </c>
      <c r="AC875" s="45">
        <f>(M875*'RAP TEMPLATE-GAS AVAILABILITY'!O874+N875*'RAP TEMPLATE-GAS AVAILABILITY'!P874+O875*'RAP TEMPLATE-GAS AVAILABILITY'!Q874+P875*'RAP TEMPLATE-GAS AVAILABILITY'!R874)/('RAP TEMPLATE-GAS AVAILABILITY'!O874+'RAP TEMPLATE-GAS AVAILABILITY'!P874+'RAP TEMPLATE-GAS AVAILABILITY'!Q874+'RAP TEMPLATE-GAS AVAILABILITY'!R874)</f>
        <v>62.866207913669058</v>
      </c>
    </row>
    <row r="876" spans="1:29" ht="15.75" x14ac:dyDescent="0.25">
      <c r="A876" s="32">
        <v>67572</v>
      </c>
      <c r="B876" s="14">
        <f>CHOOSE(CONTROL!$C$42, 67.7774, 67.7774) * CHOOSE(CONTROL!$C$21, $C$9, 100%, $E$9)</f>
        <v>67.7774</v>
      </c>
      <c r="C876" s="14">
        <f>CHOOSE(CONTROL!$C$42, 67.7824, 67.7824) * CHOOSE(CONTROL!$C$21, $C$9, 100%, $E$9)</f>
        <v>67.782399999999996</v>
      </c>
      <c r="D876" s="14">
        <f>CHOOSE(CONTROL!$C$42, 67.8455, 67.8455) * CHOOSE(CONTROL!$C$21, $C$9, 100%, $E$9)</f>
        <v>67.845500000000001</v>
      </c>
      <c r="E876" s="14">
        <f>CHOOSE(CONTROL!$C$42, 67.8793, 67.8793) * CHOOSE(CONTROL!$C$21, $C$9, 100%, $E$9)</f>
        <v>67.879300000000001</v>
      </c>
      <c r="F876" s="14">
        <f>CHOOSE(CONTROL!$C$42, 67.7802, 67.7802)*CHOOSE(CONTROL!$C$21, $C$9, 100%, $E$9)</f>
        <v>67.780199999999994</v>
      </c>
      <c r="G876" s="14">
        <f>CHOOSE(CONTROL!$C$42, 67.797, 67.797)*CHOOSE(CONTROL!$C$21, $C$9, 100%, $E$9)</f>
        <v>67.796999999999997</v>
      </c>
      <c r="H876" s="14">
        <f>CHOOSE(CONTROL!$C$42, 67.8684, 67.8684) * CHOOSE(CONTROL!$C$21, $C$9, 100%, $E$9)</f>
        <v>67.868399999999994</v>
      </c>
      <c r="I876" s="14">
        <f>CHOOSE(CONTROL!$C$42, 67.791, 67.791)* CHOOSE(CONTROL!$C$21, $C$9, 100%, $E$9)</f>
        <v>67.790999999999997</v>
      </c>
      <c r="J876" s="14">
        <f>CHOOSE(CONTROL!$C$42, 67.7732, 67.7732)* CHOOSE(CONTROL!$C$21, $C$9, 100%, $E$9)</f>
        <v>67.773200000000003</v>
      </c>
      <c r="K876" s="53">
        <f>CHOOSE(CONTROL!$C$42, 67.7871, 67.7871) * CHOOSE(CONTROL!$C$21, $C$9, 100%, $E$9)</f>
        <v>67.787099999999995</v>
      </c>
      <c r="L876" s="14">
        <f>CHOOSE(CONTROL!$C$42, 68.4554, 68.4554) * CHOOSE(CONTROL!$C$21, $C$9, 100%, $E$9)</f>
        <v>68.455399999999997</v>
      </c>
      <c r="M876" s="14">
        <f>CHOOSE(CONTROL!$C$42, 67.1031, 67.1031) * CHOOSE(CONTROL!$C$21, $C$9, 100%, $E$9)</f>
        <v>67.103099999999998</v>
      </c>
      <c r="N876" s="14">
        <f>CHOOSE(CONTROL!$C$42, 67.1197, 67.1197) * CHOOSE(CONTROL!$C$21, $C$9, 100%, $E$9)</f>
        <v>67.119699999999995</v>
      </c>
      <c r="O876" s="14">
        <f>CHOOSE(CONTROL!$C$42, 67.1974, 67.1974) * CHOOSE(CONTROL!$C$21, $C$9, 100%, $E$9)</f>
        <v>67.197400000000002</v>
      </c>
      <c r="P876" s="14">
        <f>CHOOSE(CONTROL!$C$42, 67.1207, 67.1207) * CHOOSE(CONTROL!$C$21, $C$9, 100%, $E$9)</f>
        <v>67.120699999999999</v>
      </c>
      <c r="Q876" s="14">
        <f>CHOOSE(CONTROL!$C$42, 67.7927, 67.7927) * CHOOSE(CONTROL!$C$21, $C$9, 100%, $E$9)</f>
        <v>67.792699999999996</v>
      </c>
      <c r="R876" s="14">
        <f>CHOOSE(CONTROL!$C$42, 68.5491, 68.5491) * CHOOSE(CONTROL!$C$21, $C$9, 100%, $E$9)</f>
        <v>68.549099999999996</v>
      </c>
      <c r="S876" s="14">
        <f>CHOOSE(CONTROL!$C$42, 65.8165, 65.8165) * CHOOSE(CONTROL!$C$21, $C$9, 100%, $E$9)</f>
        <v>65.816500000000005</v>
      </c>
      <c r="T87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76" s="57">
        <f>(1000*CHOOSE(CONTROL!$C$42, 695, 695)*CHOOSE(CONTROL!$C$42, 0.5599, 0.5599)*CHOOSE(CONTROL!$C$42, 31, 31))/1000000</f>
        <v>12.063045499999998</v>
      </c>
      <c r="V876" s="57">
        <f>(1000*CHOOSE(CONTROL!$C$42, 500, 500)*CHOOSE(CONTROL!$C$42, 0.275, 0.275)*CHOOSE(CONTROL!$C$42, 31, 31))/1000000</f>
        <v>4.2625000000000002</v>
      </c>
      <c r="W876" s="57">
        <f>(1000*CHOOSE(CONTROL!$C$42, 0.1146, 0.1146)*CHOOSE(CONTROL!$C$42, 121.5, 121.5)*CHOOSE(CONTROL!$C$42, 31, 31))/1000000</f>
        <v>0.43164089999999994</v>
      </c>
      <c r="X876" s="57">
        <f>(31*0.1790888*100000/1000000)+(31*0.2374*100000/1000000)</f>
        <v>1.2911152800000001</v>
      </c>
      <c r="Y876" s="57"/>
      <c r="Z876" s="14"/>
      <c r="AA876" s="56"/>
      <c r="AB876" s="50">
        <f>(B876*122.58+C876*297.941+D876*89.177+E876*40.302+F876*40+G876*160+H876*0+I876*100+J876*300)/(122.58+297.941+89.177+40.302+0+40+160+100+300)</f>
        <v>67.790458636956515</v>
      </c>
      <c r="AC876" s="45">
        <f>(M876*'RAP TEMPLATE-GAS AVAILABILITY'!O875+N876*'RAP TEMPLATE-GAS AVAILABILITY'!P875+O876*'RAP TEMPLATE-GAS AVAILABILITY'!Q875+P876*'RAP TEMPLATE-GAS AVAILABILITY'!R875)/('RAP TEMPLATE-GAS AVAILABILITY'!O875+'RAP TEMPLATE-GAS AVAILABILITY'!P875+'RAP TEMPLATE-GAS AVAILABILITY'!Q875+'RAP TEMPLATE-GAS AVAILABILITY'!R875)</f>
        <v>67.149328057553959</v>
      </c>
    </row>
    <row r="877" spans="1:29" ht="15.75" x14ac:dyDescent="0.25">
      <c r="A877" s="32">
        <v>67603</v>
      </c>
      <c r="B877" s="14">
        <f>CHOOSE(CONTROL!$C$42, 73.3307, 73.3307) * CHOOSE(CONTROL!$C$21, $C$9, 100%, $E$9)</f>
        <v>73.330699999999993</v>
      </c>
      <c r="C877" s="14">
        <f>CHOOSE(CONTROL!$C$42, 73.3356, 73.3356) * CHOOSE(CONTROL!$C$21, $C$9, 100%, $E$9)</f>
        <v>73.335599999999999</v>
      </c>
      <c r="D877" s="14">
        <f>CHOOSE(CONTROL!$C$42, 73.3999, 73.3999) * CHOOSE(CONTROL!$C$21, $C$9, 100%, $E$9)</f>
        <v>73.399900000000002</v>
      </c>
      <c r="E877" s="14">
        <f>CHOOSE(CONTROL!$C$42, 73.4337, 73.4337) * CHOOSE(CONTROL!$C$21, $C$9, 100%, $E$9)</f>
        <v>73.433700000000002</v>
      </c>
      <c r="F877" s="14">
        <f>CHOOSE(CONTROL!$C$42, 73.3322, 73.3322)*CHOOSE(CONTROL!$C$21, $C$9, 100%, $E$9)</f>
        <v>73.3322</v>
      </c>
      <c r="G877" s="14">
        <f>CHOOSE(CONTROL!$C$42, 73.3481, 73.3481)*CHOOSE(CONTROL!$C$21, $C$9, 100%, $E$9)</f>
        <v>73.348100000000002</v>
      </c>
      <c r="H877" s="14">
        <f>CHOOSE(CONTROL!$C$42, 73.4229, 73.4229) * CHOOSE(CONTROL!$C$21, $C$9, 100%, $E$9)</f>
        <v>73.422899999999998</v>
      </c>
      <c r="I877" s="14">
        <f>CHOOSE(CONTROL!$C$42, 73.3507, 73.3507)* CHOOSE(CONTROL!$C$21, $C$9, 100%, $E$9)</f>
        <v>73.350700000000003</v>
      </c>
      <c r="J877" s="14">
        <f>CHOOSE(CONTROL!$C$42, 73.3252, 73.3252)* CHOOSE(CONTROL!$C$21, $C$9, 100%, $E$9)</f>
        <v>73.325199999999995</v>
      </c>
      <c r="K877" s="53">
        <f>CHOOSE(CONTROL!$C$42, 73.3468, 73.3468) * CHOOSE(CONTROL!$C$21, $C$9, 100%, $E$9)</f>
        <v>73.346800000000002</v>
      </c>
      <c r="L877" s="14">
        <f>CHOOSE(CONTROL!$C$42, 74.0099, 74.0099) * CHOOSE(CONTROL!$C$21, $C$9, 100%, $E$9)</f>
        <v>74.009900000000002</v>
      </c>
      <c r="M877" s="14">
        <f>CHOOSE(CONTROL!$C$42, 72.599, 72.599) * CHOOSE(CONTROL!$C$21, $C$9, 100%, $E$9)</f>
        <v>72.599000000000004</v>
      </c>
      <c r="N877" s="14">
        <f>CHOOSE(CONTROL!$C$42, 72.6148, 72.6148) * CHOOSE(CONTROL!$C$21, $C$9, 100%, $E$9)</f>
        <v>72.614800000000002</v>
      </c>
      <c r="O877" s="14">
        <f>CHOOSE(CONTROL!$C$42, 72.6957, 72.6957) * CHOOSE(CONTROL!$C$21, $C$9, 100%, $E$9)</f>
        <v>72.695700000000002</v>
      </c>
      <c r="P877" s="14">
        <f>CHOOSE(CONTROL!$C$42, 72.6243, 72.6243) * CHOOSE(CONTROL!$C$21, $C$9, 100%, $E$9)</f>
        <v>72.624300000000005</v>
      </c>
      <c r="Q877" s="14">
        <f>CHOOSE(CONTROL!$C$42, 73.291, 73.291) * CHOOSE(CONTROL!$C$21, $C$9, 100%, $E$9)</f>
        <v>73.290999999999997</v>
      </c>
      <c r="R877" s="14">
        <f>CHOOSE(CONTROL!$C$42, 74.0613, 74.0613) * CHOOSE(CONTROL!$C$21, $C$9, 100%, $E$9)</f>
        <v>74.061300000000003</v>
      </c>
      <c r="S877" s="14">
        <f>CHOOSE(CONTROL!$C$42, 71.2093, 71.2093) * CHOOSE(CONTROL!$C$21, $C$9, 100%, $E$9)</f>
        <v>71.209299999999999</v>
      </c>
      <c r="T87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77" s="57">
        <f>(1000*CHOOSE(CONTROL!$C$42, 695, 695)*CHOOSE(CONTROL!$C$42, 0.5599, 0.5599)*CHOOSE(CONTROL!$C$42, 31, 31))/1000000</f>
        <v>12.063045499999998</v>
      </c>
      <c r="V877" s="57">
        <f>(1000*CHOOSE(CONTROL!$C$42, 500, 500)*CHOOSE(CONTROL!$C$42, 0.275, 0.275)*CHOOSE(CONTROL!$C$42, 31, 31))/1000000</f>
        <v>4.2625000000000002</v>
      </c>
      <c r="W877" s="57">
        <f>(1000*CHOOSE(CONTROL!$C$42, 0.1146, 0.1146)*CHOOSE(CONTROL!$C$42, 121.5, 121.5)*CHOOSE(CONTROL!$C$42, 31, 31))/1000000</f>
        <v>0.43164089999999994</v>
      </c>
      <c r="X877" s="57">
        <f>(31*0.1790888*100000/1000000)+(31*0.2374*100000/1000000)</f>
        <v>1.2911152800000001</v>
      </c>
      <c r="Y877" s="57"/>
      <c r="Z877" s="14"/>
      <c r="AA877" s="56"/>
      <c r="AB877" s="50">
        <f>(B877*122.58+C877*297.941+D877*89.177+E877*40.302+F877*40+G877*160+H877*0+I877*100+J877*300)/(122.58+297.941+89.177+40.302+0+40+160+100+300)</f>
        <v>73.343722665478253</v>
      </c>
      <c r="AC877" s="45">
        <f>(M877*'RAP TEMPLATE-GAS AVAILABILITY'!O876+N877*'RAP TEMPLATE-GAS AVAILABILITY'!P876+O877*'RAP TEMPLATE-GAS AVAILABILITY'!Q876+P877*'RAP TEMPLATE-GAS AVAILABILITY'!R876)/('RAP TEMPLATE-GAS AVAILABILITY'!O876+'RAP TEMPLATE-GAS AVAILABILITY'!P876+'RAP TEMPLATE-GAS AVAILABILITY'!Q876+'RAP TEMPLATE-GAS AVAILABILITY'!R876)</f>
        <v>72.647377697841733</v>
      </c>
    </row>
    <row r="878" spans="1:29" ht="15.75" x14ac:dyDescent="0.25">
      <c r="A878" s="32">
        <v>67631</v>
      </c>
      <c r="B878" s="14">
        <f>CHOOSE(CONTROL!$C$42, 74.636, 74.636) * CHOOSE(CONTROL!$C$21, $C$9, 100%, $E$9)</f>
        <v>74.635999999999996</v>
      </c>
      <c r="C878" s="14">
        <f>CHOOSE(CONTROL!$C$42, 74.641, 74.641) * CHOOSE(CONTROL!$C$21, $C$9, 100%, $E$9)</f>
        <v>74.641000000000005</v>
      </c>
      <c r="D878" s="14">
        <f>CHOOSE(CONTROL!$C$42, 74.7053, 74.7053) * CHOOSE(CONTROL!$C$21, $C$9, 100%, $E$9)</f>
        <v>74.705299999999994</v>
      </c>
      <c r="E878" s="14">
        <f>CHOOSE(CONTROL!$C$42, 74.739, 74.739) * CHOOSE(CONTROL!$C$21, $C$9, 100%, $E$9)</f>
        <v>74.739000000000004</v>
      </c>
      <c r="F878" s="14">
        <f>CHOOSE(CONTROL!$C$42, 74.6376, 74.6376)*CHOOSE(CONTROL!$C$21, $C$9, 100%, $E$9)</f>
        <v>74.637600000000006</v>
      </c>
      <c r="G878" s="14">
        <f>CHOOSE(CONTROL!$C$42, 74.6535, 74.6535)*CHOOSE(CONTROL!$C$21, $C$9, 100%, $E$9)</f>
        <v>74.653499999999994</v>
      </c>
      <c r="H878" s="14">
        <f>CHOOSE(CONTROL!$C$42, 74.7282, 74.7282) * CHOOSE(CONTROL!$C$21, $C$9, 100%, $E$9)</f>
        <v>74.728200000000001</v>
      </c>
      <c r="I878" s="14">
        <f>CHOOSE(CONTROL!$C$42, 74.656, 74.656)* CHOOSE(CONTROL!$C$21, $C$9, 100%, $E$9)</f>
        <v>74.656000000000006</v>
      </c>
      <c r="J878" s="14">
        <f>CHOOSE(CONTROL!$C$42, 74.6306, 74.6306)* CHOOSE(CONTROL!$C$21, $C$9, 100%, $E$9)</f>
        <v>74.630600000000001</v>
      </c>
      <c r="K878" s="53">
        <f>CHOOSE(CONTROL!$C$42, 74.6521, 74.6521) * CHOOSE(CONTROL!$C$21, $C$9, 100%, $E$9)</f>
        <v>74.652100000000004</v>
      </c>
      <c r="L878" s="14">
        <f>CHOOSE(CONTROL!$C$42, 75.3152, 75.3152) * CHOOSE(CONTROL!$C$21, $C$9, 100%, $E$9)</f>
        <v>75.315200000000004</v>
      </c>
      <c r="M878" s="14">
        <f>CHOOSE(CONTROL!$C$42, 73.8913, 73.8913) * CHOOSE(CONTROL!$C$21, $C$9, 100%, $E$9)</f>
        <v>73.891300000000001</v>
      </c>
      <c r="N878" s="14">
        <f>CHOOSE(CONTROL!$C$42, 73.907, 73.907) * CHOOSE(CONTROL!$C$21, $C$9, 100%, $E$9)</f>
        <v>73.906999999999996</v>
      </c>
      <c r="O878" s="14">
        <f>CHOOSE(CONTROL!$C$42, 73.9879, 73.9879) * CHOOSE(CONTROL!$C$21, $C$9, 100%, $E$9)</f>
        <v>73.987899999999996</v>
      </c>
      <c r="P878" s="14">
        <f>CHOOSE(CONTROL!$C$42, 73.9165, 73.9165) * CHOOSE(CONTROL!$C$21, $C$9, 100%, $E$9)</f>
        <v>73.916499999999999</v>
      </c>
      <c r="Q878" s="14">
        <f>CHOOSE(CONTROL!$C$42, 74.5832, 74.5832) * CHOOSE(CONTROL!$C$21, $C$9, 100%, $E$9)</f>
        <v>74.583200000000005</v>
      </c>
      <c r="R878" s="14">
        <f>CHOOSE(CONTROL!$C$42, 75.3567, 75.3567) * CHOOSE(CONTROL!$C$21, $C$9, 100%, $E$9)</f>
        <v>75.356700000000004</v>
      </c>
      <c r="S878" s="14">
        <f>CHOOSE(CONTROL!$C$42, 72.4769, 72.4769) * CHOOSE(CONTROL!$C$21, $C$9, 100%, $E$9)</f>
        <v>72.476900000000001</v>
      </c>
      <c r="T87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78" s="57">
        <f>(1000*CHOOSE(CONTROL!$C$42, 695, 695)*CHOOSE(CONTROL!$C$42, 0.5599, 0.5599)*CHOOSE(CONTROL!$C$42, 28, 28))/1000000</f>
        <v>10.895653999999999</v>
      </c>
      <c r="V878" s="57">
        <f>(1000*CHOOSE(CONTROL!$C$42, 500, 500)*CHOOSE(CONTROL!$C$42, 0.275, 0.275)*CHOOSE(CONTROL!$C$42, 28, 28))/1000000</f>
        <v>3.85</v>
      </c>
      <c r="W878" s="57">
        <f>(1000*CHOOSE(CONTROL!$C$42, 0.1146, 0.1146)*CHOOSE(CONTROL!$C$42, 121.5, 121.5)*CHOOSE(CONTROL!$C$42, 28, 28))/1000000</f>
        <v>0.38986920000000003</v>
      </c>
      <c r="X878" s="57">
        <f>(28*0.1790888*100000/1000000)+(28*0.2374*100000/1000000)</f>
        <v>1.16616864</v>
      </c>
      <c r="Y878" s="57"/>
      <c r="Z878" s="14"/>
      <c r="AA878" s="56"/>
      <c r="AB878" s="50">
        <f>(B878*122.58+C878*297.941+D878*89.177+E878*40.302+F878*40+G878*160+H878*0+I878*100+J878*300)/(122.58+297.941+89.177+40.302+0+40+160+100+300)</f>
        <v>74.649099806173908</v>
      </c>
      <c r="AC878" s="45">
        <f>(M878*'RAP TEMPLATE-GAS AVAILABILITY'!O877+N878*'RAP TEMPLATE-GAS AVAILABILITY'!P877+O878*'RAP TEMPLATE-GAS AVAILABILITY'!Q877+P878*'RAP TEMPLATE-GAS AVAILABILITY'!R877)/('RAP TEMPLATE-GAS AVAILABILITY'!O877+'RAP TEMPLATE-GAS AVAILABILITY'!P877+'RAP TEMPLATE-GAS AVAILABILITY'!Q877+'RAP TEMPLATE-GAS AVAILABILITY'!R877)</f>
        <v>73.939612230215829</v>
      </c>
    </row>
    <row r="879" spans="1:29" ht="15.75" x14ac:dyDescent="0.25">
      <c r="A879" s="32">
        <v>67662</v>
      </c>
      <c r="B879" s="14">
        <f>CHOOSE(CONTROL!$C$42, 72.5171, 72.5171) * CHOOSE(CONTROL!$C$21, $C$9, 100%, $E$9)</f>
        <v>72.517099999999999</v>
      </c>
      <c r="C879" s="14">
        <f>CHOOSE(CONTROL!$C$42, 72.5221, 72.5221) * CHOOSE(CONTROL!$C$21, $C$9, 100%, $E$9)</f>
        <v>72.522099999999995</v>
      </c>
      <c r="D879" s="14">
        <f>CHOOSE(CONTROL!$C$42, 72.5864, 72.5864) * CHOOSE(CONTROL!$C$21, $C$9, 100%, $E$9)</f>
        <v>72.586399999999998</v>
      </c>
      <c r="E879" s="14">
        <f>CHOOSE(CONTROL!$C$42, 72.6201, 72.6201) * CHOOSE(CONTROL!$C$21, $C$9, 100%, $E$9)</f>
        <v>72.620099999999994</v>
      </c>
      <c r="F879" s="14">
        <f>CHOOSE(CONTROL!$C$42, 72.5184, 72.5184)*CHOOSE(CONTROL!$C$21, $C$9, 100%, $E$9)</f>
        <v>72.5184</v>
      </c>
      <c r="G879" s="14">
        <f>CHOOSE(CONTROL!$C$42, 72.5342, 72.5342)*CHOOSE(CONTROL!$C$21, $C$9, 100%, $E$9)</f>
        <v>72.534199999999998</v>
      </c>
      <c r="H879" s="14">
        <f>CHOOSE(CONTROL!$C$42, 72.6093, 72.6093) * CHOOSE(CONTROL!$C$21, $C$9, 100%, $E$9)</f>
        <v>72.609300000000005</v>
      </c>
      <c r="I879" s="14">
        <f>CHOOSE(CONTROL!$C$42, 72.5371, 72.5371)* CHOOSE(CONTROL!$C$21, $C$9, 100%, $E$9)</f>
        <v>72.537099999999995</v>
      </c>
      <c r="J879" s="14">
        <f>CHOOSE(CONTROL!$C$42, 72.5114, 72.5114)* CHOOSE(CONTROL!$C$21, $C$9, 100%, $E$9)</f>
        <v>72.511399999999995</v>
      </c>
      <c r="K879" s="53">
        <f>CHOOSE(CONTROL!$C$42, 72.5332, 72.5332) * CHOOSE(CONTROL!$C$21, $C$9, 100%, $E$9)</f>
        <v>72.533199999999994</v>
      </c>
      <c r="L879" s="14">
        <f>CHOOSE(CONTROL!$C$42, 73.1963, 73.1963) * CHOOSE(CONTROL!$C$21, $C$9, 100%, $E$9)</f>
        <v>73.196299999999994</v>
      </c>
      <c r="M879" s="14">
        <f>CHOOSE(CONTROL!$C$42, 71.7934, 71.7934) * CHOOSE(CONTROL!$C$21, $C$9, 100%, $E$9)</f>
        <v>71.793400000000005</v>
      </c>
      <c r="N879" s="14">
        <f>CHOOSE(CONTROL!$C$42, 71.8091, 71.8091) * CHOOSE(CONTROL!$C$21, $C$9, 100%, $E$9)</f>
        <v>71.809100000000001</v>
      </c>
      <c r="O879" s="14">
        <f>CHOOSE(CONTROL!$C$42, 71.8904, 71.8904) * CHOOSE(CONTROL!$C$21, $C$9, 100%, $E$9)</f>
        <v>71.8904</v>
      </c>
      <c r="P879" s="14">
        <f>CHOOSE(CONTROL!$C$42, 71.819, 71.819) * CHOOSE(CONTROL!$C$21, $C$9, 100%, $E$9)</f>
        <v>71.819000000000003</v>
      </c>
      <c r="Q879" s="14">
        <f>CHOOSE(CONTROL!$C$42, 72.4857, 72.4857) * CHOOSE(CONTROL!$C$21, $C$9, 100%, $E$9)</f>
        <v>72.485699999999994</v>
      </c>
      <c r="R879" s="14">
        <f>CHOOSE(CONTROL!$C$42, 73.2539, 73.2539) * CHOOSE(CONTROL!$C$21, $C$9, 100%, $E$9)</f>
        <v>73.253900000000002</v>
      </c>
      <c r="S879" s="14">
        <f>CHOOSE(CONTROL!$C$42, 70.4193, 70.4193) * CHOOSE(CONTROL!$C$21, $C$9, 100%, $E$9)</f>
        <v>70.419300000000007</v>
      </c>
      <c r="T87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79" s="57">
        <f>(1000*CHOOSE(CONTROL!$C$42, 695, 695)*CHOOSE(CONTROL!$C$42, 0.5599, 0.5599)*CHOOSE(CONTROL!$C$42, 31, 31))/1000000</f>
        <v>12.063045499999998</v>
      </c>
      <c r="V879" s="57">
        <f>(1000*CHOOSE(CONTROL!$C$42, 500, 500)*CHOOSE(CONTROL!$C$42, 0.275, 0.275)*CHOOSE(CONTROL!$C$42, 31, 31))/1000000</f>
        <v>4.2625000000000002</v>
      </c>
      <c r="W879" s="57">
        <f>(1000*CHOOSE(CONTROL!$C$42, 0.1146, 0.1146)*CHOOSE(CONTROL!$C$42, 121.5, 121.5)*CHOOSE(CONTROL!$C$42, 31, 31))/1000000</f>
        <v>0.43164089999999994</v>
      </c>
      <c r="X879" s="57">
        <f>(31*0.1790888*100000/1000000)+(31*0.2374*100000/1000000)</f>
        <v>1.2911152800000001</v>
      </c>
      <c r="Y879" s="57"/>
      <c r="Z879" s="14"/>
      <c r="AA879" s="56"/>
      <c r="AB879" s="50">
        <f>(B879*122.58+C879*297.941+D879*89.177+E879*40.302+F879*40+G879*160+H879*0+I879*100+J879*300)/(122.58+297.941+89.177+40.302+0+40+160+100+300)</f>
        <v>72.530055458347817</v>
      </c>
      <c r="AC879" s="45">
        <f>(M879*'RAP TEMPLATE-GAS AVAILABILITY'!O878+N879*'RAP TEMPLATE-GAS AVAILABILITY'!P878+O879*'RAP TEMPLATE-GAS AVAILABILITY'!Q878+P879*'RAP TEMPLATE-GAS AVAILABILITY'!R878)/('RAP TEMPLATE-GAS AVAILABILITY'!O878+'RAP TEMPLATE-GAS AVAILABILITY'!P878+'RAP TEMPLATE-GAS AVAILABILITY'!Q878+'RAP TEMPLATE-GAS AVAILABILITY'!R878)</f>
        <v>71.841951079136692</v>
      </c>
    </row>
    <row r="880" spans="1:29" ht="15.75" x14ac:dyDescent="0.25">
      <c r="A880" s="32">
        <v>67692</v>
      </c>
      <c r="B880" s="14">
        <f>CHOOSE(CONTROL!$C$42, 72.3012, 72.3012) * CHOOSE(CONTROL!$C$21, $C$9, 100%, $E$9)</f>
        <v>72.301199999999994</v>
      </c>
      <c r="C880" s="14">
        <f>CHOOSE(CONTROL!$C$42, 72.3056, 72.3056) * CHOOSE(CONTROL!$C$21, $C$9, 100%, $E$9)</f>
        <v>72.305599999999998</v>
      </c>
      <c r="D880" s="14">
        <f>CHOOSE(CONTROL!$C$42, 72.5063, 72.5063) * CHOOSE(CONTROL!$C$21, $C$9, 100%, $E$9)</f>
        <v>72.506299999999996</v>
      </c>
      <c r="E880" s="14">
        <f>CHOOSE(CONTROL!$C$42, 72.5381, 72.5381) * CHOOSE(CONTROL!$C$21, $C$9, 100%, $E$9)</f>
        <v>72.5381</v>
      </c>
      <c r="F880" s="14">
        <f>CHOOSE(CONTROL!$C$42, 72.2858, 72.2858)*CHOOSE(CONTROL!$C$21, $C$9, 100%, $E$9)</f>
        <v>72.285799999999995</v>
      </c>
      <c r="G880" s="14">
        <f>CHOOSE(CONTROL!$C$42, 72.3014, 72.3014)*CHOOSE(CONTROL!$C$21, $C$9, 100%, $E$9)</f>
        <v>72.301400000000001</v>
      </c>
      <c r="H880" s="14">
        <f>CHOOSE(CONTROL!$C$42, 72.5278, 72.5278) * CHOOSE(CONTROL!$C$21, $C$9, 100%, $E$9)</f>
        <v>72.527799999999999</v>
      </c>
      <c r="I880" s="14">
        <f>CHOOSE(CONTROL!$C$42, 72.3139, 72.3139)* CHOOSE(CONTROL!$C$21, $C$9, 100%, $E$9)</f>
        <v>72.313900000000004</v>
      </c>
      <c r="J880" s="14">
        <f>CHOOSE(CONTROL!$C$42, 72.2788, 72.2788)* CHOOSE(CONTROL!$C$21, $C$9, 100%, $E$9)</f>
        <v>72.278800000000004</v>
      </c>
      <c r="K880" s="53">
        <f>CHOOSE(CONTROL!$C$42, 72.3101, 72.3101) * CHOOSE(CONTROL!$C$21, $C$9, 100%, $E$9)</f>
        <v>72.310100000000006</v>
      </c>
      <c r="L880" s="14">
        <f>CHOOSE(CONTROL!$C$42, 73.1148, 73.1148) * CHOOSE(CONTROL!$C$21, $C$9, 100%, $E$9)</f>
        <v>73.114800000000002</v>
      </c>
      <c r="M880" s="14">
        <f>CHOOSE(CONTROL!$C$42, 71.5632, 71.5632) * CHOOSE(CONTROL!$C$21, $C$9, 100%, $E$9)</f>
        <v>71.563199999999995</v>
      </c>
      <c r="N880" s="14">
        <f>CHOOSE(CONTROL!$C$42, 71.5786, 71.5786) * CHOOSE(CONTROL!$C$21, $C$9, 100%, $E$9)</f>
        <v>71.578599999999994</v>
      </c>
      <c r="O880" s="14">
        <f>CHOOSE(CONTROL!$C$42, 71.8097, 71.8097) * CHOOSE(CONTROL!$C$21, $C$9, 100%, $E$9)</f>
        <v>71.809700000000007</v>
      </c>
      <c r="P880" s="14">
        <f>CHOOSE(CONTROL!$C$42, 71.598, 71.598) * CHOOSE(CONTROL!$C$21, $C$9, 100%, $E$9)</f>
        <v>71.597999999999999</v>
      </c>
      <c r="Q880" s="14">
        <f>CHOOSE(CONTROL!$C$42, 72.405, 72.405) * CHOOSE(CONTROL!$C$21, $C$9, 100%, $E$9)</f>
        <v>72.405000000000001</v>
      </c>
      <c r="R880" s="14">
        <f>CHOOSE(CONTROL!$C$42, 73.1731, 73.1731) * CHOOSE(CONTROL!$C$21, $C$9, 100%, $E$9)</f>
        <v>73.173100000000005</v>
      </c>
      <c r="S880" s="14">
        <f>CHOOSE(CONTROL!$C$42, 70.2088, 70.2088) * CHOOSE(CONTROL!$C$21, $C$9, 100%, $E$9)</f>
        <v>70.208799999999997</v>
      </c>
      <c r="T88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80" s="57">
        <f>(1000*CHOOSE(CONTROL!$C$42, 695, 695)*CHOOSE(CONTROL!$C$42, 0.5599, 0.5599)*CHOOSE(CONTROL!$C$42, 30, 30))/1000000</f>
        <v>11.673914999999997</v>
      </c>
      <c r="V880" s="57">
        <f>(1000*CHOOSE(CONTROL!$C$42, 500, 500)*CHOOSE(CONTROL!$C$42, 0.275, 0.275)*CHOOSE(CONTROL!$C$42, 30, 30))/1000000</f>
        <v>4.125</v>
      </c>
      <c r="W880" s="57">
        <f>(1000*CHOOSE(CONTROL!$C$42, 0.1146, 0.1146)*CHOOSE(CONTROL!$C$42, 121.5, 121.5)*CHOOSE(CONTROL!$C$42, 30, 30))/1000000</f>
        <v>0.417717</v>
      </c>
      <c r="X880" s="57">
        <f>(30*0.1790888*245000/1000000)+(30*0.2374*100000/1000000)</f>
        <v>2.0285026799999999</v>
      </c>
      <c r="Y880" s="57"/>
      <c r="Z880" s="14"/>
      <c r="AA880" s="56"/>
      <c r="AB880" s="50">
        <f>(B880*141.293+C880*267.993+D880*115.016+E880*89.698+F880*40+G880*185+H880*0+I880*100+J880*300)/(141.293+267.993+115.016+89.698+0+40+185+100+300)</f>
        <v>72.333475550443922</v>
      </c>
      <c r="AC880" s="45">
        <f>(M880*'RAP TEMPLATE-GAS AVAILABILITY'!O879+N880*'RAP TEMPLATE-GAS AVAILABILITY'!P879+O880*'RAP TEMPLATE-GAS AVAILABILITY'!Q879+P880*'RAP TEMPLATE-GAS AVAILABILITY'!R879)/('RAP TEMPLATE-GAS AVAILABILITY'!O879+'RAP TEMPLATE-GAS AVAILABILITY'!P879+'RAP TEMPLATE-GAS AVAILABILITY'!Q879+'RAP TEMPLATE-GAS AVAILABILITY'!R879)</f>
        <v>71.6808165467626</v>
      </c>
    </row>
    <row r="881" spans="1:29" ht="15.75" x14ac:dyDescent="0.25">
      <c r="A881" s="32">
        <v>67723</v>
      </c>
      <c r="B881" s="14">
        <f>CHOOSE(CONTROL!$C$42, 72.9407, 72.9407) * CHOOSE(CONTROL!$C$21, $C$9, 100%, $E$9)</f>
        <v>72.940700000000007</v>
      </c>
      <c r="C881" s="14">
        <f>CHOOSE(CONTROL!$C$42, 72.9486, 72.9486) * CHOOSE(CONTROL!$C$21, $C$9, 100%, $E$9)</f>
        <v>72.948599999999999</v>
      </c>
      <c r="D881" s="14">
        <f>CHOOSE(CONTROL!$C$42, 73.1462, 73.1462) * CHOOSE(CONTROL!$C$21, $C$9, 100%, $E$9)</f>
        <v>73.146199999999993</v>
      </c>
      <c r="E881" s="14">
        <f>CHOOSE(CONTROL!$C$42, 73.1773, 73.1773) * CHOOSE(CONTROL!$C$21, $C$9, 100%, $E$9)</f>
        <v>73.177300000000002</v>
      </c>
      <c r="F881" s="14">
        <f>CHOOSE(CONTROL!$C$42, 72.9241, 72.9241)*CHOOSE(CONTROL!$C$21, $C$9, 100%, $E$9)</f>
        <v>72.924099999999996</v>
      </c>
      <c r="G881" s="14">
        <f>CHOOSE(CONTROL!$C$42, 72.9402, 72.9402)*CHOOSE(CONTROL!$C$21, $C$9, 100%, $E$9)</f>
        <v>72.940200000000004</v>
      </c>
      <c r="H881" s="14">
        <f>CHOOSE(CONTROL!$C$42, 73.166, 73.166) * CHOOSE(CONTROL!$C$21, $C$9, 100%, $E$9)</f>
        <v>73.165999999999997</v>
      </c>
      <c r="I881" s="14">
        <f>CHOOSE(CONTROL!$C$42, 72.952, 72.952)* CHOOSE(CONTROL!$C$21, $C$9, 100%, $E$9)</f>
        <v>72.951999999999998</v>
      </c>
      <c r="J881" s="14">
        <f>CHOOSE(CONTROL!$C$42, 72.9171, 72.9171)* CHOOSE(CONTROL!$C$21, $C$9, 100%, $E$9)</f>
        <v>72.917100000000005</v>
      </c>
      <c r="K881" s="53">
        <f>CHOOSE(CONTROL!$C$42, 72.9482, 72.9482) * CHOOSE(CONTROL!$C$21, $C$9, 100%, $E$9)</f>
        <v>72.9482</v>
      </c>
      <c r="L881" s="14">
        <f>CHOOSE(CONTROL!$C$42, 73.753, 73.753) * CHOOSE(CONTROL!$C$21, $C$9, 100%, $E$9)</f>
        <v>73.753</v>
      </c>
      <c r="M881" s="14">
        <f>CHOOSE(CONTROL!$C$42, 72.1951, 72.1951) * CHOOSE(CONTROL!$C$21, $C$9, 100%, $E$9)</f>
        <v>72.195099999999996</v>
      </c>
      <c r="N881" s="14">
        <f>CHOOSE(CONTROL!$C$42, 72.211, 72.211) * CHOOSE(CONTROL!$C$21, $C$9, 100%, $E$9)</f>
        <v>72.210999999999999</v>
      </c>
      <c r="O881" s="14">
        <f>CHOOSE(CONTROL!$C$42, 72.4414, 72.4414) * CHOOSE(CONTROL!$C$21, $C$9, 100%, $E$9)</f>
        <v>72.441400000000002</v>
      </c>
      <c r="P881" s="14">
        <f>CHOOSE(CONTROL!$C$42, 72.2297, 72.2297) * CHOOSE(CONTROL!$C$21, $C$9, 100%, $E$9)</f>
        <v>72.229699999999994</v>
      </c>
      <c r="Q881" s="14">
        <f>CHOOSE(CONTROL!$C$42, 73.0367, 73.0367) * CHOOSE(CONTROL!$C$21, $C$9, 100%, $E$9)</f>
        <v>73.036699999999996</v>
      </c>
      <c r="R881" s="14">
        <f>CHOOSE(CONTROL!$C$42, 73.8063, 73.8063) * CHOOSE(CONTROL!$C$21, $C$9, 100%, $E$9)</f>
        <v>73.806299999999993</v>
      </c>
      <c r="S881" s="14">
        <f>CHOOSE(CONTROL!$C$42, 70.8285, 70.8285) * CHOOSE(CONTROL!$C$21, $C$9, 100%, $E$9)</f>
        <v>70.828500000000005</v>
      </c>
      <c r="T88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81" s="57">
        <f>(1000*CHOOSE(CONTROL!$C$42, 695, 695)*CHOOSE(CONTROL!$C$42, 0.5599, 0.5599)*CHOOSE(CONTROL!$C$42, 31, 31))/1000000</f>
        <v>12.063045499999998</v>
      </c>
      <c r="V881" s="57">
        <f>(1000*CHOOSE(CONTROL!$C$42, 500, 500)*CHOOSE(CONTROL!$C$42, 0.275, 0.275)*CHOOSE(CONTROL!$C$42, 31, 31))/1000000</f>
        <v>4.2625000000000002</v>
      </c>
      <c r="W881" s="57">
        <f>(1000*CHOOSE(CONTROL!$C$42, 0.1146, 0.1146)*CHOOSE(CONTROL!$C$42, 121.5, 121.5)*CHOOSE(CONTROL!$C$42, 31, 31))/1000000</f>
        <v>0.43164089999999994</v>
      </c>
      <c r="X881" s="57">
        <f>(31*0.1790888*245000/1000000)+(31*0.2374*100000/1000000)</f>
        <v>2.0961194359999999</v>
      </c>
      <c r="Y881" s="57"/>
      <c r="Z881" s="14"/>
      <c r="AA881" s="56"/>
      <c r="AB881" s="50">
        <f>(B881*194.205+C881*267.466+D881*133.845+E881*53.484+F881*40+G881*185+H881*0+I881*100+J881*300)/(194.205+267.466+133.845+53.484+0+40+185+100+300)</f>
        <v>72.96861675298274</v>
      </c>
      <c r="AC881" s="45">
        <f>(M881*'RAP TEMPLATE-GAS AVAILABILITY'!O880+N881*'RAP TEMPLATE-GAS AVAILABILITY'!P880+O881*'RAP TEMPLATE-GAS AVAILABILITY'!Q880+P881*'RAP TEMPLATE-GAS AVAILABILITY'!R880)/('RAP TEMPLATE-GAS AVAILABILITY'!O880+'RAP TEMPLATE-GAS AVAILABILITY'!P880+'RAP TEMPLATE-GAS AVAILABILITY'!Q880+'RAP TEMPLATE-GAS AVAILABILITY'!R880)</f>
        <v>72.312625899280576</v>
      </c>
    </row>
    <row r="882" spans="1:29" ht="15.75" x14ac:dyDescent="0.25">
      <c r="A882" s="32">
        <v>67753</v>
      </c>
      <c r="B882" s="14">
        <f>CHOOSE(CONTROL!$C$42, 75.0096, 75.0096) * CHOOSE(CONTROL!$C$21, $C$9, 100%, $E$9)</f>
        <v>75.009600000000006</v>
      </c>
      <c r="C882" s="14">
        <f>CHOOSE(CONTROL!$C$42, 75.0175, 75.0175) * CHOOSE(CONTROL!$C$21, $C$9, 100%, $E$9)</f>
        <v>75.017499999999998</v>
      </c>
      <c r="D882" s="14">
        <f>CHOOSE(CONTROL!$C$42, 75.2151, 75.2151) * CHOOSE(CONTROL!$C$21, $C$9, 100%, $E$9)</f>
        <v>75.215100000000007</v>
      </c>
      <c r="E882" s="14">
        <f>CHOOSE(CONTROL!$C$42, 75.2462, 75.2462) * CHOOSE(CONTROL!$C$21, $C$9, 100%, $E$9)</f>
        <v>75.246200000000002</v>
      </c>
      <c r="F882" s="14">
        <f>CHOOSE(CONTROL!$C$42, 74.9934, 74.9934)*CHOOSE(CONTROL!$C$21, $C$9, 100%, $E$9)</f>
        <v>74.993399999999994</v>
      </c>
      <c r="G882" s="14">
        <f>CHOOSE(CONTROL!$C$42, 75.0096, 75.0096)*CHOOSE(CONTROL!$C$21, $C$9, 100%, $E$9)</f>
        <v>75.009600000000006</v>
      </c>
      <c r="H882" s="14">
        <f>CHOOSE(CONTROL!$C$42, 75.2349, 75.2349) * CHOOSE(CONTROL!$C$21, $C$9, 100%, $E$9)</f>
        <v>75.234899999999996</v>
      </c>
      <c r="I882" s="14">
        <f>CHOOSE(CONTROL!$C$42, 75.021, 75.021)* CHOOSE(CONTROL!$C$21, $C$9, 100%, $E$9)</f>
        <v>75.021000000000001</v>
      </c>
      <c r="J882" s="14">
        <f>CHOOSE(CONTROL!$C$42, 74.9864, 74.9864)* CHOOSE(CONTROL!$C$21, $C$9, 100%, $E$9)</f>
        <v>74.986400000000003</v>
      </c>
      <c r="K882" s="53">
        <f>CHOOSE(CONTROL!$C$42, 75.0171, 75.0171) * CHOOSE(CONTROL!$C$21, $C$9, 100%, $E$9)</f>
        <v>75.017099999999999</v>
      </c>
      <c r="L882" s="14">
        <f>CHOOSE(CONTROL!$C$42, 75.8219, 75.8219) * CHOOSE(CONTROL!$C$21, $C$9, 100%, $E$9)</f>
        <v>75.821899999999999</v>
      </c>
      <c r="M882" s="14">
        <f>CHOOSE(CONTROL!$C$42, 74.2435, 74.2435) * CHOOSE(CONTROL!$C$21, $C$9, 100%, $E$9)</f>
        <v>74.243499999999997</v>
      </c>
      <c r="N882" s="14">
        <f>CHOOSE(CONTROL!$C$42, 74.2595, 74.2595) * CHOOSE(CONTROL!$C$21, $C$9, 100%, $E$9)</f>
        <v>74.259500000000003</v>
      </c>
      <c r="O882" s="14">
        <f>CHOOSE(CONTROL!$C$42, 74.4894, 74.4894) * CHOOSE(CONTROL!$C$21, $C$9, 100%, $E$9)</f>
        <v>74.489400000000003</v>
      </c>
      <c r="P882" s="14">
        <f>CHOOSE(CONTROL!$C$42, 74.2777, 74.2777) * CHOOSE(CONTROL!$C$21, $C$9, 100%, $E$9)</f>
        <v>74.277699999999996</v>
      </c>
      <c r="Q882" s="14">
        <f>CHOOSE(CONTROL!$C$42, 75.0847, 75.0847) * CHOOSE(CONTROL!$C$21, $C$9, 100%, $E$9)</f>
        <v>75.084699999999998</v>
      </c>
      <c r="R882" s="14">
        <f>CHOOSE(CONTROL!$C$42, 75.8595, 75.8595) * CHOOSE(CONTROL!$C$21, $C$9, 100%, $E$9)</f>
        <v>75.859499999999997</v>
      </c>
      <c r="S882" s="14">
        <f>CHOOSE(CONTROL!$C$42, 72.8376, 72.8376) * CHOOSE(CONTROL!$C$21, $C$9, 100%, $E$9)</f>
        <v>72.837599999999995</v>
      </c>
      <c r="T88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82" s="57">
        <f>(1000*CHOOSE(CONTROL!$C$42, 695, 695)*CHOOSE(CONTROL!$C$42, 0.5599, 0.5599)*CHOOSE(CONTROL!$C$42, 30, 30))/1000000</f>
        <v>11.673914999999997</v>
      </c>
      <c r="V882" s="57">
        <f>(1000*CHOOSE(CONTROL!$C$42, 500, 500)*CHOOSE(CONTROL!$C$42, 0.275, 0.275)*CHOOSE(CONTROL!$C$42, 30, 30))/1000000</f>
        <v>4.125</v>
      </c>
      <c r="W882" s="57">
        <f>(1000*CHOOSE(CONTROL!$C$42, 0.1146, 0.1146)*CHOOSE(CONTROL!$C$42, 121.5, 121.5)*CHOOSE(CONTROL!$C$42, 30, 30))/1000000</f>
        <v>0.417717</v>
      </c>
      <c r="X882" s="57">
        <f>(30*0.1790888*245000/1000000)+(30*0.2374*100000/1000000)</f>
        <v>2.0285026799999999</v>
      </c>
      <c r="Y882" s="57"/>
      <c r="Z882" s="14"/>
      <c r="AA882" s="56"/>
      <c r="AB882" s="50">
        <f>(B882*194.205+C882*267.466+D882*133.845+E882*53.484+F882*40+G882*185+H882*0+I882*100+J882*300)/(194.205+267.466+133.845+53.484+0+40+185+100+300)</f>
        <v>75.037703958634225</v>
      </c>
      <c r="AC882" s="45">
        <f>(M882*'RAP TEMPLATE-GAS AVAILABILITY'!O881+N882*'RAP TEMPLATE-GAS AVAILABILITY'!P881+O882*'RAP TEMPLATE-GAS AVAILABILITY'!Q881+P882*'RAP TEMPLATE-GAS AVAILABILITY'!R881)/('RAP TEMPLATE-GAS AVAILABILITY'!O881+'RAP TEMPLATE-GAS AVAILABILITY'!P881+'RAP TEMPLATE-GAS AVAILABILITY'!Q881+'RAP TEMPLATE-GAS AVAILABILITY'!R881)</f>
        <v>74.360792805755395</v>
      </c>
    </row>
    <row r="883" spans="1:29" ht="15.75" x14ac:dyDescent="0.25">
      <c r="A883" s="32">
        <v>67784</v>
      </c>
      <c r="B883" s="14">
        <f>CHOOSE(CONTROL!$C$42, 73.5707, 73.5707) * CHOOSE(CONTROL!$C$21, $C$9, 100%, $E$9)</f>
        <v>73.570700000000002</v>
      </c>
      <c r="C883" s="14">
        <f>CHOOSE(CONTROL!$C$42, 73.5786, 73.5786) * CHOOSE(CONTROL!$C$21, $C$9, 100%, $E$9)</f>
        <v>73.578599999999994</v>
      </c>
      <c r="D883" s="14">
        <f>CHOOSE(CONTROL!$C$42, 73.7762, 73.7762) * CHOOSE(CONTROL!$C$21, $C$9, 100%, $E$9)</f>
        <v>73.776200000000003</v>
      </c>
      <c r="E883" s="14">
        <f>CHOOSE(CONTROL!$C$42, 73.8073, 73.8073) * CHOOSE(CONTROL!$C$21, $C$9, 100%, $E$9)</f>
        <v>73.807299999999998</v>
      </c>
      <c r="F883" s="14">
        <f>CHOOSE(CONTROL!$C$42, 73.5549, 73.5549)*CHOOSE(CONTROL!$C$21, $C$9, 100%, $E$9)</f>
        <v>73.554900000000004</v>
      </c>
      <c r="G883" s="14">
        <f>CHOOSE(CONTROL!$C$42, 73.5712, 73.5712)*CHOOSE(CONTROL!$C$21, $C$9, 100%, $E$9)</f>
        <v>73.571200000000005</v>
      </c>
      <c r="H883" s="14">
        <f>CHOOSE(CONTROL!$C$42, 73.7959, 73.7959) * CHOOSE(CONTROL!$C$21, $C$9, 100%, $E$9)</f>
        <v>73.795900000000003</v>
      </c>
      <c r="I883" s="14">
        <f>CHOOSE(CONTROL!$C$42, 73.582, 73.582)* CHOOSE(CONTROL!$C$21, $C$9, 100%, $E$9)</f>
        <v>73.581999999999994</v>
      </c>
      <c r="J883" s="14">
        <f>CHOOSE(CONTROL!$C$42, 73.5479, 73.5479)* CHOOSE(CONTROL!$C$21, $C$9, 100%, $E$9)</f>
        <v>73.547899999999998</v>
      </c>
      <c r="K883" s="53">
        <f>CHOOSE(CONTROL!$C$42, 73.5781, 73.5781) * CHOOSE(CONTROL!$C$21, $C$9, 100%, $E$9)</f>
        <v>73.578100000000006</v>
      </c>
      <c r="L883" s="14">
        <f>CHOOSE(CONTROL!$C$42, 74.3829, 74.3829) * CHOOSE(CONTROL!$C$21, $C$9, 100%, $E$9)</f>
        <v>74.382900000000006</v>
      </c>
      <c r="M883" s="14">
        <f>CHOOSE(CONTROL!$C$42, 72.8195, 72.8195) * CHOOSE(CONTROL!$C$21, $C$9, 100%, $E$9)</f>
        <v>72.819500000000005</v>
      </c>
      <c r="N883" s="14">
        <f>CHOOSE(CONTROL!$C$42, 72.8357, 72.8357) * CHOOSE(CONTROL!$C$21, $C$9, 100%, $E$9)</f>
        <v>72.835700000000003</v>
      </c>
      <c r="O883" s="14">
        <f>CHOOSE(CONTROL!$C$42, 73.065, 73.065) * CHOOSE(CONTROL!$C$21, $C$9, 100%, $E$9)</f>
        <v>73.064999999999998</v>
      </c>
      <c r="P883" s="14">
        <f>CHOOSE(CONTROL!$C$42, 72.8533, 72.8533) * CHOOSE(CONTROL!$C$21, $C$9, 100%, $E$9)</f>
        <v>72.853300000000004</v>
      </c>
      <c r="Q883" s="14">
        <f>CHOOSE(CONTROL!$C$42, 73.6603, 73.6603) * CHOOSE(CONTROL!$C$21, $C$9, 100%, $E$9)</f>
        <v>73.660300000000007</v>
      </c>
      <c r="R883" s="14">
        <f>CHOOSE(CONTROL!$C$42, 74.4315, 74.4315) * CHOOSE(CONTROL!$C$21, $C$9, 100%, $E$9)</f>
        <v>74.4315</v>
      </c>
      <c r="S883" s="14">
        <f>CHOOSE(CONTROL!$C$42, 71.4402, 71.4402) * CHOOSE(CONTROL!$C$21, $C$9, 100%, $E$9)</f>
        <v>71.440200000000004</v>
      </c>
      <c r="T88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83" s="57">
        <f>(1000*CHOOSE(CONTROL!$C$42, 695, 695)*CHOOSE(CONTROL!$C$42, 0.5599, 0.5599)*CHOOSE(CONTROL!$C$42, 31, 31))/1000000</f>
        <v>12.063045499999998</v>
      </c>
      <c r="V883" s="57">
        <f>(1000*CHOOSE(CONTROL!$C$42, 500, 500)*CHOOSE(CONTROL!$C$42, 0.275, 0.275)*CHOOSE(CONTROL!$C$42, 31, 31))/1000000</f>
        <v>4.2625000000000002</v>
      </c>
      <c r="W883" s="57">
        <f>(1000*CHOOSE(CONTROL!$C$42, 0.1146, 0.1146)*CHOOSE(CONTROL!$C$42, 121.5, 121.5)*CHOOSE(CONTROL!$C$42, 31, 31))/1000000</f>
        <v>0.43164089999999994</v>
      </c>
      <c r="X883" s="57">
        <f>(31*0.1790888*245000/1000000)+(31*0.2374*100000/1000000)</f>
        <v>2.0961194359999999</v>
      </c>
      <c r="Y883" s="57"/>
      <c r="Z883" s="14"/>
      <c r="AA883" s="56"/>
      <c r="AB883" s="50">
        <f>(B883*194.205+C883*267.466+D883*133.845+E883*53.484+F883*40+G883*185+H883*0+I883*100+J883*300)/(194.205+267.466+133.845+53.484+0+40+185+100+300)</f>
        <v>73.598975465698587</v>
      </c>
      <c r="AC883" s="45">
        <f>(M883*'RAP TEMPLATE-GAS AVAILABILITY'!O882+N883*'RAP TEMPLATE-GAS AVAILABILITY'!P882+O883*'RAP TEMPLATE-GAS AVAILABILITY'!Q882+P883*'RAP TEMPLATE-GAS AVAILABILITY'!R882)/('RAP TEMPLATE-GAS AVAILABILITY'!O882+'RAP TEMPLATE-GAS AVAILABILITY'!P882+'RAP TEMPLATE-GAS AVAILABILITY'!Q882+'RAP TEMPLATE-GAS AVAILABILITY'!R882)</f>
        <v>72.936565467625897</v>
      </c>
    </row>
    <row r="884" spans="1:29" ht="15.75" x14ac:dyDescent="0.25">
      <c r="A884" s="32">
        <v>67815</v>
      </c>
      <c r="B884" s="14">
        <f>CHOOSE(CONTROL!$C$42, 69.9369, 69.9369) * CHOOSE(CONTROL!$C$21, $C$9, 100%, $E$9)</f>
        <v>69.936899999999994</v>
      </c>
      <c r="C884" s="14">
        <f>CHOOSE(CONTROL!$C$42, 69.9448, 69.9448) * CHOOSE(CONTROL!$C$21, $C$9, 100%, $E$9)</f>
        <v>69.944800000000001</v>
      </c>
      <c r="D884" s="14">
        <f>CHOOSE(CONTROL!$C$42, 70.1424, 70.1424) * CHOOSE(CONTROL!$C$21, $C$9, 100%, $E$9)</f>
        <v>70.142399999999995</v>
      </c>
      <c r="E884" s="14">
        <f>CHOOSE(CONTROL!$C$42, 70.1735, 70.1735) * CHOOSE(CONTROL!$C$21, $C$9, 100%, $E$9)</f>
        <v>70.173500000000004</v>
      </c>
      <c r="F884" s="14">
        <f>CHOOSE(CONTROL!$C$42, 69.9213, 69.9213)*CHOOSE(CONTROL!$C$21, $C$9, 100%, $E$9)</f>
        <v>69.921300000000002</v>
      </c>
      <c r="G884" s="14">
        <f>CHOOSE(CONTROL!$C$42, 69.9377, 69.9377)*CHOOSE(CONTROL!$C$21, $C$9, 100%, $E$9)</f>
        <v>69.937700000000007</v>
      </c>
      <c r="H884" s="14">
        <f>CHOOSE(CONTROL!$C$42, 70.1621, 70.1621) * CHOOSE(CONTROL!$C$21, $C$9, 100%, $E$9)</f>
        <v>70.162099999999995</v>
      </c>
      <c r="I884" s="14">
        <f>CHOOSE(CONTROL!$C$42, 69.9482, 69.9482)* CHOOSE(CONTROL!$C$21, $C$9, 100%, $E$9)</f>
        <v>69.9482</v>
      </c>
      <c r="J884" s="14">
        <f>CHOOSE(CONTROL!$C$42, 69.9143, 69.9143)* CHOOSE(CONTROL!$C$21, $C$9, 100%, $E$9)</f>
        <v>69.914299999999997</v>
      </c>
      <c r="K884" s="53">
        <f>CHOOSE(CONTROL!$C$42, 69.9444, 69.9444) * CHOOSE(CONTROL!$C$21, $C$9, 100%, $E$9)</f>
        <v>69.944400000000002</v>
      </c>
      <c r="L884" s="14">
        <f>CHOOSE(CONTROL!$C$42, 70.7491, 70.7491) * CHOOSE(CONTROL!$C$21, $C$9, 100%, $E$9)</f>
        <v>70.749099999999999</v>
      </c>
      <c r="M884" s="14">
        <f>CHOOSE(CONTROL!$C$42, 69.2226, 69.2226) * CHOOSE(CONTROL!$C$21, $C$9, 100%, $E$9)</f>
        <v>69.2226</v>
      </c>
      <c r="N884" s="14">
        <f>CHOOSE(CONTROL!$C$42, 69.2388, 69.2388) * CHOOSE(CONTROL!$C$21, $C$9, 100%, $E$9)</f>
        <v>69.238799999999998</v>
      </c>
      <c r="O884" s="14">
        <f>CHOOSE(CONTROL!$C$42, 69.4679, 69.4679) * CHOOSE(CONTROL!$C$21, $C$9, 100%, $E$9)</f>
        <v>69.4679</v>
      </c>
      <c r="P884" s="14">
        <f>CHOOSE(CONTROL!$C$42, 69.2562, 69.2562) * CHOOSE(CONTROL!$C$21, $C$9, 100%, $E$9)</f>
        <v>69.256200000000007</v>
      </c>
      <c r="Q884" s="14">
        <f>CHOOSE(CONTROL!$C$42, 70.0632, 70.0632) * CHOOSE(CONTROL!$C$21, $C$9, 100%, $E$9)</f>
        <v>70.063199999999995</v>
      </c>
      <c r="R884" s="14">
        <f>CHOOSE(CONTROL!$C$42, 70.8254, 70.8254) * CHOOSE(CONTROL!$C$21, $C$9, 100%, $E$9)</f>
        <v>70.825400000000002</v>
      </c>
      <c r="S884" s="14">
        <f>CHOOSE(CONTROL!$C$42, 67.9115, 67.9115) * CHOOSE(CONTROL!$C$21, $C$9, 100%, $E$9)</f>
        <v>67.911500000000004</v>
      </c>
      <c r="T88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84" s="57">
        <f>(1000*CHOOSE(CONTROL!$C$42, 695, 695)*CHOOSE(CONTROL!$C$42, 0.5599, 0.5599)*CHOOSE(CONTROL!$C$42, 31, 31))/1000000</f>
        <v>12.063045499999998</v>
      </c>
      <c r="V884" s="57">
        <f>(1000*CHOOSE(CONTROL!$C$42, 500, 500)*CHOOSE(CONTROL!$C$42, 0.275, 0.275)*CHOOSE(CONTROL!$C$42, 31, 31))/1000000</f>
        <v>4.2625000000000002</v>
      </c>
      <c r="W884" s="57">
        <f>(1000*CHOOSE(CONTROL!$C$42, 0.1146, 0.1146)*CHOOSE(CONTROL!$C$42, 121.5, 121.5)*CHOOSE(CONTROL!$C$42, 31, 31))/1000000</f>
        <v>0.43164089999999994</v>
      </c>
      <c r="X884" s="57">
        <f>(31*0.1790888*245000/1000000)+(31*0.2374*100000/1000000)</f>
        <v>2.0961194359999999</v>
      </c>
      <c r="Y884" s="57"/>
      <c r="Z884" s="14"/>
      <c r="AA884" s="56"/>
      <c r="AB884" s="50">
        <f>(B884*194.205+C884*267.466+D884*133.845+E884*53.484+F884*40+G884*185+H884*0+I884*100+J884*300)/(194.205+267.466+133.845+53.484+0+40+185+100+300)</f>
        <v>69.965272404474092</v>
      </c>
      <c r="AC884" s="45">
        <f>(M884*'RAP TEMPLATE-GAS AVAILABILITY'!O883+N884*'RAP TEMPLATE-GAS AVAILABILITY'!P883+O884*'RAP TEMPLATE-GAS AVAILABILITY'!Q883+P884*'RAP TEMPLATE-GAS AVAILABILITY'!R883)/('RAP TEMPLATE-GAS AVAILABILITY'!O883+'RAP TEMPLATE-GAS AVAILABILITY'!P883+'RAP TEMPLATE-GAS AVAILABILITY'!Q883+'RAP TEMPLATE-GAS AVAILABILITY'!R883)</f>
        <v>69.33954604316547</v>
      </c>
    </row>
    <row r="885" spans="1:29" ht="15.75" x14ac:dyDescent="0.25">
      <c r="A885" s="32">
        <v>67845</v>
      </c>
      <c r="B885" s="14">
        <f>CHOOSE(CONTROL!$C$42, 65.4967, 65.4967) * CHOOSE(CONTROL!$C$21, $C$9, 100%, $E$9)</f>
        <v>65.496700000000004</v>
      </c>
      <c r="C885" s="14">
        <f>CHOOSE(CONTROL!$C$42, 65.5046, 65.5046) * CHOOSE(CONTROL!$C$21, $C$9, 100%, $E$9)</f>
        <v>65.504599999999996</v>
      </c>
      <c r="D885" s="14">
        <f>CHOOSE(CONTROL!$C$42, 65.7022, 65.7022) * CHOOSE(CONTROL!$C$21, $C$9, 100%, $E$9)</f>
        <v>65.702200000000005</v>
      </c>
      <c r="E885" s="14">
        <f>CHOOSE(CONTROL!$C$42, 65.7333, 65.7333) * CHOOSE(CONTROL!$C$21, $C$9, 100%, $E$9)</f>
        <v>65.7333</v>
      </c>
      <c r="F885" s="14">
        <f>CHOOSE(CONTROL!$C$42, 65.4811, 65.4811)*CHOOSE(CONTROL!$C$21, $C$9, 100%, $E$9)</f>
        <v>65.481099999999998</v>
      </c>
      <c r="G885" s="14">
        <f>CHOOSE(CONTROL!$C$42, 65.4974, 65.4974)*CHOOSE(CONTROL!$C$21, $C$9, 100%, $E$9)</f>
        <v>65.497399999999999</v>
      </c>
      <c r="H885" s="14">
        <f>CHOOSE(CONTROL!$C$42, 65.722, 65.722) * CHOOSE(CONTROL!$C$21, $C$9, 100%, $E$9)</f>
        <v>65.721999999999994</v>
      </c>
      <c r="I885" s="14">
        <f>CHOOSE(CONTROL!$C$42, 65.5081, 65.5081)* CHOOSE(CONTROL!$C$21, $C$9, 100%, $E$9)</f>
        <v>65.508099999999999</v>
      </c>
      <c r="J885" s="14">
        <f>CHOOSE(CONTROL!$C$42, 65.4741, 65.4741)* CHOOSE(CONTROL!$C$21, $C$9, 100%, $E$9)</f>
        <v>65.474100000000007</v>
      </c>
      <c r="K885" s="53">
        <f>CHOOSE(CONTROL!$C$42, 65.5042, 65.5042) * CHOOSE(CONTROL!$C$21, $C$9, 100%, $E$9)</f>
        <v>65.504199999999997</v>
      </c>
      <c r="L885" s="14">
        <f>CHOOSE(CONTROL!$C$42, 66.309, 66.309) * CHOOSE(CONTROL!$C$21, $C$9, 100%, $E$9)</f>
        <v>66.308999999999997</v>
      </c>
      <c r="M885" s="14">
        <f>CHOOSE(CONTROL!$C$42, 64.8271, 64.8271) * CHOOSE(CONTROL!$C$21, $C$9, 100%, $E$9)</f>
        <v>64.827100000000002</v>
      </c>
      <c r="N885" s="14">
        <f>CHOOSE(CONTROL!$C$42, 64.8433, 64.8433) * CHOOSE(CONTROL!$C$21, $C$9, 100%, $E$9)</f>
        <v>64.843299999999999</v>
      </c>
      <c r="O885" s="14">
        <f>CHOOSE(CONTROL!$C$42, 65.0725, 65.0725) * CHOOSE(CONTROL!$C$21, $C$9, 100%, $E$9)</f>
        <v>65.072500000000005</v>
      </c>
      <c r="P885" s="14">
        <f>CHOOSE(CONTROL!$C$42, 64.8608, 64.8608) * CHOOSE(CONTROL!$C$21, $C$9, 100%, $E$9)</f>
        <v>64.860799999999998</v>
      </c>
      <c r="Q885" s="14">
        <f>CHOOSE(CONTROL!$C$42, 65.6678, 65.6678) * CHOOSE(CONTROL!$C$21, $C$9, 100%, $E$9)</f>
        <v>65.6678</v>
      </c>
      <c r="R885" s="14">
        <f>CHOOSE(CONTROL!$C$42, 66.419, 66.419) * CHOOSE(CONTROL!$C$21, $C$9, 100%, $E$9)</f>
        <v>66.418999999999997</v>
      </c>
      <c r="S885" s="14">
        <f>CHOOSE(CONTROL!$C$42, 63.5996, 63.5996) * CHOOSE(CONTROL!$C$21, $C$9, 100%, $E$9)</f>
        <v>63.599600000000002</v>
      </c>
      <c r="T88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85" s="57">
        <f>(1000*CHOOSE(CONTROL!$C$42, 695, 695)*CHOOSE(CONTROL!$C$42, 0.5599, 0.5599)*CHOOSE(CONTROL!$C$42, 30, 30))/1000000</f>
        <v>11.673914999999997</v>
      </c>
      <c r="V885" s="57">
        <f>(1000*CHOOSE(CONTROL!$C$42, 500, 500)*CHOOSE(CONTROL!$C$42, 0.275, 0.275)*CHOOSE(CONTROL!$C$42, 30, 30))/1000000</f>
        <v>4.125</v>
      </c>
      <c r="W885" s="57">
        <f>(1000*CHOOSE(CONTROL!$C$42, 0.1146, 0.1146)*CHOOSE(CONTROL!$C$42, 121.5, 121.5)*CHOOSE(CONTROL!$C$42, 30, 30))/1000000</f>
        <v>0.417717</v>
      </c>
      <c r="X885" s="57">
        <f>(30*0.1790888*245000/1000000)+(30*0.2374*100000/1000000)</f>
        <v>2.0285026799999999</v>
      </c>
      <c r="Y885" s="57"/>
      <c r="Z885" s="14"/>
      <c r="AA885" s="56"/>
      <c r="AB885" s="50">
        <f>(B885*194.205+C885*267.466+D885*133.845+E885*53.484+F885*40+G885*185+H885*0+I885*100+J885*300)/(194.205+267.466+133.845+53.484+0+40+185+100+300)</f>
        <v>65.525065732574575</v>
      </c>
      <c r="AC885" s="45">
        <f>(M885*'RAP TEMPLATE-GAS AVAILABILITY'!O884+N885*'RAP TEMPLATE-GAS AVAILABILITY'!P884+O885*'RAP TEMPLATE-GAS AVAILABILITY'!Q884+P885*'RAP TEMPLATE-GAS AVAILABILITY'!R884)/('RAP TEMPLATE-GAS AVAILABILITY'!O884+'RAP TEMPLATE-GAS AVAILABILITY'!P884+'RAP TEMPLATE-GAS AVAILABILITY'!Q884+'RAP TEMPLATE-GAS AVAILABILITY'!R884)</f>
        <v>64.944105755395682</v>
      </c>
    </row>
    <row r="886" spans="1:29" ht="15.75" x14ac:dyDescent="0.25">
      <c r="A886" s="32">
        <v>67876</v>
      </c>
      <c r="B886" s="14">
        <f>CHOOSE(CONTROL!$C$42, 64.1652, 64.1652) * CHOOSE(CONTROL!$C$21, $C$9, 100%, $E$9)</f>
        <v>64.165199999999999</v>
      </c>
      <c r="C886" s="14">
        <f>CHOOSE(CONTROL!$C$42, 64.1704, 64.1704) * CHOOSE(CONTROL!$C$21, $C$9, 100%, $E$9)</f>
        <v>64.170400000000001</v>
      </c>
      <c r="D886" s="14">
        <f>CHOOSE(CONTROL!$C$42, 64.373, 64.373) * CHOOSE(CONTROL!$C$21, $C$9, 100%, $E$9)</f>
        <v>64.373000000000005</v>
      </c>
      <c r="E886" s="14">
        <f>CHOOSE(CONTROL!$C$42, 64.4018, 64.4018) * CHOOSE(CONTROL!$C$21, $C$9, 100%, $E$9)</f>
        <v>64.401799999999994</v>
      </c>
      <c r="F886" s="14">
        <f>CHOOSE(CONTROL!$C$42, 64.1516, 64.1516)*CHOOSE(CONTROL!$C$21, $C$9, 100%, $E$9)</f>
        <v>64.151600000000002</v>
      </c>
      <c r="G886" s="14">
        <f>CHOOSE(CONTROL!$C$42, 64.1676, 64.1676)*CHOOSE(CONTROL!$C$21, $C$9, 100%, $E$9)</f>
        <v>64.167599999999993</v>
      </c>
      <c r="H886" s="14">
        <f>CHOOSE(CONTROL!$C$42, 64.3922, 64.3922) * CHOOSE(CONTROL!$C$21, $C$9, 100%, $E$9)</f>
        <v>64.392200000000003</v>
      </c>
      <c r="I886" s="14">
        <f>CHOOSE(CONTROL!$C$42, 64.1783, 64.1783)* CHOOSE(CONTROL!$C$21, $C$9, 100%, $E$9)</f>
        <v>64.178299999999993</v>
      </c>
      <c r="J886" s="14">
        <f>CHOOSE(CONTROL!$C$42, 64.1446, 64.1446)* CHOOSE(CONTROL!$C$21, $C$9, 100%, $E$9)</f>
        <v>64.144599999999997</v>
      </c>
      <c r="K886" s="53">
        <f>CHOOSE(CONTROL!$C$42, 64.1744, 64.1744) * CHOOSE(CONTROL!$C$21, $C$9, 100%, $E$9)</f>
        <v>64.174400000000006</v>
      </c>
      <c r="L886" s="14">
        <f>CHOOSE(CONTROL!$C$42, 64.9792, 64.9792) * CHOOSE(CONTROL!$C$21, $C$9, 100%, $E$9)</f>
        <v>64.979200000000006</v>
      </c>
      <c r="M886" s="14">
        <f>CHOOSE(CONTROL!$C$42, 63.5111, 63.5111) * CHOOSE(CONTROL!$C$21, $C$9, 100%, $E$9)</f>
        <v>63.511099999999999</v>
      </c>
      <c r="N886" s="14">
        <f>CHOOSE(CONTROL!$C$42, 63.5269, 63.5269) * CHOOSE(CONTROL!$C$21, $C$9, 100%, $E$9)</f>
        <v>63.526899999999998</v>
      </c>
      <c r="O886" s="14">
        <f>CHOOSE(CONTROL!$C$42, 63.7562, 63.7562) * CHOOSE(CONTROL!$C$21, $C$9, 100%, $E$9)</f>
        <v>63.7562</v>
      </c>
      <c r="P886" s="14">
        <f>CHOOSE(CONTROL!$C$42, 63.5445, 63.5445) * CHOOSE(CONTROL!$C$21, $C$9, 100%, $E$9)</f>
        <v>63.544499999999999</v>
      </c>
      <c r="Q886" s="14">
        <f>CHOOSE(CONTROL!$C$42, 64.3515, 64.3515) * CHOOSE(CONTROL!$C$21, $C$9, 100%, $E$9)</f>
        <v>64.351500000000001</v>
      </c>
      <c r="R886" s="14">
        <f>CHOOSE(CONTROL!$C$42, 65.0994, 65.0994) * CHOOSE(CONTROL!$C$21, $C$9, 100%, $E$9)</f>
        <v>65.099400000000003</v>
      </c>
      <c r="S886" s="14">
        <f>CHOOSE(CONTROL!$C$42, 62.3083, 62.3083) * CHOOSE(CONTROL!$C$21, $C$9, 100%, $E$9)</f>
        <v>62.308300000000003</v>
      </c>
      <c r="T88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86" s="57">
        <f>(1000*CHOOSE(CONTROL!$C$42, 695, 695)*CHOOSE(CONTROL!$C$42, 0.5599, 0.5599)*CHOOSE(CONTROL!$C$42, 31, 31))/1000000</f>
        <v>12.063045499999998</v>
      </c>
      <c r="V886" s="57">
        <f>(1000*CHOOSE(CONTROL!$C$42, 500, 500)*CHOOSE(CONTROL!$C$42, 0.275, 0.275)*CHOOSE(CONTROL!$C$42, 31, 31))/1000000</f>
        <v>4.2625000000000002</v>
      </c>
      <c r="W886" s="57">
        <f>(1000*CHOOSE(CONTROL!$C$42, 0.1146, 0.1146)*CHOOSE(CONTROL!$C$42, 121.5, 121.5)*CHOOSE(CONTROL!$C$42, 31, 31))/1000000</f>
        <v>0.43164089999999994</v>
      </c>
      <c r="X886" s="57">
        <f>(31*0.1790888*245000/1000000)+(31*0.2374*100000/1000000)</f>
        <v>2.0961194359999999</v>
      </c>
      <c r="Y886" s="57"/>
      <c r="Z886" s="14"/>
      <c r="AA886" s="56"/>
      <c r="AB886" s="50">
        <f>(B886*131.881+C886*277.167+D886*79.08+E886*125.872+F886*40+G886*185+H886*0+I886*100+J886*300)/(131.881+277.167+79.08+125.872+0+40+185+100+300)</f>
        <v>64.1996514992736</v>
      </c>
      <c r="AC886" s="45">
        <f>(M886*'RAP TEMPLATE-GAS AVAILABILITY'!O885+N886*'RAP TEMPLATE-GAS AVAILABILITY'!P885+O886*'RAP TEMPLATE-GAS AVAILABILITY'!Q885+P886*'RAP TEMPLATE-GAS AVAILABILITY'!R885)/('RAP TEMPLATE-GAS AVAILABILITY'!O885+'RAP TEMPLATE-GAS AVAILABILITY'!P885+'RAP TEMPLATE-GAS AVAILABILITY'!Q885+'RAP TEMPLATE-GAS AVAILABILITY'!R885)</f>
        <v>63.627903597122298</v>
      </c>
    </row>
    <row r="887" spans="1:29" ht="15.75" x14ac:dyDescent="0.25">
      <c r="A887" s="32">
        <v>67906</v>
      </c>
      <c r="B887" s="14">
        <f>CHOOSE(CONTROL!$C$42, 65.8551, 65.8551) * CHOOSE(CONTROL!$C$21, $C$9, 100%, $E$9)</f>
        <v>65.855099999999993</v>
      </c>
      <c r="C887" s="14">
        <f>CHOOSE(CONTROL!$C$42, 65.8601, 65.8601) * CHOOSE(CONTROL!$C$21, $C$9, 100%, $E$9)</f>
        <v>65.860100000000003</v>
      </c>
      <c r="D887" s="14">
        <f>CHOOSE(CONTROL!$C$42, 65.9231, 65.9231) * CHOOSE(CONTROL!$C$21, $C$9, 100%, $E$9)</f>
        <v>65.923100000000005</v>
      </c>
      <c r="E887" s="14">
        <f>CHOOSE(CONTROL!$C$42, 65.9569, 65.9569) * CHOOSE(CONTROL!$C$21, $C$9, 100%, $E$9)</f>
        <v>65.956900000000005</v>
      </c>
      <c r="F887" s="14">
        <f>CHOOSE(CONTROL!$C$42, 65.8558, 65.8558)*CHOOSE(CONTROL!$C$21, $C$9, 100%, $E$9)</f>
        <v>65.855800000000002</v>
      </c>
      <c r="G887" s="14">
        <f>CHOOSE(CONTROL!$C$42, 65.8721, 65.8721)*CHOOSE(CONTROL!$C$21, $C$9, 100%, $E$9)</f>
        <v>65.872100000000003</v>
      </c>
      <c r="H887" s="14">
        <f>CHOOSE(CONTROL!$C$42, 65.9461, 65.9461) * CHOOSE(CONTROL!$C$21, $C$9, 100%, $E$9)</f>
        <v>65.946100000000001</v>
      </c>
      <c r="I887" s="14">
        <f>CHOOSE(CONTROL!$C$42, 65.8686, 65.8686)* CHOOSE(CONTROL!$C$21, $C$9, 100%, $E$9)</f>
        <v>65.868600000000001</v>
      </c>
      <c r="J887" s="14">
        <f>CHOOSE(CONTROL!$C$42, 65.8488, 65.8488)* CHOOSE(CONTROL!$C$21, $C$9, 100%, $E$9)</f>
        <v>65.848799999999997</v>
      </c>
      <c r="K887" s="53">
        <f>CHOOSE(CONTROL!$C$42, 65.8648, 65.8648) * CHOOSE(CONTROL!$C$21, $C$9, 100%, $E$9)</f>
        <v>65.864800000000002</v>
      </c>
      <c r="L887" s="14">
        <f>CHOOSE(CONTROL!$C$42, 66.5331, 66.5331) * CHOOSE(CONTROL!$C$21, $C$9, 100%, $E$9)</f>
        <v>66.533100000000005</v>
      </c>
      <c r="M887" s="14">
        <f>CHOOSE(CONTROL!$C$42, 65.1981, 65.1981) * CHOOSE(CONTROL!$C$21, $C$9, 100%, $E$9)</f>
        <v>65.198099999999997</v>
      </c>
      <c r="N887" s="14">
        <f>CHOOSE(CONTROL!$C$42, 65.2142, 65.2142) * CHOOSE(CONTROL!$C$21, $C$9, 100%, $E$9)</f>
        <v>65.214200000000005</v>
      </c>
      <c r="O887" s="14">
        <f>CHOOSE(CONTROL!$C$42, 65.2944, 65.2944) * CHOOSE(CONTROL!$C$21, $C$9, 100%, $E$9)</f>
        <v>65.294399999999996</v>
      </c>
      <c r="P887" s="14">
        <f>CHOOSE(CONTROL!$C$42, 65.2178, 65.2178) * CHOOSE(CONTROL!$C$21, $C$9, 100%, $E$9)</f>
        <v>65.217799999999997</v>
      </c>
      <c r="Q887" s="14">
        <f>CHOOSE(CONTROL!$C$42, 65.8897, 65.8897) * CHOOSE(CONTROL!$C$21, $C$9, 100%, $E$9)</f>
        <v>65.889700000000005</v>
      </c>
      <c r="R887" s="14">
        <f>CHOOSE(CONTROL!$C$42, 66.6414, 66.6414) * CHOOSE(CONTROL!$C$21, $C$9, 100%, $E$9)</f>
        <v>66.641400000000004</v>
      </c>
      <c r="S887" s="14">
        <f>CHOOSE(CONTROL!$C$42, 63.9498, 63.9498) * CHOOSE(CONTROL!$C$21, $C$9, 100%, $E$9)</f>
        <v>63.949800000000003</v>
      </c>
      <c r="T88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87" s="57">
        <f>(1000*CHOOSE(CONTROL!$C$42, 695, 695)*CHOOSE(CONTROL!$C$42, 0.5599, 0.5599)*CHOOSE(CONTROL!$C$42, 30, 30))/1000000</f>
        <v>11.673914999999997</v>
      </c>
      <c r="V887" s="57">
        <f>(1000*CHOOSE(CONTROL!$C$42, 500, 500)*CHOOSE(CONTROL!$C$42, 0.275, 0.275)*CHOOSE(CONTROL!$C$42, 30, 30))/1000000</f>
        <v>4.125</v>
      </c>
      <c r="W887" s="57">
        <f>(1000*CHOOSE(CONTROL!$C$42, 0.1146, 0.1146)*CHOOSE(CONTROL!$C$42, 121.5, 121.5)*CHOOSE(CONTROL!$C$42, 30, 30))/1000000</f>
        <v>0.417717</v>
      </c>
      <c r="X887" s="57">
        <f>(30*0.1790888*100000/1000000)+(30*0.2374*100000/1000000)</f>
        <v>1.2494664</v>
      </c>
      <c r="Y887" s="57"/>
      <c r="Z887" s="14"/>
      <c r="AA887" s="56"/>
      <c r="AB887" s="50">
        <f>(B887*122.58+C887*297.941+D887*89.177+E887*40.302+F887*40+G887*160+H887*0+I887*100+J887*300)/(122.58+297.941+89.177+40.302+0+40+160+100+300)</f>
        <v>65.867156073565212</v>
      </c>
      <c r="AC887" s="45">
        <f>(M887*'RAP TEMPLATE-GAS AVAILABILITY'!O886+N887*'RAP TEMPLATE-GAS AVAILABILITY'!P886+O887*'RAP TEMPLATE-GAS AVAILABILITY'!Q886+P887*'RAP TEMPLATE-GAS AVAILABILITY'!R886)/('RAP TEMPLATE-GAS AVAILABILITY'!O886+'RAP TEMPLATE-GAS AVAILABILITY'!P886+'RAP TEMPLATE-GAS AVAILABILITY'!Q886+'RAP TEMPLATE-GAS AVAILABILITY'!R886)</f>
        <v>65.245507913669059</v>
      </c>
    </row>
    <row r="888" spans="1:29" ht="15.75" x14ac:dyDescent="0.25">
      <c r="A888" s="32">
        <v>67937</v>
      </c>
      <c r="B888" s="14">
        <f>CHOOSE(CONTROL!$C$42, 70.3449, 70.3449) * CHOOSE(CONTROL!$C$21, $C$9, 100%, $E$9)</f>
        <v>70.344899999999996</v>
      </c>
      <c r="C888" s="14">
        <f>CHOOSE(CONTROL!$C$42, 70.3498, 70.3498) * CHOOSE(CONTROL!$C$21, $C$9, 100%, $E$9)</f>
        <v>70.349800000000002</v>
      </c>
      <c r="D888" s="14">
        <f>CHOOSE(CONTROL!$C$42, 70.4129, 70.4129) * CHOOSE(CONTROL!$C$21, $C$9, 100%, $E$9)</f>
        <v>70.412899999999993</v>
      </c>
      <c r="E888" s="14">
        <f>CHOOSE(CONTROL!$C$42, 70.4467, 70.4467) * CHOOSE(CONTROL!$C$21, $C$9, 100%, $E$9)</f>
        <v>70.446700000000007</v>
      </c>
      <c r="F888" s="14">
        <f>CHOOSE(CONTROL!$C$42, 70.3476, 70.3476)*CHOOSE(CONTROL!$C$21, $C$9, 100%, $E$9)</f>
        <v>70.3476</v>
      </c>
      <c r="G888" s="14">
        <f>CHOOSE(CONTROL!$C$42, 70.3644, 70.3644)*CHOOSE(CONTROL!$C$21, $C$9, 100%, $E$9)</f>
        <v>70.364400000000003</v>
      </c>
      <c r="H888" s="14">
        <f>CHOOSE(CONTROL!$C$42, 70.4359, 70.4359) * CHOOSE(CONTROL!$C$21, $C$9, 100%, $E$9)</f>
        <v>70.435900000000004</v>
      </c>
      <c r="I888" s="14">
        <f>CHOOSE(CONTROL!$C$42, 70.3584, 70.3584)* CHOOSE(CONTROL!$C$21, $C$9, 100%, $E$9)</f>
        <v>70.358400000000003</v>
      </c>
      <c r="J888" s="14">
        <f>CHOOSE(CONTROL!$C$42, 70.3406, 70.3406)* CHOOSE(CONTROL!$C$21, $C$9, 100%, $E$9)</f>
        <v>70.340599999999995</v>
      </c>
      <c r="K888" s="53">
        <f>CHOOSE(CONTROL!$C$42, 70.3545, 70.3545) * CHOOSE(CONTROL!$C$21, $C$9, 100%, $E$9)</f>
        <v>70.354500000000002</v>
      </c>
      <c r="L888" s="14">
        <f>CHOOSE(CONTROL!$C$42, 71.0229, 71.0229) * CHOOSE(CONTROL!$C$21, $C$9, 100%, $E$9)</f>
        <v>71.022900000000007</v>
      </c>
      <c r="M888" s="14">
        <f>CHOOSE(CONTROL!$C$42, 69.6446, 69.6446) * CHOOSE(CONTROL!$C$21, $C$9, 100%, $E$9)</f>
        <v>69.644599999999997</v>
      </c>
      <c r="N888" s="14">
        <f>CHOOSE(CONTROL!$C$42, 69.6612, 69.6612) * CHOOSE(CONTROL!$C$21, $C$9, 100%, $E$9)</f>
        <v>69.661199999999994</v>
      </c>
      <c r="O888" s="14">
        <f>CHOOSE(CONTROL!$C$42, 69.7389, 69.7389) * CHOOSE(CONTROL!$C$21, $C$9, 100%, $E$9)</f>
        <v>69.738900000000001</v>
      </c>
      <c r="P888" s="14">
        <f>CHOOSE(CONTROL!$C$42, 69.6622, 69.6622) * CHOOSE(CONTROL!$C$21, $C$9, 100%, $E$9)</f>
        <v>69.662199999999999</v>
      </c>
      <c r="Q888" s="14">
        <f>CHOOSE(CONTROL!$C$42, 70.3342, 70.3342) * CHOOSE(CONTROL!$C$21, $C$9, 100%, $E$9)</f>
        <v>70.334199999999996</v>
      </c>
      <c r="R888" s="14">
        <f>CHOOSE(CONTROL!$C$42, 71.097, 71.097) * CHOOSE(CONTROL!$C$21, $C$9, 100%, $E$9)</f>
        <v>71.096999999999994</v>
      </c>
      <c r="S888" s="14">
        <f>CHOOSE(CONTROL!$C$42, 68.3098, 68.3098) * CHOOSE(CONTROL!$C$21, $C$9, 100%, $E$9)</f>
        <v>68.309799999999996</v>
      </c>
      <c r="T88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888" s="57">
        <f>(1000*CHOOSE(CONTROL!$C$42, 695, 695)*CHOOSE(CONTROL!$C$42, 0.5599, 0.5599)*CHOOSE(CONTROL!$C$42, 31, 31))/1000000</f>
        <v>12.063045499999998</v>
      </c>
      <c r="V888" s="57">
        <f>(1000*CHOOSE(CONTROL!$C$42, 500, 500)*CHOOSE(CONTROL!$C$42, 0.275, 0.275)*CHOOSE(CONTROL!$C$42, 31, 31))/1000000</f>
        <v>4.2625000000000002</v>
      </c>
      <c r="W888" s="57">
        <f>(1000*CHOOSE(CONTROL!$C$42, 0.1146, 0.1146)*CHOOSE(CONTROL!$C$42, 121.5, 121.5)*CHOOSE(CONTROL!$C$42, 31, 31))/1000000</f>
        <v>0.43164089999999994</v>
      </c>
      <c r="X888" s="57">
        <f>(31*0.1790888*100000/1000000)+(31*0.2374*100000/1000000)</f>
        <v>1.2911152800000001</v>
      </c>
      <c r="Y888" s="57"/>
      <c r="Z888" s="14"/>
      <c r="AA888" s="56"/>
      <c r="AB888" s="50">
        <f>(B888*122.58+C888*297.941+D888*89.177+E888*40.302+F888*40+G888*160+H888*0+I888*100+J888*300)/(122.58+297.941+89.177+40.302+0+40+160+100+300)</f>
        <v>70.357869296086946</v>
      </c>
      <c r="AC888" s="45">
        <f>(M888*'RAP TEMPLATE-GAS AVAILABILITY'!O887+N888*'RAP TEMPLATE-GAS AVAILABILITY'!P887+O888*'RAP TEMPLATE-GAS AVAILABILITY'!Q887+P888*'RAP TEMPLATE-GAS AVAILABILITY'!R887)/('RAP TEMPLATE-GAS AVAILABILITY'!O887+'RAP TEMPLATE-GAS AVAILABILITY'!P887+'RAP TEMPLATE-GAS AVAILABILITY'!Q887+'RAP TEMPLATE-GAS AVAILABILITY'!R887)</f>
        <v>69.690828057553944</v>
      </c>
    </row>
    <row r="889" spans="1:29" ht="15.75" x14ac:dyDescent="0.25">
      <c r="A889" s="32">
        <v>67968</v>
      </c>
      <c r="B889" s="14">
        <f>CHOOSE(CONTROL!$C$42, 76.1085, 76.1085) * CHOOSE(CONTROL!$C$21, $C$9, 100%, $E$9)</f>
        <v>76.108500000000006</v>
      </c>
      <c r="C889" s="14">
        <f>CHOOSE(CONTROL!$C$42, 76.1134, 76.1134) * CHOOSE(CONTROL!$C$21, $C$9, 100%, $E$9)</f>
        <v>76.113399999999999</v>
      </c>
      <c r="D889" s="14">
        <f>CHOOSE(CONTROL!$C$42, 76.1777, 76.1777) * CHOOSE(CONTROL!$C$21, $C$9, 100%, $E$9)</f>
        <v>76.177700000000002</v>
      </c>
      <c r="E889" s="14">
        <f>CHOOSE(CONTROL!$C$42, 76.2115, 76.2115) * CHOOSE(CONTROL!$C$21, $C$9, 100%, $E$9)</f>
        <v>76.211500000000001</v>
      </c>
      <c r="F889" s="14">
        <f>CHOOSE(CONTROL!$C$42, 76.11, 76.11)*CHOOSE(CONTROL!$C$21, $C$9, 100%, $E$9)</f>
        <v>76.11</v>
      </c>
      <c r="G889" s="14">
        <f>CHOOSE(CONTROL!$C$42, 76.1259, 76.1259)*CHOOSE(CONTROL!$C$21, $C$9, 100%, $E$9)</f>
        <v>76.125900000000001</v>
      </c>
      <c r="H889" s="14">
        <f>CHOOSE(CONTROL!$C$42, 76.2007, 76.2007) * CHOOSE(CONTROL!$C$21, $C$9, 100%, $E$9)</f>
        <v>76.200699999999998</v>
      </c>
      <c r="I889" s="14">
        <f>CHOOSE(CONTROL!$C$42, 76.1285, 76.1285)* CHOOSE(CONTROL!$C$21, $C$9, 100%, $E$9)</f>
        <v>76.128500000000003</v>
      </c>
      <c r="J889" s="14">
        <f>CHOOSE(CONTROL!$C$42, 76.103, 76.103)* CHOOSE(CONTROL!$C$21, $C$9, 100%, $E$9)</f>
        <v>76.102999999999994</v>
      </c>
      <c r="K889" s="53">
        <f>CHOOSE(CONTROL!$C$42, 76.1246, 76.1246) * CHOOSE(CONTROL!$C$21, $C$9, 100%, $E$9)</f>
        <v>76.124600000000001</v>
      </c>
      <c r="L889" s="14">
        <f>CHOOSE(CONTROL!$C$42, 76.7877, 76.7877) * CHOOSE(CONTROL!$C$21, $C$9, 100%, $E$9)</f>
        <v>76.787700000000001</v>
      </c>
      <c r="M889" s="14">
        <f>CHOOSE(CONTROL!$C$42, 75.3488, 75.3488) * CHOOSE(CONTROL!$C$21, $C$9, 100%, $E$9)</f>
        <v>75.348799999999997</v>
      </c>
      <c r="N889" s="14">
        <f>CHOOSE(CONTROL!$C$42, 75.3646, 75.3646) * CHOOSE(CONTROL!$C$21, $C$9, 100%, $E$9)</f>
        <v>75.364599999999996</v>
      </c>
      <c r="O889" s="14">
        <f>CHOOSE(CONTROL!$C$42, 75.4455, 75.4455) * CHOOSE(CONTROL!$C$21, $C$9, 100%, $E$9)</f>
        <v>75.445499999999996</v>
      </c>
      <c r="P889" s="14">
        <f>CHOOSE(CONTROL!$C$42, 75.3741, 75.3741) * CHOOSE(CONTROL!$C$21, $C$9, 100%, $E$9)</f>
        <v>75.374099999999999</v>
      </c>
      <c r="Q889" s="14">
        <f>CHOOSE(CONTROL!$C$42, 76.0408, 76.0408) * CHOOSE(CONTROL!$C$21, $C$9, 100%, $E$9)</f>
        <v>76.040800000000004</v>
      </c>
      <c r="R889" s="14">
        <f>CHOOSE(CONTROL!$C$42, 76.8179, 76.8179) * CHOOSE(CONTROL!$C$21, $C$9, 100%, $E$9)</f>
        <v>76.817899999999995</v>
      </c>
      <c r="S889" s="14">
        <f>CHOOSE(CONTROL!$C$42, 73.9068, 73.9068) * CHOOSE(CONTROL!$C$21, $C$9, 100%, $E$9)</f>
        <v>73.906800000000004</v>
      </c>
      <c r="T88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889" s="57">
        <f>(1000*CHOOSE(CONTROL!$C$42, 695, 695)*CHOOSE(CONTROL!$C$42, 0.5599, 0.5599)*CHOOSE(CONTROL!$C$42, 31, 31))/1000000</f>
        <v>12.063045499999998</v>
      </c>
      <c r="V889" s="57">
        <f>(1000*CHOOSE(CONTROL!$C$42, 500, 500)*CHOOSE(CONTROL!$C$42, 0.275, 0.275)*CHOOSE(CONTROL!$C$42, 31, 31))/1000000</f>
        <v>4.2625000000000002</v>
      </c>
      <c r="W889" s="57">
        <f>(1000*CHOOSE(CONTROL!$C$42, 0.1146, 0.1146)*CHOOSE(CONTROL!$C$42, 121.5, 121.5)*CHOOSE(CONTROL!$C$42, 31, 31))/1000000</f>
        <v>0.43164089999999994</v>
      </c>
      <c r="X889" s="57">
        <f>(31*0.1790888*100000/1000000)+(31*0.2374*100000/1000000)</f>
        <v>1.2911152800000001</v>
      </c>
      <c r="Y889" s="57"/>
      <c r="Z889" s="14"/>
      <c r="AA889" s="56"/>
      <c r="AB889" s="50">
        <f>(B889*122.58+C889*297.941+D889*89.177+E889*40.302+F889*40+G889*160+H889*0+I889*100+J889*300)/(122.58+297.941+89.177+40.302+0+40+160+100+300)</f>
        <v>76.121522665478267</v>
      </c>
      <c r="AC889" s="45">
        <f>(M889*'RAP TEMPLATE-GAS AVAILABILITY'!O888+N889*'RAP TEMPLATE-GAS AVAILABILITY'!P888+O889*'RAP TEMPLATE-GAS AVAILABILITY'!Q888+P889*'RAP TEMPLATE-GAS AVAILABILITY'!R888)/('RAP TEMPLATE-GAS AVAILABILITY'!O888+'RAP TEMPLATE-GAS AVAILABILITY'!P888+'RAP TEMPLATE-GAS AVAILABILITY'!Q888+'RAP TEMPLATE-GAS AVAILABILITY'!R888)</f>
        <v>75.397177697841713</v>
      </c>
    </row>
    <row r="890" spans="1:29" ht="15.75" x14ac:dyDescent="0.25">
      <c r="A890" s="32">
        <v>67996</v>
      </c>
      <c r="B890" s="14">
        <f>CHOOSE(CONTROL!$C$42, 77.4633, 77.4633) * CHOOSE(CONTROL!$C$21, $C$9, 100%, $E$9)</f>
        <v>77.463300000000004</v>
      </c>
      <c r="C890" s="14">
        <f>CHOOSE(CONTROL!$C$42, 77.4682, 77.4682) * CHOOSE(CONTROL!$C$21, $C$9, 100%, $E$9)</f>
        <v>77.468199999999996</v>
      </c>
      <c r="D890" s="14">
        <f>CHOOSE(CONTROL!$C$42, 77.5325, 77.5325) * CHOOSE(CONTROL!$C$21, $C$9, 100%, $E$9)</f>
        <v>77.532499999999999</v>
      </c>
      <c r="E890" s="14">
        <f>CHOOSE(CONTROL!$C$42, 77.5663, 77.5663) * CHOOSE(CONTROL!$C$21, $C$9, 100%, $E$9)</f>
        <v>77.566299999999998</v>
      </c>
      <c r="F890" s="14">
        <f>CHOOSE(CONTROL!$C$42, 77.4648, 77.4648)*CHOOSE(CONTROL!$C$21, $C$9, 100%, $E$9)</f>
        <v>77.464799999999997</v>
      </c>
      <c r="G890" s="14">
        <f>CHOOSE(CONTROL!$C$42, 77.4808, 77.4808)*CHOOSE(CONTROL!$C$21, $C$9, 100%, $E$9)</f>
        <v>77.480800000000002</v>
      </c>
      <c r="H890" s="14">
        <f>CHOOSE(CONTROL!$C$42, 77.5555, 77.5555) * CHOOSE(CONTROL!$C$21, $C$9, 100%, $E$9)</f>
        <v>77.555499999999995</v>
      </c>
      <c r="I890" s="14">
        <f>CHOOSE(CONTROL!$C$42, 77.4832, 77.4832)* CHOOSE(CONTROL!$C$21, $C$9, 100%, $E$9)</f>
        <v>77.483199999999997</v>
      </c>
      <c r="J890" s="14">
        <f>CHOOSE(CONTROL!$C$42, 77.4578, 77.4578)* CHOOSE(CONTROL!$C$21, $C$9, 100%, $E$9)</f>
        <v>77.457800000000006</v>
      </c>
      <c r="K890" s="53">
        <f>CHOOSE(CONTROL!$C$42, 77.4794, 77.4794) * CHOOSE(CONTROL!$C$21, $C$9, 100%, $E$9)</f>
        <v>77.479399999999998</v>
      </c>
      <c r="L890" s="14">
        <f>CHOOSE(CONTROL!$C$42, 78.1425, 78.1425) * CHOOSE(CONTROL!$C$21, $C$9, 100%, $E$9)</f>
        <v>78.142499999999998</v>
      </c>
      <c r="M890" s="14">
        <f>CHOOSE(CONTROL!$C$42, 76.69, 76.69) * CHOOSE(CONTROL!$C$21, $C$9, 100%, $E$9)</f>
        <v>76.69</v>
      </c>
      <c r="N890" s="14">
        <f>CHOOSE(CONTROL!$C$42, 76.7057, 76.7057) * CHOOSE(CONTROL!$C$21, $C$9, 100%, $E$9)</f>
        <v>76.705699999999993</v>
      </c>
      <c r="O890" s="14">
        <f>CHOOSE(CONTROL!$C$42, 76.7866, 76.7866) * CHOOSE(CONTROL!$C$21, $C$9, 100%, $E$9)</f>
        <v>76.786600000000007</v>
      </c>
      <c r="P890" s="14">
        <f>CHOOSE(CONTROL!$C$42, 76.7152, 76.7152) * CHOOSE(CONTROL!$C$21, $C$9, 100%, $E$9)</f>
        <v>76.715199999999996</v>
      </c>
      <c r="Q890" s="14">
        <f>CHOOSE(CONTROL!$C$42, 77.3819, 77.3819) * CHOOSE(CONTROL!$C$21, $C$9, 100%, $E$9)</f>
        <v>77.381900000000002</v>
      </c>
      <c r="R890" s="14">
        <f>CHOOSE(CONTROL!$C$42, 78.1624, 78.1624) * CHOOSE(CONTROL!$C$21, $C$9, 100%, $E$9)</f>
        <v>78.162400000000005</v>
      </c>
      <c r="S890" s="14">
        <f>CHOOSE(CONTROL!$C$42, 75.2224, 75.2224) * CHOOSE(CONTROL!$C$21, $C$9, 100%, $E$9)</f>
        <v>75.222399999999993</v>
      </c>
      <c r="T89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890" s="57">
        <f>(1000*CHOOSE(CONTROL!$C$42, 695, 695)*CHOOSE(CONTROL!$C$42, 0.5599, 0.5599)*CHOOSE(CONTROL!$C$42, 28, 28))/1000000</f>
        <v>10.895653999999999</v>
      </c>
      <c r="V890" s="57">
        <f>(1000*CHOOSE(CONTROL!$C$42, 500, 500)*CHOOSE(CONTROL!$C$42, 0.275, 0.275)*CHOOSE(CONTROL!$C$42, 28, 28))/1000000</f>
        <v>3.85</v>
      </c>
      <c r="W890" s="57">
        <f>(1000*CHOOSE(CONTROL!$C$42, 0.1146, 0.1146)*CHOOSE(CONTROL!$C$42, 121.5, 121.5)*CHOOSE(CONTROL!$C$42, 28, 28))/1000000</f>
        <v>0.38986920000000003</v>
      </c>
      <c r="X890" s="57">
        <f>(28*0.1790888*100000/1000000)+(28*0.2374*100000/1000000)</f>
        <v>1.16616864</v>
      </c>
      <c r="Y890" s="57"/>
      <c r="Z890" s="14"/>
      <c r="AA890" s="56"/>
      <c r="AB890" s="50">
        <f>(B890*122.58+C890*297.941+D890*89.177+E890*40.302+F890*40+G890*160+H890*0+I890*100+J890*300)/(122.58+297.941+89.177+40.302+0+40+160+100+300)</f>
        <v>77.476327882869569</v>
      </c>
      <c r="AC890" s="45">
        <f>(M890*'RAP TEMPLATE-GAS AVAILABILITY'!O889+N890*'RAP TEMPLATE-GAS AVAILABILITY'!P889+O890*'RAP TEMPLATE-GAS AVAILABILITY'!Q889+P890*'RAP TEMPLATE-GAS AVAILABILITY'!R889)/('RAP TEMPLATE-GAS AVAILABILITY'!O889+'RAP TEMPLATE-GAS AVAILABILITY'!P889+'RAP TEMPLATE-GAS AVAILABILITY'!Q889+'RAP TEMPLATE-GAS AVAILABILITY'!R889)</f>
        <v>76.738312230215826</v>
      </c>
    </row>
    <row r="891" spans="1:29" ht="15.75" x14ac:dyDescent="0.25">
      <c r="A891" s="32">
        <v>68027</v>
      </c>
      <c r="B891" s="14">
        <f>CHOOSE(CONTROL!$C$42, 75.2641, 75.2641) * CHOOSE(CONTROL!$C$21, $C$9, 100%, $E$9)</f>
        <v>75.264099999999999</v>
      </c>
      <c r="C891" s="14">
        <f>CHOOSE(CONTROL!$C$42, 75.2691, 75.2691) * CHOOSE(CONTROL!$C$21, $C$9, 100%, $E$9)</f>
        <v>75.269099999999995</v>
      </c>
      <c r="D891" s="14">
        <f>CHOOSE(CONTROL!$C$42, 75.3333, 75.3333) * CHOOSE(CONTROL!$C$21, $C$9, 100%, $E$9)</f>
        <v>75.333299999999994</v>
      </c>
      <c r="E891" s="14">
        <f>CHOOSE(CONTROL!$C$42, 75.3671, 75.3671) * CHOOSE(CONTROL!$C$21, $C$9, 100%, $E$9)</f>
        <v>75.367099999999994</v>
      </c>
      <c r="F891" s="14">
        <f>CHOOSE(CONTROL!$C$42, 75.2654, 75.2654)*CHOOSE(CONTROL!$C$21, $C$9, 100%, $E$9)</f>
        <v>75.2654</v>
      </c>
      <c r="G891" s="14">
        <f>CHOOSE(CONTROL!$C$42, 75.2812, 75.2812)*CHOOSE(CONTROL!$C$21, $C$9, 100%, $E$9)</f>
        <v>75.281199999999998</v>
      </c>
      <c r="H891" s="14">
        <f>CHOOSE(CONTROL!$C$42, 75.3563, 75.3563) * CHOOSE(CONTROL!$C$21, $C$9, 100%, $E$9)</f>
        <v>75.356300000000005</v>
      </c>
      <c r="I891" s="14">
        <f>CHOOSE(CONTROL!$C$42, 75.2841, 75.2841)* CHOOSE(CONTROL!$C$21, $C$9, 100%, $E$9)</f>
        <v>75.284099999999995</v>
      </c>
      <c r="J891" s="14">
        <f>CHOOSE(CONTROL!$C$42, 75.2584, 75.2584)* CHOOSE(CONTROL!$C$21, $C$9, 100%, $E$9)</f>
        <v>75.258399999999995</v>
      </c>
      <c r="K891" s="53">
        <f>CHOOSE(CONTROL!$C$42, 75.2802, 75.2802) * CHOOSE(CONTROL!$C$21, $C$9, 100%, $E$9)</f>
        <v>75.280199999999994</v>
      </c>
      <c r="L891" s="14">
        <f>CHOOSE(CONTROL!$C$42, 75.9433, 75.9433) * CHOOSE(CONTROL!$C$21, $C$9, 100%, $E$9)</f>
        <v>75.943299999999994</v>
      </c>
      <c r="M891" s="14">
        <f>CHOOSE(CONTROL!$C$42, 74.5127, 74.5127) * CHOOSE(CONTROL!$C$21, $C$9, 100%, $E$9)</f>
        <v>74.512699999999995</v>
      </c>
      <c r="N891" s="14">
        <f>CHOOSE(CONTROL!$C$42, 74.5284, 74.5284) * CHOOSE(CONTROL!$C$21, $C$9, 100%, $E$9)</f>
        <v>74.528400000000005</v>
      </c>
      <c r="O891" s="14">
        <f>CHOOSE(CONTROL!$C$42, 74.6097, 74.6097) * CHOOSE(CONTROL!$C$21, $C$9, 100%, $E$9)</f>
        <v>74.609700000000004</v>
      </c>
      <c r="P891" s="14">
        <f>CHOOSE(CONTROL!$C$42, 74.5382, 74.5382) * CHOOSE(CONTROL!$C$21, $C$9, 100%, $E$9)</f>
        <v>74.538200000000003</v>
      </c>
      <c r="Q891" s="14">
        <f>CHOOSE(CONTROL!$C$42, 75.205, 75.205) * CHOOSE(CONTROL!$C$21, $C$9, 100%, $E$9)</f>
        <v>75.204999999999998</v>
      </c>
      <c r="R891" s="14">
        <f>CHOOSE(CONTROL!$C$42, 75.98, 75.98) * CHOOSE(CONTROL!$C$21, $C$9, 100%, $E$9)</f>
        <v>75.98</v>
      </c>
      <c r="S891" s="14">
        <f>CHOOSE(CONTROL!$C$42, 73.0868, 73.0868) * CHOOSE(CONTROL!$C$21, $C$9, 100%, $E$9)</f>
        <v>73.086799999999997</v>
      </c>
      <c r="T89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891" s="57">
        <f>(1000*CHOOSE(CONTROL!$C$42, 695, 695)*CHOOSE(CONTROL!$C$42, 0.5599, 0.5599)*CHOOSE(CONTROL!$C$42, 31, 31))/1000000</f>
        <v>12.063045499999998</v>
      </c>
      <c r="V891" s="57">
        <f>(1000*CHOOSE(CONTROL!$C$42, 500, 500)*CHOOSE(CONTROL!$C$42, 0.275, 0.275)*CHOOSE(CONTROL!$C$42, 31, 31))/1000000</f>
        <v>4.2625000000000002</v>
      </c>
      <c r="W891" s="57">
        <f>(1000*CHOOSE(CONTROL!$C$42, 0.1146, 0.1146)*CHOOSE(CONTROL!$C$42, 121.5, 121.5)*CHOOSE(CONTROL!$C$42, 31, 31))/1000000</f>
        <v>0.43164089999999994</v>
      </c>
      <c r="X891" s="57">
        <f>(31*0.1790888*100000/1000000)+(31*0.2374*100000/1000000)</f>
        <v>1.2911152800000001</v>
      </c>
      <c r="Y891" s="57"/>
      <c r="Z891" s="14"/>
      <c r="AA891" s="56"/>
      <c r="AB891" s="50">
        <f>(B891*122.58+C891*297.941+D891*89.177+E891*40.302+F891*40+G891*160+H891*0+I891*100+J891*300)/(122.58+297.941+89.177+40.302+0+40+160+100+300)</f>
        <v>75.277047703826071</v>
      </c>
      <c r="AC891" s="45">
        <f>(M891*'RAP TEMPLATE-GAS AVAILABILITY'!O890+N891*'RAP TEMPLATE-GAS AVAILABILITY'!P890+O891*'RAP TEMPLATE-GAS AVAILABILITY'!Q890+P891*'RAP TEMPLATE-GAS AVAILABILITY'!R890)/('RAP TEMPLATE-GAS AVAILABILITY'!O890+'RAP TEMPLATE-GAS AVAILABILITY'!P890+'RAP TEMPLATE-GAS AVAILABILITY'!Q890+'RAP TEMPLATE-GAS AVAILABILITY'!R890)</f>
        <v>74.56123669064749</v>
      </c>
    </row>
    <row r="892" spans="1:29" ht="15.75" x14ac:dyDescent="0.25">
      <c r="A892" s="32">
        <v>68057</v>
      </c>
      <c r="B892" s="14">
        <f>CHOOSE(CONTROL!$C$42, 75.0399, 75.0399) * CHOOSE(CONTROL!$C$21, $C$9, 100%, $E$9)</f>
        <v>75.039900000000003</v>
      </c>
      <c r="C892" s="14">
        <f>CHOOSE(CONTROL!$C$42, 75.0443, 75.0443) * CHOOSE(CONTROL!$C$21, $C$9, 100%, $E$9)</f>
        <v>75.044300000000007</v>
      </c>
      <c r="D892" s="14">
        <f>CHOOSE(CONTROL!$C$42, 75.245, 75.245) * CHOOSE(CONTROL!$C$21, $C$9, 100%, $E$9)</f>
        <v>75.245000000000005</v>
      </c>
      <c r="E892" s="14">
        <f>CHOOSE(CONTROL!$C$42, 75.2768, 75.2768) * CHOOSE(CONTROL!$C$21, $C$9, 100%, $E$9)</f>
        <v>75.276799999999994</v>
      </c>
      <c r="F892" s="14">
        <f>CHOOSE(CONTROL!$C$42, 75.0245, 75.0245)*CHOOSE(CONTROL!$C$21, $C$9, 100%, $E$9)</f>
        <v>75.024500000000003</v>
      </c>
      <c r="G892" s="14">
        <f>CHOOSE(CONTROL!$C$42, 75.0401, 75.0401)*CHOOSE(CONTROL!$C$21, $C$9, 100%, $E$9)</f>
        <v>75.040099999999995</v>
      </c>
      <c r="H892" s="14">
        <f>CHOOSE(CONTROL!$C$42, 75.2666, 75.2666) * CHOOSE(CONTROL!$C$21, $C$9, 100%, $E$9)</f>
        <v>75.266599999999997</v>
      </c>
      <c r="I892" s="14">
        <f>CHOOSE(CONTROL!$C$42, 75.0527, 75.0527)* CHOOSE(CONTROL!$C$21, $C$9, 100%, $E$9)</f>
        <v>75.052700000000002</v>
      </c>
      <c r="J892" s="14">
        <f>CHOOSE(CONTROL!$C$42, 75.0175, 75.0175)* CHOOSE(CONTROL!$C$21, $C$9, 100%, $E$9)</f>
        <v>75.017499999999998</v>
      </c>
      <c r="K892" s="53">
        <f>CHOOSE(CONTROL!$C$42, 75.0488, 75.0488) * CHOOSE(CONTROL!$C$21, $C$9, 100%, $E$9)</f>
        <v>75.0488</v>
      </c>
      <c r="L892" s="14">
        <f>CHOOSE(CONTROL!$C$42, 75.8536, 75.8536) * CHOOSE(CONTROL!$C$21, $C$9, 100%, $E$9)</f>
        <v>75.8536</v>
      </c>
      <c r="M892" s="14">
        <f>CHOOSE(CONTROL!$C$42, 74.2743, 74.2743) * CHOOSE(CONTROL!$C$21, $C$9, 100%, $E$9)</f>
        <v>74.274299999999997</v>
      </c>
      <c r="N892" s="14">
        <f>CHOOSE(CONTROL!$C$42, 74.2898, 74.2898) * CHOOSE(CONTROL!$C$21, $C$9, 100%, $E$9)</f>
        <v>74.2898</v>
      </c>
      <c r="O892" s="14">
        <f>CHOOSE(CONTROL!$C$42, 74.5209, 74.5209) * CHOOSE(CONTROL!$C$21, $C$9, 100%, $E$9)</f>
        <v>74.520899999999997</v>
      </c>
      <c r="P892" s="14">
        <f>CHOOSE(CONTROL!$C$42, 74.3091, 74.3091) * CHOOSE(CONTROL!$C$21, $C$9, 100%, $E$9)</f>
        <v>74.309100000000001</v>
      </c>
      <c r="Q892" s="14">
        <f>CHOOSE(CONTROL!$C$42, 75.1162, 75.1162) * CHOOSE(CONTROL!$C$21, $C$9, 100%, $E$9)</f>
        <v>75.116200000000006</v>
      </c>
      <c r="R892" s="14">
        <f>CHOOSE(CONTROL!$C$42, 75.8909, 75.8909) * CHOOSE(CONTROL!$C$21, $C$9, 100%, $E$9)</f>
        <v>75.890900000000002</v>
      </c>
      <c r="S892" s="14">
        <f>CHOOSE(CONTROL!$C$42, 72.8684, 72.8684) * CHOOSE(CONTROL!$C$21, $C$9, 100%, $E$9)</f>
        <v>72.868399999999994</v>
      </c>
      <c r="T89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892" s="57">
        <f>(1000*CHOOSE(CONTROL!$C$42, 695, 695)*CHOOSE(CONTROL!$C$42, 0.5599, 0.5599)*CHOOSE(CONTROL!$C$42, 30, 30))/1000000</f>
        <v>11.673914999999997</v>
      </c>
      <c r="V892" s="57">
        <f>(1000*CHOOSE(CONTROL!$C$42, 500, 500)*CHOOSE(CONTROL!$C$42, 0.275, 0.275)*CHOOSE(CONTROL!$C$42, 30, 30))/1000000</f>
        <v>4.125</v>
      </c>
      <c r="W892" s="57">
        <f>(1000*CHOOSE(CONTROL!$C$42, 0.1146, 0.1146)*CHOOSE(CONTROL!$C$42, 121.5, 121.5)*CHOOSE(CONTROL!$C$42, 30, 30))/1000000</f>
        <v>0.417717</v>
      </c>
      <c r="X892" s="57">
        <f>(30*0.1790888*245000/1000000)+(30*0.2374*100000/1000000)</f>
        <v>2.0285026799999999</v>
      </c>
      <c r="Y892" s="57"/>
      <c r="Z892" s="14"/>
      <c r="AA892" s="56"/>
      <c r="AB892" s="50">
        <f>(B892*141.293+C892*267.993+D892*115.016+E892*89.698+F892*40+G892*185+H892*0+I892*100+J892*300)/(141.293+267.993+115.016+89.698+0+40+185+100+300)</f>
        <v>75.072183621468938</v>
      </c>
      <c r="AC892" s="45">
        <f>(M892*'RAP TEMPLATE-GAS AVAILABILITY'!O891+N892*'RAP TEMPLATE-GAS AVAILABILITY'!P891+O892*'RAP TEMPLATE-GAS AVAILABILITY'!Q891+P892*'RAP TEMPLATE-GAS AVAILABILITY'!R891)/('RAP TEMPLATE-GAS AVAILABILITY'!O891+'RAP TEMPLATE-GAS AVAILABILITY'!P891+'RAP TEMPLATE-GAS AVAILABILITY'!Q891+'RAP TEMPLATE-GAS AVAILABILITY'!R891)</f>
        <v>74.391967625899269</v>
      </c>
    </row>
    <row r="893" spans="1:29" ht="15.75" x14ac:dyDescent="0.25">
      <c r="A893" s="32">
        <v>68088</v>
      </c>
      <c r="B893" s="14">
        <f>CHOOSE(CONTROL!$C$42, 75.7036, 75.7036) * CHOOSE(CONTROL!$C$21, $C$9, 100%, $E$9)</f>
        <v>75.703599999999994</v>
      </c>
      <c r="C893" s="14">
        <f>CHOOSE(CONTROL!$C$42, 75.7115, 75.7115) * CHOOSE(CONTROL!$C$21, $C$9, 100%, $E$9)</f>
        <v>75.711500000000001</v>
      </c>
      <c r="D893" s="14">
        <f>CHOOSE(CONTROL!$C$42, 75.9091, 75.9091) * CHOOSE(CONTROL!$C$21, $C$9, 100%, $E$9)</f>
        <v>75.909099999999995</v>
      </c>
      <c r="E893" s="14">
        <f>CHOOSE(CONTROL!$C$42, 75.9402, 75.9402) * CHOOSE(CONTROL!$C$21, $C$9, 100%, $E$9)</f>
        <v>75.940200000000004</v>
      </c>
      <c r="F893" s="14">
        <f>CHOOSE(CONTROL!$C$42, 75.687, 75.687)*CHOOSE(CONTROL!$C$21, $C$9, 100%, $E$9)</f>
        <v>75.686999999999998</v>
      </c>
      <c r="G893" s="14">
        <f>CHOOSE(CONTROL!$C$42, 75.7031, 75.7031)*CHOOSE(CONTROL!$C$21, $C$9, 100%, $E$9)</f>
        <v>75.703100000000006</v>
      </c>
      <c r="H893" s="14">
        <f>CHOOSE(CONTROL!$C$42, 75.9289, 75.9289) * CHOOSE(CONTROL!$C$21, $C$9, 100%, $E$9)</f>
        <v>75.928899999999999</v>
      </c>
      <c r="I893" s="14">
        <f>CHOOSE(CONTROL!$C$42, 75.715, 75.715)* CHOOSE(CONTROL!$C$21, $C$9, 100%, $E$9)</f>
        <v>75.715000000000003</v>
      </c>
      <c r="J893" s="14">
        <f>CHOOSE(CONTROL!$C$42, 75.68, 75.68)* CHOOSE(CONTROL!$C$21, $C$9, 100%, $E$9)</f>
        <v>75.680000000000007</v>
      </c>
      <c r="K893" s="53">
        <f>CHOOSE(CONTROL!$C$42, 75.7111, 75.7111) * CHOOSE(CONTROL!$C$21, $C$9, 100%, $E$9)</f>
        <v>75.711100000000002</v>
      </c>
      <c r="L893" s="14">
        <f>CHOOSE(CONTROL!$C$42, 76.5159, 76.5159) * CHOOSE(CONTROL!$C$21, $C$9, 100%, $E$9)</f>
        <v>76.515900000000002</v>
      </c>
      <c r="M893" s="14">
        <f>CHOOSE(CONTROL!$C$42, 74.9301, 74.9301) * CHOOSE(CONTROL!$C$21, $C$9, 100%, $E$9)</f>
        <v>74.930099999999996</v>
      </c>
      <c r="N893" s="14">
        <f>CHOOSE(CONTROL!$C$42, 74.946, 74.946) * CHOOSE(CONTROL!$C$21, $C$9, 100%, $E$9)</f>
        <v>74.945999999999998</v>
      </c>
      <c r="O893" s="14">
        <f>CHOOSE(CONTROL!$C$42, 75.1765, 75.1765) * CHOOSE(CONTROL!$C$21, $C$9, 100%, $E$9)</f>
        <v>75.176500000000004</v>
      </c>
      <c r="P893" s="14">
        <f>CHOOSE(CONTROL!$C$42, 74.9647, 74.9647) * CHOOSE(CONTROL!$C$21, $C$9, 100%, $E$9)</f>
        <v>74.964699999999993</v>
      </c>
      <c r="Q893" s="14">
        <f>CHOOSE(CONTROL!$C$42, 75.7718, 75.7718) * CHOOSE(CONTROL!$C$21, $C$9, 100%, $E$9)</f>
        <v>75.771799999999999</v>
      </c>
      <c r="R893" s="14">
        <f>CHOOSE(CONTROL!$C$42, 76.5482, 76.5482) * CHOOSE(CONTROL!$C$21, $C$9, 100%, $E$9)</f>
        <v>76.548199999999994</v>
      </c>
      <c r="S893" s="14">
        <f>CHOOSE(CONTROL!$C$42, 73.5115, 73.5115) * CHOOSE(CONTROL!$C$21, $C$9, 100%, $E$9)</f>
        <v>73.511499999999998</v>
      </c>
      <c r="T89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893" s="57">
        <f>(1000*CHOOSE(CONTROL!$C$42, 695, 695)*CHOOSE(CONTROL!$C$42, 0.5599, 0.5599)*CHOOSE(CONTROL!$C$42, 31, 31))/1000000</f>
        <v>12.063045499999998</v>
      </c>
      <c r="V893" s="57">
        <f>(1000*CHOOSE(CONTROL!$C$42, 500, 500)*CHOOSE(CONTROL!$C$42, 0.275, 0.275)*CHOOSE(CONTROL!$C$42, 31, 31))/1000000</f>
        <v>4.2625000000000002</v>
      </c>
      <c r="W893" s="57">
        <f>(1000*CHOOSE(CONTROL!$C$42, 0.1146, 0.1146)*CHOOSE(CONTROL!$C$42, 121.5, 121.5)*CHOOSE(CONTROL!$C$42, 31, 31))/1000000</f>
        <v>0.43164089999999994</v>
      </c>
      <c r="X893" s="57">
        <f>(31*0.1790888*245000/1000000)+(31*0.2374*100000/1000000)</f>
        <v>2.0961194359999999</v>
      </c>
      <c r="Y893" s="57"/>
      <c r="Z893" s="14"/>
      <c r="AA893" s="56"/>
      <c r="AB893" s="50">
        <f>(B893*194.205+C893*267.466+D893*133.845+E893*53.484+F893*40+G893*185+H893*0+I893*100+J893*300)/(194.205+267.466+133.845+53.484+0+40+185+100+300)</f>
        <v>75.731524602276309</v>
      </c>
      <c r="AC893" s="45">
        <f>(M893*'RAP TEMPLATE-GAS AVAILABILITY'!O892+N893*'RAP TEMPLATE-GAS AVAILABILITY'!P892+O893*'RAP TEMPLATE-GAS AVAILABILITY'!Q892+P893*'RAP TEMPLATE-GAS AVAILABILITY'!R892)/('RAP TEMPLATE-GAS AVAILABILITY'!O892+'RAP TEMPLATE-GAS AVAILABILITY'!P892+'RAP TEMPLATE-GAS AVAILABILITY'!Q892+'RAP TEMPLATE-GAS AVAILABILITY'!R892)</f>
        <v>75.047671223021581</v>
      </c>
    </row>
    <row r="894" spans="1:29" ht="15.75" x14ac:dyDescent="0.25">
      <c r="A894" s="32">
        <v>68118</v>
      </c>
      <c r="B894" s="14">
        <f>CHOOSE(CONTROL!$C$42, 77.8509, 77.8509) * CHOOSE(CONTROL!$C$21, $C$9, 100%, $E$9)</f>
        <v>77.850899999999996</v>
      </c>
      <c r="C894" s="14">
        <f>CHOOSE(CONTROL!$C$42, 77.8588, 77.8588) * CHOOSE(CONTROL!$C$21, $C$9, 100%, $E$9)</f>
        <v>77.858800000000002</v>
      </c>
      <c r="D894" s="14">
        <f>CHOOSE(CONTROL!$C$42, 78.0564, 78.0564) * CHOOSE(CONTROL!$C$21, $C$9, 100%, $E$9)</f>
        <v>78.056399999999996</v>
      </c>
      <c r="E894" s="14">
        <f>CHOOSE(CONTROL!$C$42, 78.0875, 78.0875) * CHOOSE(CONTROL!$C$21, $C$9, 100%, $E$9)</f>
        <v>78.087500000000006</v>
      </c>
      <c r="F894" s="14">
        <f>CHOOSE(CONTROL!$C$42, 77.8347, 77.8347)*CHOOSE(CONTROL!$C$21, $C$9, 100%, $E$9)</f>
        <v>77.834699999999998</v>
      </c>
      <c r="G894" s="14">
        <f>CHOOSE(CONTROL!$C$42, 77.8509, 77.8509)*CHOOSE(CONTROL!$C$21, $C$9, 100%, $E$9)</f>
        <v>77.850899999999996</v>
      </c>
      <c r="H894" s="14">
        <f>CHOOSE(CONTROL!$C$42, 78.0762, 78.0762) * CHOOSE(CONTROL!$C$21, $C$9, 100%, $E$9)</f>
        <v>78.0762</v>
      </c>
      <c r="I894" s="14">
        <f>CHOOSE(CONTROL!$C$42, 77.8623, 77.8623)* CHOOSE(CONTROL!$C$21, $C$9, 100%, $E$9)</f>
        <v>77.862300000000005</v>
      </c>
      <c r="J894" s="14">
        <f>CHOOSE(CONTROL!$C$42, 77.8277, 77.8277)* CHOOSE(CONTROL!$C$21, $C$9, 100%, $E$9)</f>
        <v>77.827699999999993</v>
      </c>
      <c r="K894" s="53">
        <f>CHOOSE(CONTROL!$C$42, 77.8584, 77.8584) * CHOOSE(CONTROL!$C$21, $C$9, 100%, $E$9)</f>
        <v>77.858400000000003</v>
      </c>
      <c r="L894" s="14">
        <f>CHOOSE(CONTROL!$C$42, 78.6632, 78.6632) * CHOOSE(CONTROL!$C$21, $C$9, 100%, $E$9)</f>
        <v>78.663200000000003</v>
      </c>
      <c r="M894" s="14">
        <f>CHOOSE(CONTROL!$C$42, 77.0561, 77.0561) * CHOOSE(CONTROL!$C$21, $C$9, 100%, $E$9)</f>
        <v>77.056100000000001</v>
      </c>
      <c r="N894" s="14">
        <f>CHOOSE(CONTROL!$C$42, 77.0722, 77.0722) * CHOOSE(CONTROL!$C$21, $C$9, 100%, $E$9)</f>
        <v>77.072199999999995</v>
      </c>
      <c r="O894" s="14">
        <f>CHOOSE(CONTROL!$C$42, 77.3021, 77.3021) * CHOOSE(CONTROL!$C$21, $C$9, 100%, $E$9)</f>
        <v>77.302099999999996</v>
      </c>
      <c r="P894" s="14">
        <f>CHOOSE(CONTROL!$C$42, 77.0904, 77.0904) * CHOOSE(CONTROL!$C$21, $C$9, 100%, $E$9)</f>
        <v>77.090400000000002</v>
      </c>
      <c r="Q894" s="14">
        <f>CHOOSE(CONTROL!$C$42, 77.8974, 77.8974) * CHOOSE(CONTROL!$C$21, $C$9, 100%, $E$9)</f>
        <v>77.897400000000005</v>
      </c>
      <c r="R894" s="14">
        <f>CHOOSE(CONTROL!$C$42, 78.6791, 78.6791) * CHOOSE(CONTROL!$C$21, $C$9, 100%, $E$9)</f>
        <v>78.679100000000005</v>
      </c>
      <c r="S894" s="14">
        <f>CHOOSE(CONTROL!$C$42, 75.5968, 75.5968) * CHOOSE(CONTROL!$C$21, $C$9, 100%, $E$9)</f>
        <v>75.596800000000002</v>
      </c>
      <c r="T89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894" s="57">
        <f>(1000*CHOOSE(CONTROL!$C$42, 695, 695)*CHOOSE(CONTROL!$C$42, 0.5599, 0.5599)*CHOOSE(CONTROL!$C$42, 30, 30))/1000000</f>
        <v>11.673914999999997</v>
      </c>
      <c r="V894" s="57">
        <f>(1000*CHOOSE(CONTROL!$C$42, 500, 500)*CHOOSE(CONTROL!$C$42, 0.275, 0.275)*CHOOSE(CONTROL!$C$42, 30, 30))/1000000</f>
        <v>4.125</v>
      </c>
      <c r="W894" s="57">
        <f>(1000*CHOOSE(CONTROL!$C$42, 0.1146, 0.1146)*CHOOSE(CONTROL!$C$42, 121.5, 121.5)*CHOOSE(CONTROL!$C$42, 30, 30))/1000000</f>
        <v>0.417717</v>
      </c>
      <c r="X894" s="57">
        <f>(30*0.1790888*245000/1000000)+(30*0.2374*100000/1000000)</f>
        <v>2.0285026799999999</v>
      </c>
      <c r="Y894" s="57"/>
      <c r="Z894" s="14"/>
      <c r="AA894" s="56"/>
      <c r="AB894" s="50">
        <f>(B894*194.205+C894*267.466+D894*133.845+E894*53.484+F894*40+G894*185+H894*0+I894*100+J894*300)/(194.205+267.466+133.845+53.484+0+40+185+100+300)</f>
        <v>77.879003958634215</v>
      </c>
      <c r="AC894" s="45">
        <f>(M894*'RAP TEMPLATE-GAS AVAILABILITY'!O893+N894*'RAP TEMPLATE-GAS AVAILABILITY'!P893+O894*'RAP TEMPLATE-GAS AVAILABILITY'!Q893+P894*'RAP TEMPLATE-GAS AVAILABILITY'!R893)/('RAP TEMPLATE-GAS AVAILABILITY'!O893+'RAP TEMPLATE-GAS AVAILABILITY'!P893+'RAP TEMPLATE-GAS AVAILABILITY'!Q893+'RAP TEMPLATE-GAS AVAILABILITY'!R893)</f>
        <v>77.1734582733813</v>
      </c>
    </row>
    <row r="895" spans="1:29" ht="15.75" x14ac:dyDescent="0.25">
      <c r="A895" s="32">
        <v>68149</v>
      </c>
      <c r="B895" s="14">
        <f>CHOOSE(CONTROL!$C$42, 76.3574, 76.3574) * CHOOSE(CONTROL!$C$21, $C$9, 100%, $E$9)</f>
        <v>76.357399999999998</v>
      </c>
      <c r="C895" s="14">
        <f>CHOOSE(CONTROL!$C$42, 76.3654, 76.3654) * CHOOSE(CONTROL!$C$21, $C$9, 100%, $E$9)</f>
        <v>76.365399999999994</v>
      </c>
      <c r="D895" s="14">
        <f>CHOOSE(CONTROL!$C$42, 76.5629, 76.5629) * CHOOSE(CONTROL!$C$21, $C$9, 100%, $E$9)</f>
        <v>76.562899999999999</v>
      </c>
      <c r="E895" s="14">
        <f>CHOOSE(CONTROL!$C$42, 76.5941, 76.5941) * CHOOSE(CONTROL!$C$21, $C$9, 100%, $E$9)</f>
        <v>76.594099999999997</v>
      </c>
      <c r="F895" s="14">
        <f>CHOOSE(CONTROL!$C$42, 76.3417, 76.3417)*CHOOSE(CONTROL!$C$21, $C$9, 100%, $E$9)</f>
        <v>76.341700000000003</v>
      </c>
      <c r="G895" s="14">
        <f>CHOOSE(CONTROL!$C$42, 76.358, 76.358)*CHOOSE(CONTROL!$C$21, $C$9, 100%, $E$9)</f>
        <v>76.358000000000004</v>
      </c>
      <c r="H895" s="14">
        <f>CHOOSE(CONTROL!$C$42, 76.5827, 76.5827) * CHOOSE(CONTROL!$C$21, $C$9, 100%, $E$9)</f>
        <v>76.582700000000003</v>
      </c>
      <c r="I895" s="14">
        <f>CHOOSE(CONTROL!$C$42, 76.3688, 76.3688)* CHOOSE(CONTROL!$C$21, $C$9, 100%, $E$9)</f>
        <v>76.368799999999993</v>
      </c>
      <c r="J895" s="14">
        <f>CHOOSE(CONTROL!$C$42, 76.3347, 76.3347)* CHOOSE(CONTROL!$C$21, $C$9, 100%, $E$9)</f>
        <v>76.334699999999998</v>
      </c>
      <c r="K895" s="53">
        <f>CHOOSE(CONTROL!$C$42, 76.3649, 76.3649) * CHOOSE(CONTROL!$C$21, $C$9, 100%, $E$9)</f>
        <v>76.364900000000006</v>
      </c>
      <c r="L895" s="14">
        <f>CHOOSE(CONTROL!$C$42, 77.1697, 77.1697) * CHOOSE(CONTROL!$C$21, $C$9, 100%, $E$9)</f>
        <v>77.169700000000006</v>
      </c>
      <c r="M895" s="14">
        <f>CHOOSE(CONTROL!$C$42, 75.5782, 75.5782) * CHOOSE(CONTROL!$C$21, $C$9, 100%, $E$9)</f>
        <v>75.578199999999995</v>
      </c>
      <c r="N895" s="14">
        <f>CHOOSE(CONTROL!$C$42, 75.5943, 75.5943) * CHOOSE(CONTROL!$C$21, $C$9, 100%, $E$9)</f>
        <v>75.594300000000004</v>
      </c>
      <c r="O895" s="14">
        <f>CHOOSE(CONTROL!$C$42, 75.8237, 75.8237) * CHOOSE(CONTROL!$C$21, $C$9, 100%, $E$9)</f>
        <v>75.823700000000002</v>
      </c>
      <c r="P895" s="14">
        <f>CHOOSE(CONTROL!$C$42, 75.612, 75.612) * CHOOSE(CONTROL!$C$21, $C$9, 100%, $E$9)</f>
        <v>75.611999999999995</v>
      </c>
      <c r="Q895" s="14">
        <f>CHOOSE(CONTROL!$C$42, 76.419, 76.419) * CHOOSE(CONTROL!$C$21, $C$9, 100%, $E$9)</f>
        <v>76.418999999999997</v>
      </c>
      <c r="R895" s="14">
        <f>CHOOSE(CONTROL!$C$42, 77.197, 77.197) * CHOOSE(CONTROL!$C$21, $C$9, 100%, $E$9)</f>
        <v>77.197000000000003</v>
      </c>
      <c r="S895" s="14">
        <f>CHOOSE(CONTROL!$C$42, 74.1465, 74.1465) * CHOOSE(CONTROL!$C$21, $C$9, 100%, $E$9)</f>
        <v>74.146500000000003</v>
      </c>
      <c r="T89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895" s="57">
        <f>(1000*CHOOSE(CONTROL!$C$42, 695, 695)*CHOOSE(CONTROL!$C$42, 0.5599, 0.5599)*CHOOSE(CONTROL!$C$42, 31, 31))/1000000</f>
        <v>12.063045499999998</v>
      </c>
      <c r="V895" s="57">
        <f>(1000*CHOOSE(CONTROL!$C$42, 500, 500)*CHOOSE(CONTROL!$C$42, 0.275, 0.275)*CHOOSE(CONTROL!$C$42, 31, 31))/1000000</f>
        <v>4.2625000000000002</v>
      </c>
      <c r="W895" s="57">
        <f>(1000*CHOOSE(CONTROL!$C$42, 0.1146, 0.1146)*CHOOSE(CONTROL!$C$42, 121.5, 121.5)*CHOOSE(CONTROL!$C$42, 31, 31))/1000000</f>
        <v>0.43164089999999994</v>
      </c>
      <c r="X895" s="57">
        <f>(31*0.1790888*245000/1000000)+(31*0.2374*100000/1000000)</f>
        <v>2.0961194359999999</v>
      </c>
      <c r="Y895" s="57"/>
      <c r="Z895" s="14"/>
      <c r="AA895" s="56"/>
      <c r="AB895" s="50">
        <f>(B895*194.205+C895*267.466+D895*133.845+E895*53.484+F895*40+G895*185+H895*0+I895*100+J895*300)/(194.205+267.466+133.845+53.484+0+40+185+100+300)</f>
        <v>76.385749716091055</v>
      </c>
      <c r="AC895" s="45">
        <f>(M895*'RAP TEMPLATE-GAS AVAILABILITY'!O894+N895*'RAP TEMPLATE-GAS AVAILABILITY'!P894+O895*'RAP TEMPLATE-GAS AVAILABILITY'!Q894+P895*'RAP TEMPLATE-GAS AVAILABILITY'!R894)/('RAP TEMPLATE-GAS AVAILABILITY'!O894+'RAP TEMPLATE-GAS AVAILABILITY'!P894+'RAP TEMPLATE-GAS AVAILABILITY'!Q894+'RAP TEMPLATE-GAS AVAILABILITY'!R894)</f>
        <v>75.695259712230211</v>
      </c>
    </row>
    <row r="896" spans="1:29" ht="15.75" x14ac:dyDescent="0.25">
      <c r="A896" s="32">
        <v>68180</v>
      </c>
      <c r="B896" s="14">
        <f>CHOOSE(CONTROL!$C$42, 72.586, 72.586) * CHOOSE(CONTROL!$C$21, $C$9, 100%, $E$9)</f>
        <v>72.585999999999999</v>
      </c>
      <c r="C896" s="14">
        <f>CHOOSE(CONTROL!$C$42, 72.5939, 72.5939) * CHOOSE(CONTROL!$C$21, $C$9, 100%, $E$9)</f>
        <v>72.593900000000005</v>
      </c>
      <c r="D896" s="14">
        <f>CHOOSE(CONTROL!$C$42, 72.7915, 72.7915) * CHOOSE(CONTROL!$C$21, $C$9, 100%, $E$9)</f>
        <v>72.791499999999999</v>
      </c>
      <c r="E896" s="14">
        <f>CHOOSE(CONTROL!$C$42, 72.8227, 72.8227) * CHOOSE(CONTROL!$C$21, $C$9, 100%, $E$9)</f>
        <v>72.822699999999998</v>
      </c>
      <c r="F896" s="14">
        <f>CHOOSE(CONTROL!$C$42, 72.5705, 72.5705)*CHOOSE(CONTROL!$C$21, $C$9, 100%, $E$9)</f>
        <v>72.570499999999996</v>
      </c>
      <c r="G896" s="14">
        <f>CHOOSE(CONTROL!$C$42, 72.5868, 72.5868)*CHOOSE(CONTROL!$C$21, $C$9, 100%, $E$9)</f>
        <v>72.586799999999997</v>
      </c>
      <c r="H896" s="14">
        <f>CHOOSE(CONTROL!$C$42, 72.8113, 72.8113) * CHOOSE(CONTROL!$C$21, $C$9, 100%, $E$9)</f>
        <v>72.811300000000003</v>
      </c>
      <c r="I896" s="14">
        <f>CHOOSE(CONTROL!$C$42, 72.5974, 72.5974)* CHOOSE(CONTROL!$C$21, $C$9, 100%, $E$9)</f>
        <v>72.597399999999993</v>
      </c>
      <c r="J896" s="14">
        <f>CHOOSE(CONTROL!$C$42, 72.5635, 72.5635)* CHOOSE(CONTROL!$C$21, $C$9, 100%, $E$9)</f>
        <v>72.563500000000005</v>
      </c>
      <c r="K896" s="53">
        <f>CHOOSE(CONTROL!$C$42, 72.5935, 72.5935) * CHOOSE(CONTROL!$C$21, $C$9, 100%, $E$9)</f>
        <v>72.593500000000006</v>
      </c>
      <c r="L896" s="14">
        <f>CHOOSE(CONTROL!$C$42, 73.3983, 73.3983) * CHOOSE(CONTROL!$C$21, $C$9, 100%, $E$9)</f>
        <v>73.398300000000006</v>
      </c>
      <c r="M896" s="14">
        <f>CHOOSE(CONTROL!$C$42, 71.845, 71.845) * CHOOSE(CONTROL!$C$21, $C$9, 100%, $E$9)</f>
        <v>71.844999999999999</v>
      </c>
      <c r="N896" s="14">
        <f>CHOOSE(CONTROL!$C$42, 71.8612, 71.8612) * CHOOSE(CONTROL!$C$21, $C$9, 100%, $E$9)</f>
        <v>71.861199999999997</v>
      </c>
      <c r="O896" s="14">
        <f>CHOOSE(CONTROL!$C$42, 72.0903, 72.0903) * CHOOSE(CONTROL!$C$21, $C$9, 100%, $E$9)</f>
        <v>72.090299999999999</v>
      </c>
      <c r="P896" s="14">
        <f>CHOOSE(CONTROL!$C$42, 71.8786, 71.8786) * CHOOSE(CONTROL!$C$21, $C$9, 100%, $E$9)</f>
        <v>71.878600000000006</v>
      </c>
      <c r="Q896" s="14">
        <f>CHOOSE(CONTROL!$C$42, 72.6856, 72.6856) * CHOOSE(CONTROL!$C$21, $C$9, 100%, $E$9)</f>
        <v>72.685599999999994</v>
      </c>
      <c r="R896" s="14">
        <f>CHOOSE(CONTROL!$C$42, 73.4543, 73.4543) * CHOOSE(CONTROL!$C$21, $C$9, 100%, $E$9)</f>
        <v>73.454300000000003</v>
      </c>
      <c r="S896" s="14">
        <f>CHOOSE(CONTROL!$C$42, 70.484, 70.484) * CHOOSE(CONTROL!$C$21, $C$9, 100%, $E$9)</f>
        <v>70.483999999999995</v>
      </c>
      <c r="T89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896" s="57">
        <f>(1000*CHOOSE(CONTROL!$C$42, 695, 695)*CHOOSE(CONTROL!$C$42, 0.5599, 0.5599)*CHOOSE(CONTROL!$C$42, 31, 31))/1000000</f>
        <v>12.063045499999998</v>
      </c>
      <c r="V896" s="57">
        <f>(1000*CHOOSE(CONTROL!$C$42, 500, 500)*CHOOSE(CONTROL!$C$42, 0.275, 0.275)*CHOOSE(CONTROL!$C$42, 31, 31))/1000000</f>
        <v>4.2625000000000002</v>
      </c>
      <c r="W896" s="57">
        <f>(1000*CHOOSE(CONTROL!$C$42, 0.1146, 0.1146)*CHOOSE(CONTROL!$C$42, 121.5, 121.5)*CHOOSE(CONTROL!$C$42, 31, 31))/1000000</f>
        <v>0.43164089999999994</v>
      </c>
      <c r="X896" s="57">
        <f>(31*0.1790888*245000/1000000)+(31*0.2374*100000/1000000)</f>
        <v>2.0961194359999999</v>
      </c>
      <c r="Y896" s="57"/>
      <c r="Z896" s="14"/>
      <c r="AA896" s="56"/>
      <c r="AB896" s="50">
        <f>(B896*194.205+C896*267.466+D896*133.845+E896*53.484+F896*40+G896*185+H896*0+I896*100+J896*300)/(194.205+267.466+133.845+53.484+0+40+185+100+300)</f>
        <v>72.614411139481959</v>
      </c>
      <c r="AC896" s="45">
        <f>(M896*'RAP TEMPLATE-GAS AVAILABILITY'!O895+N896*'RAP TEMPLATE-GAS AVAILABILITY'!P895+O896*'RAP TEMPLATE-GAS AVAILABILITY'!Q895+P896*'RAP TEMPLATE-GAS AVAILABILITY'!R895)/('RAP TEMPLATE-GAS AVAILABILITY'!O895+'RAP TEMPLATE-GAS AVAILABILITY'!P895+'RAP TEMPLATE-GAS AVAILABILITY'!Q895+'RAP TEMPLATE-GAS AVAILABILITY'!R895)</f>
        <v>71.961946043165469</v>
      </c>
    </row>
    <row r="897" spans="1:29" ht="15.75" x14ac:dyDescent="0.25">
      <c r="A897" s="32">
        <v>68210</v>
      </c>
      <c r="B897" s="14">
        <f>CHOOSE(CONTROL!$C$42, 67.9776, 67.9776) * CHOOSE(CONTROL!$C$21, $C$9, 100%, $E$9)</f>
        <v>67.977599999999995</v>
      </c>
      <c r="C897" s="14">
        <f>CHOOSE(CONTROL!$C$42, 67.9856, 67.9856) * CHOOSE(CONTROL!$C$21, $C$9, 100%, $E$9)</f>
        <v>67.985600000000005</v>
      </c>
      <c r="D897" s="14">
        <f>CHOOSE(CONTROL!$C$42, 68.1831, 68.1831) * CHOOSE(CONTROL!$C$21, $C$9, 100%, $E$9)</f>
        <v>68.183099999999996</v>
      </c>
      <c r="E897" s="14">
        <f>CHOOSE(CONTROL!$C$42, 68.2143, 68.2143) * CHOOSE(CONTROL!$C$21, $C$9, 100%, $E$9)</f>
        <v>68.214299999999994</v>
      </c>
      <c r="F897" s="14">
        <f>CHOOSE(CONTROL!$C$42, 67.962, 67.962)*CHOOSE(CONTROL!$C$21, $C$9, 100%, $E$9)</f>
        <v>67.962000000000003</v>
      </c>
      <c r="G897" s="14">
        <f>CHOOSE(CONTROL!$C$42, 67.9783, 67.9783)*CHOOSE(CONTROL!$C$21, $C$9, 100%, $E$9)</f>
        <v>67.978300000000004</v>
      </c>
      <c r="H897" s="14">
        <f>CHOOSE(CONTROL!$C$42, 68.2029, 68.2029) * CHOOSE(CONTROL!$C$21, $C$9, 100%, $E$9)</f>
        <v>68.2029</v>
      </c>
      <c r="I897" s="14">
        <f>CHOOSE(CONTROL!$C$42, 67.989, 67.989)* CHOOSE(CONTROL!$C$21, $C$9, 100%, $E$9)</f>
        <v>67.989000000000004</v>
      </c>
      <c r="J897" s="14">
        <f>CHOOSE(CONTROL!$C$42, 67.955, 67.955)* CHOOSE(CONTROL!$C$21, $C$9, 100%, $E$9)</f>
        <v>67.954999999999998</v>
      </c>
      <c r="K897" s="53">
        <f>CHOOSE(CONTROL!$C$42, 67.9851, 67.9851) * CHOOSE(CONTROL!$C$21, $C$9, 100%, $E$9)</f>
        <v>67.985100000000003</v>
      </c>
      <c r="L897" s="14">
        <f>CHOOSE(CONTROL!$C$42, 68.7899, 68.7899) * CHOOSE(CONTROL!$C$21, $C$9, 100%, $E$9)</f>
        <v>68.789900000000003</v>
      </c>
      <c r="M897" s="14">
        <f>CHOOSE(CONTROL!$C$42, 67.2831, 67.2831) * CHOOSE(CONTROL!$C$21, $C$9, 100%, $E$9)</f>
        <v>67.283100000000005</v>
      </c>
      <c r="N897" s="14">
        <f>CHOOSE(CONTROL!$C$42, 67.2992, 67.2992) * CHOOSE(CONTROL!$C$21, $C$9, 100%, $E$9)</f>
        <v>67.299199999999999</v>
      </c>
      <c r="O897" s="14">
        <f>CHOOSE(CONTROL!$C$42, 67.5284, 67.5284) * CHOOSE(CONTROL!$C$21, $C$9, 100%, $E$9)</f>
        <v>67.528400000000005</v>
      </c>
      <c r="P897" s="14">
        <f>CHOOSE(CONTROL!$C$42, 67.3167, 67.3167) * CHOOSE(CONTROL!$C$21, $C$9, 100%, $E$9)</f>
        <v>67.316699999999997</v>
      </c>
      <c r="Q897" s="14">
        <f>CHOOSE(CONTROL!$C$42, 68.1237, 68.1237) * CHOOSE(CONTROL!$C$21, $C$9, 100%, $E$9)</f>
        <v>68.123699999999999</v>
      </c>
      <c r="R897" s="14">
        <f>CHOOSE(CONTROL!$C$42, 68.8811, 68.8811) * CHOOSE(CONTROL!$C$21, $C$9, 100%, $E$9)</f>
        <v>68.881100000000004</v>
      </c>
      <c r="S897" s="14">
        <f>CHOOSE(CONTROL!$C$42, 66.0088, 66.0088) * CHOOSE(CONTROL!$C$21, $C$9, 100%, $E$9)</f>
        <v>66.008799999999994</v>
      </c>
      <c r="T89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897" s="57">
        <f>(1000*CHOOSE(CONTROL!$C$42, 695, 695)*CHOOSE(CONTROL!$C$42, 0.5599, 0.5599)*CHOOSE(CONTROL!$C$42, 30, 30))/1000000</f>
        <v>11.673914999999997</v>
      </c>
      <c r="V897" s="57">
        <f>(1000*CHOOSE(CONTROL!$C$42, 500, 500)*CHOOSE(CONTROL!$C$42, 0.275, 0.275)*CHOOSE(CONTROL!$C$42, 30, 30))/1000000</f>
        <v>4.125</v>
      </c>
      <c r="W897" s="57">
        <f>(1000*CHOOSE(CONTROL!$C$42, 0.1146, 0.1146)*CHOOSE(CONTROL!$C$42, 121.5, 121.5)*CHOOSE(CONTROL!$C$42, 30, 30))/1000000</f>
        <v>0.417717</v>
      </c>
      <c r="X897" s="57">
        <f>(30*0.1790888*245000/1000000)+(30*0.2374*100000/1000000)</f>
        <v>2.0285026799999999</v>
      </c>
      <c r="Y897" s="57"/>
      <c r="Z897" s="14"/>
      <c r="AA897" s="56"/>
      <c r="AB897" s="50">
        <f>(B897*194.205+C897*267.466+D897*133.845+E897*53.484+F897*40+G897*185+H897*0+I897*100+J897*300)/(194.205+267.466+133.845+53.484+0+40+185+100+300)</f>
        <v>68.005990924882269</v>
      </c>
      <c r="AC897" s="45">
        <f>(M897*'RAP TEMPLATE-GAS AVAILABILITY'!O896+N897*'RAP TEMPLATE-GAS AVAILABILITY'!P896+O897*'RAP TEMPLATE-GAS AVAILABILITY'!Q896+P897*'RAP TEMPLATE-GAS AVAILABILITY'!R896)/('RAP TEMPLATE-GAS AVAILABILITY'!O896+'RAP TEMPLATE-GAS AVAILABILITY'!P896+'RAP TEMPLATE-GAS AVAILABILITY'!Q896+'RAP TEMPLATE-GAS AVAILABILITY'!R896)</f>
        <v>67.400040287769784</v>
      </c>
    </row>
    <row r="898" spans="1:29" ht="15.75" x14ac:dyDescent="0.25">
      <c r="A898" s="32">
        <v>68241</v>
      </c>
      <c r="B898" s="14">
        <f>CHOOSE(CONTROL!$C$42, 66.5958, 66.5958) * CHOOSE(CONTROL!$C$21, $C$9, 100%, $E$9)</f>
        <v>66.595799999999997</v>
      </c>
      <c r="C898" s="14">
        <f>CHOOSE(CONTROL!$C$42, 66.601, 66.601) * CHOOSE(CONTROL!$C$21, $C$9, 100%, $E$9)</f>
        <v>66.600999999999999</v>
      </c>
      <c r="D898" s="14">
        <f>CHOOSE(CONTROL!$C$42, 66.8035, 66.8035) * CHOOSE(CONTROL!$C$21, $C$9, 100%, $E$9)</f>
        <v>66.8035</v>
      </c>
      <c r="E898" s="14">
        <f>CHOOSE(CONTROL!$C$42, 66.8323, 66.8323) * CHOOSE(CONTROL!$C$21, $C$9, 100%, $E$9)</f>
        <v>66.832300000000004</v>
      </c>
      <c r="F898" s="14">
        <f>CHOOSE(CONTROL!$C$42, 66.5821, 66.5821)*CHOOSE(CONTROL!$C$21, $C$9, 100%, $E$9)</f>
        <v>66.582099999999997</v>
      </c>
      <c r="G898" s="14">
        <f>CHOOSE(CONTROL!$C$42, 66.5981, 66.5981)*CHOOSE(CONTROL!$C$21, $C$9, 100%, $E$9)</f>
        <v>66.598100000000002</v>
      </c>
      <c r="H898" s="14">
        <f>CHOOSE(CONTROL!$C$42, 66.8228, 66.8228) * CHOOSE(CONTROL!$C$21, $C$9, 100%, $E$9)</f>
        <v>66.822800000000001</v>
      </c>
      <c r="I898" s="14">
        <f>CHOOSE(CONTROL!$C$42, 66.6089, 66.6089)* CHOOSE(CONTROL!$C$21, $C$9, 100%, $E$9)</f>
        <v>66.608900000000006</v>
      </c>
      <c r="J898" s="14">
        <f>CHOOSE(CONTROL!$C$42, 66.5751, 66.5751)* CHOOSE(CONTROL!$C$21, $C$9, 100%, $E$9)</f>
        <v>66.575100000000006</v>
      </c>
      <c r="K898" s="53">
        <f>CHOOSE(CONTROL!$C$42, 66.605, 66.605) * CHOOSE(CONTROL!$C$21, $C$9, 100%, $E$9)</f>
        <v>66.605000000000004</v>
      </c>
      <c r="L898" s="14">
        <f>CHOOSE(CONTROL!$C$42, 67.4098, 67.4098) * CHOOSE(CONTROL!$C$21, $C$9, 100%, $E$9)</f>
        <v>67.409800000000004</v>
      </c>
      <c r="M898" s="14">
        <f>CHOOSE(CONTROL!$C$42, 65.9171, 65.9171) * CHOOSE(CONTROL!$C$21, $C$9, 100%, $E$9)</f>
        <v>65.917100000000005</v>
      </c>
      <c r="N898" s="14">
        <f>CHOOSE(CONTROL!$C$42, 65.933, 65.933) * CHOOSE(CONTROL!$C$21, $C$9, 100%, $E$9)</f>
        <v>65.933000000000007</v>
      </c>
      <c r="O898" s="14">
        <f>CHOOSE(CONTROL!$C$42, 66.1623, 66.1623) * CHOOSE(CONTROL!$C$21, $C$9, 100%, $E$9)</f>
        <v>66.162300000000002</v>
      </c>
      <c r="P898" s="14">
        <f>CHOOSE(CONTROL!$C$42, 65.9506, 65.9506) * CHOOSE(CONTROL!$C$21, $C$9, 100%, $E$9)</f>
        <v>65.950599999999994</v>
      </c>
      <c r="Q898" s="14">
        <f>CHOOSE(CONTROL!$C$42, 66.7576, 66.7576) * CHOOSE(CONTROL!$C$21, $C$9, 100%, $E$9)</f>
        <v>66.757599999999996</v>
      </c>
      <c r="R898" s="14">
        <f>CHOOSE(CONTROL!$C$42, 67.5115, 67.5115) * CHOOSE(CONTROL!$C$21, $C$9, 100%, $E$9)</f>
        <v>67.511499999999998</v>
      </c>
      <c r="S898" s="14">
        <f>CHOOSE(CONTROL!$C$42, 64.6686, 64.6686) * CHOOSE(CONTROL!$C$21, $C$9, 100%, $E$9)</f>
        <v>64.668599999999998</v>
      </c>
      <c r="T89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898" s="57">
        <f>(1000*CHOOSE(CONTROL!$C$42, 695, 695)*CHOOSE(CONTROL!$C$42, 0.5599, 0.5599)*CHOOSE(CONTROL!$C$42, 31, 31))/1000000</f>
        <v>12.063045499999998</v>
      </c>
      <c r="V898" s="57">
        <f>(1000*CHOOSE(CONTROL!$C$42, 500, 500)*CHOOSE(CONTROL!$C$42, 0.275, 0.275)*CHOOSE(CONTROL!$C$42, 31, 31))/1000000</f>
        <v>4.2625000000000002</v>
      </c>
      <c r="W898" s="57">
        <f>(1000*CHOOSE(CONTROL!$C$42, 0.1146, 0.1146)*CHOOSE(CONTROL!$C$42, 121.5, 121.5)*CHOOSE(CONTROL!$C$42, 31, 31))/1000000</f>
        <v>0.43164089999999994</v>
      </c>
      <c r="X898" s="57">
        <f>(31*0.1790888*245000/1000000)+(31*0.2374*100000/1000000)</f>
        <v>2.0961194359999999</v>
      </c>
      <c r="Y898" s="57"/>
      <c r="Z898" s="14"/>
      <c r="AA898" s="56"/>
      <c r="AB898" s="50">
        <f>(B898*131.881+C898*277.167+D898*79.08+E898*125.872+F898*40+G898*185+H898*0+I898*100+J898*300)/(131.881+277.167+79.08+125.872+0+40+185+100+300)</f>
        <v>66.630192584665068</v>
      </c>
      <c r="AC898" s="45">
        <f>(M898*'RAP TEMPLATE-GAS AVAILABILITY'!O897+N898*'RAP TEMPLATE-GAS AVAILABILITY'!P897+O898*'RAP TEMPLATE-GAS AVAILABILITY'!Q897+P898*'RAP TEMPLATE-GAS AVAILABILITY'!R897)/('RAP TEMPLATE-GAS AVAILABILITY'!O897+'RAP TEMPLATE-GAS AVAILABILITY'!P897+'RAP TEMPLATE-GAS AVAILABILITY'!Q897+'RAP TEMPLATE-GAS AVAILABILITY'!R897)</f>
        <v>66.033969064748206</v>
      </c>
    </row>
    <row r="899" spans="1:29" ht="15.75" x14ac:dyDescent="0.25">
      <c r="A899" s="32">
        <v>68271</v>
      </c>
      <c r="B899" s="14">
        <f>CHOOSE(CONTROL!$C$42, 68.3497, 68.3497) * CHOOSE(CONTROL!$C$21, $C$9, 100%, $E$9)</f>
        <v>68.349699999999999</v>
      </c>
      <c r="C899" s="14">
        <f>CHOOSE(CONTROL!$C$42, 68.3547, 68.3547) * CHOOSE(CONTROL!$C$21, $C$9, 100%, $E$9)</f>
        <v>68.354699999999994</v>
      </c>
      <c r="D899" s="14">
        <f>CHOOSE(CONTROL!$C$42, 68.4177, 68.4177) * CHOOSE(CONTROL!$C$21, $C$9, 100%, $E$9)</f>
        <v>68.417699999999996</v>
      </c>
      <c r="E899" s="14">
        <f>CHOOSE(CONTROL!$C$42, 68.4515, 68.4515) * CHOOSE(CONTROL!$C$21, $C$9, 100%, $E$9)</f>
        <v>68.451499999999996</v>
      </c>
      <c r="F899" s="14">
        <f>CHOOSE(CONTROL!$C$42, 68.3504, 68.3504)*CHOOSE(CONTROL!$C$21, $C$9, 100%, $E$9)</f>
        <v>68.350399999999993</v>
      </c>
      <c r="G899" s="14">
        <f>CHOOSE(CONTROL!$C$42, 68.3667, 68.3667)*CHOOSE(CONTROL!$C$21, $C$9, 100%, $E$9)</f>
        <v>68.366699999999994</v>
      </c>
      <c r="H899" s="14">
        <f>CHOOSE(CONTROL!$C$42, 68.4407, 68.4407) * CHOOSE(CONTROL!$C$21, $C$9, 100%, $E$9)</f>
        <v>68.440700000000007</v>
      </c>
      <c r="I899" s="14">
        <f>CHOOSE(CONTROL!$C$42, 68.3632, 68.3632)* CHOOSE(CONTROL!$C$21, $C$9, 100%, $E$9)</f>
        <v>68.363200000000006</v>
      </c>
      <c r="J899" s="14">
        <f>CHOOSE(CONTROL!$C$42, 68.3434, 68.3434)* CHOOSE(CONTROL!$C$21, $C$9, 100%, $E$9)</f>
        <v>68.343400000000003</v>
      </c>
      <c r="K899" s="53">
        <f>CHOOSE(CONTROL!$C$42, 68.3594, 68.3594) * CHOOSE(CONTROL!$C$21, $C$9, 100%, $E$9)</f>
        <v>68.359399999999994</v>
      </c>
      <c r="L899" s="14">
        <f>CHOOSE(CONTROL!$C$42, 69.0277, 69.0277) * CHOOSE(CONTROL!$C$21, $C$9, 100%, $E$9)</f>
        <v>69.027699999999996</v>
      </c>
      <c r="M899" s="14">
        <f>CHOOSE(CONTROL!$C$42, 67.6675, 67.6675) * CHOOSE(CONTROL!$C$21, $C$9, 100%, $E$9)</f>
        <v>67.667500000000004</v>
      </c>
      <c r="N899" s="14">
        <f>CHOOSE(CONTROL!$C$42, 67.6837, 67.6837) * CHOOSE(CONTROL!$C$21, $C$9, 100%, $E$9)</f>
        <v>67.683700000000002</v>
      </c>
      <c r="O899" s="14">
        <f>CHOOSE(CONTROL!$C$42, 67.7639, 67.7639) * CHOOSE(CONTROL!$C$21, $C$9, 100%, $E$9)</f>
        <v>67.763900000000007</v>
      </c>
      <c r="P899" s="14">
        <f>CHOOSE(CONTROL!$C$42, 67.6872, 67.6872) * CHOOSE(CONTROL!$C$21, $C$9, 100%, $E$9)</f>
        <v>67.687200000000004</v>
      </c>
      <c r="Q899" s="14">
        <f>CHOOSE(CONTROL!$C$42, 68.3592, 68.3592) * CHOOSE(CONTROL!$C$21, $C$9, 100%, $E$9)</f>
        <v>68.359200000000001</v>
      </c>
      <c r="R899" s="14">
        <f>CHOOSE(CONTROL!$C$42, 69.1171, 69.1171) * CHOOSE(CONTROL!$C$21, $C$9, 100%, $E$9)</f>
        <v>69.117099999999994</v>
      </c>
      <c r="S899" s="14">
        <f>CHOOSE(CONTROL!$C$42, 66.3723, 66.3723) * CHOOSE(CONTROL!$C$21, $C$9, 100%, $E$9)</f>
        <v>66.372299999999996</v>
      </c>
      <c r="T89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899" s="57">
        <f>(1000*CHOOSE(CONTROL!$C$42, 695, 695)*CHOOSE(CONTROL!$C$42, 0.5599, 0.5599)*CHOOSE(CONTROL!$C$42, 30, 30))/1000000</f>
        <v>11.673914999999997</v>
      </c>
      <c r="V899" s="57">
        <f>(1000*CHOOSE(CONTROL!$C$42, 500, 500)*CHOOSE(CONTROL!$C$42, 0.275, 0.275)*CHOOSE(CONTROL!$C$42, 30, 30))/1000000</f>
        <v>4.125</v>
      </c>
      <c r="W899" s="57">
        <f>(1000*CHOOSE(CONTROL!$C$42, 0.1146, 0.1146)*CHOOSE(CONTROL!$C$42, 121.5, 121.5)*CHOOSE(CONTROL!$C$42, 30, 30))/1000000</f>
        <v>0.417717</v>
      </c>
      <c r="X899" s="57">
        <f>(30*0.1790888*100000/1000000)+(30*0.2374*100000/1000000)</f>
        <v>1.2494664</v>
      </c>
      <c r="Y899" s="57"/>
      <c r="Z899" s="14"/>
      <c r="AA899" s="56"/>
      <c r="AB899" s="50">
        <f>(B899*122.58+C899*297.941+D899*89.177+E899*40.302+F899*40+G899*160+H899*0+I899*100+J899*300)/(122.58+297.941+89.177+40.302+0+40+160+100+300)</f>
        <v>68.361756073565218</v>
      </c>
      <c r="AC899" s="45">
        <f>(M899*'RAP TEMPLATE-GAS AVAILABILITY'!O898+N899*'RAP TEMPLATE-GAS AVAILABILITY'!P898+O899*'RAP TEMPLATE-GAS AVAILABILITY'!Q898+P899*'RAP TEMPLATE-GAS AVAILABILITY'!R898)/('RAP TEMPLATE-GAS AVAILABILITY'!O898+'RAP TEMPLATE-GAS AVAILABILITY'!P898+'RAP TEMPLATE-GAS AVAILABILITY'!Q898+'RAP TEMPLATE-GAS AVAILABILITY'!R898)</f>
        <v>67.714958992805762</v>
      </c>
    </row>
    <row r="900" spans="1:29" ht="15.75" x14ac:dyDescent="0.25">
      <c r="A900" s="32">
        <v>68302</v>
      </c>
      <c r="B900" s="14">
        <f>CHOOSE(CONTROL!$C$42, 73.0096, 73.0096) * CHOOSE(CONTROL!$C$21, $C$9, 100%, $E$9)</f>
        <v>73.009600000000006</v>
      </c>
      <c r="C900" s="14">
        <f>CHOOSE(CONTROL!$C$42, 73.0145, 73.0145) * CHOOSE(CONTROL!$C$21, $C$9, 100%, $E$9)</f>
        <v>73.014499999999998</v>
      </c>
      <c r="D900" s="14">
        <f>CHOOSE(CONTROL!$C$42, 73.0776, 73.0776) * CHOOSE(CONTROL!$C$21, $C$9, 100%, $E$9)</f>
        <v>73.077600000000004</v>
      </c>
      <c r="E900" s="14">
        <f>CHOOSE(CONTROL!$C$42, 73.1114, 73.1114) * CHOOSE(CONTROL!$C$21, $C$9, 100%, $E$9)</f>
        <v>73.111400000000003</v>
      </c>
      <c r="F900" s="14">
        <f>CHOOSE(CONTROL!$C$42, 73.0123, 73.0123)*CHOOSE(CONTROL!$C$21, $C$9, 100%, $E$9)</f>
        <v>73.012299999999996</v>
      </c>
      <c r="G900" s="14">
        <f>CHOOSE(CONTROL!$C$42, 73.0291, 73.0291)*CHOOSE(CONTROL!$C$21, $C$9, 100%, $E$9)</f>
        <v>73.0291</v>
      </c>
      <c r="H900" s="14">
        <f>CHOOSE(CONTROL!$C$42, 73.1006, 73.1006) * CHOOSE(CONTROL!$C$21, $C$9, 100%, $E$9)</f>
        <v>73.1006</v>
      </c>
      <c r="I900" s="14">
        <f>CHOOSE(CONTROL!$C$42, 73.0231, 73.0231)* CHOOSE(CONTROL!$C$21, $C$9, 100%, $E$9)</f>
        <v>73.023099999999999</v>
      </c>
      <c r="J900" s="14">
        <f>CHOOSE(CONTROL!$C$42, 73.0053, 73.0053)* CHOOSE(CONTROL!$C$21, $C$9, 100%, $E$9)</f>
        <v>73.005300000000005</v>
      </c>
      <c r="K900" s="53">
        <f>CHOOSE(CONTROL!$C$42, 73.0192, 73.0192) * CHOOSE(CONTROL!$C$21, $C$9, 100%, $E$9)</f>
        <v>73.019199999999998</v>
      </c>
      <c r="L900" s="14">
        <f>CHOOSE(CONTROL!$C$42, 73.6876, 73.6876) * CHOOSE(CONTROL!$C$21, $C$9, 100%, $E$9)</f>
        <v>73.687600000000003</v>
      </c>
      <c r="M900" s="14">
        <f>CHOOSE(CONTROL!$C$42, 72.2824, 72.2824) * CHOOSE(CONTROL!$C$21, $C$9, 100%, $E$9)</f>
        <v>72.282399999999996</v>
      </c>
      <c r="N900" s="14">
        <f>CHOOSE(CONTROL!$C$42, 72.299, 72.299) * CHOOSE(CONTROL!$C$21, $C$9, 100%, $E$9)</f>
        <v>72.299000000000007</v>
      </c>
      <c r="O900" s="14">
        <f>CHOOSE(CONTROL!$C$42, 72.3767, 72.3767) * CHOOSE(CONTROL!$C$21, $C$9, 100%, $E$9)</f>
        <v>72.3767</v>
      </c>
      <c r="P900" s="14">
        <f>CHOOSE(CONTROL!$C$42, 72.3, 72.3) * CHOOSE(CONTROL!$C$21, $C$9, 100%, $E$9)</f>
        <v>72.3</v>
      </c>
      <c r="Q900" s="14">
        <f>CHOOSE(CONTROL!$C$42, 72.972, 72.972) * CHOOSE(CONTROL!$C$21, $C$9, 100%, $E$9)</f>
        <v>72.971999999999994</v>
      </c>
      <c r="R900" s="14">
        <f>CHOOSE(CONTROL!$C$42, 73.7414, 73.7414) * CHOOSE(CONTROL!$C$21, $C$9, 100%, $E$9)</f>
        <v>73.741399999999999</v>
      </c>
      <c r="S900" s="14">
        <f>CHOOSE(CONTROL!$C$42, 70.8974, 70.8974) * CHOOSE(CONTROL!$C$21, $C$9, 100%, $E$9)</f>
        <v>70.897400000000005</v>
      </c>
      <c r="T90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00" s="57">
        <f>(1000*CHOOSE(CONTROL!$C$42, 695, 695)*CHOOSE(CONTROL!$C$42, 0.5599, 0.5599)*CHOOSE(CONTROL!$C$42, 31, 31))/1000000</f>
        <v>12.063045499999998</v>
      </c>
      <c r="V900" s="57">
        <f>(1000*CHOOSE(CONTROL!$C$42, 500, 500)*CHOOSE(CONTROL!$C$42, 0.275, 0.275)*CHOOSE(CONTROL!$C$42, 31, 31))/1000000</f>
        <v>4.2625000000000002</v>
      </c>
      <c r="W900" s="57">
        <f>(1000*CHOOSE(CONTROL!$C$42, 0.1146, 0.1146)*CHOOSE(CONTROL!$C$42, 121.5, 121.5)*CHOOSE(CONTROL!$C$42, 31, 31))/1000000</f>
        <v>0.43164089999999994</v>
      </c>
      <c r="X900" s="57">
        <f>(31*0.1790888*100000/1000000)+(31*0.2374*100000/1000000)</f>
        <v>1.2911152800000001</v>
      </c>
      <c r="Y900" s="57"/>
      <c r="Z900" s="14"/>
      <c r="AA900" s="56"/>
      <c r="AB900" s="50">
        <f>(B900*122.58+C900*297.941+D900*89.177+E900*40.302+F900*40+G900*160+H900*0+I900*100+J900*300)/(122.58+297.941+89.177+40.302+0+40+160+100+300)</f>
        <v>73.022569296086942</v>
      </c>
      <c r="AC900" s="45">
        <f>(M900*'RAP TEMPLATE-GAS AVAILABILITY'!O899+N900*'RAP TEMPLATE-GAS AVAILABILITY'!P899+O900*'RAP TEMPLATE-GAS AVAILABILITY'!Q899+P900*'RAP TEMPLATE-GAS AVAILABILITY'!R899)/('RAP TEMPLATE-GAS AVAILABILITY'!O899+'RAP TEMPLATE-GAS AVAILABILITY'!P899+'RAP TEMPLATE-GAS AVAILABILITY'!Q899+'RAP TEMPLATE-GAS AVAILABILITY'!R899)</f>
        <v>72.328628057553956</v>
      </c>
    </row>
    <row r="901" spans="1:29" ht="15.75" x14ac:dyDescent="0.25">
      <c r="A901" s="32">
        <v>68333</v>
      </c>
      <c r="B901" s="14">
        <f>CHOOSE(CONTROL!$C$42, 78.9915, 78.9915) * CHOOSE(CONTROL!$C$21, $C$9, 100%, $E$9)</f>
        <v>78.991500000000002</v>
      </c>
      <c r="C901" s="14">
        <f>CHOOSE(CONTROL!$C$42, 78.9965, 78.9965) * CHOOSE(CONTROL!$C$21, $C$9, 100%, $E$9)</f>
        <v>78.996499999999997</v>
      </c>
      <c r="D901" s="14">
        <f>CHOOSE(CONTROL!$C$42, 79.0607, 79.0607) * CHOOSE(CONTROL!$C$21, $C$9, 100%, $E$9)</f>
        <v>79.060699999999997</v>
      </c>
      <c r="E901" s="14">
        <f>CHOOSE(CONTROL!$C$42, 79.0945, 79.0945) * CHOOSE(CONTROL!$C$21, $C$9, 100%, $E$9)</f>
        <v>79.094499999999996</v>
      </c>
      <c r="F901" s="14">
        <f>CHOOSE(CONTROL!$C$42, 78.993, 78.993)*CHOOSE(CONTROL!$C$21, $C$9, 100%, $E$9)</f>
        <v>78.992999999999995</v>
      </c>
      <c r="G901" s="14">
        <f>CHOOSE(CONTROL!$C$42, 79.0089, 79.0089)*CHOOSE(CONTROL!$C$21, $C$9, 100%, $E$9)</f>
        <v>79.008899999999997</v>
      </c>
      <c r="H901" s="14">
        <f>CHOOSE(CONTROL!$C$42, 79.0837, 79.0837) * CHOOSE(CONTROL!$C$21, $C$9, 100%, $E$9)</f>
        <v>79.083699999999993</v>
      </c>
      <c r="I901" s="14">
        <f>CHOOSE(CONTROL!$C$42, 79.0115, 79.0115)* CHOOSE(CONTROL!$C$21, $C$9, 100%, $E$9)</f>
        <v>79.011499999999998</v>
      </c>
      <c r="J901" s="14">
        <f>CHOOSE(CONTROL!$C$42, 78.986, 78.986)* CHOOSE(CONTROL!$C$21, $C$9, 100%, $E$9)</f>
        <v>78.986000000000004</v>
      </c>
      <c r="K901" s="53">
        <f>CHOOSE(CONTROL!$C$42, 79.0076, 79.0076) * CHOOSE(CONTROL!$C$21, $C$9, 100%, $E$9)</f>
        <v>79.007599999999996</v>
      </c>
      <c r="L901" s="14">
        <f>CHOOSE(CONTROL!$C$42, 79.6707, 79.6707) * CHOOSE(CONTROL!$C$21, $C$9, 100%, $E$9)</f>
        <v>79.670699999999997</v>
      </c>
      <c r="M901" s="14">
        <f>CHOOSE(CONTROL!$C$42, 78.2027, 78.2027) * CHOOSE(CONTROL!$C$21, $C$9, 100%, $E$9)</f>
        <v>78.202699999999993</v>
      </c>
      <c r="N901" s="14">
        <f>CHOOSE(CONTROL!$C$42, 78.2185, 78.2185) * CHOOSE(CONTROL!$C$21, $C$9, 100%, $E$9)</f>
        <v>78.218500000000006</v>
      </c>
      <c r="O901" s="14">
        <f>CHOOSE(CONTROL!$C$42, 78.2994, 78.2994) * CHOOSE(CONTROL!$C$21, $C$9, 100%, $E$9)</f>
        <v>78.299400000000006</v>
      </c>
      <c r="P901" s="14">
        <f>CHOOSE(CONTROL!$C$42, 78.228, 78.228) * CHOOSE(CONTROL!$C$21, $C$9, 100%, $E$9)</f>
        <v>78.227999999999994</v>
      </c>
      <c r="Q901" s="14">
        <f>CHOOSE(CONTROL!$C$42, 78.8947, 78.8947) * CHOOSE(CONTROL!$C$21, $C$9, 100%, $E$9)</f>
        <v>78.8947</v>
      </c>
      <c r="R901" s="14">
        <f>CHOOSE(CONTROL!$C$42, 79.679, 79.679) * CHOOSE(CONTROL!$C$21, $C$9, 100%, $E$9)</f>
        <v>79.679000000000002</v>
      </c>
      <c r="S901" s="14">
        <f>CHOOSE(CONTROL!$C$42, 76.7065, 76.7065) * CHOOSE(CONTROL!$C$21, $C$9, 100%, $E$9)</f>
        <v>76.706500000000005</v>
      </c>
      <c r="T90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01" s="57">
        <f>(1000*CHOOSE(CONTROL!$C$42, 695, 695)*CHOOSE(CONTROL!$C$42, 0.5599, 0.5599)*CHOOSE(CONTROL!$C$42, 31, 31))/1000000</f>
        <v>12.063045499999998</v>
      </c>
      <c r="V901" s="57">
        <f>(1000*CHOOSE(CONTROL!$C$42, 500, 500)*CHOOSE(CONTROL!$C$42, 0.275, 0.275)*CHOOSE(CONTROL!$C$42, 31, 31))/1000000</f>
        <v>4.2625000000000002</v>
      </c>
      <c r="W901" s="57">
        <f>(1000*CHOOSE(CONTROL!$C$42, 0.1146, 0.1146)*CHOOSE(CONTROL!$C$42, 121.5, 121.5)*CHOOSE(CONTROL!$C$42, 31, 31))/1000000</f>
        <v>0.43164089999999994</v>
      </c>
      <c r="X901" s="57">
        <f>(31*0.1790888*100000/1000000)+(31*0.2374*100000/1000000)</f>
        <v>1.2911152800000001</v>
      </c>
      <c r="Y901" s="57"/>
      <c r="Z901" s="14"/>
      <c r="AA901" s="56"/>
      <c r="AB901" s="50">
        <f>(B901*122.58+C901*297.941+D901*89.177+E901*40.302+F901*40+G901*160+H901*0+I901*100+J901*300)/(122.58+297.941+89.177+40.302+0+40+160+100+300)</f>
        <v>79.004548573391304</v>
      </c>
      <c r="AC901" s="45">
        <f>(M901*'RAP TEMPLATE-GAS AVAILABILITY'!O900+N901*'RAP TEMPLATE-GAS AVAILABILITY'!P900+O901*'RAP TEMPLATE-GAS AVAILABILITY'!Q900+P901*'RAP TEMPLATE-GAS AVAILABILITY'!R900)/('RAP TEMPLATE-GAS AVAILABILITY'!O900+'RAP TEMPLATE-GAS AVAILABILITY'!P900+'RAP TEMPLATE-GAS AVAILABILITY'!Q900+'RAP TEMPLATE-GAS AVAILABILITY'!R900)</f>
        <v>78.251077697841723</v>
      </c>
    </row>
    <row r="902" spans="1:29" ht="15.75" x14ac:dyDescent="0.25">
      <c r="A902" s="32">
        <v>68361</v>
      </c>
      <c r="B902" s="14">
        <f>CHOOSE(CONTROL!$C$42, 80.3976, 80.3976) * CHOOSE(CONTROL!$C$21, $C$9, 100%, $E$9)</f>
        <v>80.397599999999997</v>
      </c>
      <c r="C902" s="14">
        <f>CHOOSE(CONTROL!$C$42, 80.4026, 80.4026) * CHOOSE(CONTROL!$C$21, $C$9, 100%, $E$9)</f>
        <v>80.402600000000007</v>
      </c>
      <c r="D902" s="14">
        <f>CHOOSE(CONTROL!$C$42, 80.4668, 80.4668) * CHOOSE(CONTROL!$C$21, $C$9, 100%, $E$9)</f>
        <v>80.466800000000006</v>
      </c>
      <c r="E902" s="14">
        <f>CHOOSE(CONTROL!$C$42, 80.5006, 80.5006) * CHOOSE(CONTROL!$C$21, $C$9, 100%, $E$9)</f>
        <v>80.500600000000006</v>
      </c>
      <c r="F902" s="14">
        <f>CHOOSE(CONTROL!$C$42, 80.3992, 80.3992)*CHOOSE(CONTROL!$C$21, $C$9, 100%, $E$9)</f>
        <v>80.399199999999993</v>
      </c>
      <c r="G902" s="14">
        <f>CHOOSE(CONTROL!$C$42, 80.4151, 80.4151)*CHOOSE(CONTROL!$C$21, $C$9, 100%, $E$9)</f>
        <v>80.415099999999995</v>
      </c>
      <c r="H902" s="14">
        <f>CHOOSE(CONTROL!$C$42, 80.4898, 80.4898) * CHOOSE(CONTROL!$C$21, $C$9, 100%, $E$9)</f>
        <v>80.489800000000002</v>
      </c>
      <c r="I902" s="14">
        <f>CHOOSE(CONTROL!$C$42, 80.4176, 80.4176)* CHOOSE(CONTROL!$C$21, $C$9, 100%, $E$9)</f>
        <v>80.417599999999993</v>
      </c>
      <c r="J902" s="14">
        <f>CHOOSE(CONTROL!$C$42, 80.3922, 80.3922)* CHOOSE(CONTROL!$C$21, $C$9, 100%, $E$9)</f>
        <v>80.392200000000003</v>
      </c>
      <c r="K902" s="53">
        <f>CHOOSE(CONTROL!$C$42, 80.4137, 80.4137) * CHOOSE(CONTROL!$C$21, $C$9, 100%, $E$9)</f>
        <v>80.413700000000006</v>
      </c>
      <c r="L902" s="14">
        <f>CHOOSE(CONTROL!$C$42, 81.0768, 81.0768) * CHOOSE(CONTROL!$C$21, $C$9, 100%, $E$9)</f>
        <v>81.076800000000006</v>
      </c>
      <c r="M902" s="14">
        <f>CHOOSE(CONTROL!$C$42, 79.5947, 79.5947) * CHOOSE(CONTROL!$C$21, $C$9, 100%, $E$9)</f>
        <v>79.594700000000003</v>
      </c>
      <c r="N902" s="14">
        <f>CHOOSE(CONTROL!$C$42, 79.6105, 79.6105) * CHOOSE(CONTROL!$C$21, $C$9, 100%, $E$9)</f>
        <v>79.610500000000002</v>
      </c>
      <c r="O902" s="14">
        <f>CHOOSE(CONTROL!$C$42, 79.6914, 79.6914) * CHOOSE(CONTROL!$C$21, $C$9, 100%, $E$9)</f>
        <v>79.691400000000002</v>
      </c>
      <c r="P902" s="14">
        <f>CHOOSE(CONTROL!$C$42, 79.6199, 79.6199) * CHOOSE(CONTROL!$C$21, $C$9, 100%, $E$9)</f>
        <v>79.619900000000001</v>
      </c>
      <c r="Q902" s="14">
        <f>CHOOSE(CONTROL!$C$42, 80.2867, 80.2867) * CHOOSE(CONTROL!$C$21, $C$9, 100%, $E$9)</f>
        <v>80.286699999999996</v>
      </c>
      <c r="R902" s="14">
        <f>CHOOSE(CONTROL!$C$42, 81.0744, 81.0744) * CHOOSE(CONTROL!$C$21, $C$9, 100%, $E$9)</f>
        <v>81.074399999999997</v>
      </c>
      <c r="S902" s="14">
        <f>CHOOSE(CONTROL!$C$42, 78.072, 78.072) * CHOOSE(CONTROL!$C$21, $C$9, 100%, $E$9)</f>
        <v>78.072000000000003</v>
      </c>
      <c r="T90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02" s="57">
        <f>(1000*CHOOSE(CONTROL!$C$42, 695, 695)*CHOOSE(CONTROL!$C$42, 0.5599, 0.5599)*CHOOSE(CONTROL!$C$42, 28, 28))/1000000</f>
        <v>10.895653999999999</v>
      </c>
      <c r="V902" s="57">
        <f>(1000*CHOOSE(CONTROL!$C$42, 500, 500)*CHOOSE(CONTROL!$C$42, 0.275, 0.275)*CHOOSE(CONTROL!$C$42, 28, 28))/1000000</f>
        <v>3.85</v>
      </c>
      <c r="W902" s="57">
        <f>(1000*CHOOSE(CONTROL!$C$42, 0.1146, 0.1146)*CHOOSE(CONTROL!$C$42, 121.5, 121.5)*CHOOSE(CONTROL!$C$42, 28, 28))/1000000</f>
        <v>0.38986920000000003</v>
      </c>
      <c r="X902" s="57">
        <f>(28*0.1790888*100000/1000000)+(28*0.2374*100000/1000000)</f>
        <v>1.16616864</v>
      </c>
      <c r="Y902" s="57"/>
      <c r="Z902" s="14"/>
      <c r="AA902" s="56"/>
      <c r="AB902" s="50">
        <f>(B902*122.58+C902*297.941+D902*89.177+E902*40.302+F902*40+G902*160+H902*0+I902*100+J902*300)/(122.58+297.941+89.177+40.302+0+40+160+100+300)</f>
        <v>80.410692051652177</v>
      </c>
      <c r="AC902" s="45">
        <f>(M902*'RAP TEMPLATE-GAS AVAILABILITY'!O901+N902*'RAP TEMPLATE-GAS AVAILABILITY'!P901+O902*'RAP TEMPLATE-GAS AVAILABILITY'!Q901+P902*'RAP TEMPLATE-GAS AVAILABILITY'!R901)/('RAP TEMPLATE-GAS AVAILABILITY'!O901+'RAP TEMPLATE-GAS AVAILABILITY'!P901+'RAP TEMPLATE-GAS AVAILABILITY'!Q901+'RAP TEMPLATE-GAS AVAILABILITY'!R901)</f>
        <v>79.643063309352513</v>
      </c>
    </row>
    <row r="903" spans="1:29" ht="15.75" x14ac:dyDescent="0.25">
      <c r="A903" s="32">
        <v>68392</v>
      </c>
      <c r="B903" s="14">
        <f>CHOOSE(CONTROL!$C$42, 78.1151, 78.1151) * CHOOSE(CONTROL!$C$21, $C$9, 100%, $E$9)</f>
        <v>78.115099999999998</v>
      </c>
      <c r="C903" s="14">
        <f>CHOOSE(CONTROL!$C$42, 78.1201, 78.1201) * CHOOSE(CONTROL!$C$21, $C$9, 100%, $E$9)</f>
        <v>78.120099999999994</v>
      </c>
      <c r="D903" s="14">
        <f>CHOOSE(CONTROL!$C$42, 78.1844, 78.1844) * CHOOSE(CONTROL!$C$21, $C$9, 100%, $E$9)</f>
        <v>78.184399999999997</v>
      </c>
      <c r="E903" s="14">
        <f>CHOOSE(CONTROL!$C$42, 78.2182, 78.2182) * CHOOSE(CONTROL!$C$21, $C$9, 100%, $E$9)</f>
        <v>78.218199999999996</v>
      </c>
      <c r="F903" s="14">
        <f>CHOOSE(CONTROL!$C$42, 78.1164, 78.1164)*CHOOSE(CONTROL!$C$21, $C$9, 100%, $E$9)</f>
        <v>78.116399999999999</v>
      </c>
      <c r="G903" s="14">
        <f>CHOOSE(CONTROL!$C$42, 78.1322, 78.1322)*CHOOSE(CONTROL!$C$21, $C$9, 100%, $E$9)</f>
        <v>78.132199999999997</v>
      </c>
      <c r="H903" s="14">
        <f>CHOOSE(CONTROL!$C$42, 78.2074, 78.2074) * CHOOSE(CONTROL!$C$21, $C$9, 100%, $E$9)</f>
        <v>78.207400000000007</v>
      </c>
      <c r="I903" s="14">
        <f>CHOOSE(CONTROL!$C$42, 78.1351, 78.1351)* CHOOSE(CONTROL!$C$21, $C$9, 100%, $E$9)</f>
        <v>78.135099999999994</v>
      </c>
      <c r="J903" s="14">
        <f>CHOOSE(CONTROL!$C$42, 78.1094, 78.1094)* CHOOSE(CONTROL!$C$21, $C$9, 100%, $E$9)</f>
        <v>78.109399999999994</v>
      </c>
      <c r="K903" s="53">
        <f>CHOOSE(CONTROL!$C$42, 78.1312, 78.1312) * CHOOSE(CONTROL!$C$21, $C$9, 100%, $E$9)</f>
        <v>78.131200000000007</v>
      </c>
      <c r="L903" s="14">
        <f>CHOOSE(CONTROL!$C$42, 78.7944, 78.7944) * CHOOSE(CONTROL!$C$21, $C$9, 100%, $E$9)</f>
        <v>78.794399999999996</v>
      </c>
      <c r="M903" s="14">
        <f>CHOOSE(CONTROL!$C$42, 77.335, 77.335) * CHOOSE(CONTROL!$C$21, $C$9, 100%, $E$9)</f>
        <v>77.334999999999994</v>
      </c>
      <c r="N903" s="14">
        <f>CHOOSE(CONTROL!$C$42, 77.3507, 77.3507) * CHOOSE(CONTROL!$C$21, $C$9, 100%, $E$9)</f>
        <v>77.350700000000003</v>
      </c>
      <c r="O903" s="14">
        <f>CHOOSE(CONTROL!$C$42, 77.4319, 77.4319) * CHOOSE(CONTROL!$C$21, $C$9, 100%, $E$9)</f>
        <v>77.431899999999999</v>
      </c>
      <c r="P903" s="14">
        <f>CHOOSE(CONTROL!$C$42, 77.3605, 77.3605) * CHOOSE(CONTROL!$C$21, $C$9, 100%, $E$9)</f>
        <v>77.360500000000002</v>
      </c>
      <c r="Q903" s="14">
        <f>CHOOSE(CONTROL!$C$42, 78.0272, 78.0272) * CHOOSE(CONTROL!$C$21, $C$9, 100%, $E$9)</f>
        <v>78.027199999999993</v>
      </c>
      <c r="R903" s="14">
        <f>CHOOSE(CONTROL!$C$42, 78.8093, 78.8093) * CHOOSE(CONTROL!$C$21, $C$9, 100%, $E$9)</f>
        <v>78.809299999999993</v>
      </c>
      <c r="S903" s="14">
        <f>CHOOSE(CONTROL!$C$42, 75.8555, 75.8555) * CHOOSE(CONTROL!$C$21, $C$9, 100%, $E$9)</f>
        <v>75.855500000000006</v>
      </c>
      <c r="T90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03" s="57">
        <f>(1000*CHOOSE(CONTROL!$C$42, 695, 695)*CHOOSE(CONTROL!$C$42, 0.5599, 0.5599)*CHOOSE(CONTROL!$C$42, 31, 31))/1000000</f>
        <v>12.063045499999998</v>
      </c>
      <c r="V903" s="57">
        <f>(1000*CHOOSE(CONTROL!$C$42, 500, 500)*CHOOSE(CONTROL!$C$42, 0.275, 0.275)*CHOOSE(CONTROL!$C$42, 31, 31))/1000000</f>
        <v>4.2625000000000002</v>
      </c>
      <c r="W903" s="57">
        <f>(1000*CHOOSE(CONTROL!$C$42, 0.1146, 0.1146)*CHOOSE(CONTROL!$C$42, 121.5, 121.5)*CHOOSE(CONTROL!$C$42, 31, 31))/1000000</f>
        <v>0.43164089999999994</v>
      </c>
      <c r="X903" s="57">
        <f>(31*0.1790888*100000/1000000)+(31*0.2374*100000/1000000)</f>
        <v>1.2911152800000001</v>
      </c>
      <c r="Y903" s="57"/>
      <c r="Z903" s="14"/>
      <c r="AA903" s="56"/>
      <c r="AB903" s="50">
        <f>(B903*122.58+C903*297.941+D903*89.177+E903*40.302+F903*40+G903*160+H903*0+I903*100+J903*300)/(122.58+297.941+89.177+40.302+0+40+160+100+300)</f>
        <v>78.128058962869559</v>
      </c>
      <c r="AC903" s="45">
        <f>(M903*'RAP TEMPLATE-GAS AVAILABILITY'!O902+N903*'RAP TEMPLATE-GAS AVAILABILITY'!P902+O903*'RAP TEMPLATE-GAS AVAILABILITY'!Q902+P903*'RAP TEMPLATE-GAS AVAILABILITY'!R902)/('RAP TEMPLATE-GAS AVAILABILITY'!O902+'RAP TEMPLATE-GAS AVAILABILITY'!P902+'RAP TEMPLATE-GAS AVAILABILITY'!Q902+'RAP TEMPLATE-GAS AVAILABILITY'!R902)</f>
        <v>77.383491366906483</v>
      </c>
    </row>
    <row r="904" spans="1:29" ht="15.75" x14ac:dyDescent="0.25">
      <c r="A904" s="32">
        <v>68422</v>
      </c>
      <c r="B904" s="14">
        <f>CHOOSE(CONTROL!$C$42, 77.8824, 77.8824) * CHOOSE(CONTROL!$C$21, $C$9, 100%, $E$9)</f>
        <v>77.882400000000004</v>
      </c>
      <c r="C904" s="14">
        <f>CHOOSE(CONTROL!$C$42, 77.8868, 77.8868) * CHOOSE(CONTROL!$C$21, $C$9, 100%, $E$9)</f>
        <v>77.886799999999994</v>
      </c>
      <c r="D904" s="14">
        <f>CHOOSE(CONTROL!$C$42, 78.0875, 78.0875) * CHOOSE(CONTROL!$C$21, $C$9, 100%, $E$9)</f>
        <v>78.087500000000006</v>
      </c>
      <c r="E904" s="14">
        <f>CHOOSE(CONTROL!$C$42, 78.1193, 78.1193) * CHOOSE(CONTROL!$C$21, $C$9, 100%, $E$9)</f>
        <v>78.119299999999996</v>
      </c>
      <c r="F904" s="14">
        <f>CHOOSE(CONTROL!$C$42, 77.867, 77.867)*CHOOSE(CONTROL!$C$21, $C$9, 100%, $E$9)</f>
        <v>77.867000000000004</v>
      </c>
      <c r="G904" s="14">
        <f>CHOOSE(CONTROL!$C$42, 77.8826, 77.8826)*CHOOSE(CONTROL!$C$21, $C$9, 100%, $E$9)</f>
        <v>77.882599999999996</v>
      </c>
      <c r="H904" s="14">
        <f>CHOOSE(CONTROL!$C$42, 78.1091, 78.1091) * CHOOSE(CONTROL!$C$21, $C$9, 100%, $E$9)</f>
        <v>78.109099999999998</v>
      </c>
      <c r="I904" s="14">
        <f>CHOOSE(CONTROL!$C$42, 77.8952, 77.8952)* CHOOSE(CONTROL!$C$21, $C$9, 100%, $E$9)</f>
        <v>77.895200000000003</v>
      </c>
      <c r="J904" s="14">
        <f>CHOOSE(CONTROL!$C$42, 77.86, 77.86)* CHOOSE(CONTROL!$C$21, $C$9, 100%, $E$9)</f>
        <v>77.86</v>
      </c>
      <c r="K904" s="53">
        <f>CHOOSE(CONTROL!$C$42, 77.8913, 77.8913) * CHOOSE(CONTROL!$C$21, $C$9, 100%, $E$9)</f>
        <v>77.891300000000001</v>
      </c>
      <c r="L904" s="14">
        <f>CHOOSE(CONTROL!$C$42, 78.6961, 78.6961) * CHOOSE(CONTROL!$C$21, $C$9, 100%, $E$9)</f>
        <v>78.696100000000001</v>
      </c>
      <c r="M904" s="14">
        <f>CHOOSE(CONTROL!$C$42, 77.0881, 77.0881) * CHOOSE(CONTROL!$C$21, $C$9, 100%, $E$9)</f>
        <v>77.088099999999997</v>
      </c>
      <c r="N904" s="14">
        <f>CHOOSE(CONTROL!$C$42, 77.1036, 77.1036) * CHOOSE(CONTROL!$C$21, $C$9, 100%, $E$9)</f>
        <v>77.1036</v>
      </c>
      <c r="O904" s="14">
        <f>CHOOSE(CONTROL!$C$42, 77.3347, 77.3347) * CHOOSE(CONTROL!$C$21, $C$9, 100%, $E$9)</f>
        <v>77.334699999999998</v>
      </c>
      <c r="P904" s="14">
        <f>CHOOSE(CONTROL!$C$42, 77.123, 77.123) * CHOOSE(CONTROL!$C$21, $C$9, 100%, $E$9)</f>
        <v>77.123000000000005</v>
      </c>
      <c r="Q904" s="14">
        <f>CHOOSE(CONTROL!$C$42, 77.93, 77.93) * CHOOSE(CONTROL!$C$21, $C$9, 100%, $E$9)</f>
        <v>77.930000000000007</v>
      </c>
      <c r="R904" s="14">
        <f>CHOOSE(CONTROL!$C$42, 78.7118, 78.7118) * CHOOSE(CONTROL!$C$21, $C$9, 100%, $E$9)</f>
        <v>78.711799999999997</v>
      </c>
      <c r="S904" s="14">
        <f>CHOOSE(CONTROL!$C$42, 75.6287, 75.6287) * CHOOSE(CONTROL!$C$21, $C$9, 100%, $E$9)</f>
        <v>75.628699999999995</v>
      </c>
      <c r="T90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04" s="57">
        <f>(1000*CHOOSE(CONTROL!$C$42, 695, 695)*CHOOSE(CONTROL!$C$42, 0.5599, 0.5599)*CHOOSE(CONTROL!$C$42, 30, 30))/1000000</f>
        <v>11.673914999999997</v>
      </c>
      <c r="V904" s="57">
        <f>(1000*CHOOSE(CONTROL!$C$42, 500, 500)*CHOOSE(CONTROL!$C$42, 0.275, 0.275)*CHOOSE(CONTROL!$C$42, 30, 30))/1000000</f>
        <v>4.125</v>
      </c>
      <c r="W904" s="57">
        <f>(1000*CHOOSE(CONTROL!$C$42, 0.1146, 0.1146)*CHOOSE(CONTROL!$C$42, 121.5, 121.5)*CHOOSE(CONTROL!$C$42, 30, 30))/1000000</f>
        <v>0.417717</v>
      </c>
      <c r="X904" s="57">
        <f>(30*0.1790888*245000/1000000)+(30*0.2374*100000/1000000)</f>
        <v>2.0285026799999999</v>
      </c>
      <c r="Y904" s="57"/>
      <c r="Z904" s="14"/>
      <c r="AA904" s="56"/>
      <c r="AB904" s="50">
        <f>(B904*141.293+C904*267.993+D904*115.016+E904*89.698+F904*40+G904*185+H904*0+I904*100+J904*300)/(141.293+267.993+115.016+89.698+0+40+185+100+300)</f>
        <v>77.914683621468924</v>
      </c>
      <c r="AC904" s="45">
        <f>(M904*'RAP TEMPLATE-GAS AVAILABILITY'!O903+N904*'RAP TEMPLATE-GAS AVAILABILITY'!P903+O904*'RAP TEMPLATE-GAS AVAILABILITY'!Q903+P904*'RAP TEMPLATE-GAS AVAILABILITY'!R903)/('RAP TEMPLATE-GAS AVAILABILITY'!O903+'RAP TEMPLATE-GAS AVAILABILITY'!P903+'RAP TEMPLATE-GAS AVAILABILITY'!Q903+'RAP TEMPLATE-GAS AVAILABILITY'!R903)</f>
        <v>77.205782014388504</v>
      </c>
    </row>
    <row r="905" spans="1:29" ht="15.75" x14ac:dyDescent="0.25">
      <c r="A905" s="32">
        <v>68453</v>
      </c>
      <c r="B905" s="14">
        <f>CHOOSE(CONTROL!$C$42, 78.5712, 78.5712) * CHOOSE(CONTROL!$C$21, $C$9, 100%, $E$9)</f>
        <v>78.571200000000005</v>
      </c>
      <c r="C905" s="14">
        <f>CHOOSE(CONTROL!$C$42, 78.5791, 78.5791) * CHOOSE(CONTROL!$C$21, $C$9, 100%, $E$9)</f>
        <v>78.579099999999997</v>
      </c>
      <c r="D905" s="14">
        <f>CHOOSE(CONTROL!$C$42, 78.7767, 78.7767) * CHOOSE(CONTROL!$C$21, $C$9, 100%, $E$9)</f>
        <v>78.776700000000005</v>
      </c>
      <c r="E905" s="14">
        <f>CHOOSE(CONTROL!$C$42, 78.8078, 78.8078) * CHOOSE(CONTROL!$C$21, $C$9, 100%, $E$9)</f>
        <v>78.8078</v>
      </c>
      <c r="F905" s="14">
        <f>CHOOSE(CONTROL!$C$42, 78.5546, 78.5546)*CHOOSE(CONTROL!$C$21, $C$9, 100%, $E$9)</f>
        <v>78.554599999999994</v>
      </c>
      <c r="G905" s="14">
        <f>CHOOSE(CONTROL!$C$42, 78.5707, 78.5707)*CHOOSE(CONTROL!$C$21, $C$9, 100%, $E$9)</f>
        <v>78.570700000000002</v>
      </c>
      <c r="H905" s="14">
        <f>CHOOSE(CONTROL!$C$42, 78.7965, 78.7965) * CHOOSE(CONTROL!$C$21, $C$9, 100%, $E$9)</f>
        <v>78.796499999999995</v>
      </c>
      <c r="I905" s="14">
        <f>CHOOSE(CONTROL!$C$42, 78.5826, 78.5826)* CHOOSE(CONTROL!$C$21, $C$9, 100%, $E$9)</f>
        <v>78.582599999999999</v>
      </c>
      <c r="J905" s="14">
        <f>CHOOSE(CONTROL!$C$42, 78.5476, 78.5476)* CHOOSE(CONTROL!$C$21, $C$9, 100%, $E$9)</f>
        <v>78.547600000000003</v>
      </c>
      <c r="K905" s="53">
        <f>CHOOSE(CONTROL!$C$42, 78.5787, 78.5787) * CHOOSE(CONTROL!$C$21, $C$9, 100%, $E$9)</f>
        <v>78.578699999999998</v>
      </c>
      <c r="L905" s="14">
        <f>CHOOSE(CONTROL!$C$42, 79.3835, 79.3835) * CHOOSE(CONTROL!$C$21, $C$9, 100%, $E$9)</f>
        <v>79.383499999999998</v>
      </c>
      <c r="M905" s="14">
        <f>CHOOSE(CONTROL!$C$42, 77.7688, 77.7688) * CHOOSE(CONTROL!$C$21, $C$9, 100%, $E$9)</f>
        <v>77.768799999999999</v>
      </c>
      <c r="N905" s="14">
        <f>CHOOSE(CONTROL!$C$42, 77.7847, 77.7847) * CHOOSE(CONTROL!$C$21, $C$9, 100%, $E$9)</f>
        <v>77.784700000000001</v>
      </c>
      <c r="O905" s="14">
        <f>CHOOSE(CONTROL!$C$42, 78.0151, 78.0151) * CHOOSE(CONTROL!$C$21, $C$9, 100%, $E$9)</f>
        <v>78.015100000000004</v>
      </c>
      <c r="P905" s="14">
        <f>CHOOSE(CONTROL!$C$42, 77.8034, 77.8034) * CHOOSE(CONTROL!$C$21, $C$9, 100%, $E$9)</f>
        <v>77.803399999999996</v>
      </c>
      <c r="Q905" s="14">
        <f>CHOOSE(CONTROL!$C$42, 78.6104, 78.6104) * CHOOSE(CONTROL!$C$21, $C$9, 100%, $E$9)</f>
        <v>78.610399999999998</v>
      </c>
      <c r="R905" s="14">
        <f>CHOOSE(CONTROL!$C$42, 79.3939, 79.3939) * CHOOSE(CONTROL!$C$21, $C$9, 100%, $E$9)</f>
        <v>79.393900000000002</v>
      </c>
      <c r="S905" s="14">
        <f>CHOOSE(CONTROL!$C$42, 76.2962, 76.2962) * CHOOSE(CONTROL!$C$21, $C$9, 100%, $E$9)</f>
        <v>76.296199999999999</v>
      </c>
      <c r="T90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05" s="57">
        <f>(1000*CHOOSE(CONTROL!$C$42, 695, 695)*CHOOSE(CONTROL!$C$42, 0.5599, 0.5599)*CHOOSE(CONTROL!$C$42, 31, 31))/1000000</f>
        <v>12.063045499999998</v>
      </c>
      <c r="V905" s="57">
        <f>(1000*CHOOSE(CONTROL!$C$42, 500, 500)*CHOOSE(CONTROL!$C$42, 0.275, 0.275)*CHOOSE(CONTROL!$C$42, 31, 31))/1000000</f>
        <v>4.2625000000000002</v>
      </c>
      <c r="W905" s="57">
        <f>(1000*CHOOSE(CONTROL!$C$42, 0.1146, 0.1146)*CHOOSE(CONTROL!$C$42, 121.5, 121.5)*CHOOSE(CONTROL!$C$42, 31, 31))/1000000</f>
        <v>0.43164089999999994</v>
      </c>
      <c r="X905" s="57">
        <f>(31*0.1790888*245000/1000000)+(31*0.2374*100000/1000000)</f>
        <v>2.0961194359999999</v>
      </c>
      <c r="Y905" s="57"/>
      <c r="Z905" s="14"/>
      <c r="AA905" s="56"/>
      <c r="AB905" s="50">
        <f>(B905*194.205+C905*267.466+D905*133.845+E905*53.484+F905*40+G905*185+H905*0+I905*100+J905*300)/(194.205+267.466+133.845+53.484+0+40+185+100+300)</f>
        <v>78.599124602276291</v>
      </c>
      <c r="AC905" s="45">
        <f>(M905*'RAP TEMPLATE-GAS AVAILABILITY'!O904+N905*'RAP TEMPLATE-GAS AVAILABILITY'!P904+O905*'RAP TEMPLATE-GAS AVAILABILITY'!Q904+P905*'RAP TEMPLATE-GAS AVAILABILITY'!R904)/('RAP TEMPLATE-GAS AVAILABILITY'!O904+'RAP TEMPLATE-GAS AVAILABILITY'!P904+'RAP TEMPLATE-GAS AVAILABILITY'!Q904+'RAP TEMPLATE-GAS AVAILABILITY'!R904)</f>
        <v>77.886325899280564</v>
      </c>
    </row>
    <row r="906" spans="1:29" ht="15.75" x14ac:dyDescent="0.25">
      <c r="A906" s="32">
        <v>68483</v>
      </c>
      <c r="B906" s="14">
        <f>CHOOSE(CONTROL!$C$42, 80.7998, 80.7998) * CHOOSE(CONTROL!$C$21, $C$9, 100%, $E$9)</f>
        <v>80.799800000000005</v>
      </c>
      <c r="C906" s="14">
        <f>CHOOSE(CONTROL!$C$42, 80.8077, 80.8077) * CHOOSE(CONTROL!$C$21, $C$9, 100%, $E$9)</f>
        <v>80.807699999999997</v>
      </c>
      <c r="D906" s="14">
        <f>CHOOSE(CONTROL!$C$42, 81.0053, 81.0053) * CHOOSE(CONTROL!$C$21, $C$9, 100%, $E$9)</f>
        <v>81.005300000000005</v>
      </c>
      <c r="E906" s="14">
        <f>CHOOSE(CONTROL!$C$42, 81.0365, 81.0365) * CHOOSE(CONTROL!$C$21, $C$9, 100%, $E$9)</f>
        <v>81.036500000000004</v>
      </c>
      <c r="F906" s="14">
        <f>CHOOSE(CONTROL!$C$42, 80.7837, 80.7837)*CHOOSE(CONTROL!$C$21, $C$9, 100%, $E$9)</f>
        <v>80.783699999999996</v>
      </c>
      <c r="G906" s="14">
        <f>CHOOSE(CONTROL!$C$42, 80.7999, 80.7999)*CHOOSE(CONTROL!$C$21, $C$9, 100%, $E$9)</f>
        <v>80.799899999999994</v>
      </c>
      <c r="H906" s="14">
        <f>CHOOSE(CONTROL!$C$42, 81.0251, 81.0251) * CHOOSE(CONTROL!$C$21, $C$9, 100%, $E$9)</f>
        <v>81.025099999999995</v>
      </c>
      <c r="I906" s="14">
        <f>CHOOSE(CONTROL!$C$42, 80.8112, 80.8112)* CHOOSE(CONTROL!$C$21, $C$9, 100%, $E$9)</f>
        <v>80.811199999999999</v>
      </c>
      <c r="J906" s="14">
        <f>CHOOSE(CONTROL!$C$42, 80.7767, 80.7767)* CHOOSE(CONTROL!$C$21, $C$9, 100%, $E$9)</f>
        <v>80.776700000000005</v>
      </c>
      <c r="K906" s="53">
        <f>CHOOSE(CONTROL!$C$42, 80.8073, 80.8073) * CHOOSE(CONTROL!$C$21, $C$9, 100%, $E$9)</f>
        <v>80.807299999999998</v>
      </c>
      <c r="L906" s="14">
        <f>CHOOSE(CONTROL!$C$42, 81.6121, 81.6121) * CHOOSE(CONTROL!$C$21, $C$9, 100%, $E$9)</f>
        <v>81.612099999999998</v>
      </c>
      <c r="M906" s="14">
        <f>CHOOSE(CONTROL!$C$42, 79.9753, 79.9753) * CHOOSE(CONTROL!$C$21, $C$9, 100%, $E$9)</f>
        <v>79.975300000000004</v>
      </c>
      <c r="N906" s="14">
        <f>CHOOSE(CONTROL!$C$42, 79.9913, 79.9913) * CHOOSE(CONTROL!$C$21, $C$9, 100%, $E$9)</f>
        <v>79.991299999999995</v>
      </c>
      <c r="O906" s="14">
        <f>CHOOSE(CONTROL!$C$42, 80.2212, 80.2212) * CHOOSE(CONTROL!$C$21, $C$9, 100%, $E$9)</f>
        <v>80.221199999999996</v>
      </c>
      <c r="P906" s="14">
        <f>CHOOSE(CONTROL!$C$42, 80.0095, 80.0095) * CHOOSE(CONTROL!$C$21, $C$9, 100%, $E$9)</f>
        <v>80.009500000000003</v>
      </c>
      <c r="Q906" s="14">
        <f>CHOOSE(CONTROL!$C$42, 80.8165, 80.8165) * CHOOSE(CONTROL!$C$21, $C$9, 100%, $E$9)</f>
        <v>80.816500000000005</v>
      </c>
      <c r="R906" s="14">
        <f>CHOOSE(CONTROL!$C$42, 81.6056, 81.6056) * CHOOSE(CONTROL!$C$21, $C$9, 100%, $E$9)</f>
        <v>81.605599999999995</v>
      </c>
      <c r="S906" s="14">
        <f>CHOOSE(CONTROL!$C$42, 78.4605, 78.4605) * CHOOSE(CONTROL!$C$21, $C$9, 100%, $E$9)</f>
        <v>78.460499999999996</v>
      </c>
      <c r="T90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06" s="57">
        <f>(1000*CHOOSE(CONTROL!$C$42, 695, 695)*CHOOSE(CONTROL!$C$42, 0.5599, 0.5599)*CHOOSE(CONTROL!$C$42, 30, 30))/1000000</f>
        <v>11.673914999999997</v>
      </c>
      <c r="V906" s="57">
        <f>(1000*CHOOSE(CONTROL!$C$42, 500, 500)*CHOOSE(CONTROL!$C$42, 0.275, 0.275)*CHOOSE(CONTROL!$C$42, 30, 30))/1000000</f>
        <v>4.125</v>
      </c>
      <c r="W906" s="57">
        <f>(1000*CHOOSE(CONTROL!$C$42, 0.1146, 0.1146)*CHOOSE(CONTROL!$C$42, 121.5, 121.5)*CHOOSE(CONTROL!$C$42, 30, 30))/1000000</f>
        <v>0.417717</v>
      </c>
      <c r="X906" s="57">
        <f>(30*0.1790888*245000/1000000)+(30*0.2374*100000/1000000)</f>
        <v>2.0285026799999999</v>
      </c>
      <c r="Y906" s="57"/>
      <c r="Z906" s="14"/>
      <c r="AA906" s="56"/>
      <c r="AB906" s="50">
        <f>(B906*194.205+C906*267.466+D906*133.845+E906*53.484+F906*40+G906*185+H906*0+I906*100+J906*300)/(194.205+267.466+133.845+53.484+0+40+185+100+300)</f>
        <v>80.827949365541599</v>
      </c>
      <c r="AC906" s="45">
        <f>(M906*'RAP TEMPLATE-GAS AVAILABILITY'!O905+N906*'RAP TEMPLATE-GAS AVAILABILITY'!P905+O906*'RAP TEMPLATE-GAS AVAILABILITY'!Q905+P906*'RAP TEMPLATE-GAS AVAILABILITY'!R905)/('RAP TEMPLATE-GAS AVAILABILITY'!O905+'RAP TEMPLATE-GAS AVAILABILITY'!P905+'RAP TEMPLATE-GAS AVAILABILITY'!Q905+'RAP TEMPLATE-GAS AVAILABILITY'!R905)</f>
        <v>80.092592805755388</v>
      </c>
    </row>
    <row r="907" spans="1:29" ht="15.75" x14ac:dyDescent="0.25">
      <c r="A907" s="32">
        <v>68514</v>
      </c>
      <c r="B907" s="14">
        <f>CHOOSE(CONTROL!$C$42, 79.2498, 79.2498) * CHOOSE(CONTROL!$C$21, $C$9, 100%, $E$9)</f>
        <v>79.249799999999993</v>
      </c>
      <c r="C907" s="14">
        <f>CHOOSE(CONTROL!$C$42, 79.2577, 79.2577) * CHOOSE(CONTROL!$C$21, $C$9, 100%, $E$9)</f>
        <v>79.2577</v>
      </c>
      <c r="D907" s="14">
        <f>CHOOSE(CONTROL!$C$42, 79.4553, 79.4553) * CHOOSE(CONTROL!$C$21, $C$9, 100%, $E$9)</f>
        <v>79.455299999999994</v>
      </c>
      <c r="E907" s="14">
        <f>CHOOSE(CONTROL!$C$42, 79.4864, 79.4864) * CHOOSE(CONTROL!$C$21, $C$9, 100%, $E$9)</f>
        <v>79.486400000000003</v>
      </c>
      <c r="F907" s="14">
        <f>CHOOSE(CONTROL!$C$42, 79.2341, 79.2341)*CHOOSE(CONTROL!$C$21, $C$9, 100%, $E$9)</f>
        <v>79.234099999999998</v>
      </c>
      <c r="G907" s="14">
        <f>CHOOSE(CONTROL!$C$42, 79.2504, 79.2504)*CHOOSE(CONTROL!$C$21, $C$9, 100%, $E$9)</f>
        <v>79.250399999999999</v>
      </c>
      <c r="H907" s="14">
        <f>CHOOSE(CONTROL!$C$42, 79.4751, 79.4751) * CHOOSE(CONTROL!$C$21, $C$9, 100%, $E$9)</f>
        <v>79.475099999999998</v>
      </c>
      <c r="I907" s="14">
        <f>CHOOSE(CONTROL!$C$42, 79.2612, 79.2612)* CHOOSE(CONTROL!$C$21, $C$9, 100%, $E$9)</f>
        <v>79.261200000000002</v>
      </c>
      <c r="J907" s="14">
        <f>CHOOSE(CONTROL!$C$42, 79.2271, 79.2271)* CHOOSE(CONTROL!$C$21, $C$9, 100%, $E$9)</f>
        <v>79.227099999999993</v>
      </c>
      <c r="K907" s="53">
        <f>CHOOSE(CONTROL!$C$42, 79.2573, 79.2573) * CHOOSE(CONTROL!$C$21, $C$9, 100%, $E$9)</f>
        <v>79.257300000000001</v>
      </c>
      <c r="L907" s="14">
        <f>CHOOSE(CONTROL!$C$42, 80.0621, 80.0621) * CHOOSE(CONTROL!$C$21, $C$9, 100%, $E$9)</f>
        <v>80.062100000000001</v>
      </c>
      <c r="M907" s="14">
        <f>CHOOSE(CONTROL!$C$42, 78.4413, 78.4413) * CHOOSE(CONTROL!$C$21, $C$9, 100%, $E$9)</f>
        <v>78.441299999999998</v>
      </c>
      <c r="N907" s="14">
        <f>CHOOSE(CONTROL!$C$42, 78.4575, 78.4575) * CHOOSE(CONTROL!$C$21, $C$9, 100%, $E$9)</f>
        <v>78.457499999999996</v>
      </c>
      <c r="O907" s="14">
        <f>CHOOSE(CONTROL!$C$42, 78.6869, 78.6869) * CHOOSE(CONTROL!$C$21, $C$9, 100%, $E$9)</f>
        <v>78.686899999999994</v>
      </c>
      <c r="P907" s="14">
        <f>CHOOSE(CONTROL!$C$42, 78.4752, 78.4752) * CHOOSE(CONTROL!$C$21, $C$9, 100%, $E$9)</f>
        <v>78.475200000000001</v>
      </c>
      <c r="Q907" s="14">
        <f>CHOOSE(CONTROL!$C$42, 79.2822, 79.2822) * CHOOSE(CONTROL!$C$21, $C$9, 100%, $E$9)</f>
        <v>79.282200000000003</v>
      </c>
      <c r="R907" s="14">
        <f>CHOOSE(CONTROL!$C$42, 80.0674, 80.0674) * CHOOSE(CONTROL!$C$21, $C$9, 100%, $E$9)</f>
        <v>80.067400000000006</v>
      </c>
      <c r="S907" s="14">
        <f>CHOOSE(CONTROL!$C$42, 76.9552, 76.9552) * CHOOSE(CONTROL!$C$21, $C$9, 100%, $E$9)</f>
        <v>76.955200000000005</v>
      </c>
      <c r="T90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07" s="57">
        <f>(1000*CHOOSE(CONTROL!$C$42, 695, 695)*CHOOSE(CONTROL!$C$42, 0.5599, 0.5599)*CHOOSE(CONTROL!$C$42, 31, 31))/1000000</f>
        <v>12.063045499999998</v>
      </c>
      <c r="V907" s="57">
        <f>(1000*CHOOSE(CONTROL!$C$42, 500, 500)*CHOOSE(CONTROL!$C$42, 0.275, 0.275)*CHOOSE(CONTROL!$C$42, 31, 31))/1000000</f>
        <v>4.2625000000000002</v>
      </c>
      <c r="W907" s="57">
        <f>(1000*CHOOSE(CONTROL!$C$42, 0.1146, 0.1146)*CHOOSE(CONTROL!$C$42, 121.5, 121.5)*CHOOSE(CONTROL!$C$42, 31, 31))/1000000</f>
        <v>0.43164089999999994</v>
      </c>
      <c r="X907" s="57">
        <f>(31*0.1790888*245000/1000000)+(31*0.2374*100000/1000000)</f>
        <v>2.0961194359999999</v>
      </c>
      <c r="Y907" s="57"/>
      <c r="Z907" s="14"/>
      <c r="AA907" s="56"/>
      <c r="AB907" s="50">
        <f>(B907*194.205+C907*267.466+D907*133.845+E907*53.484+F907*40+G907*185+H907*0+I907*100+J907*300)/(194.205+267.466+133.845+53.484+0+40+185+100+300)</f>
        <v>79.278124523783362</v>
      </c>
      <c r="AC907" s="45">
        <f>(M907*'RAP TEMPLATE-GAS AVAILABILITY'!O906+N907*'RAP TEMPLATE-GAS AVAILABILITY'!P906+O907*'RAP TEMPLATE-GAS AVAILABILITY'!Q906+P907*'RAP TEMPLATE-GAS AVAILABILITY'!R906)/('RAP TEMPLATE-GAS AVAILABILITY'!O906+'RAP TEMPLATE-GAS AVAILABILITY'!P906+'RAP TEMPLATE-GAS AVAILABILITY'!Q906+'RAP TEMPLATE-GAS AVAILABILITY'!R906)</f>
        <v>78.558425179856116</v>
      </c>
    </row>
    <row r="908" spans="1:29" ht="15.75" x14ac:dyDescent="0.25">
      <c r="A908" s="32">
        <v>68545</v>
      </c>
      <c r="B908" s="14">
        <f>CHOOSE(CONTROL!$C$42, 75.3355, 75.3355) * CHOOSE(CONTROL!$C$21, $C$9, 100%, $E$9)</f>
        <v>75.335499999999996</v>
      </c>
      <c r="C908" s="14">
        <f>CHOOSE(CONTROL!$C$42, 75.3434, 75.3434) * CHOOSE(CONTROL!$C$21, $C$9, 100%, $E$9)</f>
        <v>75.343400000000003</v>
      </c>
      <c r="D908" s="14">
        <f>CHOOSE(CONTROL!$C$42, 75.541, 75.541) * CHOOSE(CONTROL!$C$21, $C$9, 100%, $E$9)</f>
        <v>75.540999999999997</v>
      </c>
      <c r="E908" s="14">
        <f>CHOOSE(CONTROL!$C$42, 75.5721, 75.5721) * CHOOSE(CONTROL!$C$21, $C$9, 100%, $E$9)</f>
        <v>75.572100000000006</v>
      </c>
      <c r="F908" s="14">
        <f>CHOOSE(CONTROL!$C$42, 75.3199, 75.3199)*CHOOSE(CONTROL!$C$21, $C$9, 100%, $E$9)</f>
        <v>75.319900000000004</v>
      </c>
      <c r="G908" s="14">
        <f>CHOOSE(CONTROL!$C$42, 75.3363, 75.3363)*CHOOSE(CONTROL!$C$21, $C$9, 100%, $E$9)</f>
        <v>75.336299999999994</v>
      </c>
      <c r="H908" s="14">
        <f>CHOOSE(CONTROL!$C$42, 75.5608, 75.5608) * CHOOSE(CONTROL!$C$21, $C$9, 100%, $E$9)</f>
        <v>75.5608</v>
      </c>
      <c r="I908" s="14">
        <f>CHOOSE(CONTROL!$C$42, 75.3469, 75.3469)* CHOOSE(CONTROL!$C$21, $C$9, 100%, $E$9)</f>
        <v>75.346900000000005</v>
      </c>
      <c r="J908" s="14">
        <f>CHOOSE(CONTROL!$C$42, 75.3129, 75.3129)* CHOOSE(CONTROL!$C$21, $C$9, 100%, $E$9)</f>
        <v>75.312899999999999</v>
      </c>
      <c r="K908" s="53">
        <f>CHOOSE(CONTROL!$C$42, 75.343, 75.343) * CHOOSE(CONTROL!$C$21, $C$9, 100%, $E$9)</f>
        <v>75.343000000000004</v>
      </c>
      <c r="L908" s="14">
        <f>CHOOSE(CONTROL!$C$42, 76.1478, 76.1478) * CHOOSE(CONTROL!$C$21, $C$9, 100%, $E$9)</f>
        <v>76.147800000000004</v>
      </c>
      <c r="M908" s="14">
        <f>CHOOSE(CONTROL!$C$42, 74.5667, 74.5667) * CHOOSE(CONTROL!$C$21, $C$9, 100%, $E$9)</f>
        <v>74.566699999999997</v>
      </c>
      <c r="N908" s="14">
        <f>CHOOSE(CONTROL!$C$42, 74.5829, 74.5829) * CHOOSE(CONTROL!$C$21, $C$9, 100%, $E$9)</f>
        <v>74.582899999999995</v>
      </c>
      <c r="O908" s="14">
        <f>CHOOSE(CONTROL!$C$42, 74.8121, 74.8121) * CHOOSE(CONTROL!$C$21, $C$9, 100%, $E$9)</f>
        <v>74.812100000000001</v>
      </c>
      <c r="P908" s="14">
        <f>CHOOSE(CONTROL!$C$42, 74.6004, 74.6004) * CHOOSE(CONTROL!$C$21, $C$9, 100%, $E$9)</f>
        <v>74.600399999999993</v>
      </c>
      <c r="Q908" s="14">
        <f>CHOOSE(CONTROL!$C$42, 75.4074, 75.4074) * CHOOSE(CONTROL!$C$21, $C$9, 100%, $E$9)</f>
        <v>75.407399999999996</v>
      </c>
      <c r="R908" s="14">
        <f>CHOOSE(CONTROL!$C$42, 76.1829, 76.1829) * CHOOSE(CONTROL!$C$21, $C$9, 100%, $E$9)</f>
        <v>76.182900000000004</v>
      </c>
      <c r="S908" s="14">
        <f>CHOOSE(CONTROL!$C$42, 73.1541, 73.1541) * CHOOSE(CONTROL!$C$21, $C$9, 100%, $E$9)</f>
        <v>73.1541</v>
      </c>
      <c r="T90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08" s="57">
        <f>(1000*CHOOSE(CONTROL!$C$42, 695, 695)*CHOOSE(CONTROL!$C$42, 0.5599, 0.5599)*CHOOSE(CONTROL!$C$42, 31, 31))/1000000</f>
        <v>12.063045499999998</v>
      </c>
      <c r="V908" s="57">
        <f>(1000*CHOOSE(CONTROL!$C$42, 500, 500)*CHOOSE(CONTROL!$C$42, 0.275, 0.275)*CHOOSE(CONTROL!$C$42, 31, 31))/1000000</f>
        <v>4.2625000000000002</v>
      </c>
      <c r="W908" s="57">
        <f>(1000*CHOOSE(CONTROL!$C$42, 0.1146, 0.1146)*CHOOSE(CONTROL!$C$42, 121.5, 121.5)*CHOOSE(CONTROL!$C$42, 31, 31))/1000000</f>
        <v>0.43164089999999994</v>
      </c>
      <c r="X908" s="57">
        <f>(31*0.1790888*245000/1000000)+(31*0.2374*100000/1000000)</f>
        <v>2.0961194359999999</v>
      </c>
      <c r="Y908" s="57"/>
      <c r="Z908" s="14"/>
      <c r="AA908" s="56"/>
      <c r="AB908" s="50">
        <f>(B908*194.205+C908*267.466+D908*133.845+E908*53.484+F908*40+G908*185+H908*0+I908*100+J908*300)/(194.205+267.466+133.845+53.484+0+40+185+100+300)</f>
        <v>75.363880253767661</v>
      </c>
      <c r="AC908" s="45">
        <f>(M908*'RAP TEMPLATE-GAS AVAILABILITY'!O907+N908*'RAP TEMPLATE-GAS AVAILABILITY'!P907+O908*'RAP TEMPLATE-GAS AVAILABILITY'!Q907+P908*'RAP TEMPLATE-GAS AVAILABILITY'!R907)/('RAP TEMPLATE-GAS AVAILABILITY'!O907+'RAP TEMPLATE-GAS AVAILABILITY'!P907+'RAP TEMPLATE-GAS AVAILABILITY'!Q907+'RAP TEMPLATE-GAS AVAILABILITY'!R907)</f>
        <v>74.683705755395678</v>
      </c>
    </row>
    <row r="909" spans="1:29" ht="15.75" x14ac:dyDescent="0.25">
      <c r="A909" s="32">
        <v>68575</v>
      </c>
      <c r="B909" s="14">
        <f>CHOOSE(CONTROL!$C$42, 70.5526, 70.5526) * CHOOSE(CONTROL!$C$21, $C$9, 100%, $E$9)</f>
        <v>70.552599999999998</v>
      </c>
      <c r="C909" s="14">
        <f>CHOOSE(CONTROL!$C$42, 70.5605, 70.5605) * CHOOSE(CONTROL!$C$21, $C$9, 100%, $E$9)</f>
        <v>70.560500000000005</v>
      </c>
      <c r="D909" s="14">
        <f>CHOOSE(CONTROL!$C$42, 70.7581, 70.7581) * CHOOSE(CONTROL!$C$21, $C$9, 100%, $E$9)</f>
        <v>70.758099999999999</v>
      </c>
      <c r="E909" s="14">
        <f>CHOOSE(CONTROL!$C$42, 70.7892, 70.7892) * CHOOSE(CONTROL!$C$21, $C$9, 100%, $E$9)</f>
        <v>70.789199999999994</v>
      </c>
      <c r="F909" s="14">
        <f>CHOOSE(CONTROL!$C$42, 70.5369, 70.5369)*CHOOSE(CONTROL!$C$21, $C$9, 100%, $E$9)</f>
        <v>70.536900000000003</v>
      </c>
      <c r="G909" s="14">
        <f>CHOOSE(CONTROL!$C$42, 70.5533, 70.5533)*CHOOSE(CONTROL!$C$21, $C$9, 100%, $E$9)</f>
        <v>70.553299999999993</v>
      </c>
      <c r="H909" s="14">
        <f>CHOOSE(CONTROL!$C$42, 70.7778, 70.7778) * CHOOSE(CONTROL!$C$21, $C$9, 100%, $E$9)</f>
        <v>70.777799999999999</v>
      </c>
      <c r="I909" s="14">
        <f>CHOOSE(CONTROL!$C$42, 70.5639, 70.5639)* CHOOSE(CONTROL!$C$21, $C$9, 100%, $E$9)</f>
        <v>70.563900000000004</v>
      </c>
      <c r="J909" s="14">
        <f>CHOOSE(CONTROL!$C$42, 70.5299, 70.5299)* CHOOSE(CONTROL!$C$21, $C$9, 100%, $E$9)</f>
        <v>70.529899999999998</v>
      </c>
      <c r="K909" s="53">
        <f>CHOOSE(CONTROL!$C$42, 70.56, 70.56) * CHOOSE(CONTROL!$C$21, $C$9, 100%, $E$9)</f>
        <v>70.56</v>
      </c>
      <c r="L909" s="14">
        <f>CHOOSE(CONTROL!$C$42, 71.3648, 71.3648) * CHOOSE(CONTROL!$C$21, $C$9, 100%, $E$9)</f>
        <v>71.364800000000002</v>
      </c>
      <c r="M909" s="14">
        <f>CHOOSE(CONTROL!$C$42, 69.832, 69.832) * CHOOSE(CONTROL!$C$21, $C$9, 100%, $E$9)</f>
        <v>69.831999999999994</v>
      </c>
      <c r="N909" s="14">
        <f>CHOOSE(CONTROL!$C$42, 69.8482, 69.8482) * CHOOSE(CONTROL!$C$21, $C$9, 100%, $E$9)</f>
        <v>69.848200000000006</v>
      </c>
      <c r="O909" s="14">
        <f>CHOOSE(CONTROL!$C$42, 70.0774, 70.0774) * CHOOSE(CONTROL!$C$21, $C$9, 100%, $E$9)</f>
        <v>70.077399999999997</v>
      </c>
      <c r="P909" s="14">
        <f>CHOOSE(CONTROL!$C$42, 69.8657, 69.8657) * CHOOSE(CONTROL!$C$21, $C$9, 100%, $E$9)</f>
        <v>69.865700000000004</v>
      </c>
      <c r="Q909" s="14">
        <f>CHOOSE(CONTROL!$C$42, 70.6727, 70.6727) * CHOOSE(CONTROL!$C$21, $C$9, 100%, $E$9)</f>
        <v>70.672700000000006</v>
      </c>
      <c r="R909" s="14">
        <f>CHOOSE(CONTROL!$C$42, 71.4364, 71.4364) * CHOOSE(CONTROL!$C$21, $C$9, 100%, $E$9)</f>
        <v>71.436400000000006</v>
      </c>
      <c r="S909" s="14">
        <f>CHOOSE(CONTROL!$C$42, 68.5093, 68.5093) * CHOOSE(CONTROL!$C$21, $C$9, 100%, $E$9)</f>
        <v>68.509299999999996</v>
      </c>
      <c r="T90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09" s="57">
        <f>(1000*CHOOSE(CONTROL!$C$42, 695, 695)*CHOOSE(CONTROL!$C$42, 0.5599, 0.5599)*CHOOSE(CONTROL!$C$42, 30, 30))/1000000</f>
        <v>11.673914999999997</v>
      </c>
      <c r="V909" s="57">
        <f>(1000*CHOOSE(CONTROL!$C$42, 500, 500)*CHOOSE(CONTROL!$C$42, 0.275, 0.275)*CHOOSE(CONTROL!$C$42, 30, 30))/1000000</f>
        <v>4.125</v>
      </c>
      <c r="W909" s="57">
        <f>(1000*CHOOSE(CONTROL!$C$42, 0.1146, 0.1146)*CHOOSE(CONTROL!$C$42, 121.5, 121.5)*CHOOSE(CONTROL!$C$42, 30, 30))/1000000</f>
        <v>0.417717</v>
      </c>
      <c r="X909" s="57">
        <f>(30*0.1790888*245000/1000000)+(30*0.2374*100000/1000000)</f>
        <v>2.0285026799999999</v>
      </c>
      <c r="Y909" s="57"/>
      <c r="Z909" s="14"/>
      <c r="AA909" s="56"/>
      <c r="AB909" s="50">
        <f>(B909*194.205+C909*267.466+D909*133.845+E909*53.484+F909*40+G909*185+H909*0+I909*100+J909*300)/(194.205+267.466+133.845+53.484+0+40+185+100+300)</f>
        <v>70.580931195682894</v>
      </c>
      <c r="AC909" s="45">
        <f>(M909*'RAP TEMPLATE-GAS AVAILABILITY'!O908+N909*'RAP TEMPLATE-GAS AVAILABILITY'!P908+O909*'RAP TEMPLATE-GAS AVAILABILITY'!Q908+P909*'RAP TEMPLATE-GAS AVAILABILITY'!R908)/('RAP TEMPLATE-GAS AVAILABILITY'!O908+'RAP TEMPLATE-GAS AVAILABILITY'!P908+'RAP TEMPLATE-GAS AVAILABILITY'!Q908+'RAP TEMPLATE-GAS AVAILABILITY'!R908)</f>
        <v>69.949005755395689</v>
      </c>
    </row>
    <row r="910" spans="1:29" ht="15.75" x14ac:dyDescent="0.25">
      <c r="A910" s="32">
        <v>68606</v>
      </c>
      <c r="B910" s="14">
        <f>CHOOSE(CONTROL!$C$42, 69.1184, 69.1184) * CHOOSE(CONTROL!$C$21, $C$9, 100%, $E$9)</f>
        <v>69.118399999999994</v>
      </c>
      <c r="C910" s="14">
        <f>CHOOSE(CONTROL!$C$42, 69.1236, 69.1236) * CHOOSE(CONTROL!$C$21, $C$9, 100%, $E$9)</f>
        <v>69.123599999999996</v>
      </c>
      <c r="D910" s="14">
        <f>CHOOSE(CONTROL!$C$42, 69.3262, 69.3262) * CHOOSE(CONTROL!$C$21, $C$9, 100%, $E$9)</f>
        <v>69.3262</v>
      </c>
      <c r="E910" s="14">
        <f>CHOOSE(CONTROL!$C$42, 69.355, 69.355) * CHOOSE(CONTROL!$C$21, $C$9, 100%, $E$9)</f>
        <v>69.355000000000004</v>
      </c>
      <c r="F910" s="14">
        <f>CHOOSE(CONTROL!$C$42, 69.1048, 69.1048)*CHOOSE(CONTROL!$C$21, $C$9, 100%, $E$9)</f>
        <v>69.104799999999997</v>
      </c>
      <c r="G910" s="14">
        <f>CHOOSE(CONTROL!$C$42, 69.1208, 69.1208)*CHOOSE(CONTROL!$C$21, $C$9, 100%, $E$9)</f>
        <v>69.120800000000003</v>
      </c>
      <c r="H910" s="14">
        <f>CHOOSE(CONTROL!$C$42, 69.3454, 69.3454) * CHOOSE(CONTROL!$C$21, $C$9, 100%, $E$9)</f>
        <v>69.345399999999998</v>
      </c>
      <c r="I910" s="14">
        <f>CHOOSE(CONTROL!$C$42, 69.1315, 69.1315)* CHOOSE(CONTROL!$C$21, $C$9, 100%, $E$9)</f>
        <v>69.131500000000003</v>
      </c>
      <c r="J910" s="14">
        <f>CHOOSE(CONTROL!$C$42, 69.0978, 69.0978)* CHOOSE(CONTROL!$C$21, $C$9, 100%, $E$9)</f>
        <v>69.097800000000007</v>
      </c>
      <c r="K910" s="53">
        <f>CHOOSE(CONTROL!$C$42, 69.1276, 69.1276) * CHOOSE(CONTROL!$C$21, $C$9, 100%, $E$9)</f>
        <v>69.127600000000001</v>
      </c>
      <c r="L910" s="14">
        <f>CHOOSE(CONTROL!$C$42, 69.9324, 69.9324) * CHOOSE(CONTROL!$C$21, $C$9, 100%, $E$9)</f>
        <v>69.932400000000001</v>
      </c>
      <c r="M910" s="14">
        <f>CHOOSE(CONTROL!$C$42, 68.4143, 68.4143) * CHOOSE(CONTROL!$C$21, $C$9, 100%, $E$9)</f>
        <v>68.414299999999997</v>
      </c>
      <c r="N910" s="14">
        <f>CHOOSE(CONTROL!$C$42, 68.4301, 68.4301) * CHOOSE(CONTROL!$C$21, $C$9, 100%, $E$9)</f>
        <v>68.430099999999996</v>
      </c>
      <c r="O910" s="14">
        <f>CHOOSE(CONTROL!$C$42, 68.6595, 68.6595) * CHOOSE(CONTROL!$C$21, $C$9, 100%, $E$9)</f>
        <v>68.659499999999994</v>
      </c>
      <c r="P910" s="14">
        <f>CHOOSE(CONTROL!$C$42, 68.4477, 68.4477) * CHOOSE(CONTROL!$C$21, $C$9, 100%, $E$9)</f>
        <v>68.447699999999998</v>
      </c>
      <c r="Q910" s="14">
        <f>CHOOSE(CONTROL!$C$42, 69.2548, 69.2548) * CHOOSE(CONTROL!$C$21, $C$9, 100%, $E$9)</f>
        <v>69.254800000000003</v>
      </c>
      <c r="R910" s="14">
        <f>CHOOSE(CONTROL!$C$42, 70.0149, 70.0149) * CHOOSE(CONTROL!$C$21, $C$9, 100%, $E$9)</f>
        <v>70.014899999999997</v>
      </c>
      <c r="S910" s="14">
        <f>CHOOSE(CONTROL!$C$42, 67.1183, 67.1183) * CHOOSE(CONTROL!$C$21, $C$9, 100%, $E$9)</f>
        <v>67.118300000000005</v>
      </c>
      <c r="T91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10" s="57">
        <f>(1000*CHOOSE(CONTROL!$C$42, 695, 695)*CHOOSE(CONTROL!$C$42, 0.5599, 0.5599)*CHOOSE(CONTROL!$C$42, 31, 31))/1000000</f>
        <v>12.063045499999998</v>
      </c>
      <c r="V910" s="57">
        <f>(1000*CHOOSE(CONTROL!$C$42, 500, 500)*CHOOSE(CONTROL!$C$42, 0.275, 0.275)*CHOOSE(CONTROL!$C$42, 31, 31))/1000000</f>
        <v>4.2625000000000002</v>
      </c>
      <c r="W910" s="57">
        <f>(1000*CHOOSE(CONTROL!$C$42, 0.1146, 0.1146)*CHOOSE(CONTROL!$C$42, 121.5, 121.5)*CHOOSE(CONTROL!$C$42, 31, 31))/1000000</f>
        <v>0.43164089999999994</v>
      </c>
      <c r="X910" s="57">
        <f>(31*0.1790888*245000/1000000)+(31*0.2374*100000/1000000)</f>
        <v>2.0961194359999999</v>
      </c>
      <c r="Y910" s="57"/>
      <c r="Z910" s="14"/>
      <c r="AA910" s="56"/>
      <c r="AB910" s="50">
        <f>(B910*131.881+C910*277.167+D910*79.08+E910*125.872+F910*40+G910*185+H910*0+I910*100+J910*300)/(131.881+277.167+79.08+125.872+0+40+185+100+300)</f>
        <v>69.152851499273609</v>
      </c>
      <c r="AC910" s="45">
        <f>(M910*'RAP TEMPLATE-GAS AVAILABILITY'!O909+N910*'RAP TEMPLATE-GAS AVAILABILITY'!P909+O910*'RAP TEMPLATE-GAS AVAILABILITY'!Q909+P910*'RAP TEMPLATE-GAS AVAILABILITY'!R909)/('RAP TEMPLATE-GAS AVAILABILITY'!O909+'RAP TEMPLATE-GAS AVAILABILITY'!P909+'RAP TEMPLATE-GAS AVAILABILITY'!Q909+'RAP TEMPLATE-GAS AVAILABILITY'!R909)</f>
        <v>68.531148920863288</v>
      </c>
    </row>
    <row r="911" spans="1:29" ht="15.75" x14ac:dyDescent="0.25">
      <c r="A911" s="32">
        <v>68636</v>
      </c>
      <c r="B911" s="14">
        <f>CHOOSE(CONTROL!$C$42, 70.9388, 70.9388) * CHOOSE(CONTROL!$C$21, $C$9, 100%, $E$9)</f>
        <v>70.938800000000001</v>
      </c>
      <c r="C911" s="14">
        <f>CHOOSE(CONTROL!$C$42, 70.9438, 70.9438) * CHOOSE(CONTROL!$C$21, $C$9, 100%, $E$9)</f>
        <v>70.943799999999996</v>
      </c>
      <c r="D911" s="14">
        <f>CHOOSE(CONTROL!$C$42, 71.0068, 71.0068) * CHOOSE(CONTROL!$C$21, $C$9, 100%, $E$9)</f>
        <v>71.006799999999998</v>
      </c>
      <c r="E911" s="14">
        <f>CHOOSE(CONTROL!$C$42, 71.0406, 71.0406) * CHOOSE(CONTROL!$C$21, $C$9, 100%, $E$9)</f>
        <v>71.040599999999998</v>
      </c>
      <c r="F911" s="14">
        <f>CHOOSE(CONTROL!$C$42, 70.9395, 70.9395)*CHOOSE(CONTROL!$C$21, $C$9, 100%, $E$9)</f>
        <v>70.939499999999995</v>
      </c>
      <c r="G911" s="14">
        <f>CHOOSE(CONTROL!$C$42, 70.9558, 70.9558)*CHOOSE(CONTROL!$C$21, $C$9, 100%, $E$9)</f>
        <v>70.955799999999996</v>
      </c>
      <c r="H911" s="14">
        <f>CHOOSE(CONTROL!$C$42, 71.0298, 71.0298) * CHOOSE(CONTROL!$C$21, $C$9, 100%, $E$9)</f>
        <v>71.029799999999994</v>
      </c>
      <c r="I911" s="14">
        <f>CHOOSE(CONTROL!$C$42, 70.9524, 70.9524)* CHOOSE(CONTROL!$C$21, $C$9, 100%, $E$9)</f>
        <v>70.952399999999997</v>
      </c>
      <c r="J911" s="14">
        <f>CHOOSE(CONTROL!$C$42, 70.9325, 70.9325)* CHOOSE(CONTROL!$C$21, $C$9, 100%, $E$9)</f>
        <v>70.932500000000005</v>
      </c>
      <c r="K911" s="53">
        <f>CHOOSE(CONTROL!$C$42, 70.9485, 70.9485) * CHOOSE(CONTROL!$C$21, $C$9, 100%, $E$9)</f>
        <v>70.948499999999996</v>
      </c>
      <c r="L911" s="14">
        <f>CHOOSE(CONTROL!$C$42, 71.6168, 71.6168) * CHOOSE(CONTROL!$C$21, $C$9, 100%, $E$9)</f>
        <v>71.616799999999998</v>
      </c>
      <c r="M911" s="14">
        <f>CHOOSE(CONTROL!$C$42, 70.2305, 70.2305) * CHOOSE(CONTROL!$C$21, $C$9, 100%, $E$9)</f>
        <v>70.230500000000006</v>
      </c>
      <c r="N911" s="14">
        <f>CHOOSE(CONTROL!$C$42, 70.2466, 70.2466) * CHOOSE(CONTROL!$C$21, $C$9, 100%, $E$9)</f>
        <v>70.246600000000001</v>
      </c>
      <c r="O911" s="14">
        <f>CHOOSE(CONTROL!$C$42, 70.3268, 70.3268) * CHOOSE(CONTROL!$C$21, $C$9, 100%, $E$9)</f>
        <v>70.326800000000006</v>
      </c>
      <c r="P911" s="14">
        <f>CHOOSE(CONTROL!$C$42, 70.2502, 70.2502) * CHOOSE(CONTROL!$C$21, $C$9, 100%, $E$9)</f>
        <v>70.250200000000007</v>
      </c>
      <c r="Q911" s="14">
        <f>CHOOSE(CONTROL!$C$42, 70.9221, 70.9221) * CHOOSE(CONTROL!$C$21, $C$9, 100%, $E$9)</f>
        <v>70.9221</v>
      </c>
      <c r="R911" s="14">
        <f>CHOOSE(CONTROL!$C$42, 71.6864, 71.6864) * CHOOSE(CONTROL!$C$21, $C$9, 100%, $E$9)</f>
        <v>71.686400000000006</v>
      </c>
      <c r="S911" s="14">
        <f>CHOOSE(CONTROL!$C$42, 68.8865, 68.8865) * CHOOSE(CONTROL!$C$21, $C$9, 100%, $E$9)</f>
        <v>68.886499999999998</v>
      </c>
      <c r="T91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11" s="57">
        <f>(1000*CHOOSE(CONTROL!$C$42, 695, 695)*CHOOSE(CONTROL!$C$42, 0.5599, 0.5599)*CHOOSE(CONTROL!$C$42, 30, 30))/1000000</f>
        <v>11.673914999999997</v>
      </c>
      <c r="V911" s="57">
        <f>(1000*CHOOSE(CONTROL!$C$42, 500, 500)*CHOOSE(CONTROL!$C$42, 0.275, 0.275)*CHOOSE(CONTROL!$C$42, 30, 30))/1000000</f>
        <v>4.125</v>
      </c>
      <c r="W911" s="57">
        <f>(1000*CHOOSE(CONTROL!$C$42, 0.1146, 0.1146)*CHOOSE(CONTROL!$C$42, 121.5, 121.5)*CHOOSE(CONTROL!$C$42, 30, 30))/1000000</f>
        <v>0.417717</v>
      </c>
      <c r="X911" s="57">
        <f>(30*0.1790888*100000/1000000)+(30*0.2374*100000/1000000)</f>
        <v>1.2494664</v>
      </c>
      <c r="Y911" s="57"/>
      <c r="Z911" s="14"/>
      <c r="AA911" s="56"/>
      <c r="AB911" s="50">
        <f>(B911*122.58+C911*297.941+D911*89.177+E911*40.302+F911*40+G911*160+H911*0+I911*100+J911*300)/(122.58+297.941+89.177+40.302+0+40+160+100+300)</f>
        <v>70.950864769217389</v>
      </c>
      <c r="AC911" s="45">
        <f>(M911*'RAP TEMPLATE-GAS AVAILABILITY'!O910+N911*'RAP TEMPLATE-GAS AVAILABILITY'!P910+O911*'RAP TEMPLATE-GAS AVAILABILITY'!Q910+P911*'RAP TEMPLATE-GAS AVAILABILITY'!R910)/('RAP TEMPLATE-GAS AVAILABILITY'!O910+'RAP TEMPLATE-GAS AVAILABILITY'!P910+'RAP TEMPLATE-GAS AVAILABILITY'!Q910+'RAP TEMPLATE-GAS AVAILABILITY'!R910)</f>
        <v>70.277907913669083</v>
      </c>
    </row>
    <row r="912" spans="1:29" ht="15.75" x14ac:dyDescent="0.25">
      <c r="A912" s="32">
        <v>68667</v>
      </c>
      <c r="B912" s="14">
        <f>CHOOSE(CONTROL!$C$42, 75.7752, 75.7752) * CHOOSE(CONTROL!$C$21, $C$9, 100%, $E$9)</f>
        <v>75.775199999999998</v>
      </c>
      <c r="C912" s="14">
        <f>CHOOSE(CONTROL!$C$42, 75.7801, 75.7801) * CHOOSE(CONTROL!$C$21, $C$9, 100%, $E$9)</f>
        <v>75.780100000000004</v>
      </c>
      <c r="D912" s="14">
        <f>CHOOSE(CONTROL!$C$42, 75.8432, 75.8432) * CHOOSE(CONTROL!$C$21, $C$9, 100%, $E$9)</f>
        <v>75.843199999999996</v>
      </c>
      <c r="E912" s="14">
        <f>CHOOSE(CONTROL!$C$42, 75.877, 75.877) * CHOOSE(CONTROL!$C$21, $C$9, 100%, $E$9)</f>
        <v>75.876999999999995</v>
      </c>
      <c r="F912" s="14">
        <f>CHOOSE(CONTROL!$C$42, 75.7779, 75.7779)*CHOOSE(CONTROL!$C$21, $C$9, 100%, $E$9)</f>
        <v>75.777900000000002</v>
      </c>
      <c r="G912" s="14">
        <f>CHOOSE(CONTROL!$C$42, 75.7948, 75.7948)*CHOOSE(CONTROL!$C$21, $C$9, 100%, $E$9)</f>
        <v>75.794799999999995</v>
      </c>
      <c r="H912" s="14">
        <f>CHOOSE(CONTROL!$C$42, 75.8662, 75.8662) * CHOOSE(CONTROL!$C$21, $C$9, 100%, $E$9)</f>
        <v>75.866200000000006</v>
      </c>
      <c r="I912" s="14">
        <f>CHOOSE(CONTROL!$C$42, 75.7887, 75.7887)* CHOOSE(CONTROL!$C$21, $C$9, 100%, $E$9)</f>
        <v>75.788700000000006</v>
      </c>
      <c r="J912" s="14">
        <f>CHOOSE(CONTROL!$C$42, 75.7709, 75.7709)* CHOOSE(CONTROL!$C$21, $C$9, 100%, $E$9)</f>
        <v>75.770899999999997</v>
      </c>
      <c r="K912" s="53">
        <f>CHOOSE(CONTROL!$C$42, 75.7848, 75.7848) * CHOOSE(CONTROL!$C$21, $C$9, 100%, $E$9)</f>
        <v>75.784800000000004</v>
      </c>
      <c r="L912" s="14">
        <f>CHOOSE(CONTROL!$C$42, 76.4532, 76.4532) * CHOOSE(CONTROL!$C$21, $C$9, 100%, $E$9)</f>
        <v>76.453199999999995</v>
      </c>
      <c r="M912" s="14">
        <f>CHOOSE(CONTROL!$C$42, 75.0201, 75.0201) * CHOOSE(CONTROL!$C$21, $C$9, 100%, $E$9)</f>
        <v>75.020099999999999</v>
      </c>
      <c r="N912" s="14">
        <f>CHOOSE(CONTROL!$C$42, 75.0367, 75.0367) * CHOOSE(CONTROL!$C$21, $C$9, 100%, $E$9)</f>
        <v>75.036699999999996</v>
      </c>
      <c r="O912" s="14">
        <f>CHOOSE(CONTROL!$C$42, 75.1144, 75.1144) * CHOOSE(CONTROL!$C$21, $C$9, 100%, $E$9)</f>
        <v>75.114400000000003</v>
      </c>
      <c r="P912" s="14">
        <f>CHOOSE(CONTROL!$C$42, 75.0378, 75.0378) * CHOOSE(CONTROL!$C$21, $C$9, 100%, $E$9)</f>
        <v>75.037800000000004</v>
      </c>
      <c r="Q912" s="14">
        <f>CHOOSE(CONTROL!$C$42, 75.7097, 75.7097) * CHOOSE(CONTROL!$C$21, $C$9, 100%, $E$9)</f>
        <v>75.709699999999998</v>
      </c>
      <c r="R912" s="14">
        <f>CHOOSE(CONTROL!$C$42, 76.486, 76.486) * CHOOSE(CONTROL!$C$21, $C$9, 100%, $E$9)</f>
        <v>76.486000000000004</v>
      </c>
      <c r="S912" s="14">
        <f>CHOOSE(CONTROL!$C$42, 73.5832, 73.5832) * CHOOSE(CONTROL!$C$21, $C$9, 100%, $E$9)</f>
        <v>73.583200000000005</v>
      </c>
      <c r="T91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12" s="57">
        <f>(1000*CHOOSE(CONTROL!$C$42, 695, 695)*CHOOSE(CONTROL!$C$42, 0.5599, 0.5599)*CHOOSE(CONTROL!$C$42, 31, 31))/1000000</f>
        <v>12.063045499999998</v>
      </c>
      <c r="V912" s="57">
        <f>(1000*CHOOSE(CONTROL!$C$42, 500, 500)*CHOOSE(CONTROL!$C$42, 0.275, 0.275)*CHOOSE(CONTROL!$C$42, 31, 31))/1000000</f>
        <v>4.2625000000000002</v>
      </c>
      <c r="W912" s="57">
        <f>(1000*CHOOSE(CONTROL!$C$42, 0.1146, 0.1146)*CHOOSE(CONTROL!$C$42, 121.5, 121.5)*CHOOSE(CONTROL!$C$42, 31, 31))/1000000</f>
        <v>0.43164089999999994</v>
      </c>
      <c r="X912" s="57">
        <f>(31*0.1790888*100000/1000000)+(31*0.2374*100000/1000000)</f>
        <v>1.2911152800000001</v>
      </c>
      <c r="Y912" s="57"/>
      <c r="Z912" s="14"/>
      <c r="AA912" s="56"/>
      <c r="AB912" s="50">
        <f>(B912*122.58+C912*297.941+D912*89.177+E912*40.302+F912*40+G912*160+H912*0+I912*100+J912*300)/(122.58+297.941+89.177+40.302+0+40+160+100+300)</f>
        <v>75.788183209130423</v>
      </c>
      <c r="AC912" s="45">
        <f>(M912*'RAP TEMPLATE-GAS AVAILABILITY'!O911+N912*'RAP TEMPLATE-GAS AVAILABILITY'!P911+O912*'RAP TEMPLATE-GAS AVAILABILITY'!Q911+P912*'RAP TEMPLATE-GAS AVAILABILITY'!R911)/('RAP TEMPLATE-GAS AVAILABILITY'!O911+'RAP TEMPLATE-GAS AVAILABILITY'!P911+'RAP TEMPLATE-GAS AVAILABILITY'!Q911+'RAP TEMPLATE-GAS AVAILABILITY'!R911)</f>
        <v>75.066342446043166</v>
      </c>
    </row>
    <row r="913" spans="1:29" ht="15.75" x14ac:dyDescent="0.25">
      <c r="A913" s="32">
        <v>68698</v>
      </c>
      <c r="B913" s="14">
        <f>CHOOSE(CONTROL!$C$42, 81.9837, 81.9837) * CHOOSE(CONTROL!$C$21, $C$9, 100%, $E$9)</f>
        <v>81.983699999999999</v>
      </c>
      <c r="C913" s="14">
        <f>CHOOSE(CONTROL!$C$42, 81.9887, 81.9887) * CHOOSE(CONTROL!$C$21, $C$9, 100%, $E$9)</f>
        <v>81.988699999999994</v>
      </c>
      <c r="D913" s="14">
        <f>CHOOSE(CONTROL!$C$42, 82.053, 82.053) * CHOOSE(CONTROL!$C$21, $C$9, 100%, $E$9)</f>
        <v>82.052999999999997</v>
      </c>
      <c r="E913" s="14">
        <f>CHOOSE(CONTROL!$C$42, 82.0867, 82.0867) * CHOOSE(CONTROL!$C$21, $C$9, 100%, $E$9)</f>
        <v>82.086699999999993</v>
      </c>
      <c r="F913" s="14">
        <f>CHOOSE(CONTROL!$C$42, 81.9852, 81.9852)*CHOOSE(CONTROL!$C$21, $C$9, 100%, $E$9)</f>
        <v>81.985200000000006</v>
      </c>
      <c r="G913" s="14">
        <f>CHOOSE(CONTROL!$C$42, 82.0012, 82.0012)*CHOOSE(CONTROL!$C$21, $C$9, 100%, $E$9)</f>
        <v>82.001199999999997</v>
      </c>
      <c r="H913" s="14">
        <f>CHOOSE(CONTROL!$C$42, 82.0759, 82.0759) * CHOOSE(CONTROL!$C$21, $C$9, 100%, $E$9)</f>
        <v>82.075900000000004</v>
      </c>
      <c r="I913" s="14">
        <f>CHOOSE(CONTROL!$C$42, 82.0037, 82.0037)* CHOOSE(CONTROL!$C$21, $C$9, 100%, $E$9)</f>
        <v>82.003699999999995</v>
      </c>
      <c r="J913" s="14">
        <f>CHOOSE(CONTROL!$C$42, 81.9782, 81.9782)* CHOOSE(CONTROL!$C$21, $C$9, 100%, $E$9)</f>
        <v>81.978200000000001</v>
      </c>
      <c r="K913" s="53">
        <f>CHOOSE(CONTROL!$C$42, 81.9998, 81.9998) * CHOOSE(CONTROL!$C$21, $C$9, 100%, $E$9)</f>
        <v>81.999799999999993</v>
      </c>
      <c r="L913" s="14">
        <f>CHOOSE(CONTROL!$C$42, 82.6629, 82.6629) * CHOOSE(CONTROL!$C$21, $C$9, 100%, $E$9)</f>
        <v>82.662899999999993</v>
      </c>
      <c r="M913" s="14">
        <f>CHOOSE(CONTROL!$C$42, 81.1648, 81.1648) * CHOOSE(CONTROL!$C$21, $C$9, 100%, $E$9)</f>
        <v>81.1648</v>
      </c>
      <c r="N913" s="14">
        <f>CHOOSE(CONTROL!$C$42, 81.1805, 81.1805) * CHOOSE(CONTROL!$C$21, $C$9, 100%, $E$9)</f>
        <v>81.180499999999995</v>
      </c>
      <c r="O913" s="14">
        <f>CHOOSE(CONTROL!$C$42, 81.2615, 81.2615) * CHOOSE(CONTROL!$C$21, $C$9, 100%, $E$9)</f>
        <v>81.261499999999998</v>
      </c>
      <c r="P913" s="14">
        <f>CHOOSE(CONTROL!$C$42, 81.19, 81.19) * CHOOSE(CONTROL!$C$21, $C$9, 100%, $E$9)</f>
        <v>81.19</v>
      </c>
      <c r="Q913" s="14">
        <f>CHOOSE(CONTROL!$C$42, 81.8568, 81.8568) * CHOOSE(CONTROL!$C$21, $C$9, 100%, $E$9)</f>
        <v>81.856800000000007</v>
      </c>
      <c r="R913" s="14">
        <f>CHOOSE(CONTROL!$C$42, 82.6484, 82.6484) * CHOOSE(CONTROL!$C$21, $C$9, 100%, $E$9)</f>
        <v>82.648399999999995</v>
      </c>
      <c r="S913" s="14">
        <f>CHOOSE(CONTROL!$C$42, 79.6123, 79.6123) * CHOOSE(CONTROL!$C$21, $C$9, 100%, $E$9)</f>
        <v>79.612300000000005</v>
      </c>
      <c r="T91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13" s="57">
        <f>(1000*CHOOSE(CONTROL!$C$42, 695, 695)*CHOOSE(CONTROL!$C$42, 0.5599, 0.5599)*CHOOSE(CONTROL!$C$42, 31, 31))/1000000</f>
        <v>12.063045499999998</v>
      </c>
      <c r="V913" s="57">
        <f>(1000*CHOOSE(CONTROL!$C$42, 500, 500)*CHOOSE(CONTROL!$C$42, 0.275, 0.275)*CHOOSE(CONTROL!$C$42, 31, 31))/1000000</f>
        <v>4.2625000000000002</v>
      </c>
      <c r="W913" s="57">
        <f>(1000*CHOOSE(CONTROL!$C$42, 0.1146, 0.1146)*CHOOSE(CONTROL!$C$42, 121.5, 121.5)*CHOOSE(CONTROL!$C$42, 31, 31))/1000000</f>
        <v>0.43164089999999994</v>
      </c>
      <c r="X913" s="57">
        <f>(31*0.1790888*100000/1000000)+(31*0.2374*100000/1000000)</f>
        <v>1.2911152800000001</v>
      </c>
      <c r="Y913" s="57"/>
      <c r="Z913" s="14"/>
      <c r="AA913" s="56"/>
      <c r="AB913" s="50">
        <f>(B913*122.58+C913*297.941+D913*89.177+E913*40.302+F913*40+G913*160+H913*0+I913*100+J913*300)/(122.58+297.941+89.177+40.302+0+40+160+100+300)</f>
        <v>81.996770240956508</v>
      </c>
      <c r="AC913" s="45">
        <f>(M913*'RAP TEMPLATE-GAS AVAILABILITY'!O912+N913*'RAP TEMPLATE-GAS AVAILABILITY'!P912+O913*'RAP TEMPLATE-GAS AVAILABILITY'!Q912+P913*'RAP TEMPLATE-GAS AVAILABILITY'!R912)/('RAP TEMPLATE-GAS AVAILABILITY'!O912+'RAP TEMPLATE-GAS AVAILABILITY'!P912+'RAP TEMPLATE-GAS AVAILABILITY'!Q912+'RAP TEMPLATE-GAS AVAILABILITY'!R912)</f>
        <v>81.213157553956833</v>
      </c>
    </row>
    <row r="914" spans="1:29" ht="15.75" x14ac:dyDescent="0.25">
      <c r="A914" s="32">
        <v>68727</v>
      </c>
      <c r="B914" s="14">
        <f>CHOOSE(CONTROL!$C$42, 83.4431, 83.4431) * CHOOSE(CONTROL!$C$21, $C$9, 100%, $E$9)</f>
        <v>83.443100000000001</v>
      </c>
      <c r="C914" s="14">
        <f>CHOOSE(CONTROL!$C$42, 83.4481, 83.4481) * CHOOSE(CONTROL!$C$21, $C$9, 100%, $E$9)</f>
        <v>83.448099999999997</v>
      </c>
      <c r="D914" s="14">
        <f>CHOOSE(CONTROL!$C$42, 83.5123, 83.5123) * CHOOSE(CONTROL!$C$21, $C$9, 100%, $E$9)</f>
        <v>83.512299999999996</v>
      </c>
      <c r="E914" s="14">
        <f>CHOOSE(CONTROL!$C$42, 83.5461, 83.5461) * CHOOSE(CONTROL!$C$21, $C$9, 100%, $E$9)</f>
        <v>83.546099999999996</v>
      </c>
      <c r="F914" s="14">
        <f>CHOOSE(CONTROL!$C$42, 83.4447, 83.4447)*CHOOSE(CONTROL!$C$21, $C$9, 100%, $E$9)</f>
        <v>83.444699999999997</v>
      </c>
      <c r="G914" s="14">
        <f>CHOOSE(CONTROL!$C$42, 83.4606, 83.4606)*CHOOSE(CONTROL!$C$21, $C$9, 100%, $E$9)</f>
        <v>83.460599999999999</v>
      </c>
      <c r="H914" s="14">
        <f>CHOOSE(CONTROL!$C$42, 83.5353, 83.5353) * CHOOSE(CONTROL!$C$21, $C$9, 100%, $E$9)</f>
        <v>83.535300000000007</v>
      </c>
      <c r="I914" s="14">
        <f>CHOOSE(CONTROL!$C$42, 83.4631, 83.4631)* CHOOSE(CONTROL!$C$21, $C$9, 100%, $E$9)</f>
        <v>83.463099999999997</v>
      </c>
      <c r="J914" s="14">
        <f>CHOOSE(CONTROL!$C$42, 83.4377, 83.4377)* CHOOSE(CONTROL!$C$21, $C$9, 100%, $E$9)</f>
        <v>83.437700000000007</v>
      </c>
      <c r="K914" s="53">
        <f>CHOOSE(CONTROL!$C$42, 83.4592, 83.4592) * CHOOSE(CONTROL!$C$21, $C$9, 100%, $E$9)</f>
        <v>83.459199999999996</v>
      </c>
      <c r="L914" s="14">
        <f>CHOOSE(CONTROL!$C$42, 84.1223, 84.1223) * CHOOSE(CONTROL!$C$21, $C$9, 100%, $E$9)</f>
        <v>84.122299999999996</v>
      </c>
      <c r="M914" s="14">
        <f>CHOOSE(CONTROL!$C$42, 82.6095, 82.6095) * CHOOSE(CONTROL!$C$21, $C$9, 100%, $E$9)</f>
        <v>82.609499999999997</v>
      </c>
      <c r="N914" s="14">
        <f>CHOOSE(CONTROL!$C$42, 82.6252, 82.6252) * CHOOSE(CONTROL!$C$21, $C$9, 100%, $E$9)</f>
        <v>82.625200000000007</v>
      </c>
      <c r="O914" s="14">
        <f>CHOOSE(CONTROL!$C$42, 82.7061, 82.7061) * CHOOSE(CONTROL!$C$21, $C$9, 100%, $E$9)</f>
        <v>82.706100000000006</v>
      </c>
      <c r="P914" s="14">
        <f>CHOOSE(CONTROL!$C$42, 82.6347, 82.6347) * CHOOSE(CONTROL!$C$21, $C$9, 100%, $E$9)</f>
        <v>82.634699999999995</v>
      </c>
      <c r="Q914" s="14">
        <f>CHOOSE(CONTROL!$C$42, 83.3014, 83.3014) * CHOOSE(CONTROL!$C$21, $C$9, 100%, $E$9)</f>
        <v>83.301400000000001</v>
      </c>
      <c r="R914" s="14">
        <f>CHOOSE(CONTROL!$C$42, 84.0967, 84.0967) * CHOOSE(CONTROL!$C$21, $C$9, 100%, $E$9)</f>
        <v>84.096699999999998</v>
      </c>
      <c r="S914" s="14">
        <f>CHOOSE(CONTROL!$C$42, 81.0295, 81.0295) * CHOOSE(CONTROL!$C$21, $C$9, 100%, $E$9)</f>
        <v>81.029499999999999</v>
      </c>
      <c r="T914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14" s="57">
        <f>(1000*CHOOSE(CONTROL!$C$42, 695, 695)*CHOOSE(CONTROL!$C$42, 0.5599, 0.5599)*CHOOSE(CONTROL!$C$42, 29, 29))/1000000</f>
        <v>11.284784499999999</v>
      </c>
      <c r="V914" s="57">
        <f>(1000*CHOOSE(CONTROL!$C$42, 500, 500)*CHOOSE(CONTROL!$C$42, 0.275, 0.275)*CHOOSE(CONTROL!$C$42, 29, 29))/1000000</f>
        <v>3.9874999999999998</v>
      </c>
      <c r="W914" s="57">
        <f>(1000*CHOOSE(CONTROL!$C$42, 0.1146, 0.1146)*CHOOSE(CONTROL!$C$42, 121.5, 121.5)*CHOOSE(CONTROL!$C$42, 29, 29))/1000000</f>
        <v>0.40379309999999996</v>
      </c>
      <c r="X914" s="57">
        <f>(29*0.1790888*100000/1000000)+(29*0.2374*100000/1000000)</f>
        <v>1.2078175199999999</v>
      </c>
      <c r="Y914" s="57"/>
      <c r="Z914" s="14"/>
      <c r="AA914" s="56"/>
      <c r="AB914" s="50">
        <f>(B914*122.58+C914*297.941+D914*89.177+E914*40.302+F914*40+G914*160+H914*0+I914*100+J914*300)/(122.58+297.941+89.177+40.302+0+40+160+100+300)</f>
        <v>83.456192051652167</v>
      </c>
      <c r="AC914" s="45">
        <f>(M914*'RAP TEMPLATE-GAS AVAILABILITY'!O913+N914*'RAP TEMPLATE-GAS AVAILABILITY'!P913+O914*'RAP TEMPLATE-GAS AVAILABILITY'!Q913+P914*'RAP TEMPLATE-GAS AVAILABILITY'!R913)/('RAP TEMPLATE-GAS AVAILABILITY'!O913+'RAP TEMPLATE-GAS AVAILABILITY'!P913+'RAP TEMPLATE-GAS AVAILABILITY'!Q913+'RAP TEMPLATE-GAS AVAILABILITY'!R913)</f>
        <v>82.657812230215825</v>
      </c>
    </row>
    <row r="915" spans="1:29" ht="15.75" x14ac:dyDescent="0.25">
      <c r="A915" s="32">
        <v>68758</v>
      </c>
      <c r="B915" s="14">
        <f>CHOOSE(CONTROL!$C$42, 81.0742, 81.0742) * CHOOSE(CONTROL!$C$21, $C$9, 100%, $E$9)</f>
        <v>81.074200000000005</v>
      </c>
      <c r="C915" s="14">
        <f>CHOOSE(CONTROL!$C$42, 81.0791, 81.0791) * CHOOSE(CONTROL!$C$21, $C$9, 100%, $E$9)</f>
        <v>81.079099999999997</v>
      </c>
      <c r="D915" s="14">
        <f>CHOOSE(CONTROL!$C$42, 81.1434, 81.1434) * CHOOSE(CONTROL!$C$21, $C$9, 100%, $E$9)</f>
        <v>81.1434</v>
      </c>
      <c r="E915" s="14">
        <f>CHOOSE(CONTROL!$C$42, 81.1772, 81.1772) * CHOOSE(CONTROL!$C$21, $C$9, 100%, $E$9)</f>
        <v>81.177199999999999</v>
      </c>
      <c r="F915" s="14">
        <f>CHOOSE(CONTROL!$C$42, 81.0754, 81.0754)*CHOOSE(CONTROL!$C$21, $C$9, 100%, $E$9)</f>
        <v>81.075400000000002</v>
      </c>
      <c r="G915" s="14">
        <f>CHOOSE(CONTROL!$C$42, 81.0913, 81.0913)*CHOOSE(CONTROL!$C$21, $C$9, 100%, $E$9)</f>
        <v>81.091300000000004</v>
      </c>
      <c r="H915" s="14">
        <f>CHOOSE(CONTROL!$C$42, 81.1664, 81.1664) * CHOOSE(CONTROL!$C$21, $C$9, 100%, $E$9)</f>
        <v>81.166399999999996</v>
      </c>
      <c r="I915" s="14">
        <f>CHOOSE(CONTROL!$C$42, 81.0942, 81.0942)* CHOOSE(CONTROL!$C$21, $C$9, 100%, $E$9)</f>
        <v>81.094200000000001</v>
      </c>
      <c r="J915" s="14">
        <f>CHOOSE(CONTROL!$C$42, 81.0684, 81.0684)* CHOOSE(CONTROL!$C$21, $C$9, 100%, $E$9)</f>
        <v>81.068399999999997</v>
      </c>
      <c r="K915" s="53">
        <f>CHOOSE(CONTROL!$C$42, 81.0903, 81.0903) * CHOOSE(CONTROL!$C$21, $C$9, 100%, $E$9)</f>
        <v>81.090299999999999</v>
      </c>
      <c r="L915" s="14">
        <f>CHOOSE(CONTROL!$C$42, 81.7534, 81.7534) * CHOOSE(CONTROL!$C$21, $C$9, 100%, $E$9)</f>
        <v>81.753399999999999</v>
      </c>
      <c r="M915" s="14">
        <f>CHOOSE(CONTROL!$C$42, 80.2641, 80.2641) * CHOOSE(CONTROL!$C$21, $C$9, 100%, $E$9)</f>
        <v>80.264099999999999</v>
      </c>
      <c r="N915" s="14">
        <f>CHOOSE(CONTROL!$C$42, 80.2798, 80.2798) * CHOOSE(CONTROL!$C$21, $C$9, 100%, $E$9)</f>
        <v>80.279799999999994</v>
      </c>
      <c r="O915" s="14">
        <f>CHOOSE(CONTROL!$C$42, 80.3611, 80.3611) * CHOOSE(CONTROL!$C$21, $C$9, 100%, $E$9)</f>
        <v>80.361099999999993</v>
      </c>
      <c r="P915" s="14">
        <f>CHOOSE(CONTROL!$C$42, 80.2897, 80.2897) * CHOOSE(CONTROL!$C$21, $C$9, 100%, $E$9)</f>
        <v>80.289699999999996</v>
      </c>
      <c r="Q915" s="14">
        <f>CHOOSE(CONTROL!$C$42, 80.9564, 80.9564) * CHOOSE(CONTROL!$C$21, $C$9, 100%, $E$9)</f>
        <v>80.956400000000002</v>
      </c>
      <c r="R915" s="14">
        <f>CHOOSE(CONTROL!$C$42, 81.7458, 81.7458) * CHOOSE(CONTROL!$C$21, $C$9, 100%, $E$9)</f>
        <v>81.745800000000003</v>
      </c>
      <c r="S915" s="14">
        <f>CHOOSE(CONTROL!$C$42, 78.729, 78.729) * CHOOSE(CONTROL!$C$21, $C$9, 100%, $E$9)</f>
        <v>78.728999999999999</v>
      </c>
      <c r="T91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15" s="57">
        <f>(1000*CHOOSE(CONTROL!$C$42, 695, 695)*CHOOSE(CONTROL!$C$42, 0.5599, 0.5599)*CHOOSE(CONTROL!$C$42, 31, 31))/1000000</f>
        <v>12.063045499999998</v>
      </c>
      <c r="V915" s="57">
        <f>(1000*CHOOSE(CONTROL!$C$42, 500, 500)*CHOOSE(CONTROL!$C$42, 0.275, 0.275)*CHOOSE(CONTROL!$C$42, 31, 31))/1000000</f>
        <v>4.2625000000000002</v>
      </c>
      <c r="W915" s="57">
        <f>(1000*CHOOSE(CONTROL!$C$42, 0.1146, 0.1146)*CHOOSE(CONTROL!$C$42, 121.5, 121.5)*CHOOSE(CONTROL!$C$42, 31, 31))/1000000</f>
        <v>0.43164089999999994</v>
      </c>
      <c r="X915" s="57">
        <f>(31*0.1790888*100000/1000000)+(31*0.2374*100000/1000000)</f>
        <v>1.2911152800000001</v>
      </c>
      <c r="Y915" s="57"/>
      <c r="Z915" s="14"/>
      <c r="AA915" s="56"/>
      <c r="AB915" s="50">
        <f>(B915*122.58+C915*297.941+D915*89.177+E915*40.302+F915*40+G915*160+H915*0+I915*100+J915*300)/(122.58+297.941+89.177+40.302+0+40+160+100+300)</f>
        <v>81.08709223069566</v>
      </c>
      <c r="AC915" s="45">
        <f>(M915*'RAP TEMPLATE-GAS AVAILABILITY'!O914+N915*'RAP TEMPLATE-GAS AVAILABILITY'!P914+O915*'RAP TEMPLATE-GAS AVAILABILITY'!Q914+P915*'RAP TEMPLATE-GAS AVAILABILITY'!R914)/('RAP TEMPLATE-GAS AVAILABILITY'!O914+'RAP TEMPLATE-GAS AVAILABILITY'!P914+'RAP TEMPLATE-GAS AVAILABILITY'!Q914+'RAP TEMPLATE-GAS AVAILABILITY'!R914)</f>
        <v>80.312651079136685</v>
      </c>
    </row>
    <row r="916" spans="1:29" ht="15.75" x14ac:dyDescent="0.25">
      <c r="A916" s="32">
        <v>68788</v>
      </c>
      <c r="B916" s="14">
        <f>CHOOSE(CONTROL!$C$42, 80.8326, 80.8326) * CHOOSE(CONTROL!$C$21, $C$9, 100%, $E$9)</f>
        <v>80.832599999999999</v>
      </c>
      <c r="C916" s="14">
        <f>CHOOSE(CONTROL!$C$42, 80.837, 80.837) * CHOOSE(CONTROL!$C$21, $C$9, 100%, $E$9)</f>
        <v>80.837000000000003</v>
      </c>
      <c r="D916" s="14">
        <f>CHOOSE(CONTROL!$C$42, 81.0377, 81.0377) * CHOOSE(CONTROL!$C$21, $C$9, 100%, $E$9)</f>
        <v>81.037700000000001</v>
      </c>
      <c r="E916" s="14">
        <f>CHOOSE(CONTROL!$C$42, 81.0695, 81.0695) * CHOOSE(CONTROL!$C$21, $C$9, 100%, $E$9)</f>
        <v>81.069500000000005</v>
      </c>
      <c r="F916" s="14">
        <f>CHOOSE(CONTROL!$C$42, 80.8172, 80.8172)*CHOOSE(CONTROL!$C$21, $C$9, 100%, $E$9)</f>
        <v>80.8172</v>
      </c>
      <c r="G916" s="14">
        <f>CHOOSE(CONTROL!$C$42, 80.8328, 80.8328)*CHOOSE(CONTROL!$C$21, $C$9, 100%, $E$9)</f>
        <v>80.832800000000006</v>
      </c>
      <c r="H916" s="14">
        <f>CHOOSE(CONTROL!$C$42, 81.0593, 81.0593) * CHOOSE(CONTROL!$C$21, $C$9, 100%, $E$9)</f>
        <v>81.059299999999993</v>
      </c>
      <c r="I916" s="14">
        <f>CHOOSE(CONTROL!$C$42, 80.8454, 80.8454)* CHOOSE(CONTROL!$C$21, $C$9, 100%, $E$9)</f>
        <v>80.845399999999998</v>
      </c>
      <c r="J916" s="14">
        <f>CHOOSE(CONTROL!$C$42, 80.8102, 80.8102)* CHOOSE(CONTROL!$C$21, $C$9, 100%, $E$9)</f>
        <v>80.810199999999995</v>
      </c>
      <c r="K916" s="53">
        <f>CHOOSE(CONTROL!$C$42, 80.8415, 80.8415) * CHOOSE(CONTROL!$C$21, $C$9, 100%, $E$9)</f>
        <v>80.841499999999996</v>
      </c>
      <c r="L916" s="14">
        <f>CHOOSE(CONTROL!$C$42, 81.6463, 81.6463) * CHOOSE(CONTROL!$C$21, $C$9, 100%, $E$9)</f>
        <v>81.646299999999997</v>
      </c>
      <c r="M916" s="14">
        <f>CHOOSE(CONTROL!$C$42, 80.0085, 80.0085) * CHOOSE(CONTROL!$C$21, $C$9, 100%, $E$9)</f>
        <v>80.008499999999998</v>
      </c>
      <c r="N916" s="14">
        <f>CHOOSE(CONTROL!$C$42, 80.024, 80.024) * CHOOSE(CONTROL!$C$21, $C$9, 100%, $E$9)</f>
        <v>80.024000000000001</v>
      </c>
      <c r="O916" s="14">
        <f>CHOOSE(CONTROL!$C$42, 80.2551, 80.2551) * CHOOSE(CONTROL!$C$21, $C$9, 100%, $E$9)</f>
        <v>80.255099999999999</v>
      </c>
      <c r="P916" s="14">
        <f>CHOOSE(CONTROL!$C$42, 80.0434, 80.0434) * CHOOSE(CONTROL!$C$21, $C$9, 100%, $E$9)</f>
        <v>80.043400000000005</v>
      </c>
      <c r="Q916" s="14">
        <f>CHOOSE(CONTROL!$C$42, 80.8504, 80.8504) * CHOOSE(CONTROL!$C$21, $C$9, 100%, $E$9)</f>
        <v>80.850399999999993</v>
      </c>
      <c r="R916" s="14">
        <f>CHOOSE(CONTROL!$C$42, 81.6395, 81.6395) * CHOOSE(CONTROL!$C$21, $C$9, 100%, $E$9)</f>
        <v>81.639499999999998</v>
      </c>
      <c r="S916" s="14">
        <f>CHOOSE(CONTROL!$C$42, 78.4937, 78.4937) * CHOOSE(CONTROL!$C$21, $C$9, 100%, $E$9)</f>
        <v>78.493700000000004</v>
      </c>
      <c r="T91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16" s="57">
        <f>(1000*CHOOSE(CONTROL!$C$42, 695, 695)*CHOOSE(CONTROL!$C$42, 0.5599, 0.5599)*CHOOSE(CONTROL!$C$42, 30, 30))/1000000</f>
        <v>11.673914999999997</v>
      </c>
      <c r="V916" s="57">
        <f>(1000*CHOOSE(CONTROL!$C$42, 500, 500)*CHOOSE(CONTROL!$C$42, 0.275, 0.275)*CHOOSE(CONTROL!$C$42, 30, 30))/1000000</f>
        <v>4.125</v>
      </c>
      <c r="W916" s="57">
        <f>(1000*CHOOSE(CONTROL!$C$42, 0.1146, 0.1146)*CHOOSE(CONTROL!$C$42, 121.5, 121.5)*CHOOSE(CONTROL!$C$42, 30, 30))/1000000</f>
        <v>0.417717</v>
      </c>
      <c r="X916" s="57">
        <f>(30*0.1790888*245000/1000000)+(30*0.2374*100000/1000000)</f>
        <v>2.0285026799999999</v>
      </c>
      <c r="Y916" s="57"/>
      <c r="Z916" s="14"/>
      <c r="AA916" s="56"/>
      <c r="AB916" s="50">
        <f>(B916*141.293+C916*267.993+D916*115.016+E916*89.698+F916*40+G916*185+H916*0+I916*100+J916*300)/(141.293+267.993+115.016+89.698+0+40+185+100+300)</f>
        <v>80.864883621468934</v>
      </c>
      <c r="AC916" s="45">
        <f>(M916*'RAP TEMPLATE-GAS AVAILABILITY'!O915+N916*'RAP TEMPLATE-GAS AVAILABILITY'!P915+O916*'RAP TEMPLATE-GAS AVAILABILITY'!Q915+P916*'RAP TEMPLATE-GAS AVAILABILITY'!R915)/('RAP TEMPLATE-GAS AVAILABILITY'!O915+'RAP TEMPLATE-GAS AVAILABILITY'!P915+'RAP TEMPLATE-GAS AVAILABILITY'!Q915+'RAP TEMPLATE-GAS AVAILABILITY'!R915)</f>
        <v>80.126182014388476</v>
      </c>
    </row>
    <row r="917" spans="1:29" ht="15.75" x14ac:dyDescent="0.25">
      <c r="A917" s="32">
        <v>68819</v>
      </c>
      <c r="B917" s="14">
        <f>CHOOSE(CONTROL!$C$42, 81.5474, 81.5474) * CHOOSE(CONTROL!$C$21, $C$9, 100%, $E$9)</f>
        <v>81.547399999999996</v>
      </c>
      <c r="C917" s="14">
        <f>CHOOSE(CONTROL!$C$42, 81.5553, 81.5553) * CHOOSE(CONTROL!$C$21, $C$9, 100%, $E$9)</f>
        <v>81.555300000000003</v>
      </c>
      <c r="D917" s="14">
        <f>CHOOSE(CONTROL!$C$42, 81.7529, 81.7529) * CHOOSE(CONTROL!$C$21, $C$9, 100%, $E$9)</f>
        <v>81.752899999999997</v>
      </c>
      <c r="E917" s="14">
        <f>CHOOSE(CONTROL!$C$42, 81.7841, 81.7841) * CHOOSE(CONTROL!$C$21, $C$9, 100%, $E$9)</f>
        <v>81.784099999999995</v>
      </c>
      <c r="F917" s="14">
        <f>CHOOSE(CONTROL!$C$42, 81.5308, 81.5308)*CHOOSE(CONTROL!$C$21, $C$9, 100%, $E$9)</f>
        <v>81.530799999999999</v>
      </c>
      <c r="G917" s="14">
        <f>CHOOSE(CONTROL!$C$42, 81.5469, 81.5469)*CHOOSE(CONTROL!$C$21, $C$9, 100%, $E$9)</f>
        <v>81.546899999999994</v>
      </c>
      <c r="H917" s="14">
        <f>CHOOSE(CONTROL!$C$42, 81.7727, 81.7727) * CHOOSE(CONTROL!$C$21, $C$9, 100%, $E$9)</f>
        <v>81.7727</v>
      </c>
      <c r="I917" s="14">
        <f>CHOOSE(CONTROL!$C$42, 81.5588, 81.5588)* CHOOSE(CONTROL!$C$21, $C$9, 100%, $E$9)</f>
        <v>81.558800000000005</v>
      </c>
      <c r="J917" s="14">
        <f>CHOOSE(CONTROL!$C$42, 81.5238, 81.5238)* CHOOSE(CONTROL!$C$21, $C$9, 100%, $E$9)</f>
        <v>81.523799999999994</v>
      </c>
      <c r="K917" s="53">
        <f>CHOOSE(CONTROL!$C$42, 81.5549, 81.5549) * CHOOSE(CONTROL!$C$21, $C$9, 100%, $E$9)</f>
        <v>81.554900000000004</v>
      </c>
      <c r="L917" s="14">
        <f>CHOOSE(CONTROL!$C$42, 82.3597, 82.3597) * CHOOSE(CONTROL!$C$21, $C$9, 100%, $E$9)</f>
        <v>82.359700000000004</v>
      </c>
      <c r="M917" s="14">
        <f>CHOOSE(CONTROL!$C$42, 80.7149, 80.7149) * CHOOSE(CONTROL!$C$21, $C$9, 100%, $E$9)</f>
        <v>80.7149</v>
      </c>
      <c r="N917" s="14">
        <f>CHOOSE(CONTROL!$C$42, 80.7309, 80.7309) * CHOOSE(CONTROL!$C$21, $C$9, 100%, $E$9)</f>
        <v>80.730900000000005</v>
      </c>
      <c r="O917" s="14">
        <f>CHOOSE(CONTROL!$C$42, 80.9613, 80.9613) * CHOOSE(CONTROL!$C$21, $C$9, 100%, $E$9)</f>
        <v>80.961299999999994</v>
      </c>
      <c r="P917" s="14">
        <f>CHOOSE(CONTROL!$C$42, 80.7496, 80.7496) * CHOOSE(CONTROL!$C$21, $C$9, 100%, $E$9)</f>
        <v>80.749600000000001</v>
      </c>
      <c r="Q917" s="14">
        <f>CHOOSE(CONTROL!$C$42, 81.5566, 81.5566) * CHOOSE(CONTROL!$C$21, $C$9, 100%, $E$9)</f>
        <v>81.556600000000003</v>
      </c>
      <c r="R917" s="14">
        <f>CHOOSE(CONTROL!$C$42, 82.3475, 82.3475) * CHOOSE(CONTROL!$C$21, $C$9, 100%, $E$9)</f>
        <v>82.347499999999997</v>
      </c>
      <c r="S917" s="14">
        <f>CHOOSE(CONTROL!$C$42, 79.1864, 79.1864) * CHOOSE(CONTROL!$C$21, $C$9, 100%, $E$9)</f>
        <v>79.186400000000006</v>
      </c>
      <c r="T91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17" s="57">
        <f>(1000*CHOOSE(CONTROL!$C$42, 695, 695)*CHOOSE(CONTROL!$C$42, 0.5599, 0.5599)*CHOOSE(CONTROL!$C$42, 31, 31))/1000000</f>
        <v>12.063045499999998</v>
      </c>
      <c r="V917" s="57">
        <f>(1000*CHOOSE(CONTROL!$C$42, 500, 500)*CHOOSE(CONTROL!$C$42, 0.275, 0.275)*CHOOSE(CONTROL!$C$42, 31, 31))/1000000</f>
        <v>4.2625000000000002</v>
      </c>
      <c r="W917" s="57">
        <f>(1000*CHOOSE(CONTROL!$C$42, 0.1146, 0.1146)*CHOOSE(CONTROL!$C$42, 121.5, 121.5)*CHOOSE(CONTROL!$C$42, 31, 31))/1000000</f>
        <v>0.43164089999999994</v>
      </c>
      <c r="X917" s="57">
        <f>(31*0.1790888*245000/1000000)+(31*0.2374*100000/1000000)</f>
        <v>2.0961194359999999</v>
      </c>
      <c r="Y917" s="57"/>
      <c r="Z917" s="14"/>
      <c r="AA917" s="56"/>
      <c r="AB917" s="50">
        <f>(B917*194.205+C917*267.466+D917*133.845+E917*53.484+F917*40+G917*185+H917*0+I917*100+J917*300)/(194.205+267.466+133.845+53.484+0+40+185+100+300)</f>
        <v>81.575328800392484</v>
      </c>
      <c r="AC917" s="45">
        <f>(M917*'RAP TEMPLATE-GAS AVAILABILITY'!O916+N917*'RAP TEMPLATE-GAS AVAILABILITY'!P916+O917*'RAP TEMPLATE-GAS AVAILABILITY'!Q916+P917*'RAP TEMPLATE-GAS AVAILABILITY'!R916)/('RAP TEMPLATE-GAS AVAILABILITY'!O916+'RAP TEMPLATE-GAS AVAILABILITY'!P916+'RAP TEMPLATE-GAS AVAILABILITY'!Q916+'RAP TEMPLATE-GAS AVAILABILITY'!R916)</f>
        <v>80.832491366906481</v>
      </c>
    </row>
    <row r="918" spans="1:29" ht="15.75" x14ac:dyDescent="0.25">
      <c r="A918" s="32">
        <v>68849</v>
      </c>
      <c r="B918" s="14">
        <f>CHOOSE(CONTROL!$C$42, 83.8605, 83.8605) * CHOOSE(CONTROL!$C$21, $C$9, 100%, $E$9)</f>
        <v>83.860500000000002</v>
      </c>
      <c r="C918" s="14">
        <f>CHOOSE(CONTROL!$C$42, 83.8684, 83.8684) * CHOOSE(CONTROL!$C$21, $C$9, 100%, $E$9)</f>
        <v>83.868399999999994</v>
      </c>
      <c r="D918" s="14">
        <f>CHOOSE(CONTROL!$C$42, 84.066, 84.066) * CHOOSE(CONTROL!$C$21, $C$9, 100%, $E$9)</f>
        <v>84.066000000000003</v>
      </c>
      <c r="E918" s="14">
        <f>CHOOSE(CONTROL!$C$42, 84.0971, 84.0971) * CHOOSE(CONTROL!$C$21, $C$9, 100%, $E$9)</f>
        <v>84.097099999999998</v>
      </c>
      <c r="F918" s="14">
        <f>CHOOSE(CONTROL!$C$42, 83.8443, 83.8443)*CHOOSE(CONTROL!$C$21, $C$9, 100%, $E$9)</f>
        <v>83.844300000000004</v>
      </c>
      <c r="G918" s="14">
        <f>CHOOSE(CONTROL!$C$42, 83.8605, 83.8605)*CHOOSE(CONTROL!$C$21, $C$9, 100%, $E$9)</f>
        <v>83.860500000000002</v>
      </c>
      <c r="H918" s="14">
        <f>CHOOSE(CONTROL!$C$42, 84.0857, 84.0857) * CHOOSE(CONTROL!$C$21, $C$9, 100%, $E$9)</f>
        <v>84.085700000000003</v>
      </c>
      <c r="I918" s="14">
        <f>CHOOSE(CONTROL!$C$42, 83.8718, 83.8718)* CHOOSE(CONTROL!$C$21, $C$9, 100%, $E$9)</f>
        <v>83.871799999999993</v>
      </c>
      <c r="J918" s="14">
        <f>CHOOSE(CONTROL!$C$42, 83.8373, 83.8373)* CHOOSE(CONTROL!$C$21, $C$9, 100%, $E$9)</f>
        <v>83.837299999999999</v>
      </c>
      <c r="K918" s="53">
        <f>CHOOSE(CONTROL!$C$42, 83.8679, 83.8679) * CHOOSE(CONTROL!$C$21, $C$9, 100%, $E$9)</f>
        <v>83.867900000000006</v>
      </c>
      <c r="L918" s="14">
        <f>CHOOSE(CONTROL!$C$42, 84.6727, 84.6727) * CHOOSE(CONTROL!$C$21, $C$9, 100%, $E$9)</f>
        <v>84.672700000000006</v>
      </c>
      <c r="M918" s="14">
        <f>CHOOSE(CONTROL!$C$42, 83.0051, 83.0051) * CHOOSE(CONTROL!$C$21, $C$9, 100%, $E$9)</f>
        <v>83.005099999999999</v>
      </c>
      <c r="N918" s="14">
        <f>CHOOSE(CONTROL!$C$42, 83.0211, 83.0211) * CHOOSE(CONTROL!$C$21, $C$9, 100%, $E$9)</f>
        <v>83.021100000000004</v>
      </c>
      <c r="O918" s="14">
        <f>CHOOSE(CONTROL!$C$42, 83.251, 83.251) * CHOOSE(CONTROL!$C$21, $C$9, 100%, $E$9)</f>
        <v>83.251000000000005</v>
      </c>
      <c r="P918" s="14">
        <f>CHOOSE(CONTROL!$C$42, 83.0393, 83.0393) * CHOOSE(CONTROL!$C$21, $C$9, 100%, $E$9)</f>
        <v>83.039299999999997</v>
      </c>
      <c r="Q918" s="14">
        <f>CHOOSE(CONTROL!$C$42, 83.8463, 83.8463) * CHOOSE(CONTROL!$C$21, $C$9, 100%, $E$9)</f>
        <v>83.846299999999999</v>
      </c>
      <c r="R918" s="14">
        <f>CHOOSE(CONTROL!$C$42, 84.6429, 84.6429) * CHOOSE(CONTROL!$C$21, $C$9, 100%, $E$9)</f>
        <v>84.642899999999997</v>
      </c>
      <c r="S918" s="14">
        <f>CHOOSE(CONTROL!$C$42, 81.4327, 81.4327) * CHOOSE(CONTROL!$C$21, $C$9, 100%, $E$9)</f>
        <v>81.432699999999997</v>
      </c>
      <c r="T91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18" s="57">
        <f>(1000*CHOOSE(CONTROL!$C$42, 695, 695)*CHOOSE(CONTROL!$C$42, 0.5599, 0.5599)*CHOOSE(CONTROL!$C$42, 30, 30))/1000000</f>
        <v>11.673914999999997</v>
      </c>
      <c r="V918" s="57">
        <f>(1000*CHOOSE(CONTROL!$C$42, 500, 500)*CHOOSE(CONTROL!$C$42, 0.275, 0.275)*CHOOSE(CONTROL!$C$42, 30, 30))/1000000</f>
        <v>4.125</v>
      </c>
      <c r="W918" s="57">
        <f>(1000*CHOOSE(CONTROL!$C$42, 0.1146, 0.1146)*CHOOSE(CONTROL!$C$42, 121.5, 121.5)*CHOOSE(CONTROL!$C$42, 30, 30))/1000000</f>
        <v>0.417717</v>
      </c>
      <c r="X918" s="57">
        <f>(30*0.1790888*245000/1000000)+(30*0.2374*100000/1000000)</f>
        <v>2.0285026799999999</v>
      </c>
      <c r="Y918" s="57"/>
      <c r="Z918" s="14"/>
      <c r="AA918" s="56"/>
      <c r="AB918" s="50">
        <f>(B918*194.205+C918*267.466+D918*133.845+E918*53.484+F918*40+G918*185+H918*0+I918*100+J918*300)/(194.205+267.466+133.845+53.484+0+40+185+100+300)</f>
        <v>83.888596109340654</v>
      </c>
      <c r="AC918" s="45">
        <f>(M918*'RAP TEMPLATE-GAS AVAILABILITY'!O917+N918*'RAP TEMPLATE-GAS AVAILABILITY'!P917+O918*'RAP TEMPLATE-GAS AVAILABILITY'!Q917+P918*'RAP TEMPLATE-GAS AVAILABILITY'!R917)/('RAP TEMPLATE-GAS AVAILABILITY'!O917+'RAP TEMPLATE-GAS AVAILABILITY'!P917+'RAP TEMPLATE-GAS AVAILABILITY'!Q917+'RAP TEMPLATE-GAS AVAILABILITY'!R917)</f>
        <v>83.122392805755396</v>
      </c>
    </row>
    <row r="919" spans="1:29" ht="15.75" x14ac:dyDescent="0.25">
      <c r="A919" s="32">
        <v>68880</v>
      </c>
      <c r="B919" s="14">
        <f>CHOOSE(CONTROL!$C$42, 82.2517, 82.2517) * CHOOSE(CONTROL!$C$21, $C$9, 100%, $E$9)</f>
        <v>82.2517</v>
      </c>
      <c r="C919" s="14">
        <f>CHOOSE(CONTROL!$C$42, 82.2596, 82.2596) * CHOOSE(CONTROL!$C$21, $C$9, 100%, $E$9)</f>
        <v>82.259600000000006</v>
      </c>
      <c r="D919" s="14">
        <f>CHOOSE(CONTROL!$C$42, 82.4572, 82.4572) * CHOOSE(CONTROL!$C$21, $C$9, 100%, $E$9)</f>
        <v>82.4572</v>
      </c>
      <c r="E919" s="14">
        <f>CHOOSE(CONTROL!$C$42, 82.4884, 82.4884) * CHOOSE(CONTROL!$C$21, $C$9, 100%, $E$9)</f>
        <v>82.488399999999999</v>
      </c>
      <c r="F919" s="14">
        <f>CHOOSE(CONTROL!$C$42, 82.236, 82.236)*CHOOSE(CONTROL!$C$21, $C$9, 100%, $E$9)</f>
        <v>82.236000000000004</v>
      </c>
      <c r="G919" s="14">
        <f>CHOOSE(CONTROL!$C$42, 82.2523, 82.2523)*CHOOSE(CONTROL!$C$21, $C$9, 100%, $E$9)</f>
        <v>82.252300000000005</v>
      </c>
      <c r="H919" s="14">
        <f>CHOOSE(CONTROL!$C$42, 82.477, 82.477) * CHOOSE(CONTROL!$C$21, $C$9, 100%, $E$9)</f>
        <v>82.477000000000004</v>
      </c>
      <c r="I919" s="14">
        <f>CHOOSE(CONTROL!$C$42, 82.2631, 82.2631)* CHOOSE(CONTROL!$C$21, $C$9, 100%, $E$9)</f>
        <v>82.263099999999994</v>
      </c>
      <c r="J919" s="14">
        <f>CHOOSE(CONTROL!$C$42, 82.229, 82.229)* CHOOSE(CONTROL!$C$21, $C$9, 100%, $E$9)</f>
        <v>82.228999999999999</v>
      </c>
      <c r="K919" s="53">
        <f>CHOOSE(CONTROL!$C$42, 82.2592, 82.2592) * CHOOSE(CONTROL!$C$21, $C$9, 100%, $E$9)</f>
        <v>82.259200000000007</v>
      </c>
      <c r="L919" s="14">
        <f>CHOOSE(CONTROL!$C$42, 83.064, 83.064) * CHOOSE(CONTROL!$C$21, $C$9, 100%, $E$9)</f>
        <v>83.063999999999993</v>
      </c>
      <c r="M919" s="14">
        <f>CHOOSE(CONTROL!$C$42, 81.413, 81.413) * CHOOSE(CONTROL!$C$21, $C$9, 100%, $E$9)</f>
        <v>81.412999999999997</v>
      </c>
      <c r="N919" s="14">
        <f>CHOOSE(CONTROL!$C$42, 81.4291, 81.4291) * CHOOSE(CONTROL!$C$21, $C$9, 100%, $E$9)</f>
        <v>81.429100000000005</v>
      </c>
      <c r="O919" s="14">
        <f>CHOOSE(CONTROL!$C$42, 81.6585, 81.6585) * CHOOSE(CONTROL!$C$21, $C$9, 100%, $E$9)</f>
        <v>81.658500000000004</v>
      </c>
      <c r="P919" s="14">
        <f>CHOOSE(CONTROL!$C$42, 81.4468, 81.4468) * CHOOSE(CONTROL!$C$21, $C$9, 100%, $E$9)</f>
        <v>81.446799999999996</v>
      </c>
      <c r="Q919" s="14">
        <f>CHOOSE(CONTROL!$C$42, 82.2538, 82.2538) * CHOOSE(CONTROL!$C$21, $C$9, 100%, $E$9)</f>
        <v>82.253799999999998</v>
      </c>
      <c r="R919" s="14">
        <f>CHOOSE(CONTROL!$C$42, 83.0464, 83.0464) * CHOOSE(CONTROL!$C$21, $C$9, 100%, $E$9)</f>
        <v>83.046400000000006</v>
      </c>
      <c r="S919" s="14">
        <f>CHOOSE(CONTROL!$C$42, 79.8704, 79.8704) * CHOOSE(CONTROL!$C$21, $C$9, 100%, $E$9)</f>
        <v>79.870400000000004</v>
      </c>
      <c r="T91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19" s="57">
        <f>(1000*CHOOSE(CONTROL!$C$42, 695, 695)*CHOOSE(CONTROL!$C$42, 0.5599, 0.5599)*CHOOSE(CONTROL!$C$42, 31, 31))/1000000</f>
        <v>12.063045499999998</v>
      </c>
      <c r="V919" s="57">
        <f>(1000*CHOOSE(CONTROL!$C$42, 500, 500)*CHOOSE(CONTROL!$C$42, 0.275, 0.275)*CHOOSE(CONTROL!$C$42, 31, 31))/1000000</f>
        <v>4.2625000000000002</v>
      </c>
      <c r="W919" s="57">
        <f>(1000*CHOOSE(CONTROL!$C$42, 0.1146, 0.1146)*CHOOSE(CONTROL!$C$42, 121.5, 121.5)*CHOOSE(CONTROL!$C$42, 31, 31))/1000000</f>
        <v>0.43164089999999994</v>
      </c>
      <c r="X919" s="57">
        <f>(31*0.1790888*245000/1000000)+(31*0.2374*100000/1000000)</f>
        <v>2.0961194359999999</v>
      </c>
      <c r="Y919" s="57"/>
      <c r="Z919" s="14"/>
      <c r="AA919" s="56"/>
      <c r="AB919" s="50">
        <f>(B919*194.205+C919*267.466+D919*133.845+E919*53.484+F919*40+G919*185+H919*0+I919*100+J919*300)/(194.205+267.466+133.845+53.484+0+40+185+100+300)</f>
        <v>82.280028721899527</v>
      </c>
      <c r="AC919" s="45">
        <f>(M919*'RAP TEMPLATE-GAS AVAILABILITY'!O918+N919*'RAP TEMPLATE-GAS AVAILABILITY'!P918+O919*'RAP TEMPLATE-GAS AVAILABILITY'!Q918+P919*'RAP TEMPLATE-GAS AVAILABILITY'!R918)/('RAP TEMPLATE-GAS AVAILABILITY'!O918+'RAP TEMPLATE-GAS AVAILABILITY'!P918+'RAP TEMPLATE-GAS AVAILABILITY'!Q918+'RAP TEMPLATE-GAS AVAILABILITY'!R918)</f>
        <v>81.530059712230226</v>
      </c>
    </row>
    <row r="920" spans="1:29" ht="15.75" x14ac:dyDescent="0.25">
      <c r="A920" s="32">
        <v>68911</v>
      </c>
      <c r="B920" s="14">
        <f>CHOOSE(CONTROL!$C$42, 78.1891, 78.1891) * CHOOSE(CONTROL!$C$21, $C$9, 100%, $E$9)</f>
        <v>78.189099999999996</v>
      </c>
      <c r="C920" s="14">
        <f>CHOOSE(CONTROL!$C$42, 78.1971, 78.1971) * CHOOSE(CONTROL!$C$21, $C$9, 100%, $E$9)</f>
        <v>78.197100000000006</v>
      </c>
      <c r="D920" s="14">
        <f>CHOOSE(CONTROL!$C$42, 78.3946, 78.3946) * CHOOSE(CONTROL!$C$21, $C$9, 100%, $E$9)</f>
        <v>78.394599999999997</v>
      </c>
      <c r="E920" s="14">
        <f>CHOOSE(CONTROL!$C$42, 78.4258, 78.4258) * CHOOSE(CONTROL!$C$21, $C$9, 100%, $E$9)</f>
        <v>78.425799999999995</v>
      </c>
      <c r="F920" s="14">
        <f>CHOOSE(CONTROL!$C$42, 78.1736, 78.1736)*CHOOSE(CONTROL!$C$21, $C$9, 100%, $E$9)</f>
        <v>78.173599999999993</v>
      </c>
      <c r="G920" s="14">
        <f>CHOOSE(CONTROL!$C$42, 78.1899, 78.1899)*CHOOSE(CONTROL!$C$21, $C$9, 100%, $E$9)</f>
        <v>78.189899999999994</v>
      </c>
      <c r="H920" s="14">
        <f>CHOOSE(CONTROL!$C$42, 78.4144, 78.4144) * CHOOSE(CONTROL!$C$21, $C$9, 100%, $E$9)</f>
        <v>78.414400000000001</v>
      </c>
      <c r="I920" s="14">
        <f>CHOOSE(CONTROL!$C$42, 78.2005, 78.2005)* CHOOSE(CONTROL!$C$21, $C$9, 100%, $E$9)</f>
        <v>78.200500000000005</v>
      </c>
      <c r="J920" s="14">
        <f>CHOOSE(CONTROL!$C$42, 78.1666, 78.1666)* CHOOSE(CONTROL!$C$21, $C$9, 100%, $E$9)</f>
        <v>78.166600000000003</v>
      </c>
      <c r="K920" s="53">
        <f>CHOOSE(CONTROL!$C$42, 78.1966, 78.1966) * CHOOSE(CONTROL!$C$21, $C$9, 100%, $E$9)</f>
        <v>78.196600000000004</v>
      </c>
      <c r="L920" s="14">
        <f>CHOOSE(CONTROL!$C$42, 79.0014, 79.0014) * CHOOSE(CONTROL!$C$21, $C$9, 100%, $E$9)</f>
        <v>79.001400000000004</v>
      </c>
      <c r="M920" s="14">
        <f>CHOOSE(CONTROL!$C$42, 77.3916, 77.3916) * CHOOSE(CONTROL!$C$21, $C$9, 100%, $E$9)</f>
        <v>77.391599999999997</v>
      </c>
      <c r="N920" s="14">
        <f>CHOOSE(CONTROL!$C$42, 77.4078, 77.4078) * CHOOSE(CONTROL!$C$21, $C$9, 100%, $E$9)</f>
        <v>77.407799999999995</v>
      </c>
      <c r="O920" s="14">
        <f>CHOOSE(CONTROL!$C$42, 77.6369, 77.6369) * CHOOSE(CONTROL!$C$21, $C$9, 100%, $E$9)</f>
        <v>77.636899999999997</v>
      </c>
      <c r="P920" s="14">
        <f>CHOOSE(CONTROL!$C$42, 77.4252, 77.4252) * CHOOSE(CONTROL!$C$21, $C$9, 100%, $E$9)</f>
        <v>77.425200000000004</v>
      </c>
      <c r="Q920" s="14">
        <f>CHOOSE(CONTROL!$C$42, 78.2322, 78.2322) * CHOOSE(CONTROL!$C$21, $C$9, 100%, $E$9)</f>
        <v>78.232200000000006</v>
      </c>
      <c r="R920" s="14">
        <f>CHOOSE(CONTROL!$C$42, 79.0148, 79.0148) * CHOOSE(CONTROL!$C$21, $C$9, 100%, $E$9)</f>
        <v>79.014799999999994</v>
      </c>
      <c r="S920" s="14">
        <f>CHOOSE(CONTROL!$C$42, 75.9252, 75.9252) * CHOOSE(CONTROL!$C$21, $C$9, 100%, $E$9)</f>
        <v>75.925200000000004</v>
      </c>
      <c r="T92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20" s="57">
        <f>(1000*CHOOSE(CONTROL!$C$42, 695, 695)*CHOOSE(CONTROL!$C$42, 0.5599, 0.5599)*CHOOSE(CONTROL!$C$42, 31, 31))/1000000</f>
        <v>12.063045499999998</v>
      </c>
      <c r="V920" s="57">
        <f>(1000*CHOOSE(CONTROL!$C$42, 500, 500)*CHOOSE(CONTROL!$C$42, 0.275, 0.275)*CHOOSE(CONTROL!$C$42, 31, 31))/1000000</f>
        <v>4.2625000000000002</v>
      </c>
      <c r="W920" s="57">
        <f>(1000*CHOOSE(CONTROL!$C$42, 0.1146, 0.1146)*CHOOSE(CONTROL!$C$42, 121.5, 121.5)*CHOOSE(CONTROL!$C$42, 31, 31))/1000000</f>
        <v>0.43164089999999994</v>
      </c>
      <c r="X920" s="57">
        <f>(31*0.1790888*245000/1000000)+(31*0.2374*100000/1000000)</f>
        <v>2.0961194359999999</v>
      </c>
      <c r="Y920" s="57"/>
      <c r="Z920" s="14"/>
      <c r="AA920" s="56"/>
      <c r="AB920" s="50">
        <f>(B920*194.205+C920*267.466+D920*133.845+E920*53.484+F920*40+G920*185+H920*0+I920*100+J920*300)/(194.205+267.466+133.845+53.484+0+40+185+100+300)</f>
        <v>78.217532133673473</v>
      </c>
      <c r="AC920" s="45">
        <f>(M920*'RAP TEMPLATE-GAS AVAILABILITY'!O919+N920*'RAP TEMPLATE-GAS AVAILABILITY'!P919+O920*'RAP TEMPLATE-GAS AVAILABILITY'!Q919+P920*'RAP TEMPLATE-GAS AVAILABILITY'!R919)/('RAP TEMPLATE-GAS AVAILABILITY'!O919+'RAP TEMPLATE-GAS AVAILABILITY'!P919+'RAP TEMPLATE-GAS AVAILABILITY'!Q919+'RAP TEMPLATE-GAS AVAILABILITY'!R919)</f>
        <v>77.508546043165481</v>
      </c>
    </row>
    <row r="921" spans="1:29" ht="15.75" x14ac:dyDescent="0.25">
      <c r="A921" s="32">
        <v>68941</v>
      </c>
      <c r="B921" s="14">
        <f>CHOOSE(CONTROL!$C$42, 73.225, 73.225) * CHOOSE(CONTROL!$C$21, $C$9, 100%, $E$9)</f>
        <v>73.224999999999994</v>
      </c>
      <c r="C921" s="14">
        <f>CHOOSE(CONTROL!$C$42, 73.233, 73.233) * CHOOSE(CONTROL!$C$21, $C$9, 100%, $E$9)</f>
        <v>73.233000000000004</v>
      </c>
      <c r="D921" s="14">
        <f>CHOOSE(CONTROL!$C$42, 73.4305, 73.4305) * CHOOSE(CONTROL!$C$21, $C$9, 100%, $E$9)</f>
        <v>73.430499999999995</v>
      </c>
      <c r="E921" s="14">
        <f>CHOOSE(CONTROL!$C$42, 73.4617, 73.4617) * CHOOSE(CONTROL!$C$21, $C$9, 100%, $E$9)</f>
        <v>73.461699999999993</v>
      </c>
      <c r="F921" s="14">
        <f>CHOOSE(CONTROL!$C$42, 73.2094, 73.2094)*CHOOSE(CONTROL!$C$21, $C$9, 100%, $E$9)</f>
        <v>73.209400000000002</v>
      </c>
      <c r="G921" s="14">
        <f>CHOOSE(CONTROL!$C$42, 73.2258, 73.2258)*CHOOSE(CONTROL!$C$21, $C$9, 100%, $E$9)</f>
        <v>73.225800000000007</v>
      </c>
      <c r="H921" s="14">
        <f>CHOOSE(CONTROL!$C$42, 73.4503, 73.4503) * CHOOSE(CONTROL!$C$21, $C$9, 100%, $E$9)</f>
        <v>73.450299999999999</v>
      </c>
      <c r="I921" s="14">
        <f>CHOOSE(CONTROL!$C$42, 73.2364, 73.2364)* CHOOSE(CONTROL!$C$21, $C$9, 100%, $E$9)</f>
        <v>73.236400000000003</v>
      </c>
      <c r="J921" s="14">
        <f>CHOOSE(CONTROL!$C$42, 73.2024, 73.2024)* CHOOSE(CONTROL!$C$21, $C$9, 100%, $E$9)</f>
        <v>73.202399999999997</v>
      </c>
      <c r="K921" s="53">
        <f>CHOOSE(CONTROL!$C$42, 73.2325, 73.2325) * CHOOSE(CONTROL!$C$21, $C$9, 100%, $E$9)</f>
        <v>73.232500000000002</v>
      </c>
      <c r="L921" s="14">
        <f>CHOOSE(CONTROL!$C$42, 74.0373, 74.0373) * CHOOSE(CONTROL!$C$21, $C$9, 100%, $E$9)</f>
        <v>74.037300000000002</v>
      </c>
      <c r="M921" s="14">
        <f>CHOOSE(CONTROL!$C$42, 72.4775, 72.4775) * CHOOSE(CONTROL!$C$21, $C$9, 100%, $E$9)</f>
        <v>72.477500000000006</v>
      </c>
      <c r="N921" s="14">
        <f>CHOOSE(CONTROL!$C$42, 72.4937, 72.4937) * CHOOSE(CONTROL!$C$21, $C$9, 100%, $E$9)</f>
        <v>72.493700000000004</v>
      </c>
      <c r="O921" s="14">
        <f>CHOOSE(CONTROL!$C$42, 72.7229, 72.7229) * CHOOSE(CONTROL!$C$21, $C$9, 100%, $E$9)</f>
        <v>72.722899999999996</v>
      </c>
      <c r="P921" s="14">
        <f>CHOOSE(CONTROL!$C$42, 72.5112, 72.5112) * CHOOSE(CONTROL!$C$21, $C$9, 100%, $E$9)</f>
        <v>72.511200000000002</v>
      </c>
      <c r="Q921" s="14">
        <f>CHOOSE(CONTROL!$C$42, 73.3182, 73.3182) * CHOOSE(CONTROL!$C$21, $C$9, 100%, $E$9)</f>
        <v>73.318200000000004</v>
      </c>
      <c r="R921" s="14">
        <f>CHOOSE(CONTROL!$C$42, 74.0885, 74.0885) * CHOOSE(CONTROL!$C$21, $C$9, 100%, $E$9)</f>
        <v>74.088499999999996</v>
      </c>
      <c r="S921" s="14">
        <f>CHOOSE(CONTROL!$C$42, 71.1046, 71.1046) * CHOOSE(CONTROL!$C$21, $C$9, 100%, $E$9)</f>
        <v>71.104600000000005</v>
      </c>
      <c r="T92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21" s="57">
        <f>(1000*CHOOSE(CONTROL!$C$42, 695, 695)*CHOOSE(CONTROL!$C$42, 0.5599, 0.5599)*CHOOSE(CONTROL!$C$42, 30, 30))/1000000</f>
        <v>11.673914999999997</v>
      </c>
      <c r="V921" s="57">
        <f>(1000*CHOOSE(CONTROL!$C$42, 500, 500)*CHOOSE(CONTROL!$C$42, 0.275, 0.275)*CHOOSE(CONTROL!$C$42, 30, 30))/1000000</f>
        <v>4.125</v>
      </c>
      <c r="W921" s="57">
        <f>(1000*CHOOSE(CONTROL!$C$42, 0.1146, 0.1146)*CHOOSE(CONTROL!$C$42, 121.5, 121.5)*CHOOSE(CONTROL!$C$42, 30, 30))/1000000</f>
        <v>0.417717</v>
      </c>
      <c r="X921" s="57">
        <f>(30*0.1790888*245000/1000000)+(30*0.2374*100000/1000000)</f>
        <v>2.0285026799999999</v>
      </c>
      <c r="Y921" s="57"/>
      <c r="Z921" s="14"/>
      <c r="AA921" s="56"/>
      <c r="AB921" s="50">
        <f>(B921*194.205+C921*267.466+D921*133.845+E921*53.484+F921*40+G921*185+H921*0+I921*100+J921*300)/(194.205+267.466+133.845+53.484+0+40+185+100+300)</f>
        <v>73.253405446075362</v>
      </c>
      <c r="AC921" s="45">
        <f>(M921*'RAP TEMPLATE-GAS AVAILABILITY'!O920+N921*'RAP TEMPLATE-GAS AVAILABILITY'!P920+O921*'RAP TEMPLATE-GAS AVAILABILITY'!Q920+P921*'RAP TEMPLATE-GAS AVAILABILITY'!R920)/('RAP TEMPLATE-GAS AVAILABILITY'!O920+'RAP TEMPLATE-GAS AVAILABILITY'!P920+'RAP TEMPLATE-GAS AVAILABILITY'!Q920+'RAP TEMPLATE-GAS AVAILABILITY'!R920)</f>
        <v>72.594505755395687</v>
      </c>
    </row>
    <row r="922" spans="1:29" ht="15.75" x14ac:dyDescent="0.25">
      <c r="A922" s="32">
        <v>68972</v>
      </c>
      <c r="B922" s="14">
        <f>CHOOSE(CONTROL!$C$42, 71.7366, 71.7366) * CHOOSE(CONTROL!$C$21, $C$9, 100%, $E$9)</f>
        <v>71.736599999999996</v>
      </c>
      <c r="C922" s="14">
        <f>CHOOSE(CONTROL!$C$42, 71.7418, 71.7418) * CHOOSE(CONTROL!$C$21, $C$9, 100%, $E$9)</f>
        <v>71.741799999999998</v>
      </c>
      <c r="D922" s="14">
        <f>CHOOSE(CONTROL!$C$42, 71.9444, 71.9444) * CHOOSE(CONTROL!$C$21, $C$9, 100%, $E$9)</f>
        <v>71.944400000000002</v>
      </c>
      <c r="E922" s="14">
        <f>CHOOSE(CONTROL!$C$42, 71.9732, 71.9732) * CHOOSE(CONTROL!$C$21, $C$9, 100%, $E$9)</f>
        <v>71.973200000000006</v>
      </c>
      <c r="F922" s="14">
        <f>CHOOSE(CONTROL!$C$42, 71.723, 71.723)*CHOOSE(CONTROL!$C$21, $C$9, 100%, $E$9)</f>
        <v>71.722999999999999</v>
      </c>
      <c r="G922" s="14">
        <f>CHOOSE(CONTROL!$C$42, 71.739, 71.739)*CHOOSE(CONTROL!$C$21, $C$9, 100%, $E$9)</f>
        <v>71.739000000000004</v>
      </c>
      <c r="H922" s="14">
        <f>CHOOSE(CONTROL!$C$42, 71.9636, 71.9636) * CHOOSE(CONTROL!$C$21, $C$9, 100%, $E$9)</f>
        <v>71.9636</v>
      </c>
      <c r="I922" s="14">
        <f>CHOOSE(CONTROL!$C$42, 71.7497, 71.7497)* CHOOSE(CONTROL!$C$21, $C$9, 100%, $E$9)</f>
        <v>71.749700000000004</v>
      </c>
      <c r="J922" s="14">
        <f>CHOOSE(CONTROL!$C$42, 71.716, 71.716)* CHOOSE(CONTROL!$C$21, $C$9, 100%, $E$9)</f>
        <v>71.715999999999994</v>
      </c>
      <c r="K922" s="53">
        <f>CHOOSE(CONTROL!$C$42, 71.7459, 71.7459) * CHOOSE(CONTROL!$C$21, $C$9, 100%, $E$9)</f>
        <v>71.745900000000006</v>
      </c>
      <c r="L922" s="14">
        <f>CHOOSE(CONTROL!$C$42, 72.5506, 72.5506) * CHOOSE(CONTROL!$C$21, $C$9, 100%, $E$9)</f>
        <v>72.550600000000003</v>
      </c>
      <c r="M922" s="14">
        <f>CHOOSE(CONTROL!$C$42, 71.0061, 71.0061) * CHOOSE(CONTROL!$C$21, $C$9, 100%, $E$9)</f>
        <v>71.006100000000004</v>
      </c>
      <c r="N922" s="14">
        <f>CHOOSE(CONTROL!$C$42, 71.0219, 71.0219) * CHOOSE(CONTROL!$C$21, $C$9, 100%, $E$9)</f>
        <v>71.021900000000002</v>
      </c>
      <c r="O922" s="14">
        <f>CHOOSE(CONTROL!$C$42, 71.2512, 71.2512) * CHOOSE(CONTROL!$C$21, $C$9, 100%, $E$9)</f>
        <v>71.251199999999997</v>
      </c>
      <c r="P922" s="14">
        <f>CHOOSE(CONTROL!$C$42, 71.0395, 71.0395) * CHOOSE(CONTROL!$C$21, $C$9, 100%, $E$9)</f>
        <v>71.039500000000004</v>
      </c>
      <c r="Q922" s="14">
        <f>CHOOSE(CONTROL!$C$42, 71.8465, 71.8465) * CHOOSE(CONTROL!$C$21, $C$9, 100%, $E$9)</f>
        <v>71.846500000000006</v>
      </c>
      <c r="R922" s="14">
        <f>CHOOSE(CONTROL!$C$42, 72.6132, 72.6132) * CHOOSE(CONTROL!$C$21, $C$9, 100%, $E$9)</f>
        <v>72.613200000000006</v>
      </c>
      <c r="S922" s="14">
        <f>CHOOSE(CONTROL!$C$42, 69.6609, 69.6609) * CHOOSE(CONTROL!$C$21, $C$9, 100%, $E$9)</f>
        <v>69.660899999999998</v>
      </c>
      <c r="T92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22" s="57">
        <f>(1000*CHOOSE(CONTROL!$C$42, 695, 695)*CHOOSE(CONTROL!$C$42, 0.5599, 0.5599)*CHOOSE(CONTROL!$C$42, 31, 31))/1000000</f>
        <v>12.063045499999998</v>
      </c>
      <c r="V922" s="57">
        <f>(1000*CHOOSE(CONTROL!$C$42, 500, 500)*CHOOSE(CONTROL!$C$42, 0.275, 0.275)*CHOOSE(CONTROL!$C$42, 31, 31))/1000000</f>
        <v>4.2625000000000002</v>
      </c>
      <c r="W922" s="57">
        <f>(1000*CHOOSE(CONTROL!$C$42, 0.1146, 0.1146)*CHOOSE(CONTROL!$C$42, 121.5, 121.5)*CHOOSE(CONTROL!$C$42, 31, 31))/1000000</f>
        <v>0.43164089999999994</v>
      </c>
      <c r="X922" s="57">
        <f>(31*0.1790888*245000/1000000)+(31*0.2374*100000/1000000)</f>
        <v>2.0961194359999999</v>
      </c>
      <c r="Y922" s="57"/>
      <c r="Z922" s="14"/>
      <c r="AA922" s="56"/>
      <c r="AB922" s="50">
        <f>(B922*131.881+C922*277.167+D922*79.08+E922*125.872+F922*40+G922*185+H922*0+I922*100+J922*300)/(131.881+277.167+79.08+125.872+0+40+185+100+300)</f>
        <v>71.771051499273611</v>
      </c>
      <c r="AC922" s="45">
        <f>(M922*'RAP TEMPLATE-GAS AVAILABILITY'!O921+N922*'RAP TEMPLATE-GAS AVAILABILITY'!P921+O922*'RAP TEMPLATE-GAS AVAILABILITY'!Q921+P922*'RAP TEMPLATE-GAS AVAILABILITY'!R921)/('RAP TEMPLATE-GAS AVAILABILITY'!O921+'RAP TEMPLATE-GAS AVAILABILITY'!P921+'RAP TEMPLATE-GAS AVAILABILITY'!Q921+'RAP TEMPLATE-GAS AVAILABILITY'!R921)</f>
        <v>71.122903597122303</v>
      </c>
    </row>
    <row r="923" spans="1:29" ht="15.75" x14ac:dyDescent="0.25">
      <c r="A923" s="32">
        <v>69002</v>
      </c>
      <c r="B923" s="14">
        <f>CHOOSE(CONTROL!$C$42, 73.626, 73.626) * CHOOSE(CONTROL!$C$21, $C$9, 100%, $E$9)</f>
        <v>73.626000000000005</v>
      </c>
      <c r="C923" s="14">
        <f>CHOOSE(CONTROL!$C$42, 73.631, 73.631) * CHOOSE(CONTROL!$C$21, $C$9, 100%, $E$9)</f>
        <v>73.631</v>
      </c>
      <c r="D923" s="14">
        <f>CHOOSE(CONTROL!$C$42, 73.694, 73.694) * CHOOSE(CONTROL!$C$21, $C$9, 100%, $E$9)</f>
        <v>73.694000000000003</v>
      </c>
      <c r="E923" s="14">
        <f>CHOOSE(CONTROL!$C$42, 73.7278, 73.7278) * CHOOSE(CONTROL!$C$21, $C$9, 100%, $E$9)</f>
        <v>73.727800000000002</v>
      </c>
      <c r="F923" s="14">
        <f>CHOOSE(CONTROL!$C$42, 73.6267, 73.6267)*CHOOSE(CONTROL!$C$21, $C$9, 100%, $E$9)</f>
        <v>73.6267</v>
      </c>
      <c r="G923" s="14">
        <f>CHOOSE(CONTROL!$C$42, 73.643, 73.643)*CHOOSE(CONTROL!$C$21, $C$9, 100%, $E$9)</f>
        <v>73.643000000000001</v>
      </c>
      <c r="H923" s="14">
        <f>CHOOSE(CONTROL!$C$42, 73.717, 73.717) * CHOOSE(CONTROL!$C$21, $C$9, 100%, $E$9)</f>
        <v>73.716999999999999</v>
      </c>
      <c r="I923" s="14">
        <f>CHOOSE(CONTROL!$C$42, 73.6395, 73.6395)* CHOOSE(CONTROL!$C$21, $C$9, 100%, $E$9)</f>
        <v>73.639499999999998</v>
      </c>
      <c r="J923" s="14">
        <f>CHOOSE(CONTROL!$C$42, 73.6197, 73.6197)* CHOOSE(CONTROL!$C$21, $C$9, 100%, $E$9)</f>
        <v>73.619699999999995</v>
      </c>
      <c r="K923" s="53">
        <f>CHOOSE(CONTROL!$C$42, 73.6357, 73.6357) * CHOOSE(CONTROL!$C$21, $C$9, 100%, $E$9)</f>
        <v>73.6357</v>
      </c>
      <c r="L923" s="14">
        <f>CHOOSE(CONTROL!$C$42, 74.304, 74.304) * CHOOSE(CONTROL!$C$21, $C$9, 100%, $E$9)</f>
        <v>74.304000000000002</v>
      </c>
      <c r="M923" s="14">
        <f>CHOOSE(CONTROL!$C$42, 72.8906, 72.8906) * CHOOSE(CONTROL!$C$21, $C$9, 100%, $E$9)</f>
        <v>72.890600000000006</v>
      </c>
      <c r="N923" s="14">
        <f>CHOOSE(CONTROL!$C$42, 72.9067, 72.9067) * CHOOSE(CONTROL!$C$21, $C$9, 100%, $E$9)</f>
        <v>72.906700000000001</v>
      </c>
      <c r="O923" s="14">
        <f>CHOOSE(CONTROL!$C$42, 72.9869, 72.9869) * CHOOSE(CONTROL!$C$21, $C$9, 100%, $E$9)</f>
        <v>72.986900000000006</v>
      </c>
      <c r="P923" s="14">
        <f>CHOOSE(CONTROL!$C$42, 72.9103, 72.9103) * CHOOSE(CONTROL!$C$21, $C$9, 100%, $E$9)</f>
        <v>72.910300000000007</v>
      </c>
      <c r="Q923" s="14">
        <f>CHOOSE(CONTROL!$C$42, 73.5822, 73.5822) * CHOOSE(CONTROL!$C$21, $C$9, 100%, $E$9)</f>
        <v>73.5822</v>
      </c>
      <c r="R923" s="14">
        <f>CHOOSE(CONTROL!$C$42, 74.3532, 74.3532) * CHOOSE(CONTROL!$C$21, $C$9, 100%, $E$9)</f>
        <v>74.353200000000001</v>
      </c>
      <c r="S923" s="14">
        <f>CHOOSE(CONTROL!$C$42, 71.4961, 71.4961) * CHOOSE(CONTROL!$C$21, $C$9, 100%, $E$9)</f>
        <v>71.496099999999998</v>
      </c>
      <c r="T92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23" s="57">
        <f>(1000*CHOOSE(CONTROL!$C$42, 695, 695)*CHOOSE(CONTROL!$C$42, 0.5599, 0.5599)*CHOOSE(CONTROL!$C$42, 30, 30))/1000000</f>
        <v>11.673914999999997</v>
      </c>
      <c r="V923" s="57">
        <f>(1000*CHOOSE(CONTROL!$C$42, 500, 500)*CHOOSE(CONTROL!$C$42, 0.275, 0.275)*CHOOSE(CONTROL!$C$42, 30, 30))/1000000</f>
        <v>4.125</v>
      </c>
      <c r="W923" s="57">
        <f>(1000*CHOOSE(CONTROL!$C$42, 0.1146, 0.1146)*CHOOSE(CONTROL!$C$42, 121.5, 121.5)*CHOOSE(CONTROL!$C$42, 30, 30))/1000000</f>
        <v>0.417717</v>
      </c>
      <c r="X923" s="57">
        <f>(30*0.1790888*100000/1000000)+(30*0.2374*100000/1000000)</f>
        <v>1.2494664</v>
      </c>
      <c r="Y923" s="57"/>
      <c r="Z923" s="14"/>
      <c r="AA923" s="56"/>
      <c r="AB923" s="50">
        <f>(B923*122.58+C923*297.941+D923*89.177+E923*40.302+F923*40+G923*160+H923*0+I923*100+J923*300)/(122.58+297.941+89.177+40.302+0+40+160+100+300)</f>
        <v>73.638056073565224</v>
      </c>
      <c r="AC923" s="45">
        <f>(M923*'RAP TEMPLATE-GAS AVAILABILITY'!O922+N923*'RAP TEMPLATE-GAS AVAILABILITY'!P922+O923*'RAP TEMPLATE-GAS AVAILABILITY'!Q922+P923*'RAP TEMPLATE-GAS AVAILABILITY'!R922)/('RAP TEMPLATE-GAS AVAILABILITY'!O922+'RAP TEMPLATE-GAS AVAILABILITY'!P922+'RAP TEMPLATE-GAS AVAILABILITY'!Q922+'RAP TEMPLATE-GAS AVAILABILITY'!R922)</f>
        <v>72.938007913669068</v>
      </c>
    </row>
    <row r="924" spans="1:29" ht="15.75" x14ac:dyDescent="0.25">
      <c r="A924" s="32">
        <v>69033</v>
      </c>
      <c r="B924" s="14">
        <f>CHOOSE(CONTROL!$C$42, 78.6456, 78.6456) * CHOOSE(CONTROL!$C$21, $C$9, 100%, $E$9)</f>
        <v>78.645600000000002</v>
      </c>
      <c r="C924" s="14">
        <f>CHOOSE(CONTROL!$C$42, 78.6505, 78.6505) * CHOOSE(CONTROL!$C$21, $C$9, 100%, $E$9)</f>
        <v>78.650499999999994</v>
      </c>
      <c r="D924" s="14">
        <f>CHOOSE(CONTROL!$C$42, 78.7136, 78.7136) * CHOOSE(CONTROL!$C$21, $C$9, 100%, $E$9)</f>
        <v>78.7136</v>
      </c>
      <c r="E924" s="14">
        <f>CHOOSE(CONTROL!$C$42, 78.7474, 78.7474) * CHOOSE(CONTROL!$C$21, $C$9, 100%, $E$9)</f>
        <v>78.747399999999999</v>
      </c>
      <c r="F924" s="14">
        <f>CHOOSE(CONTROL!$C$42, 78.6483, 78.6483)*CHOOSE(CONTROL!$C$21, $C$9, 100%, $E$9)</f>
        <v>78.648300000000006</v>
      </c>
      <c r="G924" s="14">
        <f>CHOOSE(CONTROL!$C$42, 78.6651, 78.6651)*CHOOSE(CONTROL!$C$21, $C$9, 100%, $E$9)</f>
        <v>78.665099999999995</v>
      </c>
      <c r="H924" s="14">
        <f>CHOOSE(CONTROL!$C$42, 78.7366, 78.7366) * CHOOSE(CONTROL!$C$21, $C$9, 100%, $E$9)</f>
        <v>78.736599999999996</v>
      </c>
      <c r="I924" s="14">
        <f>CHOOSE(CONTROL!$C$42, 78.6591, 78.6591)* CHOOSE(CONTROL!$C$21, $C$9, 100%, $E$9)</f>
        <v>78.659099999999995</v>
      </c>
      <c r="J924" s="14">
        <f>CHOOSE(CONTROL!$C$42, 78.6413, 78.6413)* CHOOSE(CONTROL!$C$21, $C$9, 100%, $E$9)</f>
        <v>78.641300000000001</v>
      </c>
      <c r="K924" s="53">
        <f>CHOOSE(CONTROL!$C$42, 78.6552, 78.6552) * CHOOSE(CONTROL!$C$21, $C$9, 100%, $E$9)</f>
        <v>78.655199999999994</v>
      </c>
      <c r="L924" s="14">
        <f>CHOOSE(CONTROL!$C$42, 79.3236, 79.3236) * CHOOSE(CONTROL!$C$21, $C$9, 100%, $E$9)</f>
        <v>79.323599999999999</v>
      </c>
      <c r="M924" s="14">
        <f>CHOOSE(CONTROL!$C$42, 77.8615, 77.8615) * CHOOSE(CONTROL!$C$21, $C$9, 100%, $E$9)</f>
        <v>77.861500000000007</v>
      </c>
      <c r="N924" s="14">
        <f>CHOOSE(CONTROL!$C$42, 77.8782, 77.8782) * CHOOSE(CONTROL!$C$21, $C$9, 100%, $E$9)</f>
        <v>77.878200000000007</v>
      </c>
      <c r="O924" s="14">
        <f>CHOOSE(CONTROL!$C$42, 77.9558, 77.9558) * CHOOSE(CONTROL!$C$21, $C$9, 100%, $E$9)</f>
        <v>77.955799999999996</v>
      </c>
      <c r="P924" s="14">
        <f>CHOOSE(CONTROL!$C$42, 77.8792, 77.8792) * CHOOSE(CONTROL!$C$21, $C$9, 100%, $E$9)</f>
        <v>77.879199999999997</v>
      </c>
      <c r="Q924" s="14">
        <f>CHOOSE(CONTROL!$C$42, 78.5511, 78.5511) * CHOOSE(CONTROL!$C$21, $C$9, 100%, $E$9)</f>
        <v>78.551100000000005</v>
      </c>
      <c r="R924" s="14">
        <f>CHOOSE(CONTROL!$C$42, 79.3345, 79.3345) * CHOOSE(CONTROL!$C$21, $C$9, 100%, $E$9)</f>
        <v>79.334500000000006</v>
      </c>
      <c r="S924" s="14">
        <f>CHOOSE(CONTROL!$C$42, 76.3706, 76.3706) * CHOOSE(CONTROL!$C$21, $C$9, 100%, $E$9)</f>
        <v>76.370599999999996</v>
      </c>
      <c r="T92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24" s="57">
        <f>(1000*CHOOSE(CONTROL!$C$42, 695, 695)*CHOOSE(CONTROL!$C$42, 0.5599, 0.5599)*CHOOSE(CONTROL!$C$42, 31, 31))/1000000</f>
        <v>12.063045499999998</v>
      </c>
      <c r="V924" s="57">
        <f>(1000*CHOOSE(CONTROL!$C$42, 500, 500)*CHOOSE(CONTROL!$C$42, 0.275, 0.275)*CHOOSE(CONTROL!$C$42, 31, 31))/1000000</f>
        <v>4.2625000000000002</v>
      </c>
      <c r="W924" s="57">
        <f>(1000*CHOOSE(CONTROL!$C$42, 0.1146, 0.1146)*CHOOSE(CONTROL!$C$42, 121.5, 121.5)*CHOOSE(CONTROL!$C$42, 31, 31))/1000000</f>
        <v>0.43164089999999994</v>
      </c>
      <c r="X924" s="57">
        <f>(31*0.1790888*100000/1000000)+(31*0.2374*100000/1000000)</f>
        <v>1.2911152800000001</v>
      </c>
      <c r="Y924" s="57"/>
      <c r="Z924" s="14"/>
      <c r="AA924" s="56"/>
      <c r="AB924" s="50">
        <f>(B924*122.58+C924*297.941+D924*89.177+E924*40.302+F924*40+G924*160+H924*0+I924*100+J924*300)/(122.58+297.941+89.177+40.302+0+40+160+100+300)</f>
        <v>78.658569296086952</v>
      </c>
      <c r="AC924" s="45">
        <f>(M924*'RAP TEMPLATE-GAS AVAILABILITY'!O923+N924*'RAP TEMPLATE-GAS AVAILABILITY'!P923+O924*'RAP TEMPLATE-GAS AVAILABILITY'!Q923+P924*'RAP TEMPLATE-GAS AVAILABILITY'!R923)/('RAP TEMPLATE-GAS AVAILABILITY'!O923+'RAP TEMPLATE-GAS AVAILABILITY'!P923+'RAP TEMPLATE-GAS AVAILABILITY'!Q923+'RAP TEMPLATE-GAS AVAILABILITY'!R923)</f>
        <v>77.907748201438835</v>
      </c>
    </row>
    <row r="925" spans="1:29" ht="15.75" x14ac:dyDescent="0.25">
      <c r="A925" s="32">
        <v>69064</v>
      </c>
      <c r="B925" s="14">
        <f>CHOOSE(CONTROL!$C$42, 85.0893, 85.0893) * CHOOSE(CONTROL!$C$21, $C$9, 100%, $E$9)</f>
        <v>85.089299999999994</v>
      </c>
      <c r="C925" s="14">
        <f>CHOOSE(CONTROL!$C$42, 85.0943, 85.0943) * CHOOSE(CONTROL!$C$21, $C$9, 100%, $E$9)</f>
        <v>85.094300000000004</v>
      </c>
      <c r="D925" s="14">
        <f>CHOOSE(CONTROL!$C$42, 85.1586, 85.1586) * CHOOSE(CONTROL!$C$21, $C$9, 100%, $E$9)</f>
        <v>85.158600000000007</v>
      </c>
      <c r="E925" s="14">
        <f>CHOOSE(CONTROL!$C$42, 85.1923, 85.1923) * CHOOSE(CONTROL!$C$21, $C$9, 100%, $E$9)</f>
        <v>85.192300000000003</v>
      </c>
      <c r="F925" s="14">
        <f>CHOOSE(CONTROL!$C$42, 85.0908, 85.0908)*CHOOSE(CONTROL!$C$21, $C$9, 100%, $E$9)</f>
        <v>85.090800000000002</v>
      </c>
      <c r="G925" s="14">
        <f>CHOOSE(CONTROL!$C$42, 85.1068, 85.1068)*CHOOSE(CONTROL!$C$21, $C$9, 100%, $E$9)</f>
        <v>85.106800000000007</v>
      </c>
      <c r="H925" s="14">
        <f>CHOOSE(CONTROL!$C$42, 85.1815, 85.1815) * CHOOSE(CONTROL!$C$21, $C$9, 100%, $E$9)</f>
        <v>85.1815</v>
      </c>
      <c r="I925" s="14">
        <f>CHOOSE(CONTROL!$C$42, 85.1093, 85.1093)* CHOOSE(CONTROL!$C$21, $C$9, 100%, $E$9)</f>
        <v>85.109300000000005</v>
      </c>
      <c r="J925" s="14">
        <f>CHOOSE(CONTROL!$C$42, 85.0838, 85.0838)* CHOOSE(CONTROL!$C$21, $C$9, 100%, $E$9)</f>
        <v>85.083799999999997</v>
      </c>
      <c r="K925" s="53">
        <f>CHOOSE(CONTROL!$C$42, 85.1054, 85.1054) * CHOOSE(CONTROL!$C$21, $C$9, 100%, $E$9)</f>
        <v>85.105400000000003</v>
      </c>
      <c r="L925" s="14">
        <f>CHOOSE(CONTROL!$C$42, 85.7685, 85.7685) * CHOOSE(CONTROL!$C$21, $C$9, 100%, $E$9)</f>
        <v>85.768500000000003</v>
      </c>
      <c r="M925" s="14">
        <f>CHOOSE(CONTROL!$C$42, 84.239, 84.239) * CHOOSE(CONTROL!$C$21, $C$9, 100%, $E$9)</f>
        <v>84.239000000000004</v>
      </c>
      <c r="N925" s="14">
        <f>CHOOSE(CONTROL!$C$42, 84.2548, 84.2548) * CHOOSE(CONTROL!$C$21, $C$9, 100%, $E$9)</f>
        <v>84.254800000000003</v>
      </c>
      <c r="O925" s="14">
        <f>CHOOSE(CONTROL!$C$42, 84.3357, 84.3357) * CHOOSE(CONTROL!$C$21, $C$9, 100%, $E$9)</f>
        <v>84.335700000000003</v>
      </c>
      <c r="P925" s="14">
        <f>CHOOSE(CONTROL!$C$42, 84.2643, 84.2643) * CHOOSE(CONTROL!$C$21, $C$9, 100%, $E$9)</f>
        <v>84.264300000000006</v>
      </c>
      <c r="Q925" s="14">
        <f>CHOOSE(CONTROL!$C$42, 84.931, 84.931) * CHOOSE(CONTROL!$C$21, $C$9, 100%, $E$9)</f>
        <v>84.930999999999997</v>
      </c>
      <c r="R925" s="14">
        <f>CHOOSE(CONTROL!$C$42, 85.7304, 85.7304) * CHOOSE(CONTROL!$C$21, $C$9, 100%, $E$9)</f>
        <v>85.730400000000003</v>
      </c>
      <c r="S925" s="14">
        <f>CHOOSE(CONTROL!$C$42, 82.6281, 82.6281) * CHOOSE(CONTROL!$C$21, $C$9, 100%, $E$9)</f>
        <v>82.628100000000003</v>
      </c>
      <c r="T92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25" s="57">
        <f>(1000*CHOOSE(CONTROL!$C$42, 695, 695)*CHOOSE(CONTROL!$C$42, 0.5599, 0.5599)*CHOOSE(CONTROL!$C$42, 31, 31))/1000000</f>
        <v>12.063045499999998</v>
      </c>
      <c r="V925" s="57">
        <f>(1000*CHOOSE(CONTROL!$C$42, 500, 500)*CHOOSE(CONTROL!$C$42, 0.275, 0.275)*CHOOSE(CONTROL!$C$42, 31, 31))/1000000</f>
        <v>4.2625000000000002</v>
      </c>
      <c r="W925" s="57">
        <f>(1000*CHOOSE(CONTROL!$C$42, 0.1146, 0.1146)*CHOOSE(CONTROL!$C$42, 121.5, 121.5)*CHOOSE(CONTROL!$C$42, 31, 31))/1000000</f>
        <v>0.43164089999999994</v>
      </c>
      <c r="X925" s="57">
        <f>(31*0.1790888*100000/1000000)+(31*0.2374*100000/1000000)</f>
        <v>1.2911152800000001</v>
      </c>
      <c r="Y925" s="57"/>
      <c r="Z925" s="14"/>
      <c r="AA925" s="56"/>
      <c r="AB925" s="50">
        <f>(B925*122.58+C925*297.941+D925*89.177+E925*40.302+F925*40+G925*160+H925*0+I925*100+J925*300)/(122.58+297.941+89.177+40.302+0+40+160+100+300)</f>
        <v>85.102370240956517</v>
      </c>
      <c r="AC925" s="45">
        <f>(M925*'RAP TEMPLATE-GAS AVAILABILITY'!O924+N925*'RAP TEMPLATE-GAS AVAILABILITY'!P924+O925*'RAP TEMPLATE-GAS AVAILABILITY'!Q924+P925*'RAP TEMPLATE-GAS AVAILABILITY'!R924)/('RAP TEMPLATE-GAS AVAILABILITY'!O924+'RAP TEMPLATE-GAS AVAILABILITY'!P924+'RAP TEMPLATE-GAS AVAILABILITY'!Q924+'RAP TEMPLATE-GAS AVAILABILITY'!R924)</f>
        <v>84.287377697841734</v>
      </c>
    </row>
    <row r="926" spans="1:29" ht="15.75" x14ac:dyDescent="0.25">
      <c r="A926" s="32">
        <v>69092</v>
      </c>
      <c r="B926" s="14">
        <f>CHOOSE(CONTROL!$C$42, 86.604, 86.604) * CHOOSE(CONTROL!$C$21, $C$9, 100%, $E$9)</f>
        <v>86.603999999999999</v>
      </c>
      <c r="C926" s="14">
        <f>CHOOSE(CONTROL!$C$42, 86.6089, 86.6089) * CHOOSE(CONTROL!$C$21, $C$9, 100%, $E$9)</f>
        <v>86.608900000000006</v>
      </c>
      <c r="D926" s="14">
        <f>CHOOSE(CONTROL!$C$42, 86.6732, 86.6732) * CHOOSE(CONTROL!$C$21, $C$9, 100%, $E$9)</f>
        <v>86.673199999999994</v>
      </c>
      <c r="E926" s="14">
        <f>CHOOSE(CONTROL!$C$42, 86.707, 86.707) * CHOOSE(CONTROL!$C$21, $C$9, 100%, $E$9)</f>
        <v>86.706999999999994</v>
      </c>
      <c r="F926" s="14">
        <f>CHOOSE(CONTROL!$C$42, 86.6056, 86.6056)*CHOOSE(CONTROL!$C$21, $C$9, 100%, $E$9)</f>
        <v>86.605599999999995</v>
      </c>
      <c r="G926" s="14">
        <f>CHOOSE(CONTROL!$C$42, 86.6215, 86.6215)*CHOOSE(CONTROL!$C$21, $C$9, 100%, $E$9)</f>
        <v>86.621499999999997</v>
      </c>
      <c r="H926" s="14">
        <f>CHOOSE(CONTROL!$C$42, 86.6962, 86.6962) * CHOOSE(CONTROL!$C$21, $C$9, 100%, $E$9)</f>
        <v>86.696200000000005</v>
      </c>
      <c r="I926" s="14">
        <f>CHOOSE(CONTROL!$C$42, 86.624, 86.624)* CHOOSE(CONTROL!$C$21, $C$9, 100%, $E$9)</f>
        <v>86.623999999999995</v>
      </c>
      <c r="J926" s="14">
        <f>CHOOSE(CONTROL!$C$42, 86.5986, 86.5986)* CHOOSE(CONTROL!$C$21, $C$9, 100%, $E$9)</f>
        <v>86.598600000000005</v>
      </c>
      <c r="K926" s="53">
        <f>CHOOSE(CONTROL!$C$42, 86.6201, 86.6201) * CHOOSE(CONTROL!$C$21, $C$9, 100%, $E$9)</f>
        <v>86.620099999999994</v>
      </c>
      <c r="L926" s="14">
        <f>CHOOSE(CONTROL!$C$42, 87.2832, 87.2832) * CHOOSE(CONTROL!$C$21, $C$9, 100%, $E$9)</f>
        <v>87.283199999999994</v>
      </c>
      <c r="M926" s="14">
        <f>CHOOSE(CONTROL!$C$42, 85.7385, 85.7385) * CHOOSE(CONTROL!$C$21, $C$9, 100%, $E$9)</f>
        <v>85.738500000000002</v>
      </c>
      <c r="N926" s="14">
        <f>CHOOSE(CONTROL!$C$42, 85.7542, 85.7542) * CHOOSE(CONTROL!$C$21, $C$9, 100%, $E$9)</f>
        <v>85.754199999999997</v>
      </c>
      <c r="O926" s="14">
        <f>CHOOSE(CONTROL!$C$42, 85.8351, 85.8351) * CHOOSE(CONTROL!$C$21, $C$9, 100%, $E$9)</f>
        <v>85.835099999999997</v>
      </c>
      <c r="P926" s="14">
        <f>CHOOSE(CONTROL!$C$42, 85.7636, 85.7636) * CHOOSE(CONTROL!$C$21, $C$9, 100%, $E$9)</f>
        <v>85.763599999999997</v>
      </c>
      <c r="Q926" s="14">
        <f>CHOOSE(CONTROL!$C$42, 86.4304, 86.4304) * CHOOSE(CONTROL!$C$21, $C$9, 100%, $E$9)</f>
        <v>86.430400000000006</v>
      </c>
      <c r="R926" s="14">
        <f>CHOOSE(CONTROL!$C$42, 87.2335, 87.2335) * CHOOSE(CONTROL!$C$21, $C$9, 100%, $E$9)</f>
        <v>87.233500000000006</v>
      </c>
      <c r="S926" s="14">
        <f>CHOOSE(CONTROL!$C$42, 84.099, 84.099) * CHOOSE(CONTROL!$C$21, $C$9, 100%, $E$9)</f>
        <v>84.099000000000004</v>
      </c>
      <c r="T92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26" s="57">
        <f>(1000*CHOOSE(CONTROL!$C$42, 695, 695)*CHOOSE(CONTROL!$C$42, 0.5599, 0.5599)*CHOOSE(CONTROL!$C$42, 28, 28))/1000000</f>
        <v>10.895653999999999</v>
      </c>
      <c r="V926" s="57">
        <f>(1000*CHOOSE(CONTROL!$C$42, 500, 500)*CHOOSE(CONTROL!$C$42, 0.275, 0.275)*CHOOSE(CONTROL!$C$42, 28, 28))/1000000</f>
        <v>3.85</v>
      </c>
      <c r="W926" s="57">
        <f>(1000*CHOOSE(CONTROL!$C$42, 0.1146, 0.1146)*CHOOSE(CONTROL!$C$42, 121.5, 121.5)*CHOOSE(CONTROL!$C$42, 28, 28))/1000000</f>
        <v>0.38986920000000003</v>
      </c>
      <c r="X926" s="57">
        <f>(28*0.1790888*100000/1000000)+(28*0.2374*100000/1000000)</f>
        <v>1.16616864</v>
      </c>
      <c r="Y926" s="57"/>
      <c r="Z926" s="14"/>
      <c r="AA926" s="56"/>
      <c r="AB926" s="50">
        <f>(B926*122.58+C926*297.941+D926*89.177+E926*40.302+F926*40+G926*160+H926*0+I926*100+J926*300)/(122.58+297.941+89.177+40.302+0+40+160+100+300)</f>
        <v>86.617066143739123</v>
      </c>
      <c r="AC926" s="45">
        <f>(M926*'RAP TEMPLATE-GAS AVAILABILITY'!O925+N926*'RAP TEMPLATE-GAS AVAILABILITY'!P925+O926*'RAP TEMPLATE-GAS AVAILABILITY'!Q925+P926*'RAP TEMPLATE-GAS AVAILABILITY'!R925)/('RAP TEMPLATE-GAS AVAILABILITY'!O925+'RAP TEMPLATE-GAS AVAILABILITY'!P925+'RAP TEMPLATE-GAS AVAILABILITY'!Q925+'RAP TEMPLATE-GAS AVAILABILITY'!R925)</f>
        <v>85.786797841726624</v>
      </c>
    </row>
    <row r="927" spans="1:29" ht="15.75" x14ac:dyDescent="0.25">
      <c r="A927" s="32">
        <v>69123</v>
      </c>
      <c r="B927" s="14">
        <f>CHOOSE(CONTROL!$C$42, 84.1453, 84.1453) * CHOOSE(CONTROL!$C$21, $C$9, 100%, $E$9)</f>
        <v>84.145300000000006</v>
      </c>
      <c r="C927" s="14">
        <f>CHOOSE(CONTROL!$C$42, 84.1503, 84.1503) * CHOOSE(CONTROL!$C$21, $C$9, 100%, $E$9)</f>
        <v>84.150300000000001</v>
      </c>
      <c r="D927" s="14">
        <f>CHOOSE(CONTROL!$C$42, 84.2146, 84.2146) * CHOOSE(CONTROL!$C$21, $C$9, 100%, $E$9)</f>
        <v>84.214600000000004</v>
      </c>
      <c r="E927" s="14">
        <f>CHOOSE(CONTROL!$C$42, 84.2483, 84.2483) * CHOOSE(CONTROL!$C$21, $C$9, 100%, $E$9)</f>
        <v>84.2483</v>
      </c>
      <c r="F927" s="14">
        <f>CHOOSE(CONTROL!$C$42, 84.1466, 84.1466)*CHOOSE(CONTROL!$C$21, $C$9, 100%, $E$9)</f>
        <v>84.146600000000007</v>
      </c>
      <c r="G927" s="14">
        <f>CHOOSE(CONTROL!$C$42, 84.1624, 84.1624)*CHOOSE(CONTROL!$C$21, $C$9, 100%, $E$9)</f>
        <v>84.162400000000005</v>
      </c>
      <c r="H927" s="14">
        <f>CHOOSE(CONTROL!$C$42, 84.2375, 84.2375) * CHOOSE(CONTROL!$C$21, $C$9, 100%, $E$9)</f>
        <v>84.237499999999997</v>
      </c>
      <c r="I927" s="14">
        <f>CHOOSE(CONTROL!$C$42, 84.1653, 84.1653)* CHOOSE(CONTROL!$C$21, $C$9, 100%, $E$9)</f>
        <v>84.165300000000002</v>
      </c>
      <c r="J927" s="14">
        <f>CHOOSE(CONTROL!$C$42, 84.1396, 84.1396)* CHOOSE(CONTROL!$C$21, $C$9, 100%, $E$9)</f>
        <v>84.139600000000002</v>
      </c>
      <c r="K927" s="53">
        <f>CHOOSE(CONTROL!$C$42, 84.1614, 84.1614) * CHOOSE(CONTROL!$C$21, $C$9, 100%, $E$9)</f>
        <v>84.1614</v>
      </c>
      <c r="L927" s="14">
        <f>CHOOSE(CONTROL!$C$42, 84.8245, 84.8245) * CHOOSE(CONTROL!$C$21, $C$9, 100%, $E$9)</f>
        <v>84.8245</v>
      </c>
      <c r="M927" s="14">
        <f>CHOOSE(CONTROL!$C$42, 83.3043, 83.3043) * CHOOSE(CONTROL!$C$21, $C$9, 100%, $E$9)</f>
        <v>83.304299999999998</v>
      </c>
      <c r="N927" s="14">
        <f>CHOOSE(CONTROL!$C$42, 83.32, 83.32) * CHOOSE(CONTROL!$C$21, $C$9, 100%, $E$9)</f>
        <v>83.32</v>
      </c>
      <c r="O927" s="14">
        <f>CHOOSE(CONTROL!$C$42, 83.4013, 83.4013) * CHOOSE(CONTROL!$C$21, $C$9, 100%, $E$9)</f>
        <v>83.401300000000006</v>
      </c>
      <c r="P927" s="14">
        <f>CHOOSE(CONTROL!$C$42, 83.3298, 83.3298) * CHOOSE(CONTROL!$C$21, $C$9, 100%, $E$9)</f>
        <v>83.329800000000006</v>
      </c>
      <c r="Q927" s="14">
        <f>CHOOSE(CONTROL!$C$42, 83.9966, 83.9966) * CHOOSE(CONTROL!$C$21, $C$9, 100%, $E$9)</f>
        <v>83.996600000000001</v>
      </c>
      <c r="R927" s="14">
        <f>CHOOSE(CONTROL!$C$42, 84.7935, 84.7935) * CHOOSE(CONTROL!$C$21, $C$9, 100%, $E$9)</f>
        <v>84.793499999999995</v>
      </c>
      <c r="S927" s="14">
        <f>CHOOSE(CONTROL!$C$42, 81.7114, 81.7114) * CHOOSE(CONTROL!$C$21, $C$9, 100%, $E$9)</f>
        <v>81.711399999999998</v>
      </c>
      <c r="T92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27" s="57">
        <f>(1000*CHOOSE(CONTROL!$C$42, 695, 695)*CHOOSE(CONTROL!$C$42, 0.5599, 0.5599)*CHOOSE(CONTROL!$C$42, 31, 31))/1000000</f>
        <v>12.063045499999998</v>
      </c>
      <c r="V927" s="57">
        <f>(1000*CHOOSE(CONTROL!$C$42, 500, 500)*CHOOSE(CONTROL!$C$42, 0.275, 0.275)*CHOOSE(CONTROL!$C$42, 31, 31))/1000000</f>
        <v>4.2625000000000002</v>
      </c>
      <c r="W927" s="57">
        <f>(1000*CHOOSE(CONTROL!$C$42, 0.1146, 0.1146)*CHOOSE(CONTROL!$C$42, 121.5, 121.5)*CHOOSE(CONTROL!$C$42, 31, 31))/1000000</f>
        <v>0.43164089999999994</v>
      </c>
      <c r="X927" s="57">
        <f>(31*0.1790888*100000/1000000)+(31*0.2374*100000/1000000)</f>
        <v>1.2911152800000001</v>
      </c>
      <c r="Y927" s="57"/>
      <c r="Z927" s="14"/>
      <c r="AA927" s="56"/>
      <c r="AB927" s="50">
        <f>(B927*122.58+C927*297.941+D927*89.177+E927*40.302+F927*40+G927*160+H927*0+I927*100+J927*300)/(122.58+297.941+89.177+40.302+0+40+160+100+300)</f>
        <v>84.158255458347824</v>
      </c>
      <c r="AC927" s="45">
        <f>(M927*'RAP TEMPLATE-GAS AVAILABILITY'!O926+N927*'RAP TEMPLATE-GAS AVAILABILITY'!P926+O927*'RAP TEMPLATE-GAS AVAILABILITY'!Q926+P927*'RAP TEMPLATE-GAS AVAILABILITY'!R926)/('RAP TEMPLATE-GAS AVAILABILITY'!O926+'RAP TEMPLATE-GAS AVAILABILITY'!P926+'RAP TEMPLATE-GAS AVAILABILITY'!Q926+'RAP TEMPLATE-GAS AVAILABILITY'!R926)</f>
        <v>83.352836690647493</v>
      </c>
    </row>
    <row r="928" spans="1:29" ht="15.75" x14ac:dyDescent="0.25">
      <c r="A928" s="32">
        <v>69153</v>
      </c>
      <c r="B928" s="14">
        <f>CHOOSE(CONTROL!$C$42, 83.8946, 83.8946) * CHOOSE(CONTROL!$C$21, $C$9, 100%, $E$9)</f>
        <v>83.894599999999997</v>
      </c>
      <c r="C928" s="14">
        <f>CHOOSE(CONTROL!$C$42, 83.8989, 83.8989) * CHOOSE(CONTROL!$C$21, $C$9, 100%, $E$9)</f>
        <v>83.898899999999998</v>
      </c>
      <c r="D928" s="14">
        <f>CHOOSE(CONTROL!$C$42, 84.0997, 84.0997) * CHOOSE(CONTROL!$C$21, $C$9, 100%, $E$9)</f>
        <v>84.099699999999999</v>
      </c>
      <c r="E928" s="14">
        <f>CHOOSE(CONTROL!$C$42, 84.1314, 84.1314) * CHOOSE(CONTROL!$C$21, $C$9, 100%, $E$9)</f>
        <v>84.131399999999999</v>
      </c>
      <c r="F928" s="14">
        <f>CHOOSE(CONTROL!$C$42, 83.8791, 83.8791)*CHOOSE(CONTROL!$C$21, $C$9, 100%, $E$9)</f>
        <v>83.879099999999994</v>
      </c>
      <c r="G928" s="14">
        <f>CHOOSE(CONTROL!$C$42, 83.8948, 83.8948)*CHOOSE(CONTROL!$C$21, $C$9, 100%, $E$9)</f>
        <v>83.894800000000004</v>
      </c>
      <c r="H928" s="14">
        <f>CHOOSE(CONTROL!$C$42, 84.1212, 84.1212) * CHOOSE(CONTROL!$C$21, $C$9, 100%, $E$9)</f>
        <v>84.121200000000002</v>
      </c>
      <c r="I928" s="14">
        <f>CHOOSE(CONTROL!$C$42, 83.9073, 83.9073)* CHOOSE(CONTROL!$C$21, $C$9, 100%, $E$9)</f>
        <v>83.907300000000006</v>
      </c>
      <c r="J928" s="14">
        <f>CHOOSE(CONTROL!$C$42, 83.8721, 83.8721)* CHOOSE(CONTROL!$C$21, $C$9, 100%, $E$9)</f>
        <v>83.872100000000003</v>
      </c>
      <c r="K928" s="53">
        <f>CHOOSE(CONTROL!$C$42, 83.9034, 83.9034) * CHOOSE(CONTROL!$C$21, $C$9, 100%, $E$9)</f>
        <v>83.903400000000005</v>
      </c>
      <c r="L928" s="14">
        <f>CHOOSE(CONTROL!$C$42, 84.7082, 84.7082) * CHOOSE(CONTROL!$C$21, $C$9, 100%, $E$9)</f>
        <v>84.708200000000005</v>
      </c>
      <c r="M928" s="14">
        <f>CHOOSE(CONTROL!$C$42, 83.0395, 83.0395) * CHOOSE(CONTROL!$C$21, $C$9, 100%, $E$9)</f>
        <v>83.039500000000004</v>
      </c>
      <c r="N928" s="14">
        <f>CHOOSE(CONTROL!$C$42, 83.055, 83.055) * CHOOSE(CONTROL!$C$21, $C$9, 100%, $E$9)</f>
        <v>83.055000000000007</v>
      </c>
      <c r="O928" s="14">
        <f>CHOOSE(CONTROL!$C$42, 83.2861, 83.2861) * CHOOSE(CONTROL!$C$21, $C$9, 100%, $E$9)</f>
        <v>83.286100000000005</v>
      </c>
      <c r="P928" s="14">
        <f>CHOOSE(CONTROL!$C$42, 83.0744, 83.0744) * CHOOSE(CONTROL!$C$21, $C$9, 100%, $E$9)</f>
        <v>83.074399999999997</v>
      </c>
      <c r="Q928" s="14">
        <f>CHOOSE(CONTROL!$C$42, 83.8814, 83.8814) * CHOOSE(CONTROL!$C$21, $C$9, 100%, $E$9)</f>
        <v>83.881399999999999</v>
      </c>
      <c r="R928" s="14">
        <f>CHOOSE(CONTROL!$C$42, 84.6781, 84.6781) * CHOOSE(CONTROL!$C$21, $C$9, 100%, $E$9)</f>
        <v>84.678100000000001</v>
      </c>
      <c r="S928" s="14">
        <f>CHOOSE(CONTROL!$C$42, 81.4671, 81.4671) * CHOOSE(CONTROL!$C$21, $C$9, 100%, $E$9)</f>
        <v>81.467100000000002</v>
      </c>
      <c r="T92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28" s="57">
        <f>(1000*CHOOSE(CONTROL!$C$42, 695, 695)*CHOOSE(CONTROL!$C$42, 0.5599, 0.5599)*CHOOSE(CONTROL!$C$42, 30, 30))/1000000</f>
        <v>11.673914999999997</v>
      </c>
      <c r="V928" s="57">
        <f>(1000*CHOOSE(CONTROL!$C$42, 500, 500)*CHOOSE(CONTROL!$C$42, 0.275, 0.275)*CHOOSE(CONTROL!$C$42, 30, 30))/1000000</f>
        <v>4.125</v>
      </c>
      <c r="W928" s="57">
        <f>(1000*CHOOSE(CONTROL!$C$42, 0.1146, 0.1146)*CHOOSE(CONTROL!$C$42, 121.5, 121.5)*CHOOSE(CONTROL!$C$42, 30, 30))/1000000</f>
        <v>0.417717</v>
      </c>
      <c r="X928" s="57">
        <f>(30*0.1790888*245000/1000000)+(30*0.2374*100000/1000000)</f>
        <v>2.0285026799999999</v>
      </c>
      <c r="Y928" s="57"/>
      <c r="Z928" s="14"/>
      <c r="AA928" s="56"/>
      <c r="AB928" s="50">
        <f>(B928*141.293+C928*267.993+D928*115.016+E928*89.698+F928*40+G928*185+H928*0+I928*100+J928*300)/(141.293+267.993+115.016+89.698+0+40+185+100+300)</f>
        <v>83.926819239628728</v>
      </c>
      <c r="AC928" s="45">
        <f>(M928*'RAP TEMPLATE-GAS AVAILABILITY'!O927+N928*'RAP TEMPLATE-GAS AVAILABILITY'!P927+O928*'RAP TEMPLATE-GAS AVAILABILITY'!Q927+P928*'RAP TEMPLATE-GAS AVAILABILITY'!R927)/('RAP TEMPLATE-GAS AVAILABILITY'!O927+'RAP TEMPLATE-GAS AVAILABILITY'!P927+'RAP TEMPLATE-GAS AVAILABILITY'!Q927+'RAP TEMPLATE-GAS AVAILABILITY'!R927)</f>
        <v>83.157182014388496</v>
      </c>
    </row>
    <row r="929" spans="1:29" ht="15.75" x14ac:dyDescent="0.25">
      <c r="A929" s="32">
        <v>69184</v>
      </c>
      <c r="B929" s="14">
        <f>CHOOSE(CONTROL!$C$42, 84.6364, 84.6364) * CHOOSE(CONTROL!$C$21, $C$9, 100%, $E$9)</f>
        <v>84.636399999999995</v>
      </c>
      <c r="C929" s="14">
        <f>CHOOSE(CONTROL!$C$42, 84.6443, 84.6443) * CHOOSE(CONTROL!$C$21, $C$9, 100%, $E$9)</f>
        <v>84.644300000000001</v>
      </c>
      <c r="D929" s="14">
        <f>CHOOSE(CONTROL!$C$42, 84.8419, 84.8419) * CHOOSE(CONTROL!$C$21, $C$9, 100%, $E$9)</f>
        <v>84.841899999999995</v>
      </c>
      <c r="E929" s="14">
        <f>CHOOSE(CONTROL!$C$42, 84.873, 84.873) * CHOOSE(CONTROL!$C$21, $C$9, 100%, $E$9)</f>
        <v>84.873000000000005</v>
      </c>
      <c r="F929" s="14">
        <f>CHOOSE(CONTROL!$C$42, 84.6198, 84.6198)*CHOOSE(CONTROL!$C$21, $C$9, 100%, $E$9)</f>
        <v>84.619799999999998</v>
      </c>
      <c r="G929" s="14">
        <f>CHOOSE(CONTROL!$C$42, 84.6359, 84.6359)*CHOOSE(CONTROL!$C$21, $C$9, 100%, $E$9)</f>
        <v>84.635900000000007</v>
      </c>
      <c r="H929" s="14">
        <f>CHOOSE(CONTROL!$C$42, 84.8616, 84.8616) * CHOOSE(CONTROL!$C$21, $C$9, 100%, $E$9)</f>
        <v>84.861599999999996</v>
      </c>
      <c r="I929" s="14">
        <f>CHOOSE(CONTROL!$C$42, 84.6477, 84.6477)* CHOOSE(CONTROL!$C$21, $C$9, 100%, $E$9)</f>
        <v>84.6477</v>
      </c>
      <c r="J929" s="14">
        <f>CHOOSE(CONTROL!$C$42, 84.6128, 84.6128)* CHOOSE(CONTROL!$C$21, $C$9, 100%, $E$9)</f>
        <v>84.612799999999993</v>
      </c>
      <c r="K929" s="53">
        <f>CHOOSE(CONTROL!$C$42, 84.6439, 84.6439) * CHOOSE(CONTROL!$C$21, $C$9, 100%, $E$9)</f>
        <v>84.643900000000002</v>
      </c>
      <c r="L929" s="14">
        <f>CHOOSE(CONTROL!$C$42, 85.4486, 85.4486) * CHOOSE(CONTROL!$C$21, $C$9, 100%, $E$9)</f>
        <v>85.448599999999999</v>
      </c>
      <c r="M929" s="14">
        <f>CHOOSE(CONTROL!$C$42, 83.7727, 83.7727) * CHOOSE(CONTROL!$C$21, $C$9, 100%, $E$9)</f>
        <v>83.7727</v>
      </c>
      <c r="N929" s="14">
        <f>CHOOSE(CONTROL!$C$42, 83.7887, 83.7887) * CHOOSE(CONTROL!$C$21, $C$9, 100%, $E$9)</f>
        <v>83.788700000000006</v>
      </c>
      <c r="O929" s="14">
        <f>CHOOSE(CONTROL!$C$42, 84.0191, 84.0191) * CHOOSE(CONTROL!$C$21, $C$9, 100%, $E$9)</f>
        <v>84.019099999999995</v>
      </c>
      <c r="P929" s="14">
        <f>CHOOSE(CONTROL!$C$42, 83.8074, 83.8074) * CHOOSE(CONTROL!$C$21, $C$9, 100%, $E$9)</f>
        <v>83.807400000000001</v>
      </c>
      <c r="Q929" s="14">
        <f>CHOOSE(CONTROL!$C$42, 84.6144, 84.6144) * CHOOSE(CONTROL!$C$21, $C$9, 100%, $E$9)</f>
        <v>84.614400000000003</v>
      </c>
      <c r="R929" s="14">
        <f>CHOOSE(CONTROL!$C$42, 85.4129, 85.4129) * CHOOSE(CONTROL!$C$21, $C$9, 100%, $E$9)</f>
        <v>85.412899999999993</v>
      </c>
      <c r="S929" s="14">
        <f>CHOOSE(CONTROL!$C$42, 82.1861, 82.1861) * CHOOSE(CONTROL!$C$21, $C$9, 100%, $E$9)</f>
        <v>82.186099999999996</v>
      </c>
      <c r="T92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29" s="57">
        <f>(1000*CHOOSE(CONTROL!$C$42, 695, 695)*CHOOSE(CONTROL!$C$42, 0.5599, 0.5599)*CHOOSE(CONTROL!$C$42, 31, 31))/1000000</f>
        <v>12.063045499999998</v>
      </c>
      <c r="V929" s="57">
        <f>(1000*CHOOSE(CONTROL!$C$42, 500, 500)*CHOOSE(CONTROL!$C$42, 0.275, 0.275)*CHOOSE(CONTROL!$C$42, 31, 31))/1000000</f>
        <v>4.2625000000000002</v>
      </c>
      <c r="W929" s="57">
        <f>(1000*CHOOSE(CONTROL!$C$42, 0.1146, 0.1146)*CHOOSE(CONTROL!$C$42, 121.5, 121.5)*CHOOSE(CONTROL!$C$42, 31, 31))/1000000</f>
        <v>0.43164089999999994</v>
      </c>
      <c r="X929" s="57">
        <f>(31*0.1790888*245000/1000000)+(31*0.2374*100000/1000000)</f>
        <v>2.0961194359999999</v>
      </c>
      <c r="Y929" s="57"/>
      <c r="Z929" s="14"/>
      <c r="AA929" s="56"/>
      <c r="AB929" s="50">
        <f>(B929*194.205+C929*267.466+D929*133.845+E929*53.484+F929*40+G929*185+H929*0+I929*100+J929*300)/(194.205+267.466+133.845+53.484+0+40+185+100+300)</f>
        <v>84.664316752982742</v>
      </c>
      <c r="AC929" s="45">
        <f>(M929*'RAP TEMPLATE-GAS AVAILABILITY'!O928+N929*'RAP TEMPLATE-GAS AVAILABILITY'!P928+O929*'RAP TEMPLATE-GAS AVAILABILITY'!Q928+P929*'RAP TEMPLATE-GAS AVAILABILITY'!R928)/('RAP TEMPLATE-GAS AVAILABILITY'!O928+'RAP TEMPLATE-GAS AVAILABILITY'!P928+'RAP TEMPLATE-GAS AVAILABILITY'!Q928+'RAP TEMPLATE-GAS AVAILABILITY'!R928)</f>
        <v>83.890291366906467</v>
      </c>
    </row>
    <row r="930" spans="1:29" ht="15.75" x14ac:dyDescent="0.25">
      <c r="A930" s="32">
        <v>69214</v>
      </c>
      <c r="B930" s="14">
        <f>CHOOSE(CONTROL!$C$42, 87.0371, 87.0371) * CHOOSE(CONTROL!$C$21, $C$9, 100%, $E$9)</f>
        <v>87.037099999999995</v>
      </c>
      <c r="C930" s="14">
        <f>CHOOSE(CONTROL!$C$42, 87.045, 87.045) * CHOOSE(CONTROL!$C$21, $C$9, 100%, $E$9)</f>
        <v>87.045000000000002</v>
      </c>
      <c r="D930" s="14">
        <f>CHOOSE(CONTROL!$C$42, 87.2426, 87.2426) * CHOOSE(CONTROL!$C$21, $C$9, 100%, $E$9)</f>
        <v>87.242599999999996</v>
      </c>
      <c r="E930" s="14">
        <f>CHOOSE(CONTROL!$C$42, 87.2737, 87.2737) * CHOOSE(CONTROL!$C$21, $C$9, 100%, $E$9)</f>
        <v>87.273700000000005</v>
      </c>
      <c r="F930" s="14">
        <f>CHOOSE(CONTROL!$C$42, 87.0209, 87.0209)*CHOOSE(CONTROL!$C$21, $C$9, 100%, $E$9)</f>
        <v>87.020899999999997</v>
      </c>
      <c r="G930" s="14">
        <f>CHOOSE(CONTROL!$C$42, 87.0371, 87.0371)*CHOOSE(CONTROL!$C$21, $C$9, 100%, $E$9)</f>
        <v>87.037099999999995</v>
      </c>
      <c r="H930" s="14">
        <f>CHOOSE(CONTROL!$C$42, 87.2623, 87.2623) * CHOOSE(CONTROL!$C$21, $C$9, 100%, $E$9)</f>
        <v>87.262299999999996</v>
      </c>
      <c r="I930" s="14">
        <f>CHOOSE(CONTROL!$C$42, 87.0484, 87.0484)* CHOOSE(CONTROL!$C$21, $C$9, 100%, $E$9)</f>
        <v>87.048400000000001</v>
      </c>
      <c r="J930" s="14">
        <f>CHOOSE(CONTROL!$C$42, 87.0139, 87.0139)* CHOOSE(CONTROL!$C$21, $C$9, 100%, $E$9)</f>
        <v>87.013900000000007</v>
      </c>
      <c r="K930" s="53">
        <f>CHOOSE(CONTROL!$C$42, 87.0445, 87.0445) * CHOOSE(CONTROL!$C$21, $C$9, 100%, $E$9)</f>
        <v>87.044499999999999</v>
      </c>
      <c r="L930" s="14">
        <f>CHOOSE(CONTROL!$C$42, 87.8493, 87.8493) * CHOOSE(CONTROL!$C$21, $C$9, 100%, $E$9)</f>
        <v>87.849299999999999</v>
      </c>
      <c r="M930" s="14">
        <f>CHOOSE(CONTROL!$C$42, 86.1496, 86.1496) * CHOOSE(CONTROL!$C$21, $C$9, 100%, $E$9)</f>
        <v>86.149600000000007</v>
      </c>
      <c r="N930" s="14">
        <f>CHOOSE(CONTROL!$C$42, 86.1656, 86.1656) * CHOOSE(CONTROL!$C$21, $C$9, 100%, $E$9)</f>
        <v>86.165599999999998</v>
      </c>
      <c r="O930" s="14">
        <f>CHOOSE(CONTROL!$C$42, 86.3955, 86.3955) * CHOOSE(CONTROL!$C$21, $C$9, 100%, $E$9)</f>
        <v>86.395499999999998</v>
      </c>
      <c r="P930" s="14">
        <f>CHOOSE(CONTROL!$C$42, 86.1838, 86.1838) * CHOOSE(CONTROL!$C$21, $C$9, 100%, $E$9)</f>
        <v>86.183800000000005</v>
      </c>
      <c r="Q930" s="14">
        <f>CHOOSE(CONTROL!$C$42, 86.9908, 86.9908) * CHOOSE(CONTROL!$C$21, $C$9, 100%, $E$9)</f>
        <v>86.990799999999993</v>
      </c>
      <c r="R930" s="14">
        <f>CHOOSE(CONTROL!$C$42, 87.7953, 87.7953) * CHOOSE(CONTROL!$C$21, $C$9, 100%, $E$9)</f>
        <v>87.795299999999997</v>
      </c>
      <c r="S930" s="14">
        <f>CHOOSE(CONTROL!$C$42, 84.5174, 84.5174) * CHOOSE(CONTROL!$C$21, $C$9, 100%, $E$9)</f>
        <v>84.517399999999995</v>
      </c>
      <c r="T93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30" s="57">
        <f>(1000*CHOOSE(CONTROL!$C$42, 695, 695)*CHOOSE(CONTROL!$C$42, 0.5599, 0.5599)*CHOOSE(CONTROL!$C$42, 30, 30))/1000000</f>
        <v>11.673914999999997</v>
      </c>
      <c r="V930" s="57">
        <f>(1000*CHOOSE(CONTROL!$C$42, 500, 500)*CHOOSE(CONTROL!$C$42, 0.275, 0.275)*CHOOSE(CONTROL!$C$42, 30, 30))/1000000</f>
        <v>4.125</v>
      </c>
      <c r="W930" s="57">
        <f>(1000*CHOOSE(CONTROL!$C$42, 0.1146, 0.1146)*CHOOSE(CONTROL!$C$42, 121.5, 121.5)*CHOOSE(CONTROL!$C$42, 30, 30))/1000000</f>
        <v>0.417717</v>
      </c>
      <c r="X930" s="57">
        <f>(30*0.1790888*245000/1000000)+(30*0.2374*100000/1000000)</f>
        <v>2.0285026799999999</v>
      </c>
      <c r="Y930" s="57"/>
      <c r="Z930" s="14"/>
      <c r="AA930" s="56"/>
      <c r="AB930" s="50">
        <f>(B930*194.205+C930*267.466+D930*133.845+E930*53.484+F930*40+G930*185+H930*0+I930*100+J930*300)/(194.205+267.466+133.845+53.484+0+40+185+100+300)</f>
        <v>87.065196109340675</v>
      </c>
      <c r="AC930" s="45">
        <f>(M930*'RAP TEMPLATE-GAS AVAILABILITY'!O929+N930*'RAP TEMPLATE-GAS AVAILABILITY'!P929+O930*'RAP TEMPLATE-GAS AVAILABILITY'!Q929+P930*'RAP TEMPLATE-GAS AVAILABILITY'!R929)/('RAP TEMPLATE-GAS AVAILABILITY'!O929+'RAP TEMPLATE-GAS AVAILABILITY'!P929+'RAP TEMPLATE-GAS AVAILABILITY'!Q929+'RAP TEMPLATE-GAS AVAILABILITY'!R929)</f>
        <v>86.26689280575539</v>
      </c>
    </row>
    <row r="931" spans="1:29" ht="15.75" x14ac:dyDescent="0.25">
      <c r="A931" s="32">
        <v>69245</v>
      </c>
      <c r="B931" s="14">
        <f>CHOOSE(CONTROL!$C$42, 85.3674, 85.3674) * CHOOSE(CONTROL!$C$21, $C$9, 100%, $E$9)</f>
        <v>85.367400000000004</v>
      </c>
      <c r="C931" s="14">
        <f>CHOOSE(CONTROL!$C$42, 85.3753, 85.3753) * CHOOSE(CONTROL!$C$21, $C$9, 100%, $E$9)</f>
        <v>85.375299999999996</v>
      </c>
      <c r="D931" s="14">
        <f>CHOOSE(CONTROL!$C$42, 85.5729, 85.5729) * CHOOSE(CONTROL!$C$21, $C$9, 100%, $E$9)</f>
        <v>85.572900000000004</v>
      </c>
      <c r="E931" s="14">
        <f>CHOOSE(CONTROL!$C$42, 85.604, 85.604) * CHOOSE(CONTROL!$C$21, $C$9, 100%, $E$9)</f>
        <v>85.603999999999999</v>
      </c>
      <c r="F931" s="14">
        <f>CHOOSE(CONTROL!$C$42, 85.3516, 85.3516)*CHOOSE(CONTROL!$C$21, $C$9, 100%, $E$9)</f>
        <v>85.351600000000005</v>
      </c>
      <c r="G931" s="14">
        <f>CHOOSE(CONTROL!$C$42, 85.3679, 85.3679)*CHOOSE(CONTROL!$C$21, $C$9, 100%, $E$9)</f>
        <v>85.367900000000006</v>
      </c>
      <c r="H931" s="14">
        <f>CHOOSE(CONTROL!$C$42, 85.5926, 85.5926) * CHOOSE(CONTROL!$C$21, $C$9, 100%, $E$9)</f>
        <v>85.592600000000004</v>
      </c>
      <c r="I931" s="14">
        <f>CHOOSE(CONTROL!$C$42, 85.3787, 85.3787)* CHOOSE(CONTROL!$C$21, $C$9, 100%, $E$9)</f>
        <v>85.378699999999995</v>
      </c>
      <c r="J931" s="14">
        <f>CHOOSE(CONTROL!$C$42, 85.3446, 85.3446)* CHOOSE(CONTROL!$C$21, $C$9, 100%, $E$9)</f>
        <v>85.3446</v>
      </c>
      <c r="K931" s="53">
        <f>CHOOSE(CONTROL!$C$42, 85.3748, 85.3748) * CHOOSE(CONTROL!$C$21, $C$9, 100%, $E$9)</f>
        <v>85.374799999999993</v>
      </c>
      <c r="L931" s="14">
        <f>CHOOSE(CONTROL!$C$42, 86.1796, 86.1796) * CHOOSE(CONTROL!$C$21, $C$9, 100%, $E$9)</f>
        <v>86.179599999999994</v>
      </c>
      <c r="M931" s="14">
        <f>CHOOSE(CONTROL!$C$42, 84.4972, 84.4972) * CHOOSE(CONTROL!$C$21, $C$9, 100%, $E$9)</f>
        <v>84.497200000000007</v>
      </c>
      <c r="N931" s="14">
        <f>CHOOSE(CONTROL!$C$42, 84.5133, 84.5133) * CHOOSE(CONTROL!$C$21, $C$9, 100%, $E$9)</f>
        <v>84.513300000000001</v>
      </c>
      <c r="O931" s="14">
        <f>CHOOSE(CONTROL!$C$42, 84.7427, 84.7427) * CHOOSE(CONTROL!$C$21, $C$9, 100%, $E$9)</f>
        <v>84.742699999999999</v>
      </c>
      <c r="P931" s="14">
        <f>CHOOSE(CONTROL!$C$42, 84.531, 84.531) * CHOOSE(CONTROL!$C$21, $C$9, 100%, $E$9)</f>
        <v>84.531000000000006</v>
      </c>
      <c r="Q931" s="14">
        <f>CHOOSE(CONTROL!$C$42, 85.338, 85.338) * CHOOSE(CONTROL!$C$21, $C$9, 100%, $E$9)</f>
        <v>85.337999999999994</v>
      </c>
      <c r="R931" s="14">
        <f>CHOOSE(CONTROL!$C$42, 86.1383, 86.1383) * CHOOSE(CONTROL!$C$21, $C$9, 100%, $E$9)</f>
        <v>86.138300000000001</v>
      </c>
      <c r="S931" s="14">
        <f>CHOOSE(CONTROL!$C$42, 82.896, 82.896) * CHOOSE(CONTROL!$C$21, $C$9, 100%, $E$9)</f>
        <v>82.896000000000001</v>
      </c>
      <c r="T93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31" s="57">
        <f>(1000*CHOOSE(CONTROL!$C$42, 695, 695)*CHOOSE(CONTROL!$C$42, 0.5599, 0.5599)*CHOOSE(CONTROL!$C$42, 31, 31))/1000000</f>
        <v>12.063045499999998</v>
      </c>
      <c r="V931" s="57">
        <f>(1000*CHOOSE(CONTROL!$C$42, 500, 500)*CHOOSE(CONTROL!$C$42, 0.275, 0.275)*CHOOSE(CONTROL!$C$42, 31, 31))/1000000</f>
        <v>4.2625000000000002</v>
      </c>
      <c r="W931" s="57">
        <f>(1000*CHOOSE(CONTROL!$C$42, 0.1146, 0.1146)*CHOOSE(CONTROL!$C$42, 121.5, 121.5)*CHOOSE(CONTROL!$C$42, 31, 31))/1000000</f>
        <v>0.43164089999999994</v>
      </c>
      <c r="X931" s="57">
        <f>(31*0.1790888*245000/1000000)+(31*0.2374*100000/1000000)</f>
        <v>2.0961194359999999</v>
      </c>
      <c r="Y931" s="57"/>
      <c r="Z931" s="14"/>
      <c r="AA931" s="56"/>
      <c r="AB931" s="50">
        <f>(B931*194.205+C931*267.466+D931*133.845+E931*53.484+F931*40+G931*185+H931*0+I931*100+J931*300)/(194.205+267.466+133.845+53.484+0+40+185+100+300)</f>
        <v>85.395675465698588</v>
      </c>
      <c r="AC931" s="45">
        <f>(M931*'RAP TEMPLATE-GAS AVAILABILITY'!O930+N931*'RAP TEMPLATE-GAS AVAILABILITY'!P930+O931*'RAP TEMPLATE-GAS AVAILABILITY'!Q930+P931*'RAP TEMPLATE-GAS AVAILABILITY'!R930)/('RAP TEMPLATE-GAS AVAILABILITY'!O930+'RAP TEMPLATE-GAS AVAILABILITY'!P930+'RAP TEMPLATE-GAS AVAILABILITY'!Q930+'RAP TEMPLATE-GAS AVAILABILITY'!R930)</f>
        <v>84.614259712230208</v>
      </c>
    </row>
    <row r="932" spans="1:29" ht="15.75" x14ac:dyDescent="0.25">
      <c r="A932" s="32">
        <v>69276</v>
      </c>
      <c r="B932" s="14">
        <f>CHOOSE(CONTROL!$C$42, 81.1509, 81.1509) * CHOOSE(CONTROL!$C$21, $C$9, 100%, $E$9)</f>
        <v>81.150899999999993</v>
      </c>
      <c r="C932" s="14">
        <f>CHOOSE(CONTROL!$C$42, 81.1588, 81.1588) * CHOOSE(CONTROL!$C$21, $C$9, 100%, $E$9)</f>
        <v>81.158799999999999</v>
      </c>
      <c r="D932" s="14">
        <f>CHOOSE(CONTROL!$C$42, 81.3564, 81.3564) * CHOOSE(CONTROL!$C$21, $C$9, 100%, $E$9)</f>
        <v>81.356399999999994</v>
      </c>
      <c r="E932" s="14">
        <f>CHOOSE(CONTROL!$C$42, 81.3875, 81.3875) * CHOOSE(CONTROL!$C$21, $C$9, 100%, $E$9)</f>
        <v>81.387500000000003</v>
      </c>
      <c r="F932" s="14">
        <f>CHOOSE(CONTROL!$C$42, 81.1353, 81.1353)*CHOOSE(CONTROL!$C$21, $C$9, 100%, $E$9)</f>
        <v>81.135300000000001</v>
      </c>
      <c r="G932" s="14">
        <f>CHOOSE(CONTROL!$C$42, 81.1517, 81.1517)*CHOOSE(CONTROL!$C$21, $C$9, 100%, $E$9)</f>
        <v>81.151700000000005</v>
      </c>
      <c r="H932" s="14">
        <f>CHOOSE(CONTROL!$C$42, 81.3762, 81.3762) * CHOOSE(CONTROL!$C$21, $C$9, 100%, $E$9)</f>
        <v>81.376199999999997</v>
      </c>
      <c r="I932" s="14">
        <f>CHOOSE(CONTROL!$C$42, 81.1623, 81.1623)* CHOOSE(CONTROL!$C$21, $C$9, 100%, $E$9)</f>
        <v>81.162300000000002</v>
      </c>
      <c r="J932" s="14">
        <f>CHOOSE(CONTROL!$C$42, 81.1283, 81.1283)* CHOOSE(CONTROL!$C$21, $C$9, 100%, $E$9)</f>
        <v>81.128299999999996</v>
      </c>
      <c r="K932" s="53">
        <f>CHOOSE(CONTROL!$C$42, 81.1584, 81.1584) * CHOOSE(CONTROL!$C$21, $C$9, 100%, $E$9)</f>
        <v>81.1584</v>
      </c>
      <c r="L932" s="14">
        <f>CHOOSE(CONTROL!$C$42, 81.9632, 81.9632) * CHOOSE(CONTROL!$C$21, $C$9, 100%, $E$9)</f>
        <v>81.963200000000001</v>
      </c>
      <c r="M932" s="14">
        <f>CHOOSE(CONTROL!$C$42, 80.3234, 80.3234) * CHOOSE(CONTROL!$C$21, $C$9, 100%, $E$9)</f>
        <v>80.323400000000007</v>
      </c>
      <c r="N932" s="14">
        <f>CHOOSE(CONTROL!$C$42, 80.3396, 80.3396) * CHOOSE(CONTROL!$C$21, $C$9, 100%, $E$9)</f>
        <v>80.339600000000004</v>
      </c>
      <c r="O932" s="14">
        <f>CHOOSE(CONTROL!$C$42, 80.5688, 80.5688) * CHOOSE(CONTROL!$C$21, $C$9, 100%, $E$9)</f>
        <v>80.568799999999996</v>
      </c>
      <c r="P932" s="14">
        <f>CHOOSE(CONTROL!$C$42, 80.3571, 80.3571) * CHOOSE(CONTROL!$C$21, $C$9, 100%, $E$9)</f>
        <v>80.357100000000003</v>
      </c>
      <c r="Q932" s="14">
        <f>CHOOSE(CONTROL!$C$42, 81.1641, 81.1641) * CHOOSE(CONTROL!$C$21, $C$9, 100%, $E$9)</f>
        <v>81.164100000000005</v>
      </c>
      <c r="R932" s="14">
        <f>CHOOSE(CONTROL!$C$42, 81.954, 81.954) * CHOOSE(CONTROL!$C$21, $C$9, 100%, $E$9)</f>
        <v>81.953999999999994</v>
      </c>
      <c r="S932" s="14">
        <f>CHOOSE(CONTROL!$C$42, 78.8014, 78.8014) * CHOOSE(CONTROL!$C$21, $C$9, 100%, $E$9)</f>
        <v>78.801400000000001</v>
      </c>
      <c r="T93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32" s="57">
        <f>(1000*CHOOSE(CONTROL!$C$42, 695, 695)*CHOOSE(CONTROL!$C$42, 0.5599, 0.5599)*CHOOSE(CONTROL!$C$42, 31, 31))/1000000</f>
        <v>12.063045499999998</v>
      </c>
      <c r="V932" s="57">
        <f>(1000*CHOOSE(CONTROL!$C$42, 500, 500)*CHOOSE(CONTROL!$C$42, 0.275, 0.275)*CHOOSE(CONTROL!$C$42, 31, 31))/1000000</f>
        <v>4.2625000000000002</v>
      </c>
      <c r="W932" s="57">
        <f>(1000*CHOOSE(CONTROL!$C$42, 0.1146, 0.1146)*CHOOSE(CONTROL!$C$42, 121.5, 121.5)*CHOOSE(CONTROL!$C$42, 31, 31))/1000000</f>
        <v>0.43164089999999994</v>
      </c>
      <c r="X932" s="57">
        <f>(31*0.1790888*245000/1000000)+(31*0.2374*100000/1000000)</f>
        <v>2.0961194359999999</v>
      </c>
      <c r="Y932" s="57"/>
      <c r="Z932" s="14"/>
      <c r="AA932" s="56"/>
      <c r="AB932" s="50">
        <f>(B932*194.205+C932*267.466+D932*133.845+E932*53.484+F932*40+G932*185+H932*0+I932*100+J932*300)/(194.205+267.466+133.845+53.484+0+40+185+100+300)</f>
        <v>81.179280253767658</v>
      </c>
      <c r="AC932" s="45">
        <f>(M932*'RAP TEMPLATE-GAS AVAILABILITY'!O931+N932*'RAP TEMPLATE-GAS AVAILABILITY'!P931+O932*'RAP TEMPLATE-GAS AVAILABILITY'!Q931+P932*'RAP TEMPLATE-GAS AVAILABILITY'!R931)/('RAP TEMPLATE-GAS AVAILABILITY'!O931+'RAP TEMPLATE-GAS AVAILABILITY'!P931+'RAP TEMPLATE-GAS AVAILABILITY'!Q931+'RAP TEMPLATE-GAS AVAILABILITY'!R931)</f>
        <v>80.440405755395687</v>
      </c>
    </row>
    <row r="933" spans="1:29" ht="15.75" x14ac:dyDescent="0.25">
      <c r="A933" s="32">
        <v>69306</v>
      </c>
      <c r="B933" s="14">
        <f>CHOOSE(CONTROL!$C$42, 75.9988, 75.9988) * CHOOSE(CONTROL!$C$21, $C$9, 100%, $E$9)</f>
        <v>75.998800000000003</v>
      </c>
      <c r="C933" s="14">
        <f>CHOOSE(CONTROL!$C$42, 76.0067, 76.0067) * CHOOSE(CONTROL!$C$21, $C$9, 100%, $E$9)</f>
        <v>76.006699999999995</v>
      </c>
      <c r="D933" s="14">
        <f>CHOOSE(CONTROL!$C$42, 76.2043, 76.2043) * CHOOSE(CONTROL!$C$21, $C$9, 100%, $E$9)</f>
        <v>76.204300000000003</v>
      </c>
      <c r="E933" s="14">
        <f>CHOOSE(CONTROL!$C$42, 76.2354, 76.2354) * CHOOSE(CONTROL!$C$21, $C$9, 100%, $E$9)</f>
        <v>76.235399999999998</v>
      </c>
      <c r="F933" s="14">
        <f>CHOOSE(CONTROL!$C$42, 75.9831, 75.9831)*CHOOSE(CONTROL!$C$21, $C$9, 100%, $E$9)</f>
        <v>75.983099999999993</v>
      </c>
      <c r="G933" s="14">
        <f>CHOOSE(CONTROL!$C$42, 75.9995, 75.9995)*CHOOSE(CONTROL!$C$21, $C$9, 100%, $E$9)</f>
        <v>75.999499999999998</v>
      </c>
      <c r="H933" s="14">
        <f>CHOOSE(CONTROL!$C$42, 76.224, 76.224) * CHOOSE(CONTROL!$C$21, $C$9, 100%, $E$9)</f>
        <v>76.224000000000004</v>
      </c>
      <c r="I933" s="14">
        <f>CHOOSE(CONTROL!$C$42, 76.0101, 76.0101)* CHOOSE(CONTROL!$C$21, $C$9, 100%, $E$9)</f>
        <v>76.010099999999994</v>
      </c>
      <c r="J933" s="14">
        <f>CHOOSE(CONTROL!$C$42, 75.9761, 75.9761)* CHOOSE(CONTROL!$C$21, $C$9, 100%, $E$9)</f>
        <v>75.976100000000002</v>
      </c>
      <c r="K933" s="53">
        <f>CHOOSE(CONTROL!$C$42, 76.0062, 76.0062) * CHOOSE(CONTROL!$C$21, $C$9, 100%, $E$9)</f>
        <v>76.006200000000007</v>
      </c>
      <c r="L933" s="14">
        <f>CHOOSE(CONTROL!$C$42, 76.811, 76.811) * CHOOSE(CONTROL!$C$21, $C$9, 100%, $E$9)</f>
        <v>76.811000000000007</v>
      </c>
      <c r="M933" s="14">
        <f>CHOOSE(CONTROL!$C$42, 75.2232, 75.2232) * CHOOSE(CONTROL!$C$21, $C$9, 100%, $E$9)</f>
        <v>75.223200000000006</v>
      </c>
      <c r="N933" s="14">
        <f>CHOOSE(CONTROL!$C$42, 75.2394, 75.2394) * CHOOSE(CONTROL!$C$21, $C$9, 100%, $E$9)</f>
        <v>75.239400000000003</v>
      </c>
      <c r="O933" s="14">
        <f>CHOOSE(CONTROL!$C$42, 75.4686, 75.4686) * CHOOSE(CONTROL!$C$21, $C$9, 100%, $E$9)</f>
        <v>75.468599999999995</v>
      </c>
      <c r="P933" s="14">
        <f>CHOOSE(CONTROL!$C$42, 75.2569, 75.2569) * CHOOSE(CONTROL!$C$21, $C$9, 100%, $E$9)</f>
        <v>75.256900000000002</v>
      </c>
      <c r="Q933" s="14">
        <f>CHOOSE(CONTROL!$C$42, 76.0639, 76.0639) * CHOOSE(CONTROL!$C$21, $C$9, 100%, $E$9)</f>
        <v>76.063900000000004</v>
      </c>
      <c r="R933" s="14">
        <f>CHOOSE(CONTROL!$C$42, 76.8411, 76.8411) * CHOOSE(CONTROL!$C$21, $C$9, 100%, $E$9)</f>
        <v>76.841099999999997</v>
      </c>
      <c r="S933" s="14">
        <f>CHOOSE(CONTROL!$C$42, 73.7981, 73.7981) * CHOOSE(CONTROL!$C$21, $C$9, 100%, $E$9)</f>
        <v>73.798100000000005</v>
      </c>
      <c r="T93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33" s="57">
        <f>(1000*CHOOSE(CONTROL!$C$42, 695, 695)*CHOOSE(CONTROL!$C$42, 0.5599, 0.5599)*CHOOSE(CONTROL!$C$42, 30, 30))/1000000</f>
        <v>11.673914999999997</v>
      </c>
      <c r="V933" s="57">
        <f>(1000*CHOOSE(CONTROL!$C$42, 500, 500)*CHOOSE(CONTROL!$C$42, 0.275, 0.275)*CHOOSE(CONTROL!$C$42, 30, 30))/1000000</f>
        <v>4.125</v>
      </c>
      <c r="W933" s="57">
        <f>(1000*CHOOSE(CONTROL!$C$42, 0.1146, 0.1146)*CHOOSE(CONTROL!$C$42, 121.5, 121.5)*CHOOSE(CONTROL!$C$42, 30, 30))/1000000</f>
        <v>0.417717</v>
      </c>
      <c r="X933" s="57">
        <f>(30*0.1790888*245000/1000000)+(30*0.2374*100000/1000000)</f>
        <v>2.0285026799999999</v>
      </c>
      <c r="Y933" s="57"/>
      <c r="Z933" s="14"/>
      <c r="AA933" s="56"/>
      <c r="AB933" s="50">
        <f>(B933*194.205+C933*267.466+D933*133.845+E933*53.484+F933*40+G933*185+H933*0+I933*100+J933*300)/(194.205+267.466+133.845+53.484+0+40+185+100+300)</f>
        <v>76.027131195682884</v>
      </c>
      <c r="AC933" s="45">
        <f>(M933*'RAP TEMPLATE-GAS AVAILABILITY'!O932+N933*'RAP TEMPLATE-GAS AVAILABILITY'!P932+O933*'RAP TEMPLATE-GAS AVAILABILITY'!Q932+P933*'RAP TEMPLATE-GAS AVAILABILITY'!R932)/('RAP TEMPLATE-GAS AVAILABILITY'!O932+'RAP TEMPLATE-GAS AVAILABILITY'!P932+'RAP TEMPLATE-GAS AVAILABILITY'!Q932+'RAP TEMPLATE-GAS AVAILABILITY'!R932)</f>
        <v>75.340205755395687</v>
      </c>
    </row>
    <row r="934" spans="1:29" ht="15.75" x14ac:dyDescent="0.25">
      <c r="A934" s="32">
        <v>69337</v>
      </c>
      <c r="B934" s="14">
        <f>CHOOSE(CONTROL!$C$42, 74.454, 74.454) * CHOOSE(CONTROL!$C$21, $C$9, 100%, $E$9)</f>
        <v>74.453999999999994</v>
      </c>
      <c r="C934" s="14">
        <f>CHOOSE(CONTROL!$C$42, 74.4592, 74.4592) * CHOOSE(CONTROL!$C$21, $C$9, 100%, $E$9)</f>
        <v>74.459199999999996</v>
      </c>
      <c r="D934" s="14">
        <f>CHOOSE(CONTROL!$C$42, 74.6618, 74.6618) * CHOOSE(CONTROL!$C$21, $C$9, 100%, $E$9)</f>
        <v>74.661799999999999</v>
      </c>
      <c r="E934" s="14">
        <f>CHOOSE(CONTROL!$C$42, 74.6906, 74.6906) * CHOOSE(CONTROL!$C$21, $C$9, 100%, $E$9)</f>
        <v>74.690600000000003</v>
      </c>
      <c r="F934" s="14">
        <f>CHOOSE(CONTROL!$C$42, 74.4404, 74.4404)*CHOOSE(CONTROL!$C$21, $C$9, 100%, $E$9)</f>
        <v>74.440399999999997</v>
      </c>
      <c r="G934" s="14">
        <f>CHOOSE(CONTROL!$C$42, 74.4564, 74.4564)*CHOOSE(CONTROL!$C$21, $C$9, 100%, $E$9)</f>
        <v>74.456400000000002</v>
      </c>
      <c r="H934" s="14">
        <f>CHOOSE(CONTROL!$C$42, 74.681, 74.681) * CHOOSE(CONTROL!$C$21, $C$9, 100%, $E$9)</f>
        <v>74.680999999999997</v>
      </c>
      <c r="I934" s="14">
        <f>CHOOSE(CONTROL!$C$42, 74.4671, 74.4671)* CHOOSE(CONTROL!$C$21, $C$9, 100%, $E$9)</f>
        <v>74.467100000000002</v>
      </c>
      <c r="J934" s="14">
        <f>CHOOSE(CONTROL!$C$42, 74.4334, 74.4334)* CHOOSE(CONTROL!$C$21, $C$9, 100%, $E$9)</f>
        <v>74.433400000000006</v>
      </c>
      <c r="K934" s="53">
        <f>CHOOSE(CONTROL!$C$42, 74.4632, 74.4632) * CHOOSE(CONTROL!$C$21, $C$9, 100%, $E$9)</f>
        <v>74.463200000000001</v>
      </c>
      <c r="L934" s="14">
        <f>CHOOSE(CONTROL!$C$42, 75.268, 75.268) * CHOOSE(CONTROL!$C$21, $C$9, 100%, $E$9)</f>
        <v>75.268000000000001</v>
      </c>
      <c r="M934" s="14">
        <f>CHOOSE(CONTROL!$C$42, 73.6961, 73.6961) * CHOOSE(CONTROL!$C$21, $C$9, 100%, $E$9)</f>
        <v>73.696100000000001</v>
      </c>
      <c r="N934" s="14">
        <f>CHOOSE(CONTROL!$C$42, 73.7119, 73.7119) * CHOOSE(CONTROL!$C$21, $C$9, 100%, $E$9)</f>
        <v>73.7119</v>
      </c>
      <c r="O934" s="14">
        <f>CHOOSE(CONTROL!$C$42, 73.9412, 73.9412) * CHOOSE(CONTROL!$C$21, $C$9, 100%, $E$9)</f>
        <v>73.941199999999995</v>
      </c>
      <c r="P934" s="14">
        <f>CHOOSE(CONTROL!$C$42, 73.7295, 73.7295) * CHOOSE(CONTROL!$C$21, $C$9, 100%, $E$9)</f>
        <v>73.729500000000002</v>
      </c>
      <c r="Q934" s="14">
        <f>CHOOSE(CONTROL!$C$42, 74.5365, 74.5365) * CHOOSE(CONTROL!$C$21, $C$9, 100%, $E$9)</f>
        <v>74.536500000000004</v>
      </c>
      <c r="R934" s="14">
        <f>CHOOSE(CONTROL!$C$42, 75.3098, 75.3098) * CHOOSE(CONTROL!$C$21, $C$9, 100%, $E$9)</f>
        <v>75.309799999999996</v>
      </c>
      <c r="S934" s="14">
        <f>CHOOSE(CONTROL!$C$42, 72.2998, 72.2998) * CHOOSE(CONTROL!$C$21, $C$9, 100%, $E$9)</f>
        <v>72.299800000000005</v>
      </c>
      <c r="T93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34" s="57">
        <f>(1000*CHOOSE(CONTROL!$C$42, 695, 695)*CHOOSE(CONTROL!$C$42, 0.5599, 0.5599)*CHOOSE(CONTROL!$C$42, 31, 31))/1000000</f>
        <v>12.063045499999998</v>
      </c>
      <c r="V934" s="57">
        <f>(1000*CHOOSE(CONTROL!$C$42, 500, 500)*CHOOSE(CONTROL!$C$42, 0.275, 0.275)*CHOOSE(CONTROL!$C$42, 31, 31))/1000000</f>
        <v>4.2625000000000002</v>
      </c>
      <c r="W934" s="57">
        <f>(1000*CHOOSE(CONTROL!$C$42, 0.1146, 0.1146)*CHOOSE(CONTROL!$C$42, 121.5, 121.5)*CHOOSE(CONTROL!$C$42, 31, 31))/1000000</f>
        <v>0.43164089999999994</v>
      </c>
      <c r="X934" s="57">
        <f>(31*0.1790888*245000/1000000)+(31*0.2374*100000/1000000)</f>
        <v>2.0961194359999999</v>
      </c>
      <c r="Y934" s="57"/>
      <c r="Z934" s="14"/>
      <c r="AA934" s="56"/>
      <c r="AB934" s="50">
        <f>(B934*131.881+C934*277.167+D934*79.08+E934*125.872+F934*40+G934*185+H934*0+I934*100+J934*300)/(131.881+277.167+79.08+125.872+0+40+185+100+300)</f>
        <v>74.488451499273623</v>
      </c>
      <c r="AC934" s="45">
        <f>(M934*'RAP TEMPLATE-GAS AVAILABILITY'!O933+N934*'RAP TEMPLATE-GAS AVAILABILITY'!P933+O934*'RAP TEMPLATE-GAS AVAILABILITY'!Q933+P934*'RAP TEMPLATE-GAS AVAILABILITY'!R933)/('RAP TEMPLATE-GAS AVAILABILITY'!O933+'RAP TEMPLATE-GAS AVAILABILITY'!P933+'RAP TEMPLATE-GAS AVAILABILITY'!Q933+'RAP TEMPLATE-GAS AVAILABILITY'!R933)</f>
        <v>73.812903597122286</v>
      </c>
    </row>
    <row r="935" spans="1:29" ht="15.75" x14ac:dyDescent="0.25">
      <c r="A935" s="32">
        <v>69367</v>
      </c>
      <c r="B935" s="14">
        <f>CHOOSE(CONTROL!$C$42, 76.415, 76.415) * CHOOSE(CONTROL!$C$21, $C$9, 100%, $E$9)</f>
        <v>76.415000000000006</v>
      </c>
      <c r="C935" s="14">
        <f>CHOOSE(CONTROL!$C$42, 76.4199, 76.4199) * CHOOSE(CONTROL!$C$21, $C$9, 100%, $E$9)</f>
        <v>76.419899999999998</v>
      </c>
      <c r="D935" s="14">
        <f>CHOOSE(CONTROL!$C$42, 76.483, 76.483) * CHOOSE(CONTROL!$C$21, $C$9, 100%, $E$9)</f>
        <v>76.483000000000004</v>
      </c>
      <c r="E935" s="14">
        <f>CHOOSE(CONTROL!$C$42, 76.5168, 76.5168) * CHOOSE(CONTROL!$C$21, $C$9, 100%, $E$9)</f>
        <v>76.516800000000003</v>
      </c>
      <c r="F935" s="14">
        <f>CHOOSE(CONTROL!$C$42, 76.4157, 76.4157)*CHOOSE(CONTROL!$C$21, $C$9, 100%, $E$9)</f>
        <v>76.415700000000001</v>
      </c>
      <c r="G935" s="14">
        <f>CHOOSE(CONTROL!$C$42, 76.432, 76.432)*CHOOSE(CONTROL!$C$21, $C$9, 100%, $E$9)</f>
        <v>76.432000000000002</v>
      </c>
      <c r="H935" s="14">
        <f>CHOOSE(CONTROL!$C$42, 76.506, 76.506) * CHOOSE(CONTROL!$C$21, $C$9, 100%, $E$9)</f>
        <v>76.506</v>
      </c>
      <c r="I935" s="14">
        <f>CHOOSE(CONTROL!$C$42, 76.4285, 76.4285)* CHOOSE(CONTROL!$C$21, $C$9, 100%, $E$9)</f>
        <v>76.4285</v>
      </c>
      <c r="J935" s="14">
        <f>CHOOSE(CONTROL!$C$42, 76.4087, 76.4087)* CHOOSE(CONTROL!$C$21, $C$9, 100%, $E$9)</f>
        <v>76.408699999999996</v>
      </c>
      <c r="K935" s="53">
        <f>CHOOSE(CONTROL!$C$42, 76.4246, 76.4246) * CHOOSE(CONTROL!$C$21, $C$9, 100%, $E$9)</f>
        <v>76.424599999999998</v>
      </c>
      <c r="L935" s="14">
        <f>CHOOSE(CONTROL!$C$42, 77.093, 77.093) * CHOOSE(CONTROL!$C$21, $C$9, 100%, $E$9)</f>
        <v>77.093000000000004</v>
      </c>
      <c r="M935" s="14">
        <f>CHOOSE(CONTROL!$C$42, 75.6514, 75.6514) * CHOOSE(CONTROL!$C$21, $C$9, 100%, $E$9)</f>
        <v>75.651399999999995</v>
      </c>
      <c r="N935" s="14">
        <f>CHOOSE(CONTROL!$C$42, 75.6675, 75.6675) * CHOOSE(CONTROL!$C$21, $C$9, 100%, $E$9)</f>
        <v>75.667500000000004</v>
      </c>
      <c r="O935" s="14">
        <f>CHOOSE(CONTROL!$C$42, 75.7477, 75.7477) * CHOOSE(CONTROL!$C$21, $C$9, 100%, $E$9)</f>
        <v>75.747699999999995</v>
      </c>
      <c r="P935" s="14">
        <f>CHOOSE(CONTROL!$C$42, 75.6711, 75.6711) * CHOOSE(CONTROL!$C$21, $C$9, 100%, $E$9)</f>
        <v>75.671099999999996</v>
      </c>
      <c r="Q935" s="14">
        <f>CHOOSE(CONTROL!$C$42, 76.343, 76.343) * CHOOSE(CONTROL!$C$21, $C$9, 100%, $E$9)</f>
        <v>76.343000000000004</v>
      </c>
      <c r="R935" s="14">
        <f>CHOOSE(CONTROL!$C$42, 77.1209, 77.1209) * CHOOSE(CONTROL!$C$21, $C$9, 100%, $E$9)</f>
        <v>77.120900000000006</v>
      </c>
      <c r="S935" s="14">
        <f>CHOOSE(CONTROL!$C$42, 74.2045, 74.2045) * CHOOSE(CONTROL!$C$21, $C$9, 100%, $E$9)</f>
        <v>74.204499999999996</v>
      </c>
      <c r="T93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35" s="57">
        <f>(1000*CHOOSE(CONTROL!$C$42, 695, 695)*CHOOSE(CONTROL!$C$42, 0.5599, 0.5599)*CHOOSE(CONTROL!$C$42, 30, 30))/1000000</f>
        <v>11.673914999999997</v>
      </c>
      <c r="V935" s="57">
        <f>(1000*CHOOSE(CONTROL!$C$42, 500, 500)*CHOOSE(CONTROL!$C$42, 0.275, 0.275)*CHOOSE(CONTROL!$C$42, 30, 30))/1000000</f>
        <v>4.125</v>
      </c>
      <c r="W935" s="57">
        <f>(1000*CHOOSE(CONTROL!$C$42, 0.1146, 0.1146)*CHOOSE(CONTROL!$C$42, 121.5, 121.5)*CHOOSE(CONTROL!$C$42, 30, 30))/1000000</f>
        <v>0.417717</v>
      </c>
      <c r="X935" s="57">
        <f>(30*0.1790888*100000/1000000)+(30*0.2374*100000/1000000)</f>
        <v>1.2494664</v>
      </c>
      <c r="Y935" s="57"/>
      <c r="Z935" s="14"/>
      <c r="AA935" s="56"/>
      <c r="AB935" s="50">
        <f>(B935*122.58+C935*297.941+D935*89.177+E935*40.302+F935*40+G935*160+H935*0+I935*100+J935*300)/(122.58+297.941+89.177+40.302+0+40+160+100+300)</f>
        <v>76.42703016565217</v>
      </c>
      <c r="AC935" s="45">
        <f>(M935*'RAP TEMPLATE-GAS AVAILABILITY'!O934+N935*'RAP TEMPLATE-GAS AVAILABILITY'!P934+O935*'RAP TEMPLATE-GAS AVAILABILITY'!Q934+P935*'RAP TEMPLATE-GAS AVAILABILITY'!R934)/('RAP TEMPLATE-GAS AVAILABILITY'!O934+'RAP TEMPLATE-GAS AVAILABILITY'!P934+'RAP TEMPLATE-GAS AVAILABILITY'!Q934+'RAP TEMPLATE-GAS AVAILABILITY'!R934)</f>
        <v>75.698807913669057</v>
      </c>
    </row>
    <row r="936" spans="1:29" ht="15.75" x14ac:dyDescent="0.25">
      <c r="A936" s="32">
        <v>69398</v>
      </c>
      <c r="B936" s="14">
        <f>CHOOSE(CONTROL!$C$42, 81.6247, 81.6247) * CHOOSE(CONTROL!$C$21, $C$9, 100%, $E$9)</f>
        <v>81.624700000000004</v>
      </c>
      <c r="C936" s="14">
        <f>CHOOSE(CONTROL!$C$42, 81.6297, 81.6297) * CHOOSE(CONTROL!$C$21, $C$9, 100%, $E$9)</f>
        <v>81.6297</v>
      </c>
      <c r="D936" s="14">
        <f>CHOOSE(CONTROL!$C$42, 81.6928, 81.6928) * CHOOSE(CONTROL!$C$21, $C$9, 100%, $E$9)</f>
        <v>81.692800000000005</v>
      </c>
      <c r="E936" s="14">
        <f>CHOOSE(CONTROL!$C$42, 81.7265, 81.7265) * CHOOSE(CONTROL!$C$21, $C$9, 100%, $E$9)</f>
        <v>81.726500000000001</v>
      </c>
      <c r="F936" s="14">
        <f>CHOOSE(CONTROL!$C$42, 81.6275, 81.6275)*CHOOSE(CONTROL!$C$21, $C$9, 100%, $E$9)</f>
        <v>81.627499999999998</v>
      </c>
      <c r="G936" s="14">
        <f>CHOOSE(CONTROL!$C$42, 81.6443, 81.6443)*CHOOSE(CONTROL!$C$21, $C$9, 100%, $E$9)</f>
        <v>81.644300000000001</v>
      </c>
      <c r="H936" s="14">
        <f>CHOOSE(CONTROL!$C$42, 81.7157, 81.7157) * CHOOSE(CONTROL!$C$21, $C$9, 100%, $E$9)</f>
        <v>81.715699999999998</v>
      </c>
      <c r="I936" s="14">
        <f>CHOOSE(CONTROL!$C$42, 81.6383, 81.6383)* CHOOSE(CONTROL!$C$21, $C$9, 100%, $E$9)</f>
        <v>81.638300000000001</v>
      </c>
      <c r="J936" s="14">
        <f>CHOOSE(CONTROL!$C$42, 81.6205, 81.6205)* CHOOSE(CONTROL!$C$21, $C$9, 100%, $E$9)</f>
        <v>81.620500000000007</v>
      </c>
      <c r="K936" s="53">
        <f>CHOOSE(CONTROL!$C$42, 81.6344, 81.6344) * CHOOSE(CONTROL!$C$21, $C$9, 100%, $E$9)</f>
        <v>81.634399999999999</v>
      </c>
      <c r="L936" s="14">
        <f>CHOOSE(CONTROL!$C$42, 82.3027, 82.3027) * CHOOSE(CONTROL!$C$21, $C$9, 100%, $E$9)</f>
        <v>82.302700000000002</v>
      </c>
      <c r="M936" s="14">
        <f>CHOOSE(CONTROL!$C$42, 80.8106, 80.8106) * CHOOSE(CONTROL!$C$21, $C$9, 100%, $E$9)</f>
        <v>80.810599999999994</v>
      </c>
      <c r="N936" s="14">
        <f>CHOOSE(CONTROL!$C$42, 80.8272, 80.8272) * CHOOSE(CONTROL!$C$21, $C$9, 100%, $E$9)</f>
        <v>80.827200000000005</v>
      </c>
      <c r="O936" s="14">
        <f>CHOOSE(CONTROL!$C$42, 80.9049, 80.9049) * CHOOSE(CONTROL!$C$21, $C$9, 100%, $E$9)</f>
        <v>80.904899999999998</v>
      </c>
      <c r="P936" s="14">
        <f>CHOOSE(CONTROL!$C$42, 80.8283, 80.8283) * CHOOSE(CONTROL!$C$21, $C$9, 100%, $E$9)</f>
        <v>80.828299999999999</v>
      </c>
      <c r="Q936" s="14">
        <f>CHOOSE(CONTROL!$C$42, 81.5002, 81.5002) * CHOOSE(CONTROL!$C$21, $C$9, 100%, $E$9)</f>
        <v>81.500200000000007</v>
      </c>
      <c r="R936" s="14">
        <f>CHOOSE(CONTROL!$C$42, 82.2909, 82.2909) * CHOOSE(CONTROL!$C$21, $C$9, 100%, $E$9)</f>
        <v>82.290899999999993</v>
      </c>
      <c r="S936" s="14">
        <f>CHOOSE(CONTROL!$C$42, 79.2636, 79.2636) * CHOOSE(CONTROL!$C$21, $C$9, 100%, $E$9)</f>
        <v>79.263599999999997</v>
      </c>
      <c r="T93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36" s="57">
        <f>(1000*CHOOSE(CONTROL!$C$42, 695, 695)*CHOOSE(CONTROL!$C$42, 0.5599, 0.5599)*CHOOSE(CONTROL!$C$42, 31, 31))/1000000</f>
        <v>12.063045499999998</v>
      </c>
      <c r="V936" s="57">
        <f>(1000*CHOOSE(CONTROL!$C$42, 500, 500)*CHOOSE(CONTROL!$C$42, 0.275, 0.275)*CHOOSE(CONTROL!$C$42, 31, 31))/1000000</f>
        <v>4.2625000000000002</v>
      </c>
      <c r="W936" s="57">
        <f>(1000*CHOOSE(CONTROL!$C$42, 0.1146, 0.1146)*CHOOSE(CONTROL!$C$42, 121.5, 121.5)*CHOOSE(CONTROL!$C$42, 31, 31))/1000000</f>
        <v>0.43164089999999994</v>
      </c>
      <c r="X936" s="57">
        <f>(31*0.1790888*100000/1000000)+(31*0.2374*100000/1000000)</f>
        <v>1.2911152800000001</v>
      </c>
      <c r="Y936" s="57"/>
      <c r="Z936" s="14"/>
      <c r="AA936" s="56"/>
      <c r="AB936" s="50">
        <f>(B936*122.58+C936*297.941+D936*89.177+E936*40.302+F936*40+G936*160+H936*0+I936*100+J936*300)/(122.58+297.941+89.177+40.302+0+40+160+100+300)</f>
        <v>81.637755132434791</v>
      </c>
      <c r="AC936" s="45">
        <f>(M936*'RAP TEMPLATE-GAS AVAILABILITY'!O935+N936*'RAP TEMPLATE-GAS AVAILABILITY'!P935+O936*'RAP TEMPLATE-GAS AVAILABILITY'!Q935+P936*'RAP TEMPLATE-GAS AVAILABILITY'!R935)/('RAP TEMPLATE-GAS AVAILABILITY'!O935+'RAP TEMPLATE-GAS AVAILABILITY'!P935+'RAP TEMPLATE-GAS AVAILABILITY'!Q935+'RAP TEMPLATE-GAS AVAILABILITY'!R935)</f>
        <v>80.85684244604316</v>
      </c>
    </row>
    <row r="937" spans="1:29" ht="15.75" x14ac:dyDescent="0.25">
      <c r="A937" s="32">
        <v>69429</v>
      </c>
      <c r="B937" s="14">
        <f>CHOOSE(CONTROL!$C$42, 88.3126, 88.3126) * CHOOSE(CONTROL!$C$21, $C$9, 100%, $E$9)</f>
        <v>88.312600000000003</v>
      </c>
      <c r="C937" s="14">
        <f>CHOOSE(CONTROL!$C$42, 88.3175, 88.3175) * CHOOSE(CONTROL!$C$21, $C$9, 100%, $E$9)</f>
        <v>88.317499999999995</v>
      </c>
      <c r="D937" s="14">
        <f>CHOOSE(CONTROL!$C$42, 88.3818, 88.3818) * CHOOSE(CONTROL!$C$21, $C$9, 100%, $E$9)</f>
        <v>88.381799999999998</v>
      </c>
      <c r="E937" s="14">
        <f>CHOOSE(CONTROL!$C$42, 88.4156, 88.4156) * CHOOSE(CONTROL!$C$21, $C$9, 100%, $E$9)</f>
        <v>88.415599999999998</v>
      </c>
      <c r="F937" s="14">
        <f>CHOOSE(CONTROL!$C$42, 88.3141, 88.3141)*CHOOSE(CONTROL!$C$21, $C$9, 100%, $E$9)</f>
        <v>88.314099999999996</v>
      </c>
      <c r="G937" s="14">
        <f>CHOOSE(CONTROL!$C$42, 88.33, 88.33)*CHOOSE(CONTROL!$C$21, $C$9, 100%, $E$9)</f>
        <v>88.33</v>
      </c>
      <c r="H937" s="14">
        <f>CHOOSE(CONTROL!$C$42, 88.4048, 88.4048) * CHOOSE(CONTROL!$C$21, $C$9, 100%, $E$9)</f>
        <v>88.404799999999994</v>
      </c>
      <c r="I937" s="14">
        <f>CHOOSE(CONTROL!$C$42, 88.3325, 88.3325)* CHOOSE(CONTROL!$C$21, $C$9, 100%, $E$9)</f>
        <v>88.332499999999996</v>
      </c>
      <c r="J937" s="14">
        <f>CHOOSE(CONTROL!$C$42, 88.3071, 88.3071)* CHOOSE(CONTROL!$C$21, $C$9, 100%, $E$9)</f>
        <v>88.307100000000005</v>
      </c>
      <c r="K937" s="53">
        <f>CHOOSE(CONTROL!$C$42, 88.3286, 88.3286) * CHOOSE(CONTROL!$C$21, $C$9, 100%, $E$9)</f>
        <v>88.328599999999994</v>
      </c>
      <c r="L937" s="14">
        <f>CHOOSE(CONTROL!$C$42, 88.9918, 88.9918) * CHOOSE(CONTROL!$C$21, $C$9, 100%, $E$9)</f>
        <v>88.991799999999998</v>
      </c>
      <c r="M937" s="14">
        <f>CHOOSE(CONTROL!$C$42, 87.4297, 87.4297) * CHOOSE(CONTROL!$C$21, $C$9, 100%, $E$9)</f>
        <v>87.429699999999997</v>
      </c>
      <c r="N937" s="14">
        <f>CHOOSE(CONTROL!$C$42, 87.4455, 87.4455) * CHOOSE(CONTROL!$C$21, $C$9, 100%, $E$9)</f>
        <v>87.445499999999996</v>
      </c>
      <c r="O937" s="14">
        <f>CHOOSE(CONTROL!$C$42, 87.5264, 87.5264) * CHOOSE(CONTROL!$C$21, $C$9, 100%, $E$9)</f>
        <v>87.526399999999995</v>
      </c>
      <c r="P937" s="14">
        <f>CHOOSE(CONTROL!$C$42, 87.455, 87.455) * CHOOSE(CONTROL!$C$21, $C$9, 100%, $E$9)</f>
        <v>87.454999999999998</v>
      </c>
      <c r="Q937" s="14">
        <f>CHOOSE(CONTROL!$C$42, 88.1217, 88.1217) * CHOOSE(CONTROL!$C$21, $C$9, 100%, $E$9)</f>
        <v>88.121700000000004</v>
      </c>
      <c r="R937" s="14">
        <f>CHOOSE(CONTROL!$C$42, 88.929, 88.929) * CHOOSE(CONTROL!$C$21, $C$9, 100%, $E$9)</f>
        <v>88.929000000000002</v>
      </c>
      <c r="S937" s="14">
        <f>CHOOSE(CONTROL!$C$42, 85.7582, 85.7582) * CHOOSE(CONTROL!$C$21, $C$9, 100%, $E$9)</f>
        <v>85.758200000000002</v>
      </c>
      <c r="T93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37" s="57">
        <f>(1000*CHOOSE(CONTROL!$C$42, 695, 695)*CHOOSE(CONTROL!$C$42, 0.5599, 0.5599)*CHOOSE(CONTROL!$C$42, 31, 31))/1000000</f>
        <v>12.063045499999998</v>
      </c>
      <c r="V937" s="57">
        <f>(1000*CHOOSE(CONTROL!$C$42, 500, 500)*CHOOSE(CONTROL!$C$42, 0.275, 0.275)*CHOOSE(CONTROL!$C$42, 31, 31))/1000000</f>
        <v>4.2625000000000002</v>
      </c>
      <c r="W937" s="57">
        <f>(1000*CHOOSE(CONTROL!$C$42, 0.1146, 0.1146)*CHOOSE(CONTROL!$C$42, 121.5, 121.5)*CHOOSE(CONTROL!$C$42, 31, 31))/1000000</f>
        <v>0.43164089999999994</v>
      </c>
      <c r="X937" s="57">
        <f>(31*0.1790888*100000/1000000)+(31*0.2374*100000/1000000)</f>
        <v>1.2911152800000001</v>
      </c>
      <c r="Y937" s="57"/>
      <c r="Z937" s="14"/>
      <c r="AA937" s="56"/>
      <c r="AB937" s="50">
        <f>(B937*122.58+C937*297.941+D937*89.177+E937*40.302+F937*40+G937*160+H937*0+I937*100+J937*300)/(122.58+297.941+89.177+40.302+0+40+160+100+300)</f>
        <v>88.32561396982608</v>
      </c>
      <c r="AC937" s="45">
        <f>(M937*'RAP TEMPLATE-GAS AVAILABILITY'!O936+N937*'RAP TEMPLATE-GAS AVAILABILITY'!P936+O937*'RAP TEMPLATE-GAS AVAILABILITY'!Q936+P937*'RAP TEMPLATE-GAS AVAILABILITY'!R936)/('RAP TEMPLATE-GAS AVAILABILITY'!O936+'RAP TEMPLATE-GAS AVAILABILITY'!P936+'RAP TEMPLATE-GAS AVAILABILITY'!Q936+'RAP TEMPLATE-GAS AVAILABILITY'!R936)</f>
        <v>87.478077697841726</v>
      </c>
    </row>
    <row r="938" spans="1:29" ht="15.75" x14ac:dyDescent="0.25">
      <c r="A938" s="32">
        <v>69457</v>
      </c>
      <c r="B938" s="14">
        <f>CHOOSE(CONTROL!$C$42, 89.8846, 89.8846) * CHOOSE(CONTROL!$C$21, $C$9, 100%, $E$9)</f>
        <v>89.884600000000006</v>
      </c>
      <c r="C938" s="14">
        <f>CHOOSE(CONTROL!$C$42, 89.8896, 89.8896) * CHOOSE(CONTROL!$C$21, $C$9, 100%, $E$9)</f>
        <v>89.889600000000002</v>
      </c>
      <c r="D938" s="14">
        <f>CHOOSE(CONTROL!$C$42, 89.9538, 89.9538) * CHOOSE(CONTROL!$C$21, $C$9, 100%, $E$9)</f>
        <v>89.953800000000001</v>
      </c>
      <c r="E938" s="14">
        <f>CHOOSE(CONTROL!$C$42, 89.9876, 89.9876) * CHOOSE(CONTROL!$C$21, $C$9, 100%, $E$9)</f>
        <v>89.9876</v>
      </c>
      <c r="F938" s="14">
        <f>CHOOSE(CONTROL!$C$42, 89.8862, 89.8862)*CHOOSE(CONTROL!$C$21, $C$9, 100%, $E$9)</f>
        <v>89.886200000000002</v>
      </c>
      <c r="G938" s="14">
        <f>CHOOSE(CONTROL!$C$42, 89.9021, 89.9021)*CHOOSE(CONTROL!$C$21, $C$9, 100%, $E$9)</f>
        <v>89.902100000000004</v>
      </c>
      <c r="H938" s="14">
        <f>CHOOSE(CONTROL!$C$42, 89.9768, 89.9768) * CHOOSE(CONTROL!$C$21, $C$9, 100%, $E$9)</f>
        <v>89.976799999999997</v>
      </c>
      <c r="I938" s="14">
        <f>CHOOSE(CONTROL!$C$42, 89.9046, 89.9046)* CHOOSE(CONTROL!$C$21, $C$9, 100%, $E$9)</f>
        <v>89.904600000000002</v>
      </c>
      <c r="J938" s="14">
        <f>CHOOSE(CONTROL!$C$42, 89.8792, 89.8792)* CHOOSE(CONTROL!$C$21, $C$9, 100%, $E$9)</f>
        <v>89.879199999999997</v>
      </c>
      <c r="K938" s="53">
        <f>CHOOSE(CONTROL!$C$42, 89.9007, 89.9007) * CHOOSE(CONTROL!$C$21, $C$9, 100%, $E$9)</f>
        <v>89.900700000000001</v>
      </c>
      <c r="L938" s="14">
        <f>CHOOSE(CONTROL!$C$42, 90.5638, 90.5638) * CHOOSE(CONTROL!$C$21, $C$9, 100%, $E$9)</f>
        <v>90.563800000000001</v>
      </c>
      <c r="M938" s="14">
        <f>CHOOSE(CONTROL!$C$42, 88.986, 88.986) * CHOOSE(CONTROL!$C$21, $C$9, 100%, $E$9)</f>
        <v>88.986000000000004</v>
      </c>
      <c r="N938" s="14">
        <f>CHOOSE(CONTROL!$C$42, 89.0017, 89.0017) * CHOOSE(CONTROL!$C$21, $C$9, 100%, $E$9)</f>
        <v>89.0017</v>
      </c>
      <c r="O938" s="14">
        <f>CHOOSE(CONTROL!$C$42, 89.0826, 89.0826) * CHOOSE(CONTROL!$C$21, $C$9, 100%, $E$9)</f>
        <v>89.082599999999999</v>
      </c>
      <c r="P938" s="14">
        <f>CHOOSE(CONTROL!$C$42, 89.0112, 89.0112) * CHOOSE(CONTROL!$C$21, $C$9, 100%, $E$9)</f>
        <v>89.011200000000002</v>
      </c>
      <c r="Q938" s="14">
        <f>CHOOSE(CONTROL!$C$42, 89.6779, 89.6779) * CHOOSE(CONTROL!$C$21, $C$9, 100%, $E$9)</f>
        <v>89.677899999999994</v>
      </c>
      <c r="R938" s="14">
        <f>CHOOSE(CONTROL!$C$42, 90.4891, 90.4891) * CHOOSE(CONTROL!$C$21, $C$9, 100%, $E$9)</f>
        <v>90.489099999999993</v>
      </c>
      <c r="S938" s="14">
        <f>CHOOSE(CONTROL!$C$42, 87.2848, 87.2848) * CHOOSE(CONTROL!$C$21, $C$9, 100%, $E$9)</f>
        <v>87.284800000000004</v>
      </c>
      <c r="T93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38" s="57">
        <f>(1000*CHOOSE(CONTROL!$C$42, 695, 695)*CHOOSE(CONTROL!$C$42, 0.5599, 0.5599)*CHOOSE(CONTROL!$C$42, 28, 28))/1000000</f>
        <v>10.895653999999999</v>
      </c>
      <c r="V938" s="57">
        <f>(1000*CHOOSE(CONTROL!$C$42, 500, 500)*CHOOSE(CONTROL!$C$42, 0.275, 0.275)*CHOOSE(CONTROL!$C$42, 28, 28))/1000000</f>
        <v>3.85</v>
      </c>
      <c r="W938" s="57">
        <f>(1000*CHOOSE(CONTROL!$C$42, 0.1146, 0.1146)*CHOOSE(CONTROL!$C$42, 121.5, 121.5)*CHOOSE(CONTROL!$C$42, 28, 28))/1000000</f>
        <v>0.38986920000000003</v>
      </c>
      <c r="X938" s="57">
        <f>(28*0.1790888*100000/1000000)+(28*0.2374*100000/1000000)</f>
        <v>1.16616864</v>
      </c>
      <c r="Y938" s="57"/>
      <c r="Z938" s="14"/>
      <c r="AA938" s="56"/>
      <c r="AB938" s="50">
        <f>(B938*122.58+C938*297.941+D938*89.177+E938*40.302+F938*40+G938*160+H938*0+I938*100+J938*300)/(122.58+297.941+89.177+40.302+0+40+160+100+300)</f>
        <v>89.897692051652172</v>
      </c>
      <c r="AC938" s="45">
        <f>(M938*'RAP TEMPLATE-GAS AVAILABILITY'!O937+N938*'RAP TEMPLATE-GAS AVAILABILITY'!P937+O938*'RAP TEMPLATE-GAS AVAILABILITY'!Q937+P938*'RAP TEMPLATE-GAS AVAILABILITY'!R937)/('RAP TEMPLATE-GAS AVAILABILITY'!O937+'RAP TEMPLATE-GAS AVAILABILITY'!P937+'RAP TEMPLATE-GAS AVAILABILITY'!Q937+'RAP TEMPLATE-GAS AVAILABILITY'!R937)</f>
        <v>89.034312230215832</v>
      </c>
    </row>
    <row r="939" spans="1:29" ht="15.75" x14ac:dyDescent="0.25">
      <c r="A939" s="32">
        <v>69488</v>
      </c>
      <c r="B939" s="14">
        <f>CHOOSE(CONTROL!$C$42, 87.3328, 87.3328) * CHOOSE(CONTROL!$C$21, $C$9, 100%, $E$9)</f>
        <v>87.332800000000006</v>
      </c>
      <c r="C939" s="14">
        <f>CHOOSE(CONTROL!$C$42, 87.3378, 87.3378) * CHOOSE(CONTROL!$C$21, $C$9, 100%, $E$9)</f>
        <v>87.337800000000001</v>
      </c>
      <c r="D939" s="14">
        <f>CHOOSE(CONTROL!$C$42, 87.402, 87.402) * CHOOSE(CONTROL!$C$21, $C$9, 100%, $E$9)</f>
        <v>87.402000000000001</v>
      </c>
      <c r="E939" s="14">
        <f>CHOOSE(CONTROL!$C$42, 87.4358, 87.4358) * CHOOSE(CONTROL!$C$21, $C$9, 100%, $E$9)</f>
        <v>87.4358</v>
      </c>
      <c r="F939" s="14">
        <f>CHOOSE(CONTROL!$C$42, 87.334, 87.334)*CHOOSE(CONTROL!$C$21, $C$9, 100%, $E$9)</f>
        <v>87.334000000000003</v>
      </c>
      <c r="G939" s="14">
        <f>CHOOSE(CONTROL!$C$42, 87.3499, 87.3499)*CHOOSE(CONTROL!$C$21, $C$9, 100%, $E$9)</f>
        <v>87.349900000000005</v>
      </c>
      <c r="H939" s="14">
        <f>CHOOSE(CONTROL!$C$42, 87.425, 87.425) * CHOOSE(CONTROL!$C$21, $C$9, 100%, $E$9)</f>
        <v>87.424999999999997</v>
      </c>
      <c r="I939" s="14">
        <f>CHOOSE(CONTROL!$C$42, 87.3528, 87.3528)* CHOOSE(CONTROL!$C$21, $C$9, 100%, $E$9)</f>
        <v>87.352800000000002</v>
      </c>
      <c r="J939" s="14">
        <f>CHOOSE(CONTROL!$C$42, 87.327, 87.327)* CHOOSE(CONTROL!$C$21, $C$9, 100%, $E$9)</f>
        <v>87.326999999999998</v>
      </c>
      <c r="K939" s="53">
        <f>CHOOSE(CONTROL!$C$42, 87.3489, 87.3489) * CHOOSE(CONTROL!$C$21, $C$9, 100%, $E$9)</f>
        <v>87.3489</v>
      </c>
      <c r="L939" s="14">
        <f>CHOOSE(CONTROL!$C$42, 88.012, 88.012) * CHOOSE(CONTROL!$C$21, $C$9, 100%, $E$9)</f>
        <v>88.012</v>
      </c>
      <c r="M939" s="14">
        <f>CHOOSE(CONTROL!$C$42, 86.4596, 86.4596) * CHOOSE(CONTROL!$C$21, $C$9, 100%, $E$9)</f>
        <v>86.459599999999995</v>
      </c>
      <c r="N939" s="14">
        <f>CHOOSE(CONTROL!$C$42, 86.4753, 86.4753) * CHOOSE(CONTROL!$C$21, $C$9, 100%, $E$9)</f>
        <v>86.475300000000004</v>
      </c>
      <c r="O939" s="14">
        <f>CHOOSE(CONTROL!$C$42, 86.5566, 86.5566) * CHOOSE(CONTROL!$C$21, $C$9, 100%, $E$9)</f>
        <v>86.556600000000003</v>
      </c>
      <c r="P939" s="14">
        <f>CHOOSE(CONTROL!$C$42, 86.4851, 86.4851) * CHOOSE(CONTROL!$C$21, $C$9, 100%, $E$9)</f>
        <v>86.485100000000003</v>
      </c>
      <c r="Q939" s="14">
        <f>CHOOSE(CONTROL!$C$42, 87.1519, 87.1519) * CHOOSE(CONTROL!$C$21, $C$9, 100%, $E$9)</f>
        <v>87.151899999999998</v>
      </c>
      <c r="R939" s="14">
        <f>CHOOSE(CONTROL!$C$42, 87.9567, 87.9567) * CHOOSE(CONTROL!$C$21, $C$9, 100%, $E$9)</f>
        <v>87.956699999999998</v>
      </c>
      <c r="S939" s="14">
        <f>CHOOSE(CONTROL!$C$42, 84.8067, 84.8067) * CHOOSE(CONTROL!$C$21, $C$9, 100%, $E$9)</f>
        <v>84.806700000000006</v>
      </c>
      <c r="T93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39" s="57">
        <f>(1000*CHOOSE(CONTROL!$C$42, 695, 695)*CHOOSE(CONTROL!$C$42, 0.5599, 0.5599)*CHOOSE(CONTROL!$C$42, 31, 31))/1000000</f>
        <v>12.063045499999998</v>
      </c>
      <c r="V939" s="57">
        <f>(1000*CHOOSE(CONTROL!$C$42, 500, 500)*CHOOSE(CONTROL!$C$42, 0.275, 0.275)*CHOOSE(CONTROL!$C$42, 31, 31))/1000000</f>
        <v>4.2625000000000002</v>
      </c>
      <c r="W939" s="57">
        <f>(1000*CHOOSE(CONTROL!$C$42, 0.1146, 0.1146)*CHOOSE(CONTROL!$C$42, 121.5, 121.5)*CHOOSE(CONTROL!$C$42, 31, 31))/1000000</f>
        <v>0.43164089999999994</v>
      </c>
      <c r="X939" s="57">
        <f>(31*0.1790888*100000/1000000)+(31*0.2374*100000/1000000)</f>
        <v>1.2911152800000001</v>
      </c>
      <c r="Y939" s="57"/>
      <c r="Z939" s="14"/>
      <c r="AA939" s="56"/>
      <c r="AB939" s="50">
        <f>(B939*122.58+C939*297.941+D939*89.177+E939*40.302+F939*40+G939*160+H939*0+I939*100+J939*300)/(122.58+297.941+89.177+40.302+0+40+160+100+300)</f>
        <v>87.345718138608703</v>
      </c>
      <c r="AC939" s="45">
        <f>(M939*'RAP TEMPLATE-GAS AVAILABILITY'!O938+N939*'RAP TEMPLATE-GAS AVAILABILITY'!P938+O939*'RAP TEMPLATE-GAS AVAILABILITY'!Q938+P939*'RAP TEMPLATE-GAS AVAILABILITY'!R938)/('RAP TEMPLATE-GAS AVAILABILITY'!O938+'RAP TEMPLATE-GAS AVAILABILITY'!P938+'RAP TEMPLATE-GAS AVAILABILITY'!Q938+'RAP TEMPLATE-GAS AVAILABILITY'!R938)</f>
        <v>86.50813669064749</v>
      </c>
    </row>
    <row r="940" spans="1:29" ht="15.75" x14ac:dyDescent="0.25">
      <c r="A940" s="32">
        <v>69518</v>
      </c>
      <c r="B940" s="14">
        <f>CHOOSE(CONTROL!$C$42, 87.0725, 87.0725) * CHOOSE(CONTROL!$C$21, $C$9, 100%, $E$9)</f>
        <v>87.072500000000005</v>
      </c>
      <c r="C940" s="14">
        <f>CHOOSE(CONTROL!$C$42, 87.0769, 87.0769) * CHOOSE(CONTROL!$C$21, $C$9, 100%, $E$9)</f>
        <v>87.076899999999995</v>
      </c>
      <c r="D940" s="14">
        <f>CHOOSE(CONTROL!$C$42, 87.2776, 87.2776) * CHOOSE(CONTROL!$C$21, $C$9, 100%, $E$9)</f>
        <v>87.277600000000007</v>
      </c>
      <c r="E940" s="14">
        <f>CHOOSE(CONTROL!$C$42, 87.3094, 87.3094) * CHOOSE(CONTROL!$C$21, $C$9, 100%, $E$9)</f>
        <v>87.309399999999997</v>
      </c>
      <c r="F940" s="14">
        <f>CHOOSE(CONTROL!$C$42, 87.0571, 87.0571)*CHOOSE(CONTROL!$C$21, $C$9, 100%, $E$9)</f>
        <v>87.057100000000005</v>
      </c>
      <c r="G940" s="14">
        <f>CHOOSE(CONTROL!$C$42, 87.0727, 87.0727)*CHOOSE(CONTROL!$C$21, $C$9, 100%, $E$9)</f>
        <v>87.072699999999998</v>
      </c>
      <c r="H940" s="14">
        <f>CHOOSE(CONTROL!$C$42, 87.2991, 87.2991) * CHOOSE(CONTROL!$C$21, $C$9, 100%, $E$9)</f>
        <v>87.299099999999996</v>
      </c>
      <c r="I940" s="14">
        <f>CHOOSE(CONTROL!$C$42, 87.0852, 87.0852)* CHOOSE(CONTROL!$C$21, $C$9, 100%, $E$9)</f>
        <v>87.0852</v>
      </c>
      <c r="J940" s="14">
        <f>CHOOSE(CONTROL!$C$42, 87.0501, 87.0501)* CHOOSE(CONTROL!$C$21, $C$9, 100%, $E$9)</f>
        <v>87.0501</v>
      </c>
      <c r="K940" s="53">
        <f>CHOOSE(CONTROL!$C$42, 87.0814, 87.0814) * CHOOSE(CONTROL!$C$21, $C$9, 100%, $E$9)</f>
        <v>87.081400000000002</v>
      </c>
      <c r="L940" s="14">
        <f>CHOOSE(CONTROL!$C$42, 87.8861, 87.8861) * CHOOSE(CONTROL!$C$21, $C$9, 100%, $E$9)</f>
        <v>87.886099999999999</v>
      </c>
      <c r="M940" s="14">
        <f>CHOOSE(CONTROL!$C$42, 86.1854, 86.1854) * CHOOSE(CONTROL!$C$21, $C$9, 100%, $E$9)</f>
        <v>86.185400000000001</v>
      </c>
      <c r="N940" s="14">
        <f>CHOOSE(CONTROL!$C$42, 86.2009, 86.2009) * CHOOSE(CONTROL!$C$21, $C$9, 100%, $E$9)</f>
        <v>86.200900000000004</v>
      </c>
      <c r="O940" s="14">
        <f>CHOOSE(CONTROL!$C$42, 86.432, 86.432) * CHOOSE(CONTROL!$C$21, $C$9, 100%, $E$9)</f>
        <v>86.432000000000002</v>
      </c>
      <c r="P940" s="14">
        <f>CHOOSE(CONTROL!$C$42, 86.2203, 86.2203) * CHOOSE(CONTROL!$C$21, $C$9, 100%, $E$9)</f>
        <v>86.220299999999995</v>
      </c>
      <c r="Q940" s="14">
        <f>CHOOSE(CONTROL!$C$42, 87.0273, 87.0273) * CHOOSE(CONTROL!$C$21, $C$9, 100%, $E$9)</f>
        <v>87.027299999999997</v>
      </c>
      <c r="R940" s="14">
        <f>CHOOSE(CONTROL!$C$42, 87.8318, 87.8318) * CHOOSE(CONTROL!$C$21, $C$9, 100%, $E$9)</f>
        <v>87.831800000000001</v>
      </c>
      <c r="S940" s="14">
        <f>CHOOSE(CONTROL!$C$42, 84.5532, 84.5532) * CHOOSE(CONTROL!$C$21, $C$9, 100%, $E$9)</f>
        <v>84.553200000000004</v>
      </c>
      <c r="T94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40" s="57">
        <f>(1000*CHOOSE(CONTROL!$C$42, 695, 695)*CHOOSE(CONTROL!$C$42, 0.5599, 0.5599)*CHOOSE(CONTROL!$C$42, 30, 30))/1000000</f>
        <v>11.673914999999997</v>
      </c>
      <c r="V940" s="57">
        <f>(1000*CHOOSE(CONTROL!$C$42, 500, 500)*CHOOSE(CONTROL!$C$42, 0.275, 0.275)*CHOOSE(CONTROL!$C$42, 30, 30))/1000000</f>
        <v>4.125</v>
      </c>
      <c r="W940" s="57">
        <f>(1000*CHOOSE(CONTROL!$C$42, 0.1146, 0.1146)*CHOOSE(CONTROL!$C$42, 121.5, 121.5)*CHOOSE(CONTROL!$C$42, 30, 30))/1000000</f>
        <v>0.417717</v>
      </c>
      <c r="X940" s="57">
        <f>(30*0.1790888*245000/1000000)+(30*0.2374*100000/1000000)</f>
        <v>2.0285026799999999</v>
      </c>
      <c r="Y940" s="57"/>
      <c r="Z940" s="14"/>
      <c r="AA940" s="56"/>
      <c r="AB940" s="50">
        <f>(B940*141.293+C940*267.993+D940*115.016+E940*89.698+F940*40+G940*185+H940*0+I940*100+J940*300)/(141.293+267.993+115.016+89.698+0+40+185+100+300)</f>
        <v>87.104775550443904</v>
      </c>
      <c r="AC940" s="45">
        <f>(M940*'RAP TEMPLATE-GAS AVAILABILITY'!O939+N940*'RAP TEMPLATE-GAS AVAILABILITY'!P939+O940*'RAP TEMPLATE-GAS AVAILABILITY'!Q939+P940*'RAP TEMPLATE-GAS AVAILABILITY'!R939)/('RAP TEMPLATE-GAS AVAILABILITY'!O939+'RAP TEMPLATE-GAS AVAILABILITY'!P939+'RAP TEMPLATE-GAS AVAILABILITY'!Q939+'RAP TEMPLATE-GAS AVAILABILITY'!R939)</f>
        <v>86.303082014388494</v>
      </c>
    </row>
    <row r="941" spans="1:29" ht="15.75" x14ac:dyDescent="0.25">
      <c r="A941" s="32">
        <v>69549</v>
      </c>
      <c r="B941" s="14">
        <f>CHOOSE(CONTROL!$C$42, 87.8424, 87.8424) * CHOOSE(CONTROL!$C$21, $C$9, 100%, $E$9)</f>
        <v>87.842399999999998</v>
      </c>
      <c r="C941" s="14">
        <f>CHOOSE(CONTROL!$C$42, 87.8503, 87.8503) * CHOOSE(CONTROL!$C$21, $C$9, 100%, $E$9)</f>
        <v>87.850300000000004</v>
      </c>
      <c r="D941" s="14">
        <f>CHOOSE(CONTROL!$C$42, 88.0479, 88.0479) * CHOOSE(CONTROL!$C$21, $C$9, 100%, $E$9)</f>
        <v>88.047899999999998</v>
      </c>
      <c r="E941" s="14">
        <f>CHOOSE(CONTROL!$C$42, 88.079, 88.079) * CHOOSE(CONTROL!$C$21, $C$9, 100%, $E$9)</f>
        <v>88.078999999999994</v>
      </c>
      <c r="F941" s="14">
        <f>CHOOSE(CONTROL!$C$42, 87.8258, 87.8258)*CHOOSE(CONTROL!$C$21, $C$9, 100%, $E$9)</f>
        <v>87.825800000000001</v>
      </c>
      <c r="G941" s="14">
        <f>CHOOSE(CONTROL!$C$42, 87.8419, 87.8419)*CHOOSE(CONTROL!$C$21, $C$9, 100%, $E$9)</f>
        <v>87.841899999999995</v>
      </c>
      <c r="H941" s="14">
        <f>CHOOSE(CONTROL!$C$42, 88.0676, 88.0676) * CHOOSE(CONTROL!$C$21, $C$9, 100%, $E$9)</f>
        <v>88.067599999999999</v>
      </c>
      <c r="I941" s="14">
        <f>CHOOSE(CONTROL!$C$42, 87.8537, 87.8537)* CHOOSE(CONTROL!$C$21, $C$9, 100%, $E$9)</f>
        <v>87.853700000000003</v>
      </c>
      <c r="J941" s="14">
        <f>CHOOSE(CONTROL!$C$42, 87.8188, 87.8188)* CHOOSE(CONTROL!$C$21, $C$9, 100%, $E$9)</f>
        <v>87.818799999999996</v>
      </c>
      <c r="K941" s="53">
        <f>CHOOSE(CONTROL!$C$42, 87.8498, 87.8498) * CHOOSE(CONTROL!$C$21, $C$9, 100%, $E$9)</f>
        <v>87.849800000000002</v>
      </c>
      <c r="L941" s="14">
        <f>CHOOSE(CONTROL!$C$42, 88.6546, 88.6546) * CHOOSE(CONTROL!$C$21, $C$9, 100%, $E$9)</f>
        <v>88.654600000000002</v>
      </c>
      <c r="M941" s="14">
        <f>CHOOSE(CONTROL!$C$42, 86.9464, 86.9464) * CHOOSE(CONTROL!$C$21, $C$9, 100%, $E$9)</f>
        <v>86.946399999999997</v>
      </c>
      <c r="N941" s="14">
        <f>CHOOSE(CONTROL!$C$42, 86.9623, 86.9623) * CHOOSE(CONTROL!$C$21, $C$9, 100%, $E$9)</f>
        <v>86.962299999999999</v>
      </c>
      <c r="O941" s="14">
        <f>CHOOSE(CONTROL!$C$42, 87.1927, 87.1927) * CHOOSE(CONTROL!$C$21, $C$9, 100%, $E$9)</f>
        <v>87.192700000000002</v>
      </c>
      <c r="P941" s="14">
        <f>CHOOSE(CONTROL!$C$42, 86.981, 86.981) * CHOOSE(CONTROL!$C$21, $C$9, 100%, $E$9)</f>
        <v>86.980999999999995</v>
      </c>
      <c r="Q941" s="14">
        <f>CHOOSE(CONTROL!$C$42, 87.788, 87.788) * CHOOSE(CONTROL!$C$21, $C$9, 100%, $E$9)</f>
        <v>87.787999999999997</v>
      </c>
      <c r="R941" s="14">
        <f>CHOOSE(CONTROL!$C$42, 88.5945, 88.5945) * CHOOSE(CONTROL!$C$21, $C$9, 100%, $E$9)</f>
        <v>88.594499999999996</v>
      </c>
      <c r="S941" s="14">
        <f>CHOOSE(CONTROL!$C$42, 85.2995, 85.2995) * CHOOSE(CONTROL!$C$21, $C$9, 100%, $E$9)</f>
        <v>85.299499999999995</v>
      </c>
      <c r="T94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41" s="57">
        <f>(1000*CHOOSE(CONTROL!$C$42, 695, 695)*CHOOSE(CONTROL!$C$42, 0.5599, 0.5599)*CHOOSE(CONTROL!$C$42, 31, 31))/1000000</f>
        <v>12.063045499999998</v>
      </c>
      <c r="V941" s="57">
        <f>(1000*CHOOSE(CONTROL!$C$42, 500, 500)*CHOOSE(CONTROL!$C$42, 0.275, 0.275)*CHOOSE(CONTROL!$C$42, 31, 31))/1000000</f>
        <v>4.2625000000000002</v>
      </c>
      <c r="W941" s="57">
        <f>(1000*CHOOSE(CONTROL!$C$42, 0.1146, 0.1146)*CHOOSE(CONTROL!$C$42, 121.5, 121.5)*CHOOSE(CONTROL!$C$42, 31, 31))/1000000</f>
        <v>0.43164089999999994</v>
      </c>
      <c r="X941" s="57">
        <f>(31*0.1790888*245000/1000000)+(31*0.2374*100000/1000000)</f>
        <v>2.0961194359999999</v>
      </c>
      <c r="Y941" s="57"/>
      <c r="Z941" s="14"/>
      <c r="AA941" s="56"/>
      <c r="AB941" s="50">
        <f>(B941*194.205+C941*267.466+D941*133.845+E941*53.484+F941*40+G941*185+H941*0+I941*100+J941*300)/(194.205+267.466+133.845+53.484+0+40+185+100+300)</f>
        <v>87.870316752982731</v>
      </c>
      <c r="AC941" s="45">
        <f>(M941*'RAP TEMPLATE-GAS AVAILABILITY'!O940+N941*'RAP TEMPLATE-GAS AVAILABILITY'!P940+O941*'RAP TEMPLATE-GAS AVAILABILITY'!Q940+P941*'RAP TEMPLATE-GAS AVAILABILITY'!R940)/('RAP TEMPLATE-GAS AVAILABILITY'!O940+'RAP TEMPLATE-GAS AVAILABILITY'!P940+'RAP TEMPLATE-GAS AVAILABILITY'!Q940+'RAP TEMPLATE-GAS AVAILABILITY'!R940)</f>
        <v>87.063925899280562</v>
      </c>
    </row>
    <row r="942" spans="1:29" ht="15.75" x14ac:dyDescent="0.25">
      <c r="A942" s="32">
        <v>69579</v>
      </c>
      <c r="B942" s="14">
        <f>CHOOSE(CONTROL!$C$42, 90.334, 90.334) * CHOOSE(CONTROL!$C$21, $C$9, 100%, $E$9)</f>
        <v>90.334000000000003</v>
      </c>
      <c r="C942" s="14">
        <f>CHOOSE(CONTROL!$C$42, 90.3419, 90.3419) * CHOOSE(CONTROL!$C$21, $C$9, 100%, $E$9)</f>
        <v>90.341899999999995</v>
      </c>
      <c r="D942" s="14">
        <f>CHOOSE(CONTROL!$C$42, 90.5395, 90.5395) * CHOOSE(CONTROL!$C$21, $C$9, 100%, $E$9)</f>
        <v>90.539500000000004</v>
      </c>
      <c r="E942" s="14">
        <f>CHOOSE(CONTROL!$C$42, 90.5706, 90.5706) * CHOOSE(CONTROL!$C$21, $C$9, 100%, $E$9)</f>
        <v>90.570599999999999</v>
      </c>
      <c r="F942" s="14">
        <f>CHOOSE(CONTROL!$C$42, 90.3178, 90.3178)*CHOOSE(CONTROL!$C$21, $C$9, 100%, $E$9)</f>
        <v>90.317800000000005</v>
      </c>
      <c r="G942" s="14">
        <f>CHOOSE(CONTROL!$C$42, 90.334, 90.334)*CHOOSE(CONTROL!$C$21, $C$9, 100%, $E$9)</f>
        <v>90.334000000000003</v>
      </c>
      <c r="H942" s="14">
        <f>CHOOSE(CONTROL!$C$42, 90.5593, 90.5593) * CHOOSE(CONTROL!$C$21, $C$9, 100%, $E$9)</f>
        <v>90.559299999999993</v>
      </c>
      <c r="I942" s="14">
        <f>CHOOSE(CONTROL!$C$42, 90.3453, 90.3453)* CHOOSE(CONTROL!$C$21, $C$9, 100%, $E$9)</f>
        <v>90.345299999999995</v>
      </c>
      <c r="J942" s="14">
        <f>CHOOSE(CONTROL!$C$42, 90.3108, 90.3108)* CHOOSE(CONTROL!$C$21, $C$9, 100%, $E$9)</f>
        <v>90.3108</v>
      </c>
      <c r="K942" s="53">
        <f>CHOOSE(CONTROL!$C$42, 90.3415, 90.3415) * CHOOSE(CONTROL!$C$21, $C$9, 100%, $E$9)</f>
        <v>90.341499999999996</v>
      </c>
      <c r="L942" s="14">
        <f>CHOOSE(CONTROL!$C$42, 91.1463, 91.1463) * CHOOSE(CONTROL!$C$21, $C$9, 100%, $E$9)</f>
        <v>91.146299999999997</v>
      </c>
      <c r="M942" s="14">
        <f>CHOOSE(CONTROL!$C$42, 89.4132, 89.4132) * CHOOSE(CONTROL!$C$21, $C$9, 100%, $E$9)</f>
        <v>89.413200000000003</v>
      </c>
      <c r="N942" s="14">
        <f>CHOOSE(CONTROL!$C$42, 89.4293, 89.4293) * CHOOSE(CONTROL!$C$21, $C$9, 100%, $E$9)</f>
        <v>89.429299999999998</v>
      </c>
      <c r="O942" s="14">
        <f>CHOOSE(CONTROL!$C$42, 89.6592, 89.6592) * CHOOSE(CONTROL!$C$21, $C$9, 100%, $E$9)</f>
        <v>89.659199999999998</v>
      </c>
      <c r="P942" s="14">
        <f>CHOOSE(CONTROL!$C$42, 89.4475, 89.4475) * CHOOSE(CONTROL!$C$21, $C$9, 100%, $E$9)</f>
        <v>89.447500000000005</v>
      </c>
      <c r="Q942" s="14">
        <f>CHOOSE(CONTROL!$C$42, 90.2545, 90.2545) * CHOOSE(CONTROL!$C$21, $C$9, 100%, $E$9)</f>
        <v>90.254499999999993</v>
      </c>
      <c r="R942" s="14">
        <f>CHOOSE(CONTROL!$C$42, 91.0671, 91.0671) * CHOOSE(CONTROL!$C$21, $C$9, 100%, $E$9)</f>
        <v>91.067099999999996</v>
      </c>
      <c r="S942" s="14">
        <f>CHOOSE(CONTROL!$C$42, 87.7191, 87.7191) * CHOOSE(CONTROL!$C$21, $C$9, 100%, $E$9)</f>
        <v>87.719099999999997</v>
      </c>
      <c r="T94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42" s="57">
        <f>(1000*CHOOSE(CONTROL!$C$42, 695, 695)*CHOOSE(CONTROL!$C$42, 0.5599, 0.5599)*CHOOSE(CONTROL!$C$42, 30, 30))/1000000</f>
        <v>11.673914999999997</v>
      </c>
      <c r="V942" s="57">
        <f>(1000*CHOOSE(CONTROL!$C$42, 500, 500)*CHOOSE(CONTROL!$C$42, 0.275, 0.275)*CHOOSE(CONTROL!$C$42, 30, 30))/1000000</f>
        <v>4.125</v>
      </c>
      <c r="W942" s="57">
        <f>(1000*CHOOSE(CONTROL!$C$42, 0.1146, 0.1146)*CHOOSE(CONTROL!$C$42, 121.5, 121.5)*CHOOSE(CONTROL!$C$42, 30, 30))/1000000</f>
        <v>0.417717</v>
      </c>
      <c r="X942" s="57">
        <f>(30*0.1790888*245000/1000000)+(30*0.2374*100000/1000000)</f>
        <v>2.0285026799999999</v>
      </c>
      <c r="Y942" s="57"/>
      <c r="Z942" s="14"/>
      <c r="AA942" s="56"/>
      <c r="AB942" s="50">
        <f>(B942*194.205+C942*267.466+D942*133.845+E942*53.484+F942*40+G942*185+H942*0+I942*100+J942*300)/(194.205+267.466+133.845+53.484+0+40+185+100+300)</f>
        <v>90.362096109340669</v>
      </c>
      <c r="AC942" s="45">
        <f>(M942*'RAP TEMPLATE-GAS AVAILABILITY'!O941+N942*'RAP TEMPLATE-GAS AVAILABILITY'!P941+O942*'RAP TEMPLATE-GAS AVAILABILITY'!Q941+P942*'RAP TEMPLATE-GAS AVAILABILITY'!R941)/('RAP TEMPLATE-GAS AVAILABILITY'!O941+'RAP TEMPLATE-GAS AVAILABILITY'!P941+'RAP TEMPLATE-GAS AVAILABILITY'!Q941+'RAP TEMPLATE-GAS AVAILABILITY'!R941)</f>
        <v>89.530558273381288</v>
      </c>
    </row>
    <row r="943" spans="1:29" ht="15.75" x14ac:dyDescent="0.25">
      <c r="A943" s="32">
        <v>69610</v>
      </c>
      <c r="B943" s="14">
        <f>CHOOSE(CONTROL!$C$42, 88.601, 88.601) * CHOOSE(CONTROL!$C$21, $C$9, 100%, $E$9)</f>
        <v>88.600999999999999</v>
      </c>
      <c r="C943" s="14">
        <f>CHOOSE(CONTROL!$C$42, 88.609, 88.609) * CHOOSE(CONTROL!$C$21, $C$9, 100%, $E$9)</f>
        <v>88.608999999999995</v>
      </c>
      <c r="D943" s="14">
        <f>CHOOSE(CONTROL!$C$42, 88.8065, 88.8065) * CHOOSE(CONTROL!$C$21, $C$9, 100%, $E$9)</f>
        <v>88.8065</v>
      </c>
      <c r="E943" s="14">
        <f>CHOOSE(CONTROL!$C$42, 88.8377, 88.8377) * CHOOSE(CONTROL!$C$21, $C$9, 100%, $E$9)</f>
        <v>88.837699999999998</v>
      </c>
      <c r="F943" s="14">
        <f>CHOOSE(CONTROL!$C$42, 88.5853, 88.5853)*CHOOSE(CONTROL!$C$21, $C$9, 100%, $E$9)</f>
        <v>88.585300000000004</v>
      </c>
      <c r="G943" s="14">
        <f>CHOOSE(CONTROL!$C$42, 88.6016, 88.6016)*CHOOSE(CONTROL!$C$21, $C$9, 100%, $E$9)</f>
        <v>88.601600000000005</v>
      </c>
      <c r="H943" s="14">
        <f>CHOOSE(CONTROL!$C$42, 88.8263, 88.8263) * CHOOSE(CONTROL!$C$21, $C$9, 100%, $E$9)</f>
        <v>88.826300000000003</v>
      </c>
      <c r="I943" s="14">
        <f>CHOOSE(CONTROL!$C$42, 88.6124, 88.6124)* CHOOSE(CONTROL!$C$21, $C$9, 100%, $E$9)</f>
        <v>88.612399999999994</v>
      </c>
      <c r="J943" s="14">
        <f>CHOOSE(CONTROL!$C$42, 88.5783, 88.5783)* CHOOSE(CONTROL!$C$21, $C$9, 100%, $E$9)</f>
        <v>88.578299999999999</v>
      </c>
      <c r="K943" s="53">
        <f>CHOOSE(CONTROL!$C$42, 88.6085, 88.6085) * CHOOSE(CONTROL!$C$21, $C$9, 100%, $E$9)</f>
        <v>88.608500000000006</v>
      </c>
      <c r="L943" s="14">
        <f>CHOOSE(CONTROL!$C$42, 89.4133, 89.4133) * CHOOSE(CONTROL!$C$21, $C$9, 100%, $E$9)</f>
        <v>89.413300000000007</v>
      </c>
      <c r="M943" s="14">
        <f>CHOOSE(CONTROL!$C$42, 87.6982, 87.6982) * CHOOSE(CONTROL!$C$21, $C$9, 100%, $E$9)</f>
        <v>87.6982</v>
      </c>
      <c r="N943" s="14">
        <f>CHOOSE(CONTROL!$C$42, 87.7144, 87.7144) * CHOOSE(CONTROL!$C$21, $C$9, 100%, $E$9)</f>
        <v>87.714399999999998</v>
      </c>
      <c r="O943" s="14">
        <f>CHOOSE(CONTROL!$C$42, 87.9437, 87.9437) * CHOOSE(CONTROL!$C$21, $C$9, 100%, $E$9)</f>
        <v>87.943700000000007</v>
      </c>
      <c r="P943" s="14">
        <f>CHOOSE(CONTROL!$C$42, 87.732, 87.732) * CHOOSE(CONTROL!$C$21, $C$9, 100%, $E$9)</f>
        <v>87.731999999999999</v>
      </c>
      <c r="Q943" s="14">
        <f>CHOOSE(CONTROL!$C$42, 88.539, 88.539) * CHOOSE(CONTROL!$C$21, $C$9, 100%, $E$9)</f>
        <v>88.539000000000001</v>
      </c>
      <c r="R943" s="14">
        <f>CHOOSE(CONTROL!$C$42, 89.3474, 89.3474) * CHOOSE(CONTROL!$C$21, $C$9, 100%, $E$9)</f>
        <v>89.347399999999993</v>
      </c>
      <c r="S943" s="14">
        <f>CHOOSE(CONTROL!$C$42, 86.0362, 86.0362) * CHOOSE(CONTROL!$C$21, $C$9, 100%, $E$9)</f>
        <v>86.036199999999994</v>
      </c>
      <c r="T94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43" s="57">
        <f>(1000*CHOOSE(CONTROL!$C$42, 695, 695)*CHOOSE(CONTROL!$C$42, 0.5599, 0.5599)*CHOOSE(CONTROL!$C$42, 31, 31))/1000000</f>
        <v>12.063045499999998</v>
      </c>
      <c r="V943" s="57">
        <f>(1000*CHOOSE(CONTROL!$C$42, 500, 500)*CHOOSE(CONTROL!$C$42, 0.275, 0.275)*CHOOSE(CONTROL!$C$42, 31, 31))/1000000</f>
        <v>4.2625000000000002</v>
      </c>
      <c r="W943" s="57">
        <f>(1000*CHOOSE(CONTROL!$C$42, 0.1146, 0.1146)*CHOOSE(CONTROL!$C$42, 121.5, 121.5)*CHOOSE(CONTROL!$C$42, 31, 31))/1000000</f>
        <v>0.43164089999999994</v>
      </c>
      <c r="X943" s="57">
        <f>(31*0.1790888*245000/1000000)+(31*0.2374*100000/1000000)</f>
        <v>2.0961194359999999</v>
      </c>
      <c r="Y943" s="57"/>
      <c r="Z943" s="14"/>
      <c r="AA943" s="56"/>
      <c r="AB943" s="50">
        <f>(B943*194.205+C943*267.466+D943*133.845+E943*53.484+F943*40+G943*185+H943*0+I943*100+J943*300)/(194.205+267.466+133.845+53.484+0+40+185+100+300)</f>
        <v>88.629349716091042</v>
      </c>
      <c r="AC943" s="45">
        <f>(M943*'RAP TEMPLATE-GAS AVAILABILITY'!O942+N943*'RAP TEMPLATE-GAS AVAILABILITY'!P942+O943*'RAP TEMPLATE-GAS AVAILABILITY'!Q942+P943*'RAP TEMPLATE-GAS AVAILABILITY'!R942)/('RAP TEMPLATE-GAS AVAILABILITY'!O942+'RAP TEMPLATE-GAS AVAILABILITY'!P942+'RAP TEMPLATE-GAS AVAILABILITY'!Q942+'RAP TEMPLATE-GAS AVAILABILITY'!R942)</f>
        <v>87.815265467625906</v>
      </c>
    </row>
    <row r="944" spans="1:29" ht="15.75" x14ac:dyDescent="0.25">
      <c r="A944" s="32">
        <v>69641</v>
      </c>
      <c r="B944" s="14">
        <f>CHOOSE(CONTROL!$C$42, 84.2248, 84.2248) * CHOOSE(CONTROL!$C$21, $C$9, 100%, $E$9)</f>
        <v>84.224800000000002</v>
      </c>
      <c r="C944" s="14">
        <f>CHOOSE(CONTROL!$C$42, 84.2328, 84.2328) * CHOOSE(CONTROL!$C$21, $C$9, 100%, $E$9)</f>
        <v>84.232799999999997</v>
      </c>
      <c r="D944" s="14">
        <f>CHOOSE(CONTROL!$C$42, 84.4303, 84.4303) * CHOOSE(CONTROL!$C$21, $C$9, 100%, $E$9)</f>
        <v>84.430300000000003</v>
      </c>
      <c r="E944" s="14">
        <f>CHOOSE(CONTROL!$C$42, 84.4615, 84.4615) * CHOOSE(CONTROL!$C$21, $C$9, 100%, $E$9)</f>
        <v>84.461500000000001</v>
      </c>
      <c r="F944" s="14">
        <f>CHOOSE(CONTROL!$C$42, 84.2093, 84.2093)*CHOOSE(CONTROL!$C$21, $C$9, 100%, $E$9)</f>
        <v>84.209299999999999</v>
      </c>
      <c r="G944" s="14">
        <f>CHOOSE(CONTROL!$C$42, 84.2256, 84.2256)*CHOOSE(CONTROL!$C$21, $C$9, 100%, $E$9)</f>
        <v>84.2256</v>
      </c>
      <c r="H944" s="14">
        <f>CHOOSE(CONTROL!$C$42, 84.4501, 84.4501) * CHOOSE(CONTROL!$C$21, $C$9, 100%, $E$9)</f>
        <v>84.450100000000006</v>
      </c>
      <c r="I944" s="14">
        <f>CHOOSE(CONTROL!$C$42, 84.2362, 84.2362)* CHOOSE(CONTROL!$C$21, $C$9, 100%, $E$9)</f>
        <v>84.236199999999997</v>
      </c>
      <c r="J944" s="14">
        <f>CHOOSE(CONTROL!$C$42, 84.2023, 84.2023)* CHOOSE(CONTROL!$C$21, $C$9, 100%, $E$9)</f>
        <v>84.202299999999994</v>
      </c>
      <c r="K944" s="53">
        <f>CHOOSE(CONTROL!$C$42, 84.2323, 84.2323) * CHOOSE(CONTROL!$C$21, $C$9, 100%, $E$9)</f>
        <v>84.232299999999995</v>
      </c>
      <c r="L944" s="14">
        <f>CHOOSE(CONTROL!$C$42, 85.0371, 85.0371) * CHOOSE(CONTROL!$C$21, $C$9, 100%, $E$9)</f>
        <v>85.037099999999995</v>
      </c>
      <c r="M944" s="14">
        <f>CHOOSE(CONTROL!$C$42, 83.3664, 83.3664) * CHOOSE(CONTROL!$C$21, $C$9, 100%, $E$9)</f>
        <v>83.366399999999999</v>
      </c>
      <c r="N944" s="14">
        <f>CHOOSE(CONTROL!$C$42, 83.3825, 83.3825) * CHOOSE(CONTROL!$C$21, $C$9, 100%, $E$9)</f>
        <v>83.382499999999993</v>
      </c>
      <c r="O944" s="14">
        <f>CHOOSE(CONTROL!$C$42, 83.6117, 83.6117) * CHOOSE(CONTROL!$C$21, $C$9, 100%, $E$9)</f>
        <v>83.611699999999999</v>
      </c>
      <c r="P944" s="14">
        <f>CHOOSE(CONTROL!$C$42, 83.4, 83.4) * CHOOSE(CONTROL!$C$21, $C$9, 100%, $E$9)</f>
        <v>83.4</v>
      </c>
      <c r="Q944" s="14">
        <f>CHOOSE(CONTROL!$C$42, 84.207, 84.207) * CHOOSE(CONTROL!$C$21, $C$9, 100%, $E$9)</f>
        <v>84.206999999999994</v>
      </c>
      <c r="R944" s="14">
        <f>CHOOSE(CONTROL!$C$42, 85.0045, 85.0045) * CHOOSE(CONTROL!$C$21, $C$9, 100%, $E$9)</f>
        <v>85.004499999999993</v>
      </c>
      <c r="S944" s="14">
        <f>CHOOSE(CONTROL!$C$42, 81.7865, 81.7865) * CHOOSE(CONTROL!$C$21, $C$9, 100%, $E$9)</f>
        <v>81.786500000000004</v>
      </c>
      <c r="T94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44" s="57">
        <f>(1000*CHOOSE(CONTROL!$C$42, 695, 695)*CHOOSE(CONTROL!$C$42, 0.5599, 0.5599)*CHOOSE(CONTROL!$C$42, 31, 31))/1000000</f>
        <v>12.063045499999998</v>
      </c>
      <c r="V944" s="57">
        <f>(1000*CHOOSE(CONTROL!$C$42, 500, 500)*CHOOSE(CONTROL!$C$42, 0.275, 0.275)*CHOOSE(CONTROL!$C$42, 31, 31))/1000000</f>
        <v>4.2625000000000002</v>
      </c>
      <c r="W944" s="57">
        <f>(1000*CHOOSE(CONTROL!$C$42, 0.1146, 0.1146)*CHOOSE(CONTROL!$C$42, 121.5, 121.5)*CHOOSE(CONTROL!$C$42, 31, 31))/1000000</f>
        <v>0.43164089999999994</v>
      </c>
      <c r="X944" s="57">
        <f>(31*0.1790888*245000/1000000)+(31*0.2374*100000/1000000)</f>
        <v>2.0961194359999999</v>
      </c>
      <c r="Y944" s="57"/>
      <c r="Z944" s="14"/>
      <c r="AA944" s="56"/>
      <c r="AB944" s="50">
        <f>(B944*194.205+C944*267.466+D944*133.845+E944*53.484+F944*40+G944*185+H944*0+I944*100+J944*300)/(194.205+267.466+133.845+53.484+0+40+185+100+300)</f>
        <v>84.253232133673478</v>
      </c>
      <c r="AC944" s="45">
        <f>(M944*'RAP TEMPLATE-GAS AVAILABILITY'!O943+N944*'RAP TEMPLATE-GAS AVAILABILITY'!P943+O944*'RAP TEMPLATE-GAS AVAILABILITY'!Q943+P944*'RAP TEMPLATE-GAS AVAILABILITY'!R943)/('RAP TEMPLATE-GAS AVAILABILITY'!O943+'RAP TEMPLATE-GAS AVAILABILITY'!P943+'RAP TEMPLATE-GAS AVAILABILITY'!Q943+'RAP TEMPLATE-GAS AVAILABILITY'!R943)</f>
        <v>83.483340287769778</v>
      </c>
    </row>
    <row r="945" spans="1:29" ht="15.75" x14ac:dyDescent="0.25">
      <c r="A945" s="32">
        <v>69671</v>
      </c>
      <c r="B945" s="14">
        <f>CHOOSE(CONTROL!$C$42, 78.8775, 78.8775) * CHOOSE(CONTROL!$C$21, $C$9, 100%, $E$9)</f>
        <v>78.877499999999998</v>
      </c>
      <c r="C945" s="14">
        <f>CHOOSE(CONTROL!$C$42, 78.8855, 78.8855) * CHOOSE(CONTROL!$C$21, $C$9, 100%, $E$9)</f>
        <v>78.885499999999993</v>
      </c>
      <c r="D945" s="14">
        <f>CHOOSE(CONTROL!$C$42, 79.083, 79.083) * CHOOSE(CONTROL!$C$21, $C$9, 100%, $E$9)</f>
        <v>79.082999999999998</v>
      </c>
      <c r="E945" s="14">
        <f>CHOOSE(CONTROL!$C$42, 79.1142, 79.1142) * CHOOSE(CONTROL!$C$21, $C$9, 100%, $E$9)</f>
        <v>79.114199999999997</v>
      </c>
      <c r="F945" s="14">
        <f>CHOOSE(CONTROL!$C$42, 78.8619, 78.8619)*CHOOSE(CONTROL!$C$21, $C$9, 100%, $E$9)</f>
        <v>78.861900000000006</v>
      </c>
      <c r="G945" s="14">
        <f>CHOOSE(CONTROL!$C$42, 78.8782, 78.8782)*CHOOSE(CONTROL!$C$21, $C$9, 100%, $E$9)</f>
        <v>78.878200000000007</v>
      </c>
      <c r="H945" s="14">
        <f>CHOOSE(CONTROL!$C$42, 79.1028, 79.1028) * CHOOSE(CONTROL!$C$21, $C$9, 100%, $E$9)</f>
        <v>79.102800000000002</v>
      </c>
      <c r="I945" s="14">
        <f>CHOOSE(CONTROL!$C$42, 78.8889, 78.8889)* CHOOSE(CONTROL!$C$21, $C$9, 100%, $E$9)</f>
        <v>78.888900000000007</v>
      </c>
      <c r="J945" s="14">
        <f>CHOOSE(CONTROL!$C$42, 78.8549, 78.8549)* CHOOSE(CONTROL!$C$21, $C$9, 100%, $E$9)</f>
        <v>78.854900000000001</v>
      </c>
      <c r="K945" s="53">
        <f>CHOOSE(CONTROL!$C$42, 78.885, 78.885) * CHOOSE(CONTROL!$C$21, $C$9, 100%, $E$9)</f>
        <v>78.885000000000005</v>
      </c>
      <c r="L945" s="14">
        <f>CHOOSE(CONTROL!$C$42, 79.6898, 79.6898) * CHOOSE(CONTROL!$C$21, $C$9, 100%, $E$9)</f>
        <v>79.689800000000005</v>
      </c>
      <c r="M945" s="14">
        <f>CHOOSE(CONTROL!$C$42, 78.073, 78.073) * CHOOSE(CONTROL!$C$21, $C$9, 100%, $E$9)</f>
        <v>78.072999999999993</v>
      </c>
      <c r="N945" s="14">
        <f>CHOOSE(CONTROL!$C$42, 78.0891, 78.0891) * CHOOSE(CONTROL!$C$21, $C$9, 100%, $E$9)</f>
        <v>78.089100000000002</v>
      </c>
      <c r="O945" s="14">
        <f>CHOOSE(CONTROL!$C$42, 78.3183, 78.3183) * CHOOSE(CONTROL!$C$21, $C$9, 100%, $E$9)</f>
        <v>78.318299999999994</v>
      </c>
      <c r="P945" s="14">
        <f>CHOOSE(CONTROL!$C$42, 78.1066, 78.1066) * CHOOSE(CONTROL!$C$21, $C$9, 100%, $E$9)</f>
        <v>78.1066</v>
      </c>
      <c r="Q945" s="14">
        <f>CHOOSE(CONTROL!$C$42, 78.9136, 78.9136) * CHOOSE(CONTROL!$C$21, $C$9, 100%, $E$9)</f>
        <v>78.913600000000002</v>
      </c>
      <c r="R945" s="14">
        <f>CHOOSE(CONTROL!$C$42, 79.6979, 79.6979) * CHOOSE(CONTROL!$C$21, $C$9, 100%, $E$9)</f>
        <v>79.697900000000004</v>
      </c>
      <c r="S945" s="14">
        <f>CHOOSE(CONTROL!$C$42, 76.5937, 76.5937) * CHOOSE(CONTROL!$C$21, $C$9, 100%, $E$9)</f>
        <v>76.593699999999998</v>
      </c>
      <c r="T94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45" s="57">
        <f>(1000*CHOOSE(CONTROL!$C$42, 695, 695)*CHOOSE(CONTROL!$C$42, 0.5599, 0.5599)*CHOOSE(CONTROL!$C$42, 30, 30))/1000000</f>
        <v>11.673914999999997</v>
      </c>
      <c r="V945" s="57">
        <f>(1000*CHOOSE(CONTROL!$C$42, 500, 500)*CHOOSE(CONTROL!$C$42, 0.275, 0.275)*CHOOSE(CONTROL!$C$42, 30, 30))/1000000</f>
        <v>4.125</v>
      </c>
      <c r="W945" s="57">
        <f>(1000*CHOOSE(CONTROL!$C$42, 0.1146, 0.1146)*CHOOSE(CONTROL!$C$42, 121.5, 121.5)*CHOOSE(CONTROL!$C$42, 30, 30))/1000000</f>
        <v>0.417717</v>
      </c>
      <c r="X945" s="57">
        <f>(30*0.1790888*245000/1000000)+(30*0.2374*100000/1000000)</f>
        <v>2.0285026799999999</v>
      </c>
      <c r="Y945" s="57"/>
      <c r="Z945" s="14"/>
      <c r="AA945" s="56"/>
      <c r="AB945" s="50">
        <f>(B945*194.205+C945*267.466+D945*133.845+E945*53.484+F945*40+G945*185+H945*0+I945*100+J945*300)/(194.205+267.466+133.845+53.484+0+40+185+100+300)</f>
        <v>78.905890924882257</v>
      </c>
      <c r="AC945" s="45">
        <f>(M945*'RAP TEMPLATE-GAS AVAILABILITY'!O944+N945*'RAP TEMPLATE-GAS AVAILABILITY'!P944+O945*'RAP TEMPLATE-GAS AVAILABILITY'!Q944+P945*'RAP TEMPLATE-GAS AVAILABILITY'!R944)/('RAP TEMPLATE-GAS AVAILABILITY'!O944+'RAP TEMPLATE-GAS AVAILABILITY'!P944+'RAP TEMPLATE-GAS AVAILABILITY'!Q944+'RAP TEMPLATE-GAS AVAILABILITY'!R944)</f>
        <v>78.189940287769772</v>
      </c>
    </row>
    <row r="946" spans="1:29" ht="15.75" x14ac:dyDescent="0.25">
      <c r="A946" s="32">
        <v>69702</v>
      </c>
      <c r="B946" s="14">
        <f>CHOOSE(CONTROL!$C$42, 77.2743, 77.2743) * CHOOSE(CONTROL!$C$21, $C$9, 100%, $E$9)</f>
        <v>77.274299999999997</v>
      </c>
      <c r="C946" s="14">
        <f>CHOOSE(CONTROL!$C$42, 77.2796, 77.2796) * CHOOSE(CONTROL!$C$21, $C$9, 100%, $E$9)</f>
        <v>77.279600000000002</v>
      </c>
      <c r="D946" s="14">
        <f>CHOOSE(CONTROL!$C$42, 77.4821, 77.4821) * CHOOSE(CONTROL!$C$21, $C$9, 100%, $E$9)</f>
        <v>77.482100000000003</v>
      </c>
      <c r="E946" s="14">
        <f>CHOOSE(CONTROL!$C$42, 77.5109, 77.5109) * CHOOSE(CONTROL!$C$21, $C$9, 100%, $E$9)</f>
        <v>77.510900000000007</v>
      </c>
      <c r="F946" s="14">
        <f>CHOOSE(CONTROL!$C$42, 77.2607, 77.2607)*CHOOSE(CONTROL!$C$21, $C$9, 100%, $E$9)</f>
        <v>77.2607</v>
      </c>
      <c r="G946" s="14">
        <f>CHOOSE(CONTROL!$C$42, 77.2767, 77.2767)*CHOOSE(CONTROL!$C$21, $C$9, 100%, $E$9)</f>
        <v>77.276700000000005</v>
      </c>
      <c r="H946" s="14">
        <f>CHOOSE(CONTROL!$C$42, 77.5014, 77.5014) * CHOOSE(CONTROL!$C$21, $C$9, 100%, $E$9)</f>
        <v>77.501400000000004</v>
      </c>
      <c r="I946" s="14">
        <f>CHOOSE(CONTROL!$C$42, 77.2875, 77.2875)* CHOOSE(CONTROL!$C$21, $C$9, 100%, $E$9)</f>
        <v>77.287499999999994</v>
      </c>
      <c r="J946" s="14">
        <f>CHOOSE(CONTROL!$C$42, 77.2537, 77.2537)* CHOOSE(CONTROL!$C$21, $C$9, 100%, $E$9)</f>
        <v>77.253699999999995</v>
      </c>
      <c r="K946" s="53">
        <f>CHOOSE(CONTROL!$C$42, 77.2836, 77.2836) * CHOOSE(CONTROL!$C$21, $C$9, 100%, $E$9)</f>
        <v>77.283600000000007</v>
      </c>
      <c r="L946" s="14">
        <f>CHOOSE(CONTROL!$C$42, 78.0884, 78.0884) * CHOOSE(CONTROL!$C$21, $C$9, 100%, $E$9)</f>
        <v>78.088399999999993</v>
      </c>
      <c r="M946" s="14">
        <f>CHOOSE(CONTROL!$C$42, 76.4879, 76.4879) * CHOOSE(CONTROL!$C$21, $C$9, 100%, $E$9)</f>
        <v>76.487899999999996</v>
      </c>
      <c r="N946" s="14">
        <f>CHOOSE(CONTROL!$C$42, 76.5038, 76.5038) * CHOOSE(CONTROL!$C$21, $C$9, 100%, $E$9)</f>
        <v>76.503799999999998</v>
      </c>
      <c r="O946" s="14">
        <f>CHOOSE(CONTROL!$C$42, 76.7331, 76.7331) * CHOOSE(CONTROL!$C$21, $C$9, 100%, $E$9)</f>
        <v>76.733099999999993</v>
      </c>
      <c r="P946" s="14">
        <f>CHOOSE(CONTROL!$C$42, 76.5214, 76.5214) * CHOOSE(CONTROL!$C$21, $C$9, 100%, $E$9)</f>
        <v>76.5214</v>
      </c>
      <c r="Q946" s="14">
        <f>CHOOSE(CONTROL!$C$42, 77.3284, 77.3284) * CHOOSE(CONTROL!$C$21, $C$9, 100%, $E$9)</f>
        <v>77.328400000000002</v>
      </c>
      <c r="R946" s="14">
        <f>CHOOSE(CONTROL!$C$42, 78.1087, 78.1087) * CHOOSE(CONTROL!$C$21, $C$9, 100%, $E$9)</f>
        <v>78.108699999999999</v>
      </c>
      <c r="S946" s="14">
        <f>CHOOSE(CONTROL!$C$42, 75.0386, 75.0386) * CHOOSE(CONTROL!$C$21, $C$9, 100%, $E$9)</f>
        <v>75.038600000000002</v>
      </c>
      <c r="T94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46" s="57">
        <f>(1000*CHOOSE(CONTROL!$C$42, 695, 695)*CHOOSE(CONTROL!$C$42, 0.5599, 0.5599)*CHOOSE(CONTROL!$C$42, 31, 31))/1000000</f>
        <v>12.063045499999998</v>
      </c>
      <c r="V946" s="57">
        <f>(1000*CHOOSE(CONTROL!$C$42, 500, 500)*CHOOSE(CONTROL!$C$42, 0.275, 0.275)*CHOOSE(CONTROL!$C$42, 31, 31))/1000000</f>
        <v>4.2625000000000002</v>
      </c>
      <c r="W946" s="57">
        <f>(1000*CHOOSE(CONTROL!$C$42, 0.1146, 0.1146)*CHOOSE(CONTROL!$C$42, 121.5, 121.5)*CHOOSE(CONTROL!$C$42, 31, 31))/1000000</f>
        <v>0.43164089999999994</v>
      </c>
      <c r="X946" s="57">
        <f>(31*0.1790888*245000/1000000)+(31*0.2374*100000/1000000)</f>
        <v>2.0961194359999999</v>
      </c>
      <c r="Y946" s="57"/>
      <c r="Z946" s="14"/>
      <c r="AA946" s="56"/>
      <c r="AB946" s="50">
        <f>(B946*131.881+C946*277.167+D946*79.08+E946*125.872+F946*40+G946*185+H946*0+I946*100+J946*300)/(131.881+277.167+79.08+125.872+0+40+185+100+300)</f>
        <v>77.308781940516539</v>
      </c>
      <c r="AC946" s="45">
        <f>(M946*'RAP TEMPLATE-GAS AVAILABILITY'!O945+N946*'RAP TEMPLATE-GAS AVAILABILITY'!P945+O946*'RAP TEMPLATE-GAS AVAILABILITY'!Q945+P946*'RAP TEMPLATE-GAS AVAILABILITY'!R945)/('RAP TEMPLATE-GAS AVAILABILITY'!O945+'RAP TEMPLATE-GAS AVAILABILITY'!P945+'RAP TEMPLATE-GAS AVAILABILITY'!Q945+'RAP TEMPLATE-GAS AVAILABILITY'!R945)</f>
        <v>76.604769064748197</v>
      </c>
    </row>
    <row r="947" spans="1:29" ht="15.75" x14ac:dyDescent="0.25">
      <c r="A947" s="32">
        <v>69732</v>
      </c>
      <c r="B947" s="14">
        <f>CHOOSE(CONTROL!$C$42, 79.3096, 79.3096) * CHOOSE(CONTROL!$C$21, $C$9, 100%, $E$9)</f>
        <v>79.309600000000003</v>
      </c>
      <c r="C947" s="14">
        <f>CHOOSE(CONTROL!$C$42, 79.3146, 79.3146) * CHOOSE(CONTROL!$C$21, $C$9, 100%, $E$9)</f>
        <v>79.314599999999999</v>
      </c>
      <c r="D947" s="14">
        <f>CHOOSE(CONTROL!$C$42, 79.3776, 79.3776) * CHOOSE(CONTROL!$C$21, $C$9, 100%, $E$9)</f>
        <v>79.377600000000001</v>
      </c>
      <c r="E947" s="14">
        <f>CHOOSE(CONTROL!$C$42, 79.4114, 79.4114) * CHOOSE(CONTROL!$C$21, $C$9, 100%, $E$9)</f>
        <v>79.4114</v>
      </c>
      <c r="F947" s="14">
        <f>CHOOSE(CONTROL!$C$42, 79.3103, 79.3103)*CHOOSE(CONTROL!$C$21, $C$9, 100%, $E$9)</f>
        <v>79.310299999999998</v>
      </c>
      <c r="G947" s="14">
        <f>CHOOSE(CONTROL!$C$42, 79.3266, 79.3266)*CHOOSE(CONTROL!$C$21, $C$9, 100%, $E$9)</f>
        <v>79.326599999999999</v>
      </c>
      <c r="H947" s="14">
        <f>CHOOSE(CONTROL!$C$42, 79.4006, 79.4006) * CHOOSE(CONTROL!$C$21, $C$9, 100%, $E$9)</f>
        <v>79.400599999999997</v>
      </c>
      <c r="I947" s="14">
        <f>CHOOSE(CONTROL!$C$42, 79.3232, 79.3232)* CHOOSE(CONTROL!$C$21, $C$9, 100%, $E$9)</f>
        <v>79.3232</v>
      </c>
      <c r="J947" s="14">
        <f>CHOOSE(CONTROL!$C$42, 79.3033, 79.3033)* CHOOSE(CONTROL!$C$21, $C$9, 100%, $E$9)</f>
        <v>79.303299999999993</v>
      </c>
      <c r="K947" s="53">
        <f>CHOOSE(CONTROL!$C$42, 79.3193, 79.3193) * CHOOSE(CONTROL!$C$21, $C$9, 100%, $E$9)</f>
        <v>79.319299999999998</v>
      </c>
      <c r="L947" s="14">
        <f>CHOOSE(CONTROL!$C$42, 79.9876, 79.9876) * CHOOSE(CONTROL!$C$21, $C$9, 100%, $E$9)</f>
        <v>79.9876</v>
      </c>
      <c r="M947" s="14">
        <f>CHOOSE(CONTROL!$C$42, 78.5168, 78.5168) * CHOOSE(CONTROL!$C$21, $C$9, 100%, $E$9)</f>
        <v>78.516800000000003</v>
      </c>
      <c r="N947" s="14">
        <f>CHOOSE(CONTROL!$C$42, 78.533, 78.533) * CHOOSE(CONTROL!$C$21, $C$9, 100%, $E$9)</f>
        <v>78.533000000000001</v>
      </c>
      <c r="O947" s="14">
        <f>CHOOSE(CONTROL!$C$42, 78.6132, 78.6132) * CHOOSE(CONTROL!$C$21, $C$9, 100%, $E$9)</f>
        <v>78.613200000000006</v>
      </c>
      <c r="P947" s="14">
        <f>CHOOSE(CONTROL!$C$42, 78.5365, 78.5365) * CHOOSE(CONTROL!$C$21, $C$9, 100%, $E$9)</f>
        <v>78.536500000000004</v>
      </c>
      <c r="Q947" s="14">
        <f>CHOOSE(CONTROL!$C$42, 79.2085, 79.2085) * CHOOSE(CONTROL!$C$21, $C$9, 100%, $E$9)</f>
        <v>79.208500000000001</v>
      </c>
      <c r="R947" s="14">
        <f>CHOOSE(CONTROL!$C$42, 79.9935, 79.9935) * CHOOSE(CONTROL!$C$21, $C$9, 100%, $E$9)</f>
        <v>79.993499999999997</v>
      </c>
      <c r="S947" s="14">
        <f>CHOOSE(CONTROL!$C$42, 77.0154, 77.0154) * CHOOSE(CONTROL!$C$21, $C$9, 100%, $E$9)</f>
        <v>77.0154</v>
      </c>
      <c r="T94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47" s="57">
        <f>(1000*CHOOSE(CONTROL!$C$42, 695, 695)*CHOOSE(CONTROL!$C$42, 0.5599, 0.5599)*CHOOSE(CONTROL!$C$42, 30, 30))/1000000</f>
        <v>11.673914999999997</v>
      </c>
      <c r="V947" s="57">
        <f>(1000*CHOOSE(CONTROL!$C$42, 500, 500)*CHOOSE(CONTROL!$C$42, 0.275, 0.275)*CHOOSE(CONTROL!$C$42, 30, 30))/1000000</f>
        <v>4.125</v>
      </c>
      <c r="W947" s="57">
        <f>(1000*CHOOSE(CONTROL!$C$42, 0.1146, 0.1146)*CHOOSE(CONTROL!$C$42, 121.5, 121.5)*CHOOSE(CONTROL!$C$42, 30, 30))/1000000</f>
        <v>0.417717</v>
      </c>
      <c r="X947" s="57">
        <f>(30*0.1790888*100000/1000000)+(30*0.2374*100000/1000000)</f>
        <v>1.2494664</v>
      </c>
      <c r="Y947" s="57"/>
      <c r="Z947" s="14"/>
      <c r="AA947" s="56"/>
      <c r="AB947" s="50">
        <f>(B947*122.58+C947*297.941+D947*89.177+E947*40.302+F947*40+G947*160+H947*0+I947*100+J947*300)/(122.58+297.941+89.177+40.302+0+40+160+100+300)</f>
        <v>79.321664769217378</v>
      </c>
      <c r="AC947" s="45">
        <f>(M947*'RAP TEMPLATE-GAS AVAILABILITY'!O946+N947*'RAP TEMPLATE-GAS AVAILABILITY'!P946+O947*'RAP TEMPLATE-GAS AVAILABILITY'!Q946+P947*'RAP TEMPLATE-GAS AVAILABILITY'!R946)/('RAP TEMPLATE-GAS AVAILABILITY'!O946+'RAP TEMPLATE-GAS AVAILABILITY'!P946+'RAP TEMPLATE-GAS AVAILABILITY'!Q946+'RAP TEMPLATE-GAS AVAILABILITY'!R946)</f>
        <v>78.564258992805762</v>
      </c>
    </row>
    <row r="948" spans="1:29" ht="15.75" x14ac:dyDescent="0.25">
      <c r="A948" s="32">
        <v>69763</v>
      </c>
      <c r="B948" s="14">
        <f>CHOOSE(CONTROL!$C$42, 84.7167, 84.7167) * CHOOSE(CONTROL!$C$21, $C$9, 100%, $E$9)</f>
        <v>84.716700000000003</v>
      </c>
      <c r="C948" s="14">
        <f>CHOOSE(CONTROL!$C$42, 84.7217, 84.7217) * CHOOSE(CONTROL!$C$21, $C$9, 100%, $E$9)</f>
        <v>84.721699999999998</v>
      </c>
      <c r="D948" s="14">
        <f>CHOOSE(CONTROL!$C$42, 84.7847, 84.7847) * CHOOSE(CONTROL!$C$21, $C$9, 100%, $E$9)</f>
        <v>84.784700000000001</v>
      </c>
      <c r="E948" s="14">
        <f>CHOOSE(CONTROL!$C$42, 84.8185, 84.8185) * CHOOSE(CONTROL!$C$21, $C$9, 100%, $E$9)</f>
        <v>84.8185</v>
      </c>
      <c r="F948" s="14">
        <f>CHOOSE(CONTROL!$C$42, 84.7195, 84.7195)*CHOOSE(CONTROL!$C$21, $C$9, 100%, $E$9)</f>
        <v>84.719499999999996</v>
      </c>
      <c r="G948" s="14">
        <f>CHOOSE(CONTROL!$C$42, 84.7363, 84.7363)*CHOOSE(CONTROL!$C$21, $C$9, 100%, $E$9)</f>
        <v>84.7363</v>
      </c>
      <c r="H948" s="14">
        <f>CHOOSE(CONTROL!$C$42, 84.8077, 84.8077) * CHOOSE(CONTROL!$C$21, $C$9, 100%, $E$9)</f>
        <v>84.807699999999997</v>
      </c>
      <c r="I948" s="14">
        <f>CHOOSE(CONTROL!$C$42, 84.7303, 84.7303)* CHOOSE(CONTROL!$C$21, $C$9, 100%, $E$9)</f>
        <v>84.7303</v>
      </c>
      <c r="J948" s="14">
        <f>CHOOSE(CONTROL!$C$42, 84.7125, 84.7125)* CHOOSE(CONTROL!$C$21, $C$9, 100%, $E$9)</f>
        <v>84.712500000000006</v>
      </c>
      <c r="K948" s="53">
        <f>CHOOSE(CONTROL!$C$42, 84.7264, 84.7264) * CHOOSE(CONTROL!$C$21, $C$9, 100%, $E$9)</f>
        <v>84.726399999999998</v>
      </c>
      <c r="L948" s="14">
        <f>CHOOSE(CONTROL!$C$42, 85.3947, 85.3947) * CHOOSE(CONTROL!$C$21, $C$9, 100%, $E$9)</f>
        <v>85.3947</v>
      </c>
      <c r="M948" s="14">
        <f>CHOOSE(CONTROL!$C$42, 83.8714, 83.8714) * CHOOSE(CONTROL!$C$21, $C$9, 100%, $E$9)</f>
        <v>83.871399999999994</v>
      </c>
      <c r="N948" s="14">
        <f>CHOOSE(CONTROL!$C$42, 83.888, 83.888) * CHOOSE(CONTROL!$C$21, $C$9, 100%, $E$9)</f>
        <v>83.888000000000005</v>
      </c>
      <c r="O948" s="14">
        <f>CHOOSE(CONTROL!$C$42, 83.9657, 83.9657) * CHOOSE(CONTROL!$C$21, $C$9, 100%, $E$9)</f>
        <v>83.965699999999998</v>
      </c>
      <c r="P948" s="14">
        <f>CHOOSE(CONTROL!$C$42, 83.889, 83.889) * CHOOSE(CONTROL!$C$21, $C$9, 100%, $E$9)</f>
        <v>83.888999999999996</v>
      </c>
      <c r="Q948" s="14">
        <f>CHOOSE(CONTROL!$C$42, 84.561, 84.561) * CHOOSE(CONTROL!$C$21, $C$9, 100%, $E$9)</f>
        <v>84.561000000000007</v>
      </c>
      <c r="R948" s="14">
        <f>CHOOSE(CONTROL!$C$42, 85.3594, 85.3594) * CHOOSE(CONTROL!$C$21, $C$9, 100%, $E$9)</f>
        <v>85.359399999999994</v>
      </c>
      <c r="S948" s="14">
        <f>CHOOSE(CONTROL!$C$42, 82.2663, 82.2663) * CHOOSE(CONTROL!$C$21, $C$9, 100%, $E$9)</f>
        <v>82.266300000000001</v>
      </c>
      <c r="T94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48" s="57">
        <f>(1000*CHOOSE(CONTROL!$C$42, 695, 695)*CHOOSE(CONTROL!$C$42, 0.5599, 0.5599)*CHOOSE(CONTROL!$C$42, 31, 31))/1000000</f>
        <v>12.063045499999998</v>
      </c>
      <c r="V948" s="57">
        <f>(1000*CHOOSE(CONTROL!$C$42, 500, 500)*CHOOSE(CONTROL!$C$42, 0.275, 0.275)*CHOOSE(CONTROL!$C$42, 31, 31))/1000000</f>
        <v>4.2625000000000002</v>
      </c>
      <c r="W948" s="57">
        <f>(1000*CHOOSE(CONTROL!$C$42, 0.1146, 0.1146)*CHOOSE(CONTROL!$C$42, 121.5, 121.5)*CHOOSE(CONTROL!$C$42, 31, 31))/1000000</f>
        <v>0.43164089999999994</v>
      </c>
      <c r="X948" s="57">
        <f>(31*0.1790888*100000/1000000)+(31*0.2374*100000/1000000)</f>
        <v>1.2911152800000001</v>
      </c>
      <c r="Y948" s="57"/>
      <c r="Z948" s="14"/>
      <c r="AA948" s="56"/>
      <c r="AB948" s="50">
        <f>(B948*122.58+C948*297.941+D948*89.177+E948*40.302+F948*40+G948*160+H948*0+I948*100+J948*300)/(122.58+297.941+89.177+40.302+0+40+160+100+300)</f>
        <v>84.729747377913043</v>
      </c>
      <c r="AC948" s="45">
        <f>(M948*'RAP TEMPLATE-GAS AVAILABILITY'!O947+N948*'RAP TEMPLATE-GAS AVAILABILITY'!P947+O948*'RAP TEMPLATE-GAS AVAILABILITY'!Q947+P948*'RAP TEMPLATE-GAS AVAILABILITY'!R947)/('RAP TEMPLATE-GAS AVAILABILITY'!O947+'RAP TEMPLATE-GAS AVAILABILITY'!P947+'RAP TEMPLATE-GAS AVAILABILITY'!Q947+'RAP TEMPLATE-GAS AVAILABILITY'!R947)</f>
        <v>83.917628057553955</v>
      </c>
    </row>
    <row r="949" spans="1:29" ht="15.75" x14ac:dyDescent="0.25">
      <c r="A949" s="32">
        <v>69794</v>
      </c>
      <c r="B949" s="14">
        <f>CHOOSE(CONTROL!$C$42, 91.6579, 91.6579) * CHOOSE(CONTROL!$C$21, $C$9, 100%, $E$9)</f>
        <v>91.657899999999998</v>
      </c>
      <c r="C949" s="14">
        <f>CHOOSE(CONTROL!$C$42, 91.6629, 91.6629) * CHOOSE(CONTROL!$C$21, $C$9, 100%, $E$9)</f>
        <v>91.662899999999993</v>
      </c>
      <c r="D949" s="14">
        <f>CHOOSE(CONTROL!$C$42, 91.7271, 91.7271) * CHOOSE(CONTROL!$C$21, $C$9, 100%, $E$9)</f>
        <v>91.727099999999993</v>
      </c>
      <c r="E949" s="14">
        <f>CHOOSE(CONTROL!$C$42, 91.7609, 91.7609) * CHOOSE(CONTROL!$C$21, $C$9, 100%, $E$9)</f>
        <v>91.760900000000007</v>
      </c>
      <c r="F949" s="14">
        <f>CHOOSE(CONTROL!$C$42, 91.6594, 91.6594)*CHOOSE(CONTROL!$C$21, $C$9, 100%, $E$9)</f>
        <v>91.659400000000005</v>
      </c>
      <c r="G949" s="14">
        <f>CHOOSE(CONTROL!$C$42, 91.6753, 91.6753)*CHOOSE(CONTROL!$C$21, $C$9, 100%, $E$9)</f>
        <v>91.675299999999993</v>
      </c>
      <c r="H949" s="14">
        <f>CHOOSE(CONTROL!$C$42, 91.7501, 91.7501) * CHOOSE(CONTROL!$C$21, $C$9, 100%, $E$9)</f>
        <v>91.750100000000003</v>
      </c>
      <c r="I949" s="14">
        <f>CHOOSE(CONTROL!$C$42, 91.6779, 91.6779)* CHOOSE(CONTROL!$C$21, $C$9, 100%, $E$9)</f>
        <v>91.677899999999994</v>
      </c>
      <c r="J949" s="14">
        <f>CHOOSE(CONTROL!$C$42, 91.6524, 91.6524)* CHOOSE(CONTROL!$C$21, $C$9, 100%, $E$9)</f>
        <v>91.6524</v>
      </c>
      <c r="K949" s="53">
        <f>CHOOSE(CONTROL!$C$42, 91.674, 91.674) * CHOOSE(CONTROL!$C$21, $C$9, 100%, $E$9)</f>
        <v>91.674000000000007</v>
      </c>
      <c r="L949" s="14">
        <f>CHOOSE(CONTROL!$C$42, 92.3371, 92.3371) * CHOOSE(CONTROL!$C$21, $C$9, 100%, $E$9)</f>
        <v>92.337100000000007</v>
      </c>
      <c r="M949" s="14">
        <f>CHOOSE(CONTROL!$C$42, 90.7413, 90.7413) * CHOOSE(CONTROL!$C$21, $C$9, 100%, $E$9)</f>
        <v>90.741299999999995</v>
      </c>
      <c r="N949" s="14">
        <f>CHOOSE(CONTROL!$C$42, 90.7571, 90.7571) * CHOOSE(CONTROL!$C$21, $C$9, 100%, $E$9)</f>
        <v>90.757099999999994</v>
      </c>
      <c r="O949" s="14">
        <f>CHOOSE(CONTROL!$C$42, 90.838, 90.838) * CHOOSE(CONTROL!$C$21, $C$9, 100%, $E$9)</f>
        <v>90.837999999999994</v>
      </c>
      <c r="P949" s="14">
        <f>CHOOSE(CONTROL!$C$42, 90.7666, 90.7666) * CHOOSE(CONTROL!$C$21, $C$9, 100%, $E$9)</f>
        <v>90.766599999999997</v>
      </c>
      <c r="Q949" s="14">
        <f>CHOOSE(CONTROL!$C$42, 91.4333, 91.4333) * CHOOSE(CONTROL!$C$21, $C$9, 100%, $E$9)</f>
        <v>91.433300000000003</v>
      </c>
      <c r="R949" s="14">
        <f>CHOOSE(CONTROL!$C$42, 92.2489, 92.2489) * CHOOSE(CONTROL!$C$21, $C$9, 100%, $E$9)</f>
        <v>92.248900000000006</v>
      </c>
      <c r="S949" s="14">
        <f>CHOOSE(CONTROL!$C$42, 89.0069, 89.0069) * CHOOSE(CONTROL!$C$21, $C$9, 100%, $E$9)</f>
        <v>89.006900000000002</v>
      </c>
      <c r="T94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49" s="57">
        <f>(1000*CHOOSE(CONTROL!$C$42, 695, 695)*CHOOSE(CONTROL!$C$42, 0.5599, 0.5599)*CHOOSE(CONTROL!$C$42, 31, 31))/1000000</f>
        <v>12.063045499999998</v>
      </c>
      <c r="V949" s="57">
        <f>(1000*CHOOSE(CONTROL!$C$42, 500, 500)*CHOOSE(CONTROL!$C$42, 0.275, 0.275)*CHOOSE(CONTROL!$C$42, 31, 31))/1000000</f>
        <v>4.2625000000000002</v>
      </c>
      <c r="W949" s="57">
        <f>(1000*CHOOSE(CONTROL!$C$42, 0.1146, 0.1146)*CHOOSE(CONTROL!$C$42, 121.5, 121.5)*CHOOSE(CONTROL!$C$42, 31, 31))/1000000</f>
        <v>0.43164089999999994</v>
      </c>
      <c r="X949" s="57">
        <f>(31*0.1790888*100000/1000000)+(31*0.2374*100000/1000000)</f>
        <v>1.2911152800000001</v>
      </c>
      <c r="Y949" s="57"/>
      <c r="Z949" s="14"/>
      <c r="AA949" s="56"/>
      <c r="AB949" s="50">
        <f>(B949*122.58+C949*297.941+D949*89.177+E949*40.302+F949*40+G949*160+H949*0+I949*100+J949*300)/(122.58+297.941+89.177+40.302+0+40+160+100+300)</f>
        <v>91.6709485733913</v>
      </c>
      <c r="AC949" s="45">
        <f>(M949*'RAP TEMPLATE-GAS AVAILABILITY'!O948+N949*'RAP TEMPLATE-GAS AVAILABILITY'!P948+O949*'RAP TEMPLATE-GAS AVAILABILITY'!Q948+P949*'RAP TEMPLATE-GAS AVAILABILITY'!R948)/('RAP TEMPLATE-GAS AVAILABILITY'!O948+'RAP TEMPLATE-GAS AVAILABILITY'!P948+'RAP TEMPLATE-GAS AVAILABILITY'!Q948+'RAP TEMPLATE-GAS AVAILABILITY'!R948)</f>
        <v>90.789677697841725</v>
      </c>
    </row>
    <row r="950" spans="1:29" ht="15.75" x14ac:dyDescent="0.25">
      <c r="A950" s="32">
        <v>69822</v>
      </c>
      <c r="B950" s="14">
        <f>CHOOSE(CONTROL!$C$42, 93.2895, 93.2895) * CHOOSE(CONTROL!$C$21, $C$9, 100%, $E$9)</f>
        <v>93.289500000000004</v>
      </c>
      <c r="C950" s="14">
        <f>CHOOSE(CONTROL!$C$42, 93.2944, 93.2944) * CHOOSE(CONTROL!$C$21, $C$9, 100%, $E$9)</f>
        <v>93.294399999999996</v>
      </c>
      <c r="D950" s="14">
        <f>CHOOSE(CONTROL!$C$42, 93.3587, 93.3587) * CHOOSE(CONTROL!$C$21, $C$9, 100%, $E$9)</f>
        <v>93.358699999999999</v>
      </c>
      <c r="E950" s="14">
        <f>CHOOSE(CONTROL!$C$42, 93.3925, 93.3925) * CHOOSE(CONTROL!$C$21, $C$9, 100%, $E$9)</f>
        <v>93.392499999999998</v>
      </c>
      <c r="F950" s="14">
        <f>CHOOSE(CONTROL!$C$42, 93.2911, 93.2911)*CHOOSE(CONTROL!$C$21, $C$9, 100%, $E$9)</f>
        <v>93.2911</v>
      </c>
      <c r="G950" s="14">
        <f>CHOOSE(CONTROL!$C$42, 93.307, 93.307)*CHOOSE(CONTROL!$C$21, $C$9, 100%, $E$9)</f>
        <v>93.307000000000002</v>
      </c>
      <c r="H950" s="14">
        <f>CHOOSE(CONTROL!$C$42, 93.3817, 93.3817) * CHOOSE(CONTROL!$C$21, $C$9, 100%, $E$9)</f>
        <v>93.381699999999995</v>
      </c>
      <c r="I950" s="14">
        <f>CHOOSE(CONTROL!$C$42, 93.3095, 93.3095)* CHOOSE(CONTROL!$C$21, $C$9, 100%, $E$9)</f>
        <v>93.3095</v>
      </c>
      <c r="J950" s="14">
        <f>CHOOSE(CONTROL!$C$42, 93.2841, 93.2841)* CHOOSE(CONTROL!$C$21, $C$9, 100%, $E$9)</f>
        <v>93.284099999999995</v>
      </c>
      <c r="K950" s="53">
        <f>CHOOSE(CONTROL!$C$42, 93.3056, 93.3056) * CHOOSE(CONTROL!$C$21, $C$9, 100%, $E$9)</f>
        <v>93.305599999999998</v>
      </c>
      <c r="L950" s="14">
        <f>CHOOSE(CONTROL!$C$42, 93.9687, 93.9687) * CHOOSE(CONTROL!$C$21, $C$9, 100%, $E$9)</f>
        <v>93.968699999999998</v>
      </c>
      <c r="M950" s="14">
        <f>CHOOSE(CONTROL!$C$42, 92.3565, 92.3565) * CHOOSE(CONTROL!$C$21, $C$9, 100%, $E$9)</f>
        <v>92.356499999999997</v>
      </c>
      <c r="N950" s="14">
        <f>CHOOSE(CONTROL!$C$42, 92.3723, 92.3723) * CHOOSE(CONTROL!$C$21, $C$9, 100%, $E$9)</f>
        <v>92.372299999999996</v>
      </c>
      <c r="O950" s="14">
        <f>CHOOSE(CONTROL!$C$42, 92.4531, 92.4531) * CHOOSE(CONTROL!$C$21, $C$9, 100%, $E$9)</f>
        <v>92.453100000000006</v>
      </c>
      <c r="P950" s="14">
        <f>CHOOSE(CONTROL!$C$42, 92.3817, 92.3817) * CHOOSE(CONTROL!$C$21, $C$9, 100%, $E$9)</f>
        <v>92.381699999999995</v>
      </c>
      <c r="Q950" s="14">
        <f>CHOOSE(CONTROL!$C$42, 93.0484, 93.0484) * CHOOSE(CONTROL!$C$21, $C$9, 100%, $E$9)</f>
        <v>93.048400000000001</v>
      </c>
      <c r="R950" s="14">
        <f>CHOOSE(CONTROL!$C$42, 93.8681, 93.8681) * CHOOSE(CONTROL!$C$21, $C$9, 100%, $E$9)</f>
        <v>93.868099999999998</v>
      </c>
      <c r="S950" s="14">
        <f>CHOOSE(CONTROL!$C$42, 90.5913, 90.5913) * CHOOSE(CONTROL!$C$21, $C$9, 100%, $E$9)</f>
        <v>90.591300000000004</v>
      </c>
      <c r="T950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50" s="57">
        <f>(1000*CHOOSE(CONTROL!$C$42, 695, 695)*CHOOSE(CONTROL!$C$42, 0.5599, 0.5599)*CHOOSE(CONTROL!$C$42, 28, 28))/1000000</f>
        <v>10.895653999999999</v>
      </c>
      <c r="V950" s="57">
        <f>(1000*CHOOSE(CONTROL!$C$42, 500, 500)*CHOOSE(CONTROL!$C$42, 0.275, 0.275)*CHOOSE(CONTROL!$C$42, 28, 28))/1000000</f>
        <v>3.85</v>
      </c>
      <c r="W950" s="57">
        <f>(1000*CHOOSE(CONTROL!$C$42, 0.1146, 0.1146)*CHOOSE(CONTROL!$C$42, 121.5, 121.5)*CHOOSE(CONTROL!$C$42, 28, 28))/1000000</f>
        <v>0.38986920000000003</v>
      </c>
      <c r="X950" s="57">
        <f>(28*0.1790888*100000/1000000)+(28*0.2374*100000/1000000)</f>
        <v>1.16616864</v>
      </c>
      <c r="Y950" s="57"/>
      <c r="Z950" s="14"/>
      <c r="AA950" s="56"/>
      <c r="AB950" s="50">
        <f>(B950*122.58+C950*297.941+D950*89.177+E950*40.302+F950*40+G950*160+H950*0+I950*100+J950*300)/(122.58+297.941+89.177+40.302+0+40+160+100+300)</f>
        <v>93.302566143739128</v>
      </c>
      <c r="AC950" s="45">
        <f>(M950*'RAP TEMPLATE-GAS AVAILABILITY'!O949+N950*'RAP TEMPLATE-GAS AVAILABILITY'!P949+O950*'RAP TEMPLATE-GAS AVAILABILITY'!Q949+P950*'RAP TEMPLATE-GAS AVAILABILITY'!R949)/('RAP TEMPLATE-GAS AVAILABILITY'!O949+'RAP TEMPLATE-GAS AVAILABILITY'!P949+'RAP TEMPLATE-GAS AVAILABILITY'!Q949+'RAP TEMPLATE-GAS AVAILABILITY'!R949)</f>
        <v>92.404817985611501</v>
      </c>
    </row>
    <row r="951" spans="1:29" ht="15.75" x14ac:dyDescent="0.25">
      <c r="A951" s="32">
        <v>69853</v>
      </c>
      <c r="B951" s="14">
        <f>CHOOSE(CONTROL!$C$42, 90.641, 90.641) * CHOOSE(CONTROL!$C$21, $C$9, 100%, $E$9)</f>
        <v>90.641000000000005</v>
      </c>
      <c r="C951" s="14">
        <f>CHOOSE(CONTROL!$C$42, 90.646, 90.646) * CHOOSE(CONTROL!$C$21, $C$9, 100%, $E$9)</f>
        <v>90.646000000000001</v>
      </c>
      <c r="D951" s="14">
        <f>CHOOSE(CONTROL!$C$42, 90.7103, 90.7103) * CHOOSE(CONTROL!$C$21, $C$9, 100%, $E$9)</f>
        <v>90.710300000000004</v>
      </c>
      <c r="E951" s="14">
        <f>CHOOSE(CONTROL!$C$42, 90.744, 90.744) * CHOOSE(CONTROL!$C$21, $C$9, 100%, $E$9)</f>
        <v>90.744</v>
      </c>
      <c r="F951" s="14">
        <f>CHOOSE(CONTROL!$C$42, 90.6423, 90.6423)*CHOOSE(CONTROL!$C$21, $C$9, 100%, $E$9)</f>
        <v>90.642300000000006</v>
      </c>
      <c r="G951" s="14">
        <f>CHOOSE(CONTROL!$C$42, 90.6581, 90.6581)*CHOOSE(CONTROL!$C$21, $C$9, 100%, $E$9)</f>
        <v>90.658100000000005</v>
      </c>
      <c r="H951" s="14">
        <f>CHOOSE(CONTROL!$C$42, 90.7332, 90.7332) * CHOOSE(CONTROL!$C$21, $C$9, 100%, $E$9)</f>
        <v>90.733199999999997</v>
      </c>
      <c r="I951" s="14">
        <f>CHOOSE(CONTROL!$C$42, 90.661, 90.661)* CHOOSE(CONTROL!$C$21, $C$9, 100%, $E$9)</f>
        <v>90.661000000000001</v>
      </c>
      <c r="J951" s="14">
        <f>CHOOSE(CONTROL!$C$42, 90.6353, 90.6353)* CHOOSE(CONTROL!$C$21, $C$9, 100%, $E$9)</f>
        <v>90.635300000000001</v>
      </c>
      <c r="K951" s="53">
        <f>CHOOSE(CONTROL!$C$42, 90.6571, 90.6571) * CHOOSE(CONTROL!$C$21, $C$9, 100%, $E$9)</f>
        <v>90.6571</v>
      </c>
      <c r="L951" s="14">
        <f>CHOOSE(CONTROL!$C$42, 91.3202, 91.3202) * CHOOSE(CONTROL!$C$21, $C$9, 100%, $E$9)</f>
        <v>91.3202</v>
      </c>
      <c r="M951" s="14">
        <f>CHOOSE(CONTROL!$C$42, 89.7344, 89.7344) * CHOOSE(CONTROL!$C$21, $C$9, 100%, $E$9)</f>
        <v>89.734399999999994</v>
      </c>
      <c r="N951" s="14">
        <f>CHOOSE(CONTROL!$C$42, 89.7501, 89.7501) * CHOOSE(CONTROL!$C$21, $C$9, 100%, $E$9)</f>
        <v>89.750100000000003</v>
      </c>
      <c r="O951" s="14">
        <f>CHOOSE(CONTROL!$C$42, 89.8314, 89.8314) * CHOOSE(CONTROL!$C$21, $C$9, 100%, $E$9)</f>
        <v>89.831400000000002</v>
      </c>
      <c r="P951" s="14">
        <f>CHOOSE(CONTROL!$C$42, 89.7599, 89.7599) * CHOOSE(CONTROL!$C$21, $C$9, 100%, $E$9)</f>
        <v>89.759900000000002</v>
      </c>
      <c r="Q951" s="14">
        <f>CHOOSE(CONTROL!$C$42, 90.4267, 90.4267) * CHOOSE(CONTROL!$C$21, $C$9, 100%, $E$9)</f>
        <v>90.426699999999997</v>
      </c>
      <c r="R951" s="14">
        <f>CHOOSE(CONTROL!$C$42, 91.2398, 91.2398) * CHOOSE(CONTROL!$C$21, $C$9, 100%, $E$9)</f>
        <v>91.239800000000002</v>
      </c>
      <c r="S951" s="14">
        <f>CHOOSE(CONTROL!$C$42, 88.0194, 88.0194) * CHOOSE(CONTROL!$C$21, $C$9, 100%, $E$9)</f>
        <v>88.019400000000005</v>
      </c>
      <c r="T95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51" s="57">
        <f>(1000*CHOOSE(CONTROL!$C$42, 695, 695)*CHOOSE(CONTROL!$C$42, 0.5599, 0.5599)*CHOOSE(CONTROL!$C$42, 31, 31))/1000000</f>
        <v>12.063045499999998</v>
      </c>
      <c r="V951" s="57">
        <f>(1000*CHOOSE(CONTROL!$C$42, 500, 500)*CHOOSE(CONTROL!$C$42, 0.275, 0.275)*CHOOSE(CONTROL!$C$42, 31, 31))/1000000</f>
        <v>4.2625000000000002</v>
      </c>
      <c r="W951" s="57">
        <f>(1000*CHOOSE(CONTROL!$C$42, 0.1146, 0.1146)*CHOOSE(CONTROL!$C$42, 121.5, 121.5)*CHOOSE(CONTROL!$C$42, 31, 31))/1000000</f>
        <v>0.43164089999999994</v>
      </c>
      <c r="X951" s="57">
        <f>(31*0.1790888*100000/1000000)+(31*0.2374*100000/1000000)</f>
        <v>1.2911152800000001</v>
      </c>
      <c r="Y951" s="57"/>
      <c r="Z951" s="14"/>
      <c r="AA951" s="56"/>
      <c r="AB951" s="50">
        <f>(B951*122.58+C951*297.941+D951*89.177+E951*40.302+F951*40+G951*160+H951*0+I951*100+J951*300)/(122.58+297.941+89.177+40.302+0+40+160+100+300)</f>
        <v>90.653955458347824</v>
      </c>
      <c r="AC951" s="45">
        <f>(M951*'RAP TEMPLATE-GAS AVAILABILITY'!O950+N951*'RAP TEMPLATE-GAS AVAILABILITY'!P950+O951*'RAP TEMPLATE-GAS AVAILABILITY'!Q950+P951*'RAP TEMPLATE-GAS AVAILABILITY'!R950)/('RAP TEMPLATE-GAS AVAILABILITY'!O950+'RAP TEMPLATE-GAS AVAILABILITY'!P950+'RAP TEMPLATE-GAS AVAILABILITY'!Q950+'RAP TEMPLATE-GAS AVAILABILITY'!R950)</f>
        <v>89.782936690647475</v>
      </c>
    </row>
    <row r="952" spans="1:29" ht="15.75" x14ac:dyDescent="0.25">
      <c r="A952" s="32">
        <v>69883</v>
      </c>
      <c r="B952" s="14">
        <f>CHOOSE(CONTROL!$C$42, 90.3708, 90.3708) * CHOOSE(CONTROL!$C$21, $C$9, 100%, $E$9)</f>
        <v>90.370800000000003</v>
      </c>
      <c r="C952" s="14">
        <f>CHOOSE(CONTROL!$C$42, 90.3752, 90.3752) * CHOOSE(CONTROL!$C$21, $C$9, 100%, $E$9)</f>
        <v>90.375200000000007</v>
      </c>
      <c r="D952" s="14">
        <f>CHOOSE(CONTROL!$C$42, 90.5759, 90.5759) * CHOOSE(CONTROL!$C$21, $C$9, 100%, $E$9)</f>
        <v>90.575900000000004</v>
      </c>
      <c r="E952" s="14">
        <f>CHOOSE(CONTROL!$C$42, 90.6077, 90.6077) * CHOOSE(CONTROL!$C$21, $C$9, 100%, $E$9)</f>
        <v>90.607699999999994</v>
      </c>
      <c r="F952" s="14">
        <f>CHOOSE(CONTROL!$C$42, 90.3554, 90.3554)*CHOOSE(CONTROL!$C$21, $C$9, 100%, $E$9)</f>
        <v>90.355400000000003</v>
      </c>
      <c r="G952" s="14">
        <f>CHOOSE(CONTROL!$C$42, 90.371, 90.371)*CHOOSE(CONTROL!$C$21, $C$9, 100%, $E$9)</f>
        <v>90.370999999999995</v>
      </c>
      <c r="H952" s="14">
        <f>CHOOSE(CONTROL!$C$42, 90.5975, 90.5975) * CHOOSE(CONTROL!$C$21, $C$9, 100%, $E$9)</f>
        <v>90.597499999999997</v>
      </c>
      <c r="I952" s="14">
        <f>CHOOSE(CONTROL!$C$42, 90.3836, 90.3836)* CHOOSE(CONTROL!$C$21, $C$9, 100%, $E$9)</f>
        <v>90.383600000000001</v>
      </c>
      <c r="J952" s="14">
        <f>CHOOSE(CONTROL!$C$42, 90.3484, 90.3484)* CHOOSE(CONTROL!$C$21, $C$9, 100%, $E$9)</f>
        <v>90.348399999999998</v>
      </c>
      <c r="K952" s="53">
        <f>CHOOSE(CONTROL!$C$42, 90.3797, 90.3797) * CHOOSE(CONTROL!$C$21, $C$9, 100%, $E$9)</f>
        <v>90.3797</v>
      </c>
      <c r="L952" s="14">
        <f>CHOOSE(CONTROL!$C$42, 91.1845, 91.1845) * CHOOSE(CONTROL!$C$21, $C$9, 100%, $E$9)</f>
        <v>91.1845</v>
      </c>
      <c r="M952" s="14">
        <f>CHOOSE(CONTROL!$C$42, 89.4504, 89.4504) * CHOOSE(CONTROL!$C$21, $C$9, 100%, $E$9)</f>
        <v>89.450400000000002</v>
      </c>
      <c r="N952" s="14">
        <f>CHOOSE(CONTROL!$C$42, 89.4659, 89.4659) * CHOOSE(CONTROL!$C$21, $C$9, 100%, $E$9)</f>
        <v>89.465900000000005</v>
      </c>
      <c r="O952" s="14">
        <f>CHOOSE(CONTROL!$C$42, 89.697, 89.697) * CHOOSE(CONTROL!$C$21, $C$9, 100%, $E$9)</f>
        <v>89.697000000000003</v>
      </c>
      <c r="P952" s="14">
        <f>CHOOSE(CONTROL!$C$42, 89.4853, 89.4853) * CHOOSE(CONTROL!$C$21, $C$9, 100%, $E$9)</f>
        <v>89.485299999999995</v>
      </c>
      <c r="Q952" s="14">
        <f>CHOOSE(CONTROL!$C$42, 90.2923, 90.2923) * CHOOSE(CONTROL!$C$21, $C$9, 100%, $E$9)</f>
        <v>90.292299999999997</v>
      </c>
      <c r="R952" s="14">
        <f>CHOOSE(CONTROL!$C$42, 91.105, 91.105) * CHOOSE(CONTROL!$C$21, $C$9, 100%, $E$9)</f>
        <v>91.105000000000004</v>
      </c>
      <c r="S952" s="14">
        <f>CHOOSE(CONTROL!$C$42, 87.7562, 87.7562) * CHOOSE(CONTROL!$C$21, $C$9, 100%, $E$9)</f>
        <v>87.756200000000007</v>
      </c>
      <c r="T95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52" s="57">
        <f>(1000*CHOOSE(CONTROL!$C$42, 695, 695)*CHOOSE(CONTROL!$C$42, 0.5599, 0.5599)*CHOOSE(CONTROL!$C$42, 30, 30))/1000000</f>
        <v>11.673914999999997</v>
      </c>
      <c r="V952" s="57">
        <f>(1000*CHOOSE(CONTROL!$C$42, 500, 500)*CHOOSE(CONTROL!$C$42, 0.275, 0.275)*CHOOSE(CONTROL!$C$42, 30, 30))/1000000</f>
        <v>4.125</v>
      </c>
      <c r="W952" s="57">
        <f>(1000*CHOOSE(CONTROL!$C$42, 0.1146, 0.1146)*CHOOSE(CONTROL!$C$42, 121.5, 121.5)*CHOOSE(CONTROL!$C$42, 30, 30))/1000000</f>
        <v>0.417717</v>
      </c>
      <c r="X952" s="57">
        <f>(30*0.1790888*245000/1000000)+(30*0.2374*100000/1000000)</f>
        <v>2.0285026799999999</v>
      </c>
      <c r="Y952" s="57"/>
      <c r="Z952" s="14"/>
      <c r="AA952" s="56"/>
      <c r="AB952" s="50">
        <f>(B952*141.293+C952*267.993+D952*115.016+E952*89.698+F952*40+G952*185+H952*0+I952*100+J952*300)/(141.293+267.993+115.016+89.698+0+40+185+100+300)</f>
        <v>90.403083621468937</v>
      </c>
      <c r="AC952" s="45">
        <f>(M952*'RAP TEMPLATE-GAS AVAILABILITY'!O951+N952*'RAP TEMPLATE-GAS AVAILABILITY'!P951+O952*'RAP TEMPLATE-GAS AVAILABILITY'!Q951+P952*'RAP TEMPLATE-GAS AVAILABILITY'!R951)/('RAP TEMPLATE-GAS AVAILABILITY'!O951+'RAP TEMPLATE-GAS AVAILABILITY'!P951+'RAP TEMPLATE-GAS AVAILABILITY'!Q951+'RAP TEMPLATE-GAS AVAILABILITY'!R951)</f>
        <v>89.568082014388494</v>
      </c>
    </row>
    <row r="953" spans="1:29" ht="15.75" x14ac:dyDescent="0.25">
      <c r="A953" s="32">
        <v>69914</v>
      </c>
      <c r="B953" s="14">
        <f>CHOOSE(CONTROL!$C$42, 91.1698, 91.1698) * CHOOSE(CONTROL!$C$21, $C$9, 100%, $E$9)</f>
        <v>91.169799999999995</v>
      </c>
      <c r="C953" s="14">
        <f>CHOOSE(CONTROL!$C$42, 91.1777, 91.1777) * CHOOSE(CONTROL!$C$21, $C$9, 100%, $E$9)</f>
        <v>91.177700000000002</v>
      </c>
      <c r="D953" s="14">
        <f>CHOOSE(CONTROL!$C$42, 91.3753, 91.3753) * CHOOSE(CONTROL!$C$21, $C$9, 100%, $E$9)</f>
        <v>91.375299999999996</v>
      </c>
      <c r="E953" s="14">
        <f>CHOOSE(CONTROL!$C$42, 91.4064, 91.4064) * CHOOSE(CONTROL!$C$21, $C$9, 100%, $E$9)</f>
        <v>91.406400000000005</v>
      </c>
      <c r="F953" s="14">
        <f>CHOOSE(CONTROL!$C$42, 91.1532, 91.1532)*CHOOSE(CONTROL!$C$21, $C$9, 100%, $E$9)</f>
        <v>91.153199999999998</v>
      </c>
      <c r="G953" s="14">
        <f>CHOOSE(CONTROL!$C$42, 91.1693, 91.1693)*CHOOSE(CONTROL!$C$21, $C$9, 100%, $E$9)</f>
        <v>91.169300000000007</v>
      </c>
      <c r="H953" s="14">
        <f>CHOOSE(CONTROL!$C$42, 91.3951, 91.3951) * CHOOSE(CONTROL!$C$21, $C$9, 100%, $E$9)</f>
        <v>91.395099999999999</v>
      </c>
      <c r="I953" s="14">
        <f>CHOOSE(CONTROL!$C$42, 91.1812, 91.1812)* CHOOSE(CONTROL!$C$21, $C$9, 100%, $E$9)</f>
        <v>91.181200000000004</v>
      </c>
      <c r="J953" s="14">
        <f>CHOOSE(CONTROL!$C$42, 91.1462, 91.1462)* CHOOSE(CONTROL!$C$21, $C$9, 100%, $E$9)</f>
        <v>91.146199999999993</v>
      </c>
      <c r="K953" s="53">
        <f>CHOOSE(CONTROL!$C$42, 91.1773, 91.1773) * CHOOSE(CONTROL!$C$21, $C$9, 100%, $E$9)</f>
        <v>91.177300000000002</v>
      </c>
      <c r="L953" s="14">
        <f>CHOOSE(CONTROL!$C$42, 91.9821, 91.9821) * CHOOSE(CONTROL!$C$21, $C$9, 100%, $E$9)</f>
        <v>91.982100000000003</v>
      </c>
      <c r="M953" s="14">
        <f>CHOOSE(CONTROL!$C$42, 90.2402, 90.2402) * CHOOSE(CONTROL!$C$21, $C$9, 100%, $E$9)</f>
        <v>90.240200000000002</v>
      </c>
      <c r="N953" s="14">
        <f>CHOOSE(CONTROL!$C$42, 90.2561, 90.2561) * CHOOSE(CONTROL!$C$21, $C$9, 100%, $E$9)</f>
        <v>90.256100000000004</v>
      </c>
      <c r="O953" s="14">
        <f>CHOOSE(CONTROL!$C$42, 90.4866, 90.4866) * CHOOSE(CONTROL!$C$21, $C$9, 100%, $E$9)</f>
        <v>90.486599999999996</v>
      </c>
      <c r="P953" s="14">
        <f>CHOOSE(CONTROL!$C$42, 90.2748, 90.2748) * CHOOSE(CONTROL!$C$21, $C$9, 100%, $E$9)</f>
        <v>90.274799999999999</v>
      </c>
      <c r="Q953" s="14">
        <f>CHOOSE(CONTROL!$C$42, 91.0819, 91.0819) * CHOOSE(CONTROL!$C$21, $C$9, 100%, $E$9)</f>
        <v>91.081900000000005</v>
      </c>
      <c r="R953" s="14">
        <f>CHOOSE(CONTROL!$C$42, 91.8966, 91.8966) * CHOOSE(CONTROL!$C$21, $C$9, 100%, $E$9)</f>
        <v>91.896600000000007</v>
      </c>
      <c r="S953" s="14">
        <f>CHOOSE(CONTROL!$C$42, 88.5307, 88.5307) * CHOOSE(CONTROL!$C$21, $C$9, 100%, $E$9)</f>
        <v>88.530699999999996</v>
      </c>
      <c r="T95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53" s="57">
        <f>(1000*CHOOSE(CONTROL!$C$42, 695, 695)*CHOOSE(CONTROL!$C$42, 0.5599, 0.5599)*CHOOSE(CONTROL!$C$42, 31, 31))/1000000</f>
        <v>12.063045499999998</v>
      </c>
      <c r="V953" s="57">
        <f>(1000*CHOOSE(CONTROL!$C$42, 500, 500)*CHOOSE(CONTROL!$C$42, 0.275, 0.275)*CHOOSE(CONTROL!$C$42, 31, 31))/1000000</f>
        <v>4.2625000000000002</v>
      </c>
      <c r="W953" s="57">
        <f>(1000*CHOOSE(CONTROL!$C$42, 0.1146, 0.1146)*CHOOSE(CONTROL!$C$42, 121.5, 121.5)*CHOOSE(CONTROL!$C$42, 31, 31))/1000000</f>
        <v>0.43164089999999994</v>
      </c>
      <c r="X953" s="57">
        <f>(31*0.1790888*245000/1000000)+(31*0.2374*100000/1000000)</f>
        <v>2.0961194359999999</v>
      </c>
      <c r="Y953" s="57"/>
      <c r="Z953" s="14"/>
      <c r="AA953" s="56"/>
      <c r="AB953" s="50">
        <f>(B953*194.205+C953*267.466+D953*133.845+E953*53.484+F953*40+G953*185+H953*0+I953*100+J953*300)/(194.205+267.466+133.845+53.484+0+40+185+100+300)</f>
        <v>91.197724602276296</v>
      </c>
      <c r="AC953" s="45">
        <f>(M953*'RAP TEMPLATE-GAS AVAILABILITY'!O952+N953*'RAP TEMPLATE-GAS AVAILABILITY'!P952+O953*'RAP TEMPLATE-GAS AVAILABILITY'!Q952+P953*'RAP TEMPLATE-GAS AVAILABILITY'!R952)/('RAP TEMPLATE-GAS AVAILABILITY'!O952+'RAP TEMPLATE-GAS AVAILABILITY'!P952+'RAP TEMPLATE-GAS AVAILABILITY'!Q952+'RAP TEMPLATE-GAS AVAILABILITY'!R952)</f>
        <v>90.357771223021587</v>
      </c>
    </row>
    <row r="954" spans="1:29" ht="15.75" x14ac:dyDescent="0.25">
      <c r="A954" s="32">
        <v>69944</v>
      </c>
      <c r="B954" s="14">
        <f>CHOOSE(CONTROL!$C$42, 93.7558, 93.7558) * CHOOSE(CONTROL!$C$21, $C$9, 100%, $E$9)</f>
        <v>93.755799999999994</v>
      </c>
      <c r="C954" s="14">
        <f>CHOOSE(CONTROL!$C$42, 93.7637, 93.7637) * CHOOSE(CONTROL!$C$21, $C$9, 100%, $E$9)</f>
        <v>93.7637</v>
      </c>
      <c r="D954" s="14">
        <f>CHOOSE(CONTROL!$C$42, 93.9613, 93.9613) * CHOOSE(CONTROL!$C$21, $C$9, 100%, $E$9)</f>
        <v>93.961299999999994</v>
      </c>
      <c r="E954" s="14">
        <f>CHOOSE(CONTROL!$C$42, 93.9924, 93.9924) * CHOOSE(CONTROL!$C$21, $C$9, 100%, $E$9)</f>
        <v>93.992400000000004</v>
      </c>
      <c r="F954" s="14">
        <f>CHOOSE(CONTROL!$C$42, 93.7396, 93.7396)*CHOOSE(CONTROL!$C$21, $C$9, 100%, $E$9)</f>
        <v>93.739599999999996</v>
      </c>
      <c r="G954" s="14">
        <f>CHOOSE(CONTROL!$C$42, 93.7558, 93.7558)*CHOOSE(CONTROL!$C$21, $C$9, 100%, $E$9)</f>
        <v>93.755799999999994</v>
      </c>
      <c r="H954" s="14">
        <f>CHOOSE(CONTROL!$C$42, 93.9811, 93.9811) * CHOOSE(CONTROL!$C$21, $C$9, 100%, $E$9)</f>
        <v>93.981099999999998</v>
      </c>
      <c r="I954" s="14">
        <f>CHOOSE(CONTROL!$C$42, 93.7672, 93.7672)* CHOOSE(CONTROL!$C$21, $C$9, 100%, $E$9)</f>
        <v>93.767200000000003</v>
      </c>
      <c r="J954" s="14">
        <f>CHOOSE(CONTROL!$C$42, 93.7326, 93.7326)* CHOOSE(CONTROL!$C$21, $C$9, 100%, $E$9)</f>
        <v>93.732600000000005</v>
      </c>
      <c r="K954" s="53">
        <f>CHOOSE(CONTROL!$C$42, 93.7633, 93.7633) * CHOOSE(CONTROL!$C$21, $C$9, 100%, $E$9)</f>
        <v>93.763300000000001</v>
      </c>
      <c r="L954" s="14">
        <f>CHOOSE(CONTROL!$C$42, 94.5681, 94.5681) * CHOOSE(CONTROL!$C$21, $C$9, 100%, $E$9)</f>
        <v>94.568100000000001</v>
      </c>
      <c r="M954" s="14">
        <f>CHOOSE(CONTROL!$C$42, 92.8005, 92.8005) * CHOOSE(CONTROL!$C$21, $C$9, 100%, $E$9)</f>
        <v>92.8005</v>
      </c>
      <c r="N954" s="14">
        <f>CHOOSE(CONTROL!$C$42, 92.8166, 92.8166) * CHOOSE(CONTROL!$C$21, $C$9, 100%, $E$9)</f>
        <v>92.816599999999994</v>
      </c>
      <c r="O954" s="14">
        <f>CHOOSE(CONTROL!$C$42, 93.0465, 93.0465) * CHOOSE(CONTROL!$C$21, $C$9, 100%, $E$9)</f>
        <v>93.046499999999995</v>
      </c>
      <c r="P954" s="14">
        <f>CHOOSE(CONTROL!$C$42, 92.8348, 92.8348) * CHOOSE(CONTROL!$C$21, $C$9, 100%, $E$9)</f>
        <v>92.834800000000001</v>
      </c>
      <c r="Q954" s="14">
        <f>CHOOSE(CONTROL!$C$42, 93.6418, 93.6418) * CHOOSE(CONTROL!$C$21, $C$9, 100%, $E$9)</f>
        <v>93.641800000000003</v>
      </c>
      <c r="R954" s="14">
        <f>CHOOSE(CONTROL!$C$42, 94.4629, 94.4629) * CHOOSE(CONTROL!$C$21, $C$9, 100%, $E$9)</f>
        <v>94.462900000000005</v>
      </c>
      <c r="S954" s="14">
        <f>CHOOSE(CONTROL!$C$42, 91.042, 91.042) * CHOOSE(CONTROL!$C$21, $C$9, 100%, $E$9)</f>
        <v>91.042000000000002</v>
      </c>
      <c r="T95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54" s="57">
        <f>(1000*CHOOSE(CONTROL!$C$42, 695, 695)*CHOOSE(CONTROL!$C$42, 0.5599, 0.5599)*CHOOSE(CONTROL!$C$42, 30, 30))/1000000</f>
        <v>11.673914999999997</v>
      </c>
      <c r="V954" s="57">
        <f>(1000*CHOOSE(CONTROL!$C$42, 500, 500)*CHOOSE(CONTROL!$C$42, 0.275, 0.275)*CHOOSE(CONTROL!$C$42, 30, 30))/1000000</f>
        <v>4.125</v>
      </c>
      <c r="W954" s="57">
        <f>(1000*CHOOSE(CONTROL!$C$42, 0.1146, 0.1146)*CHOOSE(CONTROL!$C$42, 121.5, 121.5)*CHOOSE(CONTROL!$C$42, 30, 30))/1000000</f>
        <v>0.417717</v>
      </c>
      <c r="X954" s="57">
        <f>(30*0.1790888*245000/1000000)+(30*0.2374*100000/1000000)</f>
        <v>2.0285026799999999</v>
      </c>
      <c r="Y954" s="57"/>
      <c r="Z954" s="14"/>
      <c r="AA954" s="56"/>
      <c r="AB954" s="50">
        <f>(B954*194.205+C954*267.466+D954*133.845+E954*53.484+F954*40+G954*185+H954*0+I954*100+J954*300)/(194.205+267.466+133.845+53.484+0+40+185+100+300)</f>
        <v>93.783903958634212</v>
      </c>
      <c r="AC954" s="45">
        <f>(M954*'RAP TEMPLATE-GAS AVAILABILITY'!O953+N954*'RAP TEMPLATE-GAS AVAILABILITY'!P953+O954*'RAP TEMPLATE-GAS AVAILABILITY'!Q953+P954*'RAP TEMPLATE-GAS AVAILABILITY'!R953)/('RAP TEMPLATE-GAS AVAILABILITY'!O953+'RAP TEMPLATE-GAS AVAILABILITY'!P953+'RAP TEMPLATE-GAS AVAILABILITY'!Q953+'RAP TEMPLATE-GAS AVAILABILITY'!R953)</f>
        <v>92.917858273381299</v>
      </c>
    </row>
    <row r="955" spans="1:29" ht="15.75" x14ac:dyDescent="0.25">
      <c r="A955" s="32">
        <v>69975</v>
      </c>
      <c r="B955" s="14">
        <f>CHOOSE(CONTROL!$C$42, 91.9572, 91.9572) * CHOOSE(CONTROL!$C$21, $C$9, 100%, $E$9)</f>
        <v>91.9572</v>
      </c>
      <c r="C955" s="14">
        <f>CHOOSE(CONTROL!$C$42, 91.9651, 91.9651) * CHOOSE(CONTROL!$C$21, $C$9, 100%, $E$9)</f>
        <v>91.965100000000007</v>
      </c>
      <c r="D955" s="14">
        <f>CHOOSE(CONTROL!$C$42, 92.1627, 92.1627) * CHOOSE(CONTROL!$C$21, $C$9, 100%, $E$9)</f>
        <v>92.162700000000001</v>
      </c>
      <c r="E955" s="14">
        <f>CHOOSE(CONTROL!$C$42, 92.1939, 92.1939) * CHOOSE(CONTROL!$C$21, $C$9, 100%, $E$9)</f>
        <v>92.193899999999999</v>
      </c>
      <c r="F955" s="14">
        <f>CHOOSE(CONTROL!$C$42, 91.9415, 91.9415)*CHOOSE(CONTROL!$C$21, $C$9, 100%, $E$9)</f>
        <v>91.941500000000005</v>
      </c>
      <c r="G955" s="14">
        <f>CHOOSE(CONTROL!$C$42, 91.9578, 91.9578)*CHOOSE(CONTROL!$C$21, $C$9, 100%, $E$9)</f>
        <v>91.957800000000006</v>
      </c>
      <c r="H955" s="14">
        <f>CHOOSE(CONTROL!$C$42, 92.1825, 92.1825) * CHOOSE(CONTROL!$C$21, $C$9, 100%, $E$9)</f>
        <v>92.182500000000005</v>
      </c>
      <c r="I955" s="14">
        <f>CHOOSE(CONTROL!$C$42, 91.9686, 91.9686)* CHOOSE(CONTROL!$C$21, $C$9, 100%, $E$9)</f>
        <v>91.968599999999995</v>
      </c>
      <c r="J955" s="14">
        <f>CHOOSE(CONTROL!$C$42, 91.9345, 91.9345)* CHOOSE(CONTROL!$C$21, $C$9, 100%, $E$9)</f>
        <v>91.9345</v>
      </c>
      <c r="K955" s="53">
        <f>CHOOSE(CONTROL!$C$42, 91.9647, 91.9647) * CHOOSE(CONTROL!$C$21, $C$9, 100%, $E$9)</f>
        <v>91.964699999999993</v>
      </c>
      <c r="L955" s="14">
        <f>CHOOSE(CONTROL!$C$42, 92.7695, 92.7695) * CHOOSE(CONTROL!$C$21, $C$9, 100%, $E$9)</f>
        <v>92.769499999999994</v>
      </c>
      <c r="M955" s="14">
        <f>CHOOSE(CONTROL!$C$42, 91.0205, 91.0205) * CHOOSE(CONTROL!$C$21, $C$9, 100%, $E$9)</f>
        <v>91.020499999999998</v>
      </c>
      <c r="N955" s="14">
        <f>CHOOSE(CONTROL!$C$42, 91.0367, 91.0367) * CHOOSE(CONTROL!$C$21, $C$9, 100%, $E$9)</f>
        <v>91.036699999999996</v>
      </c>
      <c r="O955" s="14">
        <f>CHOOSE(CONTROL!$C$42, 91.266, 91.266) * CHOOSE(CONTROL!$C$21, $C$9, 100%, $E$9)</f>
        <v>91.266000000000005</v>
      </c>
      <c r="P955" s="14">
        <f>CHOOSE(CONTROL!$C$42, 91.0543, 91.0543) * CHOOSE(CONTROL!$C$21, $C$9, 100%, $E$9)</f>
        <v>91.054299999999998</v>
      </c>
      <c r="Q955" s="14">
        <f>CHOOSE(CONTROL!$C$42, 91.8613, 91.8613) * CHOOSE(CONTROL!$C$21, $C$9, 100%, $E$9)</f>
        <v>91.8613</v>
      </c>
      <c r="R955" s="14">
        <f>CHOOSE(CONTROL!$C$42, 92.678, 92.678) * CHOOSE(CONTROL!$C$21, $C$9, 100%, $E$9)</f>
        <v>92.677999999999997</v>
      </c>
      <c r="S955" s="14">
        <f>CHOOSE(CONTROL!$C$42, 89.2954, 89.2954) * CHOOSE(CONTROL!$C$21, $C$9, 100%, $E$9)</f>
        <v>89.295400000000001</v>
      </c>
      <c r="T95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55" s="57">
        <f>(1000*CHOOSE(CONTROL!$C$42, 695, 695)*CHOOSE(CONTROL!$C$42, 0.5599, 0.5599)*CHOOSE(CONTROL!$C$42, 31, 31))/1000000</f>
        <v>12.063045499999998</v>
      </c>
      <c r="V955" s="57">
        <f>(1000*CHOOSE(CONTROL!$C$42, 500, 500)*CHOOSE(CONTROL!$C$42, 0.275, 0.275)*CHOOSE(CONTROL!$C$42, 31, 31))/1000000</f>
        <v>4.2625000000000002</v>
      </c>
      <c r="W955" s="57">
        <f>(1000*CHOOSE(CONTROL!$C$42, 0.1146, 0.1146)*CHOOSE(CONTROL!$C$42, 121.5, 121.5)*CHOOSE(CONTROL!$C$42, 31, 31))/1000000</f>
        <v>0.43164089999999994</v>
      </c>
      <c r="X955" s="57">
        <f>(31*0.1790888*245000/1000000)+(31*0.2374*100000/1000000)</f>
        <v>2.0961194359999999</v>
      </c>
      <c r="Y955" s="57"/>
      <c r="Z955" s="14"/>
      <c r="AA955" s="56"/>
      <c r="AB955" s="50">
        <f>(B955*194.205+C955*267.466+D955*133.845+E955*53.484+F955*40+G955*185+H955*0+I955*100+J955*300)/(194.205+267.466+133.845+53.484+0+40+185+100+300)</f>
        <v>91.985528721899541</v>
      </c>
      <c r="AC955" s="45">
        <f>(M955*'RAP TEMPLATE-GAS AVAILABILITY'!O954+N955*'RAP TEMPLATE-GAS AVAILABILITY'!P954+O955*'RAP TEMPLATE-GAS AVAILABILITY'!Q954+P955*'RAP TEMPLATE-GAS AVAILABILITY'!R954)/('RAP TEMPLATE-GAS AVAILABILITY'!O954+'RAP TEMPLATE-GAS AVAILABILITY'!P954+'RAP TEMPLATE-GAS AVAILABILITY'!Q954+'RAP TEMPLATE-GAS AVAILABILITY'!R954)</f>
        <v>91.137565467625905</v>
      </c>
    </row>
    <row r="956" spans="1:29" ht="15.75" x14ac:dyDescent="0.25">
      <c r="A956" s="32">
        <v>70006</v>
      </c>
      <c r="B956" s="14">
        <f>CHOOSE(CONTROL!$C$42, 87.4152, 87.4152) * CHOOSE(CONTROL!$C$21, $C$9, 100%, $E$9)</f>
        <v>87.415199999999999</v>
      </c>
      <c r="C956" s="14">
        <f>CHOOSE(CONTROL!$C$42, 87.4231, 87.4231) * CHOOSE(CONTROL!$C$21, $C$9, 100%, $E$9)</f>
        <v>87.423100000000005</v>
      </c>
      <c r="D956" s="14">
        <f>CHOOSE(CONTROL!$C$42, 87.6207, 87.6207) * CHOOSE(CONTROL!$C$21, $C$9, 100%, $E$9)</f>
        <v>87.620699999999999</v>
      </c>
      <c r="E956" s="14">
        <f>CHOOSE(CONTROL!$C$42, 87.6519, 87.6519) * CHOOSE(CONTROL!$C$21, $C$9, 100%, $E$9)</f>
        <v>87.651899999999998</v>
      </c>
      <c r="F956" s="14">
        <f>CHOOSE(CONTROL!$C$42, 87.3997, 87.3997)*CHOOSE(CONTROL!$C$21, $C$9, 100%, $E$9)</f>
        <v>87.399699999999996</v>
      </c>
      <c r="G956" s="14">
        <f>CHOOSE(CONTROL!$C$42, 87.416, 87.416)*CHOOSE(CONTROL!$C$21, $C$9, 100%, $E$9)</f>
        <v>87.415999999999997</v>
      </c>
      <c r="H956" s="14">
        <f>CHOOSE(CONTROL!$C$42, 87.6405, 87.6405) * CHOOSE(CONTROL!$C$21, $C$9, 100%, $E$9)</f>
        <v>87.640500000000003</v>
      </c>
      <c r="I956" s="14">
        <f>CHOOSE(CONTROL!$C$42, 87.4266, 87.4266)* CHOOSE(CONTROL!$C$21, $C$9, 100%, $E$9)</f>
        <v>87.426599999999993</v>
      </c>
      <c r="J956" s="14">
        <f>CHOOSE(CONTROL!$C$42, 87.3927, 87.3927)* CHOOSE(CONTROL!$C$21, $C$9, 100%, $E$9)</f>
        <v>87.392700000000005</v>
      </c>
      <c r="K956" s="53">
        <f>CHOOSE(CONTROL!$C$42, 87.4227, 87.4227) * CHOOSE(CONTROL!$C$21, $C$9, 100%, $E$9)</f>
        <v>87.422700000000006</v>
      </c>
      <c r="L956" s="14">
        <f>CHOOSE(CONTROL!$C$42, 88.2275, 88.2275) * CHOOSE(CONTROL!$C$21, $C$9, 100%, $E$9)</f>
        <v>88.227500000000006</v>
      </c>
      <c r="M956" s="14">
        <f>CHOOSE(CONTROL!$C$42, 86.5245, 86.5245) * CHOOSE(CONTROL!$C$21, $C$9, 100%, $E$9)</f>
        <v>86.524500000000003</v>
      </c>
      <c r="N956" s="14">
        <f>CHOOSE(CONTROL!$C$42, 86.5407, 86.5407) * CHOOSE(CONTROL!$C$21, $C$9, 100%, $E$9)</f>
        <v>86.540700000000001</v>
      </c>
      <c r="O956" s="14">
        <f>CHOOSE(CONTROL!$C$42, 86.7699, 86.7699) * CHOOSE(CONTROL!$C$21, $C$9, 100%, $E$9)</f>
        <v>86.769900000000007</v>
      </c>
      <c r="P956" s="14">
        <f>CHOOSE(CONTROL!$C$42, 86.5582, 86.5582) * CHOOSE(CONTROL!$C$21, $C$9, 100%, $E$9)</f>
        <v>86.558199999999999</v>
      </c>
      <c r="Q956" s="14">
        <f>CHOOSE(CONTROL!$C$42, 87.3652, 87.3652) * CHOOSE(CONTROL!$C$21, $C$9, 100%, $E$9)</f>
        <v>87.365200000000002</v>
      </c>
      <c r="R956" s="14">
        <f>CHOOSE(CONTROL!$C$42, 88.1706, 88.1706) * CHOOSE(CONTROL!$C$21, $C$9, 100%, $E$9)</f>
        <v>88.170599999999993</v>
      </c>
      <c r="S956" s="14">
        <f>CHOOSE(CONTROL!$C$42, 84.8847, 84.8847) * CHOOSE(CONTROL!$C$21, $C$9, 100%, $E$9)</f>
        <v>84.884699999999995</v>
      </c>
      <c r="T95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56" s="57">
        <f>(1000*CHOOSE(CONTROL!$C$42, 695, 695)*CHOOSE(CONTROL!$C$42, 0.5599, 0.5599)*CHOOSE(CONTROL!$C$42, 31, 31))/1000000</f>
        <v>12.063045499999998</v>
      </c>
      <c r="V956" s="57">
        <f>(1000*CHOOSE(CONTROL!$C$42, 500, 500)*CHOOSE(CONTROL!$C$42, 0.275, 0.275)*CHOOSE(CONTROL!$C$42, 31, 31))/1000000</f>
        <v>4.2625000000000002</v>
      </c>
      <c r="W956" s="57">
        <f>(1000*CHOOSE(CONTROL!$C$42, 0.1146, 0.1146)*CHOOSE(CONTROL!$C$42, 121.5, 121.5)*CHOOSE(CONTROL!$C$42, 31, 31))/1000000</f>
        <v>0.43164089999999994</v>
      </c>
      <c r="X956" s="57">
        <f>(31*0.1790888*245000/1000000)+(31*0.2374*100000/1000000)</f>
        <v>2.0961194359999999</v>
      </c>
      <c r="Y956" s="57"/>
      <c r="Z956" s="14"/>
      <c r="AA956" s="56"/>
      <c r="AB956" s="50">
        <f>(B956*194.205+C956*267.466+D956*133.845+E956*53.484+F956*40+G956*185+H956*0+I956*100+J956*300)/(194.205+267.466+133.845+53.484+0+40+185+100+300)</f>
        <v>87.443611139481945</v>
      </c>
      <c r="AC956" s="45">
        <f>(M956*'RAP TEMPLATE-GAS AVAILABILITY'!O955+N956*'RAP TEMPLATE-GAS AVAILABILITY'!P955+O956*'RAP TEMPLATE-GAS AVAILABILITY'!Q955+P956*'RAP TEMPLATE-GAS AVAILABILITY'!R955)/('RAP TEMPLATE-GAS AVAILABILITY'!O955+'RAP TEMPLATE-GAS AVAILABILITY'!P955+'RAP TEMPLATE-GAS AVAILABILITY'!Q955+'RAP TEMPLATE-GAS AVAILABILITY'!R955)</f>
        <v>86.641505755395698</v>
      </c>
    </row>
    <row r="957" spans="1:29" ht="15.75" x14ac:dyDescent="0.25">
      <c r="A957" s="32">
        <v>70036</v>
      </c>
      <c r="B957" s="14">
        <f>CHOOSE(CONTROL!$C$42, 81.8654, 81.8654) * CHOOSE(CONTROL!$C$21, $C$9, 100%, $E$9)</f>
        <v>81.865399999999994</v>
      </c>
      <c r="C957" s="14">
        <f>CHOOSE(CONTROL!$C$42, 81.8733, 81.8733) * CHOOSE(CONTROL!$C$21, $C$9, 100%, $E$9)</f>
        <v>81.8733</v>
      </c>
      <c r="D957" s="14">
        <f>CHOOSE(CONTROL!$C$42, 82.0709, 82.0709) * CHOOSE(CONTROL!$C$21, $C$9, 100%, $E$9)</f>
        <v>82.070899999999995</v>
      </c>
      <c r="E957" s="14">
        <f>CHOOSE(CONTROL!$C$42, 82.102, 82.102) * CHOOSE(CONTROL!$C$21, $C$9, 100%, $E$9)</f>
        <v>82.102000000000004</v>
      </c>
      <c r="F957" s="14">
        <f>CHOOSE(CONTROL!$C$42, 81.8497, 81.8497)*CHOOSE(CONTROL!$C$21, $C$9, 100%, $E$9)</f>
        <v>81.849699999999999</v>
      </c>
      <c r="G957" s="14">
        <f>CHOOSE(CONTROL!$C$42, 81.8661, 81.8661)*CHOOSE(CONTROL!$C$21, $C$9, 100%, $E$9)</f>
        <v>81.866100000000003</v>
      </c>
      <c r="H957" s="14">
        <f>CHOOSE(CONTROL!$C$42, 82.0906, 82.0906) * CHOOSE(CONTROL!$C$21, $C$9, 100%, $E$9)</f>
        <v>82.090599999999995</v>
      </c>
      <c r="I957" s="14">
        <f>CHOOSE(CONTROL!$C$42, 81.8767, 81.8767)* CHOOSE(CONTROL!$C$21, $C$9, 100%, $E$9)</f>
        <v>81.8767</v>
      </c>
      <c r="J957" s="14">
        <f>CHOOSE(CONTROL!$C$42, 81.8427, 81.8427)* CHOOSE(CONTROL!$C$21, $C$9, 100%, $E$9)</f>
        <v>81.842699999999994</v>
      </c>
      <c r="K957" s="53">
        <f>CHOOSE(CONTROL!$C$42, 81.8728, 81.8728) * CHOOSE(CONTROL!$C$21, $C$9, 100%, $E$9)</f>
        <v>81.872799999999998</v>
      </c>
      <c r="L957" s="14">
        <f>CHOOSE(CONTROL!$C$42, 82.6776, 82.6776) * CHOOSE(CONTROL!$C$21, $C$9, 100%, $E$9)</f>
        <v>82.677599999999998</v>
      </c>
      <c r="M957" s="14">
        <f>CHOOSE(CONTROL!$C$42, 81.0306, 81.0306) * CHOOSE(CONTROL!$C$21, $C$9, 100%, $E$9)</f>
        <v>81.030600000000007</v>
      </c>
      <c r="N957" s="14">
        <f>CHOOSE(CONTROL!$C$42, 81.0468, 81.0468) * CHOOSE(CONTROL!$C$21, $C$9, 100%, $E$9)</f>
        <v>81.046800000000005</v>
      </c>
      <c r="O957" s="14">
        <f>CHOOSE(CONTROL!$C$42, 81.276, 81.276) * CHOOSE(CONTROL!$C$21, $C$9, 100%, $E$9)</f>
        <v>81.275999999999996</v>
      </c>
      <c r="P957" s="14">
        <f>CHOOSE(CONTROL!$C$42, 81.0643, 81.0643) * CHOOSE(CONTROL!$C$21, $C$9, 100%, $E$9)</f>
        <v>81.064300000000003</v>
      </c>
      <c r="Q957" s="14">
        <f>CHOOSE(CONTROL!$C$42, 81.8713, 81.8713) * CHOOSE(CONTROL!$C$21, $C$9, 100%, $E$9)</f>
        <v>81.871300000000005</v>
      </c>
      <c r="R957" s="14">
        <f>CHOOSE(CONTROL!$C$42, 82.663, 82.663) * CHOOSE(CONTROL!$C$21, $C$9, 100%, $E$9)</f>
        <v>82.662999999999997</v>
      </c>
      <c r="S957" s="14">
        <f>CHOOSE(CONTROL!$C$42, 79.4952, 79.4952) * CHOOSE(CONTROL!$C$21, $C$9, 100%, $E$9)</f>
        <v>79.495199999999997</v>
      </c>
      <c r="T95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57" s="57">
        <f>(1000*CHOOSE(CONTROL!$C$42, 695, 695)*CHOOSE(CONTROL!$C$42, 0.5599, 0.5599)*CHOOSE(CONTROL!$C$42, 30, 30))/1000000</f>
        <v>11.673914999999997</v>
      </c>
      <c r="V957" s="57">
        <f>(1000*CHOOSE(CONTROL!$C$42, 500, 500)*CHOOSE(CONTROL!$C$42, 0.275, 0.275)*CHOOSE(CONTROL!$C$42, 30, 30))/1000000</f>
        <v>4.125</v>
      </c>
      <c r="W957" s="57">
        <f>(1000*CHOOSE(CONTROL!$C$42, 0.1146, 0.1146)*CHOOSE(CONTROL!$C$42, 121.5, 121.5)*CHOOSE(CONTROL!$C$42, 30, 30))/1000000</f>
        <v>0.417717</v>
      </c>
      <c r="X957" s="57">
        <f>(30*0.1790888*245000/1000000)+(30*0.2374*100000/1000000)</f>
        <v>2.0285026799999999</v>
      </c>
      <c r="Y957" s="57"/>
      <c r="Z957" s="14"/>
      <c r="AA957" s="56"/>
      <c r="AB957" s="50">
        <f>(B957*194.205+C957*267.466+D957*133.845+E957*53.484+F957*40+G957*185+H957*0+I957*100+J957*300)/(194.205+267.466+133.845+53.484+0+40+185+100+300)</f>
        <v>81.893731195682889</v>
      </c>
      <c r="AC957" s="45">
        <f>(M957*'RAP TEMPLATE-GAS AVAILABILITY'!O956+N957*'RAP TEMPLATE-GAS AVAILABILITY'!P956+O957*'RAP TEMPLATE-GAS AVAILABILITY'!Q956+P957*'RAP TEMPLATE-GAS AVAILABILITY'!R956)/('RAP TEMPLATE-GAS AVAILABILITY'!O956+'RAP TEMPLATE-GAS AVAILABILITY'!P956+'RAP TEMPLATE-GAS AVAILABILITY'!Q956+'RAP TEMPLATE-GAS AVAILABILITY'!R956)</f>
        <v>81.147605755395688</v>
      </c>
    </row>
    <row r="958" spans="1:29" ht="15.75" x14ac:dyDescent="0.25">
      <c r="A958" s="32">
        <v>70067</v>
      </c>
      <c r="B958" s="14">
        <f>CHOOSE(CONTROL!$C$42, 80.2015, 80.2015) * CHOOSE(CONTROL!$C$21, $C$9, 100%, $E$9)</f>
        <v>80.201499999999996</v>
      </c>
      <c r="C958" s="14">
        <f>CHOOSE(CONTROL!$C$42, 80.2067, 80.2067) * CHOOSE(CONTROL!$C$21, $C$9, 100%, $E$9)</f>
        <v>80.206699999999998</v>
      </c>
      <c r="D958" s="14">
        <f>CHOOSE(CONTROL!$C$42, 80.4093, 80.4093) * CHOOSE(CONTROL!$C$21, $C$9, 100%, $E$9)</f>
        <v>80.409300000000002</v>
      </c>
      <c r="E958" s="14">
        <f>CHOOSE(CONTROL!$C$42, 80.4381, 80.4381) * CHOOSE(CONTROL!$C$21, $C$9, 100%, $E$9)</f>
        <v>80.438100000000006</v>
      </c>
      <c r="F958" s="14">
        <f>CHOOSE(CONTROL!$C$42, 80.1879, 80.1879)*CHOOSE(CONTROL!$C$21, $C$9, 100%, $E$9)</f>
        <v>80.187899999999999</v>
      </c>
      <c r="G958" s="14">
        <f>CHOOSE(CONTROL!$C$42, 80.2039, 80.2039)*CHOOSE(CONTROL!$C$21, $C$9, 100%, $E$9)</f>
        <v>80.203900000000004</v>
      </c>
      <c r="H958" s="14">
        <f>CHOOSE(CONTROL!$C$42, 80.4285, 80.4285) * CHOOSE(CONTROL!$C$21, $C$9, 100%, $E$9)</f>
        <v>80.4285</v>
      </c>
      <c r="I958" s="14">
        <f>CHOOSE(CONTROL!$C$42, 80.2146, 80.2146)* CHOOSE(CONTROL!$C$21, $C$9, 100%, $E$9)</f>
        <v>80.214600000000004</v>
      </c>
      <c r="J958" s="14">
        <f>CHOOSE(CONTROL!$C$42, 80.1809, 80.1809)* CHOOSE(CONTROL!$C$21, $C$9, 100%, $E$9)</f>
        <v>80.180899999999994</v>
      </c>
      <c r="K958" s="53">
        <f>CHOOSE(CONTROL!$C$42, 80.2108, 80.2108) * CHOOSE(CONTROL!$C$21, $C$9, 100%, $E$9)</f>
        <v>80.210800000000006</v>
      </c>
      <c r="L958" s="14">
        <f>CHOOSE(CONTROL!$C$42, 81.0155, 81.0155) * CHOOSE(CONTROL!$C$21, $C$9, 100%, $E$9)</f>
        <v>81.015500000000003</v>
      </c>
      <c r="M958" s="14">
        <f>CHOOSE(CONTROL!$C$42, 79.3856, 79.3856) * CHOOSE(CONTROL!$C$21, $C$9, 100%, $E$9)</f>
        <v>79.385599999999997</v>
      </c>
      <c r="N958" s="14">
        <f>CHOOSE(CONTROL!$C$42, 79.4014, 79.4014) * CHOOSE(CONTROL!$C$21, $C$9, 100%, $E$9)</f>
        <v>79.401399999999995</v>
      </c>
      <c r="O958" s="14">
        <f>CHOOSE(CONTROL!$C$42, 79.6307, 79.6307) * CHOOSE(CONTROL!$C$21, $C$9, 100%, $E$9)</f>
        <v>79.630700000000004</v>
      </c>
      <c r="P958" s="14">
        <f>CHOOSE(CONTROL!$C$42, 79.419, 79.419) * CHOOSE(CONTROL!$C$21, $C$9, 100%, $E$9)</f>
        <v>79.418999999999997</v>
      </c>
      <c r="Q958" s="14">
        <f>CHOOSE(CONTROL!$C$42, 80.226, 80.226) * CHOOSE(CONTROL!$C$21, $C$9, 100%, $E$9)</f>
        <v>80.225999999999999</v>
      </c>
      <c r="R958" s="14">
        <f>CHOOSE(CONTROL!$C$42, 81.0136, 81.0136) * CHOOSE(CONTROL!$C$21, $C$9, 100%, $E$9)</f>
        <v>81.013599999999997</v>
      </c>
      <c r="S958" s="14">
        <f>CHOOSE(CONTROL!$C$42, 77.8812, 77.8812) * CHOOSE(CONTROL!$C$21, $C$9, 100%, $E$9)</f>
        <v>77.881200000000007</v>
      </c>
      <c r="T95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58" s="57">
        <f>(1000*CHOOSE(CONTROL!$C$42, 695, 695)*CHOOSE(CONTROL!$C$42, 0.5599, 0.5599)*CHOOSE(CONTROL!$C$42, 31, 31))/1000000</f>
        <v>12.063045499999998</v>
      </c>
      <c r="V958" s="57">
        <f>(1000*CHOOSE(CONTROL!$C$42, 500, 500)*CHOOSE(CONTROL!$C$42, 0.275, 0.275)*CHOOSE(CONTROL!$C$42, 31, 31))/1000000</f>
        <v>4.2625000000000002</v>
      </c>
      <c r="W958" s="57">
        <f>(1000*CHOOSE(CONTROL!$C$42, 0.1146, 0.1146)*CHOOSE(CONTROL!$C$42, 121.5, 121.5)*CHOOSE(CONTROL!$C$42, 31, 31))/1000000</f>
        <v>0.43164089999999994</v>
      </c>
      <c r="X958" s="57">
        <f>(31*0.1790888*245000/1000000)+(31*0.2374*100000/1000000)</f>
        <v>2.0961194359999999</v>
      </c>
      <c r="Y958" s="57"/>
      <c r="Z958" s="14"/>
      <c r="AA958" s="56"/>
      <c r="AB958" s="50">
        <f>(B958*131.881+C958*277.167+D958*79.08+E958*125.872+F958*40+G958*185+H958*0+I958*100+J958*300)/(131.881+277.167+79.08+125.872+0+40+185+100+300)</f>
        <v>80.235951499273611</v>
      </c>
      <c r="AC958" s="45">
        <f>(M958*'RAP TEMPLATE-GAS AVAILABILITY'!O957+N958*'RAP TEMPLATE-GAS AVAILABILITY'!P957+O958*'RAP TEMPLATE-GAS AVAILABILITY'!Q957+P958*'RAP TEMPLATE-GAS AVAILABILITY'!R957)/('RAP TEMPLATE-GAS AVAILABILITY'!O957+'RAP TEMPLATE-GAS AVAILABILITY'!P957+'RAP TEMPLATE-GAS AVAILABILITY'!Q957+'RAP TEMPLATE-GAS AVAILABILITY'!R957)</f>
        <v>79.502403597122296</v>
      </c>
    </row>
    <row r="959" spans="1:29" ht="15.75" x14ac:dyDescent="0.25">
      <c r="A959" s="32">
        <v>70097</v>
      </c>
      <c r="B959" s="14">
        <f>CHOOSE(CONTROL!$C$42, 82.3139, 82.3139) * CHOOSE(CONTROL!$C$21, $C$9, 100%, $E$9)</f>
        <v>82.313900000000004</v>
      </c>
      <c r="C959" s="14">
        <f>CHOOSE(CONTROL!$C$42, 82.3189, 82.3189) * CHOOSE(CONTROL!$C$21, $C$9, 100%, $E$9)</f>
        <v>82.318899999999999</v>
      </c>
      <c r="D959" s="14">
        <f>CHOOSE(CONTROL!$C$42, 82.3819, 82.3819) * CHOOSE(CONTROL!$C$21, $C$9, 100%, $E$9)</f>
        <v>82.381900000000002</v>
      </c>
      <c r="E959" s="14">
        <f>CHOOSE(CONTROL!$C$42, 82.4157, 82.4157) * CHOOSE(CONTROL!$C$21, $C$9, 100%, $E$9)</f>
        <v>82.415700000000001</v>
      </c>
      <c r="F959" s="14">
        <f>CHOOSE(CONTROL!$C$42, 82.3146, 82.3146)*CHOOSE(CONTROL!$C$21, $C$9, 100%, $E$9)</f>
        <v>82.314599999999999</v>
      </c>
      <c r="G959" s="14">
        <f>CHOOSE(CONTROL!$C$42, 82.3309, 82.3309)*CHOOSE(CONTROL!$C$21, $C$9, 100%, $E$9)</f>
        <v>82.3309</v>
      </c>
      <c r="H959" s="14">
        <f>CHOOSE(CONTROL!$C$42, 82.4049, 82.4049) * CHOOSE(CONTROL!$C$21, $C$9, 100%, $E$9)</f>
        <v>82.404899999999998</v>
      </c>
      <c r="I959" s="14">
        <f>CHOOSE(CONTROL!$C$42, 82.3274, 82.3274)* CHOOSE(CONTROL!$C$21, $C$9, 100%, $E$9)</f>
        <v>82.327399999999997</v>
      </c>
      <c r="J959" s="14">
        <f>CHOOSE(CONTROL!$C$42, 82.3076, 82.3076)* CHOOSE(CONTROL!$C$21, $C$9, 100%, $E$9)</f>
        <v>82.307599999999994</v>
      </c>
      <c r="K959" s="53">
        <f>CHOOSE(CONTROL!$C$42, 82.3236, 82.3236) * CHOOSE(CONTROL!$C$21, $C$9, 100%, $E$9)</f>
        <v>82.323599999999999</v>
      </c>
      <c r="L959" s="14">
        <f>CHOOSE(CONTROL!$C$42, 82.9919, 82.9919) * CHOOSE(CONTROL!$C$21, $C$9, 100%, $E$9)</f>
        <v>82.991900000000001</v>
      </c>
      <c r="M959" s="14">
        <f>CHOOSE(CONTROL!$C$42, 81.4908, 81.4908) * CHOOSE(CONTROL!$C$21, $C$9, 100%, $E$9)</f>
        <v>81.490799999999993</v>
      </c>
      <c r="N959" s="14">
        <f>CHOOSE(CONTROL!$C$42, 81.5069, 81.5069) * CHOOSE(CONTROL!$C$21, $C$9, 100%, $E$9)</f>
        <v>81.506900000000002</v>
      </c>
      <c r="O959" s="14">
        <f>CHOOSE(CONTROL!$C$42, 81.5871, 81.5871) * CHOOSE(CONTROL!$C$21, $C$9, 100%, $E$9)</f>
        <v>81.587100000000007</v>
      </c>
      <c r="P959" s="14">
        <f>CHOOSE(CONTROL!$C$42, 81.5105, 81.5105) * CHOOSE(CONTROL!$C$21, $C$9, 100%, $E$9)</f>
        <v>81.510499999999993</v>
      </c>
      <c r="Q959" s="14">
        <f>CHOOSE(CONTROL!$C$42, 82.1824, 82.1824) * CHOOSE(CONTROL!$C$21, $C$9, 100%, $E$9)</f>
        <v>82.182400000000001</v>
      </c>
      <c r="R959" s="14">
        <f>CHOOSE(CONTROL!$C$42, 82.9749, 82.9749) * CHOOSE(CONTROL!$C$21, $C$9, 100%, $E$9)</f>
        <v>82.974900000000005</v>
      </c>
      <c r="S959" s="14">
        <f>CHOOSE(CONTROL!$C$42, 79.9329, 79.9329) * CHOOSE(CONTROL!$C$21, $C$9, 100%, $E$9)</f>
        <v>79.932900000000004</v>
      </c>
      <c r="T95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59" s="57">
        <f>(1000*CHOOSE(CONTROL!$C$42, 695, 695)*CHOOSE(CONTROL!$C$42, 0.5599, 0.5599)*CHOOSE(CONTROL!$C$42, 30, 30))/1000000</f>
        <v>11.673914999999997</v>
      </c>
      <c r="V959" s="57">
        <f>(1000*CHOOSE(CONTROL!$C$42, 500, 500)*CHOOSE(CONTROL!$C$42, 0.275, 0.275)*CHOOSE(CONTROL!$C$42, 30, 30))/1000000</f>
        <v>4.125</v>
      </c>
      <c r="W959" s="57">
        <f>(1000*CHOOSE(CONTROL!$C$42, 0.1146, 0.1146)*CHOOSE(CONTROL!$C$42, 121.5, 121.5)*CHOOSE(CONTROL!$C$42, 30, 30))/1000000</f>
        <v>0.417717</v>
      </c>
      <c r="X959" s="57">
        <f>(30*0.1790888*100000/1000000)+(30*0.2374*100000/1000000)</f>
        <v>1.2494664</v>
      </c>
      <c r="Y959" s="57"/>
      <c r="Z959" s="14"/>
      <c r="AA959" s="56"/>
      <c r="AB959" s="50">
        <f>(B959*122.58+C959*297.941+D959*89.177+E959*40.302+F959*40+G959*160+H959*0+I959*100+J959*300)/(122.58+297.941+89.177+40.302+0+40+160+100+300)</f>
        <v>82.325956073565223</v>
      </c>
      <c r="AC959" s="45">
        <f>(M959*'RAP TEMPLATE-GAS AVAILABILITY'!O958+N959*'RAP TEMPLATE-GAS AVAILABILITY'!P958+O959*'RAP TEMPLATE-GAS AVAILABILITY'!Q958+P959*'RAP TEMPLATE-GAS AVAILABILITY'!R958)/('RAP TEMPLATE-GAS AVAILABILITY'!O958+'RAP TEMPLATE-GAS AVAILABILITY'!P958+'RAP TEMPLATE-GAS AVAILABILITY'!Q958+'RAP TEMPLATE-GAS AVAILABILITY'!R958)</f>
        <v>81.538207913669069</v>
      </c>
    </row>
    <row r="960" spans="1:29" ht="15.75" x14ac:dyDescent="0.25">
      <c r="A960" s="32">
        <v>70128</v>
      </c>
      <c r="B960" s="14">
        <f>CHOOSE(CONTROL!$C$42, 87.9258, 87.9258) * CHOOSE(CONTROL!$C$21, $C$9, 100%, $E$9)</f>
        <v>87.925799999999995</v>
      </c>
      <c r="C960" s="14">
        <f>CHOOSE(CONTROL!$C$42, 87.9308, 87.9308) * CHOOSE(CONTROL!$C$21, $C$9, 100%, $E$9)</f>
        <v>87.930800000000005</v>
      </c>
      <c r="D960" s="14">
        <f>CHOOSE(CONTROL!$C$42, 87.9939, 87.9939) * CHOOSE(CONTROL!$C$21, $C$9, 100%, $E$9)</f>
        <v>87.993899999999996</v>
      </c>
      <c r="E960" s="14">
        <f>CHOOSE(CONTROL!$C$42, 88.0276, 88.0276) * CHOOSE(CONTROL!$C$21, $C$9, 100%, $E$9)</f>
        <v>88.027600000000007</v>
      </c>
      <c r="F960" s="14">
        <f>CHOOSE(CONTROL!$C$42, 87.9286, 87.9286)*CHOOSE(CONTROL!$C$21, $C$9, 100%, $E$9)</f>
        <v>87.928600000000003</v>
      </c>
      <c r="G960" s="14">
        <f>CHOOSE(CONTROL!$C$42, 87.9454, 87.9454)*CHOOSE(CONTROL!$C$21, $C$9, 100%, $E$9)</f>
        <v>87.945400000000006</v>
      </c>
      <c r="H960" s="14">
        <f>CHOOSE(CONTROL!$C$42, 88.0168, 88.0168) * CHOOSE(CONTROL!$C$21, $C$9, 100%, $E$9)</f>
        <v>88.016800000000003</v>
      </c>
      <c r="I960" s="14">
        <f>CHOOSE(CONTROL!$C$42, 87.9394, 87.9394)* CHOOSE(CONTROL!$C$21, $C$9, 100%, $E$9)</f>
        <v>87.939400000000006</v>
      </c>
      <c r="J960" s="14">
        <f>CHOOSE(CONTROL!$C$42, 87.9216, 87.9216)* CHOOSE(CONTROL!$C$21, $C$9, 100%, $E$9)</f>
        <v>87.921599999999998</v>
      </c>
      <c r="K960" s="53">
        <f>CHOOSE(CONTROL!$C$42, 87.9355, 87.9355) * CHOOSE(CONTROL!$C$21, $C$9, 100%, $E$9)</f>
        <v>87.935500000000005</v>
      </c>
      <c r="L960" s="14">
        <f>CHOOSE(CONTROL!$C$42, 88.6038, 88.6038) * CHOOSE(CONTROL!$C$21, $C$9, 100%, $E$9)</f>
        <v>88.603800000000007</v>
      </c>
      <c r="M960" s="14">
        <f>CHOOSE(CONTROL!$C$42, 87.0481, 87.0481) * CHOOSE(CONTROL!$C$21, $C$9, 100%, $E$9)</f>
        <v>87.048100000000005</v>
      </c>
      <c r="N960" s="14">
        <f>CHOOSE(CONTROL!$C$42, 87.0648, 87.0648) * CHOOSE(CONTROL!$C$21, $C$9, 100%, $E$9)</f>
        <v>87.064800000000005</v>
      </c>
      <c r="O960" s="14">
        <f>CHOOSE(CONTROL!$C$42, 87.1424, 87.1424) * CHOOSE(CONTROL!$C$21, $C$9, 100%, $E$9)</f>
        <v>87.142399999999995</v>
      </c>
      <c r="P960" s="14">
        <f>CHOOSE(CONTROL!$C$42, 87.0658, 87.0658) * CHOOSE(CONTROL!$C$21, $C$9, 100%, $E$9)</f>
        <v>87.065799999999996</v>
      </c>
      <c r="Q960" s="14">
        <f>CHOOSE(CONTROL!$C$42, 87.7377, 87.7377) * CHOOSE(CONTROL!$C$21, $C$9, 100%, $E$9)</f>
        <v>87.737700000000004</v>
      </c>
      <c r="R960" s="14">
        <f>CHOOSE(CONTROL!$C$42, 88.5441, 88.5441) * CHOOSE(CONTROL!$C$21, $C$9, 100%, $E$9)</f>
        <v>88.5441</v>
      </c>
      <c r="S960" s="14">
        <f>CHOOSE(CONTROL!$C$42, 85.3826, 85.3826) * CHOOSE(CONTROL!$C$21, $C$9, 100%, $E$9)</f>
        <v>85.382599999999996</v>
      </c>
      <c r="T96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60" s="57">
        <f>(1000*CHOOSE(CONTROL!$C$42, 695, 695)*CHOOSE(CONTROL!$C$42, 0.5599, 0.5599)*CHOOSE(CONTROL!$C$42, 31, 31))/1000000</f>
        <v>12.063045499999998</v>
      </c>
      <c r="V960" s="57">
        <f>(1000*CHOOSE(CONTROL!$C$42, 500, 500)*CHOOSE(CONTROL!$C$42, 0.275, 0.275)*CHOOSE(CONTROL!$C$42, 31, 31))/1000000</f>
        <v>4.2625000000000002</v>
      </c>
      <c r="W960" s="57">
        <f>(1000*CHOOSE(CONTROL!$C$42, 0.1146, 0.1146)*CHOOSE(CONTROL!$C$42, 121.5, 121.5)*CHOOSE(CONTROL!$C$42, 31, 31))/1000000</f>
        <v>0.43164089999999994</v>
      </c>
      <c r="X960" s="57">
        <f>(31*0.1790888*100000/1000000)+(31*0.2374*100000/1000000)</f>
        <v>1.2911152800000001</v>
      </c>
      <c r="Y960" s="57"/>
      <c r="Z960" s="14"/>
      <c r="AA960" s="56"/>
      <c r="AB960" s="50">
        <f>(B960*122.58+C960*297.941+D960*89.177+E960*40.302+F960*40+G960*160+H960*0+I960*100+J960*300)/(122.58+297.941+89.177+40.302+0+40+160+100+300)</f>
        <v>87.938855132434782</v>
      </c>
      <c r="AC960" s="45">
        <f>(M960*'RAP TEMPLATE-GAS AVAILABILITY'!O959+N960*'RAP TEMPLATE-GAS AVAILABILITY'!P959+O960*'RAP TEMPLATE-GAS AVAILABILITY'!Q959+P960*'RAP TEMPLATE-GAS AVAILABILITY'!R959)/('RAP TEMPLATE-GAS AVAILABILITY'!O959+'RAP TEMPLATE-GAS AVAILABILITY'!P959+'RAP TEMPLATE-GAS AVAILABILITY'!Q959+'RAP TEMPLATE-GAS AVAILABILITY'!R959)</f>
        <v>87.094348201438848</v>
      </c>
    </row>
    <row r="961" spans="1:29" ht="15.75" x14ac:dyDescent="0.25">
      <c r="A961" s="32">
        <v>70159</v>
      </c>
      <c r="B961" s="14">
        <f>CHOOSE(CONTROL!$C$42, 95.13, 95.13) * CHOOSE(CONTROL!$C$21, $C$9, 100%, $E$9)</f>
        <v>95.13</v>
      </c>
      <c r="C961" s="14">
        <f>CHOOSE(CONTROL!$C$42, 95.1349, 95.1349) * CHOOSE(CONTROL!$C$21, $C$9, 100%, $E$9)</f>
        <v>95.134900000000002</v>
      </c>
      <c r="D961" s="14">
        <f>CHOOSE(CONTROL!$C$42, 95.1992, 95.1992) * CHOOSE(CONTROL!$C$21, $C$9, 100%, $E$9)</f>
        <v>95.199200000000005</v>
      </c>
      <c r="E961" s="14">
        <f>CHOOSE(CONTROL!$C$42, 95.233, 95.233) * CHOOSE(CONTROL!$C$21, $C$9, 100%, $E$9)</f>
        <v>95.233000000000004</v>
      </c>
      <c r="F961" s="14">
        <f>CHOOSE(CONTROL!$C$42, 95.1315, 95.1315)*CHOOSE(CONTROL!$C$21, $C$9, 100%, $E$9)</f>
        <v>95.131500000000003</v>
      </c>
      <c r="G961" s="14">
        <f>CHOOSE(CONTROL!$C$42, 95.1474, 95.1474)*CHOOSE(CONTROL!$C$21, $C$9, 100%, $E$9)</f>
        <v>95.147400000000005</v>
      </c>
      <c r="H961" s="14">
        <f>CHOOSE(CONTROL!$C$42, 95.2222, 95.2222) * CHOOSE(CONTROL!$C$21, $C$9, 100%, $E$9)</f>
        <v>95.222200000000001</v>
      </c>
      <c r="I961" s="14">
        <f>CHOOSE(CONTROL!$C$42, 95.1499, 95.1499)* CHOOSE(CONTROL!$C$21, $C$9, 100%, $E$9)</f>
        <v>95.149900000000002</v>
      </c>
      <c r="J961" s="14">
        <f>CHOOSE(CONTROL!$C$42, 95.1245, 95.1245)* CHOOSE(CONTROL!$C$21, $C$9, 100%, $E$9)</f>
        <v>95.124499999999998</v>
      </c>
      <c r="K961" s="53">
        <f>CHOOSE(CONTROL!$C$42, 95.1461, 95.1461) * CHOOSE(CONTROL!$C$21, $C$9, 100%, $E$9)</f>
        <v>95.146100000000004</v>
      </c>
      <c r="L961" s="14">
        <f>CHOOSE(CONTROL!$C$42, 95.8092, 95.8092) * CHOOSE(CONTROL!$C$21, $C$9, 100%, $E$9)</f>
        <v>95.809200000000004</v>
      </c>
      <c r="M961" s="14">
        <f>CHOOSE(CONTROL!$C$42, 94.1783, 94.1783) * CHOOSE(CONTROL!$C$21, $C$9, 100%, $E$9)</f>
        <v>94.178299999999993</v>
      </c>
      <c r="N961" s="14">
        <f>CHOOSE(CONTROL!$C$42, 94.1941, 94.1941) * CHOOSE(CONTROL!$C$21, $C$9, 100%, $E$9)</f>
        <v>94.194100000000006</v>
      </c>
      <c r="O961" s="14">
        <f>CHOOSE(CONTROL!$C$42, 94.275, 94.275) * CHOOSE(CONTROL!$C$21, $C$9, 100%, $E$9)</f>
        <v>94.275000000000006</v>
      </c>
      <c r="P961" s="14">
        <f>CHOOSE(CONTROL!$C$42, 94.2036, 94.2036) * CHOOSE(CONTROL!$C$21, $C$9, 100%, $E$9)</f>
        <v>94.203599999999994</v>
      </c>
      <c r="Q961" s="14">
        <f>CHOOSE(CONTROL!$C$42, 94.8703, 94.8703) * CHOOSE(CONTROL!$C$21, $C$9, 100%, $E$9)</f>
        <v>94.8703</v>
      </c>
      <c r="R961" s="14">
        <f>CHOOSE(CONTROL!$C$42, 95.6945, 95.6945) * CHOOSE(CONTROL!$C$21, $C$9, 100%, $E$9)</f>
        <v>95.694500000000005</v>
      </c>
      <c r="S961" s="14">
        <f>CHOOSE(CONTROL!$C$42, 92.3786, 92.3786) * CHOOSE(CONTROL!$C$21, $C$9, 100%, $E$9)</f>
        <v>92.378600000000006</v>
      </c>
      <c r="T96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61" s="57">
        <f>(1000*CHOOSE(CONTROL!$C$42, 695, 695)*CHOOSE(CONTROL!$C$42, 0.5599, 0.5599)*CHOOSE(CONTROL!$C$42, 31, 31))/1000000</f>
        <v>12.063045499999998</v>
      </c>
      <c r="V961" s="57">
        <f>(1000*CHOOSE(CONTROL!$C$42, 500, 500)*CHOOSE(CONTROL!$C$42, 0.275, 0.275)*CHOOSE(CONTROL!$C$42, 31, 31))/1000000</f>
        <v>4.2625000000000002</v>
      </c>
      <c r="W961" s="57">
        <f>(1000*CHOOSE(CONTROL!$C$42, 0.1146, 0.1146)*CHOOSE(CONTROL!$C$42, 121.5, 121.5)*CHOOSE(CONTROL!$C$42, 31, 31))/1000000</f>
        <v>0.43164089999999994</v>
      </c>
      <c r="X961" s="57">
        <f>(31*0.1790888*100000/1000000)+(31*0.2374*100000/1000000)</f>
        <v>1.2911152800000001</v>
      </c>
      <c r="Y961" s="57"/>
      <c r="Z961" s="14"/>
      <c r="AA961" s="56"/>
      <c r="AB961" s="50">
        <f>(B961*122.58+C961*297.941+D961*89.177+E961*40.302+F961*40+G961*160+H961*0+I961*100+J961*300)/(122.58+297.941+89.177+40.302+0+40+160+100+300)</f>
        <v>95.143013969826072</v>
      </c>
      <c r="AC961" s="45">
        <f>(M961*'RAP TEMPLATE-GAS AVAILABILITY'!O960+N961*'RAP TEMPLATE-GAS AVAILABILITY'!P960+O961*'RAP TEMPLATE-GAS AVAILABILITY'!Q960+P961*'RAP TEMPLATE-GAS AVAILABILITY'!R960)/('RAP TEMPLATE-GAS AVAILABILITY'!O960+'RAP TEMPLATE-GAS AVAILABILITY'!P960+'RAP TEMPLATE-GAS AVAILABILITY'!Q960+'RAP TEMPLATE-GAS AVAILABILITY'!R960)</f>
        <v>94.226677697841723</v>
      </c>
    </row>
    <row r="962" spans="1:29" ht="15.75" x14ac:dyDescent="0.25">
      <c r="A962" s="32">
        <v>70188</v>
      </c>
      <c r="B962" s="14">
        <f>CHOOSE(CONTROL!$C$42, 96.8234, 96.8234) * CHOOSE(CONTROL!$C$21, $C$9, 100%, $E$9)</f>
        <v>96.823400000000007</v>
      </c>
      <c r="C962" s="14">
        <f>CHOOSE(CONTROL!$C$42, 96.8283, 96.8283) * CHOOSE(CONTROL!$C$21, $C$9, 100%, $E$9)</f>
        <v>96.828299999999999</v>
      </c>
      <c r="D962" s="14">
        <f>CHOOSE(CONTROL!$C$42, 96.8926, 96.8926) * CHOOSE(CONTROL!$C$21, $C$9, 100%, $E$9)</f>
        <v>96.892600000000002</v>
      </c>
      <c r="E962" s="14">
        <f>CHOOSE(CONTROL!$C$42, 96.9264, 96.9264) * CHOOSE(CONTROL!$C$21, $C$9, 100%, $E$9)</f>
        <v>96.926400000000001</v>
      </c>
      <c r="F962" s="14">
        <f>CHOOSE(CONTROL!$C$42, 96.8249, 96.8249)*CHOOSE(CONTROL!$C$21, $C$9, 100%, $E$9)</f>
        <v>96.8249</v>
      </c>
      <c r="G962" s="14">
        <f>CHOOSE(CONTROL!$C$42, 96.8409, 96.8409)*CHOOSE(CONTROL!$C$21, $C$9, 100%, $E$9)</f>
        <v>96.840900000000005</v>
      </c>
      <c r="H962" s="14">
        <f>CHOOSE(CONTROL!$C$42, 96.9156, 96.9156) * CHOOSE(CONTROL!$C$21, $C$9, 100%, $E$9)</f>
        <v>96.915599999999998</v>
      </c>
      <c r="I962" s="14">
        <f>CHOOSE(CONTROL!$C$42, 96.8433, 96.8433)* CHOOSE(CONTROL!$C$21, $C$9, 100%, $E$9)</f>
        <v>96.843299999999999</v>
      </c>
      <c r="J962" s="14">
        <f>CHOOSE(CONTROL!$C$42, 96.8179, 96.8179)* CHOOSE(CONTROL!$C$21, $C$9, 100%, $E$9)</f>
        <v>96.817899999999995</v>
      </c>
      <c r="K962" s="53">
        <f>CHOOSE(CONTROL!$C$42, 96.8395, 96.8395) * CHOOSE(CONTROL!$C$21, $C$9, 100%, $E$9)</f>
        <v>96.839500000000001</v>
      </c>
      <c r="L962" s="14">
        <f>CHOOSE(CONTROL!$C$42, 97.5026, 97.5026) * CHOOSE(CONTROL!$C$21, $C$9, 100%, $E$9)</f>
        <v>97.502600000000001</v>
      </c>
      <c r="M962" s="14">
        <f>CHOOSE(CONTROL!$C$42, 95.8547, 95.8547) * CHOOSE(CONTROL!$C$21, $C$9, 100%, $E$9)</f>
        <v>95.854699999999994</v>
      </c>
      <c r="N962" s="14">
        <f>CHOOSE(CONTROL!$C$42, 95.8705, 95.8705) * CHOOSE(CONTROL!$C$21, $C$9, 100%, $E$9)</f>
        <v>95.870500000000007</v>
      </c>
      <c r="O962" s="14">
        <f>CHOOSE(CONTROL!$C$42, 95.9514, 95.9514) * CHOOSE(CONTROL!$C$21, $C$9, 100%, $E$9)</f>
        <v>95.951400000000007</v>
      </c>
      <c r="P962" s="14">
        <f>CHOOSE(CONTROL!$C$42, 95.8799, 95.8799) * CHOOSE(CONTROL!$C$21, $C$9, 100%, $E$9)</f>
        <v>95.879900000000006</v>
      </c>
      <c r="Q962" s="14">
        <f>CHOOSE(CONTROL!$C$42, 96.5467, 96.5467) * CHOOSE(CONTROL!$C$21, $C$9, 100%, $E$9)</f>
        <v>96.546700000000001</v>
      </c>
      <c r="R962" s="14">
        <f>CHOOSE(CONTROL!$C$42, 97.375, 97.375) * CHOOSE(CONTROL!$C$21, $C$9, 100%, $E$9)</f>
        <v>97.375</v>
      </c>
      <c r="S962" s="14">
        <f>CHOOSE(CONTROL!$C$42, 94.023, 94.023) * CHOOSE(CONTROL!$C$21, $C$9, 100%, $E$9)</f>
        <v>94.022999999999996</v>
      </c>
      <c r="T962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962" s="57">
        <f>(1000*CHOOSE(CONTROL!$C$42, 695, 695)*CHOOSE(CONTROL!$C$42, 0.5599, 0.5599)*CHOOSE(CONTROL!$C$42, 29, 29))/1000000</f>
        <v>11.284784499999999</v>
      </c>
      <c r="V962" s="57">
        <f>(1000*CHOOSE(CONTROL!$C$42, 500, 500)*CHOOSE(CONTROL!$C$42, 0.275, 0.275)*CHOOSE(CONTROL!$C$42, 29, 29))/1000000</f>
        <v>3.9874999999999998</v>
      </c>
      <c r="W962" s="57">
        <f>(1000*CHOOSE(CONTROL!$C$42, 0.1146, 0.1146)*CHOOSE(CONTROL!$C$42, 121.5, 121.5)*CHOOSE(CONTROL!$C$42, 29, 29))/1000000</f>
        <v>0.40379309999999996</v>
      </c>
      <c r="X962" s="57">
        <f>(29*0.1790888*100000/1000000)+(29*0.2374*100000/1000000)</f>
        <v>1.2078175199999999</v>
      </c>
      <c r="Y962" s="57"/>
      <c r="Z962" s="14"/>
      <c r="AA962" s="56"/>
      <c r="AB962" s="50">
        <f>(B962*122.58+C962*297.941+D962*89.177+E962*40.302+F962*40+G962*160+H962*0+I962*100+J962*300)/(122.58+297.941+89.177+40.302+0+40+160+100+300)</f>
        <v>96.836427882869572</v>
      </c>
      <c r="AC962" s="45">
        <f>(M962*'RAP TEMPLATE-GAS AVAILABILITY'!O961+N962*'RAP TEMPLATE-GAS AVAILABILITY'!P961+O962*'RAP TEMPLATE-GAS AVAILABILITY'!Q961+P962*'RAP TEMPLATE-GAS AVAILABILITY'!R961)/('RAP TEMPLATE-GAS AVAILABILITY'!O961+'RAP TEMPLATE-GAS AVAILABILITY'!P961+'RAP TEMPLATE-GAS AVAILABILITY'!Q961+'RAP TEMPLATE-GAS AVAILABILITY'!R961)</f>
        <v>95.903063309352518</v>
      </c>
    </row>
    <row r="963" spans="1:29" ht="15.75" x14ac:dyDescent="0.25">
      <c r="A963" s="32">
        <v>70219</v>
      </c>
      <c r="B963" s="14">
        <f>CHOOSE(CONTROL!$C$42, 94.0746, 94.0746) * CHOOSE(CONTROL!$C$21, $C$9, 100%, $E$9)</f>
        <v>94.074600000000004</v>
      </c>
      <c r="C963" s="14">
        <f>CHOOSE(CONTROL!$C$42, 94.0795, 94.0795) * CHOOSE(CONTROL!$C$21, $C$9, 100%, $E$9)</f>
        <v>94.079499999999996</v>
      </c>
      <c r="D963" s="14">
        <f>CHOOSE(CONTROL!$C$42, 94.1438, 94.1438) * CHOOSE(CONTROL!$C$21, $C$9, 100%, $E$9)</f>
        <v>94.143799999999999</v>
      </c>
      <c r="E963" s="14">
        <f>CHOOSE(CONTROL!$C$42, 94.1776, 94.1776) * CHOOSE(CONTROL!$C$21, $C$9, 100%, $E$9)</f>
        <v>94.177599999999998</v>
      </c>
      <c r="F963" s="14">
        <f>CHOOSE(CONTROL!$C$42, 94.0758, 94.0758)*CHOOSE(CONTROL!$C$21, $C$9, 100%, $E$9)</f>
        <v>94.075800000000001</v>
      </c>
      <c r="G963" s="14">
        <f>CHOOSE(CONTROL!$C$42, 94.0917, 94.0917)*CHOOSE(CONTROL!$C$21, $C$9, 100%, $E$9)</f>
        <v>94.091700000000003</v>
      </c>
      <c r="H963" s="14">
        <f>CHOOSE(CONTROL!$C$42, 94.1668, 94.1668) * CHOOSE(CONTROL!$C$21, $C$9, 100%, $E$9)</f>
        <v>94.166799999999995</v>
      </c>
      <c r="I963" s="14">
        <f>CHOOSE(CONTROL!$C$42, 94.0945, 94.0945)* CHOOSE(CONTROL!$C$21, $C$9, 100%, $E$9)</f>
        <v>94.094499999999996</v>
      </c>
      <c r="J963" s="14">
        <f>CHOOSE(CONTROL!$C$42, 94.0688, 94.0688)* CHOOSE(CONTROL!$C$21, $C$9, 100%, $E$9)</f>
        <v>94.068799999999996</v>
      </c>
      <c r="K963" s="53">
        <f>CHOOSE(CONTROL!$C$42, 94.0907, 94.0907) * CHOOSE(CONTROL!$C$21, $C$9, 100%, $E$9)</f>
        <v>94.090699999999998</v>
      </c>
      <c r="L963" s="14">
        <f>CHOOSE(CONTROL!$C$42, 94.7538, 94.7538) * CHOOSE(CONTROL!$C$21, $C$9, 100%, $E$9)</f>
        <v>94.753799999999998</v>
      </c>
      <c r="M963" s="14">
        <f>CHOOSE(CONTROL!$C$42, 93.1333, 93.1333) * CHOOSE(CONTROL!$C$21, $C$9, 100%, $E$9)</f>
        <v>93.133300000000006</v>
      </c>
      <c r="N963" s="14">
        <f>CHOOSE(CONTROL!$C$42, 93.149, 93.149) * CHOOSE(CONTROL!$C$21, $C$9, 100%, $E$9)</f>
        <v>93.149000000000001</v>
      </c>
      <c r="O963" s="14">
        <f>CHOOSE(CONTROL!$C$42, 93.2303, 93.2303) * CHOOSE(CONTROL!$C$21, $C$9, 100%, $E$9)</f>
        <v>93.2303</v>
      </c>
      <c r="P963" s="14">
        <f>CHOOSE(CONTROL!$C$42, 93.1588, 93.1588) * CHOOSE(CONTROL!$C$21, $C$9, 100%, $E$9)</f>
        <v>93.158799999999999</v>
      </c>
      <c r="Q963" s="14">
        <f>CHOOSE(CONTROL!$C$42, 93.8256, 93.8256) * CHOOSE(CONTROL!$C$21, $C$9, 100%, $E$9)</f>
        <v>93.825599999999994</v>
      </c>
      <c r="R963" s="14">
        <f>CHOOSE(CONTROL!$C$42, 94.6472, 94.6472) * CHOOSE(CONTROL!$C$21, $C$9, 100%, $E$9)</f>
        <v>94.647199999999998</v>
      </c>
      <c r="S963" s="14">
        <f>CHOOSE(CONTROL!$C$42, 91.3537, 91.3537) * CHOOSE(CONTROL!$C$21, $C$9, 100%, $E$9)</f>
        <v>91.353700000000003</v>
      </c>
      <c r="T96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63" s="57">
        <f>(1000*CHOOSE(CONTROL!$C$42, 695, 695)*CHOOSE(CONTROL!$C$42, 0.5599, 0.5599)*CHOOSE(CONTROL!$C$42, 31, 31))/1000000</f>
        <v>12.063045499999998</v>
      </c>
      <c r="V963" s="57">
        <f>(1000*CHOOSE(CONTROL!$C$42, 500, 500)*CHOOSE(CONTROL!$C$42, 0.275, 0.275)*CHOOSE(CONTROL!$C$42, 31, 31))/1000000</f>
        <v>4.2625000000000002</v>
      </c>
      <c r="W963" s="57">
        <f>(1000*CHOOSE(CONTROL!$C$42, 0.1146, 0.1146)*CHOOSE(CONTROL!$C$42, 121.5, 121.5)*CHOOSE(CONTROL!$C$42, 31, 31))/1000000</f>
        <v>0.43164089999999994</v>
      </c>
      <c r="X963" s="57">
        <f>(31*0.1790888*100000/1000000)+(31*0.2374*100000/1000000)</f>
        <v>1.2911152800000001</v>
      </c>
      <c r="Y963" s="57"/>
      <c r="Z963" s="14"/>
      <c r="AA963" s="56"/>
      <c r="AB963" s="50">
        <f>(B963*122.58+C963*297.941+D963*89.177+E963*40.302+F963*40+G963*160+H963*0+I963*100+J963*300)/(122.58+297.941+89.177+40.302+0+40+160+100+300)</f>
        <v>94.087483535043461</v>
      </c>
      <c r="AC963" s="45">
        <f>(M963*'RAP TEMPLATE-GAS AVAILABILITY'!O962+N963*'RAP TEMPLATE-GAS AVAILABILITY'!P962+O963*'RAP TEMPLATE-GAS AVAILABILITY'!Q962+P963*'RAP TEMPLATE-GAS AVAILABILITY'!R962)/('RAP TEMPLATE-GAS AVAILABILITY'!O962+'RAP TEMPLATE-GAS AVAILABILITY'!P962+'RAP TEMPLATE-GAS AVAILABILITY'!Q962+'RAP TEMPLATE-GAS AVAILABILITY'!R962)</f>
        <v>93.181836690647486</v>
      </c>
    </row>
    <row r="964" spans="1:29" ht="15.75" x14ac:dyDescent="0.25">
      <c r="A964" s="32">
        <v>70249</v>
      </c>
      <c r="B964" s="14">
        <f>CHOOSE(CONTROL!$C$42, 93.7941, 93.7941) * CHOOSE(CONTROL!$C$21, $C$9, 100%, $E$9)</f>
        <v>93.7941</v>
      </c>
      <c r="C964" s="14">
        <f>CHOOSE(CONTROL!$C$42, 93.7984, 93.7984) * CHOOSE(CONTROL!$C$21, $C$9, 100%, $E$9)</f>
        <v>93.798400000000001</v>
      </c>
      <c r="D964" s="14">
        <f>CHOOSE(CONTROL!$C$42, 93.9992, 93.9992) * CHOOSE(CONTROL!$C$21, $C$9, 100%, $E$9)</f>
        <v>93.999200000000002</v>
      </c>
      <c r="E964" s="14">
        <f>CHOOSE(CONTROL!$C$42, 94.0309, 94.0309) * CHOOSE(CONTROL!$C$21, $C$9, 100%, $E$9)</f>
        <v>94.030900000000003</v>
      </c>
      <c r="F964" s="14">
        <f>CHOOSE(CONTROL!$C$42, 93.7786, 93.7786)*CHOOSE(CONTROL!$C$21, $C$9, 100%, $E$9)</f>
        <v>93.778599999999997</v>
      </c>
      <c r="G964" s="14">
        <f>CHOOSE(CONTROL!$C$42, 93.7943, 93.7943)*CHOOSE(CONTROL!$C$21, $C$9, 100%, $E$9)</f>
        <v>93.794300000000007</v>
      </c>
      <c r="H964" s="14">
        <f>CHOOSE(CONTROL!$C$42, 94.0207, 94.0207) * CHOOSE(CONTROL!$C$21, $C$9, 100%, $E$9)</f>
        <v>94.020700000000005</v>
      </c>
      <c r="I964" s="14">
        <f>CHOOSE(CONTROL!$C$42, 93.8068, 93.8068)* CHOOSE(CONTROL!$C$21, $C$9, 100%, $E$9)</f>
        <v>93.806799999999996</v>
      </c>
      <c r="J964" s="14">
        <f>CHOOSE(CONTROL!$C$42, 93.7716, 93.7716)* CHOOSE(CONTROL!$C$21, $C$9, 100%, $E$9)</f>
        <v>93.771600000000007</v>
      </c>
      <c r="K964" s="53">
        <f>CHOOSE(CONTROL!$C$42, 93.8029, 93.8029) * CHOOSE(CONTROL!$C$21, $C$9, 100%, $E$9)</f>
        <v>93.802899999999994</v>
      </c>
      <c r="L964" s="14">
        <f>CHOOSE(CONTROL!$C$42, 94.6077, 94.6077) * CHOOSE(CONTROL!$C$21, $C$9, 100%, $E$9)</f>
        <v>94.607699999999994</v>
      </c>
      <c r="M964" s="14">
        <f>CHOOSE(CONTROL!$C$42, 92.8392, 92.8392) * CHOOSE(CONTROL!$C$21, $C$9, 100%, $E$9)</f>
        <v>92.839200000000005</v>
      </c>
      <c r="N964" s="14">
        <f>CHOOSE(CONTROL!$C$42, 92.8546, 92.8546) * CHOOSE(CONTROL!$C$21, $C$9, 100%, $E$9)</f>
        <v>92.854600000000005</v>
      </c>
      <c r="O964" s="14">
        <f>CHOOSE(CONTROL!$C$42, 93.0857, 93.0857) * CHOOSE(CONTROL!$C$21, $C$9, 100%, $E$9)</f>
        <v>93.085700000000003</v>
      </c>
      <c r="P964" s="14">
        <f>CHOOSE(CONTROL!$C$42, 92.874, 92.874) * CHOOSE(CONTROL!$C$21, $C$9, 100%, $E$9)</f>
        <v>92.873999999999995</v>
      </c>
      <c r="Q964" s="14">
        <f>CHOOSE(CONTROL!$C$42, 93.681, 93.681) * CHOOSE(CONTROL!$C$21, $C$9, 100%, $E$9)</f>
        <v>93.680999999999997</v>
      </c>
      <c r="R964" s="14">
        <f>CHOOSE(CONTROL!$C$42, 94.5022, 94.5022) * CHOOSE(CONTROL!$C$21, $C$9, 100%, $E$9)</f>
        <v>94.502200000000002</v>
      </c>
      <c r="S964" s="14">
        <f>CHOOSE(CONTROL!$C$42, 91.0805, 91.0805) * CHOOSE(CONTROL!$C$21, $C$9, 100%, $E$9)</f>
        <v>91.080500000000001</v>
      </c>
      <c r="T96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64" s="57">
        <f>(1000*CHOOSE(CONTROL!$C$42, 695, 695)*CHOOSE(CONTROL!$C$42, 0.5599, 0.5599)*CHOOSE(CONTROL!$C$42, 30, 30))/1000000</f>
        <v>11.673914999999997</v>
      </c>
      <c r="V964" s="57">
        <f>(1000*CHOOSE(CONTROL!$C$42, 500, 500)*CHOOSE(CONTROL!$C$42, 0.275, 0.275)*CHOOSE(CONTROL!$C$42, 30, 30))/1000000</f>
        <v>4.125</v>
      </c>
      <c r="W964" s="57">
        <f>(1000*CHOOSE(CONTROL!$C$42, 0.1146, 0.1146)*CHOOSE(CONTROL!$C$42, 121.5, 121.5)*CHOOSE(CONTROL!$C$42, 30, 30))/1000000</f>
        <v>0.417717</v>
      </c>
      <c r="X964" s="57">
        <f>(30*0.1790888*245000/1000000)+(30*0.2374*100000/1000000)</f>
        <v>2.0285026799999999</v>
      </c>
      <c r="Y964" s="57"/>
      <c r="Z964" s="14"/>
      <c r="AA964" s="56"/>
      <c r="AB964" s="50">
        <f>(B964*141.293+C964*267.993+D964*115.016+E964*89.698+F964*40+G964*185+H964*0+I964*100+J964*300)/(141.293+267.993+115.016+89.698+0+40+185+100+300)</f>
        <v>93.826319239628731</v>
      </c>
      <c r="AC964" s="45">
        <f>(M964*'RAP TEMPLATE-GAS AVAILABILITY'!O963+N964*'RAP TEMPLATE-GAS AVAILABILITY'!P963+O964*'RAP TEMPLATE-GAS AVAILABILITY'!Q963+P964*'RAP TEMPLATE-GAS AVAILABILITY'!R963)/('RAP TEMPLATE-GAS AVAILABILITY'!O963+'RAP TEMPLATE-GAS AVAILABILITY'!P963+'RAP TEMPLATE-GAS AVAILABILITY'!Q963+'RAP TEMPLATE-GAS AVAILABILITY'!R963)</f>
        <v>92.95681654676261</v>
      </c>
    </row>
    <row r="965" spans="1:29" ht="15.75" x14ac:dyDescent="0.25">
      <c r="A965" s="32">
        <v>70280</v>
      </c>
      <c r="B965" s="14">
        <f>CHOOSE(CONTROL!$C$42, 94.6233, 94.6233) * CHOOSE(CONTROL!$C$21, $C$9, 100%, $E$9)</f>
        <v>94.6233</v>
      </c>
      <c r="C965" s="14">
        <f>CHOOSE(CONTROL!$C$42, 94.6312, 94.6312) * CHOOSE(CONTROL!$C$21, $C$9, 100%, $E$9)</f>
        <v>94.631200000000007</v>
      </c>
      <c r="D965" s="14">
        <f>CHOOSE(CONTROL!$C$42, 94.8288, 94.8288) * CHOOSE(CONTROL!$C$21, $C$9, 100%, $E$9)</f>
        <v>94.828800000000001</v>
      </c>
      <c r="E965" s="14">
        <f>CHOOSE(CONTROL!$C$42, 94.8599, 94.8599) * CHOOSE(CONTROL!$C$21, $C$9, 100%, $E$9)</f>
        <v>94.859899999999996</v>
      </c>
      <c r="F965" s="14">
        <f>CHOOSE(CONTROL!$C$42, 94.6067, 94.6067)*CHOOSE(CONTROL!$C$21, $C$9, 100%, $E$9)</f>
        <v>94.606700000000004</v>
      </c>
      <c r="G965" s="14">
        <f>CHOOSE(CONTROL!$C$42, 94.6228, 94.6228)*CHOOSE(CONTROL!$C$21, $C$9, 100%, $E$9)</f>
        <v>94.622799999999998</v>
      </c>
      <c r="H965" s="14">
        <f>CHOOSE(CONTROL!$C$42, 94.8485, 94.8485) * CHOOSE(CONTROL!$C$21, $C$9, 100%, $E$9)</f>
        <v>94.848500000000001</v>
      </c>
      <c r="I965" s="14">
        <f>CHOOSE(CONTROL!$C$42, 94.6346, 94.6346)* CHOOSE(CONTROL!$C$21, $C$9, 100%, $E$9)</f>
        <v>94.634600000000006</v>
      </c>
      <c r="J965" s="14">
        <f>CHOOSE(CONTROL!$C$42, 94.5997, 94.5997)* CHOOSE(CONTROL!$C$21, $C$9, 100%, $E$9)</f>
        <v>94.599699999999999</v>
      </c>
      <c r="K965" s="53">
        <f>CHOOSE(CONTROL!$C$42, 94.6307, 94.6307) * CHOOSE(CONTROL!$C$21, $C$9, 100%, $E$9)</f>
        <v>94.630700000000004</v>
      </c>
      <c r="L965" s="14">
        <f>CHOOSE(CONTROL!$C$42, 95.4355, 95.4355) * CHOOSE(CONTROL!$C$21, $C$9, 100%, $E$9)</f>
        <v>95.435500000000005</v>
      </c>
      <c r="M965" s="14">
        <f>CHOOSE(CONTROL!$C$42, 93.6588, 93.6588) * CHOOSE(CONTROL!$C$21, $C$9, 100%, $E$9)</f>
        <v>93.658799999999999</v>
      </c>
      <c r="N965" s="14">
        <f>CHOOSE(CONTROL!$C$42, 93.6748, 93.6748) * CHOOSE(CONTROL!$C$21, $C$9, 100%, $E$9)</f>
        <v>93.674800000000005</v>
      </c>
      <c r="O965" s="14">
        <f>CHOOSE(CONTROL!$C$42, 93.9052, 93.9052) * CHOOSE(CONTROL!$C$21, $C$9, 100%, $E$9)</f>
        <v>93.905199999999994</v>
      </c>
      <c r="P965" s="14">
        <f>CHOOSE(CONTROL!$C$42, 93.6935, 93.6935) * CHOOSE(CONTROL!$C$21, $C$9, 100%, $E$9)</f>
        <v>93.6935</v>
      </c>
      <c r="Q965" s="14">
        <f>CHOOSE(CONTROL!$C$42, 94.5005, 94.5005) * CHOOSE(CONTROL!$C$21, $C$9, 100%, $E$9)</f>
        <v>94.500500000000002</v>
      </c>
      <c r="R965" s="14">
        <f>CHOOSE(CONTROL!$C$42, 95.3237, 95.3237) * CHOOSE(CONTROL!$C$21, $C$9, 100%, $E$9)</f>
        <v>95.323700000000002</v>
      </c>
      <c r="S965" s="14">
        <f>CHOOSE(CONTROL!$C$42, 91.8844, 91.8844) * CHOOSE(CONTROL!$C$21, $C$9, 100%, $E$9)</f>
        <v>91.884399999999999</v>
      </c>
      <c r="T96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65" s="57">
        <f>(1000*CHOOSE(CONTROL!$C$42, 695, 695)*CHOOSE(CONTROL!$C$42, 0.5599, 0.5599)*CHOOSE(CONTROL!$C$42, 31, 31))/1000000</f>
        <v>12.063045499999998</v>
      </c>
      <c r="V965" s="57">
        <f>(1000*CHOOSE(CONTROL!$C$42, 500, 500)*CHOOSE(CONTROL!$C$42, 0.275, 0.275)*CHOOSE(CONTROL!$C$42, 31, 31))/1000000</f>
        <v>4.2625000000000002</v>
      </c>
      <c r="W965" s="57">
        <f>(1000*CHOOSE(CONTROL!$C$42, 0.1146, 0.1146)*CHOOSE(CONTROL!$C$42, 121.5, 121.5)*CHOOSE(CONTROL!$C$42, 31, 31))/1000000</f>
        <v>0.43164089999999994</v>
      </c>
      <c r="X965" s="57">
        <f>(31*0.1790888*245000/1000000)+(31*0.2374*100000/1000000)</f>
        <v>2.0961194359999999</v>
      </c>
      <c r="Y965" s="57"/>
      <c r="Z965" s="14"/>
      <c r="AA965" s="56"/>
      <c r="AB965" s="50">
        <f>(B965*194.205+C965*267.466+D965*133.845+E965*53.484+F965*40+G965*185+H965*0+I965*100+J965*300)/(194.205+267.466+133.845+53.484+0+40+185+100+300)</f>
        <v>94.651216752982748</v>
      </c>
      <c r="AC965" s="45">
        <f>(M965*'RAP TEMPLATE-GAS AVAILABILITY'!O964+N965*'RAP TEMPLATE-GAS AVAILABILITY'!P964+O965*'RAP TEMPLATE-GAS AVAILABILITY'!Q964+P965*'RAP TEMPLATE-GAS AVAILABILITY'!R964)/('RAP TEMPLATE-GAS AVAILABILITY'!O964+'RAP TEMPLATE-GAS AVAILABILITY'!P964+'RAP TEMPLATE-GAS AVAILABILITY'!Q964+'RAP TEMPLATE-GAS AVAILABILITY'!R964)</f>
        <v>93.776391366906466</v>
      </c>
    </row>
    <row r="966" spans="1:29" ht="15.75" x14ac:dyDescent="0.25">
      <c r="A966" s="32">
        <v>70310</v>
      </c>
      <c r="B966" s="14">
        <f>CHOOSE(CONTROL!$C$42, 97.3072, 97.3072) * CHOOSE(CONTROL!$C$21, $C$9, 100%, $E$9)</f>
        <v>97.307199999999995</v>
      </c>
      <c r="C966" s="14">
        <f>CHOOSE(CONTROL!$C$42, 97.3152, 97.3152) * CHOOSE(CONTROL!$C$21, $C$9, 100%, $E$9)</f>
        <v>97.315200000000004</v>
      </c>
      <c r="D966" s="14">
        <f>CHOOSE(CONTROL!$C$42, 97.5127, 97.5127) * CHOOSE(CONTROL!$C$21, $C$9, 100%, $E$9)</f>
        <v>97.512699999999995</v>
      </c>
      <c r="E966" s="14">
        <f>CHOOSE(CONTROL!$C$42, 97.5439, 97.5439) * CHOOSE(CONTROL!$C$21, $C$9, 100%, $E$9)</f>
        <v>97.543899999999994</v>
      </c>
      <c r="F966" s="14">
        <f>CHOOSE(CONTROL!$C$42, 97.2911, 97.2911)*CHOOSE(CONTROL!$C$21, $C$9, 100%, $E$9)</f>
        <v>97.2911</v>
      </c>
      <c r="G966" s="14">
        <f>CHOOSE(CONTROL!$C$42, 97.3073, 97.3073)*CHOOSE(CONTROL!$C$21, $C$9, 100%, $E$9)</f>
        <v>97.307299999999998</v>
      </c>
      <c r="H966" s="14">
        <f>CHOOSE(CONTROL!$C$42, 97.5325, 97.5325) * CHOOSE(CONTROL!$C$21, $C$9, 100%, $E$9)</f>
        <v>97.532499999999999</v>
      </c>
      <c r="I966" s="14">
        <f>CHOOSE(CONTROL!$C$42, 97.3186, 97.3186)* CHOOSE(CONTROL!$C$21, $C$9, 100%, $E$9)</f>
        <v>97.318600000000004</v>
      </c>
      <c r="J966" s="14">
        <f>CHOOSE(CONTROL!$C$42, 97.2841, 97.2841)* CHOOSE(CONTROL!$C$21, $C$9, 100%, $E$9)</f>
        <v>97.284099999999995</v>
      </c>
      <c r="K966" s="53">
        <f>CHOOSE(CONTROL!$C$42, 97.3147, 97.3147) * CHOOSE(CONTROL!$C$21, $C$9, 100%, $E$9)</f>
        <v>97.314700000000002</v>
      </c>
      <c r="L966" s="14">
        <f>CHOOSE(CONTROL!$C$42, 98.1195, 98.1195) * CHOOSE(CONTROL!$C$21, $C$9, 100%, $E$9)</f>
        <v>98.119500000000002</v>
      </c>
      <c r="M966" s="14">
        <f>CHOOSE(CONTROL!$C$42, 96.3161, 96.3161) * CHOOSE(CONTROL!$C$21, $C$9, 100%, $E$9)</f>
        <v>96.316100000000006</v>
      </c>
      <c r="N966" s="14">
        <f>CHOOSE(CONTROL!$C$42, 96.3322, 96.3322) * CHOOSE(CONTROL!$C$21, $C$9, 100%, $E$9)</f>
        <v>96.3322</v>
      </c>
      <c r="O966" s="14">
        <f>CHOOSE(CONTROL!$C$42, 96.5621, 96.5621) * CHOOSE(CONTROL!$C$21, $C$9, 100%, $E$9)</f>
        <v>96.562100000000001</v>
      </c>
      <c r="P966" s="14">
        <f>CHOOSE(CONTROL!$C$42, 96.3504, 96.3504) * CHOOSE(CONTROL!$C$21, $C$9, 100%, $E$9)</f>
        <v>96.350399999999993</v>
      </c>
      <c r="Q966" s="14">
        <f>CHOOSE(CONTROL!$C$42, 97.1574, 97.1574) * CHOOSE(CONTROL!$C$21, $C$9, 100%, $E$9)</f>
        <v>97.157399999999996</v>
      </c>
      <c r="R966" s="14">
        <f>CHOOSE(CONTROL!$C$42, 97.9873, 97.9873) * CHOOSE(CONTROL!$C$21, $C$9, 100%, $E$9)</f>
        <v>97.987300000000005</v>
      </c>
      <c r="S966" s="14">
        <f>CHOOSE(CONTROL!$C$42, 94.4908, 94.4908) * CHOOSE(CONTROL!$C$21, $C$9, 100%, $E$9)</f>
        <v>94.490799999999993</v>
      </c>
      <c r="T96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66" s="57">
        <f>(1000*CHOOSE(CONTROL!$C$42, 695, 695)*CHOOSE(CONTROL!$C$42, 0.5599, 0.5599)*CHOOSE(CONTROL!$C$42, 30, 30))/1000000</f>
        <v>11.673914999999997</v>
      </c>
      <c r="V966" s="57">
        <f>(1000*CHOOSE(CONTROL!$C$42, 500, 500)*CHOOSE(CONTROL!$C$42, 0.275, 0.275)*CHOOSE(CONTROL!$C$42, 30, 30))/1000000</f>
        <v>4.125</v>
      </c>
      <c r="W966" s="57">
        <f>(1000*CHOOSE(CONTROL!$C$42, 0.1146, 0.1146)*CHOOSE(CONTROL!$C$42, 121.5, 121.5)*CHOOSE(CONTROL!$C$42, 30, 30))/1000000</f>
        <v>0.417717</v>
      </c>
      <c r="X966" s="57">
        <f>(30*0.1790888*245000/1000000)+(30*0.2374*100000/1000000)</f>
        <v>2.0285026799999999</v>
      </c>
      <c r="Y966" s="57"/>
      <c r="Z966" s="14"/>
      <c r="AA966" s="56"/>
      <c r="AB966" s="50">
        <f>(B966*194.205+C966*267.466+D966*133.845+E966*53.484+F966*40+G966*185+H966*0+I966*100+J966*300)/(194.205+267.466+133.845+53.484+0+40+185+100+300)</f>
        <v>97.335370359733119</v>
      </c>
      <c r="AC966" s="45">
        <f>(M966*'RAP TEMPLATE-GAS AVAILABILITY'!O965+N966*'RAP TEMPLATE-GAS AVAILABILITY'!P965+O966*'RAP TEMPLATE-GAS AVAILABILITY'!Q965+P966*'RAP TEMPLATE-GAS AVAILABILITY'!R965)/('RAP TEMPLATE-GAS AVAILABILITY'!O965+'RAP TEMPLATE-GAS AVAILABILITY'!P965+'RAP TEMPLATE-GAS AVAILABILITY'!Q965+'RAP TEMPLATE-GAS AVAILABILITY'!R965)</f>
        <v>96.433458273381277</v>
      </c>
    </row>
    <row r="967" spans="1:29" ht="15.75" x14ac:dyDescent="0.25">
      <c r="A967" s="32">
        <v>70341</v>
      </c>
      <c r="B967" s="14">
        <f>CHOOSE(CONTROL!$C$42, 95.4405, 95.4405) * CHOOSE(CONTROL!$C$21, $C$9, 100%, $E$9)</f>
        <v>95.4405</v>
      </c>
      <c r="C967" s="14">
        <f>CHOOSE(CONTROL!$C$42, 95.4484, 95.4484) * CHOOSE(CONTROL!$C$21, $C$9, 100%, $E$9)</f>
        <v>95.448400000000007</v>
      </c>
      <c r="D967" s="14">
        <f>CHOOSE(CONTROL!$C$42, 95.646, 95.646) * CHOOSE(CONTROL!$C$21, $C$9, 100%, $E$9)</f>
        <v>95.646000000000001</v>
      </c>
      <c r="E967" s="14">
        <f>CHOOSE(CONTROL!$C$42, 95.6772, 95.6772) * CHOOSE(CONTROL!$C$21, $C$9, 100%, $E$9)</f>
        <v>95.677199999999999</v>
      </c>
      <c r="F967" s="14">
        <f>CHOOSE(CONTROL!$C$42, 95.4248, 95.4248)*CHOOSE(CONTROL!$C$21, $C$9, 100%, $E$9)</f>
        <v>95.424800000000005</v>
      </c>
      <c r="G967" s="14">
        <f>CHOOSE(CONTROL!$C$42, 95.4411, 95.4411)*CHOOSE(CONTROL!$C$21, $C$9, 100%, $E$9)</f>
        <v>95.441100000000006</v>
      </c>
      <c r="H967" s="14">
        <f>CHOOSE(CONTROL!$C$42, 95.6658, 95.6658) * CHOOSE(CONTROL!$C$21, $C$9, 100%, $E$9)</f>
        <v>95.665800000000004</v>
      </c>
      <c r="I967" s="14">
        <f>CHOOSE(CONTROL!$C$42, 95.4519, 95.4519)* CHOOSE(CONTROL!$C$21, $C$9, 100%, $E$9)</f>
        <v>95.451899999999995</v>
      </c>
      <c r="J967" s="14">
        <f>CHOOSE(CONTROL!$C$42, 95.4178, 95.4178)* CHOOSE(CONTROL!$C$21, $C$9, 100%, $E$9)</f>
        <v>95.4178</v>
      </c>
      <c r="K967" s="53">
        <f>CHOOSE(CONTROL!$C$42, 95.448, 95.448) * CHOOSE(CONTROL!$C$21, $C$9, 100%, $E$9)</f>
        <v>95.447999999999993</v>
      </c>
      <c r="L967" s="14">
        <f>CHOOSE(CONTROL!$C$42, 96.2528, 96.2528) * CHOOSE(CONTROL!$C$21, $C$9, 100%, $E$9)</f>
        <v>96.252799999999993</v>
      </c>
      <c r="M967" s="14">
        <f>CHOOSE(CONTROL!$C$42, 94.4687, 94.4687) * CHOOSE(CONTROL!$C$21, $C$9, 100%, $E$9)</f>
        <v>94.468699999999998</v>
      </c>
      <c r="N967" s="14">
        <f>CHOOSE(CONTROL!$C$42, 94.4848, 94.4848) * CHOOSE(CONTROL!$C$21, $C$9, 100%, $E$9)</f>
        <v>94.484800000000007</v>
      </c>
      <c r="O967" s="14">
        <f>CHOOSE(CONTROL!$C$42, 94.7142, 94.7142) * CHOOSE(CONTROL!$C$21, $C$9, 100%, $E$9)</f>
        <v>94.714200000000005</v>
      </c>
      <c r="P967" s="14">
        <f>CHOOSE(CONTROL!$C$42, 94.5025, 94.5025) * CHOOSE(CONTROL!$C$21, $C$9, 100%, $E$9)</f>
        <v>94.502499999999998</v>
      </c>
      <c r="Q967" s="14">
        <f>CHOOSE(CONTROL!$C$42, 95.3095, 95.3095) * CHOOSE(CONTROL!$C$21, $C$9, 100%, $E$9)</f>
        <v>95.3095</v>
      </c>
      <c r="R967" s="14">
        <f>CHOOSE(CONTROL!$C$42, 96.1348, 96.1348) * CHOOSE(CONTROL!$C$21, $C$9, 100%, $E$9)</f>
        <v>96.134799999999998</v>
      </c>
      <c r="S967" s="14">
        <f>CHOOSE(CONTROL!$C$42, 92.678, 92.678) * CHOOSE(CONTROL!$C$21, $C$9, 100%, $E$9)</f>
        <v>92.677999999999997</v>
      </c>
      <c r="T96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67" s="57">
        <f>(1000*CHOOSE(CONTROL!$C$42, 695, 695)*CHOOSE(CONTROL!$C$42, 0.5599, 0.5599)*CHOOSE(CONTROL!$C$42, 31, 31))/1000000</f>
        <v>12.063045499999998</v>
      </c>
      <c r="V967" s="57">
        <f>(1000*CHOOSE(CONTROL!$C$42, 500, 500)*CHOOSE(CONTROL!$C$42, 0.275, 0.275)*CHOOSE(CONTROL!$C$42, 31, 31))/1000000</f>
        <v>4.2625000000000002</v>
      </c>
      <c r="W967" s="57">
        <f>(1000*CHOOSE(CONTROL!$C$42, 0.1146, 0.1146)*CHOOSE(CONTROL!$C$42, 121.5, 121.5)*CHOOSE(CONTROL!$C$42, 31, 31))/1000000</f>
        <v>0.43164089999999994</v>
      </c>
      <c r="X967" s="57">
        <f>(31*0.1790888*245000/1000000)+(31*0.2374*100000/1000000)</f>
        <v>2.0961194359999999</v>
      </c>
      <c r="Y967" s="57"/>
      <c r="Z967" s="14"/>
      <c r="AA967" s="56"/>
      <c r="AB967" s="50">
        <f>(B967*194.205+C967*267.466+D967*133.845+E967*53.484+F967*40+G967*185+H967*0+I967*100+J967*300)/(194.205+267.466+133.845+53.484+0+40+185+100+300)</f>
        <v>95.468828721899527</v>
      </c>
      <c r="AC967" s="45">
        <f>(M967*'RAP TEMPLATE-GAS AVAILABILITY'!O966+N967*'RAP TEMPLATE-GAS AVAILABILITY'!P966+O967*'RAP TEMPLATE-GAS AVAILABILITY'!Q966+P967*'RAP TEMPLATE-GAS AVAILABILITY'!R966)/('RAP TEMPLATE-GAS AVAILABILITY'!O966+'RAP TEMPLATE-GAS AVAILABILITY'!P966+'RAP TEMPLATE-GAS AVAILABILITY'!Q966+'RAP TEMPLATE-GAS AVAILABILITY'!R966)</f>
        <v>94.585759712230214</v>
      </c>
    </row>
    <row r="968" spans="1:29" ht="15.75" x14ac:dyDescent="0.25">
      <c r="A968" s="32">
        <v>70372</v>
      </c>
      <c r="B968" s="14">
        <f>CHOOSE(CONTROL!$C$42, 90.7265, 90.7265) * CHOOSE(CONTROL!$C$21, $C$9, 100%, $E$9)</f>
        <v>90.726500000000001</v>
      </c>
      <c r="C968" s="14">
        <f>CHOOSE(CONTROL!$C$42, 90.7344, 90.7344) * CHOOSE(CONTROL!$C$21, $C$9, 100%, $E$9)</f>
        <v>90.734399999999994</v>
      </c>
      <c r="D968" s="14">
        <f>CHOOSE(CONTROL!$C$42, 90.932, 90.932) * CHOOSE(CONTROL!$C$21, $C$9, 100%, $E$9)</f>
        <v>90.932000000000002</v>
      </c>
      <c r="E968" s="14">
        <f>CHOOSE(CONTROL!$C$42, 90.9631, 90.9631) * CHOOSE(CONTROL!$C$21, $C$9, 100%, $E$9)</f>
        <v>90.963099999999997</v>
      </c>
      <c r="F968" s="14">
        <f>CHOOSE(CONTROL!$C$42, 90.7109, 90.7109)*CHOOSE(CONTROL!$C$21, $C$9, 100%, $E$9)</f>
        <v>90.710899999999995</v>
      </c>
      <c r="G968" s="14">
        <f>CHOOSE(CONTROL!$C$42, 90.7273, 90.7273)*CHOOSE(CONTROL!$C$21, $C$9, 100%, $E$9)</f>
        <v>90.7273</v>
      </c>
      <c r="H968" s="14">
        <f>CHOOSE(CONTROL!$C$42, 90.9517, 90.9517) * CHOOSE(CONTROL!$C$21, $C$9, 100%, $E$9)</f>
        <v>90.951700000000002</v>
      </c>
      <c r="I968" s="14">
        <f>CHOOSE(CONTROL!$C$42, 90.7378, 90.7378)* CHOOSE(CONTROL!$C$21, $C$9, 100%, $E$9)</f>
        <v>90.737799999999993</v>
      </c>
      <c r="J968" s="14">
        <f>CHOOSE(CONTROL!$C$42, 90.7039, 90.7039)* CHOOSE(CONTROL!$C$21, $C$9, 100%, $E$9)</f>
        <v>90.703900000000004</v>
      </c>
      <c r="K968" s="53">
        <f>CHOOSE(CONTROL!$C$42, 90.7339, 90.7339) * CHOOSE(CONTROL!$C$21, $C$9, 100%, $E$9)</f>
        <v>90.733900000000006</v>
      </c>
      <c r="L968" s="14">
        <f>CHOOSE(CONTROL!$C$42, 91.5387, 91.5387) * CHOOSE(CONTROL!$C$21, $C$9, 100%, $E$9)</f>
        <v>91.538700000000006</v>
      </c>
      <c r="M968" s="14">
        <f>CHOOSE(CONTROL!$C$42, 89.8024, 89.8024) * CHOOSE(CONTROL!$C$21, $C$9, 100%, $E$9)</f>
        <v>89.802400000000006</v>
      </c>
      <c r="N968" s="14">
        <f>CHOOSE(CONTROL!$C$42, 89.8186, 89.8186) * CHOOSE(CONTROL!$C$21, $C$9, 100%, $E$9)</f>
        <v>89.818600000000004</v>
      </c>
      <c r="O968" s="14">
        <f>CHOOSE(CONTROL!$C$42, 90.0477, 90.0477) * CHOOSE(CONTROL!$C$21, $C$9, 100%, $E$9)</f>
        <v>90.047700000000006</v>
      </c>
      <c r="P968" s="14">
        <f>CHOOSE(CONTROL!$C$42, 89.836, 89.836) * CHOOSE(CONTROL!$C$21, $C$9, 100%, $E$9)</f>
        <v>89.835999999999999</v>
      </c>
      <c r="Q968" s="14">
        <f>CHOOSE(CONTROL!$C$42, 90.643, 90.643) * CHOOSE(CONTROL!$C$21, $C$9, 100%, $E$9)</f>
        <v>90.643000000000001</v>
      </c>
      <c r="R968" s="14">
        <f>CHOOSE(CONTROL!$C$42, 91.4566, 91.4566) * CHOOSE(CONTROL!$C$21, $C$9, 100%, $E$9)</f>
        <v>91.456599999999995</v>
      </c>
      <c r="S968" s="14">
        <f>CHOOSE(CONTROL!$C$42, 88.1002, 88.1002) * CHOOSE(CONTROL!$C$21, $C$9, 100%, $E$9)</f>
        <v>88.100200000000001</v>
      </c>
      <c r="T96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68" s="57">
        <f>(1000*CHOOSE(CONTROL!$C$42, 695, 695)*CHOOSE(CONTROL!$C$42, 0.5599, 0.5599)*CHOOSE(CONTROL!$C$42, 31, 31))/1000000</f>
        <v>12.063045499999998</v>
      </c>
      <c r="V968" s="57">
        <f>(1000*CHOOSE(CONTROL!$C$42, 500, 500)*CHOOSE(CONTROL!$C$42, 0.275, 0.275)*CHOOSE(CONTROL!$C$42, 31, 31))/1000000</f>
        <v>4.2625000000000002</v>
      </c>
      <c r="W968" s="57">
        <f>(1000*CHOOSE(CONTROL!$C$42, 0.1146, 0.1146)*CHOOSE(CONTROL!$C$42, 121.5, 121.5)*CHOOSE(CONTROL!$C$42, 31, 31))/1000000</f>
        <v>0.43164089999999994</v>
      </c>
      <c r="X968" s="57">
        <f>(31*0.1790888*245000/1000000)+(31*0.2374*100000/1000000)</f>
        <v>2.0961194359999999</v>
      </c>
      <c r="Y968" s="57"/>
      <c r="Z968" s="14"/>
      <c r="AA968" s="56"/>
      <c r="AB968" s="50">
        <f>(B968*194.205+C968*267.466+D968*133.845+E968*53.484+F968*40+G968*185+H968*0+I968*100+J968*300)/(194.205+267.466+133.845+53.484+0+40+185+100+300)</f>
        <v>90.754872404474099</v>
      </c>
      <c r="AC968" s="45">
        <f>(M968*'RAP TEMPLATE-GAS AVAILABILITY'!O967+N968*'RAP TEMPLATE-GAS AVAILABILITY'!P967+O968*'RAP TEMPLATE-GAS AVAILABILITY'!Q967+P968*'RAP TEMPLATE-GAS AVAILABILITY'!R967)/('RAP TEMPLATE-GAS AVAILABILITY'!O967+'RAP TEMPLATE-GAS AVAILABILITY'!P967+'RAP TEMPLATE-GAS AVAILABILITY'!Q967+'RAP TEMPLATE-GAS AVAILABILITY'!R967)</f>
        <v>89.919346043165476</v>
      </c>
    </row>
    <row r="969" spans="1:29" ht="15.75" x14ac:dyDescent="0.25">
      <c r="A969" s="32">
        <v>70402</v>
      </c>
      <c r="B969" s="14">
        <f>CHOOSE(CONTROL!$C$42, 84.9664, 84.9664) * CHOOSE(CONTROL!$C$21, $C$9, 100%, $E$9)</f>
        <v>84.966399999999993</v>
      </c>
      <c r="C969" s="14">
        <f>CHOOSE(CONTROL!$C$42, 84.9743, 84.9743) * CHOOSE(CONTROL!$C$21, $C$9, 100%, $E$9)</f>
        <v>84.974299999999999</v>
      </c>
      <c r="D969" s="14">
        <f>CHOOSE(CONTROL!$C$42, 85.1719, 85.1719) * CHOOSE(CONTROL!$C$21, $C$9, 100%, $E$9)</f>
        <v>85.171899999999994</v>
      </c>
      <c r="E969" s="14">
        <f>CHOOSE(CONTROL!$C$42, 85.203, 85.203) * CHOOSE(CONTROL!$C$21, $C$9, 100%, $E$9)</f>
        <v>85.203000000000003</v>
      </c>
      <c r="F969" s="14">
        <f>CHOOSE(CONTROL!$C$42, 84.9508, 84.9508)*CHOOSE(CONTROL!$C$21, $C$9, 100%, $E$9)</f>
        <v>84.950800000000001</v>
      </c>
      <c r="G969" s="14">
        <f>CHOOSE(CONTROL!$C$42, 84.9671, 84.9671)*CHOOSE(CONTROL!$C$21, $C$9, 100%, $E$9)</f>
        <v>84.967100000000002</v>
      </c>
      <c r="H969" s="14">
        <f>CHOOSE(CONTROL!$C$42, 85.1917, 85.1917) * CHOOSE(CONTROL!$C$21, $C$9, 100%, $E$9)</f>
        <v>85.191699999999997</v>
      </c>
      <c r="I969" s="14">
        <f>CHOOSE(CONTROL!$C$42, 84.9778, 84.9778)* CHOOSE(CONTROL!$C$21, $C$9, 100%, $E$9)</f>
        <v>84.977800000000002</v>
      </c>
      <c r="J969" s="14">
        <f>CHOOSE(CONTROL!$C$42, 84.9438, 84.9438)* CHOOSE(CONTROL!$C$21, $C$9, 100%, $E$9)</f>
        <v>84.943799999999996</v>
      </c>
      <c r="K969" s="53">
        <f>CHOOSE(CONTROL!$C$42, 84.9739, 84.9739) * CHOOSE(CONTROL!$C$21, $C$9, 100%, $E$9)</f>
        <v>84.9739</v>
      </c>
      <c r="L969" s="14">
        <f>CHOOSE(CONTROL!$C$42, 85.7787, 85.7787) * CHOOSE(CONTROL!$C$21, $C$9, 100%, $E$9)</f>
        <v>85.778700000000001</v>
      </c>
      <c r="M969" s="14">
        <f>CHOOSE(CONTROL!$C$42, 84.1004, 84.1004) * CHOOSE(CONTROL!$C$21, $C$9, 100%, $E$9)</f>
        <v>84.100399999999993</v>
      </c>
      <c r="N969" s="14">
        <f>CHOOSE(CONTROL!$C$42, 84.1165, 84.1165) * CHOOSE(CONTROL!$C$21, $C$9, 100%, $E$9)</f>
        <v>84.116500000000002</v>
      </c>
      <c r="O969" s="14">
        <f>CHOOSE(CONTROL!$C$42, 84.3458, 84.3458) * CHOOSE(CONTROL!$C$21, $C$9, 100%, $E$9)</f>
        <v>84.345799999999997</v>
      </c>
      <c r="P969" s="14">
        <f>CHOOSE(CONTROL!$C$42, 84.1341, 84.1341) * CHOOSE(CONTROL!$C$21, $C$9, 100%, $E$9)</f>
        <v>84.134100000000004</v>
      </c>
      <c r="Q969" s="14">
        <f>CHOOSE(CONTROL!$C$42, 84.9411, 84.9411) * CHOOSE(CONTROL!$C$21, $C$9, 100%, $E$9)</f>
        <v>84.941100000000006</v>
      </c>
      <c r="R969" s="14">
        <f>CHOOSE(CONTROL!$C$42, 85.7404, 85.7404) * CHOOSE(CONTROL!$C$21, $C$9, 100%, $E$9)</f>
        <v>85.740399999999994</v>
      </c>
      <c r="S969" s="14">
        <f>CHOOSE(CONTROL!$C$42, 82.5066, 82.5066) * CHOOSE(CONTROL!$C$21, $C$9, 100%, $E$9)</f>
        <v>82.506600000000006</v>
      </c>
      <c r="T96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69" s="57">
        <f>(1000*CHOOSE(CONTROL!$C$42, 695, 695)*CHOOSE(CONTROL!$C$42, 0.5599, 0.5599)*CHOOSE(CONTROL!$C$42, 30, 30))/1000000</f>
        <v>11.673914999999997</v>
      </c>
      <c r="V969" s="57">
        <f>(1000*CHOOSE(CONTROL!$C$42, 500, 500)*CHOOSE(CONTROL!$C$42, 0.275, 0.275)*CHOOSE(CONTROL!$C$42, 30, 30))/1000000</f>
        <v>4.125</v>
      </c>
      <c r="W969" s="57">
        <f>(1000*CHOOSE(CONTROL!$C$42, 0.1146, 0.1146)*CHOOSE(CONTROL!$C$42, 121.5, 121.5)*CHOOSE(CONTROL!$C$42, 30, 30))/1000000</f>
        <v>0.417717</v>
      </c>
      <c r="X969" s="57">
        <f>(30*0.1790888*245000/1000000)+(30*0.2374*100000/1000000)</f>
        <v>2.0285026799999999</v>
      </c>
      <c r="Y969" s="57"/>
      <c r="Z969" s="14"/>
      <c r="AA969" s="56"/>
      <c r="AB969" s="50">
        <f>(B969*194.205+C969*267.466+D969*133.845+E969*53.484+F969*40+G969*185+H969*0+I969*100+J969*300)/(194.205+267.466+133.845+53.484+0+40+185+100+300)</f>
        <v>84.994765732574564</v>
      </c>
      <c r="AC969" s="45">
        <f>(M969*'RAP TEMPLATE-GAS AVAILABILITY'!O968+N969*'RAP TEMPLATE-GAS AVAILABILITY'!P968+O969*'RAP TEMPLATE-GAS AVAILABILITY'!Q968+P969*'RAP TEMPLATE-GAS AVAILABILITY'!R968)/('RAP TEMPLATE-GAS AVAILABILITY'!O968+'RAP TEMPLATE-GAS AVAILABILITY'!P968+'RAP TEMPLATE-GAS AVAILABILITY'!Q968+'RAP TEMPLATE-GAS AVAILABILITY'!R968)</f>
        <v>84.217399999999984</v>
      </c>
    </row>
    <row r="970" spans="1:29" ht="15.75" x14ac:dyDescent="0.25">
      <c r="A970" s="32">
        <v>70433</v>
      </c>
      <c r="B970" s="14">
        <f>CHOOSE(CONTROL!$C$42, 83.2396, 83.2396) * CHOOSE(CONTROL!$C$21, $C$9, 100%, $E$9)</f>
        <v>83.239599999999996</v>
      </c>
      <c r="C970" s="14">
        <f>CHOOSE(CONTROL!$C$42, 83.2448, 83.2448) * CHOOSE(CONTROL!$C$21, $C$9, 100%, $E$9)</f>
        <v>83.244799999999998</v>
      </c>
      <c r="D970" s="14">
        <f>CHOOSE(CONTROL!$C$42, 83.4473, 83.4473) * CHOOSE(CONTROL!$C$21, $C$9, 100%, $E$9)</f>
        <v>83.447299999999998</v>
      </c>
      <c r="E970" s="14">
        <f>CHOOSE(CONTROL!$C$42, 83.4761, 83.4761) * CHOOSE(CONTROL!$C$21, $C$9, 100%, $E$9)</f>
        <v>83.476100000000002</v>
      </c>
      <c r="F970" s="14">
        <f>CHOOSE(CONTROL!$C$42, 83.226, 83.226)*CHOOSE(CONTROL!$C$21, $C$9, 100%, $E$9)</f>
        <v>83.225999999999999</v>
      </c>
      <c r="G970" s="14">
        <f>CHOOSE(CONTROL!$C$42, 83.242, 83.242)*CHOOSE(CONTROL!$C$21, $C$9, 100%, $E$9)</f>
        <v>83.242000000000004</v>
      </c>
      <c r="H970" s="14">
        <f>CHOOSE(CONTROL!$C$42, 83.4666, 83.4666) * CHOOSE(CONTROL!$C$21, $C$9, 100%, $E$9)</f>
        <v>83.4666</v>
      </c>
      <c r="I970" s="14">
        <f>CHOOSE(CONTROL!$C$42, 83.2527, 83.2527)* CHOOSE(CONTROL!$C$21, $C$9, 100%, $E$9)</f>
        <v>83.252700000000004</v>
      </c>
      <c r="J970" s="14">
        <f>CHOOSE(CONTROL!$C$42, 83.219, 83.219)* CHOOSE(CONTROL!$C$21, $C$9, 100%, $E$9)</f>
        <v>83.218999999999994</v>
      </c>
      <c r="K970" s="53">
        <f>CHOOSE(CONTROL!$C$42, 83.2488, 83.2488) * CHOOSE(CONTROL!$C$21, $C$9, 100%, $E$9)</f>
        <v>83.248800000000003</v>
      </c>
      <c r="L970" s="14">
        <f>CHOOSE(CONTROL!$C$42, 84.0536, 84.0536) * CHOOSE(CONTROL!$C$21, $C$9, 100%, $E$9)</f>
        <v>84.053600000000003</v>
      </c>
      <c r="M970" s="14">
        <f>CHOOSE(CONTROL!$C$42, 82.393, 82.393) * CHOOSE(CONTROL!$C$21, $C$9, 100%, $E$9)</f>
        <v>82.393000000000001</v>
      </c>
      <c r="N970" s="14">
        <f>CHOOSE(CONTROL!$C$42, 82.4088, 82.4088) * CHOOSE(CONTROL!$C$21, $C$9, 100%, $E$9)</f>
        <v>82.408799999999999</v>
      </c>
      <c r="O970" s="14">
        <f>CHOOSE(CONTROL!$C$42, 82.6381, 82.6381) * CHOOSE(CONTROL!$C$21, $C$9, 100%, $E$9)</f>
        <v>82.638099999999994</v>
      </c>
      <c r="P970" s="14">
        <f>CHOOSE(CONTROL!$C$42, 82.4264, 82.4264) * CHOOSE(CONTROL!$C$21, $C$9, 100%, $E$9)</f>
        <v>82.426400000000001</v>
      </c>
      <c r="Q970" s="14">
        <f>CHOOSE(CONTROL!$C$42, 83.2334, 83.2334) * CHOOSE(CONTROL!$C$21, $C$9, 100%, $E$9)</f>
        <v>83.233400000000003</v>
      </c>
      <c r="R970" s="14">
        <f>CHOOSE(CONTROL!$C$42, 84.0285, 84.0285) * CHOOSE(CONTROL!$C$21, $C$9, 100%, $E$9)</f>
        <v>84.028499999999994</v>
      </c>
      <c r="S970" s="14">
        <f>CHOOSE(CONTROL!$C$42, 80.8314, 80.8314) * CHOOSE(CONTROL!$C$21, $C$9, 100%, $E$9)</f>
        <v>80.831400000000002</v>
      </c>
      <c r="T97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70" s="57">
        <f>(1000*CHOOSE(CONTROL!$C$42, 695, 695)*CHOOSE(CONTROL!$C$42, 0.5599, 0.5599)*CHOOSE(CONTROL!$C$42, 31, 31))/1000000</f>
        <v>12.063045499999998</v>
      </c>
      <c r="V970" s="57">
        <f>(1000*CHOOSE(CONTROL!$C$42, 500, 500)*CHOOSE(CONTROL!$C$42, 0.275, 0.275)*CHOOSE(CONTROL!$C$42, 31, 31))/1000000</f>
        <v>4.2625000000000002</v>
      </c>
      <c r="W970" s="57">
        <f>(1000*CHOOSE(CONTROL!$C$42, 0.1146, 0.1146)*CHOOSE(CONTROL!$C$42, 121.5, 121.5)*CHOOSE(CONTROL!$C$42, 31, 31))/1000000</f>
        <v>0.43164089999999994</v>
      </c>
      <c r="X970" s="57">
        <f>(31*0.1790888*245000/1000000)+(31*0.2374*100000/1000000)</f>
        <v>2.0961194359999999</v>
      </c>
      <c r="Y970" s="57"/>
      <c r="Z970" s="14"/>
      <c r="AA970" s="56"/>
      <c r="AB970" s="50">
        <f>(B970*131.881+C970*277.167+D970*79.08+E970*125.872+F970*40+G970*185+H970*0+I970*100+J970*300)/(131.881+277.167+79.08+125.872+0+40+185+100+300)</f>
        <v>83.274034957546405</v>
      </c>
      <c r="AC970" s="45">
        <f>(M970*'RAP TEMPLATE-GAS AVAILABILITY'!O969+N970*'RAP TEMPLATE-GAS AVAILABILITY'!P969+O970*'RAP TEMPLATE-GAS AVAILABILITY'!Q969+P970*'RAP TEMPLATE-GAS AVAILABILITY'!R969)/('RAP TEMPLATE-GAS AVAILABILITY'!O969+'RAP TEMPLATE-GAS AVAILABILITY'!P969+'RAP TEMPLATE-GAS AVAILABILITY'!Q969+'RAP TEMPLATE-GAS AVAILABILITY'!R969)</f>
        <v>82.5098035971223</v>
      </c>
    </row>
    <row r="971" spans="1:29" ht="15.75" x14ac:dyDescent="0.25">
      <c r="A971" s="32">
        <v>70463</v>
      </c>
      <c r="B971" s="14">
        <f>CHOOSE(CONTROL!$C$42, 85.432, 85.432) * CHOOSE(CONTROL!$C$21, $C$9, 100%, $E$9)</f>
        <v>85.432000000000002</v>
      </c>
      <c r="C971" s="14">
        <f>CHOOSE(CONTROL!$C$42, 85.437, 85.437) * CHOOSE(CONTROL!$C$21, $C$9, 100%, $E$9)</f>
        <v>85.436999999999998</v>
      </c>
      <c r="D971" s="14">
        <f>CHOOSE(CONTROL!$C$42, 85.5, 85.5) * CHOOSE(CONTROL!$C$21, $C$9, 100%, $E$9)</f>
        <v>85.5</v>
      </c>
      <c r="E971" s="14">
        <f>CHOOSE(CONTROL!$C$42, 85.5338, 85.5338) * CHOOSE(CONTROL!$C$21, $C$9, 100%, $E$9)</f>
        <v>85.533799999999999</v>
      </c>
      <c r="F971" s="14">
        <f>CHOOSE(CONTROL!$C$42, 85.4327, 85.4327)*CHOOSE(CONTROL!$C$21, $C$9, 100%, $E$9)</f>
        <v>85.432699999999997</v>
      </c>
      <c r="G971" s="14">
        <f>CHOOSE(CONTROL!$C$42, 85.449, 85.449)*CHOOSE(CONTROL!$C$21, $C$9, 100%, $E$9)</f>
        <v>85.448999999999998</v>
      </c>
      <c r="H971" s="14">
        <f>CHOOSE(CONTROL!$C$42, 85.523, 85.523) * CHOOSE(CONTROL!$C$21, $C$9, 100%, $E$9)</f>
        <v>85.522999999999996</v>
      </c>
      <c r="I971" s="14">
        <f>CHOOSE(CONTROL!$C$42, 85.4455, 85.4455)* CHOOSE(CONTROL!$C$21, $C$9, 100%, $E$9)</f>
        <v>85.445499999999996</v>
      </c>
      <c r="J971" s="14">
        <f>CHOOSE(CONTROL!$C$42, 85.4257, 85.4257)* CHOOSE(CONTROL!$C$21, $C$9, 100%, $E$9)</f>
        <v>85.425700000000006</v>
      </c>
      <c r="K971" s="53">
        <f>CHOOSE(CONTROL!$C$42, 85.4417, 85.4417) * CHOOSE(CONTROL!$C$21, $C$9, 100%, $E$9)</f>
        <v>85.441699999999997</v>
      </c>
      <c r="L971" s="14">
        <f>CHOOSE(CONTROL!$C$42, 86.11, 86.11) * CHOOSE(CONTROL!$C$21, $C$9, 100%, $E$9)</f>
        <v>86.11</v>
      </c>
      <c r="M971" s="14">
        <f>CHOOSE(CONTROL!$C$42, 84.5774, 84.5774) * CHOOSE(CONTROL!$C$21, $C$9, 100%, $E$9)</f>
        <v>84.577399999999997</v>
      </c>
      <c r="N971" s="14">
        <f>CHOOSE(CONTROL!$C$42, 84.5936, 84.5936) * CHOOSE(CONTROL!$C$21, $C$9, 100%, $E$9)</f>
        <v>84.593599999999995</v>
      </c>
      <c r="O971" s="14">
        <f>CHOOSE(CONTROL!$C$42, 84.6738, 84.6738) * CHOOSE(CONTROL!$C$21, $C$9, 100%, $E$9)</f>
        <v>84.6738</v>
      </c>
      <c r="P971" s="14">
        <f>CHOOSE(CONTROL!$C$42, 84.5971, 84.5971) * CHOOSE(CONTROL!$C$21, $C$9, 100%, $E$9)</f>
        <v>84.597099999999998</v>
      </c>
      <c r="Q971" s="14">
        <f>CHOOSE(CONTROL!$C$42, 85.2691, 85.2691) * CHOOSE(CONTROL!$C$21, $C$9, 100%, $E$9)</f>
        <v>85.269099999999995</v>
      </c>
      <c r="R971" s="14">
        <f>CHOOSE(CONTROL!$C$42, 86.0692, 86.0692) * CHOOSE(CONTROL!$C$21, $C$9, 100%, $E$9)</f>
        <v>86.069199999999995</v>
      </c>
      <c r="S971" s="14">
        <f>CHOOSE(CONTROL!$C$42, 82.9609, 82.9609) * CHOOSE(CONTROL!$C$21, $C$9, 100%, $E$9)</f>
        <v>82.960899999999995</v>
      </c>
      <c r="T97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71" s="57">
        <f>(1000*CHOOSE(CONTROL!$C$42, 695, 695)*CHOOSE(CONTROL!$C$42, 0.5599, 0.5599)*CHOOSE(CONTROL!$C$42, 30, 30))/1000000</f>
        <v>11.673914999999997</v>
      </c>
      <c r="V971" s="57">
        <f>(1000*CHOOSE(CONTROL!$C$42, 500, 500)*CHOOSE(CONTROL!$C$42, 0.275, 0.275)*CHOOSE(CONTROL!$C$42, 30, 30))/1000000</f>
        <v>4.125</v>
      </c>
      <c r="W971" s="57">
        <f>(1000*CHOOSE(CONTROL!$C$42, 0.1146, 0.1146)*CHOOSE(CONTROL!$C$42, 121.5, 121.5)*CHOOSE(CONTROL!$C$42, 30, 30))/1000000</f>
        <v>0.417717</v>
      </c>
      <c r="X971" s="57">
        <f>(30*0.1790888*100000/1000000)+(30*0.2374*100000/1000000)</f>
        <v>1.2494664</v>
      </c>
      <c r="Y971" s="57"/>
      <c r="Z971" s="14"/>
      <c r="AA971" s="56"/>
      <c r="AB971" s="50">
        <f>(B971*122.58+C971*297.941+D971*89.177+E971*40.302+F971*40+G971*160+H971*0+I971*100+J971*300)/(122.58+297.941+89.177+40.302+0+40+160+100+300)</f>
        <v>85.444056073565235</v>
      </c>
      <c r="AC971" s="45">
        <f>(M971*'RAP TEMPLATE-GAS AVAILABILITY'!O970+N971*'RAP TEMPLATE-GAS AVAILABILITY'!P970+O971*'RAP TEMPLATE-GAS AVAILABILITY'!Q970+P971*'RAP TEMPLATE-GAS AVAILABILITY'!R970)/('RAP TEMPLATE-GAS AVAILABILITY'!O970+'RAP TEMPLATE-GAS AVAILABILITY'!P970+'RAP TEMPLATE-GAS AVAILABILITY'!Q970+'RAP TEMPLATE-GAS AVAILABILITY'!R970)</f>
        <v>84.624858992805741</v>
      </c>
    </row>
    <row r="972" spans="1:29" ht="15.75" x14ac:dyDescent="0.25">
      <c r="A972" s="32">
        <v>70494</v>
      </c>
      <c r="B972" s="14">
        <f>CHOOSE(CONTROL!$C$42, 91.2565, 91.2565) * CHOOSE(CONTROL!$C$21, $C$9, 100%, $E$9)</f>
        <v>91.256500000000003</v>
      </c>
      <c r="C972" s="14">
        <f>CHOOSE(CONTROL!$C$42, 91.2615, 91.2615) * CHOOSE(CONTROL!$C$21, $C$9, 100%, $E$9)</f>
        <v>91.261499999999998</v>
      </c>
      <c r="D972" s="14">
        <f>CHOOSE(CONTROL!$C$42, 91.3245, 91.3245) * CHOOSE(CONTROL!$C$21, $C$9, 100%, $E$9)</f>
        <v>91.3245</v>
      </c>
      <c r="E972" s="14">
        <f>CHOOSE(CONTROL!$C$42, 91.3583, 91.3583) * CHOOSE(CONTROL!$C$21, $C$9, 100%, $E$9)</f>
        <v>91.3583</v>
      </c>
      <c r="F972" s="14">
        <f>CHOOSE(CONTROL!$C$42, 91.2593, 91.2593)*CHOOSE(CONTROL!$C$21, $C$9, 100%, $E$9)</f>
        <v>91.259299999999996</v>
      </c>
      <c r="G972" s="14">
        <f>CHOOSE(CONTROL!$C$42, 91.2761, 91.2761)*CHOOSE(CONTROL!$C$21, $C$9, 100%, $E$9)</f>
        <v>91.2761</v>
      </c>
      <c r="H972" s="14">
        <f>CHOOSE(CONTROL!$C$42, 91.3475, 91.3475) * CHOOSE(CONTROL!$C$21, $C$9, 100%, $E$9)</f>
        <v>91.347499999999997</v>
      </c>
      <c r="I972" s="14">
        <f>CHOOSE(CONTROL!$C$42, 91.2701, 91.2701)* CHOOSE(CONTROL!$C$21, $C$9, 100%, $E$9)</f>
        <v>91.270099999999999</v>
      </c>
      <c r="J972" s="14">
        <f>CHOOSE(CONTROL!$C$42, 91.2523, 91.2523)* CHOOSE(CONTROL!$C$21, $C$9, 100%, $E$9)</f>
        <v>91.252300000000005</v>
      </c>
      <c r="K972" s="53">
        <f>CHOOSE(CONTROL!$C$42, 91.2662, 91.2662) * CHOOSE(CONTROL!$C$21, $C$9, 100%, $E$9)</f>
        <v>91.266199999999998</v>
      </c>
      <c r="L972" s="14">
        <f>CHOOSE(CONTROL!$C$42, 91.9345, 91.9345) * CHOOSE(CONTROL!$C$21, $C$9, 100%, $E$9)</f>
        <v>91.9345</v>
      </c>
      <c r="M972" s="14">
        <f>CHOOSE(CONTROL!$C$42, 90.3452, 90.3452) * CHOOSE(CONTROL!$C$21, $C$9, 100%, $E$9)</f>
        <v>90.345200000000006</v>
      </c>
      <c r="N972" s="14">
        <f>CHOOSE(CONTROL!$C$42, 90.3618, 90.3618) * CHOOSE(CONTROL!$C$21, $C$9, 100%, $E$9)</f>
        <v>90.361800000000002</v>
      </c>
      <c r="O972" s="14">
        <f>CHOOSE(CONTROL!$C$42, 90.4395, 90.4395) * CHOOSE(CONTROL!$C$21, $C$9, 100%, $E$9)</f>
        <v>90.439499999999995</v>
      </c>
      <c r="P972" s="14">
        <f>CHOOSE(CONTROL!$C$42, 90.3629, 90.3629) * CHOOSE(CONTROL!$C$21, $C$9, 100%, $E$9)</f>
        <v>90.362899999999996</v>
      </c>
      <c r="Q972" s="14">
        <f>CHOOSE(CONTROL!$C$42, 91.0348, 91.0348) * CHOOSE(CONTROL!$C$21, $C$9, 100%, $E$9)</f>
        <v>91.034800000000004</v>
      </c>
      <c r="R972" s="14">
        <f>CHOOSE(CONTROL!$C$42, 91.8494, 91.8494) * CHOOSE(CONTROL!$C$21, $C$9, 100%, $E$9)</f>
        <v>91.849400000000003</v>
      </c>
      <c r="S972" s="14">
        <f>CHOOSE(CONTROL!$C$42, 88.6171, 88.6171) * CHOOSE(CONTROL!$C$21, $C$9, 100%, $E$9)</f>
        <v>88.617099999999994</v>
      </c>
      <c r="T97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72" s="57">
        <f>(1000*CHOOSE(CONTROL!$C$42, 695, 695)*CHOOSE(CONTROL!$C$42, 0.5599, 0.5599)*CHOOSE(CONTROL!$C$42, 31, 31))/1000000</f>
        <v>12.063045499999998</v>
      </c>
      <c r="V972" s="57">
        <f>(1000*CHOOSE(CONTROL!$C$42, 500, 500)*CHOOSE(CONTROL!$C$42, 0.275, 0.275)*CHOOSE(CONTROL!$C$42, 31, 31))/1000000</f>
        <v>4.2625000000000002</v>
      </c>
      <c r="W972" s="57">
        <f>(1000*CHOOSE(CONTROL!$C$42, 0.1146, 0.1146)*CHOOSE(CONTROL!$C$42, 121.5, 121.5)*CHOOSE(CONTROL!$C$42, 31, 31))/1000000</f>
        <v>0.43164089999999994</v>
      </c>
      <c r="X972" s="57">
        <f>(31*0.1790888*100000/1000000)+(31*0.2374*100000/1000000)</f>
        <v>1.2911152800000001</v>
      </c>
      <c r="Y972" s="57"/>
      <c r="Z972" s="14"/>
      <c r="AA972" s="56"/>
      <c r="AB972" s="50">
        <f>(B972*122.58+C972*297.941+D972*89.177+E972*40.302+F972*40+G972*160+H972*0+I972*100+J972*300)/(122.58+297.941+89.177+40.302+0+40+160+100+300)</f>
        <v>91.269547377913042</v>
      </c>
      <c r="AC972" s="45">
        <f>(M972*'RAP TEMPLATE-GAS AVAILABILITY'!O971+N972*'RAP TEMPLATE-GAS AVAILABILITY'!P971+O972*'RAP TEMPLATE-GAS AVAILABILITY'!Q971+P972*'RAP TEMPLATE-GAS AVAILABILITY'!R971)/('RAP TEMPLATE-GAS AVAILABILITY'!O971+'RAP TEMPLATE-GAS AVAILABILITY'!P971+'RAP TEMPLATE-GAS AVAILABILITY'!Q971+'RAP TEMPLATE-GAS AVAILABILITY'!R971)</f>
        <v>90.391442446043158</v>
      </c>
    </row>
    <row r="973" spans="1:29" ht="15.75" x14ac:dyDescent="0.25">
      <c r="A973" s="32">
        <v>70525</v>
      </c>
      <c r="B973" s="14">
        <f>CHOOSE(CONTROL!$C$42, 98.7336, 98.7336) * CHOOSE(CONTROL!$C$21, $C$9, 100%, $E$9)</f>
        <v>98.733599999999996</v>
      </c>
      <c r="C973" s="14">
        <f>CHOOSE(CONTROL!$C$42, 98.7385, 98.7385) * CHOOSE(CONTROL!$C$21, $C$9, 100%, $E$9)</f>
        <v>98.738500000000002</v>
      </c>
      <c r="D973" s="14">
        <f>CHOOSE(CONTROL!$C$42, 98.8028, 98.8028) * CHOOSE(CONTROL!$C$21, $C$9, 100%, $E$9)</f>
        <v>98.802800000000005</v>
      </c>
      <c r="E973" s="14">
        <f>CHOOSE(CONTROL!$C$42, 98.8366, 98.8366) * CHOOSE(CONTROL!$C$21, $C$9, 100%, $E$9)</f>
        <v>98.836600000000004</v>
      </c>
      <c r="F973" s="14">
        <f>CHOOSE(CONTROL!$C$42, 98.7351, 98.7351)*CHOOSE(CONTROL!$C$21, $C$9, 100%, $E$9)</f>
        <v>98.735100000000003</v>
      </c>
      <c r="G973" s="14">
        <f>CHOOSE(CONTROL!$C$42, 98.751, 98.751)*CHOOSE(CONTROL!$C$21, $C$9, 100%, $E$9)</f>
        <v>98.751000000000005</v>
      </c>
      <c r="H973" s="14">
        <f>CHOOSE(CONTROL!$C$42, 98.8258, 98.8258) * CHOOSE(CONTROL!$C$21, $C$9, 100%, $E$9)</f>
        <v>98.825800000000001</v>
      </c>
      <c r="I973" s="14">
        <f>CHOOSE(CONTROL!$C$42, 98.7535, 98.7535)* CHOOSE(CONTROL!$C$21, $C$9, 100%, $E$9)</f>
        <v>98.753500000000003</v>
      </c>
      <c r="J973" s="14">
        <f>CHOOSE(CONTROL!$C$42, 98.7281, 98.7281)* CHOOSE(CONTROL!$C$21, $C$9, 100%, $E$9)</f>
        <v>98.728099999999998</v>
      </c>
      <c r="K973" s="53">
        <f>CHOOSE(CONTROL!$C$42, 98.7496, 98.7496) * CHOOSE(CONTROL!$C$21, $C$9, 100%, $E$9)</f>
        <v>98.749600000000001</v>
      </c>
      <c r="L973" s="14">
        <f>CHOOSE(CONTROL!$C$42, 99.4128, 99.4128) * CHOOSE(CONTROL!$C$21, $C$9, 100%, $E$9)</f>
        <v>99.412800000000004</v>
      </c>
      <c r="M973" s="14">
        <f>CHOOSE(CONTROL!$C$42, 97.7456, 97.7456) * CHOOSE(CONTROL!$C$21, $C$9, 100%, $E$9)</f>
        <v>97.745599999999996</v>
      </c>
      <c r="N973" s="14">
        <f>CHOOSE(CONTROL!$C$42, 97.7613, 97.7613) * CHOOSE(CONTROL!$C$21, $C$9, 100%, $E$9)</f>
        <v>97.761300000000006</v>
      </c>
      <c r="O973" s="14">
        <f>CHOOSE(CONTROL!$C$42, 97.8423, 97.8423) * CHOOSE(CONTROL!$C$21, $C$9, 100%, $E$9)</f>
        <v>97.842299999999994</v>
      </c>
      <c r="P973" s="14">
        <f>CHOOSE(CONTROL!$C$42, 97.7708, 97.7708) * CHOOSE(CONTROL!$C$21, $C$9, 100%, $E$9)</f>
        <v>97.770799999999994</v>
      </c>
      <c r="Q973" s="14">
        <f>CHOOSE(CONTROL!$C$42, 98.4376, 98.4376) * CHOOSE(CONTROL!$C$21, $C$9, 100%, $E$9)</f>
        <v>98.437600000000003</v>
      </c>
      <c r="R973" s="14">
        <f>CHOOSE(CONTROL!$C$42, 99.2707, 99.2707) * CHOOSE(CONTROL!$C$21, $C$9, 100%, $E$9)</f>
        <v>99.270700000000005</v>
      </c>
      <c r="S973" s="14">
        <f>CHOOSE(CONTROL!$C$42, 95.878, 95.878) * CHOOSE(CONTROL!$C$21, $C$9, 100%, $E$9)</f>
        <v>95.878</v>
      </c>
      <c r="T97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73" s="57">
        <f>(1000*CHOOSE(CONTROL!$C$42, 695, 695)*CHOOSE(CONTROL!$C$42, 0.5599, 0.5599)*CHOOSE(CONTROL!$C$42, 31, 31))/1000000</f>
        <v>12.063045499999998</v>
      </c>
      <c r="V973" s="57">
        <f>(1000*CHOOSE(CONTROL!$C$42, 500, 500)*CHOOSE(CONTROL!$C$42, 0.275, 0.275)*CHOOSE(CONTROL!$C$42, 31, 31))/1000000</f>
        <v>4.2625000000000002</v>
      </c>
      <c r="W973" s="57">
        <f>(1000*CHOOSE(CONTROL!$C$42, 0.1146, 0.1146)*CHOOSE(CONTROL!$C$42, 121.5, 121.5)*CHOOSE(CONTROL!$C$42, 31, 31))/1000000</f>
        <v>0.43164089999999994</v>
      </c>
      <c r="X973" s="57">
        <f>(31*0.1790888*100000/1000000)+(31*0.2374*100000/1000000)</f>
        <v>1.2911152800000001</v>
      </c>
      <c r="Y973" s="57"/>
      <c r="Z973" s="14"/>
      <c r="AA973" s="56"/>
      <c r="AB973" s="50">
        <f>(B973*122.58+C973*297.941+D973*89.177+E973*40.302+F973*40+G973*160+H973*0+I973*100+J973*300)/(122.58+297.941+89.177+40.302+0+40+160+100+300)</f>
        <v>98.746613969826086</v>
      </c>
      <c r="AC973" s="45">
        <f>(M973*'RAP TEMPLATE-GAS AVAILABILITY'!O972+N973*'RAP TEMPLATE-GAS AVAILABILITY'!P972+O973*'RAP TEMPLATE-GAS AVAILABILITY'!Q972+P973*'RAP TEMPLATE-GAS AVAILABILITY'!R972)/('RAP TEMPLATE-GAS AVAILABILITY'!O972+'RAP TEMPLATE-GAS AVAILABILITY'!P972+'RAP TEMPLATE-GAS AVAILABILITY'!Q972+'RAP TEMPLATE-GAS AVAILABILITY'!R972)</f>
        <v>97.79395755395683</v>
      </c>
    </row>
    <row r="974" spans="1:29" ht="15.75" x14ac:dyDescent="0.25">
      <c r="A974" s="32">
        <v>70553</v>
      </c>
      <c r="B974" s="14">
        <f>CHOOSE(CONTROL!$C$42, 100.4911, 100.4911) * CHOOSE(CONTROL!$C$21, $C$9, 100%, $E$9)</f>
        <v>100.4911</v>
      </c>
      <c r="C974" s="14">
        <f>CHOOSE(CONTROL!$C$42, 100.4961, 100.4961) * CHOOSE(CONTROL!$C$21, $C$9, 100%, $E$9)</f>
        <v>100.4961</v>
      </c>
      <c r="D974" s="14">
        <f>CHOOSE(CONTROL!$C$42, 100.5603, 100.5603) * CHOOSE(CONTROL!$C$21, $C$9, 100%, $E$9)</f>
        <v>100.5603</v>
      </c>
      <c r="E974" s="14">
        <f>CHOOSE(CONTROL!$C$42, 100.5941, 100.5941) * CHOOSE(CONTROL!$C$21, $C$9, 100%, $E$9)</f>
        <v>100.5941</v>
      </c>
      <c r="F974" s="14">
        <f>CHOOSE(CONTROL!$C$42, 100.4927, 100.4927)*CHOOSE(CONTROL!$C$21, $C$9, 100%, $E$9)</f>
        <v>100.4927</v>
      </c>
      <c r="G974" s="14">
        <f>CHOOSE(CONTROL!$C$42, 100.5086, 100.5086)*CHOOSE(CONTROL!$C$21, $C$9, 100%, $E$9)</f>
        <v>100.5086</v>
      </c>
      <c r="H974" s="14">
        <f>CHOOSE(CONTROL!$C$42, 100.5833, 100.5833) * CHOOSE(CONTROL!$C$21, $C$9, 100%, $E$9)</f>
        <v>100.58329999999999</v>
      </c>
      <c r="I974" s="14">
        <f>CHOOSE(CONTROL!$C$42, 100.5111, 100.5111)* CHOOSE(CONTROL!$C$21, $C$9, 100%, $E$9)</f>
        <v>100.5111</v>
      </c>
      <c r="J974" s="14">
        <f>CHOOSE(CONTROL!$C$42, 100.4857, 100.4857)* CHOOSE(CONTROL!$C$21, $C$9, 100%, $E$9)</f>
        <v>100.48569999999999</v>
      </c>
      <c r="K974" s="53">
        <f>CHOOSE(CONTROL!$C$42, 100.5072, 100.5072) * CHOOSE(CONTROL!$C$21, $C$9, 100%, $E$9)</f>
        <v>100.5072</v>
      </c>
      <c r="L974" s="14">
        <f>CHOOSE(CONTROL!$C$42, 101.1703, 101.1703) * CHOOSE(CONTROL!$C$21, $C$9, 100%, $E$9)</f>
        <v>101.1703</v>
      </c>
      <c r="M974" s="14">
        <f>CHOOSE(CONTROL!$C$42, 99.4854, 99.4854) * CHOOSE(CONTROL!$C$21, $C$9, 100%, $E$9)</f>
        <v>99.485399999999998</v>
      </c>
      <c r="N974" s="14">
        <f>CHOOSE(CONTROL!$C$42, 99.5012, 99.5012) * CHOOSE(CONTROL!$C$21, $C$9, 100%, $E$9)</f>
        <v>99.501199999999997</v>
      </c>
      <c r="O974" s="14">
        <f>CHOOSE(CONTROL!$C$42, 99.5821, 99.5821) * CHOOSE(CONTROL!$C$21, $C$9, 100%, $E$9)</f>
        <v>99.582099999999997</v>
      </c>
      <c r="P974" s="14">
        <f>CHOOSE(CONTROL!$C$42, 99.5106, 99.5106) * CHOOSE(CONTROL!$C$21, $C$9, 100%, $E$9)</f>
        <v>99.510599999999997</v>
      </c>
      <c r="Q974" s="14">
        <f>CHOOSE(CONTROL!$C$42, 100.1774, 100.1774) * CHOOSE(CONTROL!$C$21, $C$9, 100%, $E$9)</f>
        <v>100.17740000000001</v>
      </c>
      <c r="R974" s="14">
        <f>CHOOSE(CONTROL!$C$42, 101.0148, 101.0148) * CHOOSE(CONTROL!$C$21, $C$9, 100%, $E$9)</f>
        <v>101.01479999999999</v>
      </c>
      <c r="S974" s="14">
        <f>CHOOSE(CONTROL!$C$42, 97.5848, 97.5848) * CHOOSE(CONTROL!$C$21, $C$9, 100%, $E$9)</f>
        <v>97.584800000000001</v>
      </c>
      <c r="T97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74" s="57">
        <f>(1000*CHOOSE(CONTROL!$C$42, 695, 695)*CHOOSE(CONTROL!$C$42, 0.5599, 0.5599)*CHOOSE(CONTROL!$C$42, 28, 28))/1000000</f>
        <v>10.895653999999999</v>
      </c>
      <c r="V974" s="57">
        <f>(1000*CHOOSE(CONTROL!$C$42, 500, 500)*CHOOSE(CONTROL!$C$42, 0.275, 0.275)*CHOOSE(CONTROL!$C$42, 28, 28))/1000000</f>
        <v>3.85</v>
      </c>
      <c r="W974" s="57">
        <f>(1000*CHOOSE(CONTROL!$C$42, 0.1146, 0.1146)*CHOOSE(CONTROL!$C$42, 121.5, 121.5)*CHOOSE(CONTROL!$C$42, 28, 28))/1000000</f>
        <v>0.38986920000000003</v>
      </c>
      <c r="X974" s="57">
        <f>(28*0.1790888*100000/1000000)+(28*0.2374*100000/1000000)</f>
        <v>1.16616864</v>
      </c>
      <c r="Y974" s="57"/>
      <c r="Z974" s="14"/>
      <c r="AA974" s="56"/>
      <c r="AB974" s="50">
        <f>(B974*122.58+C974*297.941+D974*89.177+E974*40.302+F974*40+G974*160+H974*0+I974*100+J974*300)/(122.58+297.941+89.177+40.302+0+40+160+100+300)</f>
        <v>100.50419205165218</v>
      </c>
      <c r="AC974" s="45">
        <f>(M974*'RAP TEMPLATE-GAS AVAILABILITY'!O973+N974*'RAP TEMPLATE-GAS AVAILABILITY'!P973+O974*'RAP TEMPLATE-GAS AVAILABILITY'!Q973+P974*'RAP TEMPLATE-GAS AVAILABILITY'!R973)/('RAP TEMPLATE-GAS AVAILABILITY'!O973+'RAP TEMPLATE-GAS AVAILABILITY'!P973+'RAP TEMPLATE-GAS AVAILABILITY'!Q973+'RAP TEMPLATE-GAS AVAILABILITY'!R973)</f>
        <v>99.533763309352508</v>
      </c>
    </row>
    <row r="975" spans="1:29" ht="15.75" x14ac:dyDescent="0.25">
      <c r="A975" s="32">
        <v>70584</v>
      </c>
      <c r="B975" s="14">
        <f>CHOOSE(CONTROL!$C$42, 97.6382, 97.6382) * CHOOSE(CONTROL!$C$21, $C$9, 100%, $E$9)</f>
        <v>97.638199999999998</v>
      </c>
      <c r="C975" s="14">
        <f>CHOOSE(CONTROL!$C$42, 97.6431, 97.6431) * CHOOSE(CONTROL!$C$21, $C$9, 100%, $E$9)</f>
        <v>97.643100000000004</v>
      </c>
      <c r="D975" s="14">
        <f>CHOOSE(CONTROL!$C$42, 97.7074, 97.7074) * CHOOSE(CONTROL!$C$21, $C$9, 100%, $E$9)</f>
        <v>97.707400000000007</v>
      </c>
      <c r="E975" s="14">
        <f>CHOOSE(CONTROL!$C$42, 97.7412, 97.7412) * CHOOSE(CONTROL!$C$21, $C$9, 100%, $E$9)</f>
        <v>97.741200000000006</v>
      </c>
      <c r="F975" s="14">
        <f>CHOOSE(CONTROL!$C$42, 97.6394, 97.6394)*CHOOSE(CONTROL!$C$21, $C$9, 100%, $E$9)</f>
        <v>97.639399999999995</v>
      </c>
      <c r="G975" s="14">
        <f>CHOOSE(CONTROL!$C$42, 97.6553, 97.6553)*CHOOSE(CONTROL!$C$21, $C$9, 100%, $E$9)</f>
        <v>97.655299999999997</v>
      </c>
      <c r="H975" s="14">
        <f>CHOOSE(CONTROL!$C$42, 97.7304, 97.7304) * CHOOSE(CONTROL!$C$21, $C$9, 100%, $E$9)</f>
        <v>97.730400000000003</v>
      </c>
      <c r="I975" s="14">
        <f>CHOOSE(CONTROL!$C$42, 97.6582, 97.6582)* CHOOSE(CONTROL!$C$21, $C$9, 100%, $E$9)</f>
        <v>97.658199999999994</v>
      </c>
      <c r="J975" s="14">
        <f>CHOOSE(CONTROL!$C$42, 97.6324, 97.6324)* CHOOSE(CONTROL!$C$21, $C$9, 100%, $E$9)</f>
        <v>97.632400000000004</v>
      </c>
      <c r="K975" s="53">
        <f>CHOOSE(CONTROL!$C$42, 97.6543, 97.6543) * CHOOSE(CONTROL!$C$21, $C$9, 100%, $E$9)</f>
        <v>97.654300000000006</v>
      </c>
      <c r="L975" s="14">
        <f>CHOOSE(CONTROL!$C$42, 98.3174, 98.3174) * CHOOSE(CONTROL!$C$21, $C$9, 100%, $E$9)</f>
        <v>98.317400000000006</v>
      </c>
      <c r="M975" s="14">
        <f>CHOOSE(CONTROL!$C$42, 96.661, 96.661) * CHOOSE(CONTROL!$C$21, $C$9, 100%, $E$9)</f>
        <v>96.661000000000001</v>
      </c>
      <c r="N975" s="14">
        <f>CHOOSE(CONTROL!$C$42, 96.6767, 96.6767) * CHOOSE(CONTROL!$C$21, $C$9, 100%, $E$9)</f>
        <v>96.676699999999997</v>
      </c>
      <c r="O975" s="14">
        <f>CHOOSE(CONTROL!$C$42, 96.7579, 96.7579) * CHOOSE(CONTROL!$C$21, $C$9, 100%, $E$9)</f>
        <v>96.757900000000006</v>
      </c>
      <c r="P975" s="14">
        <f>CHOOSE(CONTROL!$C$42, 96.6865, 96.6865) * CHOOSE(CONTROL!$C$21, $C$9, 100%, $E$9)</f>
        <v>96.686499999999995</v>
      </c>
      <c r="Q975" s="14">
        <f>CHOOSE(CONTROL!$C$42, 97.3532, 97.3532) * CHOOSE(CONTROL!$C$21, $C$9, 100%, $E$9)</f>
        <v>97.353200000000001</v>
      </c>
      <c r="R975" s="14">
        <f>CHOOSE(CONTROL!$C$42, 98.1836, 98.1836) * CHOOSE(CONTROL!$C$21, $C$9, 100%, $E$9)</f>
        <v>98.183599999999998</v>
      </c>
      <c r="S975" s="14">
        <f>CHOOSE(CONTROL!$C$42, 94.8143, 94.8143) * CHOOSE(CONTROL!$C$21, $C$9, 100%, $E$9)</f>
        <v>94.814300000000003</v>
      </c>
      <c r="T97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75" s="57">
        <f>(1000*CHOOSE(CONTROL!$C$42, 695, 695)*CHOOSE(CONTROL!$C$42, 0.5599, 0.5599)*CHOOSE(CONTROL!$C$42, 31, 31))/1000000</f>
        <v>12.063045499999998</v>
      </c>
      <c r="V975" s="57">
        <f>(1000*CHOOSE(CONTROL!$C$42, 500, 500)*CHOOSE(CONTROL!$C$42, 0.275, 0.275)*CHOOSE(CONTROL!$C$42, 31, 31))/1000000</f>
        <v>4.2625000000000002</v>
      </c>
      <c r="W975" s="57">
        <f>(1000*CHOOSE(CONTROL!$C$42, 0.1146, 0.1146)*CHOOSE(CONTROL!$C$42, 121.5, 121.5)*CHOOSE(CONTROL!$C$42, 31, 31))/1000000</f>
        <v>0.43164089999999994</v>
      </c>
      <c r="X975" s="57">
        <f>(31*0.1790888*100000/1000000)+(31*0.2374*100000/1000000)</f>
        <v>1.2911152800000001</v>
      </c>
      <c r="Y975" s="57"/>
      <c r="Z975" s="14"/>
      <c r="AA975" s="56"/>
      <c r="AB975" s="50">
        <f>(B975*122.58+C975*297.941+D975*89.177+E975*40.302+F975*40+G975*160+H975*0+I975*100+J975*300)/(122.58+297.941+89.177+40.302+0+40+160+100+300)</f>
        <v>97.651092230695653</v>
      </c>
      <c r="AC975" s="45">
        <f>(M975*'RAP TEMPLATE-GAS AVAILABILITY'!O974+N975*'RAP TEMPLATE-GAS AVAILABILITY'!P974+O975*'RAP TEMPLATE-GAS AVAILABILITY'!Q974+P975*'RAP TEMPLATE-GAS AVAILABILITY'!R974)/('RAP TEMPLATE-GAS AVAILABILITY'!O974+'RAP TEMPLATE-GAS AVAILABILITY'!P974+'RAP TEMPLATE-GAS AVAILABILITY'!Q974+'RAP TEMPLATE-GAS AVAILABILITY'!R974)</f>
        <v>96.709491366906477</v>
      </c>
    </row>
    <row r="976" spans="1:29" ht="15.75" x14ac:dyDescent="0.25">
      <c r="A976" s="32">
        <v>70614</v>
      </c>
      <c r="B976" s="14">
        <f>CHOOSE(CONTROL!$C$42, 97.347, 97.347) * CHOOSE(CONTROL!$C$21, $C$9, 100%, $E$9)</f>
        <v>97.346999999999994</v>
      </c>
      <c r="C976" s="14">
        <f>CHOOSE(CONTROL!$C$42, 97.3514, 97.3514) * CHOOSE(CONTROL!$C$21, $C$9, 100%, $E$9)</f>
        <v>97.351399999999998</v>
      </c>
      <c r="D976" s="14">
        <f>CHOOSE(CONTROL!$C$42, 97.5521, 97.5521) * CHOOSE(CONTROL!$C$21, $C$9, 100%, $E$9)</f>
        <v>97.552099999999996</v>
      </c>
      <c r="E976" s="14">
        <f>CHOOSE(CONTROL!$C$42, 97.5839, 97.5839) * CHOOSE(CONTROL!$C$21, $C$9, 100%, $E$9)</f>
        <v>97.5839</v>
      </c>
      <c r="F976" s="14">
        <f>CHOOSE(CONTROL!$C$42, 97.3316, 97.3316)*CHOOSE(CONTROL!$C$21, $C$9, 100%, $E$9)</f>
        <v>97.331599999999995</v>
      </c>
      <c r="G976" s="14">
        <f>CHOOSE(CONTROL!$C$42, 97.3472, 97.3472)*CHOOSE(CONTROL!$C$21, $C$9, 100%, $E$9)</f>
        <v>97.347200000000001</v>
      </c>
      <c r="H976" s="14">
        <f>CHOOSE(CONTROL!$C$42, 97.5737, 97.5737) * CHOOSE(CONTROL!$C$21, $C$9, 100%, $E$9)</f>
        <v>97.573700000000002</v>
      </c>
      <c r="I976" s="14">
        <f>CHOOSE(CONTROL!$C$42, 97.3598, 97.3598)* CHOOSE(CONTROL!$C$21, $C$9, 100%, $E$9)</f>
        <v>97.359800000000007</v>
      </c>
      <c r="J976" s="14">
        <f>CHOOSE(CONTROL!$C$42, 97.3246, 97.3246)* CHOOSE(CONTROL!$C$21, $C$9, 100%, $E$9)</f>
        <v>97.324600000000004</v>
      </c>
      <c r="K976" s="53">
        <f>CHOOSE(CONTROL!$C$42, 97.3559, 97.3559) * CHOOSE(CONTROL!$C$21, $C$9, 100%, $E$9)</f>
        <v>97.355900000000005</v>
      </c>
      <c r="L976" s="14">
        <f>CHOOSE(CONTROL!$C$42, 98.1607, 98.1607) * CHOOSE(CONTROL!$C$21, $C$9, 100%, $E$9)</f>
        <v>98.160700000000006</v>
      </c>
      <c r="M976" s="14">
        <f>CHOOSE(CONTROL!$C$42, 96.3562, 96.3562) * CHOOSE(CONTROL!$C$21, $C$9, 100%, $E$9)</f>
        <v>96.356200000000001</v>
      </c>
      <c r="N976" s="14">
        <f>CHOOSE(CONTROL!$C$42, 96.3717, 96.3717) * CHOOSE(CONTROL!$C$21, $C$9, 100%, $E$9)</f>
        <v>96.371700000000004</v>
      </c>
      <c r="O976" s="14">
        <f>CHOOSE(CONTROL!$C$42, 96.6028, 96.6028) * CHOOSE(CONTROL!$C$21, $C$9, 100%, $E$9)</f>
        <v>96.602800000000002</v>
      </c>
      <c r="P976" s="14">
        <f>CHOOSE(CONTROL!$C$42, 96.3911, 96.3911) * CHOOSE(CONTROL!$C$21, $C$9, 100%, $E$9)</f>
        <v>96.391099999999994</v>
      </c>
      <c r="Q976" s="14">
        <f>CHOOSE(CONTROL!$C$42, 97.1981, 97.1981) * CHOOSE(CONTROL!$C$21, $C$9, 100%, $E$9)</f>
        <v>97.198099999999997</v>
      </c>
      <c r="R976" s="14">
        <f>CHOOSE(CONTROL!$C$42, 98.0281, 98.0281) * CHOOSE(CONTROL!$C$21, $C$9, 100%, $E$9)</f>
        <v>98.028099999999995</v>
      </c>
      <c r="S976" s="14">
        <f>CHOOSE(CONTROL!$C$42, 94.5308, 94.5308) * CHOOSE(CONTROL!$C$21, $C$9, 100%, $E$9)</f>
        <v>94.530799999999999</v>
      </c>
      <c r="T97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76" s="57">
        <f>(1000*CHOOSE(CONTROL!$C$42, 695, 695)*CHOOSE(CONTROL!$C$42, 0.5599, 0.5599)*CHOOSE(CONTROL!$C$42, 30, 30))/1000000</f>
        <v>11.673914999999997</v>
      </c>
      <c r="V976" s="57">
        <f>(1000*CHOOSE(CONTROL!$C$42, 500, 500)*CHOOSE(CONTROL!$C$42, 0.275, 0.275)*CHOOSE(CONTROL!$C$42, 30, 30))/1000000</f>
        <v>4.125</v>
      </c>
      <c r="W976" s="57">
        <f>(1000*CHOOSE(CONTROL!$C$42, 0.1146, 0.1146)*CHOOSE(CONTROL!$C$42, 121.5, 121.5)*CHOOSE(CONTROL!$C$42, 30, 30))/1000000</f>
        <v>0.417717</v>
      </c>
      <c r="X976" s="57">
        <f>(30*0.1790888*245000/1000000)+(30*0.2374*100000/1000000)</f>
        <v>2.0285026799999999</v>
      </c>
      <c r="Y976" s="57"/>
      <c r="Z976" s="14"/>
      <c r="AA976" s="56"/>
      <c r="AB976" s="50">
        <f>(B976*141.293+C976*267.993+D976*115.016+E976*89.698+F976*40+G976*185+H976*0+I976*100+J976*300)/(141.293+267.993+115.016+89.698+0+40+185+100+300)</f>
        <v>97.379283621468943</v>
      </c>
      <c r="AC976" s="45">
        <f>(M976*'RAP TEMPLATE-GAS AVAILABILITY'!O975+N976*'RAP TEMPLATE-GAS AVAILABILITY'!P975+O976*'RAP TEMPLATE-GAS AVAILABILITY'!Q975+P976*'RAP TEMPLATE-GAS AVAILABILITY'!R975)/('RAP TEMPLATE-GAS AVAILABILITY'!O975+'RAP TEMPLATE-GAS AVAILABILITY'!P975+'RAP TEMPLATE-GAS AVAILABILITY'!Q975+'RAP TEMPLATE-GAS AVAILABILITY'!R975)</f>
        <v>96.473882014388479</v>
      </c>
    </row>
    <row r="977" spans="1:29" ht="15.75" x14ac:dyDescent="0.25">
      <c r="A977" s="32">
        <v>70645</v>
      </c>
      <c r="B977" s="14">
        <f>CHOOSE(CONTROL!$C$42, 98.2076, 98.2076) * CHOOSE(CONTROL!$C$21, $C$9, 100%, $E$9)</f>
        <v>98.207599999999999</v>
      </c>
      <c r="C977" s="14">
        <f>CHOOSE(CONTROL!$C$42, 98.2155, 98.2155) * CHOOSE(CONTROL!$C$21, $C$9, 100%, $E$9)</f>
        <v>98.215500000000006</v>
      </c>
      <c r="D977" s="14">
        <f>CHOOSE(CONTROL!$C$42, 98.4131, 98.4131) * CHOOSE(CONTROL!$C$21, $C$9, 100%, $E$9)</f>
        <v>98.4131</v>
      </c>
      <c r="E977" s="14">
        <f>CHOOSE(CONTROL!$C$42, 98.4442, 98.4442) * CHOOSE(CONTROL!$C$21, $C$9, 100%, $E$9)</f>
        <v>98.444199999999995</v>
      </c>
      <c r="F977" s="14">
        <f>CHOOSE(CONTROL!$C$42, 98.191, 98.191)*CHOOSE(CONTROL!$C$21, $C$9, 100%, $E$9)</f>
        <v>98.191000000000003</v>
      </c>
      <c r="G977" s="14">
        <f>CHOOSE(CONTROL!$C$42, 98.2071, 98.2071)*CHOOSE(CONTROL!$C$21, $C$9, 100%, $E$9)</f>
        <v>98.207099999999997</v>
      </c>
      <c r="H977" s="14">
        <f>CHOOSE(CONTROL!$C$42, 98.4328, 98.4328) * CHOOSE(CONTROL!$C$21, $C$9, 100%, $E$9)</f>
        <v>98.4328</v>
      </c>
      <c r="I977" s="14">
        <f>CHOOSE(CONTROL!$C$42, 98.2189, 98.2189)* CHOOSE(CONTROL!$C$21, $C$9, 100%, $E$9)</f>
        <v>98.218900000000005</v>
      </c>
      <c r="J977" s="14">
        <f>CHOOSE(CONTROL!$C$42, 98.184, 98.184)* CHOOSE(CONTROL!$C$21, $C$9, 100%, $E$9)</f>
        <v>98.183999999999997</v>
      </c>
      <c r="K977" s="53">
        <f>CHOOSE(CONTROL!$C$42, 98.215, 98.215) * CHOOSE(CONTROL!$C$21, $C$9, 100%, $E$9)</f>
        <v>98.215000000000003</v>
      </c>
      <c r="L977" s="14">
        <f>CHOOSE(CONTROL!$C$42, 99.0198, 99.0198) * CHOOSE(CONTROL!$C$21, $C$9, 100%, $E$9)</f>
        <v>99.019800000000004</v>
      </c>
      <c r="M977" s="14">
        <f>CHOOSE(CONTROL!$C$42, 97.207, 97.207) * CHOOSE(CONTROL!$C$21, $C$9, 100%, $E$9)</f>
        <v>97.206999999999994</v>
      </c>
      <c r="N977" s="14">
        <f>CHOOSE(CONTROL!$C$42, 97.2229, 97.2229) * CHOOSE(CONTROL!$C$21, $C$9, 100%, $E$9)</f>
        <v>97.222899999999996</v>
      </c>
      <c r="O977" s="14">
        <f>CHOOSE(CONTROL!$C$42, 97.4533, 97.4533) * CHOOSE(CONTROL!$C$21, $C$9, 100%, $E$9)</f>
        <v>97.453299999999999</v>
      </c>
      <c r="P977" s="14">
        <f>CHOOSE(CONTROL!$C$42, 97.2416, 97.2416) * CHOOSE(CONTROL!$C$21, $C$9, 100%, $E$9)</f>
        <v>97.241600000000005</v>
      </c>
      <c r="Q977" s="14">
        <f>CHOOSE(CONTROL!$C$42, 98.0486, 98.0486) * CHOOSE(CONTROL!$C$21, $C$9, 100%, $E$9)</f>
        <v>98.048599999999993</v>
      </c>
      <c r="R977" s="14">
        <f>CHOOSE(CONTROL!$C$42, 98.8807, 98.8807) * CHOOSE(CONTROL!$C$21, $C$9, 100%, $E$9)</f>
        <v>98.880700000000004</v>
      </c>
      <c r="S977" s="14">
        <f>CHOOSE(CONTROL!$C$42, 95.3651, 95.3651) * CHOOSE(CONTROL!$C$21, $C$9, 100%, $E$9)</f>
        <v>95.365099999999998</v>
      </c>
      <c r="T97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77" s="57">
        <f>(1000*CHOOSE(CONTROL!$C$42, 695, 695)*CHOOSE(CONTROL!$C$42, 0.5599, 0.5599)*CHOOSE(CONTROL!$C$42, 31, 31))/1000000</f>
        <v>12.063045499999998</v>
      </c>
      <c r="V977" s="57">
        <f>(1000*CHOOSE(CONTROL!$C$42, 500, 500)*CHOOSE(CONTROL!$C$42, 0.275, 0.275)*CHOOSE(CONTROL!$C$42, 31, 31))/1000000</f>
        <v>4.2625000000000002</v>
      </c>
      <c r="W977" s="57">
        <f>(1000*CHOOSE(CONTROL!$C$42, 0.1146, 0.1146)*CHOOSE(CONTROL!$C$42, 121.5, 121.5)*CHOOSE(CONTROL!$C$42, 31, 31))/1000000</f>
        <v>0.43164089999999994</v>
      </c>
      <c r="X977" s="57">
        <f>(31*0.1790888*245000/1000000)+(31*0.2374*100000/1000000)</f>
        <v>2.0961194359999999</v>
      </c>
      <c r="Y977" s="57"/>
      <c r="Z977" s="14"/>
      <c r="AA977" s="56"/>
      <c r="AB977" s="50">
        <f>(B977*194.205+C977*267.466+D977*133.845+E977*53.484+F977*40+G977*185+H977*0+I977*100+J977*300)/(194.205+267.466+133.845+53.484+0+40+185+100+300)</f>
        <v>98.235516752982733</v>
      </c>
      <c r="AC977" s="45">
        <f>(M977*'RAP TEMPLATE-GAS AVAILABILITY'!O976+N977*'RAP TEMPLATE-GAS AVAILABILITY'!P976+O977*'RAP TEMPLATE-GAS AVAILABILITY'!Q976+P977*'RAP TEMPLATE-GAS AVAILABILITY'!R976)/('RAP TEMPLATE-GAS AVAILABILITY'!O976+'RAP TEMPLATE-GAS AVAILABILITY'!P976+'RAP TEMPLATE-GAS AVAILABILITY'!Q976+'RAP TEMPLATE-GAS AVAILABILITY'!R976)</f>
        <v>97.324525899280587</v>
      </c>
    </row>
    <row r="978" spans="1:29" ht="15.75" x14ac:dyDescent="0.25">
      <c r="A978" s="32">
        <v>70675</v>
      </c>
      <c r="B978" s="14">
        <f>CHOOSE(CONTROL!$C$42, 100.9932, 100.9932) * CHOOSE(CONTROL!$C$21, $C$9, 100%, $E$9)</f>
        <v>100.9932</v>
      </c>
      <c r="C978" s="14">
        <f>CHOOSE(CONTROL!$C$42, 101.0011, 101.0011) * CHOOSE(CONTROL!$C$21, $C$9, 100%, $E$9)</f>
        <v>101.00109999999999</v>
      </c>
      <c r="D978" s="14">
        <f>CHOOSE(CONTROL!$C$42, 101.1987, 101.1987) * CHOOSE(CONTROL!$C$21, $C$9, 100%, $E$9)</f>
        <v>101.1987</v>
      </c>
      <c r="E978" s="14">
        <f>CHOOSE(CONTROL!$C$42, 101.2299, 101.2299) * CHOOSE(CONTROL!$C$21, $C$9, 100%, $E$9)</f>
        <v>101.2299</v>
      </c>
      <c r="F978" s="14">
        <f>CHOOSE(CONTROL!$C$42, 100.977, 100.977)*CHOOSE(CONTROL!$C$21, $C$9, 100%, $E$9)</f>
        <v>100.977</v>
      </c>
      <c r="G978" s="14">
        <f>CHOOSE(CONTROL!$C$42, 100.9932, 100.9932)*CHOOSE(CONTROL!$C$21, $C$9, 100%, $E$9)</f>
        <v>100.9932</v>
      </c>
      <c r="H978" s="14">
        <f>CHOOSE(CONTROL!$C$42, 101.2185, 101.2185) * CHOOSE(CONTROL!$C$21, $C$9, 100%, $E$9)</f>
        <v>101.21850000000001</v>
      </c>
      <c r="I978" s="14">
        <f>CHOOSE(CONTROL!$C$42, 101.0046, 101.0046)* CHOOSE(CONTROL!$C$21, $C$9, 100%, $E$9)</f>
        <v>101.0046</v>
      </c>
      <c r="J978" s="14">
        <f>CHOOSE(CONTROL!$C$42, 100.97, 100.97)* CHOOSE(CONTROL!$C$21, $C$9, 100%, $E$9)</f>
        <v>100.97</v>
      </c>
      <c r="K978" s="53">
        <f>CHOOSE(CONTROL!$C$42, 101.0007, 101.0007) * CHOOSE(CONTROL!$C$21, $C$9, 100%, $E$9)</f>
        <v>101.00069999999999</v>
      </c>
      <c r="L978" s="14">
        <f>CHOOSE(CONTROL!$C$42, 101.8055, 101.8055) * CHOOSE(CONTROL!$C$21, $C$9, 100%, $E$9)</f>
        <v>101.80549999999999</v>
      </c>
      <c r="M978" s="14">
        <f>CHOOSE(CONTROL!$C$42, 99.9649, 99.9649) * CHOOSE(CONTROL!$C$21, $C$9, 100%, $E$9)</f>
        <v>99.9649</v>
      </c>
      <c r="N978" s="14">
        <f>CHOOSE(CONTROL!$C$42, 99.9809, 99.9809) * CHOOSE(CONTROL!$C$21, $C$9, 100%, $E$9)</f>
        <v>99.980900000000005</v>
      </c>
      <c r="O978" s="14">
        <f>CHOOSE(CONTROL!$C$42, 100.2108, 100.2108) * CHOOSE(CONTROL!$C$21, $C$9, 100%, $E$9)</f>
        <v>100.21080000000001</v>
      </c>
      <c r="P978" s="14">
        <f>CHOOSE(CONTROL!$C$42, 99.9991, 99.9991) * CHOOSE(CONTROL!$C$21, $C$9, 100%, $E$9)</f>
        <v>99.999099999999999</v>
      </c>
      <c r="Q978" s="14">
        <f>CHOOSE(CONTROL!$C$42, 100.8061, 100.8061) * CHOOSE(CONTROL!$C$21, $C$9, 100%, $E$9)</f>
        <v>100.8061</v>
      </c>
      <c r="R978" s="14">
        <f>CHOOSE(CONTROL!$C$42, 101.6452, 101.6452) * CHOOSE(CONTROL!$C$21, $C$9, 100%, $E$9)</f>
        <v>101.6452</v>
      </c>
      <c r="S978" s="14">
        <f>CHOOSE(CONTROL!$C$42, 98.0703, 98.0703) * CHOOSE(CONTROL!$C$21, $C$9, 100%, $E$9)</f>
        <v>98.070300000000003</v>
      </c>
      <c r="T97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78" s="57">
        <f>(1000*CHOOSE(CONTROL!$C$42, 695, 695)*CHOOSE(CONTROL!$C$42, 0.5599, 0.5599)*CHOOSE(CONTROL!$C$42, 30, 30))/1000000</f>
        <v>11.673914999999997</v>
      </c>
      <c r="V978" s="57">
        <f>(1000*CHOOSE(CONTROL!$C$42, 500, 500)*CHOOSE(CONTROL!$C$42, 0.275, 0.275)*CHOOSE(CONTROL!$C$42, 30, 30))/1000000</f>
        <v>4.125</v>
      </c>
      <c r="W978" s="57">
        <f>(1000*CHOOSE(CONTROL!$C$42, 0.1146, 0.1146)*CHOOSE(CONTROL!$C$42, 121.5, 121.5)*CHOOSE(CONTROL!$C$42, 30, 30))/1000000</f>
        <v>0.417717</v>
      </c>
      <c r="X978" s="57">
        <f>(30*0.1790888*245000/1000000)+(30*0.2374*100000/1000000)</f>
        <v>2.0285026799999999</v>
      </c>
      <c r="Y978" s="57"/>
      <c r="Z978" s="14"/>
      <c r="AA978" s="56"/>
      <c r="AB978" s="50">
        <f>(B978*194.205+C978*267.466+D978*133.845+E978*53.484+F978*40+G978*185+H978*0+I978*100+J978*300)/(194.205+267.466+133.845+53.484+0+40+185+100+300)</f>
        <v>101.02130815675039</v>
      </c>
      <c r="AC978" s="45">
        <f>(M978*'RAP TEMPLATE-GAS AVAILABILITY'!O977+N978*'RAP TEMPLATE-GAS AVAILABILITY'!P977+O978*'RAP TEMPLATE-GAS AVAILABILITY'!Q977+P978*'RAP TEMPLATE-GAS AVAILABILITY'!R977)/('RAP TEMPLATE-GAS AVAILABILITY'!O977+'RAP TEMPLATE-GAS AVAILABILITY'!P977+'RAP TEMPLATE-GAS AVAILABILITY'!Q977+'RAP TEMPLATE-GAS AVAILABILITY'!R977)</f>
        <v>100.08219280575541</v>
      </c>
    </row>
    <row r="979" spans="1:29" ht="15.75" x14ac:dyDescent="0.25">
      <c r="A979" s="32">
        <v>70706</v>
      </c>
      <c r="B979" s="14">
        <f>CHOOSE(CONTROL!$C$42, 99.0558, 99.0558) * CHOOSE(CONTROL!$C$21, $C$9, 100%, $E$9)</f>
        <v>99.055800000000005</v>
      </c>
      <c r="C979" s="14">
        <f>CHOOSE(CONTROL!$C$42, 99.0637, 99.0637) * CHOOSE(CONTROL!$C$21, $C$9, 100%, $E$9)</f>
        <v>99.063699999999997</v>
      </c>
      <c r="D979" s="14">
        <f>CHOOSE(CONTROL!$C$42, 99.2613, 99.2613) * CHOOSE(CONTROL!$C$21, $C$9, 100%, $E$9)</f>
        <v>99.261300000000006</v>
      </c>
      <c r="E979" s="14">
        <f>CHOOSE(CONTROL!$C$42, 99.2924, 99.2924) * CHOOSE(CONTROL!$C$21, $C$9, 100%, $E$9)</f>
        <v>99.292400000000001</v>
      </c>
      <c r="F979" s="14">
        <f>CHOOSE(CONTROL!$C$42, 99.04, 99.04)*CHOOSE(CONTROL!$C$21, $C$9, 100%, $E$9)</f>
        <v>99.04</v>
      </c>
      <c r="G979" s="14">
        <f>CHOOSE(CONTROL!$C$42, 99.0563, 99.0563)*CHOOSE(CONTROL!$C$21, $C$9, 100%, $E$9)</f>
        <v>99.056299999999993</v>
      </c>
      <c r="H979" s="14">
        <f>CHOOSE(CONTROL!$C$42, 99.2811, 99.2811) * CHOOSE(CONTROL!$C$21, $C$9, 100%, $E$9)</f>
        <v>99.281099999999995</v>
      </c>
      <c r="I979" s="14">
        <f>CHOOSE(CONTROL!$C$42, 99.0671, 99.0671)* CHOOSE(CONTROL!$C$21, $C$9, 100%, $E$9)</f>
        <v>99.067099999999996</v>
      </c>
      <c r="J979" s="14">
        <f>CHOOSE(CONTROL!$C$42, 99.033, 99.033)* CHOOSE(CONTROL!$C$21, $C$9, 100%, $E$9)</f>
        <v>99.033000000000001</v>
      </c>
      <c r="K979" s="53">
        <f>CHOOSE(CONTROL!$C$42, 99.0633, 99.0633) * CHOOSE(CONTROL!$C$21, $C$9, 100%, $E$9)</f>
        <v>99.063299999999998</v>
      </c>
      <c r="L979" s="14">
        <f>CHOOSE(CONTROL!$C$42, 99.8681, 99.8681) * CHOOSE(CONTROL!$C$21, $C$9, 100%, $E$9)</f>
        <v>99.868099999999998</v>
      </c>
      <c r="M979" s="14">
        <f>CHOOSE(CONTROL!$C$42, 98.0474, 98.0474) * CHOOSE(CONTROL!$C$21, $C$9, 100%, $E$9)</f>
        <v>98.047399999999996</v>
      </c>
      <c r="N979" s="14">
        <f>CHOOSE(CONTROL!$C$42, 98.0636, 98.0636) * CHOOSE(CONTROL!$C$21, $C$9, 100%, $E$9)</f>
        <v>98.063599999999994</v>
      </c>
      <c r="O979" s="14">
        <f>CHOOSE(CONTROL!$C$42, 98.293, 98.293) * CHOOSE(CONTROL!$C$21, $C$9, 100%, $E$9)</f>
        <v>98.293000000000006</v>
      </c>
      <c r="P979" s="14">
        <f>CHOOSE(CONTROL!$C$42, 98.0813, 98.0813) * CHOOSE(CONTROL!$C$21, $C$9, 100%, $E$9)</f>
        <v>98.081299999999999</v>
      </c>
      <c r="Q979" s="14">
        <f>CHOOSE(CONTROL!$C$42, 98.8883, 98.8883) * CHOOSE(CONTROL!$C$21, $C$9, 100%, $E$9)</f>
        <v>98.888300000000001</v>
      </c>
      <c r="R979" s="14">
        <f>CHOOSE(CONTROL!$C$42, 99.7225, 99.7225) * CHOOSE(CONTROL!$C$21, $C$9, 100%, $E$9)</f>
        <v>99.722499999999997</v>
      </c>
      <c r="S979" s="14">
        <f>CHOOSE(CONTROL!$C$42, 96.1888, 96.1888) * CHOOSE(CONTROL!$C$21, $C$9, 100%, $E$9)</f>
        <v>96.188800000000001</v>
      </c>
      <c r="T97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79" s="57">
        <f>(1000*CHOOSE(CONTROL!$C$42, 695, 695)*CHOOSE(CONTROL!$C$42, 0.5599, 0.5599)*CHOOSE(CONTROL!$C$42, 31, 31))/1000000</f>
        <v>12.063045499999998</v>
      </c>
      <c r="V979" s="57">
        <f>(1000*CHOOSE(CONTROL!$C$42, 500, 500)*CHOOSE(CONTROL!$C$42, 0.275, 0.275)*CHOOSE(CONTROL!$C$42, 31, 31))/1000000</f>
        <v>4.2625000000000002</v>
      </c>
      <c r="W979" s="57">
        <f>(1000*CHOOSE(CONTROL!$C$42, 0.1146, 0.1146)*CHOOSE(CONTROL!$C$42, 121.5, 121.5)*CHOOSE(CONTROL!$C$42, 31, 31))/1000000</f>
        <v>0.43164089999999994</v>
      </c>
      <c r="X979" s="57">
        <f>(31*0.1790888*245000/1000000)+(31*0.2374*100000/1000000)</f>
        <v>2.0961194359999999</v>
      </c>
      <c r="Y979" s="57"/>
      <c r="Z979" s="14"/>
      <c r="AA979" s="56"/>
      <c r="AB979" s="50">
        <f>(B979*194.205+C979*267.466+D979*133.845+E979*53.484+F979*40+G979*185+H979*0+I979*100+J979*300)/(194.205+267.466+133.845+53.484+0+40+185+100+300)</f>
        <v>99.084075465698589</v>
      </c>
      <c r="AC979" s="45">
        <f>(M979*'RAP TEMPLATE-GAS AVAILABILITY'!O978+N979*'RAP TEMPLATE-GAS AVAILABILITY'!P978+O979*'RAP TEMPLATE-GAS AVAILABILITY'!Q978+P979*'RAP TEMPLATE-GAS AVAILABILITY'!R978)/('RAP TEMPLATE-GAS AVAILABILITY'!O978+'RAP TEMPLATE-GAS AVAILABILITY'!P978+'RAP TEMPLATE-GAS AVAILABILITY'!Q978+'RAP TEMPLATE-GAS AVAILABILITY'!R978)</f>
        <v>98.164525179856113</v>
      </c>
    </row>
    <row r="980" spans="1:29" ht="15.75" x14ac:dyDescent="0.25">
      <c r="A980" s="32">
        <v>70737</v>
      </c>
      <c r="B980" s="14">
        <f>CHOOSE(CONTROL!$C$42, 94.1632, 94.1632) * CHOOSE(CONTROL!$C$21, $C$9, 100%, $E$9)</f>
        <v>94.163200000000003</v>
      </c>
      <c r="C980" s="14">
        <f>CHOOSE(CONTROL!$C$42, 94.1711, 94.1711) * CHOOSE(CONTROL!$C$21, $C$9, 100%, $E$9)</f>
        <v>94.171099999999996</v>
      </c>
      <c r="D980" s="14">
        <f>CHOOSE(CONTROL!$C$42, 94.3687, 94.3687) * CHOOSE(CONTROL!$C$21, $C$9, 100%, $E$9)</f>
        <v>94.368700000000004</v>
      </c>
      <c r="E980" s="14">
        <f>CHOOSE(CONTROL!$C$42, 94.3998, 94.3998) * CHOOSE(CONTROL!$C$21, $C$9, 100%, $E$9)</f>
        <v>94.399799999999999</v>
      </c>
      <c r="F980" s="14">
        <f>CHOOSE(CONTROL!$C$42, 94.1476, 94.1476)*CHOOSE(CONTROL!$C$21, $C$9, 100%, $E$9)</f>
        <v>94.147599999999997</v>
      </c>
      <c r="G980" s="14">
        <f>CHOOSE(CONTROL!$C$42, 94.164, 94.164)*CHOOSE(CONTROL!$C$21, $C$9, 100%, $E$9)</f>
        <v>94.164000000000001</v>
      </c>
      <c r="H980" s="14">
        <f>CHOOSE(CONTROL!$C$42, 94.3884, 94.3884) * CHOOSE(CONTROL!$C$21, $C$9, 100%, $E$9)</f>
        <v>94.388400000000004</v>
      </c>
      <c r="I980" s="14">
        <f>CHOOSE(CONTROL!$C$42, 94.1745, 94.1745)* CHOOSE(CONTROL!$C$21, $C$9, 100%, $E$9)</f>
        <v>94.174499999999995</v>
      </c>
      <c r="J980" s="14">
        <f>CHOOSE(CONTROL!$C$42, 94.1406, 94.1406)* CHOOSE(CONTROL!$C$21, $C$9, 100%, $E$9)</f>
        <v>94.140600000000006</v>
      </c>
      <c r="K980" s="53">
        <f>CHOOSE(CONTROL!$C$42, 94.1706, 94.1706) * CHOOSE(CONTROL!$C$21, $C$9, 100%, $E$9)</f>
        <v>94.170599999999993</v>
      </c>
      <c r="L980" s="14">
        <f>CHOOSE(CONTROL!$C$42, 94.9754, 94.9754) * CHOOSE(CONTROL!$C$21, $C$9, 100%, $E$9)</f>
        <v>94.975399999999993</v>
      </c>
      <c r="M980" s="14">
        <f>CHOOSE(CONTROL!$C$42, 93.2044, 93.2044) * CHOOSE(CONTROL!$C$21, $C$9, 100%, $E$9)</f>
        <v>93.204400000000007</v>
      </c>
      <c r="N980" s="14">
        <f>CHOOSE(CONTROL!$C$42, 93.2206, 93.2206) * CHOOSE(CONTROL!$C$21, $C$9, 100%, $E$9)</f>
        <v>93.220600000000005</v>
      </c>
      <c r="O980" s="14">
        <f>CHOOSE(CONTROL!$C$42, 93.4497, 93.4497) * CHOOSE(CONTROL!$C$21, $C$9, 100%, $E$9)</f>
        <v>93.449700000000007</v>
      </c>
      <c r="P980" s="14">
        <f>CHOOSE(CONTROL!$C$42, 93.238, 93.238) * CHOOSE(CONTROL!$C$21, $C$9, 100%, $E$9)</f>
        <v>93.238</v>
      </c>
      <c r="Q980" s="14">
        <f>CHOOSE(CONTROL!$C$42, 94.045, 94.045) * CHOOSE(CONTROL!$C$21, $C$9, 100%, $E$9)</f>
        <v>94.045000000000002</v>
      </c>
      <c r="R980" s="14">
        <f>CHOOSE(CONTROL!$C$42, 94.8671, 94.8671) * CHOOSE(CONTROL!$C$21, $C$9, 100%, $E$9)</f>
        <v>94.867099999999994</v>
      </c>
      <c r="S980" s="14">
        <f>CHOOSE(CONTROL!$C$42, 91.4376, 91.4376) * CHOOSE(CONTROL!$C$21, $C$9, 100%, $E$9)</f>
        <v>91.437600000000003</v>
      </c>
      <c r="T98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80" s="57">
        <f>(1000*CHOOSE(CONTROL!$C$42, 695, 695)*CHOOSE(CONTROL!$C$42, 0.5599, 0.5599)*CHOOSE(CONTROL!$C$42, 31, 31))/1000000</f>
        <v>12.063045499999998</v>
      </c>
      <c r="V980" s="57">
        <f>(1000*CHOOSE(CONTROL!$C$42, 500, 500)*CHOOSE(CONTROL!$C$42, 0.275, 0.275)*CHOOSE(CONTROL!$C$42, 31, 31))/1000000</f>
        <v>4.2625000000000002</v>
      </c>
      <c r="W980" s="57">
        <f>(1000*CHOOSE(CONTROL!$C$42, 0.1146, 0.1146)*CHOOSE(CONTROL!$C$42, 121.5, 121.5)*CHOOSE(CONTROL!$C$42, 31, 31))/1000000</f>
        <v>0.43164089999999994</v>
      </c>
      <c r="X980" s="57">
        <f>(31*0.1790888*245000/1000000)+(31*0.2374*100000/1000000)</f>
        <v>2.0961194359999999</v>
      </c>
      <c r="Y980" s="57"/>
      <c r="Z980" s="14"/>
      <c r="AA980" s="56"/>
      <c r="AB980" s="50">
        <f>(B980*194.205+C980*267.466+D980*133.845+E980*53.484+F980*40+G980*185+H980*0+I980*100+J980*300)/(194.205+267.466+133.845+53.484+0+40+185+100+300)</f>
        <v>94.191572404474101</v>
      </c>
      <c r="AC980" s="45">
        <f>(M980*'RAP TEMPLATE-GAS AVAILABILITY'!O979+N980*'RAP TEMPLATE-GAS AVAILABILITY'!P979+O980*'RAP TEMPLATE-GAS AVAILABILITY'!Q979+P980*'RAP TEMPLATE-GAS AVAILABILITY'!R979)/('RAP TEMPLATE-GAS AVAILABILITY'!O979+'RAP TEMPLATE-GAS AVAILABILITY'!P979+'RAP TEMPLATE-GAS AVAILABILITY'!Q979+'RAP TEMPLATE-GAS AVAILABILITY'!R979)</f>
        <v>93.321346043165462</v>
      </c>
    </row>
    <row r="981" spans="1:29" ht="15.75" x14ac:dyDescent="0.25">
      <c r="A981" s="32">
        <v>70767</v>
      </c>
      <c r="B981" s="14">
        <f>CHOOSE(CONTROL!$C$42, 88.1849, 88.1849) * CHOOSE(CONTROL!$C$21, $C$9, 100%, $E$9)</f>
        <v>88.184899999999999</v>
      </c>
      <c r="C981" s="14">
        <f>CHOOSE(CONTROL!$C$42, 88.1928, 88.1928) * CHOOSE(CONTROL!$C$21, $C$9, 100%, $E$9)</f>
        <v>88.192800000000005</v>
      </c>
      <c r="D981" s="14">
        <f>CHOOSE(CONTROL!$C$42, 88.3904, 88.3904) * CHOOSE(CONTROL!$C$21, $C$9, 100%, $E$9)</f>
        <v>88.3904</v>
      </c>
      <c r="E981" s="14">
        <f>CHOOSE(CONTROL!$C$42, 88.4215, 88.4215) * CHOOSE(CONTROL!$C$21, $C$9, 100%, $E$9)</f>
        <v>88.421499999999995</v>
      </c>
      <c r="F981" s="14">
        <f>CHOOSE(CONTROL!$C$42, 88.1693, 88.1693)*CHOOSE(CONTROL!$C$21, $C$9, 100%, $E$9)</f>
        <v>88.169300000000007</v>
      </c>
      <c r="G981" s="14">
        <f>CHOOSE(CONTROL!$C$42, 88.1856, 88.1856)*CHOOSE(CONTROL!$C$21, $C$9, 100%, $E$9)</f>
        <v>88.185599999999994</v>
      </c>
      <c r="H981" s="14">
        <f>CHOOSE(CONTROL!$C$42, 88.4102, 88.4102) * CHOOSE(CONTROL!$C$21, $C$9, 100%, $E$9)</f>
        <v>88.410200000000003</v>
      </c>
      <c r="I981" s="14">
        <f>CHOOSE(CONTROL!$C$42, 88.1963, 88.1963)* CHOOSE(CONTROL!$C$21, $C$9, 100%, $E$9)</f>
        <v>88.196299999999994</v>
      </c>
      <c r="J981" s="14">
        <f>CHOOSE(CONTROL!$C$42, 88.1623, 88.1623)* CHOOSE(CONTROL!$C$21, $C$9, 100%, $E$9)</f>
        <v>88.162300000000002</v>
      </c>
      <c r="K981" s="53">
        <f>CHOOSE(CONTROL!$C$42, 88.1924, 88.1924) * CHOOSE(CONTROL!$C$21, $C$9, 100%, $E$9)</f>
        <v>88.192400000000006</v>
      </c>
      <c r="L981" s="14">
        <f>CHOOSE(CONTROL!$C$42, 88.9972, 88.9972) * CHOOSE(CONTROL!$C$21, $C$9, 100%, $E$9)</f>
        <v>88.997200000000007</v>
      </c>
      <c r="M981" s="14">
        <f>CHOOSE(CONTROL!$C$42, 87.2864, 87.2864) * CHOOSE(CONTROL!$C$21, $C$9, 100%, $E$9)</f>
        <v>87.2864</v>
      </c>
      <c r="N981" s="14">
        <f>CHOOSE(CONTROL!$C$42, 87.3026, 87.3026) * CHOOSE(CONTROL!$C$21, $C$9, 100%, $E$9)</f>
        <v>87.302599999999998</v>
      </c>
      <c r="O981" s="14">
        <f>CHOOSE(CONTROL!$C$42, 87.5318, 87.5318) * CHOOSE(CONTROL!$C$21, $C$9, 100%, $E$9)</f>
        <v>87.531800000000004</v>
      </c>
      <c r="P981" s="14">
        <f>CHOOSE(CONTROL!$C$42, 87.3201, 87.3201) * CHOOSE(CONTROL!$C$21, $C$9, 100%, $E$9)</f>
        <v>87.320099999999996</v>
      </c>
      <c r="Q981" s="14">
        <f>CHOOSE(CONTROL!$C$42, 88.1271, 88.1271) * CHOOSE(CONTROL!$C$21, $C$9, 100%, $E$9)</f>
        <v>88.127099999999999</v>
      </c>
      <c r="R981" s="14">
        <f>CHOOSE(CONTROL!$C$42, 88.9344, 88.9344) * CHOOSE(CONTROL!$C$21, $C$9, 100%, $E$9)</f>
        <v>88.934399999999997</v>
      </c>
      <c r="S981" s="14">
        <f>CHOOSE(CONTROL!$C$42, 85.6321, 85.6321) * CHOOSE(CONTROL!$C$21, $C$9, 100%, $E$9)</f>
        <v>85.632099999999994</v>
      </c>
      <c r="T98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81" s="57">
        <f>(1000*CHOOSE(CONTROL!$C$42, 695, 695)*CHOOSE(CONTROL!$C$42, 0.5599, 0.5599)*CHOOSE(CONTROL!$C$42, 30, 30))/1000000</f>
        <v>11.673914999999997</v>
      </c>
      <c r="V981" s="57">
        <f>(1000*CHOOSE(CONTROL!$C$42, 500, 500)*CHOOSE(CONTROL!$C$42, 0.275, 0.275)*CHOOSE(CONTROL!$C$42, 30, 30))/1000000</f>
        <v>4.125</v>
      </c>
      <c r="W981" s="57">
        <f>(1000*CHOOSE(CONTROL!$C$42, 0.1146, 0.1146)*CHOOSE(CONTROL!$C$42, 121.5, 121.5)*CHOOSE(CONTROL!$C$42, 30, 30))/1000000</f>
        <v>0.417717</v>
      </c>
      <c r="X981" s="57">
        <f>(30*0.1790888*245000/1000000)+(30*0.2374*100000/1000000)</f>
        <v>2.0285026799999999</v>
      </c>
      <c r="Y981" s="57"/>
      <c r="Z981" s="14"/>
      <c r="AA981" s="56"/>
      <c r="AB981" s="50">
        <f>(B981*194.205+C981*267.466+D981*133.845+E981*53.484+F981*40+G981*185+H981*0+I981*100+J981*300)/(194.205+267.466+133.845+53.484+0+40+185+100+300)</f>
        <v>88.21326573257457</v>
      </c>
      <c r="AC981" s="45">
        <f>(M981*'RAP TEMPLATE-GAS AVAILABILITY'!O980+N981*'RAP TEMPLATE-GAS AVAILABILITY'!P980+O981*'RAP TEMPLATE-GAS AVAILABILITY'!Q980+P981*'RAP TEMPLATE-GAS AVAILABILITY'!R980)/('RAP TEMPLATE-GAS AVAILABILITY'!O980+'RAP TEMPLATE-GAS AVAILABILITY'!P980+'RAP TEMPLATE-GAS AVAILABILITY'!Q980+'RAP TEMPLATE-GAS AVAILABILITY'!R980)</f>
        <v>87.403405755395696</v>
      </c>
    </row>
    <row r="982" spans="1:29" ht="15.75" x14ac:dyDescent="0.25">
      <c r="A982" s="32">
        <v>70798</v>
      </c>
      <c r="B982" s="14">
        <f>CHOOSE(CONTROL!$C$42, 86.3927, 86.3927) * CHOOSE(CONTROL!$C$21, $C$9, 100%, $E$9)</f>
        <v>86.392700000000005</v>
      </c>
      <c r="C982" s="14">
        <f>CHOOSE(CONTROL!$C$42, 86.3979, 86.3979) * CHOOSE(CONTROL!$C$21, $C$9, 100%, $E$9)</f>
        <v>86.397900000000007</v>
      </c>
      <c r="D982" s="14">
        <f>CHOOSE(CONTROL!$C$42, 86.6005, 86.6005) * CHOOSE(CONTROL!$C$21, $C$9, 100%, $E$9)</f>
        <v>86.600499999999997</v>
      </c>
      <c r="E982" s="14">
        <f>CHOOSE(CONTROL!$C$42, 86.6293, 86.6293) * CHOOSE(CONTROL!$C$21, $C$9, 100%, $E$9)</f>
        <v>86.629300000000001</v>
      </c>
      <c r="F982" s="14">
        <f>CHOOSE(CONTROL!$C$42, 86.3791, 86.3791)*CHOOSE(CONTROL!$C$21, $C$9, 100%, $E$9)</f>
        <v>86.379099999999994</v>
      </c>
      <c r="G982" s="14">
        <f>CHOOSE(CONTROL!$C$42, 86.3951, 86.3951)*CHOOSE(CONTROL!$C$21, $C$9, 100%, $E$9)</f>
        <v>86.395099999999999</v>
      </c>
      <c r="H982" s="14">
        <f>CHOOSE(CONTROL!$C$42, 86.6198, 86.6198) * CHOOSE(CONTROL!$C$21, $C$9, 100%, $E$9)</f>
        <v>86.619799999999998</v>
      </c>
      <c r="I982" s="14">
        <f>CHOOSE(CONTROL!$C$42, 86.4059, 86.4059)* CHOOSE(CONTROL!$C$21, $C$9, 100%, $E$9)</f>
        <v>86.405900000000003</v>
      </c>
      <c r="J982" s="14">
        <f>CHOOSE(CONTROL!$C$42, 86.3721, 86.3721)* CHOOSE(CONTROL!$C$21, $C$9, 100%, $E$9)</f>
        <v>86.372100000000003</v>
      </c>
      <c r="K982" s="53">
        <f>CHOOSE(CONTROL!$C$42, 86.402, 86.402) * CHOOSE(CONTROL!$C$21, $C$9, 100%, $E$9)</f>
        <v>86.402000000000001</v>
      </c>
      <c r="L982" s="14">
        <f>CHOOSE(CONTROL!$C$42, 87.2068, 87.2068) * CHOOSE(CONTROL!$C$21, $C$9, 100%, $E$9)</f>
        <v>87.206800000000001</v>
      </c>
      <c r="M982" s="14">
        <f>CHOOSE(CONTROL!$C$42, 85.5143, 85.5143) * CHOOSE(CONTROL!$C$21, $C$9, 100%, $E$9)</f>
        <v>85.514300000000006</v>
      </c>
      <c r="N982" s="14">
        <f>CHOOSE(CONTROL!$C$42, 85.5301, 85.5301) * CHOOSE(CONTROL!$C$21, $C$9, 100%, $E$9)</f>
        <v>85.530100000000004</v>
      </c>
      <c r="O982" s="14">
        <f>CHOOSE(CONTROL!$C$42, 85.7594, 85.7594) * CHOOSE(CONTROL!$C$21, $C$9, 100%, $E$9)</f>
        <v>85.759399999999999</v>
      </c>
      <c r="P982" s="14">
        <f>CHOOSE(CONTROL!$C$42, 85.5477, 85.5477) * CHOOSE(CONTROL!$C$21, $C$9, 100%, $E$9)</f>
        <v>85.547700000000006</v>
      </c>
      <c r="Q982" s="14">
        <f>CHOOSE(CONTROL!$C$42, 86.3547, 86.3547) * CHOOSE(CONTROL!$C$21, $C$9, 100%, $E$9)</f>
        <v>86.354699999999994</v>
      </c>
      <c r="R982" s="14">
        <f>CHOOSE(CONTROL!$C$42, 87.1576, 87.1576) * CHOOSE(CONTROL!$C$21, $C$9, 100%, $E$9)</f>
        <v>87.157600000000002</v>
      </c>
      <c r="S982" s="14">
        <f>CHOOSE(CONTROL!$C$42, 83.8934, 83.8934) * CHOOSE(CONTROL!$C$21, $C$9, 100%, $E$9)</f>
        <v>83.8934</v>
      </c>
      <c r="T98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82" s="57">
        <f>(1000*CHOOSE(CONTROL!$C$42, 695, 695)*CHOOSE(CONTROL!$C$42, 0.5599, 0.5599)*CHOOSE(CONTROL!$C$42, 31, 31))/1000000</f>
        <v>12.063045499999998</v>
      </c>
      <c r="V982" s="57">
        <f>(1000*CHOOSE(CONTROL!$C$42, 500, 500)*CHOOSE(CONTROL!$C$42, 0.275, 0.275)*CHOOSE(CONTROL!$C$42, 31, 31))/1000000</f>
        <v>4.2625000000000002</v>
      </c>
      <c r="W982" s="57">
        <f>(1000*CHOOSE(CONTROL!$C$42, 0.1146, 0.1146)*CHOOSE(CONTROL!$C$42, 121.5, 121.5)*CHOOSE(CONTROL!$C$42, 31, 31))/1000000</f>
        <v>0.43164089999999994</v>
      </c>
      <c r="X982" s="57">
        <f>(31*0.1790888*245000/1000000)+(31*0.2374*100000/1000000)</f>
        <v>2.0961194359999999</v>
      </c>
      <c r="Y982" s="57"/>
      <c r="Z982" s="14"/>
      <c r="AA982" s="56"/>
      <c r="AB982" s="50">
        <f>(B982*131.881+C982*277.167+D982*79.08+E982*125.872+F982*40+G982*185+H982*0+I982*100+J982*300)/(131.881+277.167+79.08+125.872+0+40+185+100+300)</f>
        <v>86.427159570298613</v>
      </c>
      <c r="AC982" s="45">
        <f>(M982*'RAP TEMPLATE-GAS AVAILABILITY'!O981+N982*'RAP TEMPLATE-GAS AVAILABILITY'!P981+O982*'RAP TEMPLATE-GAS AVAILABILITY'!Q981+P982*'RAP TEMPLATE-GAS AVAILABILITY'!R981)/('RAP TEMPLATE-GAS AVAILABILITY'!O981+'RAP TEMPLATE-GAS AVAILABILITY'!P981+'RAP TEMPLATE-GAS AVAILABILITY'!Q981+'RAP TEMPLATE-GAS AVAILABILITY'!R981)</f>
        <v>85.631103597122305</v>
      </c>
    </row>
    <row r="983" spans="1:29" ht="15.75" x14ac:dyDescent="0.25">
      <c r="A983" s="32">
        <v>70828</v>
      </c>
      <c r="B983" s="14">
        <f>CHOOSE(CONTROL!$C$42, 88.6682, 88.6682) * CHOOSE(CONTROL!$C$21, $C$9, 100%, $E$9)</f>
        <v>88.668199999999999</v>
      </c>
      <c r="C983" s="14">
        <f>CHOOSE(CONTROL!$C$42, 88.6732, 88.6732) * CHOOSE(CONTROL!$C$21, $C$9, 100%, $E$9)</f>
        <v>88.673199999999994</v>
      </c>
      <c r="D983" s="14">
        <f>CHOOSE(CONTROL!$C$42, 88.7363, 88.7363) * CHOOSE(CONTROL!$C$21, $C$9, 100%, $E$9)</f>
        <v>88.7363</v>
      </c>
      <c r="E983" s="14">
        <f>CHOOSE(CONTROL!$C$42, 88.77, 88.77) * CHOOSE(CONTROL!$C$21, $C$9, 100%, $E$9)</f>
        <v>88.77</v>
      </c>
      <c r="F983" s="14">
        <f>CHOOSE(CONTROL!$C$42, 88.6689, 88.6689)*CHOOSE(CONTROL!$C$21, $C$9, 100%, $E$9)</f>
        <v>88.668899999999994</v>
      </c>
      <c r="G983" s="14">
        <f>CHOOSE(CONTROL!$C$42, 88.6852, 88.6852)*CHOOSE(CONTROL!$C$21, $C$9, 100%, $E$9)</f>
        <v>88.685199999999995</v>
      </c>
      <c r="H983" s="14">
        <f>CHOOSE(CONTROL!$C$42, 88.7592, 88.7592) * CHOOSE(CONTROL!$C$21, $C$9, 100%, $E$9)</f>
        <v>88.759200000000007</v>
      </c>
      <c r="I983" s="14">
        <f>CHOOSE(CONTROL!$C$42, 88.6818, 88.6818)* CHOOSE(CONTROL!$C$21, $C$9, 100%, $E$9)</f>
        <v>88.681799999999996</v>
      </c>
      <c r="J983" s="14">
        <f>CHOOSE(CONTROL!$C$42, 88.6619, 88.6619)* CHOOSE(CONTROL!$C$21, $C$9, 100%, $E$9)</f>
        <v>88.661900000000003</v>
      </c>
      <c r="K983" s="53">
        <f>CHOOSE(CONTROL!$C$42, 88.6779, 88.6779) * CHOOSE(CONTROL!$C$21, $C$9, 100%, $E$9)</f>
        <v>88.677899999999994</v>
      </c>
      <c r="L983" s="14">
        <f>CHOOSE(CONTROL!$C$42, 89.3462, 89.3462) * CHOOSE(CONTROL!$C$21, $C$9, 100%, $E$9)</f>
        <v>89.346199999999996</v>
      </c>
      <c r="M983" s="14">
        <f>CHOOSE(CONTROL!$C$42, 87.781, 87.781) * CHOOSE(CONTROL!$C$21, $C$9, 100%, $E$9)</f>
        <v>87.781000000000006</v>
      </c>
      <c r="N983" s="14">
        <f>CHOOSE(CONTROL!$C$42, 87.7971, 87.7971) * CHOOSE(CONTROL!$C$21, $C$9, 100%, $E$9)</f>
        <v>87.7971</v>
      </c>
      <c r="O983" s="14">
        <f>CHOOSE(CONTROL!$C$42, 87.8773, 87.8773) * CHOOSE(CONTROL!$C$21, $C$9, 100%, $E$9)</f>
        <v>87.877300000000005</v>
      </c>
      <c r="P983" s="14">
        <f>CHOOSE(CONTROL!$C$42, 87.8007, 87.8007) * CHOOSE(CONTROL!$C$21, $C$9, 100%, $E$9)</f>
        <v>87.800700000000006</v>
      </c>
      <c r="Q983" s="14">
        <f>CHOOSE(CONTROL!$C$42, 88.4726, 88.4726) * CHOOSE(CONTROL!$C$21, $C$9, 100%, $E$9)</f>
        <v>88.4726</v>
      </c>
      <c r="R983" s="14">
        <f>CHOOSE(CONTROL!$C$42, 89.2808, 89.2808) * CHOOSE(CONTROL!$C$21, $C$9, 100%, $E$9)</f>
        <v>89.280799999999999</v>
      </c>
      <c r="S983" s="14">
        <f>CHOOSE(CONTROL!$C$42, 86.1036, 86.1036) * CHOOSE(CONTROL!$C$21, $C$9, 100%, $E$9)</f>
        <v>86.1036</v>
      </c>
      <c r="T98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83" s="57">
        <f>(1000*CHOOSE(CONTROL!$C$42, 695, 695)*CHOOSE(CONTROL!$C$42, 0.5599, 0.5599)*CHOOSE(CONTROL!$C$42, 30, 30))/1000000</f>
        <v>11.673914999999997</v>
      </c>
      <c r="V983" s="57">
        <f>(1000*CHOOSE(CONTROL!$C$42, 500, 500)*CHOOSE(CONTROL!$C$42, 0.275, 0.275)*CHOOSE(CONTROL!$C$42, 30, 30))/1000000</f>
        <v>4.125</v>
      </c>
      <c r="W983" s="57">
        <f>(1000*CHOOSE(CONTROL!$C$42, 0.1146, 0.1146)*CHOOSE(CONTROL!$C$42, 121.5, 121.5)*CHOOSE(CONTROL!$C$42, 30, 30))/1000000</f>
        <v>0.417717</v>
      </c>
      <c r="X983" s="57">
        <f>(30*0.1790888*100000/1000000)+(30*0.2374*100000/1000000)</f>
        <v>1.2494664</v>
      </c>
      <c r="Y983" s="57"/>
      <c r="Z983" s="14"/>
      <c r="AA983" s="56"/>
      <c r="AB983" s="50">
        <f>(B983*122.58+C983*297.941+D983*89.177+E983*40.302+F983*40+G983*160+H983*0+I983*100+J983*300)/(122.58+297.941+89.177+40.302+0+40+160+100+300)</f>
        <v>88.680272523739134</v>
      </c>
      <c r="AC983" s="45">
        <f>(M983*'RAP TEMPLATE-GAS AVAILABILITY'!O982+N983*'RAP TEMPLATE-GAS AVAILABILITY'!P982+O983*'RAP TEMPLATE-GAS AVAILABILITY'!Q982+P983*'RAP TEMPLATE-GAS AVAILABILITY'!R982)/('RAP TEMPLATE-GAS AVAILABILITY'!O982+'RAP TEMPLATE-GAS AVAILABILITY'!P982+'RAP TEMPLATE-GAS AVAILABILITY'!Q982+'RAP TEMPLATE-GAS AVAILABILITY'!R982)</f>
        <v>87.828407913669068</v>
      </c>
    </row>
    <row r="984" spans="1:29" ht="15.75" x14ac:dyDescent="0.25">
      <c r="A984" s="32">
        <v>70859</v>
      </c>
      <c r="B984" s="14">
        <f>CHOOSE(CONTROL!$C$42, 94.7134, 94.7134) * CHOOSE(CONTROL!$C$21, $C$9, 100%, $E$9)</f>
        <v>94.713399999999993</v>
      </c>
      <c r="C984" s="14">
        <f>CHOOSE(CONTROL!$C$42, 94.7183, 94.7183) * CHOOSE(CONTROL!$C$21, $C$9, 100%, $E$9)</f>
        <v>94.718299999999999</v>
      </c>
      <c r="D984" s="14">
        <f>CHOOSE(CONTROL!$C$42, 94.7814, 94.7814) * CHOOSE(CONTROL!$C$21, $C$9, 100%, $E$9)</f>
        <v>94.781400000000005</v>
      </c>
      <c r="E984" s="14">
        <f>CHOOSE(CONTROL!$C$42, 94.8152, 94.8152) * CHOOSE(CONTROL!$C$21, $C$9, 100%, $E$9)</f>
        <v>94.815200000000004</v>
      </c>
      <c r="F984" s="14">
        <f>CHOOSE(CONTROL!$C$42, 94.7161, 94.7161)*CHOOSE(CONTROL!$C$21, $C$9, 100%, $E$9)</f>
        <v>94.716099999999997</v>
      </c>
      <c r="G984" s="14">
        <f>CHOOSE(CONTROL!$C$42, 94.7329, 94.7329)*CHOOSE(CONTROL!$C$21, $C$9, 100%, $E$9)</f>
        <v>94.732900000000001</v>
      </c>
      <c r="H984" s="14">
        <f>CHOOSE(CONTROL!$C$42, 94.8044, 94.8044) * CHOOSE(CONTROL!$C$21, $C$9, 100%, $E$9)</f>
        <v>94.804400000000001</v>
      </c>
      <c r="I984" s="14">
        <f>CHOOSE(CONTROL!$C$42, 94.7269, 94.7269)* CHOOSE(CONTROL!$C$21, $C$9, 100%, $E$9)</f>
        <v>94.726900000000001</v>
      </c>
      <c r="J984" s="14">
        <f>CHOOSE(CONTROL!$C$42, 94.7091, 94.7091)* CHOOSE(CONTROL!$C$21, $C$9, 100%, $E$9)</f>
        <v>94.709100000000007</v>
      </c>
      <c r="K984" s="53">
        <f>CHOOSE(CONTROL!$C$42, 94.723, 94.723) * CHOOSE(CONTROL!$C$21, $C$9, 100%, $E$9)</f>
        <v>94.722999999999999</v>
      </c>
      <c r="L984" s="14">
        <f>CHOOSE(CONTROL!$C$42, 95.3914, 95.3914) * CHOOSE(CONTROL!$C$21, $C$9, 100%, $E$9)</f>
        <v>95.391400000000004</v>
      </c>
      <c r="M984" s="14">
        <f>CHOOSE(CONTROL!$C$42, 93.7672, 93.7672) * CHOOSE(CONTROL!$C$21, $C$9, 100%, $E$9)</f>
        <v>93.767200000000003</v>
      </c>
      <c r="N984" s="14">
        <f>CHOOSE(CONTROL!$C$42, 93.7838, 93.7838) * CHOOSE(CONTROL!$C$21, $C$9, 100%, $E$9)</f>
        <v>93.783799999999999</v>
      </c>
      <c r="O984" s="14">
        <f>CHOOSE(CONTROL!$C$42, 93.8615, 93.8615) * CHOOSE(CONTROL!$C$21, $C$9, 100%, $E$9)</f>
        <v>93.861500000000007</v>
      </c>
      <c r="P984" s="14">
        <f>CHOOSE(CONTROL!$C$42, 93.7848, 93.7848) * CHOOSE(CONTROL!$C$21, $C$9, 100%, $E$9)</f>
        <v>93.784800000000004</v>
      </c>
      <c r="Q984" s="14">
        <f>CHOOSE(CONTROL!$C$42, 94.4568, 94.4568) * CHOOSE(CONTROL!$C$21, $C$9, 100%, $E$9)</f>
        <v>94.456800000000001</v>
      </c>
      <c r="R984" s="14">
        <f>CHOOSE(CONTROL!$C$42, 95.2799, 95.2799) * CHOOSE(CONTROL!$C$21, $C$9, 100%, $E$9)</f>
        <v>95.279899999999998</v>
      </c>
      <c r="S984" s="14">
        <f>CHOOSE(CONTROL!$C$42, 91.974, 91.974) * CHOOSE(CONTROL!$C$21, $C$9, 100%, $E$9)</f>
        <v>91.974000000000004</v>
      </c>
      <c r="T98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84" s="57">
        <f>(1000*CHOOSE(CONTROL!$C$42, 695, 695)*CHOOSE(CONTROL!$C$42, 0.5599, 0.5599)*CHOOSE(CONTROL!$C$42, 31, 31))/1000000</f>
        <v>12.063045499999998</v>
      </c>
      <c r="V984" s="57">
        <f>(1000*CHOOSE(CONTROL!$C$42, 500, 500)*CHOOSE(CONTROL!$C$42, 0.275, 0.275)*CHOOSE(CONTROL!$C$42, 31, 31))/1000000</f>
        <v>4.2625000000000002</v>
      </c>
      <c r="W984" s="57">
        <f>(1000*CHOOSE(CONTROL!$C$42, 0.1146, 0.1146)*CHOOSE(CONTROL!$C$42, 121.5, 121.5)*CHOOSE(CONTROL!$C$42, 31, 31))/1000000</f>
        <v>0.43164089999999994</v>
      </c>
      <c r="X984" s="57">
        <f>(31*0.1790888*100000/1000000)+(31*0.2374*100000/1000000)</f>
        <v>1.2911152800000001</v>
      </c>
      <c r="Y984" s="57"/>
      <c r="Z984" s="14"/>
      <c r="AA984" s="56"/>
      <c r="AB984" s="50">
        <f>(B984*122.58+C984*297.941+D984*89.177+E984*40.302+F984*40+G984*160+H984*0+I984*100+J984*300)/(122.58+297.941+89.177+40.302+0+40+160+100+300)</f>
        <v>94.726369296086972</v>
      </c>
      <c r="AC984" s="45">
        <f>(M984*'RAP TEMPLATE-GAS AVAILABILITY'!O983+N984*'RAP TEMPLATE-GAS AVAILABILITY'!P983+O984*'RAP TEMPLATE-GAS AVAILABILITY'!Q983+P984*'RAP TEMPLATE-GAS AVAILABILITY'!R983)/('RAP TEMPLATE-GAS AVAILABILITY'!O983+'RAP TEMPLATE-GAS AVAILABILITY'!P983+'RAP TEMPLATE-GAS AVAILABILITY'!Q983+'RAP TEMPLATE-GAS AVAILABILITY'!R983)</f>
        <v>93.813428057553963</v>
      </c>
    </row>
    <row r="985" spans="1:29" ht="15.75" x14ac:dyDescent="0.25">
      <c r="A985" s="32">
        <v>70890</v>
      </c>
      <c r="B985" s="14">
        <f>CHOOSE(CONTROL!$C$42, 102.4737, 102.4737) * CHOOSE(CONTROL!$C$21, $C$9, 100%, $E$9)</f>
        <v>102.47369999999999</v>
      </c>
      <c r="C985" s="14">
        <f>CHOOSE(CONTROL!$C$42, 102.4786, 102.4786) * CHOOSE(CONTROL!$C$21, $C$9, 100%, $E$9)</f>
        <v>102.4786</v>
      </c>
      <c r="D985" s="14">
        <f>CHOOSE(CONTROL!$C$42, 102.5429, 102.5429) * CHOOSE(CONTROL!$C$21, $C$9, 100%, $E$9)</f>
        <v>102.5429</v>
      </c>
      <c r="E985" s="14">
        <f>CHOOSE(CONTROL!$C$42, 102.5767, 102.5767) * CHOOSE(CONTROL!$C$21, $C$9, 100%, $E$9)</f>
        <v>102.5767</v>
      </c>
      <c r="F985" s="14">
        <f>CHOOSE(CONTROL!$C$42, 102.4752, 102.4752)*CHOOSE(CONTROL!$C$21, $C$9, 100%, $E$9)</f>
        <v>102.4752</v>
      </c>
      <c r="G985" s="14">
        <f>CHOOSE(CONTROL!$C$42, 102.4911, 102.4911)*CHOOSE(CONTROL!$C$21, $C$9, 100%, $E$9)</f>
        <v>102.4911</v>
      </c>
      <c r="H985" s="14">
        <f>CHOOSE(CONTROL!$C$42, 102.5659, 102.5659) * CHOOSE(CONTROL!$C$21, $C$9, 100%, $E$9)</f>
        <v>102.5659</v>
      </c>
      <c r="I985" s="14">
        <f>CHOOSE(CONTROL!$C$42, 102.4936, 102.4936)* CHOOSE(CONTROL!$C$21, $C$9, 100%, $E$9)</f>
        <v>102.4936</v>
      </c>
      <c r="J985" s="14">
        <f>CHOOSE(CONTROL!$C$42, 102.4682, 102.4682)* CHOOSE(CONTROL!$C$21, $C$9, 100%, $E$9)</f>
        <v>102.4682</v>
      </c>
      <c r="K985" s="53">
        <f>CHOOSE(CONTROL!$C$42, 102.4898, 102.4898) * CHOOSE(CONTROL!$C$21, $C$9, 100%, $E$9)</f>
        <v>102.4898</v>
      </c>
      <c r="L985" s="14">
        <f>CHOOSE(CONTROL!$C$42, 103.1529, 103.1529) * CHOOSE(CONTROL!$C$21, $C$9, 100%, $E$9)</f>
        <v>103.1529</v>
      </c>
      <c r="M985" s="14">
        <f>CHOOSE(CONTROL!$C$42, 101.4479, 101.4479) * CHOOSE(CONTROL!$C$21, $C$9, 100%, $E$9)</f>
        <v>101.4479</v>
      </c>
      <c r="N985" s="14">
        <f>CHOOSE(CONTROL!$C$42, 101.4637, 101.4637) * CHOOSE(CONTROL!$C$21, $C$9, 100%, $E$9)</f>
        <v>101.4637</v>
      </c>
      <c r="O985" s="14">
        <f>CHOOSE(CONTROL!$C$42, 101.5446, 101.5446) * CHOOSE(CONTROL!$C$21, $C$9, 100%, $E$9)</f>
        <v>101.5446</v>
      </c>
      <c r="P985" s="14">
        <f>CHOOSE(CONTROL!$C$42, 101.4732, 101.4732) * CHOOSE(CONTROL!$C$21, $C$9, 100%, $E$9)</f>
        <v>101.47320000000001</v>
      </c>
      <c r="Q985" s="14">
        <f>CHOOSE(CONTROL!$C$42, 102.1399, 102.1399) * CHOOSE(CONTROL!$C$21, $C$9, 100%, $E$9)</f>
        <v>102.1399</v>
      </c>
      <c r="R985" s="14">
        <f>CHOOSE(CONTROL!$C$42, 102.9823, 102.9823) * CHOOSE(CONTROL!$C$21, $C$9, 100%, $E$9)</f>
        <v>102.9823</v>
      </c>
      <c r="S985" s="14">
        <f>CHOOSE(CONTROL!$C$42, 99.51, 99.51) * CHOOSE(CONTROL!$C$21, $C$9, 100%, $E$9)</f>
        <v>99.51</v>
      </c>
      <c r="T98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85" s="57">
        <f>(1000*CHOOSE(CONTROL!$C$42, 695, 695)*CHOOSE(CONTROL!$C$42, 0.5599, 0.5599)*CHOOSE(CONTROL!$C$42, 31, 31))/1000000</f>
        <v>12.063045499999998</v>
      </c>
      <c r="V985" s="57">
        <f>(1000*CHOOSE(CONTROL!$C$42, 500, 500)*CHOOSE(CONTROL!$C$42, 0.275, 0.275)*CHOOSE(CONTROL!$C$42, 31, 31))/1000000</f>
        <v>4.2625000000000002</v>
      </c>
      <c r="W985" s="57">
        <f>(1000*CHOOSE(CONTROL!$C$42, 0.1146, 0.1146)*CHOOSE(CONTROL!$C$42, 121.5, 121.5)*CHOOSE(CONTROL!$C$42, 31, 31))/1000000</f>
        <v>0.43164089999999994</v>
      </c>
      <c r="X985" s="57">
        <f>(31*0.1790888*100000/1000000)+(31*0.2374*100000/1000000)</f>
        <v>1.2911152800000001</v>
      </c>
      <c r="Y985" s="57"/>
      <c r="Z985" s="14"/>
      <c r="AA985" s="56"/>
      <c r="AB985" s="50">
        <f>(B985*122.58+C985*297.941+D985*89.177+E985*40.302+F985*40+G985*160+H985*0+I985*100+J985*300)/(122.58+297.941+89.177+40.302+0+40+160+100+300)</f>
        <v>102.48671396982608</v>
      </c>
      <c r="AC985" s="45">
        <f>(M985*'RAP TEMPLATE-GAS AVAILABILITY'!O984+N985*'RAP TEMPLATE-GAS AVAILABILITY'!P984+O985*'RAP TEMPLATE-GAS AVAILABILITY'!Q984+P985*'RAP TEMPLATE-GAS AVAILABILITY'!R984)/('RAP TEMPLATE-GAS AVAILABILITY'!O984+'RAP TEMPLATE-GAS AVAILABILITY'!P984+'RAP TEMPLATE-GAS AVAILABILITY'!Q984+'RAP TEMPLATE-GAS AVAILABILITY'!R984)</f>
        <v>101.49627769784173</v>
      </c>
    </row>
    <row r="986" spans="1:29" ht="15.75" x14ac:dyDescent="0.25">
      <c r="A986" s="32">
        <v>70918</v>
      </c>
      <c r="B986" s="14">
        <f>CHOOSE(CONTROL!$C$42, 104.2978, 104.2978) * CHOOSE(CONTROL!$C$21, $C$9, 100%, $E$9)</f>
        <v>104.2978</v>
      </c>
      <c r="C986" s="14">
        <f>CHOOSE(CONTROL!$C$42, 104.3027, 104.3027) * CHOOSE(CONTROL!$C$21, $C$9, 100%, $E$9)</f>
        <v>104.3027</v>
      </c>
      <c r="D986" s="14">
        <f>CHOOSE(CONTROL!$C$42, 104.367, 104.367) * CHOOSE(CONTROL!$C$21, $C$9, 100%, $E$9)</f>
        <v>104.367</v>
      </c>
      <c r="E986" s="14">
        <f>CHOOSE(CONTROL!$C$42, 104.4008, 104.4008) * CHOOSE(CONTROL!$C$21, $C$9, 100%, $E$9)</f>
        <v>104.4008</v>
      </c>
      <c r="F986" s="14">
        <f>CHOOSE(CONTROL!$C$42, 104.2994, 104.2994)*CHOOSE(CONTROL!$C$21, $C$9, 100%, $E$9)</f>
        <v>104.29940000000001</v>
      </c>
      <c r="G986" s="14">
        <f>CHOOSE(CONTROL!$C$42, 104.3153, 104.3153)*CHOOSE(CONTROL!$C$21, $C$9, 100%, $E$9)</f>
        <v>104.31529999999999</v>
      </c>
      <c r="H986" s="14">
        <f>CHOOSE(CONTROL!$C$42, 104.39, 104.39) * CHOOSE(CONTROL!$C$21, $C$9, 100%, $E$9)</f>
        <v>104.39</v>
      </c>
      <c r="I986" s="14">
        <f>CHOOSE(CONTROL!$C$42, 104.3178, 104.3178)* CHOOSE(CONTROL!$C$21, $C$9, 100%, $E$9)</f>
        <v>104.31780000000001</v>
      </c>
      <c r="J986" s="14">
        <f>CHOOSE(CONTROL!$C$42, 104.2924, 104.2924)* CHOOSE(CONTROL!$C$21, $C$9, 100%, $E$9)</f>
        <v>104.2924</v>
      </c>
      <c r="K986" s="53">
        <f>CHOOSE(CONTROL!$C$42, 104.3139, 104.3139) * CHOOSE(CONTROL!$C$21, $C$9, 100%, $E$9)</f>
        <v>104.3139</v>
      </c>
      <c r="L986" s="14">
        <f>CHOOSE(CONTROL!$C$42, 104.977, 104.977) * CHOOSE(CONTROL!$C$21, $C$9, 100%, $E$9)</f>
        <v>104.977</v>
      </c>
      <c r="M986" s="14">
        <f>CHOOSE(CONTROL!$C$42, 103.2537, 103.2537) * CHOOSE(CONTROL!$C$21, $C$9, 100%, $E$9)</f>
        <v>103.25369999999999</v>
      </c>
      <c r="N986" s="14">
        <f>CHOOSE(CONTROL!$C$42, 103.2695, 103.2695) * CHOOSE(CONTROL!$C$21, $C$9, 100%, $E$9)</f>
        <v>103.26949999999999</v>
      </c>
      <c r="O986" s="14">
        <f>CHOOSE(CONTROL!$C$42, 103.3503, 103.3503) * CHOOSE(CONTROL!$C$21, $C$9, 100%, $E$9)</f>
        <v>103.3503</v>
      </c>
      <c r="P986" s="14">
        <f>CHOOSE(CONTROL!$C$42, 103.2789, 103.2789) * CHOOSE(CONTROL!$C$21, $C$9, 100%, $E$9)</f>
        <v>103.27889999999999</v>
      </c>
      <c r="Q986" s="14">
        <f>CHOOSE(CONTROL!$C$42, 103.9456, 103.9456) * CHOOSE(CONTROL!$C$21, $C$9, 100%, $E$9)</f>
        <v>103.9456</v>
      </c>
      <c r="R986" s="14">
        <f>CHOOSE(CONTROL!$C$42, 104.7925, 104.7925) * CHOOSE(CONTROL!$C$21, $C$9, 100%, $E$9)</f>
        <v>104.7925</v>
      </c>
      <c r="S986" s="14">
        <f>CHOOSE(CONTROL!$C$42, 101.2815, 101.2815) * CHOOSE(CONTROL!$C$21, $C$9, 100%, $E$9)</f>
        <v>101.28149999999999</v>
      </c>
      <c r="T98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86" s="57">
        <f>(1000*CHOOSE(CONTROL!$C$42, 695, 695)*CHOOSE(CONTROL!$C$42, 0.5599, 0.5599)*CHOOSE(CONTROL!$C$42, 28, 28))/1000000</f>
        <v>10.895653999999999</v>
      </c>
      <c r="V986" s="57">
        <f>(1000*CHOOSE(CONTROL!$C$42, 500, 500)*CHOOSE(CONTROL!$C$42, 0.275, 0.275)*CHOOSE(CONTROL!$C$42, 28, 28))/1000000</f>
        <v>3.85</v>
      </c>
      <c r="W986" s="57">
        <f>(1000*CHOOSE(CONTROL!$C$42, 0.1146, 0.1146)*CHOOSE(CONTROL!$C$42, 121.5, 121.5)*CHOOSE(CONTROL!$C$42, 28, 28))/1000000</f>
        <v>0.38986920000000003</v>
      </c>
      <c r="X986" s="57">
        <f>(28*0.1790888*100000/1000000)+(28*0.2374*100000/1000000)</f>
        <v>1.16616864</v>
      </c>
      <c r="Y986" s="57"/>
      <c r="Z986" s="14"/>
      <c r="AA986" s="56"/>
      <c r="AB986" s="50">
        <f>(B986*122.58+C986*297.941+D986*89.177+E986*40.302+F986*40+G986*160+H986*0+I986*100+J986*300)/(122.58+297.941+89.177+40.302+0+40+160+100+300)</f>
        <v>104.31086614373913</v>
      </c>
      <c r="AC986" s="45">
        <f>(M986*'RAP TEMPLATE-GAS AVAILABILITY'!O985+N986*'RAP TEMPLATE-GAS AVAILABILITY'!P985+O986*'RAP TEMPLATE-GAS AVAILABILITY'!Q985+P986*'RAP TEMPLATE-GAS AVAILABILITY'!R985)/('RAP TEMPLATE-GAS AVAILABILITY'!O985+'RAP TEMPLATE-GAS AVAILABILITY'!P985+'RAP TEMPLATE-GAS AVAILABILITY'!Q985+'RAP TEMPLATE-GAS AVAILABILITY'!R985)</f>
        <v>103.3020179856115</v>
      </c>
    </row>
    <row r="987" spans="1:29" ht="15.75" x14ac:dyDescent="0.25">
      <c r="A987" s="32">
        <v>70949</v>
      </c>
      <c r="B987" s="14">
        <f>CHOOSE(CONTROL!$C$42, 101.3368, 101.3368) * CHOOSE(CONTROL!$C$21, $C$9, 100%, $E$9)</f>
        <v>101.3368</v>
      </c>
      <c r="C987" s="14">
        <f>CHOOSE(CONTROL!$C$42, 101.3417, 101.3417) * CHOOSE(CONTROL!$C$21, $C$9, 100%, $E$9)</f>
        <v>101.3417</v>
      </c>
      <c r="D987" s="14">
        <f>CHOOSE(CONTROL!$C$42, 101.406, 101.406) * CHOOSE(CONTROL!$C$21, $C$9, 100%, $E$9)</f>
        <v>101.40600000000001</v>
      </c>
      <c r="E987" s="14">
        <f>CHOOSE(CONTROL!$C$42, 101.4398, 101.4398) * CHOOSE(CONTROL!$C$21, $C$9, 100%, $E$9)</f>
        <v>101.43980000000001</v>
      </c>
      <c r="F987" s="14">
        <f>CHOOSE(CONTROL!$C$42, 101.338, 101.338)*CHOOSE(CONTROL!$C$21, $C$9, 100%, $E$9)</f>
        <v>101.33799999999999</v>
      </c>
      <c r="G987" s="14">
        <f>CHOOSE(CONTROL!$C$42, 101.3539, 101.3539)*CHOOSE(CONTROL!$C$21, $C$9, 100%, $E$9)</f>
        <v>101.3539</v>
      </c>
      <c r="H987" s="14">
        <f>CHOOSE(CONTROL!$C$42, 101.429, 101.429) * CHOOSE(CONTROL!$C$21, $C$9, 100%, $E$9)</f>
        <v>101.429</v>
      </c>
      <c r="I987" s="14">
        <f>CHOOSE(CONTROL!$C$42, 101.3568, 101.3568)* CHOOSE(CONTROL!$C$21, $C$9, 100%, $E$9)</f>
        <v>101.35680000000001</v>
      </c>
      <c r="J987" s="14">
        <f>CHOOSE(CONTROL!$C$42, 101.331, 101.331)* CHOOSE(CONTROL!$C$21, $C$9, 100%, $E$9)</f>
        <v>101.331</v>
      </c>
      <c r="K987" s="53">
        <f>CHOOSE(CONTROL!$C$42, 101.3529, 101.3529) * CHOOSE(CONTROL!$C$21, $C$9, 100%, $E$9)</f>
        <v>101.35290000000001</v>
      </c>
      <c r="L987" s="14">
        <f>CHOOSE(CONTROL!$C$42, 102.016, 102.016) * CHOOSE(CONTROL!$C$21, $C$9, 100%, $E$9)</f>
        <v>102.01600000000001</v>
      </c>
      <c r="M987" s="14">
        <f>CHOOSE(CONTROL!$C$42, 100.3223, 100.3223) * CHOOSE(CONTROL!$C$21, $C$9, 100%, $E$9)</f>
        <v>100.3223</v>
      </c>
      <c r="N987" s="14">
        <f>CHOOSE(CONTROL!$C$42, 100.3379, 100.3379) * CHOOSE(CONTROL!$C$21, $C$9, 100%, $E$9)</f>
        <v>100.3379</v>
      </c>
      <c r="O987" s="14">
        <f>CHOOSE(CONTROL!$C$42, 100.4192, 100.4192) * CHOOSE(CONTROL!$C$21, $C$9, 100%, $E$9)</f>
        <v>100.4192</v>
      </c>
      <c r="P987" s="14">
        <f>CHOOSE(CONTROL!$C$42, 100.3478, 100.3478) * CHOOSE(CONTROL!$C$21, $C$9, 100%, $E$9)</f>
        <v>100.34780000000001</v>
      </c>
      <c r="Q987" s="14">
        <f>CHOOSE(CONTROL!$C$42, 101.0145, 101.0145) * CHOOSE(CONTROL!$C$21, $C$9, 100%, $E$9)</f>
        <v>101.0145</v>
      </c>
      <c r="R987" s="14">
        <f>CHOOSE(CONTROL!$C$42, 101.8541, 101.8541) * CHOOSE(CONTROL!$C$21, $C$9, 100%, $E$9)</f>
        <v>101.8541</v>
      </c>
      <c r="S987" s="14">
        <f>CHOOSE(CONTROL!$C$42, 98.406, 98.406) * CHOOSE(CONTROL!$C$21, $C$9, 100%, $E$9)</f>
        <v>98.406000000000006</v>
      </c>
      <c r="T98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87" s="57">
        <f>(1000*CHOOSE(CONTROL!$C$42, 695, 695)*CHOOSE(CONTROL!$C$42, 0.5599, 0.5599)*CHOOSE(CONTROL!$C$42, 31, 31))/1000000</f>
        <v>12.063045499999998</v>
      </c>
      <c r="V987" s="57">
        <f>(1000*CHOOSE(CONTROL!$C$42, 500, 500)*CHOOSE(CONTROL!$C$42, 0.275, 0.275)*CHOOSE(CONTROL!$C$42, 31, 31))/1000000</f>
        <v>4.2625000000000002</v>
      </c>
      <c r="W987" s="57">
        <f>(1000*CHOOSE(CONTROL!$C$42, 0.1146, 0.1146)*CHOOSE(CONTROL!$C$42, 121.5, 121.5)*CHOOSE(CONTROL!$C$42, 31, 31))/1000000</f>
        <v>0.43164089999999994</v>
      </c>
      <c r="X987" s="57">
        <f>(31*0.1790888*100000/1000000)+(31*0.2374*100000/1000000)</f>
        <v>1.2911152800000001</v>
      </c>
      <c r="Y987" s="57"/>
      <c r="Z987" s="14"/>
      <c r="AA987" s="56"/>
      <c r="AB987" s="50">
        <f>(B987*122.58+C987*297.941+D987*89.177+E987*40.302+F987*40+G987*160+H987*0+I987*100+J987*300)/(122.58+297.941+89.177+40.302+0+40+160+100+300)</f>
        <v>101.34969223069565</v>
      </c>
      <c r="AC987" s="45">
        <f>(M987*'RAP TEMPLATE-GAS AVAILABILITY'!O986+N987*'RAP TEMPLATE-GAS AVAILABILITY'!P986+O987*'RAP TEMPLATE-GAS AVAILABILITY'!Q986+P987*'RAP TEMPLATE-GAS AVAILABILITY'!R986)/('RAP TEMPLATE-GAS AVAILABILITY'!O986+'RAP TEMPLATE-GAS AVAILABILITY'!P986+'RAP TEMPLATE-GAS AVAILABILITY'!Q986+'RAP TEMPLATE-GAS AVAILABILITY'!R986)</f>
        <v>100.37078561151078</v>
      </c>
    </row>
    <row r="988" spans="1:29" ht="15.75" x14ac:dyDescent="0.25">
      <c r="A988" s="32">
        <v>70979</v>
      </c>
      <c r="B988" s="14">
        <f>CHOOSE(CONTROL!$C$42, 101.0345, 101.0345) * CHOOSE(CONTROL!$C$21, $C$9, 100%, $E$9)</f>
        <v>101.03449999999999</v>
      </c>
      <c r="C988" s="14">
        <f>CHOOSE(CONTROL!$C$42, 101.0389, 101.0389) * CHOOSE(CONTROL!$C$21, $C$9, 100%, $E$9)</f>
        <v>101.0389</v>
      </c>
      <c r="D988" s="14">
        <f>CHOOSE(CONTROL!$C$42, 101.2396, 101.2396) * CHOOSE(CONTROL!$C$21, $C$9, 100%, $E$9)</f>
        <v>101.2396</v>
      </c>
      <c r="E988" s="14">
        <f>CHOOSE(CONTROL!$C$42, 101.2714, 101.2714) * CHOOSE(CONTROL!$C$21, $C$9, 100%, $E$9)</f>
        <v>101.2714</v>
      </c>
      <c r="F988" s="14">
        <f>CHOOSE(CONTROL!$C$42, 101.0191, 101.0191)*CHOOSE(CONTROL!$C$21, $C$9, 100%, $E$9)</f>
        <v>101.01909999999999</v>
      </c>
      <c r="G988" s="14">
        <f>CHOOSE(CONTROL!$C$42, 101.0348, 101.0348)*CHOOSE(CONTROL!$C$21, $C$9, 100%, $E$9)</f>
        <v>101.0348</v>
      </c>
      <c r="H988" s="14">
        <f>CHOOSE(CONTROL!$C$42, 101.2612, 101.2612) * CHOOSE(CONTROL!$C$21, $C$9, 100%, $E$9)</f>
        <v>101.2612</v>
      </c>
      <c r="I988" s="14">
        <f>CHOOSE(CONTROL!$C$42, 101.0473, 101.0473)* CHOOSE(CONTROL!$C$21, $C$9, 100%, $E$9)</f>
        <v>101.04730000000001</v>
      </c>
      <c r="J988" s="14">
        <f>CHOOSE(CONTROL!$C$42, 101.0121, 101.0121)* CHOOSE(CONTROL!$C$21, $C$9, 100%, $E$9)</f>
        <v>101.0121</v>
      </c>
      <c r="K988" s="53">
        <f>CHOOSE(CONTROL!$C$42, 101.0434, 101.0434) * CHOOSE(CONTROL!$C$21, $C$9, 100%, $E$9)</f>
        <v>101.04340000000001</v>
      </c>
      <c r="L988" s="14">
        <f>CHOOSE(CONTROL!$C$42, 101.8482, 101.8482) * CHOOSE(CONTROL!$C$21, $C$9, 100%, $E$9)</f>
        <v>101.84820000000001</v>
      </c>
      <c r="M988" s="14">
        <f>CHOOSE(CONTROL!$C$42, 100.0066, 100.0066) * CHOOSE(CONTROL!$C$21, $C$9, 100%, $E$9)</f>
        <v>100.00660000000001</v>
      </c>
      <c r="N988" s="14">
        <f>CHOOSE(CONTROL!$C$42, 100.022, 100.022) * CHOOSE(CONTROL!$C$21, $C$9, 100%, $E$9)</f>
        <v>100.02200000000001</v>
      </c>
      <c r="O988" s="14">
        <f>CHOOSE(CONTROL!$C$42, 100.2531, 100.2531) * CHOOSE(CONTROL!$C$21, $C$9, 100%, $E$9)</f>
        <v>100.2531</v>
      </c>
      <c r="P988" s="14">
        <f>CHOOSE(CONTROL!$C$42, 100.0414, 100.0414) * CHOOSE(CONTROL!$C$21, $C$9, 100%, $E$9)</f>
        <v>100.0414</v>
      </c>
      <c r="Q988" s="14">
        <f>CHOOSE(CONTROL!$C$42, 100.8484, 100.8484) * CHOOSE(CONTROL!$C$21, $C$9, 100%, $E$9)</f>
        <v>100.8484</v>
      </c>
      <c r="R988" s="14">
        <f>CHOOSE(CONTROL!$C$42, 101.6876, 101.6876) * CHOOSE(CONTROL!$C$21, $C$9, 100%, $E$9)</f>
        <v>101.6876</v>
      </c>
      <c r="S988" s="14">
        <f>CHOOSE(CONTROL!$C$42, 98.1118, 98.1118) * CHOOSE(CONTROL!$C$21, $C$9, 100%, $E$9)</f>
        <v>98.111800000000002</v>
      </c>
      <c r="T98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988" s="57">
        <f>(1000*CHOOSE(CONTROL!$C$42, 695, 695)*CHOOSE(CONTROL!$C$42, 0.5599, 0.5599)*CHOOSE(CONTROL!$C$42, 30, 30))/1000000</f>
        <v>11.673914999999997</v>
      </c>
      <c r="V988" s="57">
        <f>(1000*CHOOSE(CONTROL!$C$42, 500, 500)*CHOOSE(CONTROL!$C$42, 0.275, 0.275)*CHOOSE(CONTROL!$C$42, 30, 30))/1000000</f>
        <v>4.125</v>
      </c>
      <c r="W988" s="57">
        <f>(1000*CHOOSE(CONTROL!$C$42, 0.1146, 0.1146)*CHOOSE(CONTROL!$C$42, 121.5, 121.5)*CHOOSE(CONTROL!$C$42, 30, 30))/1000000</f>
        <v>0.417717</v>
      </c>
      <c r="X988" s="57">
        <f>(30*0.1790888*245000/1000000)+(30*0.2374*100000/1000000)</f>
        <v>2.0285026799999999</v>
      </c>
      <c r="Y988" s="57"/>
      <c r="Z988" s="14"/>
      <c r="AA988" s="56"/>
      <c r="AB988" s="50">
        <f>(B988*141.293+C988*267.993+D988*115.016+E988*89.698+F988*40+G988*185+H988*0+I988*100+J988*300)/(141.293+267.993+115.016+89.698+0+40+185+100+300)</f>
        <v>101.06679855286522</v>
      </c>
      <c r="AC988" s="45">
        <f>(M988*'RAP TEMPLATE-GAS AVAILABILITY'!O987+N988*'RAP TEMPLATE-GAS AVAILABILITY'!P987+O988*'RAP TEMPLATE-GAS AVAILABILITY'!Q987+P988*'RAP TEMPLATE-GAS AVAILABILITY'!R987)/('RAP TEMPLATE-GAS AVAILABILITY'!O987+'RAP TEMPLATE-GAS AVAILABILITY'!P987+'RAP TEMPLATE-GAS AVAILABILITY'!Q987+'RAP TEMPLATE-GAS AVAILABILITY'!R987)</f>
        <v>100.12421654676261</v>
      </c>
    </row>
    <row r="989" spans="1:29" ht="15.75" x14ac:dyDescent="0.25">
      <c r="A989" s="32">
        <v>71010</v>
      </c>
      <c r="B989" s="14">
        <f>CHOOSE(CONTROL!$C$42, 101.9277, 101.9277) * CHOOSE(CONTROL!$C$21, $C$9, 100%, $E$9)</f>
        <v>101.9277</v>
      </c>
      <c r="C989" s="14">
        <f>CHOOSE(CONTROL!$C$42, 101.9356, 101.9356) * CHOOSE(CONTROL!$C$21, $C$9, 100%, $E$9)</f>
        <v>101.93559999999999</v>
      </c>
      <c r="D989" s="14">
        <f>CHOOSE(CONTROL!$C$42, 102.1332, 102.1332) * CHOOSE(CONTROL!$C$21, $C$9, 100%, $E$9)</f>
        <v>102.1332</v>
      </c>
      <c r="E989" s="14">
        <f>CHOOSE(CONTROL!$C$42, 102.1643, 102.1643) * CHOOSE(CONTROL!$C$21, $C$9, 100%, $E$9)</f>
        <v>102.1643</v>
      </c>
      <c r="F989" s="14">
        <f>CHOOSE(CONTROL!$C$42, 101.9111, 101.9111)*CHOOSE(CONTROL!$C$21, $C$9, 100%, $E$9)</f>
        <v>101.9111</v>
      </c>
      <c r="G989" s="14">
        <f>CHOOSE(CONTROL!$C$42, 101.9272, 101.9272)*CHOOSE(CONTROL!$C$21, $C$9, 100%, $E$9)</f>
        <v>101.9272</v>
      </c>
      <c r="H989" s="14">
        <f>CHOOSE(CONTROL!$C$42, 102.1529, 102.1529) * CHOOSE(CONTROL!$C$21, $C$9, 100%, $E$9)</f>
        <v>102.1529</v>
      </c>
      <c r="I989" s="14">
        <f>CHOOSE(CONTROL!$C$42, 101.939, 101.939)* CHOOSE(CONTROL!$C$21, $C$9, 100%, $E$9)</f>
        <v>101.93899999999999</v>
      </c>
      <c r="J989" s="14">
        <f>CHOOSE(CONTROL!$C$42, 101.9041, 101.9041)* CHOOSE(CONTROL!$C$21, $C$9, 100%, $E$9)</f>
        <v>101.9041</v>
      </c>
      <c r="K989" s="53">
        <f>CHOOSE(CONTROL!$C$42, 101.9351, 101.9351) * CHOOSE(CONTROL!$C$21, $C$9, 100%, $E$9)</f>
        <v>101.93510000000001</v>
      </c>
      <c r="L989" s="14">
        <f>CHOOSE(CONTROL!$C$42, 102.7399, 102.7399) * CHOOSE(CONTROL!$C$21, $C$9, 100%, $E$9)</f>
        <v>102.73990000000001</v>
      </c>
      <c r="M989" s="14">
        <f>CHOOSE(CONTROL!$C$42, 100.8895, 100.8895) * CHOOSE(CONTROL!$C$21, $C$9, 100%, $E$9)</f>
        <v>100.8895</v>
      </c>
      <c r="N989" s="14">
        <f>CHOOSE(CONTROL!$C$42, 100.9054, 100.9054) * CHOOSE(CONTROL!$C$21, $C$9, 100%, $E$9)</f>
        <v>100.9054</v>
      </c>
      <c r="O989" s="14">
        <f>CHOOSE(CONTROL!$C$42, 101.1358, 101.1358) * CHOOSE(CONTROL!$C$21, $C$9, 100%, $E$9)</f>
        <v>101.1358</v>
      </c>
      <c r="P989" s="14">
        <f>CHOOSE(CONTROL!$C$42, 100.9241, 100.9241) * CHOOSE(CONTROL!$C$21, $C$9, 100%, $E$9)</f>
        <v>100.9241</v>
      </c>
      <c r="Q989" s="14">
        <f>CHOOSE(CONTROL!$C$42, 101.7311, 101.7311) * CHOOSE(CONTROL!$C$21, $C$9, 100%, $E$9)</f>
        <v>101.7311</v>
      </c>
      <c r="R989" s="14">
        <f>CHOOSE(CONTROL!$C$42, 102.5725, 102.5725) * CHOOSE(CONTROL!$C$21, $C$9, 100%, $E$9)</f>
        <v>102.57250000000001</v>
      </c>
      <c r="S989" s="14">
        <f>CHOOSE(CONTROL!$C$42, 98.9777, 98.9777) * CHOOSE(CONTROL!$C$21, $C$9, 100%, $E$9)</f>
        <v>98.977699999999999</v>
      </c>
      <c r="T98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989" s="57">
        <f>(1000*CHOOSE(CONTROL!$C$42, 695, 695)*CHOOSE(CONTROL!$C$42, 0.5599, 0.5599)*CHOOSE(CONTROL!$C$42, 31, 31))/1000000</f>
        <v>12.063045499999998</v>
      </c>
      <c r="V989" s="57">
        <f>(1000*CHOOSE(CONTROL!$C$42, 500, 500)*CHOOSE(CONTROL!$C$42, 0.275, 0.275)*CHOOSE(CONTROL!$C$42, 31, 31))/1000000</f>
        <v>4.2625000000000002</v>
      </c>
      <c r="W989" s="57">
        <f>(1000*CHOOSE(CONTROL!$C$42, 0.1146, 0.1146)*CHOOSE(CONTROL!$C$42, 121.5, 121.5)*CHOOSE(CONTROL!$C$42, 31, 31))/1000000</f>
        <v>0.43164089999999994</v>
      </c>
      <c r="X989" s="57">
        <f>(31*0.1790888*245000/1000000)+(31*0.2374*100000/1000000)</f>
        <v>2.0961194359999999</v>
      </c>
      <c r="Y989" s="57"/>
      <c r="Z989" s="14"/>
      <c r="AA989" s="56"/>
      <c r="AB989" s="50">
        <f>(B989*194.205+C989*267.466+D989*133.845+E989*53.484+F989*40+G989*185+H989*0+I989*100+J989*300)/(194.205+267.466+133.845+53.484+0+40+185+100+300)</f>
        <v>101.95561675298272</v>
      </c>
      <c r="AC989" s="45">
        <f>(M989*'RAP TEMPLATE-GAS AVAILABILITY'!O988+N989*'RAP TEMPLATE-GAS AVAILABILITY'!P988+O989*'RAP TEMPLATE-GAS AVAILABILITY'!Q988+P989*'RAP TEMPLATE-GAS AVAILABILITY'!R988)/('RAP TEMPLATE-GAS AVAILABILITY'!O988+'RAP TEMPLATE-GAS AVAILABILITY'!P988+'RAP TEMPLATE-GAS AVAILABILITY'!Q988+'RAP TEMPLATE-GAS AVAILABILITY'!R988)</f>
        <v>101.00702589928058</v>
      </c>
    </row>
    <row r="990" spans="1:29" ht="15.75" x14ac:dyDescent="0.25">
      <c r="A990" s="32">
        <v>71040</v>
      </c>
      <c r="B990" s="14">
        <f>CHOOSE(CONTROL!$C$42, 104.8188, 104.8188) * CHOOSE(CONTROL!$C$21, $C$9, 100%, $E$9)</f>
        <v>104.8188</v>
      </c>
      <c r="C990" s="14">
        <f>CHOOSE(CONTROL!$C$42, 104.8267, 104.8267) * CHOOSE(CONTROL!$C$21, $C$9, 100%, $E$9)</f>
        <v>104.8267</v>
      </c>
      <c r="D990" s="14">
        <f>CHOOSE(CONTROL!$C$42, 105.0243, 105.0243) * CHOOSE(CONTROL!$C$21, $C$9, 100%, $E$9)</f>
        <v>105.0243</v>
      </c>
      <c r="E990" s="14">
        <f>CHOOSE(CONTROL!$C$42, 105.0555, 105.0555) * CHOOSE(CONTROL!$C$21, $C$9, 100%, $E$9)</f>
        <v>105.05549999999999</v>
      </c>
      <c r="F990" s="14">
        <f>CHOOSE(CONTROL!$C$42, 104.8027, 104.8027)*CHOOSE(CONTROL!$C$21, $C$9, 100%, $E$9)</f>
        <v>104.8027</v>
      </c>
      <c r="G990" s="14">
        <f>CHOOSE(CONTROL!$C$42, 104.8188, 104.8188)*CHOOSE(CONTROL!$C$21, $C$9, 100%, $E$9)</f>
        <v>104.8188</v>
      </c>
      <c r="H990" s="14">
        <f>CHOOSE(CONTROL!$C$42, 105.0441, 105.0441) * CHOOSE(CONTROL!$C$21, $C$9, 100%, $E$9)</f>
        <v>105.0441</v>
      </c>
      <c r="I990" s="14">
        <f>CHOOSE(CONTROL!$C$42, 104.8302, 104.8302)* CHOOSE(CONTROL!$C$21, $C$9, 100%, $E$9)</f>
        <v>104.8302</v>
      </c>
      <c r="J990" s="14">
        <f>CHOOSE(CONTROL!$C$42, 104.7957, 104.7957)* CHOOSE(CONTROL!$C$21, $C$9, 100%, $E$9)</f>
        <v>104.7957</v>
      </c>
      <c r="K990" s="53">
        <f>CHOOSE(CONTROL!$C$42, 104.8263, 104.8263) * CHOOSE(CONTROL!$C$21, $C$9, 100%, $E$9)</f>
        <v>104.8263</v>
      </c>
      <c r="L990" s="14">
        <f>CHOOSE(CONTROL!$C$42, 105.6311, 105.6311) * CHOOSE(CONTROL!$C$21, $C$9, 100%, $E$9)</f>
        <v>105.6311</v>
      </c>
      <c r="M990" s="14">
        <f>CHOOSE(CONTROL!$C$42, 103.7519, 103.7519) * CHOOSE(CONTROL!$C$21, $C$9, 100%, $E$9)</f>
        <v>103.75190000000001</v>
      </c>
      <c r="N990" s="14">
        <f>CHOOSE(CONTROL!$C$42, 103.7679, 103.7679) * CHOOSE(CONTROL!$C$21, $C$9, 100%, $E$9)</f>
        <v>103.7679</v>
      </c>
      <c r="O990" s="14">
        <f>CHOOSE(CONTROL!$C$42, 103.9978, 103.9978) * CHOOSE(CONTROL!$C$21, $C$9, 100%, $E$9)</f>
        <v>103.9978</v>
      </c>
      <c r="P990" s="14">
        <f>CHOOSE(CONTROL!$C$42, 103.7861, 103.7861) * CHOOSE(CONTROL!$C$21, $C$9, 100%, $E$9)</f>
        <v>103.7861</v>
      </c>
      <c r="Q990" s="14">
        <f>CHOOSE(CONTROL!$C$42, 104.5931, 104.5931) * CHOOSE(CONTROL!$C$21, $C$9, 100%, $E$9)</f>
        <v>104.59310000000001</v>
      </c>
      <c r="R990" s="14">
        <f>CHOOSE(CONTROL!$C$42, 105.4416, 105.4416) * CHOOSE(CONTROL!$C$21, $C$9, 100%, $E$9)</f>
        <v>105.44159999999999</v>
      </c>
      <c r="S990" s="14">
        <f>CHOOSE(CONTROL!$C$42, 101.7853, 101.7853) * CHOOSE(CONTROL!$C$21, $C$9, 100%, $E$9)</f>
        <v>101.78530000000001</v>
      </c>
      <c r="T99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990" s="57">
        <f>(1000*CHOOSE(CONTROL!$C$42, 695, 695)*CHOOSE(CONTROL!$C$42, 0.5599, 0.5599)*CHOOSE(CONTROL!$C$42, 30, 30))/1000000</f>
        <v>11.673914999999997</v>
      </c>
      <c r="V990" s="57">
        <f>(1000*CHOOSE(CONTROL!$C$42, 500, 500)*CHOOSE(CONTROL!$C$42, 0.275, 0.275)*CHOOSE(CONTROL!$C$42, 30, 30))/1000000</f>
        <v>4.125</v>
      </c>
      <c r="W990" s="57">
        <f>(1000*CHOOSE(CONTROL!$C$42, 0.1146, 0.1146)*CHOOSE(CONTROL!$C$42, 121.5, 121.5)*CHOOSE(CONTROL!$C$42, 30, 30))/1000000</f>
        <v>0.417717</v>
      </c>
      <c r="X990" s="57">
        <f>(30*0.1790888*245000/1000000)+(30*0.2374*100000/1000000)</f>
        <v>2.0285026799999999</v>
      </c>
      <c r="Y990" s="57"/>
      <c r="Z990" s="14"/>
      <c r="AA990" s="56"/>
      <c r="AB990" s="50">
        <f>(B990*194.205+C990*267.466+D990*133.845+E990*53.484+F990*40+G990*185+H990*0+I990*100+J990*300)/(194.205+267.466+133.845+53.484+0+40+185+100+300)</f>
        <v>104.84693484434852</v>
      </c>
      <c r="AC990" s="45">
        <f>(M990*'RAP TEMPLATE-GAS AVAILABILITY'!O989+N990*'RAP TEMPLATE-GAS AVAILABILITY'!P989+O990*'RAP TEMPLATE-GAS AVAILABILITY'!Q989+P990*'RAP TEMPLATE-GAS AVAILABILITY'!R989)/('RAP TEMPLATE-GAS AVAILABILITY'!O989+'RAP TEMPLATE-GAS AVAILABILITY'!P989+'RAP TEMPLATE-GAS AVAILABILITY'!Q989+'RAP TEMPLATE-GAS AVAILABILITY'!R989)</f>
        <v>103.8691928057554</v>
      </c>
    </row>
    <row r="991" spans="1:29" ht="15.75" x14ac:dyDescent="0.25">
      <c r="A991" s="32">
        <v>71071</v>
      </c>
      <c r="B991" s="14">
        <f>CHOOSE(CONTROL!$C$42, 102.808, 102.808) * CHOOSE(CONTROL!$C$21, $C$9, 100%, $E$9)</f>
        <v>102.80800000000001</v>
      </c>
      <c r="C991" s="14">
        <f>CHOOSE(CONTROL!$C$42, 102.8159, 102.8159) * CHOOSE(CONTROL!$C$21, $C$9, 100%, $E$9)</f>
        <v>102.8159</v>
      </c>
      <c r="D991" s="14">
        <f>CHOOSE(CONTROL!$C$42, 103.0135, 103.0135) * CHOOSE(CONTROL!$C$21, $C$9, 100%, $E$9)</f>
        <v>103.01349999999999</v>
      </c>
      <c r="E991" s="14">
        <f>CHOOSE(CONTROL!$C$42, 103.0446, 103.0446) * CHOOSE(CONTROL!$C$21, $C$9, 100%, $E$9)</f>
        <v>103.0446</v>
      </c>
      <c r="F991" s="14">
        <f>CHOOSE(CONTROL!$C$42, 102.7923, 102.7923)*CHOOSE(CONTROL!$C$21, $C$9, 100%, $E$9)</f>
        <v>102.7923</v>
      </c>
      <c r="G991" s="14">
        <f>CHOOSE(CONTROL!$C$42, 102.8086, 102.8086)*CHOOSE(CONTROL!$C$21, $C$9, 100%, $E$9)</f>
        <v>102.8086</v>
      </c>
      <c r="H991" s="14">
        <f>CHOOSE(CONTROL!$C$42, 103.0333, 103.0333) * CHOOSE(CONTROL!$C$21, $C$9, 100%, $E$9)</f>
        <v>103.0333</v>
      </c>
      <c r="I991" s="14">
        <f>CHOOSE(CONTROL!$C$42, 102.8194, 102.8194)* CHOOSE(CONTROL!$C$21, $C$9, 100%, $E$9)</f>
        <v>102.8194</v>
      </c>
      <c r="J991" s="14">
        <f>CHOOSE(CONTROL!$C$42, 102.7853, 102.7853)* CHOOSE(CONTROL!$C$21, $C$9, 100%, $E$9)</f>
        <v>102.78530000000001</v>
      </c>
      <c r="K991" s="53">
        <f>CHOOSE(CONTROL!$C$42, 102.8155, 102.8155) * CHOOSE(CONTROL!$C$21, $C$9, 100%, $E$9)</f>
        <v>102.8155</v>
      </c>
      <c r="L991" s="14">
        <f>CHOOSE(CONTROL!$C$42, 103.6203, 103.6203) * CHOOSE(CONTROL!$C$21, $C$9, 100%, $E$9)</f>
        <v>103.6203</v>
      </c>
      <c r="M991" s="14">
        <f>CHOOSE(CONTROL!$C$42, 101.7618, 101.7618) * CHOOSE(CONTROL!$C$21, $C$9, 100%, $E$9)</f>
        <v>101.76179999999999</v>
      </c>
      <c r="N991" s="14">
        <f>CHOOSE(CONTROL!$C$42, 101.7779, 101.7779) * CHOOSE(CONTROL!$C$21, $C$9, 100%, $E$9)</f>
        <v>101.7779</v>
      </c>
      <c r="O991" s="14">
        <f>CHOOSE(CONTROL!$C$42, 102.0073, 102.0073) * CHOOSE(CONTROL!$C$21, $C$9, 100%, $E$9)</f>
        <v>102.0073</v>
      </c>
      <c r="P991" s="14">
        <f>CHOOSE(CONTROL!$C$42, 101.7956, 101.7956) * CHOOSE(CONTROL!$C$21, $C$9, 100%, $E$9)</f>
        <v>101.79559999999999</v>
      </c>
      <c r="Q991" s="14">
        <f>CHOOSE(CONTROL!$C$42, 102.6026, 102.6026) * CHOOSE(CONTROL!$C$21, $C$9, 100%, $E$9)</f>
        <v>102.6026</v>
      </c>
      <c r="R991" s="14">
        <f>CHOOSE(CONTROL!$C$42, 103.4461, 103.4461) * CHOOSE(CONTROL!$C$21, $C$9, 100%, $E$9)</f>
        <v>103.4461</v>
      </c>
      <c r="S991" s="14">
        <f>CHOOSE(CONTROL!$C$42, 99.8326, 99.8326) * CHOOSE(CONTROL!$C$21, $C$9, 100%, $E$9)</f>
        <v>99.832599999999999</v>
      </c>
      <c r="T99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991" s="57">
        <f>(1000*CHOOSE(CONTROL!$C$42, 695, 695)*CHOOSE(CONTROL!$C$42, 0.5599, 0.5599)*CHOOSE(CONTROL!$C$42, 31, 31))/1000000</f>
        <v>12.063045499999998</v>
      </c>
      <c r="V991" s="57">
        <f>(1000*CHOOSE(CONTROL!$C$42, 500, 500)*CHOOSE(CONTROL!$C$42, 0.275, 0.275)*CHOOSE(CONTROL!$C$42, 31, 31))/1000000</f>
        <v>4.2625000000000002</v>
      </c>
      <c r="W991" s="57">
        <f>(1000*CHOOSE(CONTROL!$C$42, 0.1146, 0.1146)*CHOOSE(CONTROL!$C$42, 121.5, 121.5)*CHOOSE(CONTROL!$C$42, 31, 31))/1000000</f>
        <v>0.43164089999999994</v>
      </c>
      <c r="X991" s="57">
        <f>(31*0.1790888*245000/1000000)+(31*0.2374*100000/1000000)</f>
        <v>2.0961194359999999</v>
      </c>
      <c r="Y991" s="57"/>
      <c r="Z991" s="14"/>
      <c r="AA991" s="56"/>
      <c r="AB991" s="50">
        <f>(B991*194.205+C991*267.466+D991*133.845+E991*53.484+F991*40+G991*185+H991*0+I991*100+J991*300)/(194.205+267.466+133.845+53.484+0+40+185+100+300)</f>
        <v>102.83632452378338</v>
      </c>
      <c r="AC991" s="45">
        <f>(M991*'RAP TEMPLATE-GAS AVAILABILITY'!O990+N991*'RAP TEMPLATE-GAS AVAILABILITY'!P990+O991*'RAP TEMPLATE-GAS AVAILABILITY'!Q990+P991*'RAP TEMPLATE-GAS AVAILABILITY'!R990)/('RAP TEMPLATE-GAS AVAILABILITY'!O990+'RAP TEMPLATE-GAS AVAILABILITY'!P990+'RAP TEMPLATE-GAS AVAILABILITY'!Q990+'RAP TEMPLATE-GAS AVAILABILITY'!R990)</f>
        <v>101.87885971223021</v>
      </c>
    </row>
    <row r="992" spans="1:29" ht="15.75" x14ac:dyDescent="0.25">
      <c r="A992" s="32">
        <v>71102</v>
      </c>
      <c r="B992" s="14">
        <f>CHOOSE(CONTROL!$C$42, 97.73, 97.73) * CHOOSE(CONTROL!$C$21, $C$9, 100%, $E$9)</f>
        <v>97.73</v>
      </c>
      <c r="C992" s="14">
        <f>CHOOSE(CONTROL!$C$42, 97.7379, 97.7379) * CHOOSE(CONTROL!$C$21, $C$9, 100%, $E$9)</f>
        <v>97.737899999999996</v>
      </c>
      <c r="D992" s="14">
        <f>CHOOSE(CONTROL!$C$42, 97.9355, 97.9355) * CHOOSE(CONTROL!$C$21, $C$9, 100%, $E$9)</f>
        <v>97.935500000000005</v>
      </c>
      <c r="E992" s="14">
        <f>CHOOSE(CONTROL!$C$42, 97.9667, 97.9667) * CHOOSE(CONTROL!$C$21, $C$9, 100%, $E$9)</f>
        <v>97.966700000000003</v>
      </c>
      <c r="F992" s="14">
        <f>CHOOSE(CONTROL!$C$42, 97.7145, 97.7145)*CHOOSE(CONTROL!$C$21, $C$9, 100%, $E$9)</f>
        <v>97.714500000000001</v>
      </c>
      <c r="G992" s="14">
        <f>CHOOSE(CONTROL!$C$42, 97.7308, 97.7308)*CHOOSE(CONTROL!$C$21, $C$9, 100%, $E$9)</f>
        <v>97.730800000000002</v>
      </c>
      <c r="H992" s="14">
        <f>CHOOSE(CONTROL!$C$42, 97.9553, 97.9553) * CHOOSE(CONTROL!$C$21, $C$9, 100%, $E$9)</f>
        <v>97.955299999999994</v>
      </c>
      <c r="I992" s="14">
        <f>CHOOSE(CONTROL!$C$42, 97.7414, 97.7414)* CHOOSE(CONTROL!$C$21, $C$9, 100%, $E$9)</f>
        <v>97.741399999999999</v>
      </c>
      <c r="J992" s="14">
        <f>CHOOSE(CONTROL!$C$42, 97.7075, 97.7075)* CHOOSE(CONTROL!$C$21, $C$9, 100%, $E$9)</f>
        <v>97.707499999999996</v>
      </c>
      <c r="K992" s="53">
        <f>CHOOSE(CONTROL!$C$42, 97.7375, 97.7375) * CHOOSE(CONTROL!$C$21, $C$9, 100%, $E$9)</f>
        <v>97.737499999999997</v>
      </c>
      <c r="L992" s="14">
        <f>CHOOSE(CONTROL!$C$42, 98.5423, 98.5423) * CHOOSE(CONTROL!$C$21, $C$9, 100%, $E$9)</f>
        <v>98.542299999999997</v>
      </c>
      <c r="M992" s="14">
        <f>CHOOSE(CONTROL!$C$42, 96.7353, 96.7353) * CHOOSE(CONTROL!$C$21, $C$9, 100%, $E$9)</f>
        <v>96.735299999999995</v>
      </c>
      <c r="N992" s="14">
        <f>CHOOSE(CONTROL!$C$42, 96.7514, 96.7514) * CHOOSE(CONTROL!$C$21, $C$9, 100%, $E$9)</f>
        <v>96.751400000000004</v>
      </c>
      <c r="O992" s="14">
        <f>CHOOSE(CONTROL!$C$42, 96.9806, 96.9806) * CHOOSE(CONTROL!$C$21, $C$9, 100%, $E$9)</f>
        <v>96.980599999999995</v>
      </c>
      <c r="P992" s="14">
        <f>CHOOSE(CONTROL!$C$42, 96.7689, 96.7689) * CHOOSE(CONTROL!$C$21, $C$9, 100%, $E$9)</f>
        <v>96.768900000000002</v>
      </c>
      <c r="Q992" s="14">
        <f>CHOOSE(CONTROL!$C$42, 97.5759, 97.5759) * CHOOSE(CONTROL!$C$21, $C$9, 100%, $E$9)</f>
        <v>97.575900000000004</v>
      </c>
      <c r="R992" s="14">
        <f>CHOOSE(CONTROL!$C$42, 98.4068, 98.4068) * CHOOSE(CONTROL!$C$21, $C$9, 100%, $E$9)</f>
        <v>98.406800000000004</v>
      </c>
      <c r="S992" s="14">
        <f>CHOOSE(CONTROL!$C$42, 94.9014, 94.9014) * CHOOSE(CONTROL!$C$21, $C$9, 100%, $E$9)</f>
        <v>94.901399999999995</v>
      </c>
      <c r="T99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992" s="57">
        <f>(1000*CHOOSE(CONTROL!$C$42, 695, 695)*CHOOSE(CONTROL!$C$42, 0.5599, 0.5599)*CHOOSE(CONTROL!$C$42, 31, 31))/1000000</f>
        <v>12.063045499999998</v>
      </c>
      <c r="V992" s="57">
        <f>(1000*CHOOSE(CONTROL!$C$42, 500, 500)*CHOOSE(CONTROL!$C$42, 0.275, 0.275)*CHOOSE(CONTROL!$C$42, 31, 31))/1000000</f>
        <v>4.2625000000000002</v>
      </c>
      <c r="W992" s="57">
        <f>(1000*CHOOSE(CONTROL!$C$42, 0.1146, 0.1146)*CHOOSE(CONTROL!$C$42, 121.5, 121.5)*CHOOSE(CONTROL!$C$42, 31, 31))/1000000</f>
        <v>0.43164089999999994</v>
      </c>
      <c r="X992" s="57">
        <f>(31*0.1790888*245000/1000000)+(31*0.2374*100000/1000000)</f>
        <v>2.0961194359999999</v>
      </c>
      <c r="Y992" s="57"/>
      <c r="Z992" s="14"/>
      <c r="AA992" s="56"/>
      <c r="AB992" s="50">
        <f>(B992*194.205+C992*267.466+D992*133.845+E992*53.484+F992*40+G992*185+H992*0+I992*100+J992*300)/(194.205+267.466+133.845+53.484+0+40+185+100+300)</f>
        <v>97.75841113948195</v>
      </c>
      <c r="AC992" s="45">
        <f>(M992*'RAP TEMPLATE-GAS AVAILABILITY'!O991+N992*'RAP TEMPLATE-GAS AVAILABILITY'!P991+O992*'RAP TEMPLATE-GAS AVAILABILITY'!Q991+P992*'RAP TEMPLATE-GAS AVAILABILITY'!R991)/('RAP TEMPLATE-GAS AVAILABILITY'!O991+'RAP TEMPLATE-GAS AVAILABILITY'!P991+'RAP TEMPLATE-GAS AVAILABILITY'!Q991+'RAP TEMPLATE-GAS AVAILABILITY'!R991)</f>
        <v>96.852240287769789</v>
      </c>
    </row>
    <row r="993" spans="1:29" ht="15.75" x14ac:dyDescent="0.25">
      <c r="A993" s="32">
        <v>71132</v>
      </c>
      <c r="B993" s="14">
        <f>CHOOSE(CONTROL!$C$42, 91.5253, 91.5253) * CHOOSE(CONTROL!$C$21, $C$9, 100%, $E$9)</f>
        <v>91.525300000000001</v>
      </c>
      <c r="C993" s="14">
        <f>CHOOSE(CONTROL!$C$42, 91.5332, 91.5332) * CHOOSE(CONTROL!$C$21, $C$9, 100%, $E$9)</f>
        <v>91.533199999999994</v>
      </c>
      <c r="D993" s="14">
        <f>CHOOSE(CONTROL!$C$42, 91.7308, 91.7308) * CHOOSE(CONTROL!$C$21, $C$9, 100%, $E$9)</f>
        <v>91.730800000000002</v>
      </c>
      <c r="E993" s="14">
        <f>CHOOSE(CONTROL!$C$42, 91.7619, 91.7619) * CHOOSE(CONTROL!$C$21, $C$9, 100%, $E$9)</f>
        <v>91.761899999999997</v>
      </c>
      <c r="F993" s="14">
        <f>CHOOSE(CONTROL!$C$42, 91.5097, 91.5097)*CHOOSE(CONTROL!$C$21, $C$9, 100%, $E$9)</f>
        <v>91.509699999999995</v>
      </c>
      <c r="G993" s="14">
        <f>CHOOSE(CONTROL!$C$42, 91.526, 91.526)*CHOOSE(CONTROL!$C$21, $C$9, 100%, $E$9)</f>
        <v>91.525999999999996</v>
      </c>
      <c r="H993" s="14">
        <f>CHOOSE(CONTROL!$C$42, 91.7506, 91.7506) * CHOOSE(CONTROL!$C$21, $C$9, 100%, $E$9)</f>
        <v>91.750600000000006</v>
      </c>
      <c r="I993" s="14">
        <f>CHOOSE(CONTROL!$C$42, 91.5367, 91.5367)* CHOOSE(CONTROL!$C$21, $C$9, 100%, $E$9)</f>
        <v>91.536699999999996</v>
      </c>
      <c r="J993" s="14">
        <f>CHOOSE(CONTROL!$C$42, 91.5027, 91.5027)* CHOOSE(CONTROL!$C$21, $C$9, 100%, $E$9)</f>
        <v>91.502700000000004</v>
      </c>
      <c r="K993" s="53">
        <f>CHOOSE(CONTROL!$C$42, 91.5328, 91.5328) * CHOOSE(CONTROL!$C$21, $C$9, 100%, $E$9)</f>
        <v>91.532799999999995</v>
      </c>
      <c r="L993" s="14">
        <f>CHOOSE(CONTROL!$C$42, 92.3376, 92.3376) * CHOOSE(CONTROL!$C$21, $C$9, 100%, $E$9)</f>
        <v>92.337599999999995</v>
      </c>
      <c r="M993" s="14">
        <f>CHOOSE(CONTROL!$C$42, 90.5931, 90.5931) * CHOOSE(CONTROL!$C$21, $C$9, 100%, $E$9)</f>
        <v>90.593100000000007</v>
      </c>
      <c r="N993" s="14">
        <f>CHOOSE(CONTROL!$C$42, 90.6093, 90.6093) * CHOOSE(CONTROL!$C$21, $C$9, 100%, $E$9)</f>
        <v>90.609300000000005</v>
      </c>
      <c r="O993" s="14">
        <f>CHOOSE(CONTROL!$C$42, 90.8385, 90.8385) * CHOOSE(CONTROL!$C$21, $C$9, 100%, $E$9)</f>
        <v>90.838499999999996</v>
      </c>
      <c r="P993" s="14">
        <f>CHOOSE(CONTROL!$C$42, 90.6268, 90.6268) * CHOOSE(CONTROL!$C$21, $C$9, 100%, $E$9)</f>
        <v>90.626800000000003</v>
      </c>
      <c r="Q993" s="14">
        <f>CHOOSE(CONTROL!$C$42, 91.4338, 91.4338) * CHOOSE(CONTROL!$C$21, $C$9, 100%, $E$9)</f>
        <v>91.433800000000005</v>
      </c>
      <c r="R993" s="14">
        <f>CHOOSE(CONTROL!$C$42, 92.2494, 92.2494) * CHOOSE(CONTROL!$C$21, $C$9, 100%, $E$9)</f>
        <v>92.249399999999994</v>
      </c>
      <c r="S993" s="14">
        <f>CHOOSE(CONTROL!$C$42, 88.876, 88.876) * CHOOSE(CONTROL!$C$21, $C$9, 100%, $E$9)</f>
        <v>88.876000000000005</v>
      </c>
      <c r="T99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993" s="57">
        <f>(1000*CHOOSE(CONTROL!$C$42, 695, 695)*CHOOSE(CONTROL!$C$42, 0.5599, 0.5599)*CHOOSE(CONTROL!$C$42, 30, 30))/1000000</f>
        <v>11.673914999999997</v>
      </c>
      <c r="V993" s="57">
        <f>(1000*CHOOSE(CONTROL!$C$42, 500, 500)*CHOOSE(CONTROL!$C$42, 0.275, 0.275)*CHOOSE(CONTROL!$C$42, 30, 30))/1000000</f>
        <v>4.125</v>
      </c>
      <c r="W993" s="57">
        <f>(1000*CHOOSE(CONTROL!$C$42, 0.1146, 0.1146)*CHOOSE(CONTROL!$C$42, 121.5, 121.5)*CHOOSE(CONTROL!$C$42, 30, 30))/1000000</f>
        <v>0.417717</v>
      </c>
      <c r="X993" s="57">
        <f>(30*0.1790888*245000/1000000)+(30*0.2374*100000/1000000)</f>
        <v>2.0285026799999999</v>
      </c>
      <c r="Y993" s="57"/>
      <c r="Z993" s="14"/>
      <c r="AA993" s="56"/>
      <c r="AB993" s="50">
        <f>(B993*194.205+C993*267.466+D993*133.845+E993*53.484+F993*40+G993*185+H993*0+I993*100+J993*300)/(194.205+267.466+133.845+53.484+0+40+185+100+300)</f>
        <v>91.553665732574558</v>
      </c>
      <c r="AC993" s="45">
        <f>(M993*'RAP TEMPLATE-GAS AVAILABILITY'!O992+N993*'RAP TEMPLATE-GAS AVAILABILITY'!P992+O993*'RAP TEMPLATE-GAS AVAILABILITY'!Q992+P993*'RAP TEMPLATE-GAS AVAILABILITY'!R992)/('RAP TEMPLATE-GAS AVAILABILITY'!O992+'RAP TEMPLATE-GAS AVAILABILITY'!P992+'RAP TEMPLATE-GAS AVAILABILITY'!Q992+'RAP TEMPLATE-GAS AVAILABILITY'!R992)</f>
        <v>90.710105755395688</v>
      </c>
    </row>
    <row r="994" spans="1:29" ht="15.75" x14ac:dyDescent="0.25">
      <c r="A994" s="32">
        <v>71163</v>
      </c>
      <c r="B994" s="14">
        <f>CHOOSE(CONTROL!$C$42, 89.6653, 89.6653) * CHOOSE(CONTROL!$C$21, $C$9, 100%, $E$9)</f>
        <v>89.665300000000002</v>
      </c>
      <c r="C994" s="14">
        <f>CHOOSE(CONTROL!$C$42, 89.6705, 89.6705) * CHOOSE(CONTROL!$C$21, $C$9, 100%, $E$9)</f>
        <v>89.670500000000004</v>
      </c>
      <c r="D994" s="14">
        <f>CHOOSE(CONTROL!$C$42, 89.8731, 89.8731) * CHOOSE(CONTROL!$C$21, $C$9, 100%, $E$9)</f>
        <v>89.873099999999994</v>
      </c>
      <c r="E994" s="14">
        <f>CHOOSE(CONTROL!$C$42, 89.9019, 89.9019) * CHOOSE(CONTROL!$C$21, $C$9, 100%, $E$9)</f>
        <v>89.901899999999998</v>
      </c>
      <c r="F994" s="14">
        <f>CHOOSE(CONTROL!$C$42, 89.6517, 89.6517)*CHOOSE(CONTROL!$C$21, $C$9, 100%, $E$9)</f>
        <v>89.651700000000005</v>
      </c>
      <c r="G994" s="14">
        <f>CHOOSE(CONTROL!$C$42, 89.6677, 89.6677)*CHOOSE(CONTROL!$C$21, $C$9, 100%, $E$9)</f>
        <v>89.667699999999996</v>
      </c>
      <c r="H994" s="14">
        <f>CHOOSE(CONTROL!$C$42, 89.8924, 89.8924) * CHOOSE(CONTROL!$C$21, $C$9, 100%, $E$9)</f>
        <v>89.892399999999995</v>
      </c>
      <c r="I994" s="14">
        <f>CHOOSE(CONTROL!$C$42, 89.6784, 89.6784)* CHOOSE(CONTROL!$C$21, $C$9, 100%, $E$9)</f>
        <v>89.678399999999996</v>
      </c>
      <c r="J994" s="14">
        <f>CHOOSE(CONTROL!$C$42, 89.6447, 89.6447)* CHOOSE(CONTROL!$C$21, $C$9, 100%, $E$9)</f>
        <v>89.6447</v>
      </c>
      <c r="K994" s="53">
        <f>CHOOSE(CONTROL!$C$42, 89.6746, 89.6746) * CHOOSE(CONTROL!$C$21, $C$9, 100%, $E$9)</f>
        <v>89.674599999999998</v>
      </c>
      <c r="L994" s="14">
        <f>CHOOSE(CONTROL!$C$42, 90.4794, 90.4794) * CHOOSE(CONTROL!$C$21, $C$9, 100%, $E$9)</f>
        <v>90.479399999999998</v>
      </c>
      <c r="M994" s="14">
        <f>CHOOSE(CONTROL!$C$42, 88.7539, 88.7539) * CHOOSE(CONTROL!$C$21, $C$9, 100%, $E$9)</f>
        <v>88.753900000000002</v>
      </c>
      <c r="N994" s="14">
        <f>CHOOSE(CONTROL!$C$42, 88.7697, 88.7697) * CHOOSE(CONTROL!$C$21, $C$9, 100%, $E$9)</f>
        <v>88.7697</v>
      </c>
      <c r="O994" s="14">
        <f>CHOOSE(CONTROL!$C$42, 88.999, 88.999) * CHOOSE(CONTROL!$C$21, $C$9, 100%, $E$9)</f>
        <v>88.998999999999995</v>
      </c>
      <c r="P994" s="14">
        <f>CHOOSE(CONTROL!$C$42, 88.7873, 88.7873) * CHOOSE(CONTROL!$C$21, $C$9, 100%, $E$9)</f>
        <v>88.787300000000002</v>
      </c>
      <c r="Q994" s="14">
        <f>CHOOSE(CONTROL!$C$42, 89.5943, 89.5943) * CHOOSE(CONTROL!$C$21, $C$9, 100%, $E$9)</f>
        <v>89.594300000000004</v>
      </c>
      <c r="R994" s="14">
        <f>CHOOSE(CONTROL!$C$42, 90.4053, 90.4053) * CHOOSE(CONTROL!$C$21, $C$9, 100%, $E$9)</f>
        <v>90.405299999999997</v>
      </c>
      <c r="S994" s="14">
        <f>CHOOSE(CONTROL!$C$42, 87.0715, 87.0715) * CHOOSE(CONTROL!$C$21, $C$9, 100%, $E$9)</f>
        <v>87.0715</v>
      </c>
      <c r="T99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994" s="57">
        <f>(1000*CHOOSE(CONTROL!$C$42, 695, 695)*CHOOSE(CONTROL!$C$42, 0.5599, 0.5599)*CHOOSE(CONTROL!$C$42, 31, 31))/1000000</f>
        <v>12.063045499999998</v>
      </c>
      <c r="V994" s="57">
        <f>(1000*CHOOSE(CONTROL!$C$42, 500, 500)*CHOOSE(CONTROL!$C$42, 0.275, 0.275)*CHOOSE(CONTROL!$C$42, 31, 31))/1000000</f>
        <v>4.2625000000000002</v>
      </c>
      <c r="W994" s="57">
        <f>(1000*CHOOSE(CONTROL!$C$42, 0.1146, 0.1146)*CHOOSE(CONTROL!$C$42, 121.5, 121.5)*CHOOSE(CONTROL!$C$42, 31, 31))/1000000</f>
        <v>0.43164089999999994</v>
      </c>
      <c r="X994" s="57">
        <f>(31*0.1790888*245000/1000000)+(31*0.2374*100000/1000000)</f>
        <v>2.0961194359999999</v>
      </c>
      <c r="Y994" s="57"/>
      <c r="Z994" s="14"/>
      <c r="AA994" s="56"/>
      <c r="AB994" s="50">
        <f>(B994*131.881+C994*277.167+D994*79.08+E994*125.872+F994*40+G994*185+H994*0+I994*100+J994*300)/(131.881+277.167+79.08+125.872+0+40+185+100+300)</f>
        <v>89.699751499273603</v>
      </c>
      <c r="AC994" s="45">
        <f>(M994*'RAP TEMPLATE-GAS AVAILABILITY'!O993+N994*'RAP TEMPLATE-GAS AVAILABILITY'!P993+O994*'RAP TEMPLATE-GAS AVAILABILITY'!Q993+P994*'RAP TEMPLATE-GAS AVAILABILITY'!R993)/('RAP TEMPLATE-GAS AVAILABILITY'!O993+'RAP TEMPLATE-GAS AVAILABILITY'!P993+'RAP TEMPLATE-GAS AVAILABILITY'!Q993+'RAP TEMPLATE-GAS AVAILABILITY'!R993)</f>
        <v>88.870703597122301</v>
      </c>
    </row>
    <row r="995" spans="1:29" ht="15.75" x14ac:dyDescent="0.25">
      <c r="A995" s="32">
        <v>71193</v>
      </c>
      <c r="B995" s="14">
        <f>CHOOSE(CONTROL!$C$42, 92.027, 92.027) * CHOOSE(CONTROL!$C$21, $C$9, 100%, $E$9)</f>
        <v>92.027000000000001</v>
      </c>
      <c r="C995" s="14">
        <f>CHOOSE(CONTROL!$C$42, 92.032, 92.032) * CHOOSE(CONTROL!$C$21, $C$9, 100%, $E$9)</f>
        <v>92.031999999999996</v>
      </c>
      <c r="D995" s="14">
        <f>CHOOSE(CONTROL!$C$42, 92.0951, 92.0951) * CHOOSE(CONTROL!$C$21, $C$9, 100%, $E$9)</f>
        <v>92.095100000000002</v>
      </c>
      <c r="E995" s="14">
        <f>CHOOSE(CONTROL!$C$42, 92.1288, 92.1288) * CHOOSE(CONTROL!$C$21, $C$9, 100%, $E$9)</f>
        <v>92.128799999999998</v>
      </c>
      <c r="F995" s="14">
        <f>CHOOSE(CONTROL!$C$42, 92.0277, 92.0277)*CHOOSE(CONTROL!$C$21, $C$9, 100%, $E$9)</f>
        <v>92.027699999999996</v>
      </c>
      <c r="G995" s="14">
        <f>CHOOSE(CONTROL!$C$42, 92.044, 92.044)*CHOOSE(CONTROL!$C$21, $C$9, 100%, $E$9)</f>
        <v>92.043999999999997</v>
      </c>
      <c r="H995" s="14">
        <f>CHOOSE(CONTROL!$C$42, 92.118, 92.118) * CHOOSE(CONTROL!$C$21, $C$9, 100%, $E$9)</f>
        <v>92.117999999999995</v>
      </c>
      <c r="I995" s="14">
        <f>CHOOSE(CONTROL!$C$42, 92.0406, 92.0406)* CHOOSE(CONTROL!$C$21, $C$9, 100%, $E$9)</f>
        <v>92.040599999999998</v>
      </c>
      <c r="J995" s="14">
        <f>CHOOSE(CONTROL!$C$42, 92.0207, 92.0207)* CHOOSE(CONTROL!$C$21, $C$9, 100%, $E$9)</f>
        <v>92.020700000000005</v>
      </c>
      <c r="K995" s="53">
        <f>CHOOSE(CONTROL!$C$42, 92.0367, 92.0367) * CHOOSE(CONTROL!$C$21, $C$9, 100%, $E$9)</f>
        <v>92.036699999999996</v>
      </c>
      <c r="L995" s="14">
        <f>CHOOSE(CONTROL!$C$42, 92.705, 92.705) * CHOOSE(CONTROL!$C$21, $C$9, 100%, $E$9)</f>
        <v>92.704999999999998</v>
      </c>
      <c r="M995" s="14">
        <f>CHOOSE(CONTROL!$C$42, 91.1059, 91.1059) * CHOOSE(CONTROL!$C$21, $C$9, 100%, $E$9)</f>
        <v>91.105900000000005</v>
      </c>
      <c r="N995" s="14">
        <f>CHOOSE(CONTROL!$C$42, 91.122, 91.122) * CHOOSE(CONTROL!$C$21, $C$9, 100%, $E$9)</f>
        <v>91.122</v>
      </c>
      <c r="O995" s="14">
        <f>CHOOSE(CONTROL!$C$42, 91.2022, 91.2022) * CHOOSE(CONTROL!$C$21, $C$9, 100%, $E$9)</f>
        <v>91.202200000000005</v>
      </c>
      <c r="P995" s="14">
        <f>CHOOSE(CONTROL!$C$42, 91.1256, 91.1256) * CHOOSE(CONTROL!$C$21, $C$9, 100%, $E$9)</f>
        <v>91.125600000000006</v>
      </c>
      <c r="Q995" s="14">
        <f>CHOOSE(CONTROL!$C$42, 91.7975, 91.7975) * CHOOSE(CONTROL!$C$21, $C$9, 100%, $E$9)</f>
        <v>91.797499999999999</v>
      </c>
      <c r="R995" s="14">
        <f>CHOOSE(CONTROL!$C$42, 92.614, 92.614) * CHOOSE(CONTROL!$C$21, $C$9, 100%, $E$9)</f>
        <v>92.614000000000004</v>
      </c>
      <c r="S995" s="14">
        <f>CHOOSE(CONTROL!$C$42, 89.3653, 89.3653) * CHOOSE(CONTROL!$C$21, $C$9, 100%, $E$9)</f>
        <v>89.365300000000005</v>
      </c>
      <c r="T99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995" s="57">
        <f>(1000*CHOOSE(CONTROL!$C$42, 695, 695)*CHOOSE(CONTROL!$C$42, 0.5599, 0.5599)*CHOOSE(CONTROL!$C$42, 30, 30))/1000000</f>
        <v>11.673914999999997</v>
      </c>
      <c r="V995" s="57">
        <f>(1000*CHOOSE(CONTROL!$C$42, 500, 500)*CHOOSE(CONTROL!$C$42, 0.275, 0.275)*CHOOSE(CONTROL!$C$42, 30, 30))/1000000</f>
        <v>4.125</v>
      </c>
      <c r="W995" s="57">
        <f>(1000*CHOOSE(CONTROL!$C$42, 0.1146, 0.1146)*CHOOSE(CONTROL!$C$42, 121.5, 121.5)*CHOOSE(CONTROL!$C$42, 30, 30))/1000000</f>
        <v>0.417717</v>
      </c>
      <c r="X995" s="57">
        <f>(30*0.1790888*100000/1000000)+(30*0.2374*100000/1000000)</f>
        <v>1.2494664</v>
      </c>
      <c r="Y995" s="57"/>
      <c r="Z995" s="14"/>
      <c r="AA995" s="56"/>
      <c r="AB995" s="50">
        <f>(B995*122.58+C995*297.941+D995*89.177+E995*40.302+F995*40+G995*160+H995*0+I995*100+J995*300)/(122.58+297.941+89.177+40.302+0+40+160+100+300)</f>
        <v>92.039072523739122</v>
      </c>
      <c r="AC995" s="45">
        <f>(M995*'RAP TEMPLATE-GAS AVAILABILITY'!O994+N995*'RAP TEMPLATE-GAS AVAILABILITY'!P994+O995*'RAP TEMPLATE-GAS AVAILABILITY'!Q994+P995*'RAP TEMPLATE-GAS AVAILABILITY'!R994)/('RAP TEMPLATE-GAS AVAILABILITY'!O994+'RAP TEMPLATE-GAS AVAILABILITY'!P994+'RAP TEMPLATE-GAS AVAILABILITY'!Q994+'RAP TEMPLATE-GAS AVAILABILITY'!R994)</f>
        <v>91.153307913669067</v>
      </c>
    </row>
    <row r="996" spans="1:29" ht="15.75" x14ac:dyDescent="0.25">
      <c r="A996" s="32">
        <v>71224</v>
      </c>
      <c r="B996" s="14">
        <f>CHOOSE(CONTROL!$C$42, 98.3012, 98.3012) * CHOOSE(CONTROL!$C$21, $C$9, 100%, $E$9)</f>
        <v>98.301199999999994</v>
      </c>
      <c r="C996" s="14">
        <f>CHOOSE(CONTROL!$C$42, 98.3061, 98.3061) * CHOOSE(CONTROL!$C$21, $C$9, 100%, $E$9)</f>
        <v>98.306100000000001</v>
      </c>
      <c r="D996" s="14">
        <f>CHOOSE(CONTROL!$C$42, 98.3692, 98.3692) * CHOOSE(CONTROL!$C$21, $C$9, 100%, $E$9)</f>
        <v>98.369200000000006</v>
      </c>
      <c r="E996" s="14">
        <f>CHOOSE(CONTROL!$C$42, 98.403, 98.403) * CHOOSE(CONTROL!$C$21, $C$9, 100%, $E$9)</f>
        <v>98.403000000000006</v>
      </c>
      <c r="F996" s="14">
        <f>CHOOSE(CONTROL!$C$42, 98.3039, 98.3039)*CHOOSE(CONTROL!$C$21, $C$9, 100%, $E$9)</f>
        <v>98.303899999999999</v>
      </c>
      <c r="G996" s="14">
        <f>CHOOSE(CONTROL!$C$42, 98.3208, 98.3208)*CHOOSE(CONTROL!$C$21, $C$9, 100%, $E$9)</f>
        <v>98.320800000000006</v>
      </c>
      <c r="H996" s="14">
        <f>CHOOSE(CONTROL!$C$42, 98.3922, 98.3922) * CHOOSE(CONTROL!$C$21, $C$9, 100%, $E$9)</f>
        <v>98.392200000000003</v>
      </c>
      <c r="I996" s="14">
        <f>CHOOSE(CONTROL!$C$42, 98.3147, 98.3147)* CHOOSE(CONTROL!$C$21, $C$9, 100%, $E$9)</f>
        <v>98.314700000000002</v>
      </c>
      <c r="J996" s="14">
        <f>CHOOSE(CONTROL!$C$42, 98.2969, 98.2969)* CHOOSE(CONTROL!$C$21, $C$9, 100%, $E$9)</f>
        <v>98.296899999999994</v>
      </c>
      <c r="K996" s="53">
        <f>CHOOSE(CONTROL!$C$42, 98.3108, 98.3108) * CHOOSE(CONTROL!$C$21, $C$9, 100%, $E$9)</f>
        <v>98.3108</v>
      </c>
      <c r="L996" s="14">
        <f>CHOOSE(CONTROL!$C$42, 98.9792, 98.9792) * CHOOSE(CONTROL!$C$21, $C$9, 100%, $E$9)</f>
        <v>98.979200000000006</v>
      </c>
      <c r="M996" s="14">
        <f>CHOOSE(CONTROL!$C$42, 97.3188, 97.3188) * CHOOSE(CONTROL!$C$21, $C$9, 100%, $E$9)</f>
        <v>97.318799999999996</v>
      </c>
      <c r="N996" s="14">
        <f>CHOOSE(CONTROL!$C$42, 97.3354, 97.3354) * CHOOSE(CONTROL!$C$21, $C$9, 100%, $E$9)</f>
        <v>97.335400000000007</v>
      </c>
      <c r="O996" s="14">
        <f>CHOOSE(CONTROL!$C$42, 97.4131, 97.4131) * CHOOSE(CONTROL!$C$21, $C$9, 100%, $E$9)</f>
        <v>97.4131</v>
      </c>
      <c r="P996" s="14">
        <f>CHOOSE(CONTROL!$C$42, 97.3364, 97.3364) * CHOOSE(CONTROL!$C$21, $C$9, 100%, $E$9)</f>
        <v>97.336399999999998</v>
      </c>
      <c r="Q996" s="14">
        <f>CHOOSE(CONTROL!$C$42, 98.0084, 98.0084) * CHOOSE(CONTROL!$C$21, $C$9, 100%, $E$9)</f>
        <v>98.008399999999995</v>
      </c>
      <c r="R996" s="14">
        <f>CHOOSE(CONTROL!$C$42, 98.8404, 98.8404) * CHOOSE(CONTROL!$C$21, $C$9, 100%, $E$9)</f>
        <v>98.840400000000002</v>
      </c>
      <c r="S996" s="14">
        <f>CHOOSE(CONTROL!$C$42, 95.4582, 95.4582) * CHOOSE(CONTROL!$C$21, $C$9, 100%, $E$9)</f>
        <v>95.458200000000005</v>
      </c>
      <c r="T99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996" s="57">
        <f>(1000*CHOOSE(CONTROL!$C$42, 695, 695)*CHOOSE(CONTROL!$C$42, 0.5599, 0.5599)*CHOOSE(CONTROL!$C$42, 31, 31))/1000000</f>
        <v>12.063045499999998</v>
      </c>
      <c r="V996" s="57">
        <f>(1000*CHOOSE(CONTROL!$C$42, 500, 500)*CHOOSE(CONTROL!$C$42, 0.275, 0.275)*CHOOSE(CONTROL!$C$42, 31, 31))/1000000</f>
        <v>4.2625000000000002</v>
      </c>
      <c r="W996" s="57">
        <f>(1000*CHOOSE(CONTROL!$C$42, 0.1146, 0.1146)*CHOOSE(CONTROL!$C$42, 121.5, 121.5)*CHOOSE(CONTROL!$C$42, 31, 31))/1000000</f>
        <v>0.43164089999999994</v>
      </c>
      <c r="X996" s="57">
        <f>(31*0.1790888*100000/1000000)+(31*0.2374*100000/1000000)</f>
        <v>1.2911152800000001</v>
      </c>
      <c r="Y996" s="57"/>
      <c r="Z996" s="14"/>
      <c r="AA996" s="56"/>
      <c r="AB996" s="50">
        <f>(B996*122.58+C996*297.941+D996*89.177+E996*40.302+F996*40+G996*160+H996*0+I996*100+J996*300)/(122.58+297.941+89.177+40.302+0+40+160+100+300)</f>
        <v>98.31418320913042</v>
      </c>
      <c r="AC996" s="45">
        <f>(M996*'RAP TEMPLATE-GAS AVAILABILITY'!O995+N996*'RAP TEMPLATE-GAS AVAILABILITY'!P995+O996*'RAP TEMPLATE-GAS AVAILABILITY'!Q995+P996*'RAP TEMPLATE-GAS AVAILABILITY'!R995)/('RAP TEMPLATE-GAS AVAILABILITY'!O995+'RAP TEMPLATE-GAS AVAILABILITY'!P995+'RAP TEMPLATE-GAS AVAILABILITY'!Q995+'RAP TEMPLATE-GAS AVAILABILITY'!R995)</f>
        <v>97.365028057553957</v>
      </c>
    </row>
    <row r="997" spans="1:29" ht="15.75" x14ac:dyDescent="0.25">
      <c r="A997" s="32">
        <v>71255</v>
      </c>
      <c r="B997" s="14">
        <f>CHOOSE(CONTROL!$C$42, 106.3555, 106.3555) * CHOOSE(CONTROL!$C$21, $C$9, 100%, $E$9)</f>
        <v>106.35550000000001</v>
      </c>
      <c r="C997" s="14">
        <f>CHOOSE(CONTROL!$C$42, 106.3604, 106.3604) * CHOOSE(CONTROL!$C$21, $C$9, 100%, $E$9)</f>
        <v>106.3604</v>
      </c>
      <c r="D997" s="14">
        <f>CHOOSE(CONTROL!$C$42, 106.4247, 106.4247) * CHOOSE(CONTROL!$C$21, $C$9, 100%, $E$9)</f>
        <v>106.4247</v>
      </c>
      <c r="E997" s="14">
        <f>CHOOSE(CONTROL!$C$42, 106.4585, 106.4585) * CHOOSE(CONTROL!$C$21, $C$9, 100%, $E$9)</f>
        <v>106.4585</v>
      </c>
      <c r="F997" s="14">
        <f>CHOOSE(CONTROL!$C$42, 106.357, 106.357)*CHOOSE(CONTROL!$C$21, $C$9, 100%, $E$9)</f>
        <v>106.357</v>
      </c>
      <c r="G997" s="14">
        <f>CHOOSE(CONTROL!$C$42, 106.3729, 106.3729)*CHOOSE(CONTROL!$C$21, $C$9, 100%, $E$9)</f>
        <v>106.3729</v>
      </c>
      <c r="H997" s="14">
        <f>CHOOSE(CONTROL!$C$42, 106.4477, 106.4477) * CHOOSE(CONTROL!$C$21, $C$9, 100%, $E$9)</f>
        <v>106.4477</v>
      </c>
      <c r="I997" s="14">
        <f>CHOOSE(CONTROL!$C$42, 106.3754, 106.3754)* CHOOSE(CONTROL!$C$21, $C$9, 100%, $E$9)</f>
        <v>106.3754</v>
      </c>
      <c r="J997" s="14">
        <f>CHOOSE(CONTROL!$C$42, 106.35, 106.35)* CHOOSE(CONTROL!$C$21, $C$9, 100%, $E$9)</f>
        <v>106.35</v>
      </c>
      <c r="K997" s="53">
        <f>CHOOSE(CONTROL!$C$42, 106.3715, 106.3715) * CHOOSE(CONTROL!$C$21, $C$9, 100%, $E$9)</f>
        <v>106.3715</v>
      </c>
      <c r="L997" s="14">
        <f>CHOOSE(CONTROL!$C$42, 107.0347, 107.0347) * CHOOSE(CONTROL!$C$21, $C$9, 100%, $E$9)</f>
        <v>107.0347</v>
      </c>
      <c r="M997" s="14">
        <f>CHOOSE(CONTROL!$C$42, 105.2905, 105.2905) * CHOOSE(CONTROL!$C$21, $C$9, 100%, $E$9)</f>
        <v>105.29049999999999</v>
      </c>
      <c r="N997" s="14">
        <f>CHOOSE(CONTROL!$C$42, 105.3063, 105.3063) * CHOOSE(CONTROL!$C$21, $C$9, 100%, $E$9)</f>
        <v>105.30629999999999</v>
      </c>
      <c r="O997" s="14">
        <f>CHOOSE(CONTROL!$C$42, 105.3872, 105.3872) * CHOOSE(CONTROL!$C$21, $C$9, 100%, $E$9)</f>
        <v>105.38720000000001</v>
      </c>
      <c r="P997" s="14">
        <f>CHOOSE(CONTROL!$C$42, 105.3158, 105.3158) * CHOOSE(CONTROL!$C$21, $C$9, 100%, $E$9)</f>
        <v>105.3158</v>
      </c>
      <c r="Q997" s="14">
        <f>CHOOSE(CONTROL!$C$42, 105.9825, 105.9825) * CHOOSE(CONTROL!$C$21, $C$9, 100%, $E$9)</f>
        <v>105.9825</v>
      </c>
      <c r="R997" s="14">
        <f>CHOOSE(CONTROL!$C$42, 106.8345, 106.8345) * CHOOSE(CONTROL!$C$21, $C$9, 100%, $E$9)</f>
        <v>106.83450000000001</v>
      </c>
      <c r="S997" s="14">
        <f>CHOOSE(CONTROL!$C$42, 103.2796, 103.2796) * CHOOSE(CONTROL!$C$21, $C$9, 100%, $E$9)</f>
        <v>103.2796</v>
      </c>
      <c r="T99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997" s="57">
        <f>(1000*CHOOSE(CONTROL!$C$42, 695, 695)*CHOOSE(CONTROL!$C$42, 0.5599, 0.5599)*CHOOSE(CONTROL!$C$42, 31, 31))/1000000</f>
        <v>12.063045499999998</v>
      </c>
      <c r="V997" s="57">
        <f>(1000*CHOOSE(CONTROL!$C$42, 500, 500)*CHOOSE(CONTROL!$C$42, 0.275, 0.275)*CHOOSE(CONTROL!$C$42, 31, 31))/1000000</f>
        <v>4.2625000000000002</v>
      </c>
      <c r="W997" s="57">
        <f>(1000*CHOOSE(CONTROL!$C$42, 0.1146, 0.1146)*CHOOSE(CONTROL!$C$42, 121.5, 121.5)*CHOOSE(CONTROL!$C$42, 31, 31))/1000000</f>
        <v>0.43164089999999994</v>
      </c>
      <c r="X997" s="57">
        <f>(31*0.1790888*100000/1000000)+(31*0.2374*100000/1000000)</f>
        <v>1.2911152800000001</v>
      </c>
      <c r="Y997" s="57"/>
      <c r="Z997" s="14"/>
      <c r="AA997" s="56"/>
      <c r="AB997" s="50">
        <f>(B997*122.58+C997*297.941+D997*89.177+E997*40.302+F997*40+G997*160+H997*0+I997*100+J997*300)/(122.58+297.941+89.177+40.302+0+40+160+100+300)</f>
        <v>106.36851396982608</v>
      </c>
      <c r="AC997" s="45">
        <f>(M997*'RAP TEMPLATE-GAS AVAILABILITY'!O996+N997*'RAP TEMPLATE-GAS AVAILABILITY'!P996+O997*'RAP TEMPLATE-GAS AVAILABILITY'!Q996+P997*'RAP TEMPLATE-GAS AVAILABILITY'!R996)/('RAP TEMPLATE-GAS AVAILABILITY'!O996+'RAP TEMPLATE-GAS AVAILABILITY'!P996+'RAP TEMPLATE-GAS AVAILABILITY'!Q996+'RAP TEMPLATE-GAS AVAILABILITY'!R996)</f>
        <v>105.33887769784174</v>
      </c>
    </row>
    <row r="998" spans="1:29" ht="15.75" x14ac:dyDescent="0.25">
      <c r="A998" s="32">
        <v>71283</v>
      </c>
      <c r="B998" s="14">
        <f>CHOOSE(CONTROL!$C$42, 108.2487, 108.2487) * CHOOSE(CONTROL!$C$21, $C$9, 100%, $E$9)</f>
        <v>108.2487</v>
      </c>
      <c r="C998" s="14">
        <f>CHOOSE(CONTROL!$C$42, 108.2536, 108.2536) * CHOOSE(CONTROL!$C$21, $C$9, 100%, $E$9)</f>
        <v>108.25360000000001</v>
      </c>
      <c r="D998" s="14">
        <f>CHOOSE(CONTROL!$C$42, 108.3179, 108.3179) * CHOOSE(CONTROL!$C$21, $C$9, 100%, $E$9)</f>
        <v>108.31789999999999</v>
      </c>
      <c r="E998" s="14">
        <f>CHOOSE(CONTROL!$C$42, 108.3517, 108.3517) * CHOOSE(CONTROL!$C$21, $C$9, 100%, $E$9)</f>
        <v>108.35169999999999</v>
      </c>
      <c r="F998" s="14">
        <f>CHOOSE(CONTROL!$C$42, 108.2503, 108.2503)*CHOOSE(CONTROL!$C$21, $C$9, 100%, $E$9)</f>
        <v>108.2503</v>
      </c>
      <c r="G998" s="14">
        <f>CHOOSE(CONTROL!$C$42, 108.2662, 108.2662)*CHOOSE(CONTROL!$C$21, $C$9, 100%, $E$9)</f>
        <v>108.2662</v>
      </c>
      <c r="H998" s="14">
        <f>CHOOSE(CONTROL!$C$42, 108.3409, 108.3409) * CHOOSE(CONTROL!$C$21, $C$9, 100%, $E$9)</f>
        <v>108.3409</v>
      </c>
      <c r="I998" s="14">
        <f>CHOOSE(CONTROL!$C$42, 108.2687, 108.2687)* CHOOSE(CONTROL!$C$21, $C$9, 100%, $E$9)</f>
        <v>108.2687</v>
      </c>
      <c r="J998" s="14">
        <f>CHOOSE(CONTROL!$C$42, 108.2433, 108.2433)* CHOOSE(CONTROL!$C$21, $C$9, 100%, $E$9)</f>
        <v>108.2433</v>
      </c>
      <c r="K998" s="53">
        <f>CHOOSE(CONTROL!$C$42, 108.2648, 108.2648) * CHOOSE(CONTROL!$C$21, $C$9, 100%, $E$9)</f>
        <v>108.26479999999999</v>
      </c>
      <c r="L998" s="14">
        <f>CHOOSE(CONTROL!$C$42, 108.9279, 108.9279) * CHOOSE(CONTROL!$C$21, $C$9, 100%, $E$9)</f>
        <v>108.92789999999999</v>
      </c>
      <c r="M998" s="14">
        <f>CHOOSE(CONTROL!$C$42, 107.1647, 107.1647) * CHOOSE(CONTROL!$C$21, $C$9, 100%, $E$9)</f>
        <v>107.1647</v>
      </c>
      <c r="N998" s="14">
        <f>CHOOSE(CONTROL!$C$42, 107.1805, 107.1805) * CHOOSE(CONTROL!$C$21, $C$9, 100%, $E$9)</f>
        <v>107.18049999999999</v>
      </c>
      <c r="O998" s="14">
        <f>CHOOSE(CONTROL!$C$42, 107.2614, 107.2614) * CHOOSE(CONTROL!$C$21, $C$9, 100%, $E$9)</f>
        <v>107.26139999999999</v>
      </c>
      <c r="P998" s="14">
        <f>CHOOSE(CONTROL!$C$42, 107.1899, 107.1899) * CHOOSE(CONTROL!$C$21, $C$9, 100%, $E$9)</f>
        <v>107.18989999999999</v>
      </c>
      <c r="Q998" s="14">
        <f>CHOOSE(CONTROL!$C$42, 107.8567, 107.8567) * CHOOSE(CONTROL!$C$21, $C$9, 100%, $E$9)</f>
        <v>107.8567</v>
      </c>
      <c r="R998" s="14">
        <f>CHOOSE(CONTROL!$C$42, 108.7133, 108.7133) * CHOOSE(CONTROL!$C$21, $C$9, 100%, $E$9)</f>
        <v>108.7133</v>
      </c>
      <c r="S998" s="14">
        <f>CHOOSE(CONTROL!$C$42, 105.1182, 105.1182) * CHOOSE(CONTROL!$C$21, $C$9, 100%, $E$9)</f>
        <v>105.1182</v>
      </c>
      <c r="T998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998" s="57">
        <f>(1000*CHOOSE(CONTROL!$C$42, 695, 695)*CHOOSE(CONTROL!$C$42, 0.5599, 0.5599)*CHOOSE(CONTROL!$C$42, 28, 28))/1000000</f>
        <v>10.895653999999999</v>
      </c>
      <c r="V998" s="57">
        <f>(1000*CHOOSE(CONTROL!$C$42, 500, 500)*CHOOSE(CONTROL!$C$42, 0.275, 0.275)*CHOOSE(CONTROL!$C$42, 28, 28))/1000000</f>
        <v>3.85</v>
      </c>
      <c r="W998" s="57">
        <f>(1000*CHOOSE(CONTROL!$C$42, 0.1146, 0.1146)*CHOOSE(CONTROL!$C$42, 121.5, 121.5)*CHOOSE(CONTROL!$C$42, 28, 28))/1000000</f>
        <v>0.38986920000000003</v>
      </c>
      <c r="X998" s="57">
        <f>(28*0.1790888*100000/1000000)+(28*0.2374*100000/1000000)</f>
        <v>1.16616864</v>
      </c>
      <c r="Y998" s="57"/>
      <c r="Z998" s="14"/>
      <c r="AA998" s="56"/>
      <c r="AB998" s="50">
        <f>(B998*122.58+C998*297.941+D998*89.177+E998*40.302+F998*40+G998*160+H998*0+I998*100+J998*300)/(122.58+297.941+89.177+40.302+0+40+160+100+300)</f>
        <v>108.26176614373914</v>
      </c>
      <c r="AC998" s="45">
        <f>(M998*'RAP TEMPLATE-GAS AVAILABILITY'!O997+N998*'RAP TEMPLATE-GAS AVAILABILITY'!P997+O998*'RAP TEMPLATE-GAS AVAILABILITY'!Q997+P998*'RAP TEMPLATE-GAS AVAILABILITY'!R997)/('RAP TEMPLATE-GAS AVAILABILITY'!O997+'RAP TEMPLATE-GAS AVAILABILITY'!P997+'RAP TEMPLATE-GAS AVAILABILITY'!Q997+'RAP TEMPLATE-GAS AVAILABILITY'!R997)</f>
        <v>107.21306330935252</v>
      </c>
    </row>
    <row r="999" spans="1:29" ht="15.75" x14ac:dyDescent="0.25">
      <c r="A999" s="32">
        <v>71314</v>
      </c>
      <c r="B999" s="14">
        <f>CHOOSE(CONTROL!$C$42, 105.1755, 105.1755) * CHOOSE(CONTROL!$C$21, $C$9, 100%, $E$9)</f>
        <v>105.1755</v>
      </c>
      <c r="C999" s="14">
        <f>CHOOSE(CONTROL!$C$42, 105.1805, 105.1805) * CHOOSE(CONTROL!$C$21, $C$9, 100%, $E$9)</f>
        <v>105.18049999999999</v>
      </c>
      <c r="D999" s="14">
        <f>CHOOSE(CONTROL!$C$42, 105.2447, 105.2447) * CHOOSE(CONTROL!$C$21, $C$9, 100%, $E$9)</f>
        <v>105.24469999999999</v>
      </c>
      <c r="E999" s="14">
        <f>CHOOSE(CONTROL!$C$42, 105.2785, 105.2785) * CHOOSE(CONTROL!$C$21, $C$9, 100%, $E$9)</f>
        <v>105.27849999999999</v>
      </c>
      <c r="F999" s="14">
        <f>CHOOSE(CONTROL!$C$42, 105.1768, 105.1768)*CHOOSE(CONTROL!$C$21, $C$9, 100%, $E$9)</f>
        <v>105.1768</v>
      </c>
      <c r="G999" s="14">
        <f>CHOOSE(CONTROL!$C$42, 105.1926, 105.1926)*CHOOSE(CONTROL!$C$21, $C$9, 100%, $E$9)</f>
        <v>105.1926</v>
      </c>
      <c r="H999" s="14">
        <f>CHOOSE(CONTROL!$C$42, 105.2677, 105.2677) * CHOOSE(CONTROL!$C$21, $C$9, 100%, $E$9)</f>
        <v>105.2677</v>
      </c>
      <c r="I999" s="14">
        <f>CHOOSE(CONTROL!$C$42, 105.1955, 105.1955)* CHOOSE(CONTROL!$C$21, $C$9, 100%, $E$9)</f>
        <v>105.1955</v>
      </c>
      <c r="J999" s="14">
        <f>CHOOSE(CONTROL!$C$42, 105.1698, 105.1698)* CHOOSE(CONTROL!$C$21, $C$9, 100%, $E$9)</f>
        <v>105.1698</v>
      </c>
      <c r="K999" s="53">
        <f>CHOOSE(CONTROL!$C$42, 105.1916, 105.1916) * CHOOSE(CONTROL!$C$21, $C$9, 100%, $E$9)</f>
        <v>105.19159999999999</v>
      </c>
      <c r="L999" s="14">
        <f>CHOOSE(CONTROL!$C$42, 105.8547, 105.8547) * CHOOSE(CONTROL!$C$21, $C$9, 100%, $E$9)</f>
        <v>105.85469999999999</v>
      </c>
      <c r="M999" s="14">
        <f>CHOOSE(CONTROL!$C$42, 104.1222, 104.1222) * CHOOSE(CONTROL!$C$21, $C$9, 100%, $E$9)</f>
        <v>104.12220000000001</v>
      </c>
      <c r="N999" s="14">
        <f>CHOOSE(CONTROL!$C$42, 104.1379, 104.1379) * CHOOSE(CONTROL!$C$21, $C$9, 100%, $E$9)</f>
        <v>104.1379</v>
      </c>
      <c r="O999" s="14">
        <f>CHOOSE(CONTROL!$C$42, 104.2192, 104.2192) * CHOOSE(CONTROL!$C$21, $C$9, 100%, $E$9)</f>
        <v>104.2192</v>
      </c>
      <c r="P999" s="14">
        <f>CHOOSE(CONTROL!$C$42, 104.1478, 104.1478) * CHOOSE(CONTROL!$C$21, $C$9, 100%, $E$9)</f>
        <v>104.1478</v>
      </c>
      <c r="Q999" s="14">
        <f>CHOOSE(CONTROL!$C$42, 104.8145, 104.8145) * CHOOSE(CONTROL!$C$21, $C$9, 100%, $E$9)</f>
        <v>104.8145</v>
      </c>
      <c r="R999" s="14">
        <f>CHOOSE(CONTROL!$C$42, 105.6635, 105.6635) * CHOOSE(CONTROL!$C$21, $C$9, 100%, $E$9)</f>
        <v>105.6635</v>
      </c>
      <c r="S999" s="14">
        <f>CHOOSE(CONTROL!$C$42, 102.1338, 102.1338) * CHOOSE(CONTROL!$C$21, $C$9, 100%, $E$9)</f>
        <v>102.13379999999999</v>
      </c>
      <c r="T99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999" s="57">
        <f>(1000*CHOOSE(CONTROL!$C$42, 695, 695)*CHOOSE(CONTROL!$C$42, 0.5599, 0.5599)*CHOOSE(CONTROL!$C$42, 31, 31))/1000000</f>
        <v>12.063045499999998</v>
      </c>
      <c r="V999" s="57">
        <f>(1000*CHOOSE(CONTROL!$C$42, 500, 500)*CHOOSE(CONTROL!$C$42, 0.275, 0.275)*CHOOSE(CONTROL!$C$42, 31, 31))/1000000</f>
        <v>4.2625000000000002</v>
      </c>
      <c r="W999" s="57">
        <f>(1000*CHOOSE(CONTROL!$C$42, 0.1146, 0.1146)*CHOOSE(CONTROL!$C$42, 121.5, 121.5)*CHOOSE(CONTROL!$C$42, 31, 31))/1000000</f>
        <v>0.43164089999999994</v>
      </c>
      <c r="X999" s="57">
        <f>(31*0.1790888*100000/1000000)+(31*0.2374*100000/1000000)</f>
        <v>1.2911152800000001</v>
      </c>
      <c r="Y999" s="57"/>
      <c r="Z999" s="14"/>
      <c r="AA999" s="56"/>
      <c r="AB999" s="50">
        <f>(B999*122.58+C999*297.941+D999*89.177+E999*40.302+F999*40+G999*160+H999*0+I999*100+J999*300)/(122.58+297.941+89.177+40.302+0+40+160+100+300)</f>
        <v>105.18844770382609</v>
      </c>
      <c r="AC999" s="45">
        <f>(M999*'RAP TEMPLATE-GAS AVAILABILITY'!O998+N999*'RAP TEMPLATE-GAS AVAILABILITY'!P998+O999*'RAP TEMPLATE-GAS AVAILABILITY'!Q998+P999*'RAP TEMPLATE-GAS AVAILABILITY'!R998)/('RAP TEMPLATE-GAS AVAILABILITY'!O998+'RAP TEMPLATE-GAS AVAILABILITY'!P998+'RAP TEMPLATE-GAS AVAILABILITY'!Q998+'RAP TEMPLATE-GAS AVAILABILITY'!R998)</f>
        <v>104.17075107913669</v>
      </c>
    </row>
    <row r="1000" spans="1:29" ht="15.75" x14ac:dyDescent="0.25">
      <c r="A1000" s="32">
        <v>71344</v>
      </c>
      <c r="B1000" s="14">
        <f>CHOOSE(CONTROL!$C$42, 104.8618, 104.8618) * CHOOSE(CONTROL!$C$21, $C$9, 100%, $E$9)</f>
        <v>104.8618</v>
      </c>
      <c r="C1000" s="14">
        <f>CHOOSE(CONTROL!$C$42, 104.8661, 104.8661) * CHOOSE(CONTROL!$C$21, $C$9, 100%, $E$9)</f>
        <v>104.8661</v>
      </c>
      <c r="D1000" s="14">
        <f>CHOOSE(CONTROL!$C$42, 105.0669, 105.0669) * CHOOSE(CONTROL!$C$21, $C$9, 100%, $E$9)</f>
        <v>105.0669</v>
      </c>
      <c r="E1000" s="14">
        <f>CHOOSE(CONTROL!$C$42, 105.0987, 105.0987) * CHOOSE(CONTROL!$C$21, $C$9, 100%, $E$9)</f>
        <v>105.09869999999999</v>
      </c>
      <c r="F1000" s="14">
        <f>CHOOSE(CONTROL!$C$42, 104.8464, 104.8464)*CHOOSE(CONTROL!$C$21, $C$9, 100%, $E$9)</f>
        <v>104.8464</v>
      </c>
      <c r="G1000" s="14">
        <f>CHOOSE(CONTROL!$C$42, 104.862, 104.862)*CHOOSE(CONTROL!$C$21, $C$9, 100%, $E$9)</f>
        <v>104.86199999999999</v>
      </c>
      <c r="H1000" s="14">
        <f>CHOOSE(CONTROL!$C$42, 105.0884, 105.0884) * CHOOSE(CONTROL!$C$21, $C$9, 100%, $E$9)</f>
        <v>105.08839999999999</v>
      </c>
      <c r="I1000" s="14">
        <f>CHOOSE(CONTROL!$C$42, 104.8745, 104.8745)* CHOOSE(CONTROL!$C$21, $C$9, 100%, $E$9)</f>
        <v>104.8745</v>
      </c>
      <c r="J1000" s="14">
        <f>CHOOSE(CONTROL!$C$42, 104.8394, 104.8394)* CHOOSE(CONTROL!$C$21, $C$9, 100%, $E$9)</f>
        <v>104.8394</v>
      </c>
      <c r="K1000" s="53">
        <f>CHOOSE(CONTROL!$C$42, 104.8706, 104.8706) * CHOOSE(CONTROL!$C$21, $C$9, 100%, $E$9)</f>
        <v>104.8706</v>
      </c>
      <c r="L1000" s="14">
        <f>CHOOSE(CONTROL!$C$42, 105.6754, 105.6754) * CHOOSE(CONTROL!$C$21, $C$9, 100%, $E$9)</f>
        <v>105.6754</v>
      </c>
      <c r="M1000" s="14">
        <f>CHOOSE(CONTROL!$C$42, 103.7952, 103.7952) * CHOOSE(CONTROL!$C$21, $C$9, 100%, $E$9)</f>
        <v>103.79519999999999</v>
      </c>
      <c r="N1000" s="14">
        <f>CHOOSE(CONTROL!$C$42, 103.8106, 103.8106) * CHOOSE(CONTROL!$C$21, $C$9, 100%, $E$9)</f>
        <v>103.81059999999999</v>
      </c>
      <c r="O1000" s="14">
        <f>CHOOSE(CONTROL!$C$42, 104.0417, 104.0417) * CHOOSE(CONTROL!$C$21, $C$9, 100%, $E$9)</f>
        <v>104.04170000000001</v>
      </c>
      <c r="P1000" s="14">
        <f>CHOOSE(CONTROL!$C$42, 103.83, 103.83) * CHOOSE(CONTROL!$C$21, $C$9, 100%, $E$9)</f>
        <v>103.83</v>
      </c>
      <c r="Q1000" s="14">
        <f>CHOOSE(CONTROL!$C$42, 104.637, 104.637) * CHOOSE(CONTROL!$C$21, $C$9, 100%, $E$9)</f>
        <v>104.637</v>
      </c>
      <c r="R1000" s="14">
        <f>CHOOSE(CONTROL!$C$42, 105.4856, 105.4856) * CHOOSE(CONTROL!$C$21, $C$9, 100%, $E$9)</f>
        <v>105.48560000000001</v>
      </c>
      <c r="S1000" s="14">
        <f>CHOOSE(CONTROL!$C$42, 101.8284, 101.8284) * CHOOSE(CONTROL!$C$21, $C$9, 100%, $E$9)</f>
        <v>101.8284</v>
      </c>
      <c r="T100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00" s="57">
        <f>(1000*CHOOSE(CONTROL!$C$42, 695, 695)*CHOOSE(CONTROL!$C$42, 0.5599, 0.5599)*CHOOSE(CONTROL!$C$42, 30, 30))/1000000</f>
        <v>11.673914999999997</v>
      </c>
      <c r="V1000" s="57">
        <f>(1000*CHOOSE(CONTROL!$C$42, 500, 500)*CHOOSE(CONTROL!$C$42, 0.275, 0.275)*CHOOSE(CONTROL!$C$42, 30, 30))/1000000</f>
        <v>4.125</v>
      </c>
      <c r="W1000" s="57">
        <f>(1000*CHOOSE(CONTROL!$C$42, 0.1146, 0.1146)*CHOOSE(CONTROL!$C$42, 121.5, 121.5)*CHOOSE(CONTROL!$C$42, 30, 30))/1000000</f>
        <v>0.417717</v>
      </c>
      <c r="X1000" s="57">
        <f>(30*0.1790888*245000/1000000)+(30*0.2374*100000/1000000)</f>
        <v>2.0285026799999999</v>
      </c>
      <c r="Y1000" s="57"/>
      <c r="Z1000" s="14"/>
      <c r="AA1000" s="56"/>
      <c r="AB1000" s="50">
        <f>(B1000*141.293+C1000*267.993+D1000*115.016+E1000*89.698+F1000*40+G1000*185+H1000*0+I1000*100+J1000*300)/(141.293+267.993+115.016+89.698+0+40+185+100+300)</f>
        <v>104.89405392066182</v>
      </c>
      <c r="AC1000" s="45">
        <f>(M1000*'RAP TEMPLATE-GAS AVAILABILITY'!O999+N1000*'RAP TEMPLATE-GAS AVAILABILITY'!P999+O1000*'RAP TEMPLATE-GAS AVAILABILITY'!Q999+P1000*'RAP TEMPLATE-GAS AVAILABILITY'!R999)/('RAP TEMPLATE-GAS AVAILABILITY'!O999+'RAP TEMPLATE-GAS AVAILABILITY'!P999+'RAP TEMPLATE-GAS AVAILABILITY'!Q999+'RAP TEMPLATE-GAS AVAILABILITY'!R999)</f>
        <v>103.91281654676258</v>
      </c>
    </row>
    <row r="1001" spans="1:29" ht="15.75" x14ac:dyDescent="0.25">
      <c r="A1001" s="32">
        <v>71375</v>
      </c>
      <c r="B1001" s="14">
        <f>CHOOSE(CONTROL!$C$42, 105.7887, 105.7887) * CHOOSE(CONTROL!$C$21, $C$9, 100%, $E$9)</f>
        <v>105.78870000000001</v>
      </c>
      <c r="C1001" s="14">
        <f>CHOOSE(CONTROL!$C$42, 105.7966, 105.7966) * CHOOSE(CONTROL!$C$21, $C$9, 100%, $E$9)</f>
        <v>105.7966</v>
      </c>
      <c r="D1001" s="14">
        <f>CHOOSE(CONTROL!$C$42, 105.9942, 105.9942) * CHOOSE(CONTROL!$C$21, $C$9, 100%, $E$9)</f>
        <v>105.99420000000001</v>
      </c>
      <c r="E1001" s="14">
        <f>CHOOSE(CONTROL!$C$42, 106.0253, 106.0253) * CHOOSE(CONTROL!$C$21, $C$9, 100%, $E$9)</f>
        <v>106.0253</v>
      </c>
      <c r="F1001" s="14">
        <f>CHOOSE(CONTROL!$C$42, 105.7721, 105.7721)*CHOOSE(CONTROL!$C$21, $C$9, 100%, $E$9)</f>
        <v>105.77209999999999</v>
      </c>
      <c r="G1001" s="14">
        <f>CHOOSE(CONTROL!$C$42, 105.7882, 105.7882)*CHOOSE(CONTROL!$C$21, $C$9, 100%, $E$9)</f>
        <v>105.7882</v>
      </c>
      <c r="H1001" s="14">
        <f>CHOOSE(CONTROL!$C$42, 106.0139, 106.0139) * CHOOSE(CONTROL!$C$21, $C$9, 100%, $E$9)</f>
        <v>106.01390000000001</v>
      </c>
      <c r="I1001" s="14">
        <f>CHOOSE(CONTROL!$C$42, 105.8, 105.8)* CHOOSE(CONTROL!$C$21, $C$9, 100%, $E$9)</f>
        <v>105.8</v>
      </c>
      <c r="J1001" s="14">
        <f>CHOOSE(CONTROL!$C$42, 105.7651, 105.7651)* CHOOSE(CONTROL!$C$21, $C$9, 100%, $E$9)</f>
        <v>105.7651</v>
      </c>
      <c r="K1001" s="53">
        <f>CHOOSE(CONTROL!$C$42, 105.7961, 105.7961) * CHOOSE(CONTROL!$C$21, $C$9, 100%, $E$9)</f>
        <v>105.7961</v>
      </c>
      <c r="L1001" s="14">
        <f>CHOOSE(CONTROL!$C$42, 106.6009, 106.6009) * CHOOSE(CONTROL!$C$21, $C$9, 100%, $E$9)</f>
        <v>106.6009</v>
      </c>
      <c r="M1001" s="14">
        <f>CHOOSE(CONTROL!$C$42, 104.7116, 104.7116) * CHOOSE(CONTROL!$C$21, $C$9, 100%, $E$9)</f>
        <v>104.7116</v>
      </c>
      <c r="N1001" s="14">
        <f>CHOOSE(CONTROL!$C$42, 104.7275, 104.7275) * CHOOSE(CONTROL!$C$21, $C$9, 100%, $E$9)</f>
        <v>104.72750000000001</v>
      </c>
      <c r="O1001" s="14">
        <f>CHOOSE(CONTROL!$C$42, 104.9579, 104.9579) * CHOOSE(CONTROL!$C$21, $C$9, 100%, $E$9)</f>
        <v>104.9579</v>
      </c>
      <c r="P1001" s="14">
        <f>CHOOSE(CONTROL!$C$42, 104.7462, 104.7462) * CHOOSE(CONTROL!$C$21, $C$9, 100%, $E$9)</f>
        <v>104.7462</v>
      </c>
      <c r="Q1001" s="14">
        <f>CHOOSE(CONTROL!$C$42, 105.5532, 105.5532) * CHOOSE(CONTROL!$C$21, $C$9, 100%, $E$9)</f>
        <v>105.5532</v>
      </c>
      <c r="R1001" s="14">
        <f>CHOOSE(CONTROL!$C$42, 106.4041, 106.4041) * CHOOSE(CONTROL!$C$21, $C$9, 100%, $E$9)</f>
        <v>106.4041</v>
      </c>
      <c r="S1001" s="14">
        <f>CHOOSE(CONTROL!$C$42, 102.7271, 102.7271) * CHOOSE(CONTROL!$C$21, $C$9, 100%, $E$9)</f>
        <v>102.72709999999999</v>
      </c>
      <c r="T100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01" s="57">
        <f>(1000*CHOOSE(CONTROL!$C$42, 695, 695)*CHOOSE(CONTROL!$C$42, 0.5599, 0.5599)*CHOOSE(CONTROL!$C$42, 31, 31))/1000000</f>
        <v>12.063045499999998</v>
      </c>
      <c r="V1001" s="57">
        <f>(1000*CHOOSE(CONTROL!$C$42, 500, 500)*CHOOSE(CONTROL!$C$42, 0.275, 0.275)*CHOOSE(CONTROL!$C$42, 31, 31))/1000000</f>
        <v>4.2625000000000002</v>
      </c>
      <c r="W1001" s="57">
        <f>(1000*CHOOSE(CONTROL!$C$42, 0.1146, 0.1146)*CHOOSE(CONTROL!$C$42, 121.5, 121.5)*CHOOSE(CONTROL!$C$42, 31, 31))/1000000</f>
        <v>0.43164089999999994</v>
      </c>
      <c r="X1001" s="57">
        <f>(31*0.1790888*245000/1000000)+(31*0.2374*100000/1000000)</f>
        <v>2.0961194359999999</v>
      </c>
      <c r="Y1001" s="57"/>
      <c r="Z1001" s="14"/>
      <c r="AA1001" s="56"/>
      <c r="AB1001" s="50">
        <f>(B1001*194.205+C1001*267.466+D1001*133.845+E1001*53.484+F1001*40+G1001*185+H1001*0+I1001*100+J1001*300)/(194.205+267.466+133.845+53.484+0+40+185+100+300)</f>
        <v>105.81661675298275</v>
      </c>
      <c r="AC1001" s="45">
        <f>(M1001*'RAP TEMPLATE-GAS AVAILABILITY'!O1000+N1001*'RAP TEMPLATE-GAS AVAILABILITY'!P1000+O1001*'RAP TEMPLATE-GAS AVAILABILITY'!Q1000+P1001*'RAP TEMPLATE-GAS AVAILABILITY'!R1000)/('RAP TEMPLATE-GAS AVAILABILITY'!O1000+'RAP TEMPLATE-GAS AVAILABILITY'!P1000+'RAP TEMPLATE-GAS AVAILABILITY'!Q1000+'RAP TEMPLATE-GAS AVAILABILITY'!R1000)</f>
        <v>104.82912589928057</v>
      </c>
    </row>
    <row r="1002" spans="1:29" ht="15.75" x14ac:dyDescent="0.25">
      <c r="A1002" s="32">
        <v>71405</v>
      </c>
      <c r="B1002" s="14">
        <f>CHOOSE(CONTROL!$C$42, 108.7894, 108.7894) * CHOOSE(CONTROL!$C$21, $C$9, 100%, $E$9)</f>
        <v>108.7894</v>
      </c>
      <c r="C1002" s="14">
        <f>CHOOSE(CONTROL!$C$42, 108.7973, 108.7973) * CHOOSE(CONTROL!$C$21, $C$9, 100%, $E$9)</f>
        <v>108.79730000000001</v>
      </c>
      <c r="D1002" s="14">
        <f>CHOOSE(CONTROL!$C$42, 108.9949, 108.9949) * CHOOSE(CONTROL!$C$21, $C$9, 100%, $E$9)</f>
        <v>108.9949</v>
      </c>
      <c r="E1002" s="14">
        <f>CHOOSE(CONTROL!$C$42, 109.026, 109.026) * CHOOSE(CONTROL!$C$21, $C$9, 100%, $E$9)</f>
        <v>109.026</v>
      </c>
      <c r="F1002" s="14">
        <f>CHOOSE(CONTROL!$C$42, 108.7732, 108.7732)*CHOOSE(CONTROL!$C$21, $C$9, 100%, $E$9)</f>
        <v>108.7732</v>
      </c>
      <c r="G1002" s="14">
        <f>CHOOSE(CONTROL!$C$42, 108.7894, 108.7894)*CHOOSE(CONTROL!$C$21, $C$9, 100%, $E$9)</f>
        <v>108.7894</v>
      </c>
      <c r="H1002" s="14">
        <f>CHOOSE(CONTROL!$C$42, 109.0146, 109.0146) * CHOOSE(CONTROL!$C$21, $C$9, 100%, $E$9)</f>
        <v>109.0146</v>
      </c>
      <c r="I1002" s="14">
        <f>CHOOSE(CONTROL!$C$42, 108.8007, 108.8007)* CHOOSE(CONTROL!$C$21, $C$9, 100%, $E$9)</f>
        <v>108.80070000000001</v>
      </c>
      <c r="J1002" s="14">
        <f>CHOOSE(CONTROL!$C$42, 108.7662, 108.7662)* CHOOSE(CONTROL!$C$21, $C$9, 100%, $E$9)</f>
        <v>108.7662</v>
      </c>
      <c r="K1002" s="53">
        <f>CHOOSE(CONTROL!$C$42, 108.7968, 108.7968) * CHOOSE(CONTROL!$C$21, $C$9, 100%, $E$9)</f>
        <v>108.7968</v>
      </c>
      <c r="L1002" s="14">
        <f>CHOOSE(CONTROL!$C$42, 109.6016, 109.6016) * CHOOSE(CONTROL!$C$21, $C$9, 100%, $E$9)</f>
        <v>109.6016</v>
      </c>
      <c r="M1002" s="14">
        <f>CHOOSE(CONTROL!$C$42, 107.6824, 107.6824) * CHOOSE(CONTROL!$C$21, $C$9, 100%, $E$9)</f>
        <v>107.6824</v>
      </c>
      <c r="N1002" s="14">
        <f>CHOOSE(CONTROL!$C$42, 107.6984, 107.6984) * CHOOSE(CONTROL!$C$21, $C$9, 100%, $E$9)</f>
        <v>107.69840000000001</v>
      </c>
      <c r="O1002" s="14">
        <f>CHOOSE(CONTROL!$C$42, 107.9283, 107.9283) * CHOOSE(CONTROL!$C$21, $C$9, 100%, $E$9)</f>
        <v>107.92829999999999</v>
      </c>
      <c r="P1002" s="14">
        <f>CHOOSE(CONTROL!$C$42, 107.7166, 107.7166) * CHOOSE(CONTROL!$C$21, $C$9, 100%, $E$9)</f>
        <v>107.7166</v>
      </c>
      <c r="Q1002" s="14">
        <f>CHOOSE(CONTROL!$C$42, 108.5236, 108.5236) * CHOOSE(CONTROL!$C$21, $C$9, 100%, $E$9)</f>
        <v>108.5236</v>
      </c>
      <c r="R1002" s="14">
        <f>CHOOSE(CONTROL!$C$42, 109.3819, 109.3819) * CHOOSE(CONTROL!$C$21, $C$9, 100%, $E$9)</f>
        <v>109.3819</v>
      </c>
      <c r="S1002" s="14">
        <f>CHOOSE(CONTROL!$C$42, 105.6411, 105.6411) * CHOOSE(CONTROL!$C$21, $C$9, 100%, $E$9)</f>
        <v>105.64109999999999</v>
      </c>
      <c r="T100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02" s="57">
        <f>(1000*CHOOSE(CONTROL!$C$42, 695, 695)*CHOOSE(CONTROL!$C$42, 0.5599, 0.5599)*CHOOSE(CONTROL!$C$42, 30, 30))/1000000</f>
        <v>11.673914999999997</v>
      </c>
      <c r="V1002" s="57">
        <f>(1000*CHOOSE(CONTROL!$C$42, 500, 500)*CHOOSE(CONTROL!$C$42, 0.275, 0.275)*CHOOSE(CONTROL!$C$42, 30, 30))/1000000</f>
        <v>4.125</v>
      </c>
      <c r="W1002" s="57">
        <f>(1000*CHOOSE(CONTROL!$C$42, 0.1146, 0.1146)*CHOOSE(CONTROL!$C$42, 121.5, 121.5)*CHOOSE(CONTROL!$C$42, 30, 30))/1000000</f>
        <v>0.417717</v>
      </c>
      <c r="X1002" s="57">
        <f>(30*0.1790888*245000/1000000)+(30*0.2374*100000/1000000)</f>
        <v>2.0285026799999999</v>
      </c>
      <c r="Y1002" s="57"/>
      <c r="Z1002" s="14"/>
      <c r="AA1002" s="56"/>
      <c r="AB1002" s="50">
        <f>(B1002*194.205+C1002*267.466+D1002*133.845+E1002*53.484+F1002*40+G1002*185+H1002*0+I1002*100+J1002*300)/(194.205+267.466+133.845+53.484+0+40+185+100+300)</f>
        <v>108.81749610934068</v>
      </c>
      <c r="AC1002" s="45">
        <f>(M1002*'RAP TEMPLATE-GAS AVAILABILITY'!O1001+N1002*'RAP TEMPLATE-GAS AVAILABILITY'!P1001+O1002*'RAP TEMPLATE-GAS AVAILABILITY'!Q1001+P1002*'RAP TEMPLATE-GAS AVAILABILITY'!R1001)/('RAP TEMPLATE-GAS AVAILABILITY'!O1001+'RAP TEMPLATE-GAS AVAILABILITY'!P1001+'RAP TEMPLATE-GAS AVAILABILITY'!Q1001+'RAP TEMPLATE-GAS AVAILABILITY'!R1001)</f>
        <v>107.7996928057554</v>
      </c>
    </row>
    <row r="1003" spans="1:29" ht="15.75" x14ac:dyDescent="0.25">
      <c r="A1003" s="32">
        <v>71436</v>
      </c>
      <c r="B1003" s="14">
        <f>CHOOSE(CONTROL!$C$42, 106.7024, 106.7024) * CHOOSE(CONTROL!$C$21, $C$9, 100%, $E$9)</f>
        <v>106.7024</v>
      </c>
      <c r="C1003" s="14">
        <f>CHOOSE(CONTROL!$C$42, 106.7103, 106.7103) * CHOOSE(CONTROL!$C$21, $C$9, 100%, $E$9)</f>
        <v>106.7103</v>
      </c>
      <c r="D1003" s="14">
        <f>CHOOSE(CONTROL!$C$42, 106.9079, 106.9079) * CHOOSE(CONTROL!$C$21, $C$9, 100%, $E$9)</f>
        <v>106.9079</v>
      </c>
      <c r="E1003" s="14">
        <f>CHOOSE(CONTROL!$C$42, 106.939, 106.939) * CHOOSE(CONTROL!$C$21, $C$9, 100%, $E$9)</f>
        <v>106.93899999999999</v>
      </c>
      <c r="F1003" s="14">
        <f>CHOOSE(CONTROL!$C$42, 106.6866, 106.6866)*CHOOSE(CONTROL!$C$21, $C$9, 100%, $E$9)</f>
        <v>106.6866</v>
      </c>
      <c r="G1003" s="14">
        <f>CHOOSE(CONTROL!$C$42, 106.7029, 106.7029)*CHOOSE(CONTROL!$C$21, $C$9, 100%, $E$9)</f>
        <v>106.7029</v>
      </c>
      <c r="H1003" s="14">
        <f>CHOOSE(CONTROL!$C$42, 106.9276, 106.9276) * CHOOSE(CONTROL!$C$21, $C$9, 100%, $E$9)</f>
        <v>106.9276</v>
      </c>
      <c r="I1003" s="14">
        <f>CHOOSE(CONTROL!$C$42, 106.7137, 106.7137)* CHOOSE(CONTROL!$C$21, $C$9, 100%, $E$9)</f>
        <v>106.7137</v>
      </c>
      <c r="J1003" s="14">
        <f>CHOOSE(CONTROL!$C$42, 106.6796, 106.6796)* CHOOSE(CONTROL!$C$21, $C$9, 100%, $E$9)</f>
        <v>106.67959999999999</v>
      </c>
      <c r="K1003" s="53">
        <f>CHOOSE(CONTROL!$C$42, 106.7098, 106.7098) * CHOOSE(CONTROL!$C$21, $C$9, 100%, $E$9)</f>
        <v>106.7098</v>
      </c>
      <c r="L1003" s="14">
        <f>CHOOSE(CONTROL!$C$42, 107.5146, 107.5146) * CHOOSE(CONTROL!$C$21, $C$9, 100%, $E$9)</f>
        <v>107.5146</v>
      </c>
      <c r="M1003" s="14">
        <f>CHOOSE(CONTROL!$C$42, 105.6169, 105.6169) * CHOOSE(CONTROL!$C$21, $C$9, 100%, $E$9)</f>
        <v>105.6169</v>
      </c>
      <c r="N1003" s="14">
        <f>CHOOSE(CONTROL!$C$42, 105.633, 105.633) * CHOOSE(CONTROL!$C$21, $C$9, 100%, $E$9)</f>
        <v>105.633</v>
      </c>
      <c r="O1003" s="14">
        <f>CHOOSE(CONTROL!$C$42, 105.8624, 105.8624) * CHOOSE(CONTROL!$C$21, $C$9, 100%, $E$9)</f>
        <v>105.86239999999999</v>
      </c>
      <c r="P1003" s="14">
        <f>CHOOSE(CONTROL!$C$42, 105.6507, 105.6507) * CHOOSE(CONTROL!$C$21, $C$9, 100%, $E$9)</f>
        <v>105.6507</v>
      </c>
      <c r="Q1003" s="14">
        <f>CHOOSE(CONTROL!$C$42, 106.4577, 106.4577) * CHOOSE(CONTROL!$C$21, $C$9, 100%, $E$9)</f>
        <v>106.4577</v>
      </c>
      <c r="R1003" s="14">
        <f>CHOOSE(CONTROL!$C$42, 107.3108, 107.3108) * CHOOSE(CONTROL!$C$21, $C$9, 100%, $E$9)</f>
        <v>107.3108</v>
      </c>
      <c r="S1003" s="14">
        <f>CHOOSE(CONTROL!$C$42, 103.6144, 103.6144) * CHOOSE(CONTROL!$C$21, $C$9, 100%, $E$9)</f>
        <v>103.6144</v>
      </c>
      <c r="T100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03" s="57">
        <f>(1000*CHOOSE(CONTROL!$C$42, 695, 695)*CHOOSE(CONTROL!$C$42, 0.5599, 0.5599)*CHOOSE(CONTROL!$C$42, 31, 31))/1000000</f>
        <v>12.063045499999998</v>
      </c>
      <c r="V1003" s="57">
        <f>(1000*CHOOSE(CONTROL!$C$42, 500, 500)*CHOOSE(CONTROL!$C$42, 0.275, 0.275)*CHOOSE(CONTROL!$C$42, 31, 31))/1000000</f>
        <v>4.2625000000000002</v>
      </c>
      <c r="W1003" s="57">
        <f>(1000*CHOOSE(CONTROL!$C$42, 0.1146, 0.1146)*CHOOSE(CONTROL!$C$42, 121.5, 121.5)*CHOOSE(CONTROL!$C$42, 31, 31))/1000000</f>
        <v>0.43164089999999994</v>
      </c>
      <c r="X1003" s="57">
        <f>(31*0.1790888*245000/1000000)+(31*0.2374*100000/1000000)</f>
        <v>2.0961194359999999</v>
      </c>
      <c r="Y1003" s="57"/>
      <c r="Z1003" s="14"/>
      <c r="AA1003" s="56"/>
      <c r="AB1003" s="50">
        <f>(B1003*194.205+C1003*267.466+D1003*133.845+E1003*53.484+F1003*40+G1003*185+H1003*0+I1003*100+J1003*300)/(194.205+267.466+133.845+53.484+0+40+185+100+300)</f>
        <v>106.73067546569857</v>
      </c>
      <c r="AC1003" s="45">
        <f>(M1003*'RAP TEMPLATE-GAS AVAILABILITY'!O1002+N1003*'RAP TEMPLATE-GAS AVAILABILITY'!P1002+O1003*'RAP TEMPLATE-GAS AVAILABILITY'!Q1002+P1003*'RAP TEMPLATE-GAS AVAILABILITY'!R1002)/('RAP TEMPLATE-GAS AVAILABILITY'!O1002+'RAP TEMPLATE-GAS AVAILABILITY'!P1002+'RAP TEMPLATE-GAS AVAILABILITY'!Q1002+'RAP TEMPLATE-GAS AVAILABILITY'!R1002)</f>
        <v>105.73395971223019</v>
      </c>
    </row>
    <row r="1004" spans="1:29" ht="15.75" x14ac:dyDescent="0.25">
      <c r="A1004" s="32">
        <v>71467</v>
      </c>
      <c r="B1004" s="14">
        <f>CHOOSE(CONTROL!$C$42, 101.432, 101.432) * CHOOSE(CONTROL!$C$21, $C$9, 100%, $E$9)</f>
        <v>101.432</v>
      </c>
      <c r="C1004" s="14">
        <f>CHOOSE(CONTROL!$C$42, 101.4399, 101.4399) * CHOOSE(CONTROL!$C$21, $C$9, 100%, $E$9)</f>
        <v>101.43989999999999</v>
      </c>
      <c r="D1004" s="14">
        <f>CHOOSE(CONTROL!$C$42, 101.6375, 101.6375) * CHOOSE(CONTROL!$C$21, $C$9, 100%, $E$9)</f>
        <v>101.6375</v>
      </c>
      <c r="E1004" s="14">
        <f>CHOOSE(CONTROL!$C$42, 101.6687, 101.6687) * CHOOSE(CONTROL!$C$21, $C$9, 100%, $E$9)</f>
        <v>101.6687</v>
      </c>
      <c r="F1004" s="14">
        <f>CHOOSE(CONTROL!$C$42, 101.4165, 101.4165)*CHOOSE(CONTROL!$C$21, $C$9, 100%, $E$9)</f>
        <v>101.4165</v>
      </c>
      <c r="G1004" s="14">
        <f>CHOOSE(CONTROL!$C$42, 101.4328, 101.4328)*CHOOSE(CONTROL!$C$21, $C$9, 100%, $E$9)</f>
        <v>101.4328</v>
      </c>
      <c r="H1004" s="14">
        <f>CHOOSE(CONTROL!$C$42, 101.6573, 101.6573) * CHOOSE(CONTROL!$C$21, $C$9, 100%, $E$9)</f>
        <v>101.65730000000001</v>
      </c>
      <c r="I1004" s="14">
        <f>CHOOSE(CONTROL!$C$42, 101.4434, 101.4434)* CHOOSE(CONTROL!$C$21, $C$9, 100%, $E$9)</f>
        <v>101.4434</v>
      </c>
      <c r="J1004" s="14">
        <f>CHOOSE(CONTROL!$C$42, 101.4095, 101.4095)* CHOOSE(CONTROL!$C$21, $C$9, 100%, $E$9)</f>
        <v>101.40949999999999</v>
      </c>
      <c r="K1004" s="53">
        <f>CHOOSE(CONTROL!$C$42, 101.4395, 101.4395) * CHOOSE(CONTROL!$C$21, $C$9, 100%, $E$9)</f>
        <v>101.4395</v>
      </c>
      <c r="L1004" s="14">
        <f>CHOOSE(CONTROL!$C$42, 102.2443, 102.2443) * CHOOSE(CONTROL!$C$21, $C$9, 100%, $E$9)</f>
        <v>102.2443</v>
      </c>
      <c r="M1004" s="14">
        <f>CHOOSE(CONTROL!$C$42, 100.3999, 100.3999) * CHOOSE(CONTROL!$C$21, $C$9, 100%, $E$9)</f>
        <v>100.3999</v>
      </c>
      <c r="N1004" s="14">
        <f>CHOOSE(CONTROL!$C$42, 100.4161, 100.4161) * CHOOSE(CONTROL!$C$21, $C$9, 100%, $E$9)</f>
        <v>100.4161</v>
      </c>
      <c r="O1004" s="14">
        <f>CHOOSE(CONTROL!$C$42, 100.6452, 100.6452) * CHOOSE(CONTROL!$C$21, $C$9, 100%, $E$9)</f>
        <v>100.6452</v>
      </c>
      <c r="P1004" s="14">
        <f>CHOOSE(CONTROL!$C$42, 100.4335, 100.4335) * CHOOSE(CONTROL!$C$21, $C$9, 100%, $E$9)</f>
        <v>100.4335</v>
      </c>
      <c r="Q1004" s="14">
        <f>CHOOSE(CONTROL!$C$42, 101.2405, 101.2405) * CHOOSE(CONTROL!$C$21, $C$9, 100%, $E$9)</f>
        <v>101.2405</v>
      </c>
      <c r="R1004" s="14">
        <f>CHOOSE(CONTROL!$C$42, 102.0806, 102.0806) * CHOOSE(CONTROL!$C$21, $C$9, 100%, $E$9)</f>
        <v>102.0806</v>
      </c>
      <c r="S1004" s="14">
        <f>CHOOSE(CONTROL!$C$42, 98.4964, 98.4964) * CHOOSE(CONTROL!$C$21, $C$9, 100%, $E$9)</f>
        <v>98.496399999999994</v>
      </c>
      <c r="T100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04" s="57">
        <f>(1000*CHOOSE(CONTROL!$C$42, 695, 695)*CHOOSE(CONTROL!$C$42, 0.5599, 0.5599)*CHOOSE(CONTROL!$C$42, 31, 31))/1000000</f>
        <v>12.063045499999998</v>
      </c>
      <c r="V1004" s="57">
        <f>(1000*CHOOSE(CONTROL!$C$42, 500, 500)*CHOOSE(CONTROL!$C$42, 0.275, 0.275)*CHOOSE(CONTROL!$C$42, 31, 31))/1000000</f>
        <v>4.2625000000000002</v>
      </c>
      <c r="W1004" s="57">
        <f>(1000*CHOOSE(CONTROL!$C$42, 0.1146, 0.1146)*CHOOSE(CONTROL!$C$42, 121.5, 121.5)*CHOOSE(CONTROL!$C$42, 31, 31))/1000000</f>
        <v>0.43164089999999994</v>
      </c>
      <c r="X1004" s="57">
        <f>(31*0.1790888*245000/1000000)+(31*0.2374*100000/1000000)</f>
        <v>2.0961194359999999</v>
      </c>
      <c r="Y1004" s="57"/>
      <c r="Z1004" s="14"/>
      <c r="AA1004" s="56"/>
      <c r="AB1004" s="50">
        <f>(B1004*194.205+C1004*267.466+D1004*133.845+E1004*53.484+F1004*40+G1004*185+H1004*0+I1004*100+J1004*300)/(194.205+267.466+133.845+53.484+0+40+185+100+300)</f>
        <v>101.46041113948195</v>
      </c>
      <c r="AC1004" s="45">
        <f>(M1004*'RAP TEMPLATE-GAS AVAILABILITY'!O1003+N1004*'RAP TEMPLATE-GAS AVAILABILITY'!P1003+O1004*'RAP TEMPLATE-GAS AVAILABILITY'!Q1003+P1004*'RAP TEMPLATE-GAS AVAILABILITY'!R1003)/('RAP TEMPLATE-GAS AVAILABILITY'!O1003+'RAP TEMPLATE-GAS AVAILABILITY'!P1003+'RAP TEMPLATE-GAS AVAILABILITY'!Q1003+'RAP TEMPLATE-GAS AVAILABILITY'!R1003)</f>
        <v>100.51684604316549</v>
      </c>
    </row>
    <row r="1005" spans="1:29" ht="15.75" x14ac:dyDescent="0.25">
      <c r="A1005" s="32">
        <v>71497</v>
      </c>
      <c r="B1005" s="14">
        <f>CHOOSE(CONTROL!$C$42, 94.9923, 94.9923) * CHOOSE(CONTROL!$C$21, $C$9, 100%, $E$9)</f>
        <v>94.9923</v>
      </c>
      <c r="C1005" s="14">
        <f>CHOOSE(CONTROL!$C$42, 95.0002, 95.0002) * CHOOSE(CONTROL!$C$21, $C$9, 100%, $E$9)</f>
        <v>95.000200000000007</v>
      </c>
      <c r="D1005" s="14">
        <f>CHOOSE(CONTROL!$C$42, 95.1978, 95.1978) * CHOOSE(CONTROL!$C$21, $C$9, 100%, $E$9)</f>
        <v>95.197800000000001</v>
      </c>
      <c r="E1005" s="14">
        <f>CHOOSE(CONTROL!$C$42, 95.2289, 95.2289) * CHOOSE(CONTROL!$C$21, $C$9, 100%, $E$9)</f>
        <v>95.228899999999996</v>
      </c>
      <c r="F1005" s="14">
        <f>CHOOSE(CONTROL!$C$42, 94.9766, 94.9766)*CHOOSE(CONTROL!$C$21, $C$9, 100%, $E$9)</f>
        <v>94.976600000000005</v>
      </c>
      <c r="G1005" s="14">
        <f>CHOOSE(CONTROL!$C$42, 94.993, 94.993)*CHOOSE(CONTROL!$C$21, $C$9, 100%, $E$9)</f>
        <v>94.992999999999995</v>
      </c>
      <c r="H1005" s="14">
        <f>CHOOSE(CONTROL!$C$42, 95.2175, 95.2175) * CHOOSE(CONTROL!$C$21, $C$9, 100%, $E$9)</f>
        <v>95.217500000000001</v>
      </c>
      <c r="I1005" s="14">
        <f>CHOOSE(CONTROL!$C$42, 95.0036, 95.0036)* CHOOSE(CONTROL!$C$21, $C$9, 100%, $E$9)</f>
        <v>95.003600000000006</v>
      </c>
      <c r="J1005" s="14">
        <f>CHOOSE(CONTROL!$C$42, 94.9696, 94.9696)* CHOOSE(CONTROL!$C$21, $C$9, 100%, $E$9)</f>
        <v>94.9696</v>
      </c>
      <c r="K1005" s="53">
        <f>CHOOSE(CONTROL!$C$42, 94.9997, 94.9997) * CHOOSE(CONTROL!$C$21, $C$9, 100%, $E$9)</f>
        <v>94.999700000000004</v>
      </c>
      <c r="L1005" s="14">
        <f>CHOOSE(CONTROL!$C$42, 95.8045, 95.8045) * CHOOSE(CONTROL!$C$21, $C$9, 100%, $E$9)</f>
        <v>95.804500000000004</v>
      </c>
      <c r="M1005" s="14">
        <f>CHOOSE(CONTROL!$C$42, 94.0251, 94.0251) * CHOOSE(CONTROL!$C$21, $C$9, 100%, $E$9)</f>
        <v>94.025099999999995</v>
      </c>
      <c r="N1005" s="14">
        <f>CHOOSE(CONTROL!$C$42, 94.0412, 94.0412) * CHOOSE(CONTROL!$C$21, $C$9, 100%, $E$9)</f>
        <v>94.041200000000003</v>
      </c>
      <c r="O1005" s="14">
        <f>CHOOSE(CONTROL!$C$42, 94.2705, 94.2705) * CHOOSE(CONTROL!$C$21, $C$9, 100%, $E$9)</f>
        <v>94.270499999999998</v>
      </c>
      <c r="P1005" s="14">
        <f>CHOOSE(CONTROL!$C$42, 94.0588, 94.0588) * CHOOSE(CONTROL!$C$21, $C$9, 100%, $E$9)</f>
        <v>94.058800000000005</v>
      </c>
      <c r="Q1005" s="14">
        <f>CHOOSE(CONTROL!$C$42, 94.8658, 94.8658) * CHOOSE(CONTROL!$C$21, $C$9, 100%, $E$9)</f>
        <v>94.865799999999993</v>
      </c>
      <c r="R1005" s="14">
        <f>CHOOSE(CONTROL!$C$42, 95.6899, 95.6899) * CHOOSE(CONTROL!$C$21, $C$9, 100%, $E$9)</f>
        <v>95.689899999999994</v>
      </c>
      <c r="S1005" s="14">
        <f>CHOOSE(CONTROL!$C$42, 92.2427, 92.2427) * CHOOSE(CONTROL!$C$21, $C$9, 100%, $E$9)</f>
        <v>92.242699999999999</v>
      </c>
      <c r="T100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05" s="57">
        <f>(1000*CHOOSE(CONTROL!$C$42, 695, 695)*CHOOSE(CONTROL!$C$42, 0.5599, 0.5599)*CHOOSE(CONTROL!$C$42, 30, 30))/1000000</f>
        <v>11.673914999999997</v>
      </c>
      <c r="V1005" s="57">
        <f>(1000*CHOOSE(CONTROL!$C$42, 500, 500)*CHOOSE(CONTROL!$C$42, 0.275, 0.275)*CHOOSE(CONTROL!$C$42, 30, 30))/1000000</f>
        <v>4.125</v>
      </c>
      <c r="W1005" s="57">
        <f>(1000*CHOOSE(CONTROL!$C$42, 0.1146, 0.1146)*CHOOSE(CONTROL!$C$42, 121.5, 121.5)*CHOOSE(CONTROL!$C$42, 30, 30))/1000000</f>
        <v>0.417717</v>
      </c>
      <c r="X1005" s="57">
        <f>(30*0.1790888*245000/1000000)+(30*0.2374*100000/1000000)</f>
        <v>2.0285026799999999</v>
      </c>
      <c r="Y1005" s="57"/>
      <c r="Z1005" s="14"/>
      <c r="AA1005" s="56"/>
      <c r="AB1005" s="50">
        <f>(B1005*194.205+C1005*267.466+D1005*133.845+E1005*53.484+F1005*40+G1005*185+H1005*0+I1005*100+J1005*300)/(194.205+267.466+133.845+53.484+0+40+185+100+300)</f>
        <v>95.020631195682881</v>
      </c>
      <c r="AC1005" s="45">
        <f>(M1005*'RAP TEMPLATE-GAS AVAILABILITY'!O1004+N1005*'RAP TEMPLATE-GAS AVAILABILITY'!P1004+O1005*'RAP TEMPLATE-GAS AVAILABILITY'!Q1004+P1005*'RAP TEMPLATE-GAS AVAILABILITY'!R1004)/('RAP TEMPLATE-GAS AVAILABILITY'!O1004+'RAP TEMPLATE-GAS AVAILABILITY'!P1004+'RAP TEMPLATE-GAS AVAILABILITY'!Q1004+'RAP TEMPLATE-GAS AVAILABILITY'!R1004)</f>
        <v>94.142099999999999</v>
      </c>
    </row>
    <row r="1006" spans="1:29" ht="15.75" x14ac:dyDescent="0.25">
      <c r="A1006" s="32">
        <v>71528</v>
      </c>
      <c r="B1006" s="14">
        <f>CHOOSE(CONTROL!$C$42, 93.0619, 93.0619) * CHOOSE(CONTROL!$C$21, $C$9, 100%, $E$9)</f>
        <v>93.061899999999994</v>
      </c>
      <c r="C1006" s="14">
        <f>CHOOSE(CONTROL!$C$42, 93.0671, 93.0671) * CHOOSE(CONTROL!$C$21, $C$9, 100%, $E$9)</f>
        <v>93.067099999999996</v>
      </c>
      <c r="D1006" s="14">
        <f>CHOOSE(CONTROL!$C$42, 93.2697, 93.2697) * CHOOSE(CONTROL!$C$21, $C$9, 100%, $E$9)</f>
        <v>93.2697</v>
      </c>
      <c r="E1006" s="14">
        <f>CHOOSE(CONTROL!$C$42, 93.2985, 93.2985) * CHOOSE(CONTROL!$C$21, $C$9, 100%, $E$9)</f>
        <v>93.298500000000004</v>
      </c>
      <c r="F1006" s="14">
        <f>CHOOSE(CONTROL!$C$42, 93.0483, 93.0483)*CHOOSE(CONTROL!$C$21, $C$9, 100%, $E$9)</f>
        <v>93.048299999999998</v>
      </c>
      <c r="G1006" s="14">
        <f>CHOOSE(CONTROL!$C$42, 93.0643, 93.0643)*CHOOSE(CONTROL!$C$21, $C$9, 100%, $E$9)</f>
        <v>93.064300000000003</v>
      </c>
      <c r="H1006" s="14">
        <f>CHOOSE(CONTROL!$C$42, 93.2889, 93.2889) * CHOOSE(CONTROL!$C$21, $C$9, 100%, $E$9)</f>
        <v>93.288899999999998</v>
      </c>
      <c r="I1006" s="14">
        <f>CHOOSE(CONTROL!$C$42, 93.075, 93.075)* CHOOSE(CONTROL!$C$21, $C$9, 100%, $E$9)</f>
        <v>93.075000000000003</v>
      </c>
      <c r="J1006" s="14">
        <f>CHOOSE(CONTROL!$C$42, 93.0413, 93.0413)* CHOOSE(CONTROL!$C$21, $C$9, 100%, $E$9)</f>
        <v>93.041300000000007</v>
      </c>
      <c r="K1006" s="53">
        <f>CHOOSE(CONTROL!$C$42, 93.0711, 93.0711) * CHOOSE(CONTROL!$C$21, $C$9, 100%, $E$9)</f>
        <v>93.071100000000001</v>
      </c>
      <c r="L1006" s="14">
        <f>CHOOSE(CONTROL!$C$42, 93.8759, 93.8759) * CHOOSE(CONTROL!$C$21, $C$9, 100%, $E$9)</f>
        <v>93.875900000000001</v>
      </c>
      <c r="M1006" s="14">
        <f>CHOOSE(CONTROL!$C$42, 92.1161, 92.1161) * CHOOSE(CONTROL!$C$21, $C$9, 100%, $E$9)</f>
        <v>92.116100000000003</v>
      </c>
      <c r="N1006" s="14">
        <f>CHOOSE(CONTROL!$C$42, 92.132, 92.132) * CHOOSE(CONTROL!$C$21, $C$9, 100%, $E$9)</f>
        <v>92.132000000000005</v>
      </c>
      <c r="O1006" s="14">
        <f>CHOOSE(CONTROL!$C$42, 92.3613, 92.3613) * CHOOSE(CONTROL!$C$21, $C$9, 100%, $E$9)</f>
        <v>92.3613</v>
      </c>
      <c r="P1006" s="14">
        <f>CHOOSE(CONTROL!$C$42, 92.1496, 92.1496) * CHOOSE(CONTROL!$C$21, $C$9, 100%, $E$9)</f>
        <v>92.149600000000007</v>
      </c>
      <c r="Q1006" s="14">
        <f>CHOOSE(CONTROL!$C$42, 92.9566, 92.9566) * CHOOSE(CONTROL!$C$21, $C$9, 100%, $E$9)</f>
        <v>92.956599999999995</v>
      </c>
      <c r="R1006" s="14">
        <f>CHOOSE(CONTROL!$C$42, 93.776, 93.776) * CHOOSE(CONTROL!$C$21, $C$9, 100%, $E$9)</f>
        <v>93.775999999999996</v>
      </c>
      <c r="S1006" s="14">
        <f>CHOOSE(CONTROL!$C$42, 90.3699, 90.3699) * CHOOSE(CONTROL!$C$21, $C$9, 100%, $E$9)</f>
        <v>90.369900000000001</v>
      </c>
      <c r="T100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06" s="57">
        <f>(1000*CHOOSE(CONTROL!$C$42, 695, 695)*CHOOSE(CONTROL!$C$42, 0.5599, 0.5599)*CHOOSE(CONTROL!$C$42, 31, 31))/1000000</f>
        <v>12.063045499999998</v>
      </c>
      <c r="V1006" s="57">
        <f>(1000*CHOOSE(CONTROL!$C$42, 500, 500)*CHOOSE(CONTROL!$C$42, 0.275, 0.275)*CHOOSE(CONTROL!$C$42, 31, 31))/1000000</f>
        <v>4.2625000000000002</v>
      </c>
      <c r="W1006" s="57">
        <f>(1000*CHOOSE(CONTROL!$C$42, 0.1146, 0.1146)*CHOOSE(CONTROL!$C$42, 121.5, 121.5)*CHOOSE(CONTROL!$C$42, 31, 31))/1000000</f>
        <v>0.43164089999999994</v>
      </c>
      <c r="X1006" s="57">
        <f>(31*0.1790888*245000/1000000)+(31*0.2374*100000/1000000)</f>
        <v>2.0961194359999999</v>
      </c>
      <c r="Y1006" s="57"/>
      <c r="Z1006" s="14"/>
      <c r="AA1006" s="56"/>
      <c r="AB1006" s="50">
        <f>(B1006*131.881+C1006*277.167+D1006*79.08+E1006*125.872+F1006*40+G1006*185+H1006*0+I1006*100+J1006*300)/(131.881+277.167+79.08+125.872+0+40+185+100+300)</f>
        <v>93.096351499273609</v>
      </c>
      <c r="AC1006" s="45">
        <f>(M1006*'RAP TEMPLATE-GAS AVAILABILITY'!O1005+N1006*'RAP TEMPLATE-GAS AVAILABILITY'!P1005+O1006*'RAP TEMPLATE-GAS AVAILABILITY'!Q1005+P1006*'RAP TEMPLATE-GAS AVAILABILITY'!R1005)/('RAP TEMPLATE-GAS AVAILABILITY'!O1005+'RAP TEMPLATE-GAS AVAILABILITY'!P1005+'RAP TEMPLATE-GAS AVAILABILITY'!Q1005+'RAP TEMPLATE-GAS AVAILABILITY'!R1005)</f>
        <v>92.232969064748204</v>
      </c>
    </row>
    <row r="1007" spans="1:29" ht="15.75" x14ac:dyDescent="0.25">
      <c r="A1007" s="32">
        <v>71558</v>
      </c>
      <c r="B1007" s="14">
        <f>CHOOSE(CONTROL!$C$42, 95.5131, 95.5131) * CHOOSE(CONTROL!$C$21, $C$9, 100%, $E$9)</f>
        <v>95.513099999999994</v>
      </c>
      <c r="C1007" s="14">
        <f>CHOOSE(CONTROL!$C$42, 95.518, 95.518) * CHOOSE(CONTROL!$C$21, $C$9, 100%, $E$9)</f>
        <v>95.518000000000001</v>
      </c>
      <c r="D1007" s="14">
        <f>CHOOSE(CONTROL!$C$42, 95.5811, 95.5811) * CHOOSE(CONTROL!$C$21, $C$9, 100%, $E$9)</f>
        <v>95.581100000000006</v>
      </c>
      <c r="E1007" s="14">
        <f>CHOOSE(CONTROL!$C$42, 95.6149, 95.6149) * CHOOSE(CONTROL!$C$21, $C$9, 100%, $E$9)</f>
        <v>95.614900000000006</v>
      </c>
      <c r="F1007" s="14">
        <f>CHOOSE(CONTROL!$C$42, 95.5138, 95.5138)*CHOOSE(CONTROL!$C$21, $C$9, 100%, $E$9)</f>
        <v>95.513800000000003</v>
      </c>
      <c r="G1007" s="14">
        <f>CHOOSE(CONTROL!$C$42, 95.5301, 95.5301)*CHOOSE(CONTROL!$C$21, $C$9, 100%, $E$9)</f>
        <v>95.530100000000004</v>
      </c>
      <c r="H1007" s="14">
        <f>CHOOSE(CONTROL!$C$42, 95.6041, 95.6041) * CHOOSE(CONTROL!$C$21, $C$9, 100%, $E$9)</f>
        <v>95.604100000000003</v>
      </c>
      <c r="I1007" s="14">
        <f>CHOOSE(CONTROL!$C$42, 95.5266, 95.5266)* CHOOSE(CONTROL!$C$21, $C$9, 100%, $E$9)</f>
        <v>95.526600000000002</v>
      </c>
      <c r="J1007" s="14">
        <f>CHOOSE(CONTROL!$C$42, 95.5068, 95.5068)* CHOOSE(CONTROL!$C$21, $C$9, 100%, $E$9)</f>
        <v>95.506799999999998</v>
      </c>
      <c r="K1007" s="53">
        <f>CHOOSE(CONTROL!$C$42, 95.5227, 95.5227) * CHOOSE(CONTROL!$C$21, $C$9, 100%, $E$9)</f>
        <v>95.5227</v>
      </c>
      <c r="L1007" s="14">
        <f>CHOOSE(CONTROL!$C$42, 96.1911, 96.1911) * CHOOSE(CONTROL!$C$21, $C$9, 100%, $E$9)</f>
        <v>96.191100000000006</v>
      </c>
      <c r="M1007" s="14">
        <f>CHOOSE(CONTROL!$C$42, 94.5568, 94.5568) * CHOOSE(CONTROL!$C$21, $C$9, 100%, $E$9)</f>
        <v>94.556799999999996</v>
      </c>
      <c r="N1007" s="14">
        <f>CHOOSE(CONTROL!$C$42, 94.5729, 94.5729) * CHOOSE(CONTROL!$C$21, $C$9, 100%, $E$9)</f>
        <v>94.572900000000004</v>
      </c>
      <c r="O1007" s="14">
        <f>CHOOSE(CONTROL!$C$42, 94.6531, 94.6531) * CHOOSE(CONTROL!$C$21, $C$9, 100%, $E$9)</f>
        <v>94.653099999999995</v>
      </c>
      <c r="P1007" s="14">
        <f>CHOOSE(CONTROL!$C$42, 94.5765, 94.5765) * CHOOSE(CONTROL!$C$21, $C$9, 100%, $E$9)</f>
        <v>94.576499999999996</v>
      </c>
      <c r="Q1007" s="14">
        <f>CHOOSE(CONTROL!$C$42, 95.2484, 95.2484) * CHOOSE(CONTROL!$C$21, $C$9, 100%, $E$9)</f>
        <v>95.248400000000004</v>
      </c>
      <c r="R1007" s="14">
        <f>CHOOSE(CONTROL!$C$42, 96.0735, 96.0735) * CHOOSE(CONTROL!$C$21, $C$9, 100%, $E$9)</f>
        <v>96.073499999999996</v>
      </c>
      <c r="S1007" s="14">
        <f>CHOOSE(CONTROL!$C$42, 92.7506, 92.7506) * CHOOSE(CONTROL!$C$21, $C$9, 100%, $E$9)</f>
        <v>92.750600000000006</v>
      </c>
      <c r="T100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07" s="57">
        <f>(1000*CHOOSE(CONTROL!$C$42, 695, 695)*CHOOSE(CONTROL!$C$42, 0.5599, 0.5599)*CHOOSE(CONTROL!$C$42, 30, 30))/1000000</f>
        <v>11.673914999999997</v>
      </c>
      <c r="V1007" s="57">
        <f>(1000*CHOOSE(CONTROL!$C$42, 500, 500)*CHOOSE(CONTROL!$C$42, 0.275, 0.275)*CHOOSE(CONTROL!$C$42, 30, 30))/1000000</f>
        <v>4.125</v>
      </c>
      <c r="W1007" s="57">
        <f>(1000*CHOOSE(CONTROL!$C$42, 0.1146, 0.1146)*CHOOSE(CONTROL!$C$42, 121.5, 121.5)*CHOOSE(CONTROL!$C$42, 30, 30))/1000000</f>
        <v>0.417717</v>
      </c>
      <c r="X1007" s="57">
        <f>(30*0.1790888*100000/1000000)+(30*0.2374*100000/1000000)</f>
        <v>1.2494664</v>
      </c>
      <c r="Y1007" s="57"/>
      <c r="Z1007" s="14"/>
      <c r="AA1007" s="56"/>
      <c r="AB1007" s="50">
        <f>(B1007*122.58+C1007*297.941+D1007*89.177+E1007*40.302+F1007*40+G1007*160+H1007*0+I1007*100+J1007*300)/(122.58+297.941+89.177+40.302+0+40+160+100+300)</f>
        <v>95.525130165652172</v>
      </c>
      <c r="AC1007" s="45">
        <f>(M1007*'RAP TEMPLATE-GAS AVAILABILITY'!O1006+N1007*'RAP TEMPLATE-GAS AVAILABILITY'!P1006+O1007*'RAP TEMPLATE-GAS AVAILABILITY'!Q1006+P1007*'RAP TEMPLATE-GAS AVAILABILITY'!R1006)/('RAP TEMPLATE-GAS AVAILABILITY'!O1006+'RAP TEMPLATE-GAS AVAILABILITY'!P1006+'RAP TEMPLATE-GAS AVAILABILITY'!Q1006+'RAP TEMPLATE-GAS AVAILABILITY'!R1006)</f>
        <v>94.604207913669057</v>
      </c>
    </row>
    <row r="1008" spans="1:29" ht="15.75" x14ac:dyDescent="0.25">
      <c r="A1008" s="32">
        <v>71589</v>
      </c>
      <c r="B1008" s="14">
        <f>CHOOSE(CONTROL!$C$42, 102.0249, 102.0249) * CHOOSE(CONTROL!$C$21, $C$9, 100%, $E$9)</f>
        <v>102.0249</v>
      </c>
      <c r="C1008" s="14">
        <f>CHOOSE(CONTROL!$C$42, 102.0299, 102.0299) * CHOOSE(CONTROL!$C$21, $C$9, 100%, $E$9)</f>
        <v>102.0299</v>
      </c>
      <c r="D1008" s="14">
        <f>CHOOSE(CONTROL!$C$42, 102.0929, 102.0929) * CHOOSE(CONTROL!$C$21, $C$9, 100%, $E$9)</f>
        <v>102.0929</v>
      </c>
      <c r="E1008" s="14">
        <f>CHOOSE(CONTROL!$C$42, 102.1267, 102.1267) * CHOOSE(CONTROL!$C$21, $C$9, 100%, $E$9)</f>
        <v>102.1267</v>
      </c>
      <c r="F1008" s="14">
        <f>CHOOSE(CONTROL!$C$42, 102.0277, 102.0277)*CHOOSE(CONTROL!$C$21, $C$9, 100%, $E$9)</f>
        <v>102.0277</v>
      </c>
      <c r="G1008" s="14">
        <f>CHOOSE(CONTROL!$C$42, 102.0445, 102.0445)*CHOOSE(CONTROL!$C$21, $C$9, 100%, $E$9)</f>
        <v>102.0445</v>
      </c>
      <c r="H1008" s="14">
        <f>CHOOSE(CONTROL!$C$42, 102.1159, 102.1159) * CHOOSE(CONTROL!$C$21, $C$9, 100%, $E$9)</f>
        <v>102.1159</v>
      </c>
      <c r="I1008" s="14">
        <f>CHOOSE(CONTROL!$C$42, 102.0385, 102.0385)* CHOOSE(CONTROL!$C$21, $C$9, 100%, $E$9)</f>
        <v>102.0385</v>
      </c>
      <c r="J1008" s="14">
        <f>CHOOSE(CONTROL!$C$42, 102.0207, 102.0207)* CHOOSE(CONTROL!$C$21, $C$9, 100%, $E$9)</f>
        <v>102.02070000000001</v>
      </c>
      <c r="K1008" s="53">
        <f>CHOOSE(CONTROL!$C$42, 102.0346, 102.0346) * CHOOSE(CONTROL!$C$21, $C$9, 100%, $E$9)</f>
        <v>102.0346</v>
      </c>
      <c r="L1008" s="14">
        <f>CHOOSE(CONTROL!$C$42, 102.7029, 102.7029) * CHOOSE(CONTROL!$C$21, $C$9, 100%, $E$9)</f>
        <v>102.7029</v>
      </c>
      <c r="M1008" s="14">
        <f>CHOOSE(CONTROL!$C$42, 101.0049, 101.0049) * CHOOSE(CONTROL!$C$21, $C$9, 100%, $E$9)</f>
        <v>101.00490000000001</v>
      </c>
      <c r="N1008" s="14">
        <f>CHOOSE(CONTROL!$C$42, 101.0216, 101.0216) * CHOOSE(CONTROL!$C$21, $C$9, 100%, $E$9)</f>
        <v>101.02160000000001</v>
      </c>
      <c r="O1008" s="14">
        <f>CHOOSE(CONTROL!$C$42, 101.0992, 101.0992) * CHOOSE(CONTROL!$C$21, $C$9, 100%, $E$9)</f>
        <v>101.0992</v>
      </c>
      <c r="P1008" s="14">
        <f>CHOOSE(CONTROL!$C$42, 101.0226, 101.0226) * CHOOSE(CONTROL!$C$21, $C$9, 100%, $E$9)</f>
        <v>101.0226</v>
      </c>
      <c r="Q1008" s="14">
        <f>CHOOSE(CONTROL!$C$42, 101.6945, 101.6945) * CHOOSE(CONTROL!$C$21, $C$9, 100%, $E$9)</f>
        <v>101.69450000000001</v>
      </c>
      <c r="R1008" s="14">
        <f>CHOOSE(CONTROL!$C$42, 102.5358, 102.5358) * CHOOSE(CONTROL!$C$21, $C$9, 100%, $E$9)</f>
        <v>102.53579999999999</v>
      </c>
      <c r="S1008" s="14">
        <f>CHOOSE(CONTROL!$C$42, 99.0743, 99.0743) * CHOOSE(CONTROL!$C$21, $C$9, 100%, $E$9)</f>
        <v>99.074299999999994</v>
      </c>
      <c r="T100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08" s="57">
        <f>(1000*CHOOSE(CONTROL!$C$42, 695, 695)*CHOOSE(CONTROL!$C$42, 0.5599, 0.5599)*CHOOSE(CONTROL!$C$42, 31, 31))/1000000</f>
        <v>12.063045499999998</v>
      </c>
      <c r="V1008" s="57">
        <f>(1000*CHOOSE(CONTROL!$C$42, 500, 500)*CHOOSE(CONTROL!$C$42, 0.275, 0.275)*CHOOSE(CONTROL!$C$42, 31, 31))/1000000</f>
        <v>4.2625000000000002</v>
      </c>
      <c r="W1008" s="57">
        <f>(1000*CHOOSE(CONTROL!$C$42, 0.1146, 0.1146)*CHOOSE(CONTROL!$C$42, 121.5, 121.5)*CHOOSE(CONTROL!$C$42, 31, 31))/1000000</f>
        <v>0.43164089999999994</v>
      </c>
      <c r="X1008" s="57">
        <f>(31*0.1790888*100000/1000000)+(31*0.2374*100000/1000000)</f>
        <v>1.2911152800000001</v>
      </c>
      <c r="Y1008" s="57"/>
      <c r="Z1008" s="14"/>
      <c r="AA1008" s="56"/>
      <c r="AB1008" s="50">
        <f>(B1008*122.58+C1008*297.941+D1008*89.177+E1008*40.302+F1008*40+G1008*160+H1008*0+I1008*100+J1008*300)/(122.58+297.941+89.177+40.302+0+40+160+100+300)</f>
        <v>102.03794737791304</v>
      </c>
      <c r="AC1008" s="45">
        <f>(M1008*'RAP TEMPLATE-GAS AVAILABILITY'!O1007+N1008*'RAP TEMPLATE-GAS AVAILABILITY'!P1007+O1008*'RAP TEMPLATE-GAS AVAILABILITY'!Q1007+P1008*'RAP TEMPLATE-GAS AVAILABILITY'!R1007)/('RAP TEMPLATE-GAS AVAILABILITY'!O1007+'RAP TEMPLATE-GAS AVAILABILITY'!P1007+'RAP TEMPLATE-GAS AVAILABILITY'!Q1007+'RAP TEMPLATE-GAS AVAILABILITY'!R1007)</f>
        <v>101.05114820143885</v>
      </c>
    </row>
    <row r="1009" spans="1:29" ht="15.75" x14ac:dyDescent="0.25">
      <c r="A1009" s="32">
        <v>71620</v>
      </c>
      <c r="B1009" s="14">
        <f>CHOOSE(CONTROL!$C$42, 110.3843, 110.3843) * CHOOSE(CONTROL!$C$21, $C$9, 100%, $E$9)</f>
        <v>110.3843</v>
      </c>
      <c r="C1009" s="14">
        <f>CHOOSE(CONTROL!$C$42, 110.3892, 110.3892) * CHOOSE(CONTROL!$C$21, $C$9, 100%, $E$9)</f>
        <v>110.3892</v>
      </c>
      <c r="D1009" s="14">
        <f>CHOOSE(CONTROL!$C$42, 110.4535, 110.4535) * CHOOSE(CONTROL!$C$21, $C$9, 100%, $E$9)</f>
        <v>110.45350000000001</v>
      </c>
      <c r="E1009" s="14">
        <f>CHOOSE(CONTROL!$C$42, 110.4873, 110.4873) * CHOOSE(CONTROL!$C$21, $C$9, 100%, $E$9)</f>
        <v>110.4873</v>
      </c>
      <c r="F1009" s="14">
        <f>CHOOSE(CONTROL!$C$42, 110.3858, 110.3858)*CHOOSE(CONTROL!$C$21, $C$9, 100%, $E$9)</f>
        <v>110.3858</v>
      </c>
      <c r="G1009" s="14">
        <f>CHOOSE(CONTROL!$C$42, 110.4017, 110.4017)*CHOOSE(CONTROL!$C$21, $C$9, 100%, $E$9)</f>
        <v>110.40170000000001</v>
      </c>
      <c r="H1009" s="14">
        <f>CHOOSE(CONTROL!$C$42, 110.4765, 110.4765) * CHOOSE(CONTROL!$C$21, $C$9, 100%, $E$9)</f>
        <v>110.4765</v>
      </c>
      <c r="I1009" s="14">
        <f>CHOOSE(CONTROL!$C$42, 110.4043, 110.4043)* CHOOSE(CONTROL!$C$21, $C$9, 100%, $E$9)</f>
        <v>110.40430000000001</v>
      </c>
      <c r="J1009" s="14">
        <f>CHOOSE(CONTROL!$C$42, 110.3788, 110.3788)* CHOOSE(CONTROL!$C$21, $C$9, 100%, $E$9)</f>
        <v>110.3788</v>
      </c>
      <c r="K1009" s="53">
        <f>CHOOSE(CONTROL!$C$42, 110.4004, 110.4004) * CHOOSE(CONTROL!$C$21, $C$9, 100%, $E$9)</f>
        <v>110.4004</v>
      </c>
      <c r="L1009" s="14">
        <f>CHOOSE(CONTROL!$C$42, 111.0635, 111.0635) * CHOOSE(CONTROL!$C$21, $C$9, 100%, $E$9)</f>
        <v>111.0635</v>
      </c>
      <c r="M1009" s="14">
        <f>CHOOSE(CONTROL!$C$42, 109.2787, 109.2787) * CHOOSE(CONTROL!$C$21, $C$9, 100%, $E$9)</f>
        <v>109.2787</v>
      </c>
      <c r="N1009" s="14">
        <f>CHOOSE(CONTROL!$C$42, 109.2945, 109.2945) * CHOOSE(CONTROL!$C$21, $C$9, 100%, $E$9)</f>
        <v>109.2945</v>
      </c>
      <c r="O1009" s="14">
        <f>CHOOSE(CONTROL!$C$42, 109.3754, 109.3754) * CHOOSE(CONTROL!$C$21, $C$9, 100%, $E$9)</f>
        <v>109.3754</v>
      </c>
      <c r="P1009" s="14">
        <f>CHOOSE(CONTROL!$C$42, 109.304, 109.304) * CHOOSE(CONTROL!$C$21, $C$9, 100%, $E$9)</f>
        <v>109.304</v>
      </c>
      <c r="Q1009" s="14">
        <f>CHOOSE(CONTROL!$C$42, 109.9707, 109.9707) * CHOOSE(CONTROL!$C$21, $C$9, 100%, $E$9)</f>
        <v>109.97069999999999</v>
      </c>
      <c r="R1009" s="14">
        <f>CHOOSE(CONTROL!$C$42, 110.8327, 110.8327) * CHOOSE(CONTROL!$C$21, $C$9, 100%, $E$9)</f>
        <v>110.8327</v>
      </c>
      <c r="S1009" s="14">
        <f>CHOOSE(CONTROL!$C$42, 107.1921, 107.1921) * CHOOSE(CONTROL!$C$21, $C$9, 100%, $E$9)</f>
        <v>107.1921</v>
      </c>
      <c r="T1009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09" s="57">
        <f>(1000*CHOOSE(CONTROL!$C$42, 695, 695)*CHOOSE(CONTROL!$C$42, 0.5599, 0.5599)*CHOOSE(CONTROL!$C$42, 31, 31))/1000000</f>
        <v>12.063045499999998</v>
      </c>
      <c r="V1009" s="57">
        <f>(1000*CHOOSE(CONTROL!$C$42, 500, 500)*CHOOSE(CONTROL!$C$42, 0.275, 0.275)*CHOOSE(CONTROL!$C$42, 31, 31))/1000000</f>
        <v>4.2625000000000002</v>
      </c>
      <c r="W1009" s="57">
        <f>(1000*CHOOSE(CONTROL!$C$42, 0.1146, 0.1146)*CHOOSE(CONTROL!$C$42, 121.5, 121.5)*CHOOSE(CONTROL!$C$42, 31, 31))/1000000</f>
        <v>0.43164089999999994</v>
      </c>
      <c r="X1009" s="57">
        <f>(31*0.1790888*100000/1000000)+(31*0.2374*100000/1000000)</f>
        <v>1.2911152800000001</v>
      </c>
      <c r="Y1009" s="57"/>
      <c r="Z1009" s="14"/>
      <c r="AA1009" s="56"/>
      <c r="AB1009" s="50">
        <f>(B1009*122.58+C1009*297.941+D1009*89.177+E1009*40.302+F1009*40+G1009*160+H1009*0+I1009*100+J1009*300)/(122.58+297.941+89.177+40.302+0+40+160+100+300)</f>
        <v>110.39732266547826</v>
      </c>
      <c r="AC1009" s="45">
        <f>(M1009*'RAP TEMPLATE-GAS AVAILABILITY'!O1008+N1009*'RAP TEMPLATE-GAS AVAILABILITY'!P1008+O1009*'RAP TEMPLATE-GAS AVAILABILITY'!Q1008+P1009*'RAP TEMPLATE-GAS AVAILABILITY'!R1008)/('RAP TEMPLATE-GAS AVAILABILITY'!O1008+'RAP TEMPLATE-GAS AVAILABILITY'!P1008+'RAP TEMPLATE-GAS AVAILABILITY'!Q1008+'RAP TEMPLATE-GAS AVAILABILITY'!R1008)</f>
        <v>109.32707769784172</v>
      </c>
    </row>
    <row r="1010" spans="1:29" ht="15.75" x14ac:dyDescent="0.25">
      <c r="A1010" s="32">
        <v>71649</v>
      </c>
      <c r="B1010" s="14">
        <f>CHOOSE(CONTROL!$C$42, 112.3492, 112.3492) * CHOOSE(CONTROL!$C$21, $C$9, 100%, $E$9)</f>
        <v>112.3492</v>
      </c>
      <c r="C1010" s="14">
        <f>CHOOSE(CONTROL!$C$42, 112.3542, 112.3542) * CHOOSE(CONTROL!$C$21, $C$9, 100%, $E$9)</f>
        <v>112.35420000000001</v>
      </c>
      <c r="D1010" s="14">
        <f>CHOOSE(CONTROL!$C$42, 112.4185, 112.4185) * CHOOSE(CONTROL!$C$21, $C$9, 100%, $E$9)</f>
        <v>112.41849999999999</v>
      </c>
      <c r="E1010" s="14">
        <f>CHOOSE(CONTROL!$C$42, 112.4523, 112.4523) * CHOOSE(CONTROL!$C$21, $C$9, 100%, $E$9)</f>
        <v>112.45229999999999</v>
      </c>
      <c r="F1010" s="14">
        <f>CHOOSE(CONTROL!$C$42, 112.3508, 112.3508)*CHOOSE(CONTROL!$C$21, $C$9, 100%, $E$9)</f>
        <v>112.35080000000001</v>
      </c>
      <c r="G1010" s="14">
        <f>CHOOSE(CONTROL!$C$42, 112.3667, 112.3667)*CHOOSE(CONTROL!$C$21, $C$9, 100%, $E$9)</f>
        <v>112.36669999999999</v>
      </c>
      <c r="H1010" s="14">
        <f>CHOOSE(CONTROL!$C$42, 112.4414, 112.4414) * CHOOSE(CONTROL!$C$21, $C$9, 100%, $E$9)</f>
        <v>112.4414</v>
      </c>
      <c r="I1010" s="14">
        <f>CHOOSE(CONTROL!$C$42, 112.3692, 112.3692)* CHOOSE(CONTROL!$C$21, $C$9, 100%, $E$9)</f>
        <v>112.36920000000001</v>
      </c>
      <c r="J1010" s="14">
        <f>CHOOSE(CONTROL!$C$42, 112.3438, 112.3438)* CHOOSE(CONTROL!$C$21, $C$9, 100%, $E$9)</f>
        <v>112.3438</v>
      </c>
      <c r="K1010" s="53">
        <f>CHOOSE(CONTROL!$C$42, 112.3653, 112.3653) * CHOOSE(CONTROL!$C$21, $C$9, 100%, $E$9)</f>
        <v>112.3653</v>
      </c>
      <c r="L1010" s="14">
        <f>CHOOSE(CONTROL!$C$42, 113.0284, 113.0284) * CHOOSE(CONTROL!$C$21, $C$9, 100%, $E$9)</f>
        <v>113.0284</v>
      </c>
      <c r="M1010" s="14">
        <f>CHOOSE(CONTROL!$C$42, 111.2239, 111.2239) * CHOOSE(CONTROL!$C$21, $C$9, 100%, $E$9)</f>
        <v>111.2239</v>
      </c>
      <c r="N1010" s="14">
        <f>CHOOSE(CONTROL!$C$42, 111.2397, 111.2397) * CHOOSE(CONTROL!$C$21, $C$9, 100%, $E$9)</f>
        <v>111.2397</v>
      </c>
      <c r="O1010" s="14">
        <f>CHOOSE(CONTROL!$C$42, 111.3205, 111.3205) * CHOOSE(CONTROL!$C$21, $C$9, 100%, $E$9)</f>
        <v>111.3205</v>
      </c>
      <c r="P1010" s="14">
        <f>CHOOSE(CONTROL!$C$42, 111.2491, 111.2491) * CHOOSE(CONTROL!$C$21, $C$9, 100%, $E$9)</f>
        <v>111.2491</v>
      </c>
      <c r="Q1010" s="14">
        <f>CHOOSE(CONTROL!$C$42, 111.9158, 111.9158) * CHOOSE(CONTROL!$C$21, $C$9, 100%, $E$9)</f>
        <v>111.9158</v>
      </c>
      <c r="R1010" s="14">
        <f>CHOOSE(CONTROL!$C$42, 112.7826, 112.7826) * CHOOSE(CONTROL!$C$21, $C$9, 100%, $E$9)</f>
        <v>112.7826</v>
      </c>
      <c r="S1010" s="14">
        <f>CHOOSE(CONTROL!$C$42, 109.1002, 109.1002) * CHOOSE(CONTROL!$C$21, $C$9, 100%, $E$9)</f>
        <v>109.1002</v>
      </c>
      <c r="T1010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010" s="57">
        <f>(1000*CHOOSE(CONTROL!$C$42, 695, 695)*CHOOSE(CONTROL!$C$42, 0.5599, 0.5599)*CHOOSE(CONTROL!$C$42, 29, 29))/1000000</f>
        <v>11.284784499999999</v>
      </c>
      <c r="V1010" s="57">
        <f>(1000*CHOOSE(CONTROL!$C$42, 500, 500)*CHOOSE(CONTROL!$C$42, 0.275, 0.275)*CHOOSE(CONTROL!$C$42, 29, 29))/1000000</f>
        <v>3.9874999999999998</v>
      </c>
      <c r="W1010" s="57">
        <f>(1000*CHOOSE(CONTROL!$C$42, 0.1146, 0.1146)*CHOOSE(CONTROL!$C$42, 121.5, 121.5)*CHOOSE(CONTROL!$C$42, 29, 29))/1000000</f>
        <v>0.40379309999999996</v>
      </c>
      <c r="X1010" s="57">
        <f>(29*0.1790888*100000/1000000)+(29*0.2374*100000/1000000)</f>
        <v>1.2078175199999999</v>
      </c>
      <c r="Y1010" s="57"/>
      <c r="Z1010" s="14"/>
      <c r="AA1010" s="56"/>
      <c r="AB1010" s="50">
        <f>(B1010*122.58+C1010*297.941+D1010*89.177+E1010*40.302+F1010*40+G1010*160+H1010*0+I1010*100+J1010*300)/(122.58+297.941+89.177+40.302+0+40+160+100+300)</f>
        <v>112.36230331069565</v>
      </c>
      <c r="AC1010" s="45">
        <f>(M1010*'RAP TEMPLATE-GAS AVAILABILITY'!O1009+N1010*'RAP TEMPLATE-GAS AVAILABILITY'!P1009+O1010*'RAP TEMPLATE-GAS AVAILABILITY'!Q1009+P1010*'RAP TEMPLATE-GAS AVAILABILITY'!R1009)/('RAP TEMPLATE-GAS AVAILABILITY'!O1009+'RAP TEMPLATE-GAS AVAILABILITY'!P1009+'RAP TEMPLATE-GAS AVAILABILITY'!Q1009+'RAP TEMPLATE-GAS AVAILABILITY'!R1009)</f>
        <v>111.27221798561152</v>
      </c>
    </row>
    <row r="1011" spans="1:29" ht="15.75" x14ac:dyDescent="0.25">
      <c r="A1011" s="32">
        <v>71680</v>
      </c>
      <c r="B1011" s="14">
        <f>CHOOSE(CONTROL!$C$42, 109.1597, 109.1597) * CHOOSE(CONTROL!$C$21, $C$9, 100%, $E$9)</f>
        <v>109.1597</v>
      </c>
      <c r="C1011" s="14">
        <f>CHOOSE(CONTROL!$C$42, 109.1646, 109.1646) * CHOOSE(CONTROL!$C$21, $C$9, 100%, $E$9)</f>
        <v>109.16459999999999</v>
      </c>
      <c r="D1011" s="14">
        <f>CHOOSE(CONTROL!$C$42, 109.2289, 109.2289) * CHOOSE(CONTROL!$C$21, $C$9, 100%, $E$9)</f>
        <v>109.2289</v>
      </c>
      <c r="E1011" s="14">
        <f>CHOOSE(CONTROL!$C$42, 109.2627, 109.2627) * CHOOSE(CONTROL!$C$21, $C$9, 100%, $E$9)</f>
        <v>109.2627</v>
      </c>
      <c r="F1011" s="14">
        <f>CHOOSE(CONTROL!$C$42, 109.1609, 109.1609)*CHOOSE(CONTROL!$C$21, $C$9, 100%, $E$9)</f>
        <v>109.1609</v>
      </c>
      <c r="G1011" s="14">
        <f>CHOOSE(CONTROL!$C$42, 109.1768, 109.1768)*CHOOSE(CONTROL!$C$21, $C$9, 100%, $E$9)</f>
        <v>109.1768</v>
      </c>
      <c r="H1011" s="14">
        <f>CHOOSE(CONTROL!$C$42, 109.2519, 109.2519) * CHOOSE(CONTROL!$C$21, $C$9, 100%, $E$9)</f>
        <v>109.25190000000001</v>
      </c>
      <c r="I1011" s="14">
        <f>CHOOSE(CONTROL!$C$42, 109.1796, 109.1796)* CHOOSE(CONTROL!$C$21, $C$9, 100%, $E$9)</f>
        <v>109.17959999999999</v>
      </c>
      <c r="J1011" s="14">
        <f>CHOOSE(CONTROL!$C$42, 109.1539, 109.1539)* CHOOSE(CONTROL!$C$21, $C$9, 100%, $E$9)</f>
        <v>109.15389999999999</v>
      </c>
      <c r="K1011" s="53">
        <f>CHOOSE(CONTROL!$C$42, 109.1757, 109.1757) * CHOOSE(CONTROL!$C$21, $C$9, 100%, $E$9)</f>
        <v>109.17570000000001</v>
      </c>
      <c r="L1011" s="14">
        <f>CHOOSE(CONTROL!$C$42, 109.8389, 109.8389) * CHOOSE(CONTROL!$C$21, $C$9, 100%, $E$9)</f>
        <v>109.8389</v>
      </c>
      <c r="M1011" s="14">
        <f>CHOOSE(CONTROL!$C$42, 108.0662, 108.0662) * CHOOSE(CONTROL!$C$21, $C$9, 100%, $E$9)</f>
        <v>108.06619999999999</v>
      </c>
      <c r="N1011" s="14">
        <f>CHOOSE(CONTROL!$C$42, 108.0819, 108.0819) * CHOOSE(CONTROL!$C$21, $C$9, 100%, $E$9)</f>
        <v>108.0819</v>
      </c>
      <c r="O1011" s="14">
        <f>CHOOSE(CONTROL!$C$42, 108.1631, 108.1631) * CHOOSE(CONTROL!$C$21, $C$9, 100%, $E$9)</f>
        <v>108.1631</v>
      </c>
      <c r="P1011" s="14">
        <f>CHOOSE(CONTROL!$C$42, 108.0917, 108.0917) * CHOOSE(CONTROL!$C$21, $C$9, 100%, $E$9)</f>
        <v>108.0917</v>
      </c>
      <c r="Q1011" s="14">
        <f>CHOOSE(CONTROL!$C$42, 108.7584, 108.7584) * CHOOSE(CONTROL!$C$21, $C$9, 100%, $E$9)</f>
        <v>108.75839999999999</v>
      </c>
      <c r="R1011" s="14">
        <f>CHOOSE(CONTROL!$C$42, 109.6173, 109.6173) * CHOOSE(CONTROL!$C$21, $C$9, 100%, $E$9)</f>
        <v>109.6173</v>
      </c>
      <c r="S1011" s="14">
        <f>CHOOSE(CONTROL!$C$42, 106.0028, 106.0028) * CHOOSE(CONTROL!$C$21, $C$9, 100%, $E$9)</f>
        <v>106.00279999999999</v>
      </c>
      <c r="T1011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11" s="57">
        <f>(1000*CHOOSE(CONTROL!$C$42, 695, 695)*CHOOSE(CONTROL!$C$42, 0.5599, 0.5599)*CHOOSE(CONTROL!$C$42, 31, 31))/1000000</f>
        <v>12.063045499999998</v>
      </c>
      <c r="V1011" s="57">
        <f>(1000*CHOOSE(CONTROL!$C$42, 500, 500)*CHOOSE(CONTROL!$C$42, 0.275, 0.275)*CHOOSE(CONTROL!$C$42, 31, 31))/1000000</f>
        <v>4.2625000000000002</v>
      </c>
      <c r="W1011" s="57">
        <f>(1000*CHOOSE(CONTROL!$C$42, 0.1146, 0.1146)*CHOOSE(CONTROL!$C$42, 121.5, 121.5)*CHOOSE(CONTROL!$C$42, 31, 31))/1000000</f>
        <v>0.43164089999999994</v>
      </c>
      <c r="X1011" s="57">
        <f>(31*0.1790888*100000/1000000)+(31*0.2374*100000/1000000)</f>
        <v>1.2911152800000001</v>
      </c>
      <c r="Y1011" s="57"/>
      <c r="Z1011" s="14"/>
      <c r="AA1011" s="56"/>
      <c r="AB1011" s="50">
        <f>(B1011*122.58+C1011*297.941+D1011*89.177+E1011*40.302+F1011*40+G1011*160+H1011*0+I1011*100+J1011*300)/(122.58+297.941+89.177+40.302+0+40+160+100+300)</f>
        <v>109.17258353504346</v>
      </c>
      <c r="AC1011" s="45">
        <f>(M1011*'RAP TEMPLATE-GAS AVAILABILITY'!O1010+N1011*'RAP TEMPLATE-GAS AVAILABILITY'!P1010+O1011*'RAP TEMPLATE-GAS AVAILABILITY'!Q1010+P1011*'RAP TEMPLATE-GAS AVAILABILITY'!R1010)/('RAP TEMPLATE-GAS AVAILABILITY'!O1010+'RAP TEMPLATE-GAS AVAILABILITY'!P1010+'RAP TEMPLATE-GAS AVAILABILITY'!Q1010+'RAP TEMPLATE-GAS AVAILABILITY'!R1010)</f>
        <v>108.11469136690647</v>
      </c>
    </row>
    <row r="1012" spans="1:29" ht="15.75" x14ac:dyDescent="0.25">
      <c r="A1012" s="32">
        <v>71710</v>
      </c>
      <c r="B1012" s="14">
        <f>CHOOSE(CONTROL!$C$42, 108.834, 108.834) * CHOOSE(CONTROL!$C$21, $C$9, 100%, $E$9)</f>
        <v>108.834</v>
      </c>
      <c r="C1012" s="14">
        <f>CHOOSE(CONTROL!$C$42, 108.8384, 108.8384) * CHOOSE(CONTROL!$C$21, $C$9, 100%, $E$9)</f>
        <v>108.83839999999999</v>
      </c>
      <c r="D1012" s="14">
        <f>CHOOSE(CONTROL!$C$42, 109.0391, 109.0391) * CHOOSE(CONTROL!$C$21, $C$9, 100%, $E$9)</f>
        <v>109.0391</v>
      </c>
      <c r="E1012" s="14">
        <f>CHOOSE(CONTROL!$C$42, 109.0709, 109.0709) * CHOOSE(CONTROL!$C$21, $C$9, 100%, $E$9)</f>
        <v>109.07089999999999</v>
      </c>
      <c r="F1012" s="14">
        <f>CHOOSE(CONTROL!$C$42, 108.8186, 108.8186)*CHOOSE(CONTROL!$C$21, $C$9, 100%, $E$9)</f>
        <v>108.8186</v>
      </c>
      <c r="G1012" s="14">
        <f>CHOOSE(CONTROL!$C$42, 108.8342, 108.8342)*CHOOSE(CONTROL!$C$21, $C$9, 100%, $E$9)</f>
        <v>108.8342</v>
      </c>
      <c r="H1012" s="14">
        <f>CHOOSE(CONTROL!$C$42, 109.0606, 109.0606) * CHOOSE(CONTROL!$C$21, $C$9, 100%, $E$9)</f>
        <v>109.06059999999999</v>
      </c>
      <c r="I1012" s="14">
        <f>CHOOSE(CONTROL!$C$42, 108.8467, 108.8467)* CHOOSE(CONTROL!$C$21, $C$9, 100%, $E$9)</f>
        <v>108.8467</v>
      </c>
      <c r="J1012" s="14">
        <f>CHOOSE(CONTROL!$C$42, 108.8116, 108.8116)* CHOOSE(CONTROL!$C$21, $C$9, 100%, $E$9)</f>
        <v>108.8116</v>
      </c>
      <c r="K1012" s="53">
        <f>CHOOSE(CONTROL!$C$42, 108.8429, 108.8429) * CHOOSE(CONTROL!$C$21, $C$9, 100%, $E$9)</f>
        <v>108.8429</v>
      </c>
      <c r="L1012" s="14">
        <f>CHOOSE(CONTROL!$C$42, 109.6476, 109.6476) * CHOOSE(CONTROL!$C$21, $C$9, 100%, $E$9)</f>
        <v>109.6476</v>
      </c>
      <c r="M1012" s="14">
        <f>CHOOSE(CONTROL!$C$42, 107.7273, 107.7273) * CHOOSE(CONTROL!$C$21, $C$9, 100%, $E$9)</f>
        <v>107.7273</v>
      </c>
      <c r="N1012" s="14">
        <f>CHOOSE(CONTROL!$C$42, 107.7428, 107.7428) * CHOOSE(CONTROL!$C$21, $C$9, 100%, $E$9)</f>
        <v>107.7428</v>
      </c>
      <c r="O1012" s="14">
        <f>CHOOSE(CONTROL!$C$42, 107.9739, 107.9739) * CHOOSE(CONTROL!$C$21, $C$9, 100%, $E$9)</f>
        <v>107.9739</v>
      </c>
      <c r="P1012" s="14">
        <f>CHOOSE(CONTROL!$C$42, 107.7622, 107.7622) * CHOOSE(CONTROL!$C$21, $C$9, 100%, $E$9)</f>
        <v>107.76220000000001</v>
      </c>
      <c r="Q1012" s="14">
        <f>CHOOSE(CONTROL!$C$42, 108.5692, 108.5692) * CHOOSE(CONTROL!$C$21, $C$9, 100%, $E$9)</f>
        <v>108.5692</v>
      </c>
      <c r="R1012" s="14">
        <f>CHOOSE(CONTROL!$C$42, 109.4276, 109.4276) * CHOOSE(CONTROL!$C$21, $C$9, 100%, $E$9)</f>
        <v>109.4276</v>
      </c>
      <c r="S1012" s="14">
        <f>CHOOSE(CONTROL!$C$42, 105.6858, 105.6858) * CHOOSE(CONTROL!$C$21, $C$9, 100%, $E$9)</f>
        <v>105.6858</v>
      </c>
      <c r="T1012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12" s="57">
        <f>(1000*CHOOSE(CONTROL!$C$42, 695, 695)*CHOOSE(CONTROL!$C$42, 0.5599, 0.5599)*CHOOSE(CONTROL!$C$42, 30, 30))/1000000</f>
        <v>11.673914999999997</v>
      </c>
      <c r="V1012" s="57">
        <f>(1000*CHOOSE(CONTROL!$C$42, 500, 500)*CHOOSE(CONTROL!$C$42, 0.275, 0.275)*CHOOSE(CONTROL!$C$42, 30, 30))/1000000</f>
        <v>4.125</v>
      </c>
      <c r="W1012" s="57">
        <f>(1000*CHOOSE(CONTROL!$C$42, 0.1146, 0.1146)*CHOOSE(CONTROL!$C$42, 121.5, 121.5)*CHOOSE(CONTROL!$C$42, 30, 30))/1000000</f>
        <v>0.417717</v>
      </c>
      <c r="X1012" s="57">
        <f>(30*0.1790888*245000/1000000)+(30*0.2374*100000/1000000)</f>
        <v>2.0285026799999999</v>
      </c>
      <c r="Y1012" s="57"/>
      <c r="Z1012" s="14"/>
      <c r="AA1012" s="56"/>
      <c r="AB1012" s="50">
        <f>(B1012*141.293+C1012*267.993+D1012*115.016+E1012*89.698+F1012*40+G1012*185+H1012*0+I1012*100+J1012*300)/(141.293+267.993+115.016+89.698+0+40+185+100+300)</f>
        <v>108.8662755504439</v>
      </c>
      <c r="AC1012" s="45">
        <f>(M1012*'RAP TEMPLATE-GAS AVAILABILITY'!O1011+N1012*'RAP TEMPLATE-GAS AVAILABILITY'!P1011+O1012*'RAP TEMPLATE-GAS AVAILABILITY'!Q1011+P1012*'RAP TEMPLATE-GAS AVAILABILITY'!R1011)/('RAP TEMPLATE-GAS AVAILABILITY'!O1011+'RAP TEMPLATE-GAS AVAILABILITY'!P1011+'RAP TEMPLATE-GAS AVAILABILITY'!Q1011+'RAP TEMPLATE-GAS AVAILABILITY'!R1011)</f>
        <v>107.84498201438849</v>
      </c>
    </row>
    <row r="1013" spans="1:29" ht="15.75" x14ac:dyDescent="0.25">
      <c r="A1013" s="32">
        <v>71741</v>
      </c>
      <c r="B1013" s="14">
        <f>CHOOSE(CONTROL!$C$42, 109.7959, 109.7959) * CHOOSE(CONTROL!$C$21, $C$9, 100%, $E$9)</f>
        <v>109.7959</v>
      </c>
      <c r="C1013" s="14">
        <f>CHOOSE(CONTROL!$C$42, 109.8038, 109.8038) * CHOOSE(CONTROL!$C$21, $C$9, 100%, $E$9)</f>
        <v>109.8038</v>
      </c>
      <c r="D1013" s="14">
        <f>CHOOSE(CONTROL!$C$42, 110.0014, 110.0014) * CHOOSE(CONTROL!$C$21, $C$9, 100%, $E$9)</f>
        <v>110.0014</v>
      </c>
      <c r="E1013" s="14">
        <f>CHOOSE(CONTROL!$C$42, 110.0326, 110.0326) * CHOOSE(CONTROL!$C$21, $C$9, 100%, $E$9)</f>
        <v>110.0326</v>
      </c>
      <c r="F1013" s="14">
        <f>CHOOSE(CONTROL!$C$42, 109.7793, 109.7793)*CHOOSE(CONTROL!$C$21, $C$9, 100%, $E$9)</f>
        <v>109.77930000000001</v>
      </c>
      <c r="G1013" s="14">
        <f>CHOOSE(CONTROL!$C$42, 109.7954, 109.7954)*CHOOSE(CONTROL!$C$21, $C$9, 100%, $E$9)</f>
        <v>109.7954</v>
      </c>
      <c r="H1013" s="14">
        <f>CHOOSE(CONTROL!$C$42, 110.0212, 110.0212) * CHOOSE(CONTROL!$C$21, $C$9, 100%, $E$9)</f>
        <v>110.02119999999999</v>
      </c>
      <c r="I1013" s="14">
        <f>CHOOSE(CONTROL!$C$42, 109.8073, 109.8073)* CHOOSE(CONTROL!$C$21, $C$9, 100%, $E$9)</f>
        <v>109.8073</v>
      </c>
      <c r="J1013" s="14">
        <f>CHOOSE(CONTROL!$C$42, 109.7723, 109.7723)* CHOOSE(CONTROL!$C$21, $C$9, 100%, $E$9)</f>
        <v>109.7723</v>
      </c>
      <c r="K1013" s="53">
        <f>CHOOSE(CONTROL!$C$42, 109.8034, 109.8034) * CHOOSE(CONTROL!$C$21, $C$9, 100%, $E$9)</f>
        <v>109.8034</v>
      </c>
      <c r="L1013" s="14">
        <f>CHOOSE(CONTROL!$C$42, 110.6082, 110.6082) * CHOOSE(CONTROL!$C$21, $C$9, 100%, $E$9)</f>
        <v>110.6082</v>
      </c>
      <c r="M1013" s="14">
        <f>CHOOSE(CONTROL!$C$42, 108.6784, 108.6784) * CHOOSE(CONTROL!$C$21, $C$9, 100%, $E$9)</f>
        <v>108.6784</v>
      </c>
      <c r="N1013" s="14">
        <f>CHOOSE(CONTROL!$C$42, 108.6943, 108.6943) * CHOOSE(CONTROL!$C$21, $C$9, 100%, $E$9)</f>
        <v>108.6943</v>
      </c>
      <c r="O1013" s="14">
        <f>CHOOSE(CONTROL!$C$42, 108.9247, 108.9247) * CHOOSE(CONTROL!$C$21, $C$9, 100%, $E$9)</f>
        <v>108.9247</v>
      </c>
      <c r="P1013" s="14">
        <f>CHOOSE(CONTROL!$C$42, 108.713, 108.713) * CHOOSE(CONTROL!$C$21, $C$9, 100%, $E$9)</f>
        <v>108.71299999999999</v>
      </c>
      <c r="Q1013" s="14">
        <f>CHOOSE(CONTROL!$C$42, 109.52, 109.52) * CHOOSE(CONTROL!$C$21, $C$9, 100%, $E$9)</f>
        <v>109.52</v>
      </c>
      <c r="R1013" s="14">
        <f>CHOOSE(CONTROL!$C$42, 110.3808, 110.3808) * CHOOSE(CONTROL!$C$21, $C$9, 100%, $E$9)</f>
        <v>110.38079999999999</v>
      </c>
      <c r="S1013" s="14">
        <f>CHOOSE(CONTROL!$C$42, 106.6186, 106.6186) * CHOOSE(CONTROL!$C$21, $C$9, 100%, $E$9)</f>
        <v>106.6186</v>
      </c>
      <c r="T1013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13" s="57">
        <f>(1000*CHOOSE(CONTROL!$C$42, 695, 695)*CHOOSE(CONTROL!$C$42, 0.5599, 0.5599)*CHOOSE(CONTROL!$C$42, 31, 31))/1000000</f>
        <v>12.063045499999998</v>
      </c>
      <c r="V1013" s="57">
        <f>(1000*CHOOSE(CONTROL!$C$42, 500, 500)*CHOOSE(CONTROL!$C$42, 0.275, 0.275)*CHOOSE(CONTROL!$C$42, 31, 31))/1000000</f>
        <v>4.2625000000000002</v>
      </c>
      <c r="W1013" s="57">
        <f>(1000*CHOOSE(CONTROL!$C$42, 0.1146, 0.1146)*CHOOSE(CONTROL!$C$42, 121.5, 121.5)*CHOOSE(CONTROL!$C$42, 31, 31))/1000000</f>
        <v>0.43164089999999994</v>
      </c>
      <c r="X1013" s="57">
        <f>(31*0.1790888*245000/1000000)+(31*0.2374*100000/1000000)</f>
        <v>2.0961194359999999</v>
      </c>
      <c r="Y1013" s="57"/>
      <c r="Z1013" s="14"/>
      <c r="AA1013" s="56"/>
      <c r="AB1013" s="50">
        <f>(B1013*194.205+C1013*267.466+D1013*133.845+E1013*53.484+F1013*40+G1013*185+H1013*0+I1013*100+J1013*300)/(194.205+267.466+133.845+53.484+0+40+185+100+300)</f>
        <v>109.82382880039248</v>
      </c>
      <c r="AC1013" s="45">
        <f>(M1013*'RAP TEMPLATE-GAS AVAILABILITY'!O1012+N1013*'RAP TEMPLATE-GAS AVAILABILITY'!P1012+O1013*'RAP TEMPLATE-GAS AVAILABILITY'!Q1012+P1013*'RAP TEMPLATE-GAS AVAILABILITY'!R1012)/('RAP TEMPLATE-GAS AVAILABILITY'!O1012+'RAP TEMPLATE-GAS AVAILABILITY'!P1012+'RAP TEMPLATE-GAS AVAILABILITY'!Q1012+'RAP TEMPLATE-GAS AVAILABILITY'!R1012)</f>
        <v>108.79592589928058</v>
      </c>
    </row>
    <row r="1014" spans="1:29" ht="15.75" x14ac:dyDescent="0.25">
      <c r="A1014" s="32">
        <v>71771</v>
      </c>
      <c r="B1014" s="14">
        <f>CHOOSE(CONTROL!$C$42, 112.9103, 112.9103) * CHOOSE(CONTROL!$C$21, $C$9, 100%, $E$9)</f>
        <v>112.91030000000001</v>
      </c>
      <c r="C1014" s="14">
        <f>CHOOSE(CONTROL!$C$42, 112.9182, 112.9182) * CHOOSE(CONTROL!$C$21, $C$9, 100%, $E$9)</f>
        <v>112.9182</v>
      </c>
      <c r="D1014" s="14">
        <f>CHOOSE(CONTROL!$C$42, 113.1158, 113.1158) * CHOOSE(CONTROL!$C$21, $C$9, 100%, $E$9)</f>
        <v>113.11579999999999</v>
      </c>
      <c r="E1014" s="14">
        <f>CHOOSE(CONTROL!$C$42, 113.1469, 113.1469) * CHOOSE(CONTROL!$C$21, $C$9, 100%, $E$9)</f>
        <v>113.1469</v>
      </c>
      <c r="F1014" s="14">
        <f>CHOOSE(CONTROL!$C$42, 112.8941, 112.8941)*CHOOSE(CONTROL!$C$21, $C$9, 100%, $E$9)</f>
        <v>112.89409999999999</v>
      </c>
      <c r="G1014" s="14">
        <f>CHOOSE(CONTROL!$C$42, 112.9103, 112.9103)*CHOOSE(CONTROL!$C$21, $C$9, 100%, $E$9)</f>
        <v>112.91030000000001</v>
      </c>
      <c r="H1014" s="14">
        <f>CHOOSE(CONTROL!$C$42, 113.1356, 113.1356) * CHOOSE(CONTROL!$C$21, $C$9, 100%, $E$9)</f>
        <v>113.1356</v>
      </c>
      <c r="I1014" s="14">
        <f>CHOOSE(CONTROL!$C$42, 112.9217, 112.9217)* CHOOSE(CONTROL!$C$21, $C$9, 100%, $E$9)</f>
        <v>112.9217</v>
      </c>
      <c r="J1014" s="14">
        <f>CHOOSE(CONTROL!$C$42, 112.8871, 112.8871)* CHOOSE(CONTROL!$C$21, $C$9, 100%, $E$9)</f>
        <v>112.8871</v>
      </c>
      <c r="K1014" s="53">
        <f>CHOOSE(CONTROL!$C$42, 112.9178, 112.9178) * CHOOSE(CONTROL!$C$21, $C$9, 100%, $E$9)</f>
        <v>112.9178</v>
      </c>
      <c r="L1014" s="14">
        <f>CHOOSE(CONTROL!$C$42, 113.7226, 113.7226) * CHOOSE(CONTROL!$C$21, $C$9, 100%, $E$9)</f>
        <v>113.7226</v>
      </c>
      <c r="M1014" s="14">
        <f>CHOOSE(CONTROL!$C$42, 111.7617, 111.7617) * CHOOSE(CONTROL!$C$21, $C$9, 100%, $E$9)</f>
        <v>111.7617</v>
      </c>
      <c r="N1014" s="14">
        <f>CHOOSE(CONTROL!$C$42, 111.7778, 111.7778) * CHOOSE(CONTROL!$C$21, $C$9, 100%, $E$9)</f>
        <v>111.7778</v>
      </c>
      <c r="O1014" s="14">
        <f>CHOOSE(CONTROL!$C$42, 112.0077, 112.0077) * CHOOSE(CONTROL!$C$21, $C$9, 100%, $E$9)</f>
        <v>112.0077</v>
      </c>
      <c r="P1014" s="14">
        <f>CHOOSE(CONTROL!$C$42, 111.796, 111.796) * CHOOSE(CONTROL!$C$21, $C$9, 100%, $E$9)</f>
        <v>111.79600000000001</v>
      </c>
      <c r="Q1014" s="14">
        <f>CHOOSE(CONTROL!$C$42, 112.603, 112.603) * CHOOSE(CONTROL!$C$21, $C$9, 100%, $E$9)</f>
        <v>112.60299999999999</v>
      </c>
      <c r="R1014" s="14">
        <f>CHOOSE(CONTROL!$C$42, 113.4715, 113.4715) * CHOOSE(CONTROL!$C$21, $C$9, 100%, $E$9)</f>
        <v>113.47150000000001</v>
      </c>
      <c r="S1014" s="14">
        <f>CHOOSE(CONTROL!$C$42, 109.6429, 109.6429) * CHOOSE(CONTROL!$C$21, $C$9, 100%, $E$9)</f>
        <v>109.6429</v>
      </c>
      <c r="T1014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14" s="57">
        <f>(1000*CHOOSE(CONTROL!$C$42, 695, 695)*CHOOSE(CONTROL!$C$42, 0.5599, 0.5599)*CHOOSE(CONTROL!$C$42, 30, 30))/1000000</f>
        <v>11.673914999999997</v>
      </c>
      <c r="V1014" s="57">
        <f>(1000*CHOOSE(CONTROL!$C$42, 500, 500)*CHOOSE(CONTROL!$C$42, 0.275, 0.275)*CHOOSE(CONTROL!$C$42, 30, 30))/1000000</f>
        <v>4.125</v>
      </c>
      <c r="W1014" s="57">
        <f>(1000*CHOOSE(CONTROL!$C$42, 0.1146, 0.1146)*CHOOSE(CONTROL!$C$42, 121.5, 121.5)*CHOOSE(CONTROL!$C$42, 30, 30))/1000000</f>
        <v>0.417717</v>
      </c>
      <c r="X1014" s="57">
        <f>(30*0.1790888*245000/1000000)+(30*0.2374*100000/1000000)</f>
        <v>2.0285026799999999</v>
      </c>
      <c r="Y1014" s="57"/>
      <c r="Z1014" s="14"/>
      <c r="AA1014" s="56"/>
      <c r="AB1014" s="50">
        <f>(B1014*194.205+C1014*267.466+D1014*133.845+E1014*53.484+F1014*40+G1014*185+H1014*0+I1014*100+J1014*300)/(194.205+267.466+133.845+53.484+0+40+185+100+300)</f>
        <v>112.93840395863424</v>
      </c>
      <c r="AC1014" s="45">
        <f>(M1014*'RAP TEMPLATE-GAS AVAILABILITY'!O1013+N1014*'RAP TEMPLATE-GAS AVAILABILITY'!P1013+O1014*'RAP TEMPLATE-GAS AVAILABILITY'!Q1013+P1014*'RAP TEMPLATE-GAS AVAILABILITY'!R1013)/('RAP TEMPLATE-GAS AVAILABILITY'!O1013+'RAP TEMPLATE-GAS AVAILABILITY'!P1013+'RAP TEMPLATE-GAS AVAILABILITY'!Q1013+'RAP TEMPLATE-GAS AVAILABILITY'!R1013)</f>
        <v>111.8790582733813</v>
      </c>
    </row>
    <row r="1015" spans="1:29" ht="15.75" x14ac:dyDescent="0.25">
      <c r="A1015" s="32">
        <v>71802</v>
      </c>
      <c r="B1015" s="14">
        <f>CHOOSE(CONTROL!$C$42, 110.7442, 110.7442) * CHOOSE(CONTROL!$C$21, $C$9, 100%, $E$9)</f>
        <v>110.74420000000001</v>
      </c>
      <c r="C1015" s="14">
        <f>CHOOSE(CONTROL!$C$42, 110.7522, 110.7522) * CHOOSE(CONTROL!$C$21, $C$9, 100%, $E$9)</f>
        <v>110.7522</v>
      </c>
      <c r="D1015" s="14">
        <f>CHOOSE(CONTROL!$C$42, 110.9497, 110.9497) * CHOOSE(CONTROL!$C$21, $C$9, 100%, $E$9)</f>
        <v>110.94970000000001</v>
      </c>
      <c r="E1015" s="14">
        <f>CHOOSE(CONTROL!$C$42, 110.9809, 110.9809) * CHOOSE(CONTROL!$C$21, $C$9, 100%, $E$9)</f>
        <v>110.98090000000001</v>
      </c>
      <c r="F1015" s="14">
        <f>CHOOSE(CONTROL!$C$42, 110.7285, 110.7285)*CHOOSE(CONTROL!$C$21, $C$9, 100%, $E$9)</f>
        <v>110.7285</v>
      </c>
      <c r="G1015" s="14">
        <f>CHOOSE(CONTROL!$C$42, 110.7448, 110.7448)*CHOOSE(CONTROL!$C$21, $C$9, 100%, $E$9)</f>
        <v>110.7448</v>
      </c>
      <c r="H1015" s="14">
        <f>CHOOSE(CONTROL!$C$42, 110.9695, 110.9695) * CHOOSE(CONTROL!$C$21, $C$9, 100%, $E$9)</f>
        <v>110.9695</v>
      </c>
      <c r="I1015" s="14">
        <f>CHOOSE(CONTROL!$C$42, 110.7556, 110.7556)* CHOOSE(CONTROL!$C$21, $C$9, 100%, $E$9)</f>
        <v>110.7556</v>
      </c>
      <c r="J1015" s="14">
        <f>CHOOSE(CONTROL!$C$42, 110.7215, 110.7215)* CHOOSE(CONTROL!$C$21, $C$9, 100%, $E$9)</f>
        <v>110.72150000000001</v>
      </c>
      <c r="K1015" s="53">
        <f>CHOOSE(CONTROL!$C$42, 110.7517, 110.7517) * CHOOSE(CONTROL!$C$21, $C$9, 100%, $E$9)</f>
        <v>110.7517</v>
      </c>
      <c r="L1015" s="14">
        <f>CHOOSE(CONTROL!$C$42, 111.5565, 111.5565) * CHOOSE(CONTROL!$C$21, $C$9, 100%, $E$9)</f>
        <v>111.5565</v>
      </c>
      <c r="M1015" s="14">
        <f>CHOOSE(CONTROL!$C$42, 109.6179, 109.6179) * CHOOSE(CONTROL!$C$21, $C$9, 100%, $E$9)</f>
        <v>109.61790000000001</v>
      </c>
      <c r="N1015" s="14">
        <f>CHOOSE(CONTROL!$C$42, 109.6341, 109.6341) * CHOOSE(CONTROL!$C$21, $C$9, 100%, $E$9)</f>
        <v>109.6341</v>
      </c>
      <c r="O1015" s="14">
        <f>CHOOSE(CONTROL!$C$42, 109.8635, 109.8635) * CHOOSE(CONTROL!$C$21, $C$9, 100%, $E$9)</f>
        <v>109.8635</v>
      </c>
      <c r="P1015" s="14">
        <f>CHOOSE(CONTROL!$C$42, 109.6517, 109.6517) * CHOOSE(CONTROL!$C$21, $C$9, 100%, $E$9)</f>
        <v>109.65170000000001</v>
      </c>
      <c r="Q1015" s="14">
        <f>CHOOSE(CONTROL!$C$42, 110.4588, 110.4588) * CHOOSE(CONTROL!$C$21, $C$9, 100%, $E$9)</f>
        <v>110.4588</v>
      </c>
      <c r="R1015" s="14">
        <f>CHOOSE(CONTROL!$C$42, 111.3219, 111.3219) * CHOOSE(CONTROL!$C$21, $C$9, 100%, $E$9)</f>
        <v>111.3219</v>
      </c>
      <c r="S1015" s="14">
        <f>CHOOSE(CONTROL!$C$42, 107.5395, 107.5395) * CHOOSE(CONTROL!$C$21, $C$9, 100%, $E$9)</f>
        <v>107.5395</v>
      </c>
      <c r="T1015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15" s="57">
        <f>(1000*CHOOSE(CONTROL!$C$42, 695, 695)*CHOOSE(CONTROL!$C$42, 0.5599, 0.5599)*CHOOSE(CONTROL!$C$42, 31, 31))/1000000</f>
        <v>12.063045499999998</v>
      </c>
      <c r="V1015" s="57">
        <f>(1000*CHOOSE(CONTROL!$C$42, 500, 500)*CHOOSE(CONTROL!$C$42, 0.275, 0.275)*CHOOSE(CONTROL!$C$42, 31, 31))/1000000</f>
        <v>4.2625000000000002</v>
      </c>
      <c r="W1015" s="57">
        <f>(1000*CHOOSE(CONTROL!$C$42, 0.1146, 0.1146)*CHOOSE(CONTROL!$C$42, 121.5, 121.5)*CHOOSE(CONTROL!$C$42, 31, 31))/1000000</f>
        <v>0.43164089999999994</v>
      </c>
      <c r="X1015" s="57">
        <f>(31*0.1790888*245000/1000000)+(31*0.2374*100000/1000000)</f>
        <v>2.0961194359999999</v>
      </c>
      <c r="Y1015" s="57"/>
      <c r="Z1015" s="14"/>
      <c r="AA1015" s="56"/>
      <c r="AB1015" s="50">
        <f>(B1015*194.205+C1015*267.466+D1015*133.845+E1015*53.484+F1015*40+G1015*185+H1015*0+I1015*100+J1015*300)/(194.205+267.466+133.845+53.484+0+40+185+100+300)</f>
        <v>110.77254971609105</v>
      </c>
      <c r="AC1015" s="45">
        <f>(M1015*'RAP TEMPLATE-GAS AVAILABILITY'!O1014+N1015*'RAP TEMPLATE-GAS AVAILABILITY'!P1014+O1015*'RAP TEMPLATE-GAS AVAILABILITY'!Q1014+P1015*'RAP TEMPLATE-GAS AVAILABILITY'!R1014)/('RAP TEMPLATE-GAS AVAILABILITY'!O1014+'RAP TEMPLATE-GAS AVAILABILITY'!P1014+'RAP TEMPLATE-GAS AVAILABILITY'!Q1014+'RAP TEMPLATE-GAS AVAILABILITY'!R1014)</f>
        <v>109.73501079136692</v>
      </c>
    </row>
    <row r="1016" spans="1:29" ht="15.75" x14ac:dyDescent="0.25">
      <c r="A1016" s="32">
        <v>71833</v>
      </c>
      <c r="B1016" s="14">
        <f>CHOOSE(CONTROL!$C$42, 105.2743, 105.2743) * CHOOSE(CONTROL!$C$21, $C$9, 100%, $E$9)</f>
        <v>105.2743</v>
      </c>
      <c r="C1016" s="14">
        <f>CHOOSE(CONTROL!$C$42, 105.2822, 105.2822) * CHOOSE(CONTROL!$C$21, $C$9, 100%, $E$9)</f>
        <v>105.2822</v>
      </c>
      <c r="D1016" s="14">
        <f>CHOOSE(CONTROL!$C$42, 105.4798, 105.4798) * CHOOSE(CONTROL!$C$21, $C$9, 100%, $E$9)</f>
        <v>105.4798</v>
      </c>
      <c r="E1016" s="14">
        <f>CHOOSE(CONTROL!$C$42, 105.5109, 105.5109) * CHOOSE(CONTROL!$C$21, $C$9, 100%, $E$9)</f>
        <v>105.51090000000001</v>
      </c>
      <c r="F1016" s="14">
        <f>CHOOSE(CONTROL!$C$42, 105.2587, 105.2587)*CHOOSE(CONTROL!$C$21, $C$9, 100%, $E$9)</f>
        <v>105.2587</v>
      </c>
      <c r="G1016" s="14">
        <f>CHOOSE(CONTROL!$C$42, 105.2751, 105.2751)*CHOOSE(CONTROL!$C$21, $C$9, 100%, $E$9)</f>
        <v>105.27509999999999</v>
      </c>
      <c r="H1016" s="14">
        <f>CHOOSE(CONTROL!$C$42, 105.4995, 105.4995) * CHOOSE(CONTROL!$C$21, $C$9, 100%, $E$9)</f>
        <v>105.4995</v>
      </c>
      <c r="I1016" s="14">
        <f>CHOOSE(CONTROL!$C$42, 105.2856, 105.2856)* CHOOSE(CONTROL!$C$21, $C$9, 100%, $E$9)</f>
        <v>105.2856</v>
      </c>
      <c r="J1016" s="14">
        <f>CHOOSE(CONTROL!$C$42, 105.2517, 105.2517)* CHOOSE(CONTROL!$C$21, $C$9, 100%, $E$9)</f>
        <v>105.2517</v>
      </c>
      <c r="K1016" s="53">
        <f>CHOOSE(CONTROL!$C$42, 105.2817, 105.2817) * CHOOSE(CONTROL!$C$21, $C$9, 100%, $E$9)</f>
        <v>105.2817</v>
      </c>
      <c r="L1016" s="14">
        <f>CHOOSE(CONTROL!$C$42, 106.0865, 106.0865) * CHOOSE(CONTROL!$C$21, $C$9, 100%, $E$9)</f>
        <v>106.0865</v>
      </c>
      <c r="M1016" s="14">
        <f>CHOOSE(CONTROL!$C$42, 104.2033, 104.2033) * CHOOSE(CONTROL!$C$21, $C$9, 100%, $E$9)</f>
        <v>104.2033</v>
      </c>
      <c r="N1016" s="14">
        <f>CHOOSE(CONTROL!$C$42, 104.2195, 104.2195) * CHOOSE(CONTROL!$C$21, $C$9, 100%, $E$9)</f>
        <v>104.2195</v>
      </c>
      <c r="O1016" s="14">
        <f>CHOOSE(CONTROL!$C$42, 104.4487, 104.4487) * CHOOSE(CONTROL!$C$21, $C$9, 100%, $E$9)</f>
        <v>104.4487</v>
      </c>
      <c r="P1016" s="14">
        <f>CHOOSE(CONTROL!$C$42, 104.237, 104.237) * CHOOSE(CONTROL!$C$21, $C$9, 100%, $E$9)</f>
        <v>104.23699999999999</v>
      </c>
      <c r="Q1016" s="14">
        <f>CHOOSE(CONTROL!$C$42, 105.044, 105.044) * CHOOSE(CONTROL!$C$21, $C$9, 100%, $E$9)</f>
        <v>105.044</v>
      </c>
      <c r="R1016" s="14">
        <f>CHOOSE(CONTROL!$C$42, 105.8936, 105.8936) * CHOOSE(CONTROL!$C$21, $C$9, 100%, $E$9)</f>
        <v>105.89360000000001</v>
      </c>
      <c r="S1016" s="14">
        <f>CHOOSE(CONTROL!$C$42, 102.2276, 102.2276) * CHOOSE(CONTROL!$C$21, $C$9, 100%, $E$9)</f>
        <v>102.2276</v>
      </c>
      <c r="T1016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16" s="57">
        <f>(1000*CHOOSE(CONTROL!$C$42, 695, 695)*CHOOSE(CONTROL!$C$42, 0.5599, 0.5599)*CHOOSE(CONTROL!$C$42, 31, 31))/1000000</f>
        <v>12.063045499999998</v>
      </c>
      <c r="V1016" s="57">
        <f>(1000*CHOOSE(CONTROL!$C$42, 500, 500)*CHOOSE(CONTROL!$C$42, 0.275, 0.275)*CHOOSE(CONTROL!$C$42, 31, 31))/1000000</f>
        <v>4.2625000000000002</v>
      </c>
      <c r="W1016" s="57">
        <f>(1000*CHOOSE(CONTROL!$C$42, 0.1146, 0.1146)*CHOOSE(CONTROL!$C$42, 121.5, 121.5)*CHOOSE(CONTROL!$C$42, 31, 31))/1000000</f>
        <v>0.43164089999999994</v>
      </c>
      <c r="X1016" s="57">
        <f>(31*0.1790888*245000/1000000)+(31*0.2374*100000/1000000)</f>
        <v>2.0961194359999999</v>
      </c>
      <c r="Y1016" s="57"/>
      <c r="Z1016" s="14"/>
      <c r="AA1016" s="56"/>
      <c r="AB1016" s="50">
        <f>(B1016*194.205+C1016*267.466+D1016*133.845+E1016*53.484+F1016*40+G1016*185+H1016*0+I1016*100+J1016*300)/(194.205+267.466+133.845+53.484+0+40+185+100+300)</f>
        <v>105.30267240447409</v>
      </c>
      <c r="AC1016" s="45">
        <f>(M1016*'RAP TEMPLATE-GAS AVAILABILITY'!O1015+N1016*'RAP TEMPLATE-GAS AVAILABILITY'!P1015+O1016*'RAP TEMPLATE-GAS AVAILABILITY'!Q1015+P1016*'RAP TEMPLATE-GAS AVAILABILITY'!R1015)/('RAP TEMPLATE-GAS AVAILABILITY'!O1015+'RAP TEMPLATE-GAS AVAILABILITY'!P1015+'RAP TEMPLATE-GAS AVAILABILITY'!Q1015+'RAP TEMPLATE-GAS AVAILABILITY'!R1015)</f>
        <v>104.32030575539569</v>
      </c>
    </row>
    <row r="1017" spans="1:29" ht="15.75" x14ac:dyDescent="0.25">
      <c r="A1017" s="32">
        <v>71863</v>
      </c>
      <c r="B1017" s="14">
        <f>CHOOSE(CONTROL!$C$42, 98.5906, 98.5906) * CHOOSE(CONTROL!$C$21, $C$9, 100%, $E$9)</f>
        <v>98.590599999999995</v>
      </c>
      <c r="C1017" s="14">
        <f>CHOOSE(CONTROL!$C$42, 98.5985, 98.5985) * CHOOSE(CONTROL!$C$21, $C$9, 100%, $E$9)</f>
        <v>98.598500000000001</v>
      </c>
      <c r="D1017" s="14">
        <f>CHOOSE(CONTROL!$C$42, 98.7961, 98.7961) * CHOOSE(CONTROL!$C$21, $C$9, 100%, $E$9)</f>
        <v>98.796099999999996</v>
      </c>
      <c r="E1017" s="14">
        <f>CHOOSE(CONTROL!$C$42, 98.8272, 98.8272) * CHOOSE(CONTROL!$C$21, $C$9, 100%, $E$9)</f>
        <v>98.827200000000005</v>
      </c>
      <c r="F1017" s="14">
        <f>CHOOSE(CONTROL!$C$42, 98.5749, 98.5749)*CHOOSE(CONTROL!$C$21, $C$9, 100%, $E$9)</f>
        <v>98.5749</v>
      </c>
      <c r="G1017" s="14">
        <f>CHOOSE(CONTROL!$C$42, 98.5913, 98.5913)*CHOOSE(CONTROL!$C$21, $C$9, 100%, $E$9)</f>
        <v>98.591300000000004</v>
      </c>
      <c r="H1017" s="14">
        <f>CHOOSE(CONTROL!$C$42, 98.8158, 98.8158) * CHOOSE(CONTROL!$C$21, $C$9, 100%, $E$9)</f>
        <v>98.815799999999996</v>
      </c>
      <c r="I1017" s="14">
        <f>CHOOSE(CONTROL!$C$42, 98.6019, 98.6019)* CHOOSE(CONTROL!$C$21, $C$9, 100%, $E$9)</f>
        <v>98.601900000000001</v>
      </c>
      <c r="J1017" s="14">
        <f>CHOOSE(CONTROL!$C$42, 98.5679, 98.5679)* CHOOSE(CONTROL!$C$21, $C$9, 100%, $E$9)</f>
        <v>98.567899999999995</v>
      </c>
      <c r="K1017" s="53">
        <f>CHOOSE(CONTROL!$C$42, 98.598, 98.598) * CHOOSE(CONTROL!$C$21, $C$9, 100%, $E$9)</f>
        <v>98.597999999999999</v>
      </c>
      <c r="L1017" s="14">
        <f>CHOOSE(CONTROL!$C$42, 99.4028, 99.4028) * CHOOSE(CONTROL!$C$21, $C$9, 100%, $E$9)</f>
        <v>99.402799999999999</v>
      </c>
      <c r="M1017" s="14">
        <f>CHOOSE(CONTROL!$C$42, 97.587, 97.587) * CHOOSE(CONTROL!$C$21, $C$9, 100%, $E$9)</f>
        <v>97.587000000000003</v>
      </c>
      <c r="N1017" s="14">
        <f>CHOOSE(CONTROL!$C$42, 97.6032, 97.6032) * CHOOSE(CONTROL!$C$21, $C$9, 100%, $E$9)</f>
        <v>97.603200000000001</v>
      </c>
      <c r="O1017" s="14">
        <f>CHOOSE(CONTROL!$C$42, 97.8324, 97.8324) * CHOOSE(CONTROL!$C$21, $C$9, 100%, $E$9)</f>
        <v>97.832400000000007</v>
      </c>
      <c r="P1017" s="14">
        <f>CHOOSE(CONTROL!$C$42, 97.6207, 97.6207) * CHOOSE(CONTROL!$C$21, $C$9, 100%, $E$9)</f>
        <v>97.620699999999999</v>
      </c>
      <c r="Q1017" s="14">
        <f>CHOOSE(CONTROL!$C$42, 98.4277, 98.4277) * CHOOSE(CONTROL!$C$21, $C$9, 100%, $E$9)</f>
        <v>98.427700000000002</v>
      </c>
      <c r="R1017" s="14">
        <f>CHOOSE(CONTROL!$C$42, 99.2608, 99.2608) * CHOOSE(CONTROL!$C$21, $C$9, 100%, $E$9)</f>
        <v>99.260800000000003</v>
      </c>
      <c r="S1017" s="14">
        <f>CHOOSE(CONTROL!$C$42, 95.7371, 95.7371) * CHOOSE(CONTROL!$C$21, $C$9, 100%, $E$9)</f>
        <v>95.737099999999998</v>
      </c>
      <c r="T1017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17" s="57">
        <f>(1000*CHOOSE(CONTROL!$C$42, 695, 695)*CHOOSE(CONTROL!$C$42, 0.5599, 0.5599)*CHOOSE(CONTROL!$C$42, 30, 30))/1000000</f>
        <v>11.673914999999997</v>
      </c>
      <c r="V1017" s="57">
        <f>(1000*CHOOSE(CONTROL!$C$42, 500, 500)*CHOOSE(CONTROL!$C$42, 0.275, 0.275)*CHOOSE(CONTROL!$C$42, 30, 30))/1000000</f>
        <v>4.125</v>
      </c>
      <c r="W1017" s="57">
        <f>(1000*CHOOSE(CONTROL!$C$42, 0.1146, 0.1146)*CHOOSE(CONTROL!$C$42, 121.5, 121.5)*CHOOSE(CONTROL!$C$42, 30, 30))/1000000</f>
        <v>0.417717</v>
      </c>
      <c r="X1017" s="57">
        <f>(30*0.1790888*245000/1000000)+(30*0.2374*100000/1000000)</f>
        <v>2.0285026799999999</v>
      </c>
      <c r="Y1017" s="57"/>
      <c r="Z1017" s="14"/>
      <c r="AA1017" s="56"/>
      <c r="AB1017" s="50">
        <f>(B1017*194.205+C1017*267.466+D1017*133.845+E1017*53.484+F1017*40+G1017*185+H1017*0+I1017*100+J1017*300)/(194.205+267.466+133.845+53.484+0+40+185+100+300)</f>
        <v>98.61893119568289</v>
      </c>
      <c r="AC1017" s="45">
        <f>(M1017*'RAP TEMPLATE-GAS AVAILABILITY'!O1016+N1017*'RAP TEMPLATE-GAS AVAILABILITY'!P1016+O1017*'RAP TEMPLATE-GAS AVAILABILITY'!Q1016+P1017*'RAP TEMPLATE-GAS AVAILABILITY'!R1016)/('RAP TEMPLATE-GAS AVAILABILITY'!O1016+'RAP TEMPLATE-GAS AVAILABILITY'!P1016+'RAP TEMPLATE-GAS AVAILABILITY'!Q1016+'RAP TEMPLATE-GAS AVAILABILITY'!R1016)</f>
        <v>97.704005755395698</v>
      </c>
    </row>
    <row r="1018" spans="1:29" ht="15.75" x14ac:dyDescent="0.25">
      <c r="A1018" s="32">
        <v>71894</v>
      </c>
      <c r="B1018" s="14">
        <f>CHOOSE(CONTROL!$C$42, 96.5871, 96.5871) * CHOOSE(CONTROL!$C$21, $C$9, 100%, $E$9)</f>
        <v>96.587100000000007</v>
      </c>
      <c r="C1018" s="14">
        <f>CHOOSE(CONTROL!$C$42, 96.5923, 96.5923) * CHOOSE(CONTROL!$C$21, $C$9, 100%, $E$9)</f>
        <v>96.592299999999994</v>
      </c>
      <c r="D1018" s="14">
        <f>CHOOSE(CONTROL!$C$42, 96.7949, 96.7949) * CHOOSE(CONTROL!$C$21, $C$9, 100%, $E$9)</f>
        <v>96.794899999999998</v>
      </c>
      <c r="E1018" s="14">
        <f>CHOOSE(CONTROL!$C$42, 96.8237, 96.8237) * CHOOSE(CONTROL!$C$21, $C$9, 100%, $E$9)</f>
        <v>96.823700000000002</v>
      </c>
      <c r="F1018" s="14">
        <f>CHOOSE(CONTROL!$C$42, 96.5735, 96.5735)*CHOOSE(CONTROL!$C$21, $C$9, 100%, $E$9)</f>
        <v>96.573499999999996</v>
      </c>
      <c r="G1018" s="14">
        <f>CHOOSE(CONTROL!$C$42, 96.5895, 96.5895)*CHOOSE(CONTROL!$C$21, $C$9, 100%, $E$9)</f>
        <v>96.589500000000001</v>
      </c>
      <c r="H1018" s="14">
        <f>CHOOSE(CONTROL!$C$42, 96.8142, 96.8142) * CHOOSE(CONTROL!$C$21, $C$9, 100%, $E$9)</f>
        <v>96.8142</v>
      </c>
      <c r="I1018" s="14">
        <f>CHOOSE(CONTROL!$C$42, 96.6003, 96.6003)* CHOOSE(CONTROL!$C$21, $C$9, 100%, $E$9)</f>
        <v>96.600300000000004</v>
      </c>
      <c r="J1018" s="14">
        <f>CHOOSE(CONTROL!$C$42, 96.5665, 96.5665)* CHOOSE(CONTROL!$C$21, $C$9, 100%, $E$9)</f>
        <v>96.566500000000005</v>
      </c>
      <c r="K1018" s="53">
        <f>CHOOSE(CONTROL!$C$42, 96.5964, 96.5964) * CHOOSE(CONTROL!$C$21, $C$9, 100%, $E$9)</f>
        <v>96.596400000000003</v>
      </c>
      <c r="L1018" s="14">
        <f>CHOOSE(CONTROL!$C$42, 97.4012, 97.4012) * CHOOSE(CONTROL!$C$21, $C$9, 100%, $E$9)</f>
        <v>97.401200000000003</v>
      </c>
      <c r="M1018" s="14">
        <f>CHOOSE(CONTROL!$C$42, 95.6058, 95.6058) * CHOOSE(CONTROL!$C$21, $C$9, 100%, $E$9)</f>
        <v>95.605800000000002</v>
      </c>
      <c r="N1018" s="14">
        <f>CHOOSE(CONTROL!$C$42, 95.6216, 95.6216) * CHOOSE(CONTROL!$C$21, $C$9, 100%, $E$9)</f>
        <v>95.621600000000001</v>
      </c>
      <c r="O1018" s="14">
        <f>CHOOSE(CONTROL!$C$42, 95.851, 95.851) * CHOOSE(CONTROL!$C$21, $C$9, 100%, $E$9)</f>
        <v>95.850999999999999</v>
      </c>
      <c r="P1018" s="14">
        <f>CHOOSE(CONTROL!$C$42, 95.6393, 95.6393) * CHOOSE(CONTROL!$C$21, $C$9, 100%, $E$9)</f>
        <v>95.639300000000006</v>
      </c>
      <c r="Q1018" s="14">
        <f>CHOOSE(CONTROL!$C$42, 96.4463, 96.4463) * CHOOSE(CONTROL!$C$21, $C$9, 100%, $E$9)</f>
        <v>96.446299999999994</v>
      </c>
      <c r="R1018" s="14">
        <f>CHOOSE(CONTROL!$C$42, 97.2744, 97.2744) * CHOOSE(CONTROL!$C$21, $C$9, 100%, $E$9)</f>
        <v>97.2744</v>
      </c>
      <c r="S1018" s="14">
        <f>CHOOSE(CONTROL!$C$42, 93.7932, 93.7932) * CHOOSE(CONTROL!$C$21, $C$9, 100%, $E$9)</f>
        <v>93.793199999999999</v>
      </c>
      <c r="T1018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18" s="57">
        <f>(1000*CHOOSE(CONTROL!$C$42, 695, 695)*CHOOSE(CONTROL!$C$42, 0.5599, 0.5599)*CHOOSE(CONTROL!$C$42, 31, 31))/1000000</f>
        <v>12.063045499999998</v>
      </c>
      <c r="V1018" s="57">
        <f>(1000*CHOOSE(CONTROL!$C$42, 500, 500)*CHOOSE(CONTROL!$C$42, 0.275, 0.275)*CHOOSE(CONTROL!$C$42, 31, 31))/1000000</f>
        <v>4.2625000000000002</v>
      </c>
      <c r="W1018" s="57">
        <f>(1000*CHOOSE(CONTROL!$C$42, 0.1146, 0.1146)*CHOOSE(CONTROL!$C$42, 121.5, 121.5)*CHOOSE(CONTROL!$C$42, 31, 31))/1000000</f>
        <v>0.43164089999999994</v>
      </c>
      <c r="X1018" s="57">
        <f>(31*0.1790888*245000/1000000)+(31*0.2374*100000/1000000)</f>
        <v>2.0961194359999999</v>
      </c>
      <c r="Y1018" s="57"/>
      <c r="Z1018" s="14"/>
      <c r="AA1018" s="56"/>
      <c r="AB1018" s="50">
        <f>(B1018*131.881+C1018*277.167+D1018*79.08+E1018*125.872+F1018*40+G1018*185+H1018*0+I1018*100+J1018*300)/(131.881+277.167+79.08+125.872+0+40+185+100+300)</f>
        <v>96.621559570298629</v>
      </c>
      <c r="AC1018" s="45">
        <f>(M1018*'RAP TEMPLATE-GAS AVAILABILITY'!O1017+N1018*'RAP TEMPLATE-GAS AVAILABILITY'!P1017+O1018*'RAP TEMPLATE-GAS AVAILABILITY'!Q1017+P1018*'RAP TEMPLATE-GAS AVAILABILITY'!R1017)/('RAP TEMPLATE-GAS AVAILABILITY'!O1017+'RAP TEMPLATE-GAS AVAILABILITY'!P1017+'RAP TEMPLATE-GAS AVAILABILITY'!Q1017+'RAP TEMPLATE-GAS AVAILABILITY'!R1017)</f>
        <v>95.722663309352498</v>
      </c>
    </row>
    <row r="1019" spans="1:29" ht="15.75" x14ac:dyDescent="0.25">
      <c r="A1019" s="32">
        <v>71924</v>
      </c>
      <c r="B1019" s="14">
        <f>CHOOSE(CONTROL!$C$42, 99.1312, 99.1312) * CHOOSE(CONTROL!$C$21, $C$9, 100%, $E$9)</f>
        <v>99.131200000000007</v>
      </c>
      <c r="C1019" s="14">
        <f>CHOOSE(CONTROL!$C$42, 99.1361, 99.1361) * CHOOSE(CONTROL!$C$21, $C$9, 100%, $E$9)</f>
        <v>99.136099999999999</v>
      </c>
      <c r="D1019" s="14">
        <f>CHOOSE(CONTROL!$C$42, 99.1992, 99.1992) * CHOOSE(CONTROL!$C$21, $C$9, 100%, $E$9)</f>
        <v>99.199200000000005</v>
      </c>
      <c r="E1019" s="14">
        <f>CHOOSE(CONTROL!$C$42, 99.233, 99.233) * CHOOSE(CONTROL!$C$21, $C$9, 100%, $E$9)</f>
        <v>99.233000000000004</v>
      </c>
      <c r="F1019" s="14">
        <f>CHOOSE(CONTROL!$C$42, 99.1319, 99.1319)*CHOOSE(CONTROL!$C$21, $C$9, 100%, $E$9)</f>
        <v>99.131900000000002</v>
      </c>
      <c r="G1019" s="14">
        <f>CHOOSE(CONTROL!$C$42, 99.1482, 99.1482)*CHOOSE(CONTROL!$C$21, $C$9, 100%, $E$9)</f>
        <v>99.148200000000003</v>
      </c>
      <c r="H1019" s="14">
        <f>CHOOSE(CONTROL!$C$42, 99.2222, 99.2222) * CHOOSE(CONTROL!$C$21, $C$9, 100%, $E$9)</f>
        <v>99.222200000000001</v>
      </c>
      <c r="I1019" s="14">
        <f>CHOOSE(CONTROL!$C$42, 99.1447, 99.1447)* CHOOSE(CONTROL!$C$21, $C$9, 100%, $E$9)</f>
        <v>99.1447</v>
      </c>
      <c r="J1019" s="14">
        <f>CHOOSE(CONTROL!$C$42, 99.1249, 99.1249)* CHOOSE(CONTROL!$C$21, $C$9, 100%, $E$9)</f>
        <v>99.124899999999997</v>
      </c>
      <c r="K1019" s="53">
        <f>CHOOSE(CONTROL!$C$42, 99.1408, 99.1408) * CHOOSE(CONTROL!$C$21, $C$9, 100%, $E$9)</f>
        <v>99.140799999999999</v>
      </c>
      <c r="L1019" s="14">
        <f>CHOOSE(CONTROL!$C$42, 99.8092, 99.8092) * CHOOSE(CONTROL!$C$21, $C$9, 100%, $E$9)</f>
        <v>99.809200000000004</v>
      </c>
      <c r="M1019" s="14">
        <f>CHOOSE(CONTROL!$C$42, 98.1384, 98.1384) * CHOOSE(CONTROL!$C$21, $C$9, 100%, $E$9)</f>
        <v>98.138400000000004</v>
      </c>
      <c r="N1019" s="14">
        <f>CHOOSE(CONTROL!$C$42, 98.1545, 98.1545) * CHOOSE(CONTROL!$C$21, $C$9, 100%, $E$9)</f>
        <v>98.154499999999999</v>
      </c>
      <c r="O1019" s="14">
        <f>CHOOSE(CONTROL!$C$42, 98.2347, 98.2347) * CHOOSE(CONTROL!$C$21, $C$9, 100%, $E$9)</f>
        <v>98.234700000000004</v>
      </c>
      <c r="P1019" s="14">
        <f>CHOOSE(CONTROL!$C$42, 98.1581, 98.1581) * CHOOSE(CONTROL!$C$21, $C$9, 100%, $E$9)</f>
        <v>98.158100000000005</v>
      </c>
      <c r="Q1019" s="14">
        <f>CHOOSE(CONTROL!$C$42, 98.83, 98.83) * CHOOSE(CONTROL!$C$21, $C$9, 100%, $E$9)</f>
        <v>98.83</v>
      </c>
      <c r="R1019" s="14">
        <f>CHOOSE(CONTROL!$C$42, 99.6641, 99.6641) * CHOOSE(CONTROL!$C$21, $C$9, 100%, $E$9)</f>
        <v>99.664100000000005</v>
      </c>
      <c r="S1019" s="14">
        <f>CHOOSE(CONTROL!$C$42, 96.2642, 96.2642) * CHOOSE(CONTROL!$C$21, $C$9, 100%, $E$9)</f>
        <v>96.264200000000002</v>
      </c>
      <c r="T1019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19" s="57">
        <f>(1000*CHOOSE(CONTROL!$C$42, 695, 695)*CHOOSE(CONTROL!$C$42, 0.5599, 0.5599)*CHOOSE(CONTROL!$C$42, 30, 30))/1000000</f>
        <v>11.673914999999997</v>
      </c>
      <c r="V1019" s="57">
        <f>(1000*CHOOSE(CONTROL!$C$42, 500, 500)*CHOOSE(CONTROL!$C$42, 0.275, 0.275)*CHOOSE(CONTROL!$C$42, 30, 30))/1000000</f>
        <v>4.125</v>
      </c>
      <c r="W1019" s="57">
        <f>(1000*CHOOSE(CONTROL!$C$42, 0.1146, 0.1146)*CHOOSE(CONTROL!$C$42, 121.5, 121.5)*CHOOSE(CONTROL!$C$42, 30, 30))/1000000</f>
        <v>0.417717</v>
      </c>
      <c r="X1019" s="57">
        <f>(30*0.1790888*100000/1000000)+(30*0.2374*100000/1000000)</f>
        <v>1.2494664</v>
      </c>
      <c r="Y1019" s="57"/>
      <c r="Z1019" s="14"/>
      <c r="AA1019" s="56"/>
      <c r="AB1019" s="50">
        <f>(B1019*122.58+C1019*297.941+D1019*89.177+E1019*40.302+F1019*40+G1019*160+H1019*0+I1019*100+J1019*300)/(122.58+297.941+89.177+40.302+0+40+160+100+300)</f>
        <v>99.14323016565217</v>
      </c>
      <c r="AC1019" s="45">
        <f>(M1019*'RAP TEMPLATE-GAS AVAILABILITY'!O1018+N1019*'RAP TEMPLATE-GAS AVAILABILITY'!P1018+O1019*'RAP TEMPLATE-GAS AVAILABILITY'!Q1018+P1019*'RAP TEMPLATE-GAS AVAILABILITY'!R1018)/('RAP TEMPLATE-GAS AVAILABILITY'!O1018+'RAP TEMPLATE-GAS AVAILABILITY'!P1018+'RAP TEMPLATE-GAS AVAILABILITY'!Q1018+'RAP TEMPLATE-GAS AVAILABILITY'!R1018)</f>
        <v>98.18580791366908</v>
      </c>
    </row>
    <row r="1020" spans="1:29" ht="15.75" x14ac:dyDescent="0.25">
      <c r="A1020" s="32">
        <v>71955</v>
      </c>
      <c r="B1020" s="14">
        <f>CHOOSE(CONTROL!$C$42, 105.8897, 105.8897) * CHOOSE(CONTROL!$C$21, $C$9, 100%, $E$9)</f>
        <v>105.8897</v>
      </c>
      <c r="C1020" s="14">
        <f>CHOOSE(CONTROL!$C$42, 105.8947, 105.8947) * CHOOSE(CONTROL!$C$21, $C$9, 100%, $E$9)</f>
        <v>105.8947</v>
      </c>
      <c r="D1020" s="14">
        <f>CHOOSE(CONTROL!$C$42, 105.9577, 105.9577) * CHOOSE(CONTROL!$C$21, $C$9, 100%, $E$9)</f>
        <v>105.9577</v>
      </c>
      <c r="E1020" s="14">
        <f>CHOOSE(CONTROL!$C$42, 105.9915, 105.9915) * CHOOSE(CONTROL!$C$21, $C$9, 100%, $E$9)</f>
        <v>105.9915</v>
      </c>
      <c r="F1020" s="14">
        <f>CHOOSE(CONTROL!$C$42, 105.8924, 105.8924)*CHOOSE(CONTROL!$C$21, $C$9, 100%, $E$9)</f>
        <v>105.89239999999999</v>
      </c>
      <c r="G1020" s="14">
        <f>CHOOSE(CONTROL!$C$42, 105.9093, 105.9093)*CHOOSE(CONTROL!$C$21, $C$9, 100%, $E$9)</f>
        <v>105.9093</v>
      </c>
      <c r="H1020" s="14">
        <f>CHOOSE(CONTROL!$C$42, 105.9807, 105.9807) * CHOOSE(CONTROL!$C$21, $C$9, 100%, $E$9)</f>
        <v>105.9807</v>
      </c>
      <c r="I1020" s="14">
        <f>CHOOSE(CONTROL!$C$42, 105.9033, 105.9033)* CHOOSE(CONTROL!$C$21, $C$9, 100%, $E$9)</f>
        <v>105.9033</v>
      </c>
      <c r="J1020" s="14">
        <f>CHOOSE(CONTROL!$C$42, 105.8854, 105.8854)* CHOOSE(CONTROL!$C$21, $C$9, 100%, $E$9)</f>
        <v>105.8854</v>
      </c>
      <c r="K1020" s="53">
        <f>CHOOSE(CONTROL!$C$42, 105.8994, 105.8994) * CHOOSE(CONTROL!$C$21, $C$9, 100%, $E$9)</f>
        <v>105.8994</v>
      </c>
      <c r="L1020" s="14">
        <f>CHOOSE(CONTROL!$C$42, 106.5677, 106.5677) * CHOOSE(CONTROL!$C$21, $C$9, 100%, $E$9)</f>
        <v>106.5677</v>
      </c>
      <c r="M1020" s="14">
        <f>CHOOSE(CONTROL!$C$42, 104.8307, 104.8307) * CHOOSE(CONTROL!$C$21, $C$9, 100%, $E$9)</f>
        <v>104.83069999999999</v>
      </c>
      <c r="N1020" s="14">
        <f>CHOOSE(CONTROL!$C$42, 104.8474, 104.8474) * CHOOSE(CONTROL!$C$21, $C$9, 100%, $E$9)</f>
        <v>104.84739999999999</v>
      </c>
      <c r="O1020" s="14">
        <f>CHOOSE(CONTROL!$C$42, 104.925, 104.925) * CHOOSE(CONTROL!$C$21, $C$9, 100%, $E$9)</f>
        <v>104.925</v>
      </c>
      <c r="P1020" s="14">
        <f>CHOOSE(CONTROL!$C$42, 104.8484, 104.8484) * CHOOSE(CONTROL!$C$21, $C$9, 100%, $E$9)</f>
        <v>104.8484</v>
      </c>
      <c r="Q1020" s="14">
        <f>CHOOSE(CONTROL!$C$42, 105.5203, 105.5203) * CHOOSE(CONTROL!$C$21, $C$9, 100%, $E$9)</f>
        <v>105.52030000000001</v>
      </c>
      <c r="R1020" s="14">
        <f>CHOOSE(CONTROL!$C$42, 106.3711, 106.3711) * CHOOSE(CONTROL!$C$21, $C$9, 100%, $E$9)</f>
        <v>106.3711</v>
      </c>
      <c r="S1020" s="14">
        <f>CHOOSE(CONTROL!$C$42, 102.8274, 102.8274) * CHOOSE(CONTROL!$C$21, $C$9, 100%, $E$9)</f>
        <v>102.8274</v>
      </c>
      <c r="T1020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20" s="57">
        <f>(1000*CHOOSE(CONTROL!$C$42, 695, 695)*CHOOSE(CONTROL!$C$42, 0.5599, 0.5599)*CHOOSE(CONTROL!$C$42, 31, 31))/1000000</f>
        <v>12.063045499999998</v>
      </c>
      <c r="V1020" s="57">
        <f>(1000*CHOOSE(CONTROL!$C$42, 500, 500)*CHOOSE(CONTROL!$C$42, 0.275, 0.275)*CHOOSE(CONTROL!$C$42, 31, 31))/1000000</f>
        <v>4.2625000000000002</v>
      </c>
      <c r="W1020" s="57">
        <f>(1000*CHOOSE(CONTROL!$C$42, 0.1146, 0.1146)*CHOOSE(CONTROL!$C$42, 121.5, 121.5)*CHOOSE(CONTROL!$C$42, 31, 31))/1000000</f>
        <v>0.43164089999999994</v>
      </c>
      <c r="X1020" s="57">
        <f>(31*0.1790888*100000/1000000)+(31*0.2374*100000/1000000)</f>
        <v>1.2911152800000001</v>
      </c>
      <c r="Y1020" s="57"/>
      <c r="Z1020" s="14"/>
      <c r="AA1020" s="56"/>
      <c r="AB1020" s="50">
        <f>(B1020*122.58+C1020*297.941+D1020*89.177+E1020*40.302+F1020*40+G1020*160+H1020*0+I1020*100+J1020*300)/(122.58+297.941+89.177+40.302+0+40+160+100+300)</f>
        <v>105.90271781269564</v>
      </c>
      <c r="AC1020" s="45">
        <f>(M1020*'RAP TEMPLATE-GAS AVAILABILITY'!O1019+N1020*'RAP TEMPLATE-GAS AVAILABILITY'!P1019+O1020*'RAP TEMPLATE-GAS AVAILABILITY'!Q1019+P1020*'RAP TEMPLATE-GAS AVAILABILITY'!R1019)/('RAP TEMPLATE-GAS AVAILABILITY'!O1019+'RAP TEMPLATE-GAS AVAILABILITY'!P1019+'RAP TEMPLATE-GAS AVAILABILITY'!Q1019+'RAP TEMPLATE-GAS AVAILABILITY'!R1019)</f>
        <v>104.87694820143884</v>
      </c>
    </row>
    <row r="1021" spans="1:29" ht="15.75" x14ac:dyDescent="0.25">
      <c r="A1021" s="32">
        <v>71986</v>
      </c>
      <c r="B1021" s="14">
        <f>CHOOSE(CONTROL!$C$42, 114.5658, 114.5658) * CHOOSE(CONTROL!$C$21, $C$9, 100%, $E$9)</f>
        <v>114.5658</v>
      </c>
      <c r="C1021" s="14">
        <f>CHOOSE(CONTROL!$C$42, 114.5707, 114.5707) * CHOOSE(CONTROL!$C$21, $C$9, 100%, $E$9)</f>
        <v>114.5707</v>
      </c>
      <c r="D1021" s="14">
        <f>CHOOSE(CONTROL!$C$42, 114.635, 114.635) * CHOOSE(CONTROL!$C$21, $C$9, 100%, $E$9)</f>
        <v>114.63500000000001</v>
      </c>
      <c r="E1021" s="14">
        <f>CHOOSE(CONTROL!$C$42, 114.6688, 114.6688) * CHOOSE(CONTROL!$C$21, $C$9, 100%, $E$9)</f>
        <v>114.6688</v>
      </c>
      <c r="F1021" s="14">
        <f>CHOOSE(CONTROL!$C$42, 114.5673, 114.5673)*CHOOSE(CONTROL!$C$21, $C$9, 100%, $E$9)</f>
        <v>114.5673</v>
      </c>
      <c r="G1021" s="14">
        <f>CHOOSE(CONTROL!$C$42, 114.5832, 114.5832)*CHOOSE(CONTROL!$C$21, $C$9, 100%, $E$9)</f>
        <v>114.58320000000001</v>
      </c>
      <c r="H1021" s="14">
        <f>CHOOSE(CONTROL!$C$42, 114.658, 114.658) * CHOOSE(CONTROL!$C$21, $C$9, 100%, $E$9)</f>
        <v>114.658</v>
      </c>
      <c r="I1021" s="14">
        <f>CHOOSE(CONTROL!$C$42, 114.5857, 114.5857)* CHOOSE(CONTROL!$C$21, $C$9, 100%, $E$9)</f>
        <v>114.5857</v>
      </c>
      <c r="J1021" s="14">
        <f>CHOOSE(CONTROL!$C$42, 114.5603, 114.5603)* CHOOSE(CONTROL!$C$21, $C$9, 100%, $E$9)</f>
        <v>114.5603</v>
      </c>
      <c r="K1021" s="53">
        <f>CHOOSE(CONTROL!$C$42, 114.5818, 114.5818) * CHOOSE(CONTROL!$C$21, $C$9, 100%, $E$9)</f>
        <v>114.5818</v>
      </c>
      <c r="L1021" s="14">
        <f>CHOOSE(CONTROL!$C$42, 115.245, 115.245) * CHOOSE(CONTROL!$C$21, $C$9, 100%, $E$9)</f>
        <v>115.245</v>
      </c>
      <c r="M1021" s="14">
        <f>CHOOSE(CONTROL!$C$42, 113.418, 113.418) * CHOOSE(CONTROL!$C$21, $C$9, 100%, $E$9)</f>
        <v>113.41800000000001</v>
      </c>
      <c r="N1021" s="14">
        <f>CHOOSE(CONTROL!$C$42, 113.4337, 113.4337) * CHOOSE(CONTROL!$C$21, $C$9, 100%, $E$9)</f>
        <v>113.4337</v>
      </c>
      <c r="O1021" s="14">
        <f>CHOOSE(CONTROL!$C$42, 113.5147, 113.5147) * CHOOSE(CONTROL!$C$21, $C$9, 100%, $E$9)</f>
        <v>113.5147</v>
      </c>
      <c r="P1021" s="14">
        <f>CHOOSE(CONTROL!$C$42, 113.4432, 113.4432) * CHOOSE(CONTROL!$C$21, $C$9, 100%, $E$9)</f>
        <v>113.4432</v>
      </c>
      <c r="Q1021" s="14">
        <f>CHOOSE(CONTROL!$C$42, 114.11, 114.11) * CHOOSE(CONTROL!$C$21, $C$9, 100%, $E$9)</f>
        <v>114.11</v>
      </c>
      <c r="R1021" s="14">
        <f>CHOOSE(CONTROL!$C$42, 114.9823, 114.9823) * CHOOSE(CONTROL!$C$21, $C$9, 100%, $E$9)</f>
        <v>114.9823</v>
      </c>
      <c r="S1021" s="14">
        <f>CHOOSE(CONTROL!$C$42, 111.2527, 111.2527) * CHOOSE(CONTROL!$C$21, $C$9, 100%, $E$9)</f>
        <v>111.2527</v>
      </c>
      <c r="T1021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21" s="57">
        <f>(1000*CHOOSE(CONTROL!$C$42, 695, 695)*CHOOSE(CONTROL!$C$42, 0.5599, 0.5599)*CHOOSE(CONTROL!$C$42, 31, 31))/1000000</f>
        <v>12.063045499999998</v>
      </c>
      <c r="V1021" s="57">
        <f>(1000*CHOOSE(CONTROL!$C$42, 500, 500)*CHOOSE(CONTROL!$C$42, 0.275, 0.275)*CHOOSE(CONTROL!$C$42, 31, 31))/1000000</f>
        <v>4.2625000000000002</v>
      </c>
      <c r="W1021" s="57">
        <f>(1000*CHOOSE(CONTROL!$C$42, 0.1146, 0.1146)*CHOOSE(CONTROL!$C$42, 121.5, 121.5)*CHOOSE(CONTROL!$C$42, 31, 31))/1000000</f>
        <v>0.43164089999999994</v>
      </c>
      <c r="X1021" s="57">
        <f>(31*0.1790888*100000/1000000)+(31*0.2374*100000/1000000)</f>
        <v>1.2911152800000001</v>
      </c>
      <c r="Y1021" s="57"/>
      <c r="Z1021" s="14"/>
      <c r="AA1021" s="56"/>
      <c r="AB1021" s="50">
        <f>(B1021*122.58+C1021*297.941+D1021*89.177+E1021*40.302+F1021*40+G1021*160+H1021*0+I1021*100+J1021*300)/(122.58+297.941+89.177+40.302+0+40+160+100+300)</f>
        <v>114.57881396982609</v>
      </c>
      <c r="AC1021" s="45">
        <f>(M1021*'RAP TEMPLATE-GAS AVAILABILITY'!O1020+N1021*'RAP TEMPLATE-GAS AVAILABILITY'!P1020+O1021*'RAP TEMPLATE-GAS AVAILABILITY'!Q1020+P1021*'RAP TEMPLATE-GAS AVAILABILITY'!R1020)/('RAP TEMPLATE-GAS AVAILABILITY'!O1020+'RAP TEMPLATE-GAS AVAILABILITY'!P1020+'RAP TEMPLATE-GAS AVAILABILITY'!Q1020+'RAP TEMPLATE-GAS AVAILABILITY'!R1020)</f>
        <v>113.46635755395685</v>
      </c>
    </row>
    <row r="1022" spans="1:29" ht="15.75" x14ac:dyDescent="0.25">
      <c r="A1022" s="32">
        <v>72014</v>
      </c>
      <c r="B1022" s="14">
        <f>CHOOSE(CONTROL!$C$42, 116.6051, 116.6051) * CHOOSE(CONTROL!$C$21, $C$9, 100%, $E$9)</f>
        <v>116.60509999999999</v>
      </c>
      <c r="C1022" s="14">
        <f>CHOOSE(CONTROL!$C$42, 116.6101, 116.6101) * CHOOSE(CONTROL!$C$21, $C$9, 100%, $E$9)</f>
        <v>116.6101</v>
      </c>
      <c r="D1022" s="14">
        <f>CHOOSE(CONTROL!$C$42, 116.6744, 116.6744) * CHOOSE(CONTROL!$C$21, $C$9, 100%, $E$9)</f>
        <v>116.67440000000001</v>
      </c>
      <c r="E1022" s="14">
        <f>CHOOSE(CONTROL!$C$42, 116.7081, 116.7081) * CHOOSE(CONTROL!$C$21, $C$9, 100%, $E$9)</f>
        <v>116.7081</v>
      </c>
      <c r="F1022" s="14">
        <f>CHOOSE(CONTROL!$C$42, 116.6067, 116.6067)*CHOOSE(CONTROL!$C$21, $C$9, 100%, $E$9)</f>
        <v>116.6067</v>
      </c>
      <c r="G1022" s="14">
        <f>CHOOSE(CONTROL!$C$42, 116.6226, 116.6226)*CHOOSE(CONTROL!$C$21, $C$9, 100%, $E$9)</f>
        <v>116.62260000000001</v>
      </c>
      <c r="H1022" s="14">
        <f>CHOOSE(CONTROL!$C$42, 116.6973, 116.6973) * CHOOSE(CONTROL!$C$21, $C$9, 100%, $E$9)</f>
        <v>116.6973</v>
      </c>
      <c r="I1022" s="14">
        <f>CHOOSE(CONTROL!$C$42, 116.6251, 116.6251)* CHOOSE(CONTROL!$C$21, $C$9, 100%, $E$9)</f>
        <v>116.6251</v>
      </c>
      <c r="J1022" s="14">
        <f>CHOOSE(CONTROL!$C$42, 116.5997, 116.5997)* CHOOSE(CONTROL!$C$21, $C$9, 100%, $E$9)</f>
        <v>116.5997</v>
      </c>
      <c r="K1022" s="53">
        <f>CHOOSE(CONTROL!$C$42, 116.6212, 116.6212) * CHOOSE(CONTROL!$C$21, $C$9, 100%, $E$9)</f>
        <v>116.6212</v>
      </c>
      <c r="L1022" s="14">
        <f>CHOOSE(CONTROL!$C$42, 117.2843, 117.2843) * CHOOSE(CONTROL!$C$21, $C$9, 100%, $E$9)</f>
        <v>117.2843</v>
      </c>
      <c r="M1022" s="14">
        <f>CHOOSE(CONTROL!$C$42, 115.4368, 115.4368) * CHOOSE(CONTROL!$C$21, $C$9, 100%, $E$9)</f>
        <v>115.43680000000001</v>
      </c>
      <c r="N1022" s="14">
        <f>CHOOSE(CONTROL!$C$42, 115.4526, 115.4526) * CHOOSE(CONTROL!$C$21, $C$9, 100%, $E$9)</f>
        <v>115.4526</v>
      </c>
      <c r="O1022" s="14">
        <f>CHOOSE(CONTROL!$C$42, 115.5335, 115.5335) * CHOOSE(CONTROL!$C$21, $C$9, 100%, $E$9)</f>
        <v>115.5335</v>
      </c>
      <c r="P1022" s="14">
        <f>CHOOSE(CONTROL!$C$42, 115.462, 115.462) * CHOOSE(CONTROL!$C$21, $C$9, 100%, $E$9)</f>
        <v>115.462</v>
      </c>
      <c r="Q1022" s="14">
        <f>CHOOSE(CONTROL!$C$42, 116.1288, 116.1288) * CHOOSE(CONTROL!$C$21, $C$9, 100%, $E$9)</f>
        <v>116.1288</v>
      </c>
      <c r="R1022" s="14">
        <f>CHOOSE(CONTROL!$C$42, 117.0061, 117.0061) * CHOOSE(CONTROL!$C$21, $C$9, 100%, $E$9)</f>
        <v>117.0061</v>
      </c>
      <c r="S1022" s="14">
        <f>CHOOSE(CONTROL!$C$42, 113.2331, 113.2331) * CHOOSE(CONTROL!$C$21, $C$9, 100%, $E$9)</f>
        <v>113.23309999999999</v>
      </c>
      <c r="T1022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22" s="57">
        <f>(1000*CHOOSE(CONTROL!$C$42, 695, 695)*CHOOSE(CONTROL!$C$42, 0.5599, 0.5599)*CHOOSE(CONTROL!$C$42, 28, 28))/1000000</f>
        <v>10.895653999999999</v>
      </c>
      <c r="V1022" s="57">
        <f>(1000*CHOOSE(CONTROL!$C$42, 500, 500)*CHOOSE(CONTROL!$C$42, 0.275, 0.275)*CHOOSE(CONTROL!$C$42, 28, 28))/1000000</f>
        <v>3.85</v>
      </c>
      <c r="W1022" s="57">
        <f>(1000*CHOOSE(CONTROL!$C$42, 0.1146, 0.1146)*CHOOSE(CONTROL!$C$42, 121.5, 121.5)*CHOOSE(CONTROL!$C$42, 28, 28))/1000000</f>
        <v>0.38986920000000003</v>
      </c>
      <c r="X1022" s="57">
        <f>(28*0.1790888*100000/1000000)+(28*0.2374*100000/1000000)</f>
        <v>1.16616864</v>
      </c>
      <c r="Y1022" s="57"/>
      <c r="Z1022" s="14"/>
      <c r="AA1022" s="56"/>
      <c r="AB1022" s="50">
        <f>(B1022*122.58+C1022*297.941+D1022*89.177+E1022*40.302+F1022*40+G1022*160+H1022*0+I1022*100+J1022*300)/(122.58+297.941+89.177+40.302+0+40+160+100+300)</f>
        <v>116.61819980617391</v>
      </c>
      <c r="AC1022" s="45">
        <f>(M1022*'RAP TEMPLATE-GAS AVAILABILITY'!O1021+N1022*'RAP TEMPLATE-GAS AVAILABILITY'!P1021+O1022*'RAP TEMPLATE-GAS AVAILABILITY'!Q1021+P1022*'RAP TEMPLATE-GAS AVAILABILITY'!R1021)/('RAP TEMPLATE-GAS AVAILABILITY'!O1021+'RAP TEMPLATE-GAS AVAILABILITY'!P1021+'RAP TEMPLATE-GAS AVAILABILITY'!Q1021+'RAP TEMPLATE-GAS AVAILABILITY'!R1021)</f>
        <v>115.48516330935253</v>
      </c>
    </row>
    <row r="1023" spans="1:29" ht="15.75" x14ac:dyDescent="0.25">
      <c r="A1023" s="32">
        <v>72045</v>
      </c>
      <c r="B1023" s="14">
        <f>CHOOSE(CONTROL!$C$42, 113.2947, 113.2947) * CHOOSE(CONTROL!$C$21, $C$9, 100%, $E$9)</f>
        <v>113.29470000000001</v>
      </c>
      <c r="C1023" s="14">
        <f>CHOOSE(CONTROL!$C$42, 113.2997, 113.2997) * CHOOSE(CONTROL!$C$21, $C$9, 100%, $E$9)</f>
        <v>113.2997</v>
      </c>
      <c r="D1023" s="14">
        <f>CHOOSE(CONTROL!$C$42, 113.3639, 113.3639) * CHOOSE(CONTROL!$C$21, $C$9, 100%, $E$9)</f>
        <v>113.3639</v>
      </c>
      <c r="E1023" s="14">
        <f>CHOOSE(CONTROL!$C$42, 113.3977, 113.3977) * CHOOSE(CONTROL!$C$21, $C$9, 100%, $E$9)</f>
        <v>113.3977</v>
      </c>
      <c r="F1023" s="14">
        <f>CHOOSE(CONTROL!$C$42, 113.296, 113.296)*CHOOSE(CONTROL!$C$21, $C$9, 100%, $E$9)</f>
        <v>113.29600000000001</v>
      </c>
      <c r="G1023" s="14">
        <f>CHOOSE(CONTROL!$C$42, 113.3118, 113.3118)*CHOOSE(CONTROL!$C$21, $C$9, 100%, $E$9)</f>
        <v>113.31180000000001</v>
      </c>
      <c r="H1023" s="14">
        <f>CHOOSE(CONTROL!$C$42, 113.3869, 113.3869) * CHOOSE(CONTROL!$C$21, $C$9, 100%, $E$9)</f>
        <v>113.3869</v>
      </c>
      <c r="I1023" s="14">
        <f>CHOOSE(CONTROL!$C$42, 113.3147, 113.3147)* CHOOSE(CONTROL!$C$21, $C$9, 100%, $E$9)</f>
        <v>113.3147</v>
      </c>
      <c r="J1023" s="14">
        <f>CHOOSE(CONTROL!$C$42, 113.289, 113.289)* CHOOSE(CONTROL!$C$21, $C$9, 100%, $E$9)</f>
        <v>113.289</v>
      </c>
      <c r="K1023" s="53">
        <f>CHOOSE(CONTROL!$C$42, 113.3108, 113.3108) * CHOOSE(CONTROL!$C$21, $C$9, 100%, $E$9)</f>
        <v>113.3108</v>
      </c>
      <c r="L1023" s="14">
        <f>CHOOSE(CONTROL!$C$42, 113.9739, 113.9739) * CHOOSE(CONTROL!$C$21, $C$9, 100%, $E$9)</f>
        <v>113.9739</v>
      </c>
      <c r="M1023" s="14">
        <f>CHOOSE(CONTROL!$C$42, 112.1595, 112.1595) * CHOOSE(CONTROL!$C$21, $C$9, 100%, $E$9)</f>
        <v>112.15949999999999</v>
      </c>
      <c r="N1023" s="14">
        <f>CHOOSE(CONTROL!$C$42, 112.1752, 112.1752) * CHOOSE(CONTROL!$C$21, $C$9, 100%, $E$9)</f>
        <v>112.1752</v>
      </c>
      <c r="O1023" s="14">
        <f>CHOOSE(CONTROL!$C$42, 112.2565, 112.2565) * CHOOSE(CONTROL!$C$21, $C$9, 100%, $E$9)</f>
        <v>112.2565</v>
      </c>
      <c r="P1023" s="14">
        <f>CHOOSE(CONTROL!$C$42, 112.185, 112.185) * CHOOSE(CONTROL!$C$21, $C$9, 100%, $E$9)</f>
        <v>112.185</v>
      </c>
      <c r="Q1023" s="14">
        <f>CHOOSE(CONTROL!$C$42, 112.8518, 112.8518) * CHOOSE(CONTROL!$C$21, $C$9, 100%, $E$9)</f>
        <v>112.8518</v>
      </c>
      <c r="R1023" s="14">
        <f>CHOOSE(CONTROL!$C$42, 113.7209, 113.7209) * CHOOSE(CONTROL!$C$21, $C$9, 100%, $E$9)</f>
        <v>113.7209</v>
      </c>
      <c r="S1023" s="14">
        <f>CHOOSE(CONTROL!$C$42, 110.0184, 110.0184) * CHOOSE(CONTROL!$C$21, $C$9, 100%, $E$9)</f>
        <v>110.0184</v>
      </c>
      <c r="T1023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23" s="57">
        <f>(1000*CHOOSE(CONTROL!$C$42, 695, 695)*CHOOSE(CONTROL!$C$42, 0.5599, 0.5599)*CHOOSE(CONTROL!$C$42, 31, 31))/1000000</f>
        <v>12.063045499999998</v>
      </c>
      <c r="V1023" s="57">
        <f>(1000*CHOOSE(CONTROL!$C$42, 500, 500)*CHOOSE(CONTROL!$C$42, 0.275, 0.275)*CHOOSE(CONTROL!$C$42, 31, 31))/1000000</f>
        <v>4.2625000000000002</v>
      </c>
      <c r="W1023" s="57">
        <f>(1000*CHOOSE(CONTROL!$C$42, 0.1146, 0.1146)*CHOOSE(CONTROL!$C$42, 121.5, 121.5)*CHOOSE(CONTROL!$C$42, 31, 31))/1000000</f>
        <v>0.43164089999999994</v>
      </c>
      <c r="X1023" s="57">
        <f>(31*0.1790888*100000/1000000)+(31*0.2374*100000/1000000)</f>
        <v>1.2911152800000001</v>
      </c>
      <c r="Y1023" s="57"/>
      <c r="Z1023" s="14"/>
      <c r="AA1023" s="56"/>
      <c r="AB1023" s="50">
        <f>(B1023*122.58+C1023*297.941+D1023*89.177+E1023*40.302+F1023*40+G1023*160+H1023*0+I1023*100+J1023*300)/(122.58+297.941+89.177+40.302+0+40+160+100+300)</f>
        <v>113.30764770382606</v>
      </c>
      <c r="AC1023" s="45">
        <f>(M1023*'RAP TEMPLATE-GAS AVAILABILITY'!O1022+N1023*'RAP TEMPLATE-GAS AVAILABILITY'!P1022+O1023*'RAP TEMPLATE-GAS AVAILABILITY'!Q1022+P1023*'RAP TEMPLATE-GAS AVAILABILITY'!R1022)/('RAP TEMPLATE-GAS AVAILABILITY'!O1022+'RAP TEMPLATE-GAS AVAILABILITY'!P1022+'RAP TEMPLATE-GAS AVAILABILITY'!Q1022+'RAP TEMPLATE-GAS AVAILABILITY'!R1022)</f>
        <v>112.20803669064749</v>
      </c>
    </row>
    <row r="1024" spans="1:29" ht="15.75" x14ac:dyDescent="0.25">
      <c r="A1024" s="32">
        <v>72075</v>
      </c>
      <c r="B1024" s="14">
        <f>CHOOSE(CONTROL!$C$42, 112.9567, 112.9567) * CHOOSE(CONTROL!$C$21, $C$9, 100%, $E$9)</f>
        <v>112.9567</v>
      </c>
      <c r="C1024" s="14">
        <f>CHOOSE(CONTROL!$C$42, 112.961, 112.961) * CHOOSE(CONTROL!$C$21, $C$9, 100%, $E$9)</f>
        <v>112.961</v>
      </c>
      <c r="D1024" s="14">
        <f>CHOOSE(CONTROL!$C$42, 113.1618, 113.1618) * CHOOSE(CONTROL!$C$21, $C$9, 100%, $E$9)</f>
        <v>113.1618</v>
      </c>
      <c r="E1024" s="14">
        <f>CHOOSE(CONTROL!$C$42, 113.1935, 113.1935) * CHOOSE(CONTROL!$C$21, $C$9, 100%, $E$9)</f>
        <v>113.1935</v>
      </c>
      <c r="F1024" s="14">
        <f>CHOOSE(CONTROL!$C$42, 112.9412, 112.9412)*CHOOSE(CONTROL!$C$21, $C$9, 100%, $E$9)</f>
        <v>112.94119999999999</v>
      </c>
      <c r="G1024" s="14">
        <f>CHOOSE(CONTROL!$C$42, 112.9569, 112.9569)*CHOOSE(CONTROL!$C$21, $C$9, 100%, $E$9)</f>
        <v>112.9569</v>
      </c>
      <c r="H1024" s="14">
        <f>CHOOSE(CONTROL!$C$42, 113.1833, 113.1833) * CHOOSE(CONTROL!$C$21, $C$9, 100%, $E$9)</f>
        <v>113.1833</v>
      </c>
      <c r="I1024" s="14">
        <f>CHOOSE(CONTROL!$C$42, 112.9694, 112.9694)* CHOOSE(CONTROL!$C$21, $C$9, 100%, $E$9)</f>
        <v>112.96939999999999</v>
      </c>
      <c r="J1024" s="14">
        <f>CHOOSE(CONTROL!$C$42, 112.9342, 112.9342)* CHOOSE(CONTROL!$C$21, $C$9, 100%, $E$9)</f>
        <v>112.9342</v>
      </c>
      <c r="K1024" s="53">
        <f>CHOOSE(CONTROL!$C$42, 112.9655, 112.9655) * CHOOSE(CONTROL!$C$21, $C$9, 100%, $E$9)</f>
        <v>112.96550000000001</v>
      </c>
      <c r="L1024" s="14">
        <f>CHOOSE(CONTROL!$C$42, 113.7703, 113.7703) * CHOOSE(CONTROL!$C$21, $C$9, 100%, $E$9)</f>
        <v>113.77030000000001</v>
      </c>
      <c r="M1024" s="14">
        <f>CHOOSE(CONTROL!$C$42, 111.8084, 111.8084) * CHOOSE(CONTROL!$C$21, $C$9, 100%, $E$9)</f>
        <v>111.80840000000001</v>
      </c>
      <c r="N1024" s="14">
        <f>CHOOSE(CONTROL!$C$42, 111.8238, 111.8238) * CHOOSE(CONTROL!$C$21, $C$9, 100%, $E$9)</f>
        <v>111.82380000000001</v>
      </c>
      <c r="O1024" s="14">
        <f>CHOOSE(CONTROL!$C$42, 112.0549, 112.0549) * CHOOSE(CONTROL!$C$21, $C$9, 100%, $E$9)</f>
        <v>112.0549</v>
      </c>
      <c r="P1024" s="14">
        <f>CHOOSE(CONTROL!$C$42, 111.8432, 111.8432) * CHOOSE(CONTROL!$C$21, $C$9, 100%, $E$9)</f>
        <v>111.8432</v>
      </c>
      <c r="Q1024" s="14">
        <f>CHOOSE(CONTROL!$C$42, 112.6502, 112.6502) * CHOOSE(CONTROL!$C$21, $C$9, 100%, $E$9)</f>
        <v>112.6502</v>
      </c>
      <c r="R1024" s="14">
        <f>CHOOSE(CONTROL!$C$42, 113.5189, 113.5189) * CHOOSE(CONTROL!$C$21, $C$9, 100%, $E$9)</f>
        <v>113.5189</v>
      </c>
      <c r="S1024" s="14">
        <f>CHOOSE(CONTROL!$C$42, 109.6893, 109.6893) * CHOOSE(CONTROL!$C$21, $C$9, 100%, $E$9)</f>
        <v>109.6893</v>
      </c>
      <c r="T1024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24" s="57">
        <f>(1000*CHOOSE(CONTROL!$C$42, 695, 695)*CHOOSE(CONTROL!$C$42, 0.5599, 0.5599)*CHOOSE(CONTROL!$C$42, 30, 30))/1000000</f>
        <v>11.673914999999997</v>
      </c>
      <c r="V1024" s="57">
        <f>(1000*CHOOSE(CONTROL!$C$42, 500, 500)*CHOOSE(CONTROL!$C$42, 0.275, 0.275)*CHOOSE(CONTROL!$C$42, 30, 30))/1000000</f>
        <v>4.125</v>
      </c>
      <c r="W1024" s="57">
        <f>(1000*CHOOSE(CONTROL!$C$42, 0.1146, 0.1146)*CHOOSE(CONTROL!$C$42, 121.5, 121.5)*CHOOSE(CONTROL!$C$42, 30, 30))/1000000</f>
        <v>0.417717</v>
      </c>
      <c r="X1024" s="57">
        <f>(30*0.1790888*245000/1000000)+(30*0.2374*100000/1000000)</f>
        <v>2.0285026799999999</v>
      </c>
      <c r="Y1024" s="57"/>
      <c r="Z1024" s="14"/>
      <c r="AA1024" s="56"/>
      <c r="AB1024" s="50">
        <f>(B1024*141.293+C1024*267.993+D1024*115.016+E1024*89.698+F1024*40+G1024*185+H1024*0+I1024*100+J1024*300)/(141.293+267.993+115.016+89.698+0+40+185+100+300)</f>
        <v>112.98891923962876</v>
      </c>
      <c r="AC1024" s="45">
        <f>(M1024*'RAP TEMPLATE-GAS AVAILABILITY'!O1023+N1024*'RAP TEMPLATE-GAS AVAILABILITY'!P1023+O1024*'RAP TEMPLATE-GAS AVAILABILITY'!Q1023+P1024*'RAP TEMPLATE-GAS AVAILABILITY'!R1023)/('RAP TEMPLATE-GAS AVAILABILITY'!O1023+'RAP TEMPLATE-GAS AVAILABILITY'!P1023+'RAP TEMPLATE-GAS AVAILABILITY'!Q1023+'RAP TEMPLATE-GAS AVAILABILITY'!R1023)</f>
        <v>111.9260165467626</v>
      </c>
    </row>
    <row r="1025" spans="1:29" ht="15.75" x14ac:dyDescent="0.25">
      <c r="A1025" s="32">
        <v>72106</v>
      </c>
      <c r="B1025" s="14">
        <f>CHOOSE(CONTROL!$C$42, 113.955, 113.955) * CHOOSE(CONTROL!$C$21, $C$9, 100%, $E$9)</f>
        <v>113.955</v>
      </c>
      <c r="C1025" s="14">
        <f>CHOOSE(CONTROL!$C$42, 113.9629, 113.9629) * CHOOSE(CONTROL!$C$21, $C$9, 100%, $E$9)</f>
        <v>113.9629</v>
      </c>
      <c r="D1025" s="14">
        <f>CHOOSE(CONTROL!$C$42, 114.1605, 114.1605) * CHOOSE(CONTROL!$C$21, $C$9, 100%, $E$9)</f>
        <v>114.1605</v>
      </c>
      <c r="E1025" s="14">
        <f>CHOOSE(CONTROL!$C$42, 114.1916, 114.1916) * CHOOSE(CONTROL!$C$21, $C$9, 100%, $E$9)</f>
        <v>114.19159999999999</v>
      </c>
      <c r="F1025" s="14">
        <f>CHOOSE(CONTROL!$C$42, 113.9384, 113.9384)*CHOOSE(CONTROL!$C$21, $C$9, 100%, $E$9)</f>
        <v>113.9384</v>
      </c>
      <c r="G1025" s="14">
        <f>CHOOSE(CONTROL!$C$42, 113.9545, 113.9545)*CHOOSE(CONTROL!$C$21, $C$9, 100%, $E$9)</f>
        <v>113.9545</v>
      </c>
      <c r="H1025" s="14">
        <f>CHOOSE(CONTROL!$C$42, 114.1803, 114.1803) * CHOOSE(CONTROL!$C$21, $C$9, 100%, $E$9)</f>
        <v>114.1803</v>
      </c>
      <c r="I1025" s="14">
        <f>CHOOSE(CONTROL!$C$42, 113.9664, 113.9664)* CHOOSE(CONTROL!$C$21, $C$9, 100%, $E$9)</f>
        <v>113.96639999999999</v>
      </c>
      <c r="J1025" s="14">
        <f>CHOOSE(CONTROL!$C$42, 113.9314, 113.9314)* CHOOSE(CONTROL!$C$21, $C$9, 100%, $E$9)</f>
        <v>113.9314</v>
      </c>
      <c r="K1025" s="53">
        <f>CHOOSE(CONTROL!$C$42, 113.9625, 113.9625) * CHOOSE(CONTROL!$C$21, $C$9, 100%, $E$9)</f>
        <v>113.96250000000001</v>
      </c>
      <c r="L1025" s="14">
        <f>CHOOSE(CONTROL!$C$42, 114.7673, 114.7673) * CHOOSE(CONTROL!$C$21, $C$9, 100%, $E$9)</f>
        <v>114.76730000000001</v>
      </c>
      <c r="M1025" s="14">
        <f>CHOOSE(CONTROL!$C$42, 112.7955, 112.7955) * CHOOSE(CONTROL!$C$21, $C$9, 100%, $E$9)</f>
        <v>112.7955</v>
      </c>
      <c r="N1025" s="14">
        <f>CHOOSE(CONTROL!$C$42, 112.8114, 112.8114) * CHOOSE(CONTROL!$C$21, $C$9, 100%, $E$9)</f>
        <v>112.81140000000001</v>
      </c>
      <c r="O1025" s="14">
        <f>CHOOSE(CONTROL!$C$42, 113.0418, 113.0418) * CHOOSE(CONTROL!$C$21, $C$9, 100%, $E$9)</f>
        <v>113.04179999999999</v>
      </c>
      <c r="P1025" s="14">
        <f>CHOOSE(CONTROL!$C$42, 112.8301, 112.8301) * CHOOSE(CONTROL!$C$21, $C$9, 100%, $E$9)</f>
        <v>112.8301</v>
      </c>
      <c r="Q1025" s="14">
        <f>CHOOSE(CONTROL!$C$42, 113.6371, 113.6371) * CHOOSE(CONTROL!$C$21, $C$9, 100%, $E$9)</f>
        <v>113.6371</v>
      </c>
      <c r="R1025" s="14">
        <f>CHOOSE(CONTROL!$C$42, 114.5082, 114.5082) * CHOOSE(CONTROL!$C$21, $C$9, 100%, $E$9)</f>
        <v>114.5082</v>
      </c>
      <c r="S1025" s="14">
        <f>CHOOSE(CONTROL!$C$42, 110.6575, 110.6575) * CHOOSE(CONTROL!$C$21, $C$9, 100%, $E$9)</f>
        <v>110.6575</v>
      </c>
      <c r="T1025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25" s="57">
        <f>(1000*CHOOSE(CONTROL!$C$42, 695, 695)*CHOOSE(CONTROL!$C$42, 0.5599, 0.5599)*CHOOSE(CONTROL!$C$42, 31, 31))/1000000</f>
        <v>12.063045499999998</v>
      </c>
      <c r="V1025" s="57">
        <f>(1000*CHOOSE(CONTROL!$C$42, 500, 500)*CHOOSE(CONTROL!$C$42, 0.275, 0.275)*CHOOSE(CONTROL!$C$42, 31, 31))/1000000</f>
        <v>4.2625000000000002</v>
      </c>
      <c r="W1025" s="57">
        <f>(1000*CHOOSE(CONTROL!$C$42, 0.1146, 0.1146)*CHOOSE(CONTROL!$C$42, 121.5, 121.5)*CHOOSE(CONTROL!$C$42, 31, 31))/1000000</f>
        <v>0.43164089999999994</v>
      </c>
      <c r="X1025" s="57">
        <f>(31*0.1790888*245000/1000000)+(31*0.2374*100000/1000000)</f>
        <v>2.0961194359999999</v>
      </c>
      <c r="Y1025" s="57"/>
      <c r="Z1025" s="14"/>
      <c r="AA1025" s="56"/>
      <c r="AB1025" s="50">
        <f>(B1025*194.205+C1025*267.466+D1025*133.845+E1025*53.484+F1025*40+G1025*185+H1025*0+I1025*100+J1025*300)/(194.205+267.466+133.845+53.484+0+40+185+100+300)</f>
        <v>113.98292460227631</v>
      </c>
      <c r="AC1025" s="45">
        <f>(M1025*'RAP TEMPLATE-GAS AVAILABILITY'!O1024+N1025*'RAP TEMPLATE-GAS AVAILABILITY'!P1024+O1025*'RAP TEMPLATE-GAS AVAILABILITY'!Q1024+P1025*'RAP TEMPLATE-GAS AVAILABILITY'!R1024)/('RAP TEMPLATE-GAS AVAILABILITY'!O1024+'RAP TEMPLATE-GAS AVAILABILITY'!P1024+'RAP TEMPLATE-GAS AVAILABILITY'!Q1024+'RAP TEMPLATE-GAS AVAILABILITY'!R1024)</f>
        <v>112.91302589928057</v>
      </c>
    </row>
    <row r="1026" spans="1:29" ht="15.75" x14ac:dyDescent="0.25">
      <c r="A1026" s="32">
        <v>72136</v>
      </c>
      <c r="B1026" s="14">
        <f>CHOOSE(CONTROL!$C$42, 117.1873, 117.1873) * CHOOSE(CONTROL!$C$21, $C$9, 100%, $E$9)</f>
        <v>117.18729999999999</v>
      </c>
      <c r="C1026" s="14">
        <f>CHOOSE(CONTROL!$C$42, 117.1953, 117.1953) * CHOOSE(CONTROL!$C$21, $C$9, 100%, $E$9)</f>
        <v>117.1953</v>
      </c>
      <c r="D1026" s="14">
        <f>CHOOSE(CONTROL!$C$42, 117.3928, 117.3928) * CHOOSE(CONTROL!$C$21, $C$9, 100%, $E$9)</f>
        <v>117.39279999999999</v>
      </c>
      <c r="E1026" s="14">
        <f>CHOOSE(CONTROL!$C$42, 117.424, 117.424) * CHOOSE(CONTROL!$C$21, $C$9, 100%, $E$9)</f>
        <v>117.42400000000001</v>
      </c>
      <c r="F1026" s="14">
        <f>CHOOSE(CONTROL!$C$42, 117.1712, 117.1712)*CHOOSE(CONTROL!$C$21, $C$9, 100%, $E$9)</f>
        <v>117.1712</v>
      </c>
      <c r="G1026" s="14">
        <f>CHOOSE(CONTROL!$C$42, 117.1874, 117.1874)*CHOOSE(CONTROL!$C$21, $C$9, 100%, $E$9)</f>
        <v>117.1874</v>
      </c>
      <c r="H1026" s="14">
        <f>CHOOSE(CONTROL!$C$42, 117.4126, 117.4126) * CHOOSE(CONTROL!$C$21, $C$9, 100%, $E$9)</f>
        <v>117.4126</v>
      </c>
      <c r="I1026" s="14">
        <f>CHOOSE(CONTROL!$C$42, 117.1987, 117.1987)* CHOOSE(CONTROL!$C$21, $C$9, 100%, $E$9)</f>
        <v>117.1987</v>
      </c>
      <c r="J1026" s="14">
        <f>CHOOSE(CONTROL!$C$42, 117.1642, 117.1642)* CHOOSE(CONTROL!$C$21, $C$9, 100%, $E$9)</f>
        <v>117.16419999999999</v>
      </c>
      <c r="K1026" s="53">
        <f>CHOOSE(CONTROL!$C$42, 117.1948, 117.1948) * CHOOSE(CONTROL!$C$21, $C$9, 100%, $E$9)</f>
        <v>117.1948</v>
      </c>
      <c r="L1026" s="14">
        <f>CHOOSE(CONTROL!$C$42, 117.9996, 117.9996) * CHOOSE(CONTROL!$C$21, $C$9, 100%, $E$9)</f>
        <v>117.9996</v>
      </c>
      <c r="M1026" s="14">
        <f>CHOOSE(CONTROL!$C$42, 115.9956, 115.9956) * CHOOSE(CONTROL!$C$21, $C$9, 100%, $E$9)</f>
        <v>115.9956</v>
      </c>
      <c r="N1026" s="14">
        <f>CHOOSE(CONTROL!$C$42, 116.0116, 116.0116) * CHOOSE(CONTROL!$C$21, $C$9, 100%, $E$9)</f>
        <v>116.0116</v>
      </c>
      <c r="O1026" s="14">
        <f>CHOOSE(CONTROL!$C$42, 116.2415, 116.2415) * CHOOSE(CONTROL!$C$21, $C$9, 100%, $E$9)</f>
        <v>116.2415</v>
      </c>
      <c r="P1026" s="14">
        <f>CHOOSE(CONTROL!$C$42, 116.0298, 116.0298) * CHOOSE(CONTROL!$C$21, $C$9, 100%, $E$9)</f>
        <v>116.02979999999999</v>
      </c>
      <c r="Q1026" s="14">
        <f>CHOOSE(CONTROL!$C$42, 116.8368, 116.8368) * CHOOSE(CONTROL!$C$21, $C$9, 100%, $E$9)</f>
        <v>116.8368</v>
      </c>
      <c r="R1026" s="14">
        <f>CHOOSE(CONTROL!$C$42, 117.7159, 117.7159) * CHOOSE(CONTROL!$C$21, $C$9, 100%, $E$9)</f>
        <v>117.7159</v>
      </c>
      <c r="S1026" s="14">
        <f>CHOOSE(CONTROL!$C$42, 113.7964, 113.7964) * CHOOSE(CONTROL!$C$21, $C$9, 100%, $E$9)</f>
        <v>113.79640000000001</v>
      </c>
      <c r="T1026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26" s="57">
        <f>(1000*CHOOSE(CONTROL!$C$42, 695, 695)*CHOOSE(CONTROL!$C$42, 0.5599, 0.5599)*CHOOSE(CONTROL!$C$42, 30, 30))/1000000</f>
        <v>11.673914999999997</v>
      </c>
      <c r="V1026" s="57">
        <f>(1000*CHOOSE(CONTROL!$C$42, 500, 500)*CHOOSE(CONTROL!$C$42, 0.275, 0.275)*CHOOSE(CONTROL!$C$42, 30, 30))/1000000</f>
        <v>4.125</v>
      </c>
      <c r="W1026" s="57">
        <f>(1000*CHOOSE(CONTROL!$C$42, 0.1146, 0.1146)*CHOOSE(CONTROL!$C$42, 121.5, 121.5)*CHOOSE(CONTROL!$C$42, 30, 30))/1000000</f>
        <v>0.417717</v>
      </c>
      <c r="X1026" s="57">
        <f>(30*0.1790888*245000/1000000)+(30*0.2374*100000/1000000)</f>
        <v>2.0285026799999999</v>
      </c>
      <c r="Y1026" s="57"/>
      <c r="Z1026" s="14"/>
      <c r="AA1026" s="56"/>
      <c r="AB1026" s="50">
        <f>(B1026*194.205+C1026*267.466+D1026*133.845+E1026*53.484+F1026*40+G1026*185+H1026*0+I1026*100+J1026*300)/(194.205+267.466+133.845+53.484+0+40+185+100+300)</f>
        <v>117.2154703597331</v>
      </c>
      <c r="AC1026" s="45">
        <f>(M1026*'RAP TEMPLATE-GAS AVAILABILITY'!O1025+N1026*'RAP TEMPLATE-GAS AVAILABILITY'!P1025+O1026*'RAP TEMPLATE-GAS AVAILABILITY'!Q1025+P1026*'RAP TEMPLATE-GAS AVAILABILITY'!R1025)/('RAP TEMPLATE-GAS AVAILABILITY'!O1025+'RAP TEMPLATE-GAS AVAILABILITY'!P1025+'RAP TEMPLATE-GAS AVAILABILITY'!Q1025+'RAP TEMPLATE-GAS AVAILABILITY'!R1025)</f>
        <v>116.11289280575539</v>
      </c>
    </row>
    <row r="1027" spans="1:29" ht="15.75" x14ac:dyDescent="0.25">
      <c r="A1027" s="32">
        <v>72167</v>
      </c>
      <c r="B1027" s="14">
        <f>CHOOSE(CONTROL!$C$42, 114.9392, 114.9392) * CHOOSE(CONTROL!$C$21, $C$9, 100%, $E$9)</f>
        <v>114.9392</v>
      </c>
      <c r="C1027" s="14">
        <f>CHOOSE(CONTROL!$C$42, 114.9471, 114.9471) * CHOOSE(CONTROL!$C$21, $C$9, 100%, $E$9)</f>
        <v>114.94710000000001</v>
      </c>
      <c r="D1027" s="14">
        <f>CHOOSE(CONTROL!$C$42, 115.1447, 115.1447) * CHOOSE(CONTROL!$C$21, $C$9, 100%, $E$9)</f>
        <v>115.1447</v>
      </c>
      <c r="E1027" s="14">
        <f>CHOOSE(CONTROL!$C$42, 115.1759, 115.1759) * CHOOSE(CONTROL!$C$21, $C$9, 100%, $E$9)</f>
        <v>115.1759</v>
      </c>
      <c r="F1027" s="14">
        <f>CHOOSE(CONTROL!$C$42, 114.9235, 114.9235)*CHOOSE(CONTROL!$C$21, $C$9, 100%, $E$9)</f>
        <v>114.9235</v>
      </c>
      <c r="G1027" s="14">
        <f>CHOOSE(CONTROL!$C$42, 114.9398, 114.9398)*CHOOSE(CONTROL!$C$21, $C$9, 100%, $E$9)</f>
        <v>114.93980000000001</v>
      </c>
      <c r="H1027" s="14">
        <f>CHOOSE(CONTROL!$C$42, 115.1645, 115.1645) * CHOOSE(CONTROL!$C$21, $C$9, 100%, $E$9)</f>
        <v>115.1645</v>
      </c>
      <c r="I1027" s="14">
        <f>CHOOSE(CONTROL!$C$42, 114.9506, 114.9506)* CHOOSE(CONTROL!$C$21, $C$9, 100%, $E$9)</f>
        <v>114.95059999999999</v>
      </c>
      <c r="J1027" s="14">
        <f>CHOOSE(CONTROL!$C$42, 114.9165, 114.9165)* CHOOSE(CONTROL!$C$21, $C$9, 100%, $E$9)</f>
        <v>114.9165</v>
      </c>
      <c r="K1027" s="53">
        <f>CHOOSE(CONTROL!$C$42, 114.9467, 114.9467) * CHOOSE(CONTROL!$C$21, $C$9, 100%, $E$9)</f>
        <v>114.94670000000001</v>
      </c>
      <c r="L1027" s="14">
        <f>CHOOSE(CONTROL!$C$42, 115.7515, 115.7515) * CHOOSE(CONTROL!$C$21, $C$9, 100%, $E$9)</f>
        <v>115.75149999999999</v>
      </c>
      <c r="M1027" s="14">
        <f>CHOOSE(CONTROL!$C$42, 113.7706, 113.7706) * CHOOSE(CONTROL!$C$21, $C$9, 100%, $E$9)</f>
        <v>113.7706</v>
      </c>
      <c r="N1027" s="14">
        <f>CHOOSE(CONTROL!$C$42, 113.7867, 113.7867) * CHOOSE(CONTROL!$C$21, $C$9, 100%, $E$9)</f>
        <v>113.7867</v>
      </c>
      <c r="O1027" s="14">
        <f>CHOOSE(CONTROL!$C$42, 114.0161, 114.0161) * CHOOSE(CONTROL!$C$21, $C$9, 100%, $E$9)</f>
        <v>114.01609999999999</v>
      </c>
      <c r="P1027" s="14">
        <f>CHOOSE(CONTROL!$C$42, 113.8044, 113.8044) * CHOOSE(CONTROL!$C$21, $C$9, 100%, $E$9)</f>
        <v>113.8044</v>
      </c>
      <c r="Q1027" s="14">
        <f>CHOOSE(CONTROL!$C$42, 114.6114, 114.6114) * CHOOSE(CONTROL!$C$21, $C$9, 100%, $E$9)</f>
        <v>114.6114</v>
      </c>
      <c r="R1027" s="14">
        <f>CHOOSE(CONTROL!$C$42, 115.4849, 115.4849) * CHOOSE(CONTROL!$C$21, $C$9, 100%, $E$9)</f>
        <v>115.4849</v>
      </c>
      <c r="S1027" s="14">
        <f>CHOOSE(CONTROL!$C$42, 111.6132, 111.6132) * CHOOSE(CONTROL!$C$21, $C$9, 100%, $E$9)</f>
        <v>111.61320000000001</v>
      </c>
      <c r="T1027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27" s="57">
        <f>(1000*CHOOSE(CONTROL!$C$42, 695, 695)*CHOOSE(CONTROL!$C$42, 0.5599, 0.5599)*CHOOSE(CONTROL!$C$42, 31, 31))/1000000</f>
        <v>12.063045499999998</v>
      </c>
      <c r="V1027" s="57">
        <f>(1000*CHOOSE(CONTROL!$C$42, 500, 500)*CHOOSE(CONTROL!$C$42, 0.275, 0.275)*CHOOSE(CONTROL!$C$42, 31, 31))/1000000</f>
        <v>4.2625000000000002</v>
      </c>
      <c r="W1027" s="57">
        <f>(1000*CHOOSE(CONTROL!$C$42, 0.1146, 0.1146)*CHOOSE(CONTROL!$C$42, 121.5, 121.5)*CHOOSE(CONTROL!$C$42, 31, 31))/1000000</f>
        <v>0.43164089999999994</v>
      </c>
      <c r="X1027" s="57">
        <f>(31*0.1790888*245000/1000000)+(31*0.2374*100000/1000000)</f>
        <v>2.0961194359999999</v>
      </c>
      <c r="Y1027" s="57"/>
      <c r="Z1027" s="14"/>
      <c r="AA1027" s="56"/>
      <c r="AB1027" s="50">
        <f>(B1027*194.205+C1027*267.466+D1027*133.845+E1027*53.484+F1027*40+G1027*185+H1027*0+I1027*100+J1027*300)/(194.205+267.466+133.845+53.484+0+40+185+100+300)</f>
        <v>114.96752872189953</v>
      </c>
      <c r="AC1027" s="45">
        <f>(M1027*'RAP TEMPLATE-GAS AVAILABILITY'!O1026+N1027*'RAP TEMPLATE-GAS AVAILABILITY'!P1026+O1027*'RAP TEMPLATE-GAS AVAILABILITY'!Q1026+P1027*'RAP TEMPLATE-GAS AVAILABILITY'!R1026)/('RAP TEMPLATE-GAS AVAILABILITY'!O1026+'RAP TEMPLATE-GAS AVAILABILITY'!P1026+'RAP TEMPLATE-GAS AVAILABILITY'!Q1026+'RAP TEMPLATE-GAS AVAILABILITY'!R1026)</f>
        <v>113.88765971223022</v>
      </c>
    </row>
    <row r="1028" spans="1:29" ht="15.75" x14ac:dyDescent="0.25">
      <c r="A1028" s="32">
        <v>72198</v>
      </c>
      <c r="B1028" s="14">
        <f>CHOOSE(CONTROL!$C$42, 109.262, 109.262) * CHOOSE(CONTROL!$C$21, $C$9, 100%, $E$9)</f>
        <v>109.262</v>
      </c>
      <c r="C1028" s="14">
        <f>CHOOSE(CONTROL!$C$42, 109.27, 109.27) * CHOOSE(CONTROL!$C$21, $C$9, 100%, $E$9)</f>
        <v>109.27</v>
      </c>
      <c r="D1028" s="14">
        <f>CHOOSE(CONTROL!$C$42, 109.4675, 109.4675) * CHOOSE(CONTROL!$C$21, $C$9, 100%, $E$9)</f>
        <v>109.4675</v>
      </c>
      <c r="E1028" s="14">
        <f>CHOOSE(CONTROL!$C$42, 109.4987, 109.4987) * CHOOSE(CONTROL!$C$21, $C$9, 100%, $E$9)</f>
        <v>109.4987</v>
      </c>
      <c r="F1028" s="14">
        <f>CHOOSE(CONTROL!$C$42, 109.2465, 109.2465)*CHOOSE(CONTROL!$C$21, $C$9, 100%, $E$9)</f>
        <v>109.2465</v>
      </c>
      <c r="G1028" s="14">
        <f>CHOOSE(CONTROL!$C$42, 109.2628, 109.2628)*CHOOSE(CONTROL!$C$21, $C$9, 100%, $E$9)</f>
        <v>109.2628</v>
      </c>
      <c r="H1028" s="14">
        <f>CHOOSE(CONTROL!$C$42, 109.4873, 109.4873) * CHOOSE(CONTROL!$C$21, $C$9, 100%, $E$9)</f>
        <v>109.4873</v>
      </c>
      <c r="I1028" s="14">
        <f>CHOOSE(CONTROL!$C$42, 109.2734, 109.2734)* CHOOSE(CONTROL!$C$21, $C$9, 100%, $E$9)</f>
        <v>109.2734</v>
      </c>
      <c r="J1028" s="14">
        <f>CHOOSE(CONTROL!$C$42, 109.2395, 109.2395)* CHOOSE(CONTROL!$C$21, $C$9, 100%, $E$9)</f>
        <v>109.23950000000001</v>
      </c>
      <c r="K1028" s="53">
        <f>CHOOSE(CONTROL!$C$42, 109.2695, 109.2695) * CHOOSE(CONTROL!$C$21, $C$9, 100%, $E$9)</f>
        <v>109.26949999999999</v>
      </c>
      <c r="L1028" s="14">
        <f>CHOOSE(CONTROL!$C$42, 110.0743, 110.0743) * CHOOSE(CONTROL!$C$21, $C$9, 100%, $E$9)</f>
        <v>110.07429999999999</v>
      </c>
      <c r="M1028" s="14">
        <f>CHOOSE(CONTROL!$C$42, 108.1509, 108.1509) * CHOOSE(CONTROL!$C$21, $C$9, 100%, $E$9)</f>
        <v>108.15089999999999</v>
      </c>
      <c r="N1028" s="14">
        <f>CHOOSE(CONTROL!$C$42, 108.1671, 108.1671) * CHOOSE(CONTROL!$C$21, $C$9, 100%, $E$9)</f>
        <v>108.1671</v>
      </c>
      <c r="O1028" s="14">
        <f>CHOOSE(CONTROL!$C$42, 108.3962, 108.3962) * CHOOSE(CONTROL!$C$21, $C$9, 100%, $E$9)</f>
        <v>108.39619999999999</v>
      </c>
      <c r="P1028" s="14">
        <f>CHOOSE(CONTROL!$C$42, 108.1845, 108.1845) * CHOOSE(CONTROL!$C$21, $C$9, 100%, $E$9)</f>
        <v>108.1845</v>
      </c>
      <c r="Q1028" s="14">
        <f>CHOOSE(CONTROL!$C$42, 108.9915, 108.9915) * CHOOSE(CONTROL!$C$21, $C$9, 100%, $E$9)</f>
        <v>108.9915</v>
      </c>
      <c r="R1028" s="14">
        <f>CHOOSE(CONTROL!$C$42, 109.851, 109.851) * CHOOSE(CONTROL!$C$21, $C$9, 100%, $E$9)</f>
        <v>109.851</v>
      </c>
      <c r="S1028" s="14">
        <f>CHOOSE(CONTROL!$C$42, 106.1001, 106.1001) * CHOOSE(CONTROL!$C$21, $C$9, 100%, $E$9)</f>
        <v>106.1001</v>
      </c>
      <c r="T1028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28" s="57">
        <f>(1000*CHOOSE(CONTROL!$C$42, 695, 695)*CHOOSE(CONTROL!$C$42, 0.5599, 0.5599)*CHOOSE(CONTROL!$C$42, 31, 31))/1000000</f>
        <v>12.063045499999998</v>
      </c>
      <c r="V1028" s="57">
        <f>(1000*CHOOSE(CONTROL!$C$42, 500, 500)*CHOOSE(CONTROL!$C$42, 0.275, 0.275)*CHOOSE(CONTROL!$C$42, 31, 31))/1000000</f>
        <v>4.2625000000000002</v>
      </c>
      <c r="W1028" s="57">
        <f>(1000*CHOOSE(CONTROL!$C$42, 0.1146, 0.1146)*CHOOSE(CONTROL!$C$42, 121.5, 121.5)*CHOOSE(CONTROL!$C$42, 31, 31))/1000000</f>
        <v>0.43164089999999994</v>
      </c>
      <c r="X1028" s="57">
        <f>(31*0.1790888*245000/1000000)+(31*0.2374*100000/1000000)</f>
        <v>2.0961194359999999</v>
      </c>
      <c r="Y1028" s="57"/>
      <c r="Z1028" s="14"/>
      <c r="AA1028" s="56"/>
      <c r="AB1028" s="50">
        <f>(B1028*194.205+C1028*267.466+D1028*133.845+E1028*53.484+F1028*40+G1028*185+H1028*0+I1028*100+J1028*300)/(194.205+267.466+133.845+53.484+0+40+185+100+300)</f>
        <v>109.29043213367348</v>
      </c>
      <c r="AC1028" s="45">
        <f>(M1028*'RAP TEMPLATE-GAS AVAILABILITY'!O1027+N1028*'RAP TEMPLATE-GAS AVAILABILITY'!P1027+O1028*'RAP TEMPLATE-GAS AVAILABILITY'!Q1027+P1028*'RAP TEMPLATE-GAS AVAILABILITY'!R1027)/('RAP TEMPLATE-GAS AVAILABILITY'!O1027+'RAP TEMPLATE-GAS AVAILABILITY'!P1027+'RAP TEMPLATE-GAS AVAILABILITY'!Q1027+'RAP TEMPLATE-GAS AVAILABILITY'!R1027)</f>
        <v>108.26784604316545</v>
      </c>
    </row>
    <row r="1029" spans="1:29" ht="15.75" x14ac:dyDescent="0.25">
      <c r="A1029" s="32">
        <v>72228</v>
      </c>
      <c r="B1029" s="14">
        <f>CHOOSE(CONTROL!$C$42, 102.3252, 102.3252) * CHOOSE(CONTROL!$C$21, $C$9, 100%, $E$9)</f>
        <v>102.3252</v>
      </c>
      <c r="C1029" s="14">
        <f>CHOOSE(CONTROL!$C$42, 102.3331, 102.3331) * CHOOSE(CONTROL!$C$21, $C$9, 100%, $E$9)</f>
        <v>102.3331</v>
      </c>
      <c r="D1029" s="14">
        <f>CHOOSE(CONTROL!$C$42, 102.5307, 102.5307) * CHOOSE(CONTROL!$C$21, $C$9, 100%, $E$9)</f>
        <v>102.5307</v>
      </c>
      <c r="E1029" s="14">
        <f>CHOOSE(CONTROL!$C$42, 102.5618, 102.5618) * CHOOSE(CONTROL!$C$21, $C$9, 100%, $E$9)</f>
        <v>102.56180000000001</v>
      </c>
      <c r="F1029" s="14">
        <f>CHOOSE(CONTROL!$C$42, 102.3095, 102.3095)*CHOOSE(CONTROL!$C$21, $C$9, 100%, $E$9)</f>
        <v>102.3095</v>
      </c>
      <c r="G1029" s="14">
        <f>CHOOSE(CONTROL!$C$42, 102.3259, 102.3259)*CHOOSE(CONTROL!$C$21, $C$9, 100%, $E$9)</f>
        <v>102.3259</v>
      </c>
      <c r="H1029" s="14">
        <f>CHOOSE(CONTROL!$C$42, 102.5504, 102.5504) * CHOOSE(CONTROL!$C$21, $C$9, 100%, $E$9)</f>
        <v>102.5504</v>
      </c>
      <c r="I1029" s="14">
        <f>CHOOSE(CONTROL!$C$42, 102.3365, 102.3365)* CHOOSE(CONTROL!$C$21, $C$9, 100%, $E$9)</f>
        <v>102.3365</v>
      </c>
      <c r="J1029" s="14">
        <f>CHOOSE(CONTROL!$C$42, 102.3025, 102.3025)* CHOOSE(CONTROL!$C$21, $C$9, 100%, $E$9)</f>
        <v>102.30249999999999</v>
      </c>
      <c r="K1029" s="53">
        <f>CHOOSE(CONTROL!$C$42, 102.3327, 102.3327) * CHOOSE(CONTROL!$C$21, $C$9, 100%, $E$9)</f>
        <v>102.3327</v>
      </c>
      <c r="L1029" s="14">
        <f>CHOOSE(CONTROL!$C$42, 103.1374, 103.1374) * CHOOSE(CONTROL!$C$21, $C$9, 100%, $E$9)</f>
        <v>103.1374</v>
      </c>
      <c r="M1029" s="14">
        <f>CHOOSE(CONTROL!$C$42, 101.284, 101.284) * CHOOSE(CONTROL!$C$21, $C$9, 100%, $E$9)</f>
        <v>101.28400000000001</v>
      </c>
      <c r="N1029" s="14">
        <f>CHOOSE(CONTROL!$C$42, 101.3001, 101.3001) * CHOOSE(CONTROL!$C$21, $C$9, 100%, $E$9)</f>
        <v>101.3001</v>
      </c>
      <c r="O1029" s="14">
        <f>CHOOSE(CONTROL!$C$42, 101.5294, 101.5294) * CHOOSE(CONTROL!$C$21, $C$9, 100%, $E$9)</f>
        <v>101.5294</v>
      </c>
      <c r="P1029" s="14">
        <f>CHOOSE(CONTROL!$C$42, 101.3177, 101.3177) * CHOOSE(CONTROL!$C$21, $C$9, 100%, $E$9)</f>
        <v>101.3177</v>
      </c>
      <c r="Q1029" s="14">
        <f>CHOOSE(CONTROL!$C$42, 102.1247, 102.1247) * CHOOSE(CONTROL!$C$21, $C$9, 100%, $E$9)</f>
        <v>102.1247</v>
      </c>
      <c r="R1029" s="14">
        <f>CHOOSE(CONTROL!$C$42, 102.967, 102.967) * CHOOSE(CONTROL!$C$21, $C$9, 100%, $E$9)</f>
        <v>102.967</v>
      </c>
      <c r="S1029" s="14">
        <f>CHOOSE(CONTROL!$C$42, 99.3637, 99.3637) * CHOOSE(CONTROL!$C$21, $C$9, 100%, $E$9)</f>
        <v>99.363699999999994</v>
      </c>
      <c r="T1029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29" s="57">
        <f>(1000*CHOOSE(CONTROL!$C$42, 695, 695)*CHOOSE(CONTROL!$C$42, 0.5599, 0.5599)*CHOOSE(CONTROL!$C$42, 30, 30))/1000000</f>
        <v>11.673914999999997</v>
      </c>
      <c r="V1029" s="57">
        <f>(1000*CHOOSE(CONTROL!$C$42, 500, 500)*CHOOSE(CONTROL!$C$42, 0.275, 0.275)*CHOOSE(CONTROL!$C$42, 30, 30))/1000000</f>
        <v>4.125</v>
      </c>
      <c r="W1029" s="57">
        <f>(1000*CHOOSE(CONTROL!$C$42, 0.1146, 0.1146)*CHOOSE(CONTROL!$C$42, 121.5, 121.5)*CHOOSE(CONTROL!$C$42, 30, 30))/1000000</f>
        <v>0.417717</v>
      </c>
      <c r="X1029" s="57">
        <f>(30*0.1790888*245000/1000000)+(30*0.2374*100000/1000000)</f>
        <v>2.0285026799999999</v>
      </c>
      <c r="Y1029" s="57"/>
      <c r="Z1029" s="14"/>
      <c r="AA1029" s="56"/>
      <c r="AB1029" s="50">
        <f>(B1029*194.205+C1029*267.466+D1029*133.845+E1029*53.484+F1029*40+G1029*185+H1029*0+I1029*100+J1029*300)/(194.205+267.466+133.845+53.484+0+40+185+100+300)</f>
        <v>102.35353119568289</v>
      </c>
      <c r="AC1029" s="45">
        <f>(M1029*'RAP TEMPLATE-GAS AVAILABILITY'!O1028+N1029*'RAP TEMPLATE-GAS AVAILABILITY'!P1028+O1029*'RAP TEMPLATE-GAS AVAILABILITY'!Q1028+P1029*'RAP TEMPLATE-GAS AVAILABILITY'!R1028)/('RAP TEMPLATE-GAS AVAILABILITY'!O1028+'RAP TEMPLATE-GAS AVAILABILITY'!P1028+'RAP TEMPLATE-GAS AVAILABILITY'!Q1028+'RAP TEMPLATE-GAS AVAILABILITY'!R1028)</f>
        <v>101.40100000000001</v>
      </c>
    </row>
    <row r="1030" spans="1:29" ht="15.75" x14ac:dyDescent="0.25">
      <c r="A1030" s="32">
        <v>72259</v>
      </c>
      <c r="B1030" s="14">
        <f>CHOOSE(CONTROL!$C$42, 100.2459, 100.2459) * CHOOSE(CONTROL!$C$21, $C$9, 100%, $E$9)</f>
        <v>100.24590000000001</v>
      </c>
      <c r="C1030" s="14">
        <f>CHOOSE(CONTROL!$C$42, 100.2511, 100.2511) * CHOOSE(CONTROL!$C$21, $C$9, 100%, $E$9)</f>
        <v>100.25109999999999</v>
      </c>
      <c r="D1030" s="14">
        <f>CHOOSE(CONTROL!$C$42, 100.4537, 100.4537) * CHOOSE(CONTROL!$C$21, $C$9, 100%, $E$9)</f>
        <v>100.4537</v>
      </c>
      <c r="E1030" s="14">
        <f>CHOOSE(CONTROL!$C$42, 100.4825, 100.4825) * CHOOSE(CONTROL!$C$21, $C$9, 100%, $E$9)</f>
        <v>100.4825</v>
      </c>
      <c r="F1030" s="14">
        <f>CHOOSE(CONTROL!$C$42, 100.2323, 100.2323)*CHOOSE(CONTROL!$C$21, $C$9, 100%, $E$9)</f>
        <v>100.2323</v>
      </c>
      <c r="G1030" s="14">
        <f>CHOOSE(CONTROL!$C$42, 100.2483, 100.2483)*CHOOSE(CONTROL!$C$21, $C$9, 100%, $E$9)</f>
        <v>100.2483</v>
      </c>
      <c r="H1030" s="14">
        <f>CHOOSE(CONTROL!$C$42, 100.4729, 100.4729) * CHOOSE(CONTROL!$C$21, $C$9, 100%, $E$9)</f>
        <v>100.4729</v>
      </c>
      <c r="I1030" s="14">
        <f>CHOOSE(CONTROL!$C$42, 100.259, 100.259)* CHOOSE(CONTROL!$C$21, $C$9, 100%, $E$9)</f>
        <v>100.259</v>
      </c>
      <c r="J1030" s="14">
        <f>CHOOSE(CONTROL!$C$42, 100.2253, 100.2253)* CHOOSE(CONTROL!$C$21, $C$9, 100%, $E$9)</f>
        <v>100.2253</v>
      </c>
      <c r="K1030" s="53">
        <f>CHOOSE(CONTROL!$C$42, 100.2551, 100.2551) * CHOOSE(CONTROL!$C$21, $C$9, 100%, $E$9)</f>
        <v>100.2551</v>
      </c>
      <c r="L1030" s="14">
        <f>CHOOSE(CONTROL!$C$42, 101.0599, 101.0599) * CHOOSE(CONTROL!$C$21, $C$9, 100%, $E$9)</f>
        <v>101.0599</v>
      </c>
      <c r="M1030" s="14">
        <f>CHOOSE(CONTROL!$C$42, 99.2277, 99.2277) * CHOOSE(CONTROL!$C$21, $C$9, 100%, $E$9)</f>
        <v>99.227699999999999</v>
      </c>
      <c r="N1030" s="14">
        <f>CHOOSE(CONTROL!$C$42, 99.2435, 99.2435) * CHOOSE(CONTROL!$C$21, $C$9, 100%, $E$9)</f>
        <v>99.243499999999997</v>
      </c>
      <c r="O1030" s="14">
        <f>CHOOSE(CONTROL!$C$42, 99.4728, 99.4728) * CHOOSE(CONTROL!$C$21, $C$9, 100%, $E$9)</f>
        <v>99.472800000000007</v>
      </c>
      <c r="P1030" s="14">
        <f>CHOOSE(CONTROL!$C$42, 99.2611, 99.2611) * CHOOSE(CONTROL!$C$21, $C$9, 100%, $E$9)</f>
        <v>99.261099999999999</v>
      </c>
      <c r="Q1030" s="14">
        <f>CHOOSE(CONTROL!$C$42, 100.0681, 100.0681) * CHOOSE(CONTROL!$C$21, $C$9, 100%, $E$9)</f>
        <v>100.0681</v>
      </c>
      <c r="R1030" s="14">
        <f>CHOOSE(CONTROL!$C$42, 100.9053, 100.9053) * CHOOSE(CONTROL!$C$21, $C$9, 100%, $E$9)</f>
        <v>100.9053</v>
      </c>
      <c r="S1030" s="14">
        <f>CHOOSE(CONTROL!$C$42, 97.3463, 97.3463) * CHOOSE(CONTROL!$C$21, $C$9, 100%, $E$9)</f>
        <v>97.346299999999999</v>
      </c>
      <c r="T1030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30" s="57">
        <f>(1000*CHOOSE(CONTROL!$C$42, 695, 695)*CHOOSE(CONTROL!$C$42, 0.5599, 0.5599)*CHOOSE(CONTROL!$C$42, 31, 31))/1000000</f>
        <v>12.063045499999998</v>
      </c>
      <c r="V1030" s="57">
        <f>(1000*CHOOSE(CONTROL!$C$42, 500, 500)*CHOOSE(CONTROL!$C$42, 0.275, 0.275)*CHOOSE(CONTROL!$C$42, 31, 31))/1000000</f>
        <v>4.2625000000000002</v>
      </c>
      <c r="W1030" s="57">
        <f>(1000*CHOOSE(CONTROL!$C$42, 0.1146, 0.1146)*CHOOSE(CONTROL!$C$42, 121.5, 121.5)*CHOOSE(CONTROL!$C$42, 31, 31))/1000000</f>
        <v>0.43164089999999994</v>
      </c>
      <c r="X1030" s="57">
        <f>(31*0.1790888*245000/1000000)+(31*0.2374*100000/1000000)</f>
        <v>2.0961194359999999</v>
      </c>
      <c r="Y1030" s="57"/>
      <c r="Z1030" s="14"/>
      <c r="AA1030" s="56"/>
      <c r="AB1030" s="50">
        <f>(B1030*131.881+C1030*277.167+D1030*79.08+E1030*125.872+F1030*40+G1030*185+H1030*0+I1030*100+J1030*300)/(131.881+277.167+79.08+125.872+0+40+185+100+300)</f>
        <v>100.28035149927359</v>
      </c>
      <c r="AC1030" s="45">
        <f>(M1030*'RAP TEMPLATE-GAS AVAILABILITY'!O1029+N1030*'RAP TEMPLATE-GAS AVAILABILITY'!P1029+O1030*'RAP TEMPLATE-GAS AVAILABILITY'!Q1029+P1030*'RAP TEMPLATE-GAS AVAILABILITY'!R1029)/('RAP TEMPLATE-GAS AVAILABILITY'!O1029+'RAP TEMPLATE-GAS AVAILABILITY'!P1029+'RAP TEMPLATE-GAS AVAILABILITY'!Q1029+'RAP TEMPLATE-GAS AVAILABILITY'!R1029)</f>
        <v>99.344503597122298</v>
      </c>
    </row>
    <row r="1031" spans="1:29" ht="15.75" x14ac:dyDescent="0.25">
      <c r="A1031" s="32">
        <v>72289</v>
      </c>
      <c r="B1031" s="14">
        <f>CHOOSE(CONTROL!$C$42, 102.8864, 102.8864) * CHOOSE(CONTROL!$C$21, $C$9, 100%, $E$9)</f>
        <v>102.88639999999999</v>
      </c>
      <c r="C1031" s="14">
        <f>CHOOSE(CONTROL!$C$42, 102.8913, 102.8913) * CHOOSE(CONTROL!$C$21, $C$9, 100%, $E$9)</f>
        <v>102.8913</v>
      </c>
      <c r="D1031" s="14">
        <f>CHOOSE(CONTROL!$C$42, 102.9544, 102.9544) * CHOOSE(CONTROL!$C$21, $C$9, 100%, $E$9)</f>
        <v>102.95440000000001</v>
      </c>
      <c r="E1031" s="14">
        <f>CHOOSE(CONTROL!$C$42, 102.9882, 102.9882) * CHOOSE(CONTROL!$C$21, $C$9, 100%, $E$9)</f>
        <v>102.98820000000001</v>
      </c>
      <c r="F1031" s="14">
        <f>CHOOSE(CONTROL!$C$42, 102.8871, 102.8871)*CHOOSE(CONTROL!$C$21, $C$9, 100%, $E$9)</f>
        <v>102.8871</v>
      </c>
      <c r="G1031" s="14">
        <f>CHOOSE(CONTROL!$C$42, 102.9033, 102.9033)*CHOOSE(CONTROL!$C$21, $C$9, 100%, $E$9)</f>
        <v>102.9033</v>
      </c>
      <c r="H1031" s="14">
        <f>CHOOSE(CONTROL!$C$42, 102.9774, 102.9774) * CHOOSE(CONTROL!$C$21, $C$9, 100%, $E$9)</f>
        <v>102.9774</v>
      </c>
      <c r="I1031" s="14">
        <f>CHOOSE(CONTROL!$C$42, 102.8999, 102.8999)* CHOOSE(CONTROL!$C$21, $C$9, 100%, $E$9)</f>
        <v>102.8999</v>
      </c>
      <c r="J1031" s="14">
        <f>CHOOSE(CONTROL!$C$42, 102.8801, 102.8801)* CHOOSE(CONTROL!$C$21, $C$9, 100%, $E$9)</f>
        <v>102.8801</v>
      </c>
      <c r="K1031" s="53">
        <f>CHOOSE(CONTROL!$C$42, 102.896, 102.896) * CHOOSE(CONTROL!$C$21, $C$9, 100%, $E$9)</f>
        <v>102.896</v>
      </c>
      <c r="L1031" s="14">
        <f>CHOOSE(CONTROL!$C$42, 103.5644, 103.5644) * CHOOSE(CONTROL!$C$21, $C$9, 100%, $E$9)</f>
        <v>103.56440000000001</v>
      </c>
      <c r="M1031" s="14">
        <f>CHOOSE(CONTROL!$C$42, 101.8556, 101.8556) * CHOOSE(CONTROL!$C$21, $C$9, 100%, $E$9)</f>
        <v>101.8556</v>
      </c>
      <c r="N1031" s="14">
        <f>CHOOSE(CONTROL!$C$42, 101.8718, 101.8718) * CHOOSE(CONTROL!$C$21, $C$9, 100%, $E$9)</f>
        <v>101.87179999999999</v>
      </c>
      <c r="O1031" s="14">
        <f>CHOOSE(CONTROL!$C$42, 101.952, 101.952) * CHOOSE(CONTROL!$C$21, $C$9, 100%, $E$9)</f>
        <v>101.952</v>
      </c>
      <c r="P1031" s="14">
        <f>CHOOSE(CONTROL!$C$42, 101.8753, 101.8753) * CHOOSE(CONTROL!$C$21, $C$9, 100%, $E$9)</f>
        <v>101.8753</v>
      </c>
      <c r="Q1031" s="14">
        <f>CHOOSE(CONTROL!$C$42, 102.5473, 102.5473) * CHOOSE(CONTROL!$C$21, $C$9, 100%, $E$9)</f>
        <v>102.54730000000001</v>
      </c>
      <c r="R1031" s="14">
        <f>CHOOSE(CONTROL!$C$42, 103.3906, 103.3906) * CHOOSE(CONTROL!$C$21, $C$9, 100%, $E$9)</f>
        <v>103.39060000000001</v>
      </c>
      <c r="S1031" s="14">
        <f>CHOOSE(CONTROL!$C$42, 99.9108, 99.9108) * CHOOSE(CONTROL!$C$21, $C$9, 100%, $E$9)</f>
        <v>99.910799999999995</v>
      </c>
      <c r="T1031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31" s="57">
        <f>(1000*CHOOSE(CONTROL!$C$42, 695, 695)*CHOOSE(CONTROL!$C$42, 0.5599, 0.5599)*CHOOSE(CONTROL!$C$42, 30, 30))/1000000</f>
        <v>11.673914999999997</v>
      </c>
      <c r="V1031" s="57">
        <f>(1000*CHOOSE(CONTROL!$C$42, 500, 500)*CHOOSE(CONTROL!$C$42, 0.275, 0.275)*CHOOSE(CONTROL!$C$42, 30, 30))/1000000</f>
        <v>4.125</v>
      </c>
      <c r="W1031" s="57">
        <f>(1000*CHOOSE(CONTROL!$C$42, 0.1146, 0.1146)*CHOOSE(CONTROL!$C$42, 121.5, 121.5)*CHOOSE(CONTROL!$C$42, 30, 30))/1000000</f>
        <v>0.417717</v>
      </c>
      <c r="X1031" s="57">
        <f>(30*0.1790888*100000/1000000)+(30*0.2374*100000/1000000)</f>
        <v>1.2494664</v>
      </c>
      <c r="Y1031" s="57"/>
      <c r="Z1031" s="14"/>
      <c r="AA1031" s="56"/>
      <c r="AB1031" s="50">
        <f>(B1031*122.58+C1031*297.941+D1031*89.177+E1031*40.302+F1031*40+G1031*160+H1031*0+I1031*100+J1031*300)/(122.58+297.941+89.177+40.302+0+40+160+100+300)</f>
        <v>102.89841625260868</v>
      </c>
      <c r="AC1031" s="45">
        <f>(M1031*'RAP TEMPLATE-GAS AVAILABILITY'!O1030+N1031*'RAP TEMPLATE-GAS AVAILABILITY'!P1030+O1031*'RAP TEMPLATE-GAS AVAILABILITY'!Q1030+P1031*'RAP TEMPLATE-GAS AVAILABILITY'!R1030)/('RAP TEMPLATE-GAS AVAILABILITY'!O1030+'RAP TEMPLATE-GAS AVAILABILITY'!P1030+'RAP TEMPLATE-GAS AVAILABILITY'!Q1030+'RAP TEMPLATE-GAS AVAILABILITY'!R1030)</f>
        <v>101.90305899280574</v>
      </c>
    </row>
    <row r="1032" spans="1:29" ht="15.75" x14ac:dyDescent="0.25">
      <c r="A1032" s="32">
        <v>72320</v>
      </c>
      <c r="B1032" s="14">
        <f>CHOOSE(CONTROL!$C$42, 109.9009, 109.9009) * CHOOSE(CONTROL!$C$21, $C$9, 100%, $E$9)</f>
        <v>109.90089999999999</v>
      </c>
      <c r="C1032" s="14">
        <f>CHOOSE(CONTROL!$C$42, 109.9059, 109.9059) * CHOOSE(CONTROL!$C$21, $C$9, 100%, $E$9)</f>
        <v>109.9059</v>
      </c>
      <c r="D1032" s="14">
        <f>CHOOSE(CONTROL!$C$42, 109.9689, 109.9689) * CHOOSE(CONTROL!$C$21, $C$9, 100%, $E$9)</f>
        <v>109.9689</v>
      </c>
      <c r="E1032" s="14">
        <f>CHOOSE(CONTROL!$C$42, 110.0027, 110.0027) * CHOOSE(CONTROL!$C$21, $C$9, 100%, $E$9)</f>
        <v>110.0027</v>
      </c>
      <c r="F1032" s="14">
        <f>CHOOSE(CONTROL!$C$42, 109.9036, 109.9036)*CHOOSE(CONTROL!$C$21, $C$9, 100%, $E$9)</f>
        <v>109.9036</v>
      </c>
      <c r="G1032" s="14">
        <f>CHOOSE(CONTROL!$C$42, 109.9205, 109.9205)*CHOOSE(CONTROL!$C$21, $C$9, 100%, $E$9)</f>
        <v>109.9205</v>
      </c>
      <c r="H1032" s="14">
        <f>CHOOSE(CONTROL!$C$42, 109.9919, 109.9919) * CHOOSE(CONTROL!$C$21, $C$9, 100%, $E$9)</f>
        <v>109.9919</v>
      </c>
      <c r="I1032" s="14">
        <f>CHOOSE(CONTROL!$C$42, 109.9144, 109.9144)* CHOOSE(CONTROL!$C$21, $C$9, 100%, $E$9)</f>
        <v>109.9144</v>
      </c>
      <c r="J1032" s="14">
        <f>CHOOSE(CONTROL!$C$42, 109.8966, 109.8966)* CHOOSE(CONTROL!$C$21, $C$9, 100%, $E$9)</f>
        <v>109.89660000000001</v>
      </c>
      <c r="K1032" s="53">
        <f>CHOOSE(CONTROL!$C$42, 109.9106, 109.9106) * CHOOSE(CONTROL!$C$21, $C$9, 100%, $E$9)</f>
        <v>109.9106</v>
      </c>
      <c r="L1032" s="14">
        <f>CHOOSE(CONTROL!$C$42, 110.5789, 110.5789) * CHOOSE(CONTROL!$C$21, $C$9, 100%, $E$9)</f>
        <v>110.5789</v>
      </c>
      <c r="M1032" s="14">
        <f>CHOOSE(CONTROL!$C$42, 108.8014, 108.8014) * CHOOSE(CONTROL!$C$21, $C$9, 100%, $E$9)</f>
        <v>108.8014</v>
      </c>
      <c r="N1032" s="14">
        <f>CHOOSE(CONTROL!$C$42, 108.8181, 108.8181) * CHOOSE(CONTROL!$C$21, $C$9, 100%, $E$9)</f>
        <v>108.8181</v>
      </c>
      <c r="O1032" s="14">
        <f>CHOOSE(CONTROL!$C$42, 108.8957, 108.8957) * CHOOSE(CONTROL!$C$21, $C$9, 100%, $E$9)</f>
        <v>108.89570000000001</v>
      </c>
      <c r="P1032" s="14">
        <f>CHOOSE(CONTROL!$C$42, 108.8191, 108.8191) * CHOOSE(CONTROL!$C$21, $C$9, 100%, $E$9)</f>
        <v>108.81910000000001</v>
      </c>
      <c r="Q1032" s="14">
        <f>CHOOSE(CONTROL!$C$42, 109.491, 109.491) * CHOOSE(CONTROL!$C$21, $C$9, 100%, $E$9)</f>
        <v>109.491</v>
      </c>
      <c r="R1032" s="14">
        <f>CHOOSE(CONTROL!$C$42, 110.3518, 110.3518) * CHOOSE(CONTROL!$C$21, $C$9, 100%, $E$9)</f>
        <v>110.3518</v>
      </c>
      <c r="S1032" s="14">
        <f>CHOOSE(CONTROL!$C$42, 106.7226, 106.7226) * CHOOSE(CONTROL!$C$21, $C$9, 100%, $E$9)</f>
        <v>106.7226</v>
      </c>
      <c r="T1032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32" s="57">
        <f>(1000*CHOOSE(CONTROL!$C$42, 695, 695)*CHOOSE(CONTROL!$C$42, 0.5599, 0.5599)*CHOOSE(CONTROL!$C$42, 31, 31))/1000000</f>
        <v>12.063045499999998</v>
      </c>
      <c r="V1032" s="57">
        <f>(1000*CHOOSE(CONTROL!$C$42, 500, 500)*CHOOSE(CONTROL!$C$42, 0.275, 0.275)*CHOOSE(CONTROL!$C$42, 31, 31))/1000000</f>
        <v>4.2625000000000002</v>
      </c>
      <c r="W1032" s="57">
        <f>(1000*CHOOSE(CONTROL!$C$42, 0.1146, 0.1146)*CHOOSE(CONTROL!$C$42, 121.5, 121.5)*CHOOSE(CONTROL!$C$42, 31, 31))/1000000</f>
        <v>0.43164089999999994</v>
      </c>
      <c r="X1032" s="57">
        <f>(31*0.1790888*100000/1000000)+(31*0.2374*100000/1000000)</f>
        <v>1.2911152800000001</v>
      </c>
      <c r="Y1032" s="57"/>
      <c r="Z1032" s="14"/>
      <c r="AA1032" s="56"/>
      <c r="AB1032" s="50">
        <f>(B1032*122.58+C1032*297.941+D1032*89.177+E1032*40.302+F1032*40+G1032*160+H1032*0+I1032*100+J1032*300)/(122.58+297.941+89.177+40.302+0+40+160+100+300)</f>
        <v>109.91390911704349</v>
      </c>
      <c r="AC1032" s="45">
        <f>(M1032*'RAP TEMPLATE-GAS AVAILABILITY'!O1031+N1032*'RAP TEMPLATE-GAS AVAILABILITY'!P1031+O1032*'RAP TEMPLATE-GAS AVAILABILITY'!Q1031+P1032*'RAP TEMPLATE-GAS AVAILABILITY'!R1031)/('RAP TEMPLATE-GAS AVAILABILITY'!O1031+'RAP TEMPLATE-GAS AVAILABILITY'!P1031+'RAP TEMPLATE-GAS AVAILABILITY'!Q1031+'RAP TEMPLATE-GAS AVAILABILITY'!R1031)</f>
        <v>108.84764820143884</v>
      </c>
    </row>
    <row r="1033" spans="1:29" ht="15.75" x14ac:dyDescent="0.25">
      <c r="A1033" s="32">
        <v>72351</v>
      </c>
      <c r="B1033" s="14">
        <f>CHOOSE(CONTROL!$C$42, 118.9056, 118.9056) * CHOOSE(CONTROL!$C$21, $C$9, 100%, $E$9)</f>
        <v>118.90560000000001</v>
      </c>
      <c r="C1033" s="14">
        <f>CHOOSE(CONTROL!$C$42, 118.9106, 118.9106) * CHOOSE(CONTROL!$C$21, $C$9, 100%, $E$9)</f>
        <v>118.9106</v>
      </c>
      <c r="D1033" s="14">
        <f>CHOOSE(CONTROL!$C$42, 118.9748, 118.9748) * CHOOSE(CONTROL!$C$21, $C$9, 100%, $E$9)</f>
        <v>118.9748</v>
      </c>
      <c r="E1033" s="14">
        <f>CHOOSE(CONTROL!$C$42, 119.0086, 119.0086) * CHOOSE(CONTROL!$C$21, $C$9, 100%, $E$9)</f>
        <v>119.0086</v>
      </c>
      <c r="F1033" s="14">
        <f>CHOOSE(CONTROL!$C$42, 118.9071, 118.9071)*CHOOSE(CONTROL!$C$21, $C$9, 100%, $E$9)</f>
        <v>118.9071</v>
      </c>
      <c r="G1033" s="14">
        <f>CHOOSE(CONTROL!$C$42, 118.923, 118.923)*CHOOSE(CONTROL!$C$21, $C$9, 100%, $E$9)</f>
        <v>118.923</v>
      </c>
      <c r="H1033" s="14">
        <f>CHOOSE(CONTROL!$C$42, 118.9978, 118.9978) * CHOOSE(CONTROL!$C$21, $C$9, 100%, $E$9)</f>
        <v>118.9978</v>
      </c>
      <c r="I1033" s="14">
        <f>CHOOSE(CONTROL!$C$42, 118.9256, 118.9256)* CHOOSE(CONTROL!$C$21, $C$9, 100%, $E$9)</f>
        <v>118.9256</v>
      </c>
      <c r="J1033" s="14">
        <f>CHOOSE(CONTROL!$C$42, 118.9001, 118.9001)* CHOOSE(CONTROL!$C$21, $C$9, 100%, $E$9)</f>
        <v>118.90009999999999</v>
      </c>
      <c r="K1033" s="53">
        <f>CHOOSE(CONTROL!$C$42, 118.9217, 118.9217) * CHOOSE(CONTROL!$C$21, $C$9, 100%, $E$9)</f>
        <v>118.9217</v>
      </c>
      <c r="L1033" s="14">
        <f>CHOOSE(CONTROL!$C$42, 119.5848, 119.5848) * CHOOSE(CONTROL!$C$21, $C$9, 100%, $E$9)</f>
        <v>119.5848</v>
      </c>
      <c r="M1033" s="14">
        <f>CHOOSE(CONTROL!$C$42, 117.714, 117.714) * CHOOSE(CONTROL!$C$21, $C$9, 100%, $E$9)</f>
        <v>117.714</v>
      </c>
      <c r="N1033" s="14">
        <f>CHOOSE(CONTROL!$C$42, 117.7298, 117.7298) * CHOOSE(CONTROL!$C$21, $C$9, 100%, $E$9)</f>
        <v>117.7298</v>
      </c>
      <c r="O1033" s="14">
        <f>CHOOSE(CONTROL!$C$42, 117.8107, 117.8107) * CHOOSE(CONTROL!$C$21, $C$9, 100%, $E$9)</f>
        <v>117.8107</v>
      </c>
      <c r="P1033" s="14">
        <f>CHOOSE(CONTROL!$C$42, 117.7393, 117.7393) * CHOOSE(CONTROL!$C$21, $C$9, 100%, $E$9)</f>
        <v>117.7393</v>
      </c>
      <c r="Q1033" s="14">
        <f>CHOOSE(CONTROL!$C$42, 118.406, 118.406) * CHOOSE(CONTROL!$C$21, $C$9, 100%, $E$9)</f>
        <v>118.40600000000001</v>
      </c>
      <c r="R1033" s="14">
        <f>CHOOSE(CONTROL!$C$42, 119.2891, 119.2891) * CHOOSE(CONTROL!$C$21, $C$9, 100%, $E$9)</f>
        <v>119.2891</v>
      </c>
      <c r="S1033" s="14">
        <f>CHOOSE(CONTROL!$C$42, 115.4671, 115.4671) * CHOOSE(CONTROL!$C$21, $C$9, 100%, $E$9)</f>
        <v>115.4671</v>
      </c>
      <c r="T1033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33" s="57">
        <f>(1000*CHOOSE(CONTROL!$C$42, 695, 695)*CHOOSE(CONTROL!$C$42, 0.5599, 0.5599)*CHOOSE(CONTROL!$C$42, 31, 31))/1000000</f>
        <v>12.063045499999998</v>
      </c>
      <c r="V1033" s="57">
        <f>(1000*CHOOSE(CONTROL!$C$42, 500, 500)*CHOOSE(CONTROL!$C$42, 0.275, 0.275)*CHOOSE(CONTROL!$C$42, 31, 31))/1000000</f>
        <v>4.2625000000000002</v>
      </c>
      <c r="W1033" s="57">
        <f>(1000*CHOOSE(CONTROL!$C$42, 0.1146, 0.1146)*CHOOSE(CONTROL!$C$42, 121.5, 121.5)*CHOOSE(CONTROL!$C$42, 31, 31))/1000000</f>
        <v>0.43164089999999994</v>
      </c>
      <c r="X1033" s="57">
        <f>(31*0.1790888*100000/1000000)+(31*0.2374*100000/1000000)</f>
        <v>1.2911152800000001</v>
      </c>
      <c r="Y1033" s="57"/>
      <c r="Z1033" s="14"/>
      <c r="AA1033" s="56"/>
      <c r="AB1033" s="50">
        <f>(B1033*122.58+C1033*297.941+D1033*89.177+E1033*40.302+F1033*40+G1033*160+H1033*0+I1033*100+J1033*300)/(122.58+297.941+89.177+40.302+0+40+160+100+300)</f>
        <v>118.91864857339131</v>
      </c>
      <c r="AC1033" s="45">
        <f>(M1033*'RAP TEMPLATE-GAS AVAILABILITY'!O1032+N1033*'RAP TEMPLATE-GAS AVAILABILITY'!P1032+O1033*'RAP TEMPLATE-GAS AVAILABILITY'!Q1032+P1033*'RAP TEMPLATE-GAS AVAILABILITY'!R1032)/('RAP TEMPLATE-GAS AVAILABILITY'!O1032+'RAP TEMPLATE-GAS AVAILABILITY'!P1032+'RAP TEMPLATE-GAS AVAILABILITY'!Q1032+'RAP TEMPLATE-GAS AVAILABILITY'!R1032)</f>
        <v>117.76237769784174</v>
      </c>
    </row>
    <row r="1034" spans="1:29" ht="15.75" x14ac:dyDescent="0.25">
      <c r="A1034" s="32">
        <v>72379</v>
      </c>
      <c r="B1034" s="14">
        <f>CHOOSE(CONTROL!$C$42, 121.0223, 121.0223) * CHOOSE(CONTROL!$C$21, $C$9, 100%, $E$9)</f>
        <v>121.0223</v>
      </c>
      <c r="C1034" s="14">
        <f>CHOOSE(CONTROL!$C$42, 121.0272, 121.0272) * CHOOSE(CONTROL!$C$21, $C$9, 100%, $E$9)</f>
        <v>121.02719999999999</v>
      </c>
      <c r="D1034" s="14">
        <f>CHOOSE(CONTROL!$C$42, 121.0915, 121.0915) * CHOOSE(CONTROL!$C$21, $C$9, 100%, $E$9)</f>
        <v>121.0915</v>
      </c>
      <c r="E1034" s="14">
        <f>CHOOSE(CONTROL!$C$42, 121.1253, 121.1253) * CHOOSE(CONTROL!$C$21, $C$9, 100%, $E$9)</f>
        <v>121.1253</v>
      </c>
      <c r="F1034" s="14">
        <f>CHOOSE(CONTROL!$C$42, 121.0238, 121.0238)*CHOOSE(CONTROL!$C$21, $C$9, 100%, $E$9)</f>
        <v>121.02379999999999</v>
      </c>
      <c r="G1034" s="14">
        <f>CHOOSE(CONTROL!$C$42, 121.0398, 121.0398)*CHOOSE(CONTROL!$C$21, $C$9, 100%, $E$9)</f>
        <v>121.0398</v>
      </c>
      <c r="H1034" s="14">
        <f>CHOOSE(CONTROL!$C$42, 121.1145, 121.1145) * CHOOSE(CONTROL!$C$21, $C$9, 100%, $E$9)</f>
        <v>121.11450000000001</v>
      </c>
      <c r="I1034" s="14">
        <f>CHOOSE(CONTROL!$C$42, 121.0422, 121.0422)* CHOOSE(CONTROL!$C$21, $C$9, 100%, $E$9)</f>
        <v>121.04219999999999</v>
      </c>
      <c r="J1034" s="14">
        <f>CHOOSE(CONTROL!$C$42, 121.0168, 121.0168)* CHOOSE(CONTROL!$C$21, $C$9, 100%, $E$9)</f>
        <v>121.0168</v>
      </c>
      <c r="K1034" s="53">
        <f>CHOOSE(CONTROL!$C$42, 121.0383, 121.0383) * CHOOSE(CONTROL!$C$21, $C$9, 100%, $E$9)</f>
        <v>121.03830000000001</v>
      </c>
      <c r="L1034" s="14">
        <f>CHOOSE(CONTROL!$C$42, 121.7015, 121.7015) * CHOOSE(CONTROL!$C$21, $C$9, 100%, $E$9)</f>
        <v>121.7015</v>
      </c>
      <c r="M1034" s="14">
        <f>CHOOSE(CONTROL!$C$42, 119.8094, 119.8094) * CHOOSE(CONTROL!$C$21, $C$9, 100%, $E$9)</f>
        <v>119.8094</v>
      </c>
      <c r="N1034" s="14">
        <f>CHOOSE(CONTROL!$C$42, 119.8251, 119.8251) * CHOOSE(CONTROL!$C$21, $C$9, 100%, $E$9)</f>
        <v>119.82510000000001</v>
      </c>
      <c r="O1034" s="14">
        <f>CHOOSE(CONTROL!$C$42, 119.906, 119.906) * CHOOSE(CONTROL!$C$21, $C$9, 100%, $E$9)</f>
        <v>119.90600000000001</v>
      </c>
      <c r="P1034" s="14">
        <f>CHOOSE(CONTROL!$C$42, 119.8346, 119.8346) * CHOOSE(CONTROL!$C$21, $C$9, 100%, $E$9)</f>
        <v>119.83459999999999</v>
      </c>
      <c r="Q1034" s="14">
        <f>CHOOSE(CONTROL!$C$42, 120.5013, 120.5013) * CHOOSE(CONTROL!$C$21, $C$9, 100%, $E$9)</f>
        <v>120.5013</v>
      </c>
      <c r="R1034" s="14">
        <f>CHOOSE(CONTROL!$C$42, 121.3896, 121.3896) * CHOOSE(CONTROL!$C$21, $C$9, 100%, $E$9)</f>
        <v>121.3896</v>
      </c>
      <c r="S1034" s="14">
        <f>CHOOSE(CONTROL!$C$42, 117.5226, 117.5226) * CHOOSE(CONTROL!$C$21, $C$9, 100%, $E$9)</f>
        <v>117.5226</v>
      </c>
      <c r="T1034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34" s="57">
        <f>(1000*CHOOSE(CONTROL!$C$42, 695, 695)*CHOOSE(CONTROL!$C$42, 0.5599, 0.5599)*CHOOSE(CONTROL!$C$42, 28, 28))/1000000</f>
        <v>10.895653999999999</v>
      </c>
      <c r="V1034" s="57">
        <f>(1000*CHOOSE(CONTROL!$C$42, 500, 500)*CHOOSE(CONTROL!$C$42, 0.275, 0.275)*CHOOSE(CONTROL!$C$42, 28, 28))/1000000</f>
        <v>3.85</v>
      </c>
      <c r="W1034" s="57">
        <f>(1000*CHOOSE(CONTROL!$C$42, 0.1146, 0.1146)*CHOOSE(CONTROL!$C$42, 121.5, 121.5)*CHOOSE(CONTROL!$C$42, 28, 28))/1000000</f>
        <v>0.38986920000000003</v>
      </c>
      <c r="X1034" s="57">
        <f>(28*0.1790888*100000/1000000)+(28*0.2374*100000/1000000)</f>
        <v>1.16616864</v>
      </c>
      <c r="Y1034" s="57"/>
      <c r="Z1034" s="14"/>
      <c r="AA1034" s="56"/>
      <c r="AB1034" s="50">
        <f>(B1034*122.58+C1034*297.941+D1034*89.177+E1034*40.302+F1034*40+G1034*160+H1034*0+I1034*100+J1034*300)/(122.58+297.941+89.177+40.302+0+40+160+100+300)</f>
        <v>121.03532788286958</v>
      </c>
      <c r="AC1034" s="45">
        <f>(M1034*'RAP TEMPLATE-GAS AVAILABILITY'!O1033+N1034*'RAP TEMPLATE-GAS AVAILABILITY'!P1033+O1034*'RAP TEMPLATE-GAS AVAILABILITY'!Q1033+P1034*'RAP TEMPLATE-GAS AVAILABILITY'!R1033)/('RAP TEMPLATE-GAS AVAILABILITY'!O1033+'RAP TEMPLATE-GAS AVAILABILITY'!P1033+'RAP TEMPLATE-GAS AVAILABILITY'!Q1033+'RAP TEMPLATE-GAS AVAILABILITY'!R1033)</f>
        <v>119.85771223021581</v>
      </c>
    </row>
    <row r="1035" spans="1:29" ht="15.75" x14ac:dyDescent="0.25">
      <c r="A1035" s="32">
        <v>72410</v>
      </c>
      <c r="B1035" s="14">
        <f>CHOOSE(CONTROL!$C$42, 117.5864, 117.5864) * CHOOSE(CONTROL!$C$21, $C$9, 100%, $E$9)</f>
        <v>117.5864</v>
      </c>
      <c r="C1035" s="14">
        <f>CHOOSE(CONTROL!$C$42, 117.5914, 117.5914) * CHOOSE(CONTROL!$C$21, $C$9, 100%, $E$9)</f>
        <v>117.59139999999999</v>
      </c>
      <c r="D1035" s="14">
        <f>CHOOSE(CONTROL!$C$42, 117.6557, 117.6557) * CHOOSE(CONTROL!$C$21, $C$9, 100%, $E$9)</f>
        <v>117.6557</v>
      </c>
      <c r="E1035" s="14">
        <f>CHOOSE(CONTROL!$C$42, 117.6894, 117.6894) * CHOOSE(CONTROL!$C$21, $C$9, 100%, $E$9)</f>
        <v>117.68940000000001</v>
      </c>
      <c r="F1035" s="14">
        <f>CHOOSE(CONTROL!$C$42, 117.5877, 117.5877)*CHOOSE(CONTROL!$C$21, $C$9, 100%, $E$9)</f>
        <v>117.5877</v>
      </c>
      <c r="G1035" s="14">
        <f>CHOOSE(CONTROL!$C$42, 117.6035, 117.6035)*CHOOSE(CONTROL!$C$21, $C$9, 100%, $E$9)</f>
        <v>117.6035</v>
      </c>
      <c r="H1035" s="14">
        <f>CHOOSE(CONTROL!$C$42, 117.6786, 117.6786) * CHOOSE(CONTROL!$C$21, $C$9, 100%, $E$9)</f>
        <v>117.6786</v>
      </c>
      <c r="I1035" s="14">
        <f>CHOOSE(CONTROL!$C$42, 117.6064, 117.6064)* CHOOSE(CONTROL!$C$21, $C$9, 100%, $E$9)</f>
        <v>117.60639999999999</v>
      </c>
      <c r="J1035" s="14">
        <f>CHOOSE(CONTROL!$C$42, 117.5807, 117.5807)* CHOOSE(CONTROL!$C$21, $C$9, 100%, $E$9)</f>
        <v>117.58069999999999</v>
      </c>
      <c r="K1035" s="53">
        <f>CHOOSE(CONTROL!$C$42, 117.6025, 117.6025) * CHOOSE(CONTROL!$C$21, $C$9, 100%, $E$9)</f>
        <v>117.60250000000001</v>
      </c>
      <c r="L1035" s="14">
        <f>CHOOSE(CONTROL!$C$42, 118.2656, 118.2656) * CHOOSE(CONTROL!$C$21, $C$9, 100%, $E$9)</f>
        <v>118.26560000000001</v>
      </c>
      <c r="M1035" s="14">
        <f>CHOOSE(CONTROL!$C$42, 116.4079, 116.4079) * CHOOSE(CONTROL!$C$21, $C$9, 100%, $E$9)</f>
        <v>116.4079</v>
      </c>
      <c r="N1035" s="14">
        <f>CHOOSE(CONTROL!$C$42, 116.4236, 116.4236) * CHOOSE(CONTROL!$C$21, $C$9, 100%, $E$9)</f>
        <v>116.42359999999999</v>
      </c>
      <c r="O1035" s="14">
        <f>CHOOSE(CONTROL!$C$42, 116.5049, 116.5049) * CHOOSE(CONTROL!$C$21, $C$9, 100%, $E$9)</f>
        <v>116.50490000000001</v>
      </c>
      <c r="P1035" s="14">
        <f>CHOOSE(CONTROL!$C$42, 116.4334, 116.4334) * CHOOSE(CONTROL!$C$21, $C$9, 100%, $E$9)</f>
        <v>116.43340000000001</v>
      </c>
      <c r="Q1035" s="14">
        <f>CHOOSE(CONTROL!$C$42, 117.1002, 117.1002) * CHOOSE(CONTROL!$C$21, $C$9, 100%, $E$9)</f>
        <v>117.1002</v>
      </c>
      <c r="R1035" s="14">
        <f>CHOOSE(CONTROL!$C$42, 117.9799, 117.9799) * CHOOSE(CONTROL!$C$21, $C$9, 100%, $E$9)</f>
        <v>117.9799</v>
      </c>
      <c r="S1035" s="14">
        <f>CHOOSE(CONTROL!$C$42, 114.186, 114.186) * CHOOSE(CONTROL!$C$21, $C$9, 100%, $E$9)</f>
        <v>114.18600000000001</v>
      </c>
      <c r="T1035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35" s="57">
        <f>(1000*CHOOSE(CONTROL!$C$42, 695, 695)*CHOOSE(CONTROL!$C$42, 0.5599, 0.5599)*CHOOSE(CONTROL!$C$42, 31, 31))/1000000</f>
        <v>12.063045499999998</v>
      </c>
      <c r="V1035" s="57">
        <f>(1000*CHOOSE(CONTROL!$C$42, 500, 500)*CHOOSE(CONTROL!$C$42, 0.275, 0.275)*CHOOSE(CONTROL!$C$42, 31, 31))/1000000</f>
        <v>4.2625000000000002</v>
      </c>
      <c r="W1035" s="57">
        <f>(1000*CHOOSE(CONTROL!$C$42, 0.1146, 0.1146)*CHOOSE(CONTROL!$C$42, 121.5, 121.5)*CHOOSE(CONTROL!$C$42, 31, 31))/1000000</f>
        <v>0.43164089999999994</v>
      </c>
      <c r="X1035" s="57">
        <f>(31*0.1790888*100000/1000000)+(31*0.2374*100000/1000000)</f>
        <v>1.2911152800000001</v>
      </c>
      <c r="Y1035" s="57"/>
      <c r="Z1035" s="14"/>
      <c r="AA1035" s="56"/>
      <c r="AB1035" s="50">
        <f>(B1035*122.58+C1035*297.941+D1035*89.177+E1035*40.302+F1035*40+G1035*160+H1035*0+I1035*100+J1035*300)/(122.58+297.941+89.177+40.302+0+40+160+100+300)</f>
        <v>117.59935545834782</v>
      </c>
      <c r="AC1035" s="45">
        <f>(M1035*'RAP TEMPLATE-GAS AVAILABILITY'!O1034+N1035*'RAP TEMPLATE-GAS AVAILABILITY'!P1034+O1035*'RAP TEMPLATE-GAS AVAILABILITY'!Q1034+P1035*'RAP TEMPLATE-GAS AVAILABILITY'!R1034)/('RAP TEMPLATE-GAS AVAILABILITY'!O1034+'RAP TEMPLATE-GAS AVAILABILITY'!P1034+'RAP TEMPLATE-GAS AVAILABILITY'!Q1034+'RAP TEMPLATE-GAS AVAILABILITY'!R1034)</f>
        <v>116.45643669064746</v>
      </c>
    </row>
    <row r="1036" spans="1:29" ht="15.75" x14ac:dyDescent="0.25">
      <c r="A1036" s="32">
        <v>72440</v>
      </c>
      <c r="B1036" s="14">
        <f>CHOOSE(CONTROL!$C$42, 117.2355, 117.2355) * CHOOSE(CONTROL!$C$21, $C$9, 100%, $E$9)</f>
        <v>117.2355</v>
      </c>
      <c r="C1036" s="14">
        <f>CHOOSE(CONTROL!$C$42, 117.2399, 117.2399) * CHOOSE(CONTROL!$C$21, $C$9, 100%, $E$9)</f>
        <v>117.23990000000001</v>
      </c>
      <c r="D1036" s="14">
        <f>CHOOSE(CONTROL!$C$42, 117.4406, 117.4406) * CHOOSE(CONTROL!$C$21, $C$9, 100%, $E$9)</f>
        <v>117.4406</v>
      </c>
      <c r="E1036" s="14">
        <f>CHOOSE(CONTROL!$C$42, 117.4724, 117.4724) * CHOOSE(CONTROL!$C$21, $C$9, 100%, $E$9)</f>
        <v>117.47239999999999</v>
      </c>
      <c r="F1036" s="14">
        <f>CHOOSE(CONTROL!$C$42, 117.2201, 117.2201)*CHOOSE(CONTROL!$C$21, $C$9, 100%, $E$9)</f>
        <v>117.2201</v>
      </c>
      <c r="G1036" s="14">
        <f>CHOOSE(CONTROL!$C$42, 117.2357, 117.2357)*CHOOSE(CONTROL!$C$21, $C$9, 100%, $E$9)</f>
        <v>117.23569999999999</v>
      </c>
      <c r="H1036" s="14">
        <f>CHOOSE(CONTROL!$C$42, 117.4622, 117.4622) * CHOOSE(CONTROL!$C$21, $C$9, 100%, $E$9)</f>
        <v>117.4622</v>
      </c>
      <c r="I1036" s="14">
        <f>CHOOSE(CONTROL!$C$42, 117.2483, 117.2483)* CHOOSE(CONTROL!$C$21, $C$9, 100%, $E$9)</f>
        <v>117.2483</v>
      </c>
      <c r="J1036" s="14">
        <f>CHOOSE(CONTROL!$C$42, 117.2131, 117.2131)* CHOOSE(CONTROL!$C$21, $C$9, 100%, $E$9)</f>
        <v>117.2131</v>
      </c>
      <c r="K1036" s="53">
        <f>CHOOSE(CONTROL!$C$42, 117.2444, 117.2444) * CHOOSE(CONTROL!$C$21, $C$9, 100%, $E$9)</f>
        <v>117.2444</v>
      </c>
      <c r="L1036" s="14">
        <f>CHOOSE(CONTROL!$C$42, 118.0492, 118.0492) * CHOOSE(CONTROL!$C$21, $C$9, 100%, $E$9)</f>
        <v>118.0492</v>
      </c>
      <c r="M1036" s="14">
        <f>CHOOSE(CONTROL!$C$42, 116.044, 116.044) * CHOOSE(CONTROL!$C$21, $C$9, 100%, $E$9)</f>
        <v>116.044</v>
      </c>
      <c r="N1036" s="14">
        <f>CHOOSE(CONTROL!$C$42, 116.0595, 116.0595) * CHOOSE(CONTROL!$C$21, $C$9, 100%, $E$9)</f>
        <v>116.0595</v>
      </c>
      <c r="O1036" s="14">
        <f>CHOOSE(CONTROL!$C$42, 116.2906, 116.2906) * CHOOSE(CONTROL!$C$21, $C$9, 100%, $E$9)</f>
        <v>116.2906</v>
      </c>
      <c r="P1036" s="14">
        <f>CHOOSE(CONTROL!$C$42, 116.0789, 116.0789) * CHOOSE(CONTROL!$C$21, $C$9, 100%, $E$9)</f>
        <v>116.0789</v>
      </c>
      <c r="Q1036" s="14">
        <f>CHOOSE(CONTROL!$C$42, 116.8859, 116.8859) * CHOOSE(CONTROL!$C$21, $C$9, 100%, $E$9)</f>
        <v>116.88590000000001</v>
      </c>
      <c r="R1036" s="14">
        <f>CHOOSE(CONTROL!$C$42, 117.7651, 117.7651) * CHOOSE(CONTROL!$C$21, $C$9, 100%, $E$9)</f>
        <v>117.7651</v>
      </c>
      <c r="S1036" s="14">
        <f>CHOOSE(CONTROL!$C$42, 113.8445, 113.8445) * CHOOSE(CONTROL!$C$21, $C$9, 100%, $E$9)</f>
        <v>113.8445</v>
      </c>
      <c r="T1036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36" s="57">
        <f>(1000*CHOOSE(CONTROL!$C$42, 695, 695)*CHOOSE(CONTROL!$C$42, 0.5599, 0.5599)*CHOOSE(CONTROL!$C$42, 30, 30))/1000000</f>
        <v>11.673914999999997</v>
      </c>
      <c r="V1036" s="57">
        <f>(1000*CHOOSE(CONTROL!$C$42, 500, 500)*CHOOSE(CONTROL!$C$42, 0.275, 0.275)*CHOOSE(CONTROL!$C$42, 30, 30))/1000000</f>
        <v>4.125</v>
      </c>
      <c r="W1036" s="57">
        <f>(1000*CHOOSE(CONTROL!$C$42, 0.1146, 0.1146)*CHOOSE(CONTROL!$C$42, 121.5, 121.5)*CHOOSE(CONTROL!$C$42, 30, 30))/1000000</f>
        <v>0.417717</v>
      </c>
      <c r="X1036" s="57">
        <f>(30*0.1790888*245000/1000000)+(30*0.2374*100000/1000000)</f>
        <v>2.0285026799999999</v>
      </c>
      <c r="Y1036" s="57"/>
      <c r="Z1036" s="14"/>
      <c r="AA1036" s="56"/>
      <c r="AB1036" s="50">
        <f>(B1036*141.293+C1036*267.993+D1036*115.016+E1036*89.698+F1036*40+G1036*185+H1036*0+I1036*100+J1036*300)/(141.293+267.993+115.016+89.698+0+40+185+100+300)</f>
        <v>117.26778362146894</v>
      </c>
      <c r="AC1036" s="45">
        <f>(M1036*'RAP TEMPLATE-GAS AVAILABILITY'!O1035+N1036*'RAP TEMPLATE-GAS AVAILABILITY'!P1035+O1036*'RAP TEMPLATE-GAS AVAILABILITY'!Q1035+P1036*'RAP TEMPLATE-GAS AVAILABILITY'!R1035)/('RAP TEMPLATE-GAS AVAILABILITY'!O1035+'RAP TEMPLATE-GAS AVAILABILITY'!P1035+'RAP TEMPLATE-GAS AVAILABILITY'!Q1035+'RAP TEMPLATE-GAS AVAILABILITY'!R1035)</f>
        <v>116.16168201438848</v>
      </c>
    </row>
    <row r="1037" spans="1:29" ht="15.75" x14ac:dyDescent="0.25">
      <c r="A1037" s="32">
        <v>72471</v>
      </c>
      <c r="B1037" s="14">
        <f>CHOOSE(CONTROL!$C$42, 118.2716, 118.2716) * CHOOSE(CONTROL!$C$21, $C$9, 100%, $E$9)</f>
        <v>118.27160000000001</v>
      </c>
      <c r="C1037" s="14">
        <f>CHOOSE(CONTROL!$C$42, 118.2795, 118.2795) * CHOOSE(CONTROL!$C$21, $C$9, 100%, $E$9)</f>
        <v>118.2795</v>
      </c>
      <c r="D1037" s="14">
        <f>CHOOSE(CONTROL!$C$42, 118.4771, 118.4771) * CHOOSE(CONTROL!$C$21, $C$9, 100%, $E$9)</f>
        <v>118.47709999999999</v>
      </c>
      <c r="E1037" s="14">
        <f>CHOOSE(CONTROL!$C$42, 118.5083, 118.5083) * CHOOSE(CONTROL!$C$21, $C$9, 100%, $E$9)</f>
        <v>118.50830000000001</v>
      </c>
      <c r="F1037" s="14">
        <f>CHOOSE(CONTROL!$C$42, 118.255, 118.255)*CHOOSE(CONTROL!$C$21, $C$9, 100%, $E$9)</f>
        <v>118.255</v>
      </c>
      <c r="G1037" s="14">
        <f>CHOOSE(CONTROL!$C$42, 118.2711, 118.2711)*CHOOSE(CONTROL!$C$21, $C$9, 100%, $E$9)</f>
        <v>118.2711</v>
      </c>
      <c r="H1037" s="14">
        <f>CHOOSE(CONTROL!$C$42, 118.4969, 118.4969) * CHOOSE(CONTROL!$C$21, $C$9, 100%, $E$9)</f>
        <v>118.4969</v>
      </c>
      <c r="I1037" s="14">
        <f>CHOOSE(CONTROL!$C$42, 118.283, 118.283)* CHOOSE(CONTROL!$C$21, $C$9, 100%, $E$9)</f>
        <v>118.283</v>
      </c>
      <c r="J1037" s="14">
        <f>CHOOSE(CONTROL!$C$42, 118.248, 118.248)* CHOOSE(CONTROL!$C$21, $C$9, 100%, $E$9)</f>
        <v>118.248</v>
      </c>
      <c r="K1037" s="53">
        <f>CHOOSE(CONTROL!$C$42, 118.2791, 118.2791) * CHOOSE(CONTROL!$C$21, $C$9, 100%, $E$9)</f>
        <v>118.2791</v>
      </c>
      <c r="L1037" s="14">
        <f>CHOOSE(CONTROL!$C$42, 119.0839, 119.0839) * CHOOSE(CONTROL!$C$21, $C$9, 100%, $E$9)</f>
        <v>119.0839</v>
      </c>
      <c r="M1037" s="14">
        <f>CHOOSE(CONTROL!$C$42, 117.0685, 117.0685) * CHOOSE(CONTROL!$C$21, $C$9, 100%, $E$9)</f>
        <v>117.0685</v>
      </c>
      <c r="N1037" s="14">
        <f>CHOOSE(CONTROL!$C$42, 117.0845, 117.0845) * CHOOSE(CONTROL!$C$21, $C$9, 100%, $E$9)</f>
        <v>117.08450000000001</v>
      </c>
      <c r="O1037" s="14">
        <f>CHOOSE(CONTROL!$C$42, 117.3149, 117.3149) * CHOOSE(CONTROL!$C$21, $C$9, 100%, $E$9)</f>
        <v>117.31489999999999</v>
      </c>
      <c r="P1037" s="14">
        <f>CHOOSE(CONTROL!$C$42, 117.1032, 117.1032) * CHOOSE(CONTROL!$C$21, $C$9, 100%, $E$9)</f>
        <v>117.1032</v>
      </c>
      <c r="Q1037" s="14">
        <f>CHOOSE(CONTROL!$C$42, 117.9102, 117.9102) * CHOOSE(CONTROL!$C$21, $C$9, 100%, $E$9)</f>
        <v>117.9102</v>
      </c>
      <c r="R1037" s="14">
        <f>CHOOSE(CONTROL!$C$42, 118.792, 118.792) * CHOOSE(CONTROL!$C$21, $C$9, 100%, $E$9)</f>
        <v>118.792</v>
      </c>
      <c r="S1037" s="14">
        <f>CHOOSE(CONTROL!$C$42, 114.8493, 114.8493) * CHOOSE(CONTROL!$C$21, $C$9, 100%, $E$9)</f>
        <v>114.8493</v>
      </c>
      <c r="T1037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37" s="57">
        <f>(1000*CHOOSE(CONTROL!$C$42, 695, 695)*CHOOSE(CONTROL!$C$42, 0.5599, 0.5599)*CHOOSE(CONTROL!$C$42, 31, 31))/1000000</f>
        <v>12.063045499999998</v>
      </c>
      <c r="V1037" s="57">
        <f>(1000*CHOOSE(CONTROL!$C$42, 500, 500)*CHOOSE(CONTROL!$C$42, 0.275, 0.275)*CHOOSE(CONTROL!$C$42, 31, 31))/1000000</f>
        <v>4.2625000000000002</v>
      </c>
      <c r="W1037" s="57">
        <f>(1000*CHOOSE(CONTROL!$C$42, 0.1146, 0.1146)*CHOOSE(CONTROL!$C$42, 121.5, 121.5)*CHOOSE(CONTROL!$C$42, 31, 31))/1000000</f>
        <v>0.43164089999999994</v>
      </c>
      <c r="X1037" s="57">
        <f>(31*0.1790888*245000/1000000)+(31*0.2374*100000/1000000)</f>
        <v>2.0961194359999999</v>
      </c>
      <c r="Y1037" s="57"/>
      <c r="Z1037" s="14"/>
      <c r="AA1037" s="56"/>
      <c r="AB1037" s="50">
        <f>(B1037*194.205+C1037*267.466+D1037*133.845+E1037*53.484+F1037*40+G1037*185+H1037*0+I1037*100+J1037*300)/(194.205+267.466+133.845+53.484+0+40+185+100+300)</f>
        <v>118.29952880039248</v>
      </c>
      <c r="AC1037" s="45">
        <f>(M1037*'RAP TEMPLATE-GAS AVAILABILITY'!O1036+N1037*'RAP TEMPLATE-GAS AVAILABILITY'!P1036+O1037*'RAP TEMPLATE-GAS AVAILABILITY'!Q1036+P1037*'RAP TEMPLATE-GAS AVAILABILITY'!R1036)/('RAP TEMPLATE-GAS AVAILABILITY'!O1036+'RAP TEMPLATE-GAS AVAILABILITY'!P1036+'RAP TEMPLATE-GAS AVAILABILITY'!Q1036+'RAP TEMPLATE-GAS AVAILABILITY'!R1036)</f>
        <v>117.18609136690648</v>
      </c>
    </row>
    <row r="1038" spans="1:29" ht="15.75" x14ac:dyDescent="0.25">
      <c r="A1038" s="32">
        <v>72501</v>
      </c>
      <c r="B1038" s="14">
        <f>CHOOSE(CONTROL!$C$42, 121.6264, 121.6264) * CHOOSE(CONTROL!$C$21, $C$9, 100%, $E$9)</f>
        <v>121.6264</v>
      </c>
      <c r="C1038" s="14">
        <f>CHOOSE(CONTROL!$C$42, 121.6343, 121.6343) * CHOOSE(CONTROL!$C$21, $C$9, 100%, $E$9)</f>
        <v>121.6343</v>
      </c>
      <c r="D1038" s="14">
        <f>CHOOSE(CONTROL!$C$42, 121.8319, 121.8319) * CHOOSE(CONTROL!$C$21, $C$9, 100%, $E$9)</f>
        <v>121.8319</v>
      </c>
      <c r="E1038" s="14">
        <f>CHOOSE(CONTROL!$C$42, 121.8631, 121.8631) * CHOOSE(CONTROL!$C$21, $C$9, 100%, $E$9)</f>
        <v>121.8631</v>
      </c>
      <c r="F1038" s="14">
        <f>CHOOSE(CONTROL!$C$42, 121.6103, 121.6103)*CHOOSE(CONTROL!$C$21, $C$9, 100%, $E$9)</f>
        <v>121.6103</v>
      </c>
      <c r="G1038" s="14">
        <f>CHOOSE(CONTROL!$C$42, 121.6264, 121.6264)*CHOOSE(CONTROL!$C$21, $C$9, 100%, $E$9)</f>
        <v>121.6264</v>
      </c>
      <c r="H1038" s="14">
        <f>CHOOSE(CONTROL!$C$42, 121.8517, 121.8517) * CHOOSE(CONTROL!$C$21, $C$9, 100%, $E$9)</f>
        <v>121.85169999999999</v>
      </c>
      <c r="I1038" s="14">
        <f>CHOOSE(CONTROL!$C$42, 121.6378, 121.6378)* CHOOSE(CONTROL!$C$21, $C$9, 100%, $E$9)</f>
        <v>121.6378</v>
      </c>
      <c r="J1038" s="14">
        <f>CHOOSE(CONTROL!$C$42, 121.6033, 121.6033)* CHOOSE(CONTROL!$C$21, $C$9, 100%, $E$9)</f>
        <v>121.6033</v>
      </c>
      <c r="K1038" s="53">
        <f>CHOOSE(CONTROL!$C$42, 121.6339, 121.6339) * CHOOSE(CONTROL!$C$21, $C$9, 100%, $E$9)</f>
        <v>121.6339</v>
      </c>
      <c r="L1038" s="14">
        <f>CHOOSE(CONTROL!$C$42, 122.4387, 122.4387) * CHOOSE(CONTROL!$C$21, $C$9, 100%, $E$9)</f>
        <v>122.4387</v>
      </c>
      <c r="M1038" s="14">
        <f>CHOOSE(CONTROL!$C$42, 120.3899, 120.3899) * CHOOSE(CONTROL!$C$21, $C$9, 100%, $E$9)</f>
        <v>120.3899</v>
      </c>
      <c r="N1038" s="14">
        <f>CHOOSE(CONTROL!$C$42, 120.4059, 120.4059) * CHOOSE(CONTROL!$C$21, $C$9, 100%, $E$9)</f>
        <v>120.4059</v>
      </c>
      <c r="O1038" s="14">
        <f>CHOOSE(CONTROL!$C$42, 120.6358, 120.6358) * CHOOSE(CONTROL!$C$21, $C$9, 100%, $E$9)</f>
        <v>120.6358</v>
      </c>
      <c r="P1038" s="14">
        <f>CHOOSE(CONTROL!$C$42, 120.4241, 120.4241) * CHOOSE(CONTROL!$C$21, $C$9, 100%, $E$9)</f>
        <v>120.4241</v>
      </c>
      <c r="Q1038" s="14">
        <f>CHOOSE(CONTROL!$C$42, 121.2311, 121.2311) * CHOOSE(CONTROL!$C$21, $C$9, 100%, $E$9)</f>
        <v>121.2311</v>
      </c>
      <c r="R1038" s="14">
        <f>CHOOSE(CONTROL!$C$42, 122.1212, 122.1212) * CHOOSE(CONTROL!$C$21, $C$9, 100%, $E$9)</f>
        <v>122.1212</v>
      </c>
      <c r="S1038" s="14">
        <f>CHOOSE(CONTROL!$C$42, 118.1072, 118.1072) * CHOOSE(CONTROL!$C$21, $C$9, 100%, $E$9)</f>
        <v>118.10720000000001</v>
      </c>
      <c r="T1038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38" s="57">
        <f>(1000*CHOOSE(CONTROL!$C$42, 695, 695)*CHOOSE(CONTROL!$C$42, 0.5599, 0.5599)*CHOOSE(CONTROL!$C$42, 30, 30))/1000000</f>
        <v>11.673914999999997</v>
      </c>
      <c r="V1038" s="57">
        <f>(1000*CHOOSE(CONTROL!$C$42, 500, 500)*CHOOSE(CONTROL!$C$42, 0.275, 0.275)*CHOOSE(CONTROL!$C$42, 30, 30))/1000000</f>
        <v>4.125</v>
      </c>
      <c r="W1038" s="57">
        <f>(1000*CHOOSE(CONTROL!$C$42, 0.1146, 0.1146)*CHOOSE(CONTROL!$C$42, 121.5, 121.5)*CHOOSE(CONTROL!$C$42, 30, 30))/1000000</f>
        <v>0.417717</v>
      </c>
      <c r="X1038" s="57">
        <f>(30*0.1790888*245000/1000000)+(30*0.2374*100000/1000000)</f>
        <v>2.0285026799999999</v>
      </c>
      <c r="Y1038" s="57"/>
      <c r="Z1038" s="14"/>
      <c r="AA1038" s="56"/>
      <c r="AB1038" s="50">
        <f>(B1038*194.205+C1038*267.466+D1038*133.845+E1038*53.484+F1038*40+G1038*185+H1038*0+I1038*100+J1038*300)/(194.205+267.466+133.845+53.484+0+40+185+100+300)</f>
        <v>121.6545348443485</v>
      </c>
      <c r="AC1038" s="45">
        <f>(M1038*'RAP TEMPLATE-GAS AVAILABILITY'!O1037+N1038*'RAP TEMPLATE-GAS AVAILABILITY'!P1037+O1038*'RAP TEMPLATE-GAS AVAILABILITY'!Q1037+P1038*'RAP TEMPLATE-GAS AVAILABILITY'!R1037)/('RAP TEMPLATE-GAS AVAILABILITY'!O1037+'RAP TEMPLATE-GAS AVAILABILITY'!P1037+'RAP TEMPLATE-GAS AVAILABILITY'!Q1037+'RAP TEMPLATE-GAS AVAILABILITY'!R1037)</f>
        <v>120.50719280575541</v>
      </c>
    </row>
    <row r="1039" spans="1:29" ht="15.75" x14ac:dyDescent="0.25">
      <c r="A1039" s="32">
        <v>72532</v>
      </c>
      <c r="B1039" s="14">
        <f>CHOOSE(CONTROL!$C$42, 119.2931, 119.2931) * CHOOSE(CONTROL!$C$21, $C$9, 100%, $E$9)</f>
        <v>119.2931</v>
      </c>
      <c r="C1039" s="14">
        <f>CHOOSE(CONTROL!$C$42, 119.3011, 119.3011) * CHOOSE(CONTROL!$C$21, $C$9, 100%, $E$9)</f>
        <v>119.30110000000001</v>
      </c>
      <c r="D1039" s="14">
        <f>CHOOSE(CONTROL!$C$42, 119.4986, 119.4986) * CHOOSE(CONTROL!$C$21, $C$9, 100%, $E$9)</f>
        <v>119.4986</v>
      </c>
      <c r="E1039" s="14">
        <f>CHOOSE(CONTROL!$C$42, 119.5298, 119.5298) * CHOOSE(CONTROL!$C$21, $C$9, 100%, $E$9)</f>
        <v>119.52979999999999</v>
      </c>
      <c r="F1039" s="14">
        <f>CHOOSE(CONTROL!$C$42, 119.2774, 119.2774)*CHOOSE(CONTROL!$C$21, $C$9, 100%, $E$9)</f>
        <v>119.2774</v>
      </c>
      <c r="G1039" s="14">
        <f>CHOOSE(CONTROL!$C$42, 119.2937, 119.2937)*CHOOSE(CONTROL!$C$21, $C$9, 100%, $E$9)</f>
        <v>119.2937</v>
      </c>
      <c r="H1039" s="14">
        <f>CHOOSE(CONTROL!$C$42, 119.5184, 119.5184) * CHOOSE(CONTROL!$C$21, $C$9, 100%, $E$9)</f>
        <v>119.5184</v>
      </c>
      <c r="I1039" s="14">
        <f>CHOOSE(CONTROL!$C$42, 119.3045, 119.3045)* CHOOSE(CONTROL!$C$21, $C$9, 100%, $E$9)</f>
        <v>119.3045</v>
      </c>
      <c r="J1039" s="14">
        <f>CHOOSE(CONTROL!$C$42, 119.2704, 119.2704)* CHOOSE(CONTROL!$C$21, $C$9, 100%, $E$9)</f>
        <v>119.2704</v>
      </c>
      <c r="K1039" s="53">
        <f>CHOOSE(CONTROL!$C$42, 119.3006, 119.3006) * CHOOSE(CONTROL!$C$21, $C$9, 100%, $E$9)</f>
        <v>119.3006</v>
      </c>
      <c r="L1039" s="14">
        <f>CHOOSE(CONTROL!$C$42, 120.1054, 120.1054) * CHOOSE(CONTROL!$C$21, $C$9, 100%, $E$9)</f>
        <v>120.1054</v>
      </c>
      <c r="M1039" s="14">
        <f>CHOOSE(CONTROL!$C$42, 118.0806, 118.0806) * CHOOSE(CONTROL!$C$21, $C$9, 100%, $E$9)</f>
        <v>118.0806</v>
      </c>
      <c r="N1039" s="14">
        <f>CHOOSE(CONTROL!$C$42, 118.0967, 118.0967) * CHOOSE(CONTROL!$C$21, $C$9, 100%, $E$9)</f>
        <v>118.0967</v>
      </c>
      <c r="O1039" s="14">
        <f>CHOOSE(CONTROL!$C$42, 118.3261, 118.3261) * CHOOSE(CONTROL!$C$21, $C$9, 100%, $E$9)</f>
        <v>118.3261</v>
      </c>
      <c r="P1039" s="14">
        <f>CHOOSE(CONTROL!$C$42, 118.1144, 118.1144) * CHOOSE(CONTROL!$C$21, $C$9, 100%, $E$9)</f>
        <v>118.1144</v>
      </c>
      <c r="Q1039" s="14">
        <f>CHOOSE(CONTROL!$C$42, 118.9214, 118.9214) * CHOOSE(CONTROL!$C$21, $C$9, 100%, $E$9)</f>
        <v>118.92140000000001</v>
      </c>
      <c r="R1039" s="14">
        <f>CHOOSE(CONTROL!$C$42, 119.8057, 119.8057) * CHOOSE(CONTROL!$C$21, $C$9, 100%, $E$9)</f>
        <v>119.8057</v>
      </c>
      <c r="S1039" s="14">
        <f>CHOOSE(CONTROL!$C$42, 115.8413, 115.8413) * CHOOSE(CONTROL!$C$21, $C$9, 100%, $E$9)</f>
        <v>115.8413</v>
      </c>
      <c r="T1039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39" s="57">
        <f>(1000*CHOOSE(CONTROL!$C$42, 695, 695)*CHOOSE(CONTROL!$C$42, 0.5599, 0.5599)*CHOOSE(CONTROL!$C$42, 31, 31))/1000000</f>
        <v>12.063045499999998</v>
      </c>
      <c r="V1039" s="57">
        <f>(1000*CHOOSE(CONTROL!$C$42, 500, 500)*CHOOSE(CONTROL!$C$42, 0.275, 0.275)*CHOOSE(CONTROL!$C$42, 31, 31))/1000000</f>
        <v>4.2625000000000002</v>
      </c>
      <c r="W1039" s="57">
        <f>(1000*CHOOSE(CONTROL!$C$42, 0.1146, 0.1146)*CHOOSE(CONTROL!$C$42, 121.5, 121.5)*CHOOSE(CONTROL!$C$42, 31, 31))/1000000</f>
        <v>0.43164089999999994</v>
      </c>
      <c r="X1039" s="57">
        <f>(31*0.1790888*245000/1000000)+(31*0.2374*100000/1000000)</f>
        <v>2.0961194359999999</v>
      </c>
      <c r="Y1039" s="57"/>
      <c r="Z1039" s="14"/>
      <c r="AA1039" s="56"/>
      <c r="AB1039" s="50">
        <f>(B1039*194.205+C1039*267.466+D1039*133.845+E1039*53.484+F1039*40+G1039*185+H1039*0+I1039*100+J1039*300)/(194.205+267.466+133.845+53.484+0+40+185+100+300)</f>
        <v>119.32144971609105</v>
      </c>
      <c r="AC1039" s="45">
        <f>(M1039*'RAP TEMPLATE-GAS AVAILABILITY'!O1038+N1039*'RAP TEMPLATE-GAS AVAILABILITY'!P1038+O1039*'RAP TEMPLATE-GAS AVAILABILITY'!Q1038+P1039*'RAP TEMPLATE-GAS AVAILABILITY'!R1038)/('RAP TEMPLATE-GAS AVAILABILITY'!O1038+'RAP TEMPLATE-GAS AVAILABILITY'!P1038+'RAP TEMPLATE-GAS AVAILABILITY'!Q1038+'RAP TEMPLATE-GAS AVAILABILITY'!R1038)</f>
        <v>118.19765971223022</v>
      </c>
    </row>
    <row r="1040" spans="1:29" ht="15.75" x14ac:dyDescent="0.25">
      <c r="A1040" s="32">
        <v>72563</v>
      </c>
      <c r="B1040" s="14">
        <f>CHOOSE(CONTROL!$C$42, 113.4009, 113.4009) * CHOOSE(CONTROL!$C$21, $C$9, 100%, $E$9)</f>
        <v>113.40089999999999</v>
      </c>
      <c r="C1040" s="14">
        <f>CHOOSE(CONTROL!$C$42, 113.4088, 113.4088) * CHOOSE(CONTROL!$C$21, $C$9, 100%, $E$9)</f>
        <v>113.4088</v>
      </c>
      <c r="D1040" s="14">
        <f>CHOOSE(CONTROL!$C$42, 113.6064, 113.6064) * CHOOSE(CONTROL!$C$21, $C$9, 100%, $E$9)</f>
        <v>113.60639999999999</v>
      </c>
      <c r="E1040" s="14">
        <f>CHOOSE(CONTROL!$C$42, 113.6375, 113.6375) * CHOOSE(CONTROL!$C$21, $C$9, 100%, $E$9)</f>
        <v>113.6375</v>
      </c>
      <c r="F1040" s="14">
        <f>CHOOSE(CONTROL!$C$42, 113.3853, 113.3853)*CHOOSE(CONTROL!$C$21, $C$9, 100%, $E$9)</f>
        <v>113.3853</v>
      </c>
      <c r="G1040" s="14">
        <f>CHOOSE(CONTROL!$C$42, 113.4017, 113.4017)*CHOOSE(CONTROL!$C$21, $C$9, 100%, $E$9)</f>
        <v>113.40170000000001</v>
      </c>
      <c r="H1040" s="14">
        <f>CHOOSE(CONTROL!$C$42, 113.6262, 113.6262) * CHOOSE(CONTROL!$C$21, $C$9, 100%, $E$9)</f>
        <v>113.6262</v>
      </c>
      <c r="I1040" s="14">
        <f>CHOOSE(CONTROL!$C$42, 113.4123, 113.4123)* CHOOSE(CONTROL!$C$21, $C$9, 100%, $E$9)</f>
        <v>113.4123</v>
      </c>
      <c r="J1040" s="14">
        <f>CHOOSE(CONTROL!$C$42, 113.3783, 113.3783)* CHOOSE(CONTROL!$C$21, $C$9, 100%, $E$9)</f>
        <v>113.3783</v>
      </c>
      <c r="K1040" s="53">
        <f>CHOOSE(CONTROL!$C$42, 113.4084, 113.4084) * CHOOSE(CONTROL!$C$21, $C$9, 100%, $E$9)</f>
        <v>113.4084</v>
      </c>
      <c r="L1040" s="14">
        <f>CHOOSE(CONTROL!$C$42, 114.2132, 114.2132) * CHOOSE(CONTROL!$C$21, $C$9, 100%, $E$9)</f>
        <v>114.2132</v>
      </c>
      <c r="M1040" s="14">
        <f>CHOOSE(CONTROL!$C$42, 112.248, 112.248) * CHOOSE(CONTROL!$C$21, $C$9, 100%, $E$9)</f>
        <v>112.248</v>
      </c>
      <c r="N1040" s="14">
        <f>CHOOSE(CONTROL!$C$42, 112.2642, 112.2642) * CHOOSE(CONTROL!$C$21, $C$9, 100%, $E$9)</f>
        <v>112.2642</v>
      </c>
      <c r="O1040" s="14">
        <f>CHOOSE(CONTROL!$C$42, 112.4933, 112.4933) * CHOOSE(CONTROL!$C$21, $C$9, 100%, $E$9)</f>
        <v>112.4933</v>
      </c>
      <c r="P1040" s="14">
        <f>CHOOSE(CONTROL!$C$42, 112.2816, 112.2816) * CHOOSE(CONTROL!$C$21, $C$9, 100%, $E$9)</f>
        <v>112.2816</v>
      </c>
      <c r="Q1040" s="14">
        <f>CHOOSE(CONTROL!$C$42, 113.0886, 113.0886) * CHOOSE(CONTROL!$C$21, $C$9, 100%, $E$9)</f>
        <v>113.0886</v>
      </c>
      <c r="R1040" s="14">
        <f>CHOOSE(CONTROL!$C$42, 113.9583, 113.9583) * CHOOSE(CONTROL!$C$21, $C$9, 100%, $E$9)</f>
        <v>113.95829999999999</v>
      </c>
      <c r="S1040" s="14">
        <f>CHOOSE(CONTROL!$C$42, 110.1194, 110.1194) * CHOOSE(CONTROL!$C$21, $C$9, 100%, $E$9)</f>
        <v>110.1194</v>
      </c>
      <c r="T1040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40" s="57">
        <f>(1000*CHOOSE(CONTROL!$C$42, 695, 695)*CHOOSE(CONTROL!$C$42, 0.5599, 0.5599)*CHOOSE(CONTROL!$C$42, 31, 31))/1000000</f>
        <v>12.063045499999998</v>
      </c>
      <c r="V1040" s="57">
        <f>(1000*CHOOSE(CONTROL!$C$42, 500, 500)*CHOOSE(CONTROL!$C$42, 0.275, 0.275)*CHOOSE(CONTROL!$C$42, 31, 31))/1000000</f>
        <v>4.2625000000000002</v>
      </c>
      <c r="W1040" s="57">
        <f>(1000*CHOOSE(CONTROL!$C$42, 0.1146, 0.1146)*CHOOSE(CONTROL!$C$42, 121.5, 121.5)*CHOOSE(CONTROL!$C$42, 31, 31))/1000000</f>
        <v>0.43164089999999994</v>
      </c>
      <c r="X1040" s="57">
        <f>(31*0.1790888*245000/1000000)+(31*0.2374*100000/1000000)</f>
        <v>2.0961194359999999</v>
      </c>
      <c r="Y1040" s="57"/>
      <c r="Z1040" s="14"/>
      <c r="AA1040" s="56"/>
      <c r="AB1040" s="50">
        <f>(B1040*194.205+C1040*267.466+D1040*133.845+E1040*53.484+F1040*40+G1040*185+H1040*0+I1040*100+J1040*300)/(194.205+267.466+133.845+53.484+0+40+185+100+300)</f>
        <v>113.42928025376766</v>
      </c>
      <c r="AC1040" s="45">
        <f>(M1040*'RAP TEMPLATE-GAS AVAILABILITY'!O1039+N1040*'RAP TEMPLATE-GAS AVAILABILITY'!P1039+O1040*'RAP TEMPLATE-GAS AVAILABILITY'!Q1039+P1040*'RAP TEMPLATE-GAS AVAILABILITY'!R1039)/('RAP TEMPLATE-GAS AVAILABILITY'!O1039+'RAP TEMPLATE-GAS AVAILABILITY'!P1039+'RAP TEMPLATE-GAS AVAILABILITY'!Q1039+'RAP TEMPLATE-GAS AVAILABILITY'!R1039)</f>
        <v>112.36494604316549</v>
      </c>
    </row>
    <row r="1041" spans="1:29" ht="15.75" x14ac:dyDescent="0.25">
      <c r="A1041" s="32">
        <v>72593</v>
      </c>
      <c r="B1041" s="14">
        <f>CHOOSE(CONTROL!$C$42, 106.2013, 106.2013) * CHOOSE(CONTROL!$C$21, $C$9, 100%, $E$9)</f>
        <v>106.2013</v>
      </c>
      <c r="C1041" s="14">
        <f>CHOOSE(CONTROL!$C$42, 106.2092, 106.2092) * CHOOSE(CONTROL!$C$21, $C$9, 100%, $E$9)</f>
        <v>106.2092</v>
      </c>
      <c r="D1041" s="14">
        <f>CHOOSE(CONTROL!$C$42, 106.4068, 106.4068) * CHOOSE(CONTROL!$C$21, $C$9, 100%, $E$9)</f>
        <v>106.4068</v>
      </c>
      <c r="E1041" s="14">
        <f>CHOOSE(CONTROL!$C$42, 106.4379, 106.4379) * CHOOSE(CONTROL!$C$21, $C$9, 100%, $E$9)</f>
        <v>106.4379</v>
      </c>
      <c r="F1041" s="14">
        <f>CHOOSE(CONTROL!$C$42, 106.1856, 106.1856)*CHOOSE(CONTROL!$C$21, $C$9, 100%, $E$9)</f>
        <v>106.18559999999999</v>
      </c>
      <c r="G1041" s="14">
        <f>CHOOSE(CONTROL!$C$42, 106.202, 106.202)*CHOOSE(CONTROL!$C$21, $C$9, 100%, $E$9)</f>
        <v>106.202</v>
      </c>
      <c r="H1041" s="14">
        <f>CHOOSE(CONTROL!$C$42, 106.4265, 106.4265) * CHOOSE(CONTROL!$C$21, $C$9, 100%, $E$9)</f>
        <v>106.4265</v>
      </c>
      <c r="I1041" s="14">
        <f>CHOOSE(CONTROL!$C$42, 106.2126, 106.2126)* CHOOSE(CONTROL!$C$21, $C$9, 100%, $E$9)</f>
        <v>106.21259999999999</v>
      </c>
      <c r="J1041" s="14">
        <f>CHOOSE(CONTROL!$C$42, 106.1786, 106.1786)* CHOOSE(CONTROL!$C$21, $C$9, 100%, $E$9)</f>
        <v>106.1786</v>
      </c>
      <c r="K1041" s="53">
        <f>CHOOSE(CONTROL!$C$42, 106.2087, 106.2087) * CHOOSE(CONTROL!$C$21, $C$9, 100%, $E$9)</f>
        <v>106.20869999999999</v>
      </c>
      <c r="L1041" s="14">
        <f>CHOOSE(CONTROL!$C$42, 107.0135, 107.0135) * CHOOSE(CONTROL!$C$21, $C$9, 100%, $E$9)</f>
        <v>107.01349999999999</v>
      </c>
      <c r="M1041" s="14">
        <f>CHOOSE(CONTROL!$C$42, 105.1209, 105.1209) * CHOOSE(CONTROL!$C$21, $C$9, 100%, $E$9)</f>
        <v>105.12090000000001</v>
      </c>
      <c r="N1041" s="14">
        <f>CHOOSE(CONTROL!$C$42, 105.1371, 105.1371) * CHOOSE(CONTROL!$C$21, $C$9, 100%, $E$9)</f>
        <v>105.1371</v>
      </c>
      <c r="O1041" s="14">
        <f>CHOOSE(CONTROL!$C$42, 105.3663, 105.3663) * CHOOSE(CONTROL!$C$21, $C$9, 100%, $E$9)</f>
        <v>105.3663</v>
      </c>
      <c r="P1041" s="14">
        <f>CHOOSE(CONTROL!$C$42, 105.1546, 105.1546) * CHOOSE(CONTROL!$C$21, $C$9, 100%, $E$9)</f>
        <v>105.1546</v>
      </c>
      <c r="Q1041" s="14">
        <f>CHOOSE(CONTROL!$C$42, 105.9616, 105.9616) * CHOOSE(CONTROL!$C$21, $C$9, 100%, $E$9)</f>
        <v>105.9616</v>
      </c>
      <c r="R1041" s="14">
        <f>CHOOSE(CONTROL!$C$42, 106.8135, 106.8135) * CHOOSE(CONTROL!$C$21, $C$9, 100%, $E$9)</f>
        <v>106.8135</v>
      </c>
      <c r="S1041" s="14">
        <f>CHOOSE(CONTROL!$C$42, 103.1278, 103.1278) * CHOOSE(CONTROL!$C$21, $C$9, 100%, $E$9)</f>
        <v>103.12779999999999</v>
      </c>
      <c r="T1041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41" s="57">
        <f>(1000*CHOOSE(CONTROL!$C$42, 695, 695)*CHOOSE(CONTROL!$C$42, 0.5599, 0.5599)*CHOOSE(CONTROL!$C$42, 30, 30))/1000000</f>
        <v>11.673914999999997</v>
      </c>
      <c r="V1041" s="57">
        <f>(1000*CHOOSE(CONTROL!$C$42, 500, 500)*CHOOSE(CONTROL!$C$42, 0.275, 0.275)*CHOOSE(CONTROL!$C$42, 30, 30))/1000000</f>
        <v>4.125</v>
      </c>
      <c r="W1041" s="57">
        <f>(1000*CHOOSE(CONTROL!$C$42, 0.1146, 0.1146)*CHOOSE(CONTROL!$C$42, 121.5, 121.5)*CHOOSE(CONTROL!$C$42, 30, 30))/1000000</f>
        <v>0.417717</v>
      </c>
      <c r="X1041" s="57">
        <f>(30*0.1790888*245000/1000000)+(30*0.2374*100000/1000000)</f>
        <v>2.0285026799999999</v>
      </c>
      <c r="Y1041" s="57"/>
      <c r="Z1041" s="14"/>
      <c r="AA1041" s="56"/>
      <c r="AB1041" s="50">
        <f>(B1041*194.205+C1041*267.466+D1041*133.845+E1041*53.484+F1041*40+G1041*185+H1041*0+I1041*100+J1041*300)/(194.205+267.466+133.845+53.484+0+40+185+100+300)</f>
        <v>106.22963119568287</v>
      </c>
      <c r="AC1041" s="45">
        <f>(M1041*'RAP TEMPLATE-GAS AVAILABILITY'!O1040+N1041*'RAP TEMPLATE-GAS AVAILABILITY'!P1040+O1041*'RAP TEMPLATE-GAS AVAILABILITY'!Q1040+P1041*'RAP TEMPLATE-GAS AVAILABILITY'!R1040)/('RAP TEMPLATE-GAS AVAILABILITY'!O1040+'RAP TEMPLATE-GAS AVAILABILITY'!P1040+'RAP TEMPLATE-GAS AVAILABILITY'!Q1040+'RAP TEMPLATE-GAS AVAILABILITY'!R1040)</f>
        <v>105.23790575539569</v>
      </c>
    </row>
    <row r="1042" spans="1:29" ht="15.75" x14ac:dyDescent="0.25">
      <c r="A1042" s="32">
        <v>72624</v>
      </c>
      <c r="B1042" s="14">
        <f>CHOOSE(CONTROL!$C$42, 104.0433, 104.0433) * CHOOSE(CONTROL!$C$21, $C$9, 100%, $E$9)</f>
        <v>104.0433</v>
      </c>
      <c r="C1042" s="14">
        <f>CHOOSE(CONTROL!$C$42, 104.0485, 104.0485) * CHOOSE(CONTROL!$C$21, $C$9, 100%, $E$9)</f>
        <v>104.0485</v>
      </c>
      <c r="D1042" s="14">
        <f>CHOOSE(CONTROL!$C$42, 104.251, 104.251) * CHOOSE(CONTROL!$C$21, $C$9, 100%, $E$9)</f>
        <v>104.251</v>
      </c>
      <c r="E1042" s="14">
        <f>CHOOSE(CONTROL!$C$42, 104.2798, 104.2798) * CHOOSE(CONTROL!$C$21, $C$9, 100%, $E$9)</f>
        <v>104.27979999999999</v>
      </c>
      <c r="F1042" s="14">
        <f>CHOOSE(CONTROL!$C$42, 104.0297, 104.0297)*CHOOSE(CONTROL!$C$21, $C$9, 100%, $E$9)</f>
        <v>104.02970000000001</v>
      </c>
      <c r="G1042" s="14">
        <f>CHOOSE(CONTROL!$C$42, 104.0457, 104.0457)*CHOOSE(CONTROL!$C$21, $C$9, 100%, $E$9)</f>
        <v>104.0457</v>
      </c>
      <c r="H1042" s="14">
        <f>CHOOSE(CONTROL!$C$42, 104.2703, 104.2703) * CHOOSE(CONTROL!$C$21, $C$9, 100%, $E$9)</f>
        <v>104.27030000000001</v>
      </c>
      <c r="I1042" s="14">
        <f>CHOOSE(CONTROL!$C$42, 104.0564, 104.0564)* CHOOSE(CONTROL!$C$21, $C$9, 100%, $E$9)</f>
        <v>104.0564</v>
      </c>
      <c r="J1042" s="14">
        <f>CHOOSE(CONTROL!$C$42, 104.0227, 104.0227)* CHOOSE(CONTROL!$C$21, $C$9, 100%, $E$9)</f>
        <v>104.0227</v>
      </c>
      <c r="K1042" s="53">
        <f>CHOOSE(CONTROL!$C$42, 104.0525, 104.0525) * CHOOSE(CONTROL!$C$21, $C$9, 100%, $E$9)</f>
        <v>104.05249999999999</v>
      </c>
      <c r="L1042" s="14">
        <f>CHOOSE(CONTROL!$C$42, 104.8573, 104.8573) * CHOOSE(CONTROL!$C$21, $C$9, 100%, $E$9)</f>
        <v>104.8573</v>
      </c>
      <c r="M1042" s="14">
        <f>CHOOSE(CONTROL!$C$42, 102.9867, 102.9867) * CHOOSE(CONTROL!$C$21, $C$9, 100%, $E$9)</f>
        <v>102.9867</v>
      </c>
      <c r="N1042" s="14">
        <f>CHOOSE(CONTROL!$C$42, 103.0026, 103.0026) * CHOOSE(CONTROL!$C$21, $C$9, 100%, $E$9)</f>
        <v>103.0026</v>
      </c>
      <c r="O1042" s="14">
        <f>CHOOSE(CONTROL!$C$42, 103.2319, 103.2319) * CHOOSE(CONTROL!$C$21, $C$9, 100%, $E$9)</f>
        <v>103.2319</v>
      </c>
      <c r="P1042" s="14">
        <f>CHOOSE(CONTROL!$C$42, 103.0202, 103.0202) * CHOOSE(CONTROL!$C$21, $C$9, 100%, $E$9)</f>
        <v>103.0202</v>
      </c>
      <c r="Q1042" s="14">
        <f>CHOOSE(CONTROL!$C$42, 103.8272, 103.8272) * CHOOSE(CONTROL!$C$21, $C$9, 100%, $E$9)</f>
        <v>103.8272</v>
      </c>
      <c r="R1042" s="14">
        <f>CHOOSE(CONTROL!$C$42, 104.6737, 104.6737) * CHOOSE(CONTROL!$C$21, $C$9, 100%, $E$9)</f>
        <v>104.6737</v>
      </c>
      <c r="S1042" s="14">
        <f>CHOOSE(CONTROL!$C$42, 101.0339, 101.0339) * CHOOSE(CONTROL!$C$21, $C$9, 100%, $E$9)</f>
        <v>101.0339</v>
      </c>
      <c r="T1042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42" s="57">
        <f>(1000*CHOOSE(CONTROL!$C$42, 695, 695)*CHOOSE(CONTROL!$C$42, 0.5599, 0.5599)*CHOOSE(CONTROL!$C$42, 31, 31))/1000000</f>
        <v>12.063045499999998</v>
      </c>
      <c r="V1042" s="57">
        <f>(1000*CHOOSE(CONTROL!$C$42, 500, 500)*CHOOSE(CONTROL!$C$42, 0.275, 0.275)*CHOOSE(CONTROL!$C$42, 31, 31))/1000000</f>
        <v>4.2625000000000002</v>
      </c>
      <c r="W1042" s="57">
        <f>(1000*CHOOSE(CONTROL!$C$42, 0.1146, 0.1146)*CHOOSE(CONTROL!$C$42, 121.5, 121.5)*CHOOSE(CONTROL!$C$42, 31, 31))/1000000</f>
        <v>0.43164089999999994</v>
      </c>
      <c r="X1042" s="57">
        <f>(31*0.1790888*245000/1000000)+(31*0.2374*100000/1000000)</f>
        <v>2.0961194359999999</v>
      </c>
      <c r="Y1042" s="57"/>
      <c r="Z1042" s="14"/>
      <c r="AA1042" s="56"/>
      <c r="AB1042" s="50">
        <f>(B1042*131.881+C1042*277.167+D1042*79.08+E1042*125.872+F1042*40+G1042*185+H1042*0+I1042*100+J1042*300)/(131.881+277.167+79.08+125.872+0+40+185+100+300)</f>
        <v>104.0777349575464</v>
      </c>
      <c r="AC1042" s="45">
        <f>(M1042*'RAP TEMPLATE-GAS AVAILABILITY'!O1041+N1042*'RAP TEMPLATE-GAS AVAILABILITY'!P1041+O1042*'RAP TEMPLATE-GAS AVAILABILITY'!Q1041+P1042*'RAP TEMPLATE-GAS AVAILABILITY'!R1041)/('RAP TEMPLATE-GAS AVAILABILITY'!O1041+'RAP TEMPLATE-GAS AVAILABILITY'!P1041+'RAP TEMPLATE-GAS AVAILABILITY'!Q1041+'RAP TEMPLATE-GAS AVAILABILITY'!R1041)</f>
        <v>103.10356906474821</v>
      </c>
    </row>
    <row r="1043" spans="1:29" ht="15.75" x14ac:dyDescent="0.25">
      <c r="A1043" s="32">
        <v>72654</v>
      </c>
      <c r="B1043" s="14">
        <f>CHOOSE(CONTROL!$C$42, 106.7838, 106.7838) * CHOOSE(CONTROL!$C$21, $C$9, 100%, $E$9)</f>
        <v>106.7838</v>
      </c>
      <c r="C1043" s="14">
        <f>CHOOSE(CONTROL!$C$42, 106.7887, 106.7887) * CHOOSE(CONTROL!$C$21, $C$9, 100%, $E$9)</f>
        <v>106.78870000000001</v>
      </c>
      <c r="D1043" s="14">
        <f>CHOOSE(CONTROL!$C$42, 106.8518, 106.8518) * CHOOSE(CONTROL!$C$21, $C$9, 100%, $E$9)</f>
        <v>106.8518</v>
      </c>
      <c r="E1043" s="14">
        <f>CHOOSE(CONTROL!$C$42, 106.8856, 106.8856) * CHOOSE(CONTROL!$C$21, $C$9, 100%, $E$9)</f>
        <v>106.8856</v>
      </c>
      <c r="F1043" s="14">
        <f>CHOOSE(CONTROL!$C$42, 106.7845, 106.7845)*CHOOSE(CONTROL!$C$21, $C$9, 100%, $E$9)</f>
        <v>106.78449999999999</v>
      </c>
      <c r="G1043" s="14">
        <f>CHOOSE(CONTROL!$C$42, 106.8008, 106.8008)*CHOOSE(CONTROL!$C$21, $C$9, 100%, $E$9)</f>
        <v>106.8008</v>
      </c>
      <c r="H1043" s="14">
        <f>CHOOSE(CONTROL!$C$42, 106.8748, 106.8748) * CHOOSE(CONTROL!$C$21, $C$9, 100%, $E$9)</f>
        <v>106.87479999999999</v>
      </c>
      <c r="I1043" s="14">
        <f>CHOOSE(CONTROL!$C$42, 106.7973, 106.7973)* CHOOSE(CONTROL!$C$21, $C$9, 100%, $E$9)</f>
        <v>106.79730000000001</v>
      </c>
      <c r="J1043" s="14">
        <f>CHOOSE(CONTROL!$C$42, 106.7775, 106.7775)* CHOOSE(CONTROL!$C$21, $C$9, 100%, $E$9)</f>
        <v>106.7775</v>
      </c>
      <c r="K1043" s="53">
        <f>CHOOSE(CONTROL!$C$42, 106.7934, 106.7934) * CHOOSE(CONTROL!$C$21, $C$9, 100%, $E$9)</f>
        <v>106.79340000000001</v>
      </c>
      <c r="L1043" s="14">
        <f>CHOOSE(CONTROL!$C$42, 107.4618, 107.4618) * CHOOSE(CONTROL!$C$21, $C$9, 100%, $E$9)</f>
        <v>107.4618</v>
      </c>
      <c r="M1043" s="14">
        <f>CHOOSE(CONTROL!$C$42, 105.7137, 105.7137) * CHOOSE(CONTROL!$C$21, $C$9, 100%, $E$9)</f>
        <v>105.7137</v>
      </c>
      <c r="N1043" s="14">
        <f>CHOOSE(CONTROL!$C$42, 105.7299, 105.7299) * CHOOSE(CONTROL!$C$21, $C$9, 100%, $E$9)</f>
        <v>105.7299</v>
      </c>
      <c r="O1043" s="14">
        <f>CHOOSE(CONTROL!$C$42, 105.8101, 105.8101) * CHOOSE(CONTROL!$C$21, $C$9, 100%, $E$9)</f>
        <v>105.81010000000001</v>
      </c>
      <c r="P1043" s="14">
        <f>CHOOSE(CONTROL!$C$42, 105.7334, 105.7334) * CHOOSE(CONTROL!$C$21, $C$9, 100%, $E$9)</f>
        <v>105.7334</v>
      </c>
      <c r="Q1043" s="14">
        <f>CHOOSE(CONTROL!$C$42, 106.4054, 106.4054) * CHOOSE(CONTROL!$C$21, $C$9, 100%, $E$9)</f>
        <v>106.4054</v>
      </c>
      <c r="R1043" s="14">
        <f>CHOOSE(CONTROL!$C$42, 107.2584, 107.2584) * CHOOSE(CONTROL!$C$21, $C$9, 100%, $E$9)</f>
        <v>107.25839999999999</v>
      </c>
      <c r="S1043" s="14">
        <f>CHOOSE(CONTROL!$C$42, 103.6956, 103.6956) * CHOOSE(CONTROL!$C$21, $C$9, 100%, $E$9)</f>
        <v>103.6956</v>
      </c>
      <c r="T1043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43" s="57">
        <f>(1000*CHOOSE(CONTROL!$C$42, 695, 695)*CHOOSE(CONTROL!$C$42, 0.5599, 0.5599)*CHOOSE(CONTROL!$C$42, 30, 30))/1000000</f>
        <v>11.673914999999997</v>
      </c>
      <c r="V1043" s="57">
        <f>(1000*CHOOSE(CONTROL!$C$42, 500, 500)*CHOOSE(CONTROL!$C$42, 0.275, 0.275)*CHOOSE(CONTROL!$C$42, 30, 30))/1000000</f>
        <v>4.125</v>
      </c>
      <c r="W1043" s="57">
        <f>(1000*CHOOSE(CONTROL!$C$42, 0.1146, 0.1146)*CHOOSE(CONTROL!$C$42, 121.5, 121.5)*CHOOSE(CONTROL!$C$42, 30, 30))/1000000</f>
        <v>0.417717</v>
      </c>
      <c r="X1043" s="57">
        <f>(30*0.1790888*100000/1000000)+(30*0.2374*100000/1000000)</f>
        <v>1.2494664</v>
      </c>
      <c r="Y1043" s="57"/>
      <c r="Z1043" s="14"/>
      <c r="AA1043" s="56"/>
      <c r="AB1043" s="50">
        <f>(B1043*122.58+C1043*297.941+D1043*89.177+E1043*40.302+F1043*40+G1043*160+H1043*0+I1043*100+J1043*300)/(122.58+297.941+89.177+40.302+0+40+160+100+300)</f>
        <v>106.79583016565216</v>
      </c>
      <c r="AC1043" s="45">
        <f>(M1043*'RAP TEMPLATE-GAS AVAILABILITY'!O1042+N1043*'RAP TEMPLATE-GAS AVAILABILITY'!P1042+O1043*'RAP TEMPLATE-GAS AVAILABILITY'!Q1042+P1043*'RAP TEMPLATE-GAS AVAILABILITY'!R1042)/('RAP TEMPLATE-GAS AVAILABILITY'!O1042+'RAP TEMPLATE-GAS AVAILABILITY'!P1042+'RAP TEMPLATE-GAS AVAILABILITY'!Q1042+'RAP TEMPLATE-GAS AVAILABILITY'!R1042)</f>
        <v>105.76115899280576</v>
      </c>
    </row>
    <row r="1044" spans="1:29" ht="15.75" x14ac:dyDescent="0.25">
      <c r="A1044" s="32">
        <v>72685</v>
      </c>
      <c r="B1044" s="14">
        <f>CHOOSE(CONTROL!$C$42, 114.064, 114.064) * CHOOSE(CONTROL!$C$21, $C$9, 100%, $E$9)</f>
        <v>114.06399999999999</v>
      </c>
      <c r="C1044" s="14">
        <f>CHOOSE(CONTROL!$C$42, 114.069, 114.069) * CHOOSE(CONTROL!$C$21, $C$9, 100%, $E$9)</f>
        <v>114.069</v>
      </c>
      <c r="D1044" s="14">
        <f>CHOOSE(CONTROL!$C$42, 114.1321, 114.1321) * CHOOSE(CONTROL!$C$21, $C$9, 100%, $E$9)</f>
        <v>114.13209999999999</v>
      </c>
      <c r="E1044" s="14">
        <f>CHOOSE(CONTROL!$C$42, 114.1659, 114.1659) * CHOOSE(CONTROL!$C$21, $C$9, 100%, $E$9)</f>
        <v>114.16589999999999</v>
      </c>
      <c r="F1044" s="14">
        <f>CHOOSE(CONTROL!$C$42, 114.0668, 114.0668)*CHOOSE(CONTROL!$C$21, $C$9, 100%, $E$9)</f>
        <v>114.0668</v>
      </c>
      <c r="G1044" s="14">
        <f>CHOOSE(CONTROL!$C$42, 114.0836, 114.0836)*CHOOSE(CONTROL!$C$21, $C$9, 100%, $E$9)</f>
        <v>114.0836</v>
      </c>
      <c r="H1044" s="14">
        <f>CHOOSE(CONTROL!$C$42, 114.1551, 114.1551) * CHOOSE(CONTROL!$C$21, $C$9, 100%, $E$9)</f>
        <v>114.1551</v>
      </c>
      <c r="I1044" s="14">
        <f>CHOOSE(CONTROL!$C$42, 114.0776, 114.0776)* CHOOSE(CONTROL!$C$21, $C$9, 100%, $E$9)</f>
        <v>114.0776</v>
      </c>
      <c r="J1044" s="14">
        <f>CHOOSE(CONTROL!$C$42, 114.0598, 114.0598)* CHOOSE(CONTROL!$C$21, $C$9, 100%, $E$9)</f>
        <v>114.0598</v>
      </c>
      <c r="K1044" s="53">
        <f>CHOOSE(CONTROL!$C$42, 114.0737, 114.0737) * CHOOSE(CONTROL!$C$21, $C$9, 100%, $E$9)</f>
        <v>114.0737</v>
      </c>
      <c r="L1044" s="14">
        <f>CHOOSE(CONTROL!$C$42, 114.7421, 114.7421) * CHOOSE(CONTROL!$C$21, $C$9, 100%, $E$9)</f>
        <v>114.74209999999999</v>
      </c>
      <c r="M1044" s="14">
        <f>CHOOSE(CONTROL!$C$42, 112.9226, 112.9226) * CHOOSE(CONTROL!$C$21, $C$9, 100%, $E$9)</f>
        <v>112.9226</v>
      </c>
      <c r="N1044" s="14">
        <f>CHOOSE(CONTROL!$C$42, 112.9392, 112.9392) * CHOOSE(CONTROL!$C$21, $C$9, 100%, $E$9)</f>
        <v>112.9392</v>
      </c>
      <c r="O1044" s="14">
        <f>CHOOSE(CONTROL!$C$42, 113.0169, 113.0169) * CHOOSE(CONTROL!$C$21, $C$9, 100%, $E$9)</f>
        <v>113.01690000000001</v>
      </c>
      <c r="P1044" s="14">
        <f>CHOOSE(CONTROL!$C$42, 112.9402, 112.9402) * CHOOSE(CONTROL!$C$21, $C$9, 100%, $E$9)</f>
        <v>112.9402</v>
      </c>
      <c r="Q1044" s="14">
        <f>CHOOSE(CONTROL!$C$42, 113.6122, 113.6122) * CHOOSE(CONTROL!$C$21, $C$9, 100%, $E$9)</f>
        <v>113.6122</v>
      </c>
      <c r="R1044" s="14">
        <f>CHOOSE(CONTROL!$C$42, 114.4832, 114.4832) * CHOOSE(CONTROL!$C$21, $C$9, 100%, $E$9)</f>
        <v>114.4832</v>
      </c>
      <c r="S1044" s="14">
        <f>CHOOSE(CONTROL!$C$42, 110.7655, 110.7655) * CHOOSE(CONTROL!$C$21, $C$9, 100%, $E$9)</f>
        <v>110.7655</v>
      </c>
      <c r="T1044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44" s="57">
        <f>(1000*CHOOSE(CONTROL!$C$42, 695, 695)*CHOOSE(CONTROL!$C$42, 0.5599, 0.5599)*CHOOSE(CONTROL!$C$42, 31, 31))/1000000</f>
        <v>12.063045499999998</v>
      </c>
      <c r="V1044" s="57">
        <f>(1000*CHOOSE(CONTROL!$C$42, 500, 500)*CHOOSE(CONTROL!$C$42, 0.275, 0.275)*CHOOSE(CONTROL!$C$42, 31, 31))/1000000</f>
        <v>4.2625000000000002</v>
      </c>
      <c r="W1044" s="57">
        <f>(1000*CHOOSE(CONTROL!$C$42, 0.1146, 0.1146)*CHOOSE(CONTROL!$C$42, 121.5, 121.5)*CHOOSE(CONTROL!$C$42, 31, 31))/1000000</f>
        <v>0.43164089999999994</v>
      </c>
      <c r="X1044" s="57">
        <f>(31*0.1790888*100000/1000000)+(31*0.2374*100000/1000000)</f>
        <v>1.2911152800000001</v>
      </c>
      <c r="Y1044" s="57"/>
      <c r="Z1044" s="14"/>
      <c r="AA1044" s="56"/>
      <c r="AB1044" s="50">
        <f>(B1044*122.58+C1044*297.941+D1044*89.177+E1044*40.302+F1044*40+G1044*160+H1044*0+I1044*100+J1044*300)/(122.58+297.941+89.177+40.302+0+40+160+100+300)</f>
        <v>114.07705863695652</v>
      </c>
      <c r="AC1044" s="45">
        <f>(M1044*'RAP TEMPLATE-GAS AVAILABILITY'!O1043+N1044*'RAP TEMPLATE-GAS AVAILABILITY'!P1043+O1044*'RAP TEMPLATE-GAS AVAILABILITY'!Q1043+P1044*'RAP TEMPLATE-GAS AVAILABILITY'!R1043)/('RAP TEMPLATE-GAS AVAILABILITY'!O1043+'RAP TEMPLATE-GAS AVAILABILITY'!P1043+'RAP TEMPLATE-GAS AVAILABILITY'!Q1043+'RAP TEMPLATE-GAS AVAILABILITY'!R1043)</f>
        <v>112.96882805755396</v>
      </c>
    </row>
    <row r="1045" spans="1:29" ht="15.75" x14ac:dyDescent="0.25">
      <c r="A1045" s="32">
        <v>72716</v>
      </c>
      <c r="B1045" s="14">
        <f>CHOOSE(CONTROL!$C$42, 123.4099, 123.4099) * CHOOSE(CONTROL!$C$21, $C$9, 100%, $E$9)</f>
        <v>123.40989999999999</v>
      </c>
      <c r="C1045" s="14">
        <f>CHOOSE(CONTROL!$C$42, 123.4148, 123.4148) * CHOOSE(CONTROL!$C$21, $C$9, 100%, $E$9)</f>
        <v>123.4148</v>
      </c>
      <c r="D1045" s="14">
        <f>CHOOSE(CONTROL!$C$42, 123.4791, 123.4791) * CHOOSE(CONTROL!$C$21, $C$9, 100%, $E$9)</f>
        <v>123.4791</v>
      </c>
      <c r="E1045" s="14">
        <f>CHOOSE(CONTROL!$C$42, 123.5129, 123.5129) * CHOOSE(CONTROL!$C$21, $C$9, 100%, $E$9)</f>
        <v>123.5129</v>
      </c>
      <c r="F1045" s="14">
        <f>CHOOSE(CONTROL!$C$42, 123.4114, 123.4114)*CHOOSE(CONTROL!$C$21, $C$9, 100%, $E$9)</f>
        <v>123.4114</v>
      </c>
      <c r="G1045" s="14">
        <f>CHOOSE(CONTROL!$C$42, 123.4273, 123.4273)*CHOOSE(CONTROL!$C$21, $C$9, 100%, $E$9)</f>
        <v>123.4273</v>
      </c>
      <c r="H1045" s="14">
        <f>CHOOSE(CONTROL!$C$42, 123.5021, 123.5021) * CHOOSE(CONTROL!$C$21, $C$9, 100%, $E$9)</f>
        <v>123.5021</v>
      </c>
      <c r="I1045" s="14">
        <f>CHOOSE(CONTROL!$C$42, 123.4299, 123.4299)* CHOOSE(CONTROL!$C$21, $C$9, 100%, $E$9)</f>
        <v>123.4299</v>
      </c>
      <c r="J1045" s="14">
        <f>CHOOSE(CONTROL!$C$42, 123.4044, 123.4044)* CHOOSE(CONTROL!$C$21, $C$9, 100%, $E$9)</f>
        <v>123.4044</v>
      </c>
      <c r="K1045" s="53">
        <f>CHOOSE(CONTROL!$C$42, 123.426, 123.426) * CHOOSE(CONTROL!$C$21, $C$9, 100%, $E$9)</f>
        <v>123.426</v>
      </c>
      <c r="L1045" s="14">
        <f>CHOOSE(CONTROL!$C$42, 124.0891, 124.0891) * CHOOSE(CONTROL!$C$21, $C$9, 100%, $E$9)</f>
        <v>124.0891</v>
      </c>
      <c r="M1045" s="14">
        <f>CHOOSE(CONTROL!$C$42, 122.1728, 122.1728) * CHOOSE(CONTROL!$C$21, $C$9, 100%, $E$9)</f>
        <v>122.1728</v>
      </c>
      <c r="N1045" s="14">
        <f>CHOOSE(CONTROL!$C$42, 122.1886, 122.1886) * CHOOSE(CONTROL!$C$21, $C$9, 100%, $E$9)</f>
        <v>122.18859999999999</v>
      </c>
      <c r="O1045" s="14">
        <f>CHOOSE(CONTROL!$C$42, 122.2696, 122.2696) * CHOOSE(CONTROL!$C$21, $C$9, 100%, $E$9)</f>
        <v>122.2696</v>
      </c>
      <c r="P1045" s="14">
        <f>CHOOSE(CONTROL!$C$42, 122.1981, 122.1981) * CHOOSE(CONTROL!$C$21, $C$9, 100%, $E$9)</f>
        <v>122.1981</v>
      </c>
      <c r="Q1045" s="14">
        <f>CHOOSE(CONTROL!$C$42, 122.8649, 122.8649) * CHOOSE(CONTROL!$C$21, $C$9, 100%, $E$9)</f>
        <v>122.86490000000001</v>
      </c>
      <c r="R1045" s="14">
        <f>CHOOSE(CONTROL!$C$42, 123.759, 123.759) * CHOOSE(CONTROL!$C$21, $C$9, 100%, $E$9)</f>
        <v>123.759</v>
      </c>
      <c r="S1045" s="14">
        <f>CHOOSE(CONTROL!$C$42, 119.8412, 119.8412) * CHOOSE(CONTROL!$C$21, $C$9, 100%, $E$9)</f>
        <v>119.8412</v>
      </c>
      <c r="T1045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45" s="57">
        <f>(1000*CHOOSE(CONTROL!$C$42, 695, 695)*CHOOSE(CONTROL!$C$42, 0.5599, 0.5599)*CHOOSE(CONTROL!$C$42, 31, 31))/1000000</f>
        <v>12.063045499999998</v>
      </c>
      <c r="V1045" s="57">
        <f>(1000*CHOOSE(CONTROL!$C$42, 500, 500)*CHOOSE(CONTROL!$C$42, 0.275, 0.275)*CHOOSE(CONTROL!$C$42, 31, 31))/1000000</f>
        <v>4.2625000000000002</v>
      </c>
      <c r="W1045" s="57">
        <f>(1000*CHOOSE(CONTROL!$C$42, 0.1146, 0.1146)*CHOOSE(CONTROL!$C$42, 121.5, 121.5)*CHOOSE(CONTROL!$C$42, 31, 31))/1000000</f>
        <v>0.43164089999999994</v>
      </c>
      <c r="X1045" s="57">
        <f>(31*0.1790888*100000/1000000)+(31*0.2374*100000/1000000)</f>
        <v>1.2911152800000001</v>
      </c>
      <c r="Y1045" s="57"/>
      <c r="Z1045" s="14"/>
      <c r="AA1045" s="56"/>
      <c r="AB1045" s="50">
        <f>(B1045*122.58+C1045*297.941+D1045*89.177+E1045*40.302+F1045*40+G1045*160+H1045*0+I1045*100+J1045*300)/(122.58+297.941+89.177+40.302+0+40+160+100+300)</f>
        <v>123.42292266547827</v>
      </c>
      <c r="AC1045" s="45">
        <f>(M1045*'RAP TEMPLATE-GAS AVAILABILITY'!O1044+N1045*'RAP TEMPLATE-GAS AVAILABILITY'!P1044+O1045*'RAP TEMPLATE-GAS AVAILABILITY'!Q1044+P1045*'RAP TEMPLATE-GAS AVAILABILITY'!R1044)/('RAP TEMPLATE-GAS AVAILABILITY'!O1044+'RAP TEMPLATE-GAS AVAILABILITY'!P1044+'RAP TEMPLATE-GAS AVAILABILITY'!Q1044+'RAP TEMPLATE-GAS AVAILABILITY'!R1044)</f>
        <v>122.22122302158273</v>
      </c>
    </row>
    <row r="1046" spans="1:29" ht="15.75" x14ac:dyDescent="0.25">
      <c r="A1046" s="32">
        <v>72744</v>
      </c>
      <c r="B1046" s="14">
        <f>CHOOSE(CONTROL!$C$42, 125.6067, 125.6067) * CHOOSE(CONTROL!$C$21, $C$9, 100%, $E$9)</f>
        <v>125.6067</v>
      </c>
      <c r="C1046" s="14">
        <f>CHOOSE(CONTROL!$C$42, 125.6117, 125.6117) * CHOOSE(CONTROL!$C$21, $C$9, 100%, $E$9)</f>
        <v>125.6117</v>
      </c>
      <c r="D1046" s="14">
        <f>CHOOSE(CONTROL!$C$42, 125.6759, 125.6759) * CHOOSE(CONTROL!$C$21, $C$9, 100%, $E$9)</f>
        <v>125.6759</v>
      </c>
      <c r="E1046" s="14">
        <f>CHOOSE(CONTROL!$C$42, 125.7097, 125.7097) * CHOOSE(CONTROL!$C$21, $C$9, 100%, $E$9)</f>
        <v>125.7097</v>
      </c>
      <c r="F1046" s="14">
        <f>CHOOSE(CONTROL!$C$42, 125.6083, 125.6083)*CHOOSE(CONTROL!$C$21, $C$9, 100%, $E$9)</f>
        <v>125.6083</v>
      </c>
      <c r="G1046" s="14">
        <f>CHOOSE(CONTROL!$C$42, 125.6242, 125.6242)*CHOOSE(CONTROL!$C$21, $C$9, 100%, $E$9)</f>
        <v>125.6242</v>
      </c>
      <c r="H1046" s="14">
        <f>CHOOSE(CONTROL!$C$42, 125.6989, 125.6989) * CHOOSE(CONTROL!$C$21, $C$9, 100%, $E$9)</f>
        <v>125.69889999999999</v>
      </c>
      <c r="I1046" s="14">
        <f>CHOOSE(CONTROL!$C$42, 125.6267, 125.6267)* CHOOSE(CONTROL!$C$21, $C$9, 100%, $E$9)</f>
        <v>125.6267</v>
      </c>
      <c r="J1046" s="14">
        <f>CHOOSE(CONTROL!$C$42, 125.6013, 125.6013)* CHOOSE(CONTROL!$C$21, $C$9, 100%, $E$9)</f>
        <v>125.60129999999999</v>
      </c>
      <c r="K1046" s="53">
        <f>CHOOSE(CONTROL!$C$42, 125.6228, 125.6228) * CHOOSE(CONTROL!$C$21, $C$9, 100%, $E$9)</f>
        <v>125.6228</v>
      </c>
      <c r="L1046" s="14">
        <f>CHOOSE(CONTROL!$C$42, 126.2859, 126.2859) * CHOOSE(CONTROL!$C$21, $C$9, 100%, $E$9)</f>
        <v>126.2859</v>
      </c>
      <c r="M1046" s="14">
        <f>CHOOSE(CONTROL!$C$42, 124.3476, 124.3476) * CHOOSE(CONTROL!$C$21, $C$9, 100%, $E$9)</f>
        <v>124.3476</v>
      </c>
      <c r="N1046" s="14">
        <f>CHOOSE(CONTROL!$C$42, 124.3633, 124.3633) * CHOOSE(CONTROL!$C$21, $C$9, 100%, $E$9)</f>
        <v>124.3633</v>
      </c>
      <c r="O1046" s="14">
        <f>CHOOSE(CONTROL!$C$42, 124.4442, 124.4442) * CHOOSE(CONTROL!$C$21, $C$9, 100%, $E$9)</f>
        <v>124.4442</v>
      </c>
      <c r="P1046" s="14">
        <f>CHOOSE(CONTROL!$C$42, 124.3728, 124.3728) * CHOOSE(CONTROL!$C$21, $C$9, 100%, $E$9)</f>
        <v>124.3728</v>
      </c>
      <c r="Q1046" s="14">
        <f>CHOOSE(CONTROL!$C$42, 125.0395, 125.0395) * CHOOSE(CONTROL!$C$21, $C$9, 100%, $E$9)</f>
        <v>125.0395</v>
      </c>
      <c r="R1046" s="14">
        <f>CHOOSE(CONTROL!$C$42, 125.9391, 125.9391) * CHOOSE(CONTROL!$C$21, $C$9, 100%, $E$9)</f>
        <v>125.9391</v>
      </c>
      <c r="S1046" s="14">
        <f>CHOOSE(CONTROL!$C$42, 121.9745, 121.9745) * CHOOSE(CONTROL!$C$21, $C$9, 100%, $E$9)</f>
        <v>121.97450000000001</v>
      </c>
      <c r="T1046" s="57">
        <f>(((255000*CHOOSE(CONTROL!$C$42, 0.4694, 0.4694)+(750000-255000)*CHOOSE(CONTROL!$C$42, 0.7185, 0.7185)+400000*CHOOSE(CONTROL!$C$42, 1.14, 1.14))*CHOOSE(CONTROL!$C$42, 28, 28))/1000000)+CHOOSE(CONTROL!$C$42, 0.1755, 0.1755)+CHOOSE(CONTROL!$C$42, 0.2587, 0.2587)</f>
        <v>26.512126000000002</v>
      </c>
      <c r="U1046" s="57">
        <f>(1000*CHOOSE(CONTROL!$C$42, 695, 695)*CHOOSE(CONTROL!$C$42, 0.5599, 0.5599)*CHOOSE(CONTROL!$C$42, 28, 28))/1000000</f>
        <v>10.895653999999999</v>
      </c>
      <c r="V1046" s="57">
        <f>(1000*CHOOSE(CONTROL!$C$42, 500, 500)*CHOOSE(CONTROL!$C$42, 0.275, 0.275)*CHOOSE(CONTROL!$C$42, 28, 28))/1000000</f>
        <v>3.85</v>
      </c>
      <c r="W1046" s="57">
        <f>(1000*CHOOSE(CONTROL!$C$42, 0.1146, 0.1146)*CHOOSE(CONTROL!$C$42, 121.5, 121.5)*CHOOSE(CONTROL!$C$42, 28, 28))/1000000</f>
        <v>0.38986920000000003</v>
      </c>
      <c r="X1046" s="57">
        <f>(28*0.1790888*100000/1000000)+(28*0.2374*100000/1000000)</f>
        <v>1.16616864</v>
      </c>
      <c r="Y1046" s="57"/>
      <c r="Z1046" s="14"/>
      <c r="AA1046" s="56"/>
      <c r="AB1046" s="50">
        <f>(B1046*122.58+C1046*297.941+D1046*89.177+E1046*40.302+F1046*40+G1046*160+H1046*0+I1046*100+J1046*300)/(122.58+297.941+89.177+40.302+0+40+160+100+300)</f>
        <v>125.61979205165215</v>
      </c>
      <c r="AC1046" s="45">
        <f>(M1046*'RAP TEMPLATE-GAS AVAILABILITY'!O1045+N1046*'RAP TEMPLATE-GAS AVAILABILITY'!P1045+O1046*'RAP TEMPLATE-GAS AVAILABILITY'!Q1045+P1046*'RAP TEMPLATE-GAS AVAILABILITY'!R1045)/('RAP TEMPLATE-GAS AVAILABILITY'!O1045+'RAP TEMPLATE-GAS AVAILABILITY'!P1045+'RAP TEMPLATE-GAS AVAILABILITY'!Q1045+'RAP TEMPLATE-GAS AVAILABILITY'!R1045)</f>
        <v>124.3959122302158</v>
      </c>
    </row>
    <row r="1047" spans="1:29" ht="15.75" x14ac:dyDescent="0.25">
      <c r="A1047" s="32">
        <v>72775</v>
      </c>
      <c r="B1047" s="14">
        <f>CHOOSE(CONTROL!$C$42, 122.0407, 122.0407) * CHOOSE(CONTROL!$C$21, $C$9, 100%, $E$9)</f>
        <v>122.0407</v>
      </c>
      <c r="C1047" s="14">
        <f>CHOOSE(CONTROL!$C$42, 122.0457, 122.0457) * CHOOSE(CONTROL!$C$21, $C$9, 100%, $E$9)</f>
        <v>122.0457</v>
      </c>
      <c r="D1047" s="14">
        <f>CHOOSE(CONTROL!$C$42, 122.1099, 122.1099) * CHOOSE(CONTROL!$C$21, $C$9, 100%, $E$9)</f>
        <v>122.1099</v>
      </c>
      <c r="E1047" s="14">
        <f>CHOOSE(CONTROL!$C$42, 122.1437, 122.1437) * CHOOSE(CONTROL!$C$21, $C$9, 100%, $E$9)</f>
        <v>122.1437</v>
      </c>
      <c r="F1047" s="14">
        <f>CHOOSE(CONTROL!$C$42, 122.042, 122.042)*CHOOSE(CONTROL!$C$21, $C$9, 100%, $E$9)</f>
        <v>122.042</v>
      </c>
      <c r="G1047" s="14">
        <f>CHOOSE(CONTROL!$C$42, 122.0578, 122.0578)*CHOOSE(CONTROL!$C$21, $C$9, 100%, $E$9)</f>
        <v>122.0578</v>
      </c>
      <c r="H1047" s="14">
        <f>CHOOSE(CONTROL!$C$42, 122.1329, 122.1329) * CHOOSE(CONTROL!$C$21, $C$9, 100%, $E$9)</f>
        <v>122.13290000000001</v>
      </c>
      <c r="I1047" s="14">
        <f>CHOOSE(CONTROL!$C$42, 122.0607, 122.0607)* CHOOSE(CONTROL!$C$21, $C$9, 100%, $E$9)</f>
        <v>122.0607</v>
      </c>
      <c r="J1047" s="14">
        <f>CHOOSE(CONTROL!$C$42, 122.035, 122.035)* CHOOSE(CONTROL!$C$21, $C$9, 100%, $E$9)</f>
        <v>122.035</v>
      </c>
      <c r="K1047" s="53">
        <f>CHOOSE(CONTROL!$C$42, 122.0568, 122.0568) * CHOOSE(CONTROL!$C$21, $C$9, 100%, $E$9)</f>
        <v>122.0568</v>
      </c>
      <c r="L1047" s="14">
        <f>CHOOSE(CONTROL!$C$42, 122.7199, 122.7199) * CHOOSE(CONTROL!$C$21, $C$9, 100%, $E$9)</f>
        <v>122.7199</v>
      </c>
      <c r="M1047" s="14">
        <f>CHOOSE(CONTROL!$C$42, 120.8172, 120.8172) * CHOOSE(CONTROL!$C$21, $C$9, 100%, $E$9)</f>
        <v>120.8172</v>
      </c>
      <c r="N1047" s="14">
        <f>CHOOSE(CONTROL!$C$42, 120.8329, 120.8329) * CHOOSE(CONTROL!$C$21, $C$9, 100%, $E$9)</f>
        <v>120.8329</v>
      </c>
      <c r="O1047" s="14">
        <f>CHOOSE(CONTROL!$C$42, 120.9142, 120.9142) * CHOOSE(CONTROL!$C$21, $C$9, 100%, $E$9)</f>
        <v>120.91419999999999</v>
      </c>
      <c r="P1047" s="14">
        <f>CHOOSE(CONTROL!$C$42, 120.8428, 120.8428) * CHOOSE(CONTROL!$C$21, $C$9, 100%, $E$9)</f>
        <v>120.8428</v>
      </c>
      <c r="Q1047" s="14">
        <f>CHOOSE(CONTROL!$C$42, 121.5095, 121.5095) * CHOOSE(CONTROL!$C$21, $C$9, 100%, $E$9)</f>
        <v>121.5095</v>
      </c>
      <c r="R1047" s="14">
        <f>CHOOSE(CONTROL!$C$42, 122.4003, 122.4003) * CHOOSE(CONTROL!$C$21, $C$9, 100%, $E$9)</f>
        <v>122.4003</v>
      </c>
      <c r="S1047" s="14">
        <f>CHOOSE(CONTROL!$C$42, 118.5116, 118.5116) * CHOOSE(CONTROL!$C$21, $C$9, 100%, $E$9)</f>
        <v>118.5116</v>
      </c>
      <c r="T1047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47" s="57">
        <f>(1000*CHOOSE(CONTROL!$C$42, 695, 695)*CHOOSE(CONTROL!$C$42, 0.5599, 0.5599)*CHOOSE(CONTROL!$C$42, 31, 31))/1000000</f>
        <v>12.063045499999998</v>
      </c>
      <c r="V1047" s="57">
        <f>(1000*CHOOSE(CONTROL!$C$42, 500, 500)*CHOOSE(CONTROL!$C$42, 0.275, 0.275)*CHOOSE(CONTROL!$C$42, 31, 31))/1000000</f>
        <v>4.2625000000000002</v>
      </c>
      <c r="W1047" s="57">
        <f>(1000*CHOOSE(CONTROL!$C$42, 0.1146, 0.1146)*CHOOSE(CONTROL!$C$42, 121.5, 121.5)*CHOOSE(CONTROL!$C$42, 31, 31))/1000000</f>
        <v>0.43164089999999994</v>
      </c>
      <c r="X1047" s="57">
        <f>(31*0.1790888*100000/1000000)+(31*0.2374*100000/1000000)</f>
        <v>1.2911152800000001</v>
      </c>
      <c r="Y1047" s="57"/>
      <c r="Z1047" s="14"/>
      <c r="AA1047" s="56"/>
      <c r="AB1047" s="50">
        <f>(B1047*122.58+C1047*297.941+D1047*89.177+E1047*40.302+F1047*40+G1047*160+H1047*0+I1047*100+J1047*300)/(122.58+297.941+89.177+40.302+0+40+160+100+300)</f>
        <v>122.05364770382607</v>
      </c>
      <c r="AC1047" s="45">
        <f>(M1047*'RAP TEMPLATE-GAS AVAILABILITY'!O1046+N1047*'RAP TEMPLATE-GAS AVAILABILITY'!P1046+O1047*'RAP TEMPLATE-GAS AVAILABILITY'!Q1046+P1047*'RAP TEMPLATE-GAS AVAILABILITY'!R1046)/('RAP TEMPLATE-GAS AVAILABILITY'!O1046+'RAP TEMPLATE-GAS AVAILABILITY'!P1046+'RAP TEMPLATE-GAS AVAILABILITY'!Q1046+'RAP TEMPLATE-GAS AVAILABILITY'!R1046)</f>
        <v>120.86575107913669</v>
      </c>
    </row>
    <row r="1048" spans="1:29" ht="15.75" x14ac:dyDescent="0.25">
      <c r="A1048" s="32">
        <v>72805</v>
      </c>
      <c r="B1048" s="14">
        <f>CHOOSE(CONTROL!$C$42, 121.6765, 121.6765) * CHOOSE(CONTROL!$C$21, $C$9, 100%, $E$9)</f>
        <v>121.6765</v>
      </c>
      <c r="C1048" s="14">
        <f>CHOOSE(CONTROL!$C$42, 121.6809, 121.6809) * CHOOSE(CONTROL!$C$21, $C$9, 100%, $E$9)</f>
        <v>121.68089999999999</v>
      </c>
      <c r="D1048" s="14">
        <f>CHOOSE(CONTROL!$C$42, 121.8816, 121.8816) * CHOOSE(CONTROL!$C$21, $C$9, 100%, $E$9)</f>
        <v>121.88160000000001</v>
      </c>
      <c r="E1048" s="14">
        <f>CHOOSE(CONTROL!$C$42, 121.9134, 121.9134) * CHOOSE(CONTROL!$C$21, $C$9, 100%, $E$9)</f>
        <v>121.9134</v>
      </c>
      <c r="F1048" s="14">
        <f>CHOOSE(CONTROL!$C$42, 121.6611, 121.6611)*CHOOSE(CONTROL!$C$21, $C$9, 100%, $E$9)</f>
        <v>121.6611</v>
      </c>
      <c r="G1048" s="14">
        <f>CHOOSE(CONTROL!$C$42, 121.6767, 121.6767)*CHOOSE(CONTROL!$C$21, $C$9, 100%, $E$9)</f>
        <v>121.6767</v>
      </c>
      <c r="H1048" s="14">
        <f>CHOOSE(CONTROL!$C$42, 121.9031, 121.9031) * CHOOSE(CONTROL!$C$21, $C$9, 100%, $E$9)</f>
        <v>121.90309999999999</v>
      </c>
      <c r="I1048" s="14">
        <f>CHOOSE(CONTROL!$C$42, 121.6892, 121.6892)* CHOOSE(CONTROL!$C$21, $C$9, 100%, $E$9)</f>
        <v>121.6892</v>
      </c>
      <c r="J1048" s="14">
        <f>CHOOSE(CONTROL!$C$42, 121.6541, 121.6541)* CHOOSE(CONTROL!$C$21, $C$9, 100%, $E$9)</f>
        <v>121.6541</v>
      </c>
      <c r="K1048" s="53">
        <f>CHOOSE(CONTROL!$C$42, 121.6854, 121.6854) * CHOOSE(CONTROL!$C$21, $C$9, 100%, $E$9)</f>
        <v>121.6854</v>
      </c>
      <c r="L1048" s="14">
        <f>CHOOSE(CONTROL!$C$42, 122.4901, 122.4901) * CHOOSE(CONTROL!$C$21, $C$9, 100%, $E$9)</f>
        <v>122.4901</v>
      </c>
      <c r="M1048" s="14">
        <f>CHOOSE(CONTROL!$C$42, 120.4402, 120.4402) * CHOOSE(CONTROL!$C$21, $C$9, 100%, $E$9)</f>
        <v>120.4402</v>
      </c>
      <c r="N1048" s="14">
        <f>CHOOSE(CONTROL!$C$42, 120.4557, 120.4557) * CHOOSE(CONTROL!$C$21, $C$9, 100%, $E$9)</f>
        <v>120.45569999999999</v>
      </c>
      <c r="O1048" s="14">
        <f>CHOOSE(CONTROL!$C$42, 120.6868, 120.6868) * CHOOSE(CONTROL!$C$21, $C$9, 100%, $E$9)</f>
        <v>120.68680000000001</v>
      </c>
      <c r="P1048" s="14">
        <f>CHOOSE(CONTROL!$C$42, 120.4751, 120.4751) * CHOOSE(CONTROL!$C$21, $C$9, 100%, $E$9)</f>
        <v>120.4751</v>
      </c>
      <c r="Q1048" s="14">
        <f>CHOOSE(CONTROL!$C$42, 121.2821, 121.2821) * CHOOSE(CONTROL!$C$21, $C$9, 100%, $E$9)</f>
        <v>121.2821</v>
      </c>
      <c r="R1048" s="14">
        <f>CHOOSE(CONTROL!$C$42, 122.1723, 122.1723) * CHOOSE(CONTROL!$C$21, $C$9, 100%, $E$9)</f>
        <v>122.17230000000001</v>
      </c>
      <c r="S1048" s="14">
        <f>CHOOSE(CONTROL!$C$42, 118.1571, 118.1571) * CHOOSE(CONTROL!$C$21, $C$9, 100%, $E$9)</f>
        <v>118.1571</v>
      </c>
      <c r="T1048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48" s="57">
        <f>(1000*CHOOSE(CONTROL!$C$42, 695, 695)*CHOOSE(CONTROL!$C$42, 0.5599, 0.5599)*CHOOSE(CONTROL!$C$42, 30, 30))/1000000</f>
        <v>11.673914999999997</v>
      </c>
      <c r="V1048" s="57">
        <f>(1000*CHOOSE(CONTROL!$C$42, 500, 500)*CHOOSE(CONTROL!$C$42, 0.275, 0.275)*CHOOSE(CONTROL!$C$42, 30, 30))/1000000</f>
        <v>4.125</v>
      </c>
      <c r="W1048" s="57">
        <f>(1000*CHOOSE(CONTROL!$C$42, 0.1146, 0.1146)*CHOOSE(CONTROL!$C$42, 121.5, 121.5)*CHOOSE(CONTROL!$C$42, 30, 30))/1000000</f>
        <v>0.417717</v>
      </c>
      <c r="X1048" s="57">
        <f>(30*0.1790888*245000/1000000)+(30*0.2374*100000/1000000)</f>
        <v>2.0285026799999999</v>
      </c>
      <c r="Y1048" s="57"/>
      <c r="Z1048" s="14"/>
      <c r="AA1048" s="56"/>
      <c r="AB1048" s="50">
        <f>(B1048*141.293+C1048*267.993+D1048*115.016+E1048*89.698+F1048*40+G1048*185+H1048*0+I1048*100+J1048*300)/(141.293+267.993+115.016+89.698+0+40+185+100+300)</f>
        <v>121.7087755504439</v>
      </c>
      <c r="AC1048" s="45">
        <f>(M1048*'RAP TEMPLATE-GAS AVAILABILITY'!O1047+N1048*'RAP TEMPLATE-GAS AVAILABILITY'!P1047+O1048*'RAP TEMPLATE-GAS AVAILABILITY'!Q1047+P1048*'RAP TEMPLATE-GAS AVAILABILITY'!R1047)/('RAP TEMPLATE-GAS AVAILABILITY'!O1047+'RAP TEMPLATE-GAS AVAILABILITY'!P1047+'RAP TEMPLATE-GAS AVAILABILITY'!Q1047+'RAP TEMPLATE-GAS AVAILABILITY'!R1047)</f>
        <v>120.5578820143885</v>
      </c>
    </row>
    <row r="1049" spans="1:29" ht="15.75" x14ac:dyDescent="0.25">
      <c r="A1049" s="32">
        <v>72836</v>
      </c>
      <c r="B1049" s="14">
        <f>CHOOSE(CONTROL!$C$42, 122.7518, 122.7518) * CHOOSE(CONTROL!$C$21, $C$9, 100%, $E$9)</f>
        <v>122.7518</v>
      </c>
      <c r="C1049" s="14">
        <f>CHOOSE(CONTROL!$C$42, 122.7597, 122.7597) * CHOOSE(CONTROL!$C$21, $C$9, 100%, $E$9)</f>
        <v>122.7597</v>
      </c>
      <c r="D1049" s="14">
        <f>CHOOSE(CONTROL!$C$42, 122.9573, 122.9573) * CHOOSE(CONTROL!$C$21, $C$9, 100%, $E$9)</f>
        <v>122.9573</v>
      </c>
      <c r="E1049" s="14">
        <f>CHOOSE(CONTROL!$C$42, 122.9884, 122.9884) * CHOOSE(CONTROL!$C$21, $C$9, 100%, $E$9)</f>
        <v>122.9884</v>
      </c>
      <c r="F1049" s="14">
        <f>CHOOSE(CONTROL!$C$42, 122.7352, 122.7352)*CHOOSE(CONTROL!$C$21, $C$9, 100%, $E$9)</f>
        <v>122.73520000000001</v>
      </c>
      <c r="G1049" s="14">
        <f>CHOOSE(CONTROL!$C$42, 122.7513, 122.7513)*CHOOSE(CONTROL!$C$21, $C$9, 100%, $E$9)</f>
        <v>122.7513</v>
      </c>
      <c r="H1049" s="14">
        <f>CHOOSE(CONTROL!$C$42, 122.977, 122.977) * CHOOSE(CONTROL!$C$21, $C$9, 100%, $E$9)</f>
        <v>122.977</v>
      </c>
      <c r="I1049" s="14">
        <f>CHOOSE(CONTROL!$C$42, 122.7631, 122.7631)* CHOOSE(CONTROL!$C$21, $C$9, 100%, $E$9)</f>
        <v>122.76309999999999</v>
      </c>
      <c r="J1049" s="14">
        <f>CHOOSE(CONTROL!$C$42, 122.7282, 122.7282)* CHOOSE(CONTROL!$C$21, $C$9, 100%, $E$9)</f>
        <v>122.7282</v>
      </c>
      <c r="K1049" s="53">
        <f>CHOOSE(CONTROL!$C$42, 122.7593, 122.7593) * CHOOSE(CONTROL!$C$21, $C$9, 100%, $E$9)</f>
        <v>122.7593</v>
      </c>
      <c r="L1049" s="14">
        <f>CHOOSE(CONTROL!$C$42, 123.564, 123.564) * CHOOSE(CONTROL!$C$21, $C$9, 100%, $E$9)</f>
        <v>123.56399999999999</v>
      </c>
      <c r="M1049" s="14">
        <f>CHOOSE(CONTROL!$C$42, 121.5035, 121.5035) * CHOOSE(CONTROL!$C$21, $C$9, 100%, $E$9)</f>
        <v>121.5035</v>
      </c>
      <c r="N1049" s="14">
        <f>CHOOSE(CONTROL!$C$42, 121.5194, 121.5194) * CHOOSE(CONTROL!$C$21, $C$9, 100%, $E$9)</f>
        <v>121.5194</v>
      </c>
      <c r="O1049" s="14">
        <f>CHOOSE(CONTROL!$C$42, 121.7498, 121.7498) * CHOOSE(CONTROL!$C$21, $C$9, 100%, $E$9)</f>
        <v>121.74979999999999</v>
      </c>
      <c r="P1049" s="14">
        <f>CHOOSE(CONTROL!$C$42, 121.5381, 121.5381) * CHOOSE(CONTROL!$C$21, $C$9, 100%, $E$9)</f>
        <v>121.5381</v>
      </c>
      <c r="Q1049" s="14">
        <f>CHOOSE(CONTROL!$C$42, 122.3451, 122.3451) * CHOOSE(CONTROL!$C$21, $C$9, 100%, $E$9)</f>
        <v>122.3451</v>
      </c>
      <c r="R1049" s="14">
        <f>CHOOSE(CONTROL!$C$42, 123.238, 123.238) * CHOOSE(CONTROL!$C$21, $C$9, 100%, $E$9)</f>
        <v>123.238</v>
      </c>
      <c r="S1049" s="14">
        <f>CHOOSE(CONTROL!$C$42, 119.2, 119.2) * CHOOSE(CONTROL!$C$21, $C$9, 100%, $E$9)</f>
        <v>119.2</v>
      </c>
      <c r="T1049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49" s="57">
        <f>(1000*CHOOSE(CONTROL!$C$42, 695, 695)*CHOOSE(CONTROL!$C$42, 0.5599, 0.5599)*CHOOSE(CONTROL!$C$42, 31, 31))/1000000</f>
        <v>12.063045499999998</v>
      </c>
      <c r="V1049" s="57">
        <f>(1000*CHOOSE(CONTROL!$C$42, 500, 500)*CHOOSE(CONTROL!$C$42, 0.275, 0.275)*CHOOSE(CONTROL!$C$42, 31, 31))/1000000</f>
        <v>4.2625000000000002</v>
      </c>
      <c r="W1049" s="57">
        <f>(1000*CHOOSE(CONTROL!$C$42, 0.1146, 0.1146)*CHOOSE(CONTROL!$C$42, 121.5, 121.5)*CHOOSE(CONTROL!$C$42, 31, 31))/1000000</f>
        <v>0.43164089999999994</v>
      </c>
      <c r="X1049" s="57">
        <f>(31*0.1790888*245000/1000000)+(31*0.2374*100000/1000000)</f>
        <v>2.0961194359999999</v>
      </c>
      <c r="Y1049" s="57"/>
      <c r="Z1049" s="14"/>
      <c r="AA1049" s="56"/>
      <c r="AB1049" s="50">
        <f>(B1049*194.205+C1049*267.466+D1049*133.845+E1049*53.484+F1049*40+G1049*185+H1049*0+I1049*100+J1049*300)/(194.205+267.466+133.845+53.484+0+40+185+100+300)</f>
        <v>122.77971675298272</v>
      </c>
      <c r="AC1049" s="45">
        <f>(M1049*'RAP TEMPLATE-GAS AVAILABILITY'!O1048+N1049*'RAP TEMPLATE-GAS AVAILABILITY'!P1048+O1049*'RAP TEMPLATE-GAS AVAILABILITY'!Q1048+P1049*'RAP TEMPLATE-GAS AVAILABILITY'!R1048)/('RAP TEMPLATE-GAS AVAILABILITY'!O1048+'RAP TEMPLATE-GAS AVAILABILITY'!P1048+'RAP TEMPLATE-GAS AVAILABILITY'!Q1048+'RAP TEMPLATE-GAS AVAILABILITY'!R1048)</f>
        <v>121.62102589928057</v>
      </c>
    </row>
    <row r="1050" spans="1:29" ht="15.75" x14ac:dyDescent="0.25">
      <c r="A1050" s="32">
        <v>72866</v>
      </c>
      <c r="B1050" s="14">
        <f>CHOOSE(CONTROL!$C$42, 126.2337, 126.2337) * CHOOSE(CONTROL!$C$21, $C$9, 100%, $E$9)</f>
        <v>126.2337</v>
      </c>
      <c r="C1050" s="14">
        <f>CHOOSE(CONTROL!$C$42, 126.2416, 126.2416) * CHOOSE(CONTROL!$C$21, $C$9, 100%, $E$9)</f>
        <v>126.24160000000001</v>
      </c>
      <c r="D1050" s="14">
        <f>CHOOSE(CONTROL!$C$42, 126.4392, 126.4392) * CHOOSE(CONTROL!$C$21, $C$9, 100%, $E$9)</f>
        <v>126.4392</v>
      </c>
      <c r="E1050" s="14">
        <f>CHOOSE(CONTROL!$C$42, 126.4703, 126.4703) * CHOOSE(CONTROL!$C$21, $C$9, 100%, $E$9)</f>
        <v>126.47029999999999</v>
      </c>
      <c r="F1050" s="14">
        <f>CHOOSE(CONTROL!$C$42, 126.2175, 126.2175)*CHOOSE(CONTROL!$C$21, $C$9, 100%, $E$9)</f>
        <v>126.2175</v>
      </c>
      <c r="G1050" s="14">
        <f>CHOOSE(CONTROL!$C$42, 126.2337, 126.2337)*CHOOSE(CONTROL!$C$21, $C$9, 100%, $E$9)</f>
        <v>126.2337</v>
      </c>
      <c r="H1050" s="14">
        <f>CHOOSE(CONTROL!$C$42, 126.4589, 126.4589) * CHOOSE(CONTROL!$C$21, $C$9, 100%, $E$9)</f>
        <v>126.4589</v>
      </c>
      <c r="I1050" s="14">
        <f>CHOOSE(CONTROL!$C$42, 126.245, 126.245)* CHOOSE(CONTROL!$C$21, $C$9, 100%, $E$9)</f>
        <v>126.245</v>
      </c>
      <c r="J1050" s="14">
        <f>CHOOSE(CONTROL!$C$42, 126.2105, 126.2105)* CHOOSE(CONTROL!$C$21, $C$9, 100%, $E$9)</f>
        <v>126.2105</v>
      </c>
      <c r="K1050" s="53">
        <f>CHOOSE(CONTROL!$C$42, 126.2411, 126.2411) * CHOOSE(CONTROL!$C$21, $C$9, 100%, $E$9)</f>
        <v>126.2411</v>
      </c>
      <c r="L1050" s="14">
        <f>CHOOSE(CONTROL!$C$42, 127.0459, 127.0459) * CHOOSE(CONTROL!$C$21, $C$9, 100%, $E$9)</f>
        <v>127.0459</v>
      </c>
      <c r="M1050" s="14">
        <f>CHOOSE(CONTROL!$C$42, 124.9506, 124.9506) * CHOOSE(CONTROL!$C$21, $C$9, 100%, $E$9)</f>
        <v>124.95059999999999</v>
      </c>
      <c r="N1050" s="14">
        <f>CHOOSE(CONTROL!$C$42, 124.9667, 124.9667) * CHOOSE(CONTROL!$C$21, $C$9, 100%, $E$9)</f>
        <v>124.9667</v>
      </c>
      <c r="O1050" s="14">
        <f>CHOOSE(CONTROL!$C$42, 125.1966, 125.1966) * CHOOSE(CONTROL!$C$21, $C$9, 100%, $E$9)</f>
        <v>125.1966</v>
      </c>
      <c r="P1050" s="14">
        <f>CHOOSE(CONTROL!$C$42, 124.9849, 124.9849) * CHOOSE(CONTROL!$C$21, $C$9, 100%, $E$9)</f>
        <v>124.9849</v>
      </c>
      <c r="Q1050" s="14">
        <f>CHOOSE(CONTROL!$C$42, 125.7919, 125.7919) * CHOOSE(CONTROL!$C$21, $C$9, 100%, $E$9)</f>
        <v>125.7919</v>
      </c>
      <c r="R1050" s="14">
        <f>CHOOSE(CONTROL!$C$42, 126.6933, 126.6933) * CHOOSE(CONTROL!$C$21, $C$9, 100%, $E$9)</f>
        <v>126.69329999999999</v>
      </c>
      <c r="S1050" s="14">
        <f>CHOOSE(CONTROL!$C$42, 122.5813, 122.5813) * CHOOSE(CONTROL!$C$21, $C$9, 100%, $E$9)</f>
        <v>122.5813</v>
      </c>
      <c r="T1050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50" s="57">
        <f>(1000*CHOOSE(CONTROL!$C$42, 695, 695)*CHOOSE(CONTROL!$C$42, 0.5599, 0.5599)*CHOOSE(CONTROL!$C$42, 30, 30))/1000000</f>
        <v>11.673914999999997</v>
      </c>
      <c r="V1050" s="57">
        <f>(1000*CHOOSE(CONTROL!$C$42, 500, 500)*CHOOSE(CONTROL!$C$42, 0.275, 0.275)*CHOOSE(CONTROL!$C$42, 30, 30))/1000000</f>
        <v>4.125</v>
      </c>
      <c r="W1050" s="57">
        <f>(1000*CHOOSE(CONTROL!$C$42, 0.1146, 0.1146)*CHOOSE(CONTROL!$C$42, 121.5, 121.5)*CHOOSE(CONTROL!$C$42, 30, 30))/1000000</f>
        <v>0.417717</v>
      </c>
      <c r="X1050" s="57">
        <f>(30*0.1790888*245000/1000000)+(30*0.2374*100000/1000000)</f>
        <v>2.0285026799999999</v>
      </c>
      <c r="Y1050" s="57"/>
      <c r="Z1050" s="14"/>
      <c r="AA1050" s="56"/>
      <c r="AB1050" s="50">
        <f>(B1050*194.205+C1050*267.466+D1050*133.845+E1050*53.484+F1050*40+G1050*185+H1050*0+I1050*100+J1050*300)/(194.205+267.466+133.845+53.484+0+40+185+100+300)</f>
        <v>126.26179610934065</v>
      </c>
      <c r="AC1050" s="45">
        <f>(M1050*'RAP TEMPLATE-GAS AVAILABILITY'!O1049+N1050*'RAP TEMPLATE-GAS AVAILABILITY'!P1049+O1050*'RAP TEMPLATE-GAS AVAILABILITY'!Q1049+P1050*'RAP TEMPLATE-GAS AVAILABILITY'!R1049)/('RAP TEMPLATE-GAS AVAILABILITY'!O1049+'RAP TEMPLATE-GAS AVAILABILITY'!P1049+'RAP TEMPLATE-GAS AVAILABILITY'!Q1049+'RAP TEMPLATE-GAS AVAILABILITY'!R1049)</f>
        <v>125.06795827338132</v>
      </c>
    </row>
    <row r="1051" spans="1:29" ht="15.75" x14ac:dyDescent="0.25">
      <c r="A1051" s="32">
        <v>72897</v>
      </c>
      <c r="B1051" s="14">
        <f>CHOOSE(CONTROL!$C$42, 123.812, 123.812) * CHOOSE(CONTROL!$C$21, $C$9, 100%, $E$9)</f>
        <v>123.812</v>
      </c>
      <c r="C1051" s="14">
        <f>CHOOSE(CONTROL!$C$42, 123.8199, 123.8199) * CHOOSE(CONTROL!$C$21, $C$9, 100%, $E$9)</f>
        <v>123.8199</v>
      </c>
      <c r="D1051" s="14">
        <f>CHOOSE(CONTROL!$C$42, 124.0175, 124.0175) * CHOOSE(CONTROL!$C$21, $C$9, 100%, $E$9)</f>
        <v>124.0175</v>
      </c>
      <c r="E1051" s="14">
        <f>CHOOSE(CONTROL!$C$42, 124.0486, 124.0486) * CHOOSE(CONTROL!$C$21, $C$9, 100%, $E$9)</f>
        <v>124.04859999999999</v>
      </c>
      <c r="F1051" s="14">
        <f>CHOOSE(CONTROL!$C$42, 123.7962, 123.7962)*CHOOSE(CONTROL!$C$21, $C$9, 100%, $E$9)</f>
        <v>123.7962</v>
      </c>
      <c r="G1051" s="14">
        <f>CHOOSE(CONTROL!$C$42, 123.8125, 123.8125)*CHOOSE(CONTROL!$C$21, $C$9, 100%, $E$9)</f>
        <v>123.8125</v>
      </c>
      <c r="H1051" s="14">
        <f>CHOOSE(CONTROL!$C$42, 124.0373, 124.0373) * CHOOSE(CONTROL!$C$21, $C$9, 100%, $E$9)</f>
        <v>124.0373</v>
      </c>
      <c r="I1051" s="14">
        <f>CHOOSE(CONTROL!$C$42, 123.8234, 123.8234)* CHOOSE(CONTROL!$C$21, $C$9, 100%, $E$9)</f>
        <v>123.82340000000001</v>
      </c>
      <c r="J1051" s="14">
        <f>CHOOSE(CONTROL!$C$42, 123.7892, 123.7892)* CHOOSE(CONTROL!$C$21, $C$9, 100%, $E$9)</f>
        <v>123.78919999999999</v>
      </c>
      <c r="K1051" s="53">
        <f>CHOOSE(CONTROL!$C$42, 123.8195, 123.8195) * CHOOSE(CONTROL!$C$21, $C$9, 100%, $E$9)</f>
        <v>123.81950000000001</v>
      </c>
      <c r="L1051" s="14">
        <f>CHOOSE(CONTROL!$C$42, 124.6243, 124.6243) * CHOOSE(CONTROL!$C$21, $C$9, 100%, $E$9)</f>
        <v>124.62430000000001</v>
      </c>
      <c r="M1051" s="14">
        <f>CHOOSE(CONTROL!$C$42, 122.5538, 122.5538) * CHOOSE(CONTROL!$C$21, $C$9, 100%, $E$9)</f>
        <v>122.5538</v>
      </c>
      <c r="N1051" s="14">
        <f>CHOOSE(CONTROL!$C$42, 122.57, 122.57) * CHOOSE(CONTROL!$C$21, $C$9, 100%, $E$9)</f>
        <v>122.57</v>
      </c>
      <c r="O1051" s="14">
        <f>CHOOSE(CONTROL!$C$42, 122.7993, 122.7993) * CHOOSE(CONTROL!$C$21, $C$9, 100%, $E$9)</f>
        <v>122.7993</v>
      </c>
      <c r="P1051" s="14">
        <f>CHOOSE(CONTROL!$C$42, 122.5876, 122.5876) * CHOOSE(CONTROL!$C$21, $C$9, 100%, $E$9)</f>
        <v>122.58759999999999</v>
      </c>
      <c r="Q1051" s="14">
        <f>CHOOSE(CONTROL!$C$42, 123.3946, 123.3946) * CHOOSE(CONTROL!$C$21, $C$9, 100%, $E$9)</f>
        <v>123.3946</v>
      </c>
      <c r="R1051" s="14">
        <f>CHOOSE(CONTROL!$C$42, 124.2901, 124.2901) * CHOOSE(CONTROL!$C$21, $C$9, 100%, $E$9)</f>
        <v>124.2901</v>
      </c>
      <c r="S1051" s="14">
        <f>CHOOSE(CONTROL!$C$42, 120.2296, 120.2296) * CHOOSE(CONTROL!$C$21, $C$9, 100%, $E$9)</f>
        <v>120.2296</v>
      </c>
      <c r="T1051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51" s="57">
        <f>(1000*CHOOSE(CONTROL!$C$42, 695, 695)*CHOOSE(CONTROL!$C$42, 0.5599, 0.5599)*CHOOSE(CONTROL!$C$42, 31, 31))/1000000</f>
        <v>12.063045499999998</v>
      </c>
      <c r="V1051" s="57">
        <f>(1000*CHOOSE(CONTROL!$C$42, 500, 500)*CHOOSE(CONTROL!$C$42, 0.275, 0.275)*CHOOSE(CONTROL!$C$42, 31, 31))/1000000</f>
        <v>4.2625000000000002</v>
      </c>
      <c r="W1051" s="57">
        <f>(1000*CHOOSE(CONTROL!$C$42, 0.1146, 0.1146)*CHOOSE(CONTROL!$C$42, 121.5, 121.5)*CHOOSE(CONTROL!$C$42, 31, 31))/1000000</f>
        <v>0.43164089999999994</v>
      </c>
      <c r="X1051" s="57">
        <f>(31*0.1790888*245000/1000000)+(31*0.2374*100000/1000000)</f>
        <v>2.0961194359999999</v>
      </c>
      <c r="Y1051" s="57"/>
      <c r="Z1051" s="14"/>
      <c r="AA1051" s="56"/>
      <c r="AB1051" s="50">
        <f>(B1051*194.205+C1051*267.466+D1051*133.845+E1051*53.484+F1051*40+G1051*185+H1051*0+I1051*100+J1051*300)/(194.205+267.466+133.845+53.484+0+40+185+100+300)</f>
        <v>123.84028331499213</v>
      </c>
      <c r="AC1051" s="45">
        <f>(M1051*'RAP TEMPLATE-GAS AVAILABILITY'!O1050+N1051*'RAP TEMPLATE-GAS AVAILABILITY'!P1050+O1051*'RAP TEMPLATE-GAS AVAILABILITY'!Q1050+P1051*'RAP TEMPLATE-GAS AVAILABILITY'!R1050)/('RAP TEMPLATE-GAS AVAILABILITY'!O1050+'RAP TEMPLATE-GAS AVAILABILITY'!P1050+'RAP TEMPLATE-GAS AVAILABILITY'!Q1050+'RAP TEMPLATE-GAS AVAILABILITY'!R1050)</f>
        <v>122.6708654676259</v>
      </c>
    </row>
    <row r="1052" spans="1:29" ht="15.75" x14ac:dyDescent="0.25">
      <c r="A1052" s="32">
        <v>72928</v>
      </c>
      <c r="B1052" s="14">
        <f>CHOOSE(CONTROL!$C$42, 117.6965, 117.6965) * CHOOSE(CONTROL!$C$21, $C$9, 100%, $E$9)</f>
        <v>117.6965</v>
      </c>
      <c r="C1052" s="14">
        <f>CHOOSE(CONTROL!$C$42, 117.7044, 117.7044) * CHOOSE(CONTROL!$C$21, $C$9, 100%, $E$9)</f>
        <v>117.70440000000001</v>
      </c>
      <c r="D1052" s="14">
        <f>CHOOSE(CONTROL!$C$42, 117.902, 117.902) * CHOOSE(CONTROL!$C$21, $C$9, 100%, $E$9)</f>
        <v>117.902</v>
      </c>
      <c r="E1052" s="14">
        <f>CHOOSE(CONTROL!$C$42, 117.9332, 117.9332) * CHOOSE(CONTROL!$C$21, $C$9, 100%, $E$9)</f>
        <v>117.9332</v>
      </c>
      <c r="F1052" s="14">
        <f>CHOOSE(CONTROL!$C$42, 117.681, 117.681)*CHOOSE(CONTROL!$C$21, $C$9, 100%, $E$9)</f>
        <v>117.681</v>
      </c>
      <c r="G1052" s="14">
        <f>CHOOSE(CONTROL!$C$42, 117.6973, 117.6973)*CHOOSE(CONTROL!$C$21, $C$9, 100%, $E$9)</f>
        <v>117.6973</v>
      </c>
      <c r="H1052" s="14">
        <f>CHOOSE(CONTROL!$C$42, 117.9218, 117.9218) * CHOOSE(CONTROL!$C$21, $C$9, 100%, $E$9)</f>
        <v>117.9218</v>
      </c>
      <c r="I1052" s="14">
        <f>CHOOSE(CONTROL!$C$42, 117.7079, 117.7079)* CHOOSE(CONTROL!$C$21, $C$9, 100%, $E$9)</f>
        <v>117.7079</v>
      </c>
      <c r="J1052" s="14">
        <f>CHOOSE(CONTROL!$C$42, 117.674, 117.674)* CHOOSE(CONTROL!$C$21, $C$9, 100%, $E$9)</f>
        <v>117.67400000000001</v>
      </c>
      <c r="K1052" s="53">
        <f>CHOOSE(CONTROL!$C$42, 117.704, 117.704) * CHOOSE(CONTROL!$C$21, $C$9, 100%, $E$9)</f>
        <v>117.70399999999999</v>
      </c>
      <c r="L1052" s="14">
        <f>CHOOSE(CONTROL!$C$42, 118.5088, 118.5088) * CHOOSE(CONTROL!$C$21, $C$9, 100%, $E$9)</f>
        <v>118.50879999999999</v>
      </c>
      <c r="M1052" s="14">
        <f>CHOOSE(CONTROL!$C$42, 116.5003, 116.5003) * CHOOSE(CONTROL!$C$21, $C$9, 100%, $E$9)</f>
        <v>116.5003</v>
      </c>
      <c r="N1052" s="14">
        <f>CHOOSE(CONTROL!$C$42, 116.5164, 116.5164) * CHOOSE(CONTROL!$C$21, $C$9, 100%, $E$9)</f>
        <v>116.5164</v>
      </c>
      <c r="O1052" s="14">
        <f>CHOOSE(CONTROL!$C$42, 116.7456, 116.7456) * CHOOSE(CONTROL!$C$21, $C$9, 100%, $E$9)</f>
        <v>116.7456</v>
      </c>
      <c r="P1052" s="14">
        <f>CHOOSE(CONTROL!$C$42, 116.5339, 116.5339) * CHOOSE(CONTROL!$C$21, $C$9, 100%, $E$9)</f>
        <v>116.5339</v>
      </c>
      <c r="Q1052" s="14">
        <f>CHOOSE(CONTROL!$C$42, 117.3409, 117.3409) * CHOOSE(CONTROL!$C$21, $C$9, 100%, $E$9)</f>
        <v>117.3409</v>
      </c>
      <c r="R1052" s="14">
        <f>CHOOSE(CONTROL!$C$42, 118.2212, 118.2212) * CHOOSE(CONTROL!$C$21, $C$9, 100%, $E$9)</f>
        <v>118.2212</v>
      </c>
      <c r="S1052" s="14">
        <f>CHOOSE(CONTROL!$C$42, 114.2908, 114.2908) * CHOOSE(CONTROL!$C$21, $C$9, 100%, $E$9)</f>
        <v>114.2908</v>
      </c>
      <c r="T1052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52" s="57">
        <f>(1000*CHOOSE(CONTROL!$C$42, 695, 695)*CHOOSE(CONTROL!$C$42, 0.5599, 0.5599)*CHOOSE(CONTROL!$C$42, 31, 31))/1000000</f>
        <v>12.063045499999998</v>
      </c>
      <c r="V1052" s="57">
        <f>(1000*CHOOSE(CONTROL!$C$42, 500, 500)*CHOOSE(CONTROL!$C$42, 0.275, 0.275)*CHOOSE(CONTROL!$C$42, 31, 31))/1000000</f>
        <v>4.2625000000000002</v>
      </c>
      <c r="W1052" s="57">
        <f>(1000*CHOOSE(CONTROL!$C$42, 0.1146, 0.1146)*CHOOSE(CONTROL!$C$42, 121.5, 121.5)*CHOOSE(CONTROL!$C$42, 31, 31))/1000000</f>
        <v>0.43164089999999994</v>
      </c>
      <c r="X1052" s="57">
        <f>(31*0.1790888*245000/1000000)+(31*0.2374*100000/1000000)</f>
        <v>2.0961194359999999</v>
      </c>
      <c r="Y1052" s="57"/>
      <c r="Z1052" s="14"/>
      <c r="AA1052" s="56"/>
      <c r="AB1052" s="50">
        <f>(B1052*194.205+C1052*267.466+D1052*133.845+E1052*53.484+F1052*40+G1052*185+H1052*0+I1052*100+J1052*300)/(194.205+267.466+133.845+53.484+0+40+185+100+300)</f>
        <v>117.72491113948195</v>
      </c>
      <c r="AC1052" s="45">
        <f>(M1052*'RAP TEMPLATE-GAS AVAILABILITY'!O1051+N1052*'RAP TEMPLATE-GAS AVAILABILITY'!P1051+O1052*'RAP TEMPLATE-GAS AVAILABILITY'!Q1051+P1052*'RAP TEMPLATE-GAS AVAILABILITY'!R1051)/('RAP TEMPLATE-GAS AVAILABILITY'!O1051+'RAP TEMPLATE-GAS AVAILABILITY'!P1051+'RAP TEMPLATE-GAS AVAILABILITY'!Q1051+'RAP TEMPLATE-GAS AVAILABILITY'!R1051)</f>
        <v>116.61724028776979</v>
      </c>
    </row>
    <row r="1053" spans="1:29" ht="15.75" x14ac:dyDescent="0.25">
      <c r="A1053" s="32">
        <v>72958</v>
      </c>
      <c r="B1053" s="14">
        <f>CHOOSE(CONTROL!$C$42, 110.2242, 110.2242) * CHOOSE(CONTROL!$C$21, $C$9, 100%, $E$9)</f>
        <v>110.2242</v>
      </c>
      <c r="C1053" s="14">
        <f>CHOOSE(CONTROL!$C$42, 110.2321, 110.2321) * CHOOSE(CONTROL!$C$21, $C$9, 100%, $E$9)</f>
        <v>110.2321</v>
      </c>
      <c r="D1053" s="14">
        <f>CHOOSE(CONTROL!$C$42, 110.4297, 110.4297) * CHOOSE(CONTROL!$C$21, $C$9, 100%, $E$9)</f>
        <v>110.4297</v>
      </c>
      <c r="E1053" s="14">
        <f>CHOOSE(CONTROL!$C$42, 110.4608, 110.4608) * CHOOSE(CONTROL!$C$21, $C$9, 100%, $E$9)</f>
        <v>110.46080000000001</v>
      </c>
      <c r="F1053" s="14">
        <f>CHOOSE(CONTROL!$C$42, 110.2085, 110.2085)*CHOOSE(CONTROL!$C$21, $C$9, 100%, $E$9)</f>
        <v>110.2085</v>
      </c>
      <c r="G1053" s="14">
        <f>CHOOSE(CONTROL!$C$42, 110.2249, 110.2249)*CHOOSE(CONTROL!$C$21, $C$9, 100%, $E$9)</f>
        <v>110.22490000000001</v>
      </c>
      <c r="H1053" s="14">
        <f>CHOOSE(CONTROL!$C$42, 110.4494, 110.4494) * CHOOSE(CONTROL!$C$21, $C$9, 100%, $E$9)</f>
        <v>110.4494</v>
      </c>
      <c r="I1053" s="14">
        <f>CHOOSE(CONTROL!$C$42, 110.2355, 110.2355)* CHOOSE(CONTROL!$C$21, $C$9, 100%, $E$9)</f>
        <v>110.2355</v>
      </c>
      <c r="J1053" s="14">
        <f>CHOOSE(CONTROL!$C$42, 110.2015, 110.2015)* CHOOSE(CONTROL!$C$21, $C$9, 100%, $E$9)</f>
        <v>110.2015</v>
      </c>
      <c r="K1053" s="53">
        <f>CHOOSE(CONTROL!$C$42, 110.2316, 110.2316) * CHOOSE(CONTROL!$C$21, $C$9, 100%, $E$9)</f>
        <v>110.2316</v>
      </c>
      <c r="L1053" s="14">
        <f>CHOOSE(CONTROL!$C$42, 111.0364, 111.0364) * CHOOSE(CONTROL!$C$21, $C$9, 100%, $E$9)</f>
        <v>111.0364</v>
      </c>
      <c r="M1053" s="14">
        <f>CHOOSE(CONTROL!$C$42, 109.1032, 109.1032) * CHOOSE(CONTROL!$C$21, $C$9, 100%, $E$9)</f>
        <v>109.1032</v>
      </c>
      <c r="N1053" s="14">
        <f>CHOOSE(CONTROL!$C$42, 109.1194, 109.1194) * CHOOSE(CONTROL!$C$21, $C$9, 100%, $E$9)</f>
        <v>109.1194</v>
      </c>
      <c r="O1053" s="14">
        <f>CHOOSE(CONTROL!$C$42, 109.3486, 109.3486) * CHOOSE(CONTROL!$C$21, $C$9, 100%, $E$9)</f>
        <v>109.3486</v>
      </c>
      <c r="P1053" s="14">
        <f>CHOOSE(CONTROL!$C$42, 109.1369, 109.1369) * CHOOSE(CONTROL!$C$21, $C$9, 100%, $E$9)</f>
        <v>109.1369</v>
      </c>
      <c r="Q1053" s="14">
        <f>CHOOSE(CONTROL!$C$42, 109.9439, 109.9439) * CHOOSE(CONTROL!$C$21, $C$9, 100%, $E$9)</f>
        <v>109.9439</v>
      </c>
      <c r="R1053" s="14">
        <f>CHOOSE(CONTROL!$C$42, 110.8058, 110.8058) * CHOOSE(CONTROL!$C$21, $C$9, 100%, $E$9)</f>
        <v>110.8058</v>
      </c>
      <c r="S1053" s="14">
        <f>CHOOSE(CONTROL!$C$42, 107.0344, 107.0344) * CHOOSE(CONTROL!$C$21, $C$9, 100%, $E$9)</f>
        <v>107.03440000000001</v>
      </c>
      <c r="T1053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53" s="57">
        <f>(1000*CHOOSE(CONTROL!$C$42, 695, 695)*CHOOSE(CONTROL!$C$42, 0.5599, 0.5599)*CHOOSE(CONTROL!$C$42, 30, 30))/1000000</f>
        <v>11.673914999999997</v>
      </c>
      <c r="V1053" s="57">
        <f>(1000*CHOOSE(CONTROL!$C$42, 500, 500)*CHOOSE(CONTROL!$C$42, 0.275, 0.275)*CHOOSE(CONTROL!$C$42, 30, 30))/1000000</f>
        <v>4.125</v>
      </c>
      <c r="W1053" s="57">
        <f>(1000*CHOOSE(CONTROL!$C$42, 0.1146, 0.1146)*CHOOSE(CONTROL!$C$42, 121.5, 121.5)*CHOOSE(CONTROL!$C$42, 30, 30))/1000000</f>
        <v>0.417717</v>
      </c>
      <c r="X1053" s="57">
        <f>(30*0.1790888*245000/1000000)+(30*0.2374*100000/1000000)</f>
        <v>2.0285026799999999</v>
      </c>
      <c r="Y1053" s="57"/>
      <c r="Z1053" s="14"/>
      <c r="AA1053" s="56"/>
      <c r="AB1053" s="50">
        <f>(B1053*194.205+C1053*267.466+D1053*133.845+E1053*53.484+F1053*40+G1053*185+H1053*0+I1053*100+J1053*300)/(194.205+267.466+133.845+53.484+0+40+185+100+300)</f>
        <v>110.25253119568289</v>
      </c>
      <c r="AC1053" s="45">
        <f>(M1053*'RAP TEMPLATE-GAS AVAILABILITY'!O1052+N1053*'RAP TEMPLATE-GAS AVAILABILITY'!P1052+O1053*'RAP TEMPLATE-GAS AVAILABILITY'!Q1052+P1053*'RAP TEMPLATE-GAS AVAILABILITY'!R1052)/('RAP TEMPLATE-GAS AVAILABILITY'!O1052+'RAP TEMPLATE-GAS AVAILABILITY'!P1052+'RAP TEMPLATE-GAS AVAILABILITY'!Q1052+'RAP TEMPLATE-GAS AVAILABILITY'!R1052)</f>
        <v>109.2202057553957</v>
      </c>
    </row>
    <row r="1054" spans="1:29" ht="15.75" x14ac:dyDescent="0.25">
      <c r="A1054" s="32">
        <v>72989</v>
      </c>
      <c r="B1054" s="14">
        <f>CHOOSE(CONTROL!$C$42, 107.9845, 107.9845) * CHOOSE(CONTROL!$C$21, $C$9, 100%, $E$9)</f>
        <v>107.9845</v>
      </c>
      <c r="C1054" s="14">
        <f>CHOOSE(CONTROL!$C$42, 107.9897, 107.9897) * CHOOSE(CONTROL!$C$21, $C$9, 100%, $E$9)</f>
        <v>107.9897</v>
      </c>
      <c r="D1054" s="14">
        <f>CHOOSE(CONTROL!$C$42, 108.1923, 108.1923) * CHOOSE(CONTROL!$C$21, $C$9, 100%, $E$9)</f>
        <v>108.1923</v>
      </c>
      <c r="E1054" s="14">
        <f>CHOOSE(CONTROL!$C$42, 108.2211, 108.2211) * CHOOSE(CONTROL!$C$21, $C$9, 100%, $E$9)</f>
        <v>108.22110000000001</v>
      </c>
      <c r="F1054" s="14">
        <f>CHOOSE(CONTROL!$C$42, 107.9709, 107.9709)*CHOOSE(CONTROL!$C$21, $C$9, 100%, $E$9)</f>
        <v>107.9709</v>
      </c>
      <c r="G1054" s="14">
        <f>CHOOSE(CONTROL!$C$42, 107.9869, 107.9869)*CHOOSE(CONTROL!$C$21, $C$9, 100%, $E$9)</f>
        <v>107.98690000000001</v>
      </c>
      <c r="H1054" s="14">
        <f>CHOOSE(CONTROL!$C$42, 108.2115, 108.2115) * CHOOSE(CONTROL!$C$21, $C$9, 100%, $E$9)</f>
        <v>108.2115</v>
      </c>
      <c r="I1054" s="14">
        <f>CHOOSE(CONTROL!$C$42, 107.9976, 107.9976)* CHOOSE(CONTROL!$C$21, $C$9, 100%, $E$9)</f>
        <v>107.99760000000001</v>
      </c>
      <c r="J1054" s="14">
        <f>CHOOSE(CONTROL!$C$42, 107.9639, 107.9639)* CHOOSE(CONTROL!$C$21, $C$9, 100%, $E$9)</f>
        <v>107.9639</v>
      </c>
      <c r="K1054" s="53">
        <f>CHOOSE(CONTROL!$C$42, 107.9938, 107.9938) * CHOOSE(CONTROL!$C$21, $C$9, 100%, $E$9)</f>
        <v>107.99379999999999</v>
      </c>
      <c r="L1054" s="14">
        <f>CHOOSE(CONTROL!$C$42, 108.7985, 108.7985) * CHOOSE(CONTROL!$C$21, $C$9, 100%, $E$9)</f>
        <v>108.7985</v>
      </c>
      <c r="M1054" s="14">
        <f>CHOOSE(CONTROL!$C$42, 106.8882, 106.8882) * CHOOSE(CONTROL!$C$21, $C$9, 100%, $E$9)</f>
        <v>106.8882</v>
      </c>
      <c r="N1054" s="14">
        <f>CHOOSE(CONTROL!$C$42, 106.904, 106.904) * CHOOSE(CONTROL!$C$21, $C$9, 100%, $E$9)</f>
        <v>106.904</v>
      </c>
      <c r="O1054" s="14">
        <f>CHOOSE(CONTROL!$C$42, 107.1333, 107.1333) * CHOOSE(CONTROL!$C$21, $C$9, 100%, $E$9)</f>
        <v>107.13330000000001</v>
      </c>
      <c r="P1054" s="14">
        <f>CHOOSE(CONTROL!$C$42, 106.9216, 106.9216) * CHOOSE(CONTROL!$C$21, $C$9, 100%, $E$9)</f>
        <v>106.9216</v>
      </c>
      <c r="Q1054" s="14">
        <f>CHOOSE(CONTROL!$C$42, 107.7286, 107.7286) * CHOOSE(CONTROL!$C$21, $C$9, 100%, $E$9)</f>
        <v>107.7286</v>
      </c>
      <c r="R1054" s="14">
        <f>CHOOSE(CONTROL!$C$42, 108.585, 108.585) * CHOOSE(CONTROL!$C$21, $C$9, 100%, $E$9)</f>
        <v>108.58499999999999</v>
      </c>
      <c r="S1054" s="14">
        <f>CHOOSE(CONTROL!$C$42, 104.8612, 104.8612) * CHOOSE(CONTROL!$C$21, $C$9, 100%, $E$9)</f>
        <v>104.8612</v>
      </c>
      <c r="T1054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54" s="57">
        <f>(1000*CHOOSE(CONTROL!$C$42, 695, 695)*CHOOSE(CONTROL!$C$42, 0.5599, 0.5599)*CHOOSE(CONTROL!$C$42, 31, 31))/1000000</f>
        <v>12.063045499999998</v>
      </c>
      <c r="V1054" s="57">
        <f>(1000*CHOOSE(CONTROL!$C$42, 500, 500)*CHOOSE(CONTROL!$C$42, 0.275, 0.275)*CHOOSE(CONTROL!$C$42, 31, 31))/1000000</f>
        <v>4.2625000000000002</v>
      </c>
      <c r="W1054" s="57">
        <f>(1000*CHOOSE(CONTROL!$C$42, 0.1146, 0.1146)*CHOOSE(CONTROL!$C$42, 121.5, 121.5)*CHOOSE(CONTROL!$C$42, 31, 31))/1000000</f>
        <v>0.43164089999999994</v>
      </c>
      <c r="X1054" s="57">
        <f>(31*0.1790888*245000/1000000)+(31*0.2374*100000/1000000)</f>
        <v>2.0961194359999999</v>
      </c>
      <c r="Y1054" s="57"/>
      <c r="Z1054" s="14"/>
      <c r="AA1054" s="56"/>
      <c r="AB1054" s="50">
        <f>(B1054*131.881+C1054*277.167+D1054*79.08+E1054*125.872+F1054*40+G1054*185+H1054*0+I1054*100+J1054*300)/(131.881+277.167+79.08+125.872+0+40+185+100+300)</f>
        <v>108.0189514992736</v>
      </c>
      <c r="AC1054" s="45">
        <f>(M1054*'RAP TEMPLATE-GAS AVAILABILITY'!O1053+N1054*'RAP TEMPLATE-GAS AVAILABILITY'!P1053+O1054*'RAP TEMPLATE-GAS AVAILABILITY'!Q1053+P1054*'RAP TEMPLATE-GAS AVAILABILITY'!R1053)/('RAP TEMPLATE-GAS AVAILABILITY'!O1053+'RAP TEMPLATE-GAS AVAILABILITY'!P1053+'RAP TEMPLATE-GAS AVAILABILITY'!Q1053+'RAP TEMPLATE-GAS AVAILABILITY'!R1053)</f>
        <v>107.00500359712231</v>
      </c>
    </row>
    <row r="1055" spans="1:29" ht="15.75" x14ac:dyDescent="0.25">
      <c r="A1055" s="32">
        <v>73019</v>
      </c>
      <c r="B1055" s="14">
        <f>CHOOSE(CONTROL!$C$42, 110.8288, 110.8288) * CHOOSE(CONTROL!$C$21, $C$9, 100%, $E$9)</f>
        <v>110.8288</v>
      </c>
      <c r="C1055" s="14">
        <f>CHOOSE(CONTROL!$C$42, 110.8338, 110.8338) * CHOOSE(CONTROL!$C$21, $C$9, 100%, $E$9)</f>
        <v>110.8338</v>
      </c>
      <c r="D1055" s="14">
        <f>CHOOSE(CONTROL!$C$42, 110.8969, 110.8969) * CHOOSE(CONTROL!$C$21, $C$9, 100%, $E$9)</f>
        <v>110.8969</v>
      </c>
      <c r="E1055" s="14">
        <f>CHOOSE(CONTROL!$C$42, 110.9306, 110.9306) * CHOOSE(CONTROL!$C$21, $C$9, 100%, $E$9)</f>
        <v>110.9306</v>
      </c>
      <c r="F1055" s="14">
        <f>CHOOSE(CONTROL!$C$42, 110.8295, 110.8295)*CHOOSE(CONTROL!$C$21, $C$9, 100%, $E$9)</f>
        <v>110.8295</v>
      </c>
      <c r="G1055" s="14">
        <f>CHOOSE(CONTROL!$C$42, 110.8458, 110.8458)*CHOOSE(CONTROL!$C$21, $C$9, 100%, $E$9)</f>
        <v>110.8458</v>
      </c>
      <c r="H1055" s="14">
        <f>CHOOSE(CONTROL!$C$42, 110.9198, 110.9198) * CHOOSE(CONTROL!$C$21, $C$9, 100%, $E$9)</f>
        <v>110.9198</v>
      </c>
      <c r="I1055" s="14">
        <f>CHOOSE(CONTROL!$C$42, 110.8424, 110.8424)* CHOOSE(CONTROL!$C$21, $C$9, 100%, $E$9)</f>
        <v>110.8424</v>
      </c>
      <c r="J1055" s="14">
        <f>CHOOSE(CONTROL!$C$42, 110.8225, 110.8225)* CHOOSE(CONTROL!$C$21, $C$9, 100%, $E$9)</f>
        <v>110.82250000000001</v>
      </c>
      <c r="K1055" s="53">
        <f>CHOOSE(CONTROL!$C$42, 110.8385, 110.8385) * CHOOSE(CONTROL!$C$21, $C$9, 100%, $E$9)</f>
        <v>110.8385</v>
      </c>
      <c r="L1055" s="14">
        <f>CHOOSE(CONTROL!$C$42, 111.5068, 111.5068) * CHOOSE(CONTROL!$C$21, $C$9, 100%, $E$9)</f>
        <v>111.5068</v>
      </c>
      <c r="M1055" s="14">
        <f>CHOOSE(CONTROL!$C$42, 109.718, 109.718) * CHOOSE(CONTROL!$C$21, $C$9, 100%, $E$9)</f>
        <v>109.718</v>
      </c>
      <c r="N1055" s="14">
        <f>CHOOSE(CONTROL!$C$42, 109.7341, 109.7341) * CHOOSE(CONTROL!$C$21, $C$9, 100%, $E$9)</f>
        <v>109.7341</v>
      </c>
      <c r="O1055" s="14">
        <f>CHOOSE(CONTROL!$C$42, 109.8143, 109.8143) * CHOOSE(CONTROL!$C$21, $C$9, 100%, $E$9)</f>
        <v>109.8143</v>
      </c>
      <c r="P1055" s="14">
        <f>CHOOSE(CONTROL!$C$42, 109.7377, 109.7377) * CHOOSE(CONTROL!$C$21, $C$9, 100%, $E$9)</f>
        <v>109.7377</v>
      </c>
      <c r="Q1055" s="14">
        <f>CHOOSE(CONTROL!$C$42, 110.4096, 110.4096) * CHOOSE(CONTROL!$C$21, $C$9, 100%, $E$9)</f>
        <v>110.4096</v>
      </c>
      <c r="R1055" s="14">
        <f>CHOOSE(CONTROL!$C$42, 111.2726, 111.2726) * CHOOSE(CONTROL!$C$21, $C$9, 100%, $E$9)</f>
        <v>111.2726</v>
      </c>
      <c r="S1055" s="14">
        <f>CHOOSE(CONTROL!$C$42, 107.6238, 107.6238) * CHOOSE(CONTROL!$C$21, $C$9, 100%, $E$9)</f>
        <v>107.6238</v>
      </c>
      <c r="T1055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55" s="57">
        <f>(1000*CHOOSE(CONTROL!$C$42, 695, 695)*CHOOSE(CONTROL!$C$42, 0.5599, 0.5599)*CHOOSE(CONTROL!$C$42, 30, 30))/1000000</f>
        <v>11.673914999999997</v>
      </c>
      <c r="V1055" s="57">
        <f>(1000*CHOOSE(CONTROL!$C$42, 500, 500)*CHOOSE(CONTROL!$C$42, 0.275, 0.275)*CHOOSE(CONTROL!$C$42, 30, 30))/1000000</f>
        <v>4.125</v>
      </c>
      <c r="W1055" s="57">
        <f>(1000*CHOOSE(CONTROL!$C$42, 0.1146, 0.1146)*CHOOSE(CONTROL!$C$42, 121.5, 121.5)*CHOOSE(CONTROL!$C$42, 30, 30))/1000000</f>
        <v>0.417717</v>
      </c>
      <c r="X1055" s="57">
        <f>(30*0.1790888*100000/1000000)+(30*0.2374*100000/1000000)</f>
        <v>1.2494664</v>
      </c>
      <c r="Y1055" s="57"/>
      <c r="Z1055" s="14"/>
      <c r="AA1055" s="56"/>
      <c r="AB1055" s="50">
        <f>(B1055*122.58+C1055*297.941+D1055*89.177+E1055*40.302+F1055*40+G1055*160+H1055*0+I1055*100+J1055*300)/(122.58+297.941+89.177+40.302+0+40+160+100+300)</f>
        <v>110.84087252373914</v>
      </c>
      <c r="AC1055" s="45">
        <f>(M1055*'RAP TEMPLATE-GAS AVAILABILITY'!O1054+N1055*'RAP TEMPLATE-GAS AVAILABILITY'!P1054+O1055*'RAP TEMPLATE-GAS AVAILABILITY'!Q1054+P1055*'RAP TEMPLATE-GAS AVAILABILITY'!R1054)/('RAP TEMPLATE-GAS AVAILABILITY'!O1054+'RAP TEMPLATE-GAS AVAILABILITY'!P1054+'RAP TEMPLATE-GAS AVAILABILITY'!Q1054+'RAP TEMPLATE-GAS AVAILABILITY'!R1054)</f>
        <v>109.76540791366908</v>
      </c>
    </row>
    <row r="1056" spans="1:29" ht="15.75" x14ac:dyDescent="0.25">
      <c r="A1056" s="32">
        <v>73050</v>
      </c>
      <c r="B1056" s="14">
        <f>CHOOSE(CONTROL!$C$42, 118.3849, 118.3849) * CHOOSE(CONTROL!$C$21, $C$9, 100%, $E$9)</f>
        <v>118.3849</v>
      </c>
      <c r="C1056" s="14">
        <f>CHOOSE(CONTROL!$C$42, 118.3899, 118.3899) * CHOOSE(CONTROL!$C$21, $C$9, 100%, $E$9)</f>
        <v>118.3899</v>
      </c>
      <c r="D1056" s="14">
        <f>CHOOSE(CONTROL!$C$42, 118.4529, 118.4529) * CHOOSE(CONTROL!$C$21, $C$9, 100%, $E$9)</f>
        <v>118.4529</v>
      </c>
      <c r="E1056" s="14">
        <f>CHOOSE(CONTROL!$C$42, 118.4867, 118.4867) * CHOOSE(CONTROL!$C$21, $C$9, 100%, $E$9)</f>
        <v>118.4867</v>
      </c>
      <c r="F1056" s="14">
        <f>CHOOSE(CONTROL!$C$42, 118.3876, 118.3876)*CHOOSE(CONTROL!$C$21, $C$9, 100%, $E$9)</f>
        <v>118.38760000000001</v>
      </c>
      <c r="G1056" s="14">
        <f>CHOOSE(CONTROL!$C$42, 118.4045, 118.4045)*CHOOSE(CONTROL!$C$21, $C$9, 100%, $E$9)</f>
        <v>118.4045</v>
      </c>
      <c r="H1056" s="14">
        <f>CHOOSE(CONTROL!$C$42, 118.4759, 118.4759) * CHOOSE(CONTROL!$C$21, $C$9, 100%, $E$9)</f>
        <v>118.4759</v>
      </c>
      <c r="I1056" s="14">
        <f>CHOOSE(CONTROL!$C$42, 118.3984, 118.3984)* CHOOSE(CONTROL!$C$21, $C$9, 100%, $E$9)</f>
        <v>118.3984</v>
      </c>
      <c r="J1056" s="14">
        <f>CHOOSE(CONTROL!$C$42, 118.3806, 118.3806)* CHOOSE(CONTROL!$C$21, $C$9, 100%, $E$9)</f>
        <v>118.3806</v>
      </c>
      <c r="K1056" s="53">
        <f>CHOOSE(CONTROL!$C$42, 118.3946, 118.3946) * CHOOSE(CONTROL!$C$21, $C$9, 100%, $E$9)</f>
        <v>118.3946</v>
      </c>
      <c r="L1056" s="14">
        <f>CHOOSE(CONTROL!$C$42, 119.0629, 119.0629) * CHOOSE(CONTROL!$C$21, $C$9, 100%, $E$9)</f>
        <v>119.0629</v>
      </c>
      <c r="M1056" s="14">
        <f>CHOOSE(CONTROL!$C$42, 117.1998, 117.1998) * CHOOSE(CONTROL!$C$21, $C$9, 100%, $E$9)</f>
        <v>117.1998</v>
      </c>
      <c r="N1056" s="14">
        <f>CHOOSE(CONTROL!$C$42, 117.2165, 117.2165) * CHOOSE(CONTROL!$C$21, $C$9, 100%, $E$9)</f>
        <v>117.2165</v>
      </c>
      <c r="O1056" s="14">
        <f>CHOOSE(CONTROL!$C$42, 117.2941, 117.2941) * CHOOSE(CONTROL!$C$21, $C$9, 100%, $E$9)</f>
        <v>117.2941</v>
      </c>
      <c r="P1056" s="14">
        <f>CHOOSE(CONTROL!$C$42, 117.2175, 117.2175) * CHOOSE(CONTROL!$C$21, $C$9, 100%, $E$9)</f>
        <v>117.2175</v>
      </c>
      <c r="Q1056" s="14">
        <f>CHOOSE(CONTROL!$C$42, 117.8894, 117.8894) * CHOOSE(CONTROL!$C$21, $C$9, 100%, $E$9)</f>
        <v>117.88939999999999</v>
      </c>
      <c r="R1056" s="14">
        <f>CHOOSE(CONTROL!$C$42, 118.7711, 118.7711) * CHOOSE(CONTROL!$C$21, $C$9, 100%, $E$9)</f>
        <v>118.7711</v>
      </c>
      <c r="S1056" s="14">
        <f>CHOOSE(CONTROL!$C$42, 114.9614, 114.9614) * CHOOSE(CONTROL!$C$21, $C$9, 100%, $E$9)</f>
        <v>114.9614</v>
      </c>
      <c r="T1056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56" s="57">
        <f>(1000*CHOOSE(CONTROL!$C$42, 695, 695)*CHOOSE(CONTROL!$C$42, 0.5599, 0.5599)*CHOOSE(CONTROL!$C$42, 31, 31))/1000000</f>
        <v>12.063045499999998</v>
      </c>
      <c r="V1056" s="57">
        <f>(1000*CHOOSE(CONTROL!$C$42, 500, 500)*CHOOSE(CONTROL!$C$42, 0.275, 0.275)*CHOOSE(CONTROL!$C$42, 31, 31))/1000000</f>
        <v>4.2625000000000002</v>
      </c>
      <c r="W1056" s="57">
        <f>(1000*CHOOSE(CONTROL!$C$42, 0.1146, 0.1146)*CHOOSE(CONTROL!$C$42, 121.5, 121.5)*CHOOSE(CONTROL!$C$42, 31, 31))/1000000</f>
        <v>0.43164089999999994</v>
      </c>
      <c r="X1056" s="57">
        <f>(31*0.1790888*100000/1000000)+(31*0.2374*100000/1000000)</f>
        <v>1.2911152800000001</v>
      </c>
      <c r="Y1056" s="57"/>
      <c r="Z1056" s="14"/>
      <c r="AA1056" s="56"/>
      <c r="AB1056" s="50">
        <f>(B1056*122.58+C1056*297.941+D1056*89.177+E1056*40.302+F1056*40+G1056*160+H1056*0+I1056*100+J1056*300)/(122.58+297.941+89.177+40.302+0+40+160+100+300)</f>
        <v>118.39790911704347</v>
      </c>
      <c r="AC1056" s="45">
        <f>(M1056*'RAP TEMPLATE-GAS AVAILABILITY'!O1055+N1056*'RAP TEMPLATE-GAS AVAILABILITY'!P1055+O1056*'RAP TEMPLATE-GAS AVAILABILITY'!Q1055+P1056*'RAP TEMPLATE-GAS AVAILABILITY'!R1055)/('RAP TEMPLATE-GAS AVAILABILITY'!O1055+'RAP TEMPLATE-GAS AVAILABILITY'!P1055+'RAP TEMPLATE-GAS AVAILABILITY'!Q1055+'RAP TEMPLATE-GAS AVAILABILITY'!R1055)</f>
        <v>117.24604820143884</v>
      </c>
    </row>
    <row r="1057" spans="1:29" ht="15.75" x14ac:dyDescent="0.25">
      <c r="A1057" s="32">
        <v>73081</v>
      </c>
      <c r="B1057" s="14">
        <f>CHOOSE(CONTROL!$C$42, 128.0848, 128.0848) * CHOOSE(CONTROL!$C$21, $C$9, 100%, $E$9)</f>
        <v>128.0848</v>
      </c>
      <c r="C1057" s="14">
        <f>CHOOSE(CONTROL!$C$42, 128.0897, 128.0897) * CHOOSE(CONTROL!$C$21, $C$9, 100%, $E$9)</f>
        <v>128.08969999999999</v>
      </c>
      <c r="D1057" s="14">
        <f>CHOOSE(CONTROL!$C$42, 128.154, 128.154) * CHOOSE(CONTROL!$C$21, $C$9, 100%, $E$9)</f>
        <v>128.154</v>
      </c>
      <c r="E1057" s="14">
        <f>CHOOSE(CONTROL!$C$42, 128.1878, 128.1878) * CHOOSE(CONTROL!$C$21, $C$9, 100%, $E$9)</f>
        <v>128.18780000000001</v>
      </c>
      <c r="F1057" s="14">
        <f>CHOOSE(CONTROL!$C$42, 128.0863, 128.0863)*CHOOSE(CONTROL!$C$21, $C$9, 100%, $E$9)</f>
        <v>128.08629999999999</v>
      </c>
      <c r="G1057" s="14">
        <f>CHOOSE(CONTROL!$C$42, 128.1022, 128.1022)*CHOOSE(CONTROL!$C$21, $C$9, 100%, $E$9)</f>
        <v>128.10220000000001</v>
      </c>
      <c r="H1057" s="14">
        <f>CHOOSE(CONTROL!$C$42, 128.177, 128.177) * CHOOSE(CONTROL!$C$21, $C$9, 100%, $E$9)</f>
        <v>128.17699999999999</v>
      </c>
      <c r="I1057" s="14">
        <f>CHOOSE(CONTROL!$C$42, 128.1047, 128.1047)* CHOOSE(CONTROL!$C$21, $C$9, 100%, $E$9)</f>
        <v>128.10470000000001</v>
      </c>
      <c r="J1057" s="14">
        <f>CHOOSE(CONTROL!$C$42, 128.0793, 128.0793)* CHOOSE(CONTROL!$C$21, $C$9, 100%, $E$9)</f>
        <v>128.07929999999999</v>
      </c>
      <c r="K1057" s="53">
        <f>CHOOSE(CONTROL!$C$42, 128.1009, 128.1009) * CHOOSE(CONTROL!$C$21, $C$9, 100%, $E$9)</f>
        <v>128.1009</v>
      </c>
      <c r="L1057" s="14">
        <f>CHOOSE(CONTROL!$C$42, 128.764, 128.764) * CHOOSE(CONTROL!$C$21, $C$9, 100%, $E$9)</f>
        <v>128.76400000000001</v>
      </c>
      <c r="M1057" s="14">
        <f>CHOOSE(CONTROL!$C$42, 126.8006, 126.8006) * CHOOSE(CONTROL!$C$21, $C$9, 100%, $E$9)</f>
        <v>126.8006</v>
      </c>
      <c r="N1057" s="14">
        <f>CHOOSE(CONTROL!$C$42, 126.8163, 126.8163) * CHOOSE(CONTROL!$C$21, $C$9, 100%, $E$9)</f>
        <v>126.8163</v>
      </c>
      <c r="O1057" s="14">
        <f>CHOOSE(CONTROL!$C$42, 126.8973, 126.8973) * CHOOSE(CONTROL!$C$21, $C$9, 100%, $E$9)</f>
        <v>126.8973</v>
      </c>
      <c r="P1057" s="14">
        <f>CHOOSE(CONTROL!$C$42, 126.8258, 126.8258) * CHOOSE(CONTROL!$C$21, $C$9, 100%, $E$9)</f>
        <v>126.8258</v>
      </c>
      <c r="Q1057" s="14">
        <f>CHOOSE(CONTROL!$C$42, 127.4926, 127.4926) * CHOOSE(CONTROL!$C$21, $C$9, 100%, $E$9)</f>
        <v>127.4926</v>
      </c>
      <c r="R1057" s="14">
        <f>CHOOSE(CONTROL!$C$42, 128.3983, 128.3983) * CHOOSE(CONTROL!$C$21, $C$9, 100%, $E$9)</f>
        <v>128.39830000000001</v>
      </c>
      <c r="S1057" s="14">
        <f>CHOOSE(CONTROL!$C$42, 124.381, 124.381) * CHOOSE(CONTROL!$C$21, $C$9, 100%, $E$9)</f>
        <v>124.381</v>
      </c>
      <c r="T1057" s="57">
        <f>(((255000*CHOOSE(CONTROL!$C$42, 0.4694, 0.4694)+(750000-255000)*CHOOSE(CONTROL!$C$42, 0.7185, 0.7185)+400000*CHOOSE(CONTROL!$C$42, 1.14, 1.14))*CHOOSE(CONTROL!$C$42, 31, 31))/1000000)+CHOOSE(CONTROL!$C$42, 0.1442, 0.1442)+CHOOSE(CONTROL!$C$42, 0.2377, 0.2377)</f>
        <v>29.253889500000003</v>
      </c>
      <c r="U1057" s="57">
        <f>(1000*CHOOSE(CONTROL!$C$42, 695, 695)*CHOOSE(CONTROL!$C$42, 0.5599, 0.5599)*CHOOSE(CONTROL!$C$42, 31, 31))/1000000</f>
        <v>12.063045499999998</v>
      </c>
      <c r="V1057" s="57">
        <f>(1000*CHOOSE(CONTROL!$C$42, 500, 500)*CHOOSE(CONTROL!$C$42, 0.275, 0.275)*CHOOSE(CONTROL!$C$42, 31, 31))/1000000</f>
        <v>4.2625000000000002</v>
      </c>
      <c r="W1057" s="57">
        <f>(1000*CHOOSE(CONTROL!$C$42, 0.1146, 0.1146)*CHOOSE(CONTROL!$C$42, 121.5, 121.5)*CHOOSE(CONTROL!$C$42, 31, 31))/1000000</f>
        <v>0.43164089999999994</v>
      </c>
      <c r="X1057" s="57">
        <f>(31*0.1790888*100000/1000000)+(31*0.2374*100000/1000000)</f>
        <v>1.2911152800000001</v>
      </c>
      <c r="Y1057" s="57"/>
      <c r="Z1057" s="14"/>
      <c r="AA1057" s="56"/>
      <c r="AB1057" s="50">
        <f>(B1057*122.58+C1057*297.941+D1057*89.177+E1057*40.302+F1057*40+G1057*160+H1057*0+I1057*100+J1057*300)/(122.58+297.941+89.177+40.302+0+40+160+100+300)</f>
        <v>128.09781396982609</v>
      </c>
      <c r="AC1057" s="45">
        <f>(M1057*'RAP TEMPLATE-GAS AVAILABILITY'!O1056+N1057*'RAP TEMPLATE-GAS AVAILABILITY'!P1056+O1057*'RAP TEMPLATE-GAS AVAILABILITY'!Q1056+P1057*'RAP TEMPLATE-GAS AVAILABILITY'!R1056)/('RAP TEMPLATE-GAS AVAILABILITY'!O1056+'RAP TEMPLATE-GAS AVAILABILITY'!P1056+'RAP TEMPLATE-GAS AVAILABILITY'!Q1056+'RAP TEMPLATE-GAS AVAILABILITY'!R1056)</f>
        <v>126.84895755395684</v>
      </c>
    </row>
    <row r="1058" spans="1:29" ht="15.75" x14ac:dyDescent="0.25">
      <c r="A1058" s="32">
        <v>73109</v>
      </c>
      <c r="B1058" s="14">
        <f>CHOOSE(CONTROL!$C$42, 130.3648, 130.3648) * CHOOSE(CONTROL!$C$21, $C$9, 100%, $E$9)</f>
        <v>130.3648</v>
      </c>
      <c r="C1058" s="14">
        <f>CHOOSE(CONTROL!$C$42, 130.3698, 130.3698) * CHOOSE(CONTROL!$C$21, $C$9, 100%, $E$9)</f>
        <v>130.3698</v>
      </c>
      <c r="D1058" s="14">
        <f>CHOOSE(CONTROL!$C$42, 130.434, 130.434) * CHOOSE(CONTROL!$C$21, $C$9, 100%, $E$9)</f>
        <v>130.434</v>
      </c>
      <c r="E1058" s="14">
        <f>CHOOSE(CONTROL!$C$42, 130.4678, 130.4678) * CHOOSE(CONTROL!$C$21, $C$9, 100%, $E$9)</f>
        <v>130.46780000000001</v>
      </c>
      <c r="F1058" s="14">
        <f>CHOOSE(CONTROL!$C$42, 130.3664, 130.3664)*CHOOSE(CONTROL!$C$21, $C$9, 100%, $E$9)</f>
        <v>130.3664</v>
      </c>
      <c r="G1058" s="14">
        <f>CHOOSE(CONTROL!$C$42, 130.3823, 130.3823)*CHOOSE(CONTROL!$C$21, $C$9, 100%, $E$9)</f>
        <v>130.38229999999999</v>
      </c>
      <c r="H1058" s="14">
        <f>CHOOSE(CONTROL!$C$42, 130.457, 130.457) * CHOOSE(CONTROL!$C$21, $C$9, 100%, $E$9)</f>
        <v>130.45699999999999</v>
      </c>
      <c r="I1058" s="14">
        <f>CHOOSE(CONTROL!$C$42, 130.3848, 130.3848)* CHOOSE(CONTROL!$C$21, $C$9, 100%, $E$9)</f>
        <v>130.38480000000001</v>
      </c>
      <c r="J1058" s="14">
        <f>CHOOSE(CONTROL!$C$42, 130.3594, 130.3594)* CHOOSE(CONTROL!$C$21, $C$9, 100%, $E$9)</f>
        <v>130.35939999999999</v>
      </c>
      <c r="K1058" s="53">
        <f>CHOOSE(CONTROL!$C$42, 130.3809, 130.3809) * CHOOSE(CONTROL!$C$21, $C$9, 100%, $E$9)</f>
        <v>130.3809</v>
      </c>
      <c r="L1058" s="14">
        <f>CHOOSE(CONTROL!$C$42, 131.044, 131.044) * CHOOSE(CONTROL!$C$21, $C$9, 100%, $E$9)</f>
        <v>131.04400000000001</v>
      </c>
      <c r="M1058" s="14">
        <f>CHOOSE(CONTROL!$C$42, 129.0577, 129.0577) * CHOOSE(CONTROL!$C$21, $C$9, 100%, $E$9)</f>
        <v>129.05770000000001</v>
      </c>
      <c r="N1058" s="14">
        <f>CHOOSE(CONTROL!$C$42, 129.0734, 129.0734) * CHOOSE(CONTROL!$C$21, $C$9, 100%, $E$9)</f>
        <v>129.07339999999999</v>
      </c>
      <c r="O1058" s="14">
        <f>CHOOSE(CONTROL!$C$42, 129.1543, 129.1543) * CHOOSE(CONTROL!$C$21, $C$9, 100%, $E$9)</f>
        <v>129.15430000000001</v>
      </c>
      <c r="P1058" s="14">
        <f>CHOOSE(CONTROL!$C$42, 129.0828, 129.0828) * CHOOSE(CONTROL!$C$21, $C$9, 100%, $E$9)</f>
        <v>129.08279999999999</v>
      </c>
      <c r="Q1058" s="14">
        <f>CHOOSE(CONTROL!$C$42, 129.7496, 129.7496) * CHOOSE(CONTROL!$C$21, $C$9, 100%, $E$9)</f>
        <v>129.74959999999999</v>
      </c>
      <c r="R1058" s="14">
        <f>CHOOSE(CONTROL!$C$42, 130.661, 130.661) * CHOOSE(CONTROL!$C$21, $C$9, 100%, $E$9)</f>
        <v>130.661</v>
      </c>
      <c r="S1058" s="14">
        <f>CHOOSE(CONTROL!$C$42, 126.5951, 126.5951) * CHOOSE(CONTROL!$C$21, $C$9, 100%, $E$9)</f>
        <v>126.5951</v>
      </c>
      <c r="T1058" s="57">
        <f>(((255000*CHOOSE(CONTROL!$C$42, 0.4694, 0.4694)+(750000-255000)*CHOOSE(CONTROL!$C$42, 0.7185, 0.7185)+400000*CHOOSE(CONTROL!$C$42, 1.14, 1.14))*CHOOSE(CONTROL!$C$42, 29, 29))/1000000)+CHOOSE(CONTROL!$C$42, 0.1755, 0.1755)+CHOOSE(CONTROL!$C$42, 0.2587, 0.2587)</f>
        <v>27.4434805</v>
      </c>
      <c r="U1058" s="57">
        <f>(1000*CHOOSE(CONTROL!$C$42, 695, 695)*CHOOSE(CONTROL!$C$42, 0.5599, 0.5599)*CHOOSE(CONTROL!$C$42, 29, 29))/1000000</f>
        <v>11.284784499999999</v>
      </c>
      <c r="V1058" s="57">
        <f>(1000*CHOOSE(CONTROL!$C$42, 500, 500)*CHOOSE(CONTROL!$C$42, 0.275, 0.275)*CHOOSE(CONTROL!$C$42, 29, 29))/1000000</f>
        <v>3.9874999999999998</v>
      </c>
      <c r="W1058" s="57">
        <f>(1000*CHOOSE(CONTROL!$C$42, 0.1146, 0.1146)*CHOOSE(CONTROL!$C$42, 121.5, 121.5)*CHOOSE(CONTROL!$C$42, 29, 29))/1000000</f>
        <v>0.40379309999999996</v>
      </c>
      <c r="X1058" s="57">
        <f>(28*0.1790888*100000/1000000)+(28*0.2374*100000/1000000)</f>
        <v>1.16616864</v>
      </c>
      <c r="Y1058" s="57"/>
      <c r="Z1058" s="14"/>
      <c r="AA1058" s="56"/>
      <c r="AB1058" s="50">
        <f>(B1058*122.58+C1058*297.941+D1058*89.177+E1058*40.302+F1058*40+G1058*160+H1058*0+I1058*100+J1058*300)/(122.58+297.941+89.177+40.302+0+40+160+100+300)</f>
        <v>130.37789205165217</v>
      </c>
      <c r="AC1058" s="45">
        <f>(M1058*'RAP TEMPLATE-GAS AVAILABILITY'!O1057+N1058*'RAP TEMPLATE-GAS AVAILABILITY'!P1057+O1058*'RAP TEMPLATE-GAS AVAILABILITY'!Q1057+P1058*'RAP TEMPLATE-GAS AVAILABILITY'!R1057)/('RAP TEMPLATE-GAS AVAILABILITY'!O1057+'RAP TEMPLATE-GAS AVAILABILITY'!P1057+'RAP TEMPLATE-GAS AVAILABILITY'!Q1057+'RAP TEMPLATE-GAS AVAILABILITY'!R1057)</f>
        <v>129.10599784172661</v>
      </c>
    </row>
    <row r="1059" spans="1:29" ht="15.75" x14ac:dyDescent="0.25">
      <c r="A1059" s="32">
        <v>73140</v>
      </c>
      <c r="B1059" s="14">
        <f>CHOOSE(CONTROL!$C$42, 126.6637, 126.6637) * CHOOSE(CONTROL!$C$21, $C$9, 100%, $E$9)</f>
        <v>126.66370000000001</v>
      </c>
      <c r="C1059" s="14">
        <f>CHOOSE(CONTROL!$C$42, 126.6687, 126.6687) * CHOOSE(CONTROL!$C$21, $C$9, 100%, $E$9)</f>
        <v>126.6687</v>
      </c>
      <c r="D1059" s="14">
        <f>CHOOSE(CONTROL!$C$42, 126.733, 126.733) * CHOOSE(CONTROL!$C$21, $C$9, 100%, $E$9)</f>
        <v>126.733</v>
      </c>
      <c r="E1059" s="14">
        <f>CHOOSE(CONTROL!$C$42, 126.7668, 126.7668) * CHOOSE(CONTROL!$C$21, $C$9, 100%, $E$9)</f>
        <v>126.7668</v>
      </c>
      <c r="F1059" s="14">
        <f>CHOOSE(CONTROL!$C$42, 126.665, 126.665)*CHOOSE(CONTROL!$C$21, $C$9, 100%, $E$9)</f>
        <v>126.66500000000001</v>
      </c>
      <c r="G1059" s="14">
        <f>CHOOSE(CONTROL!$C$42, 126.6808, 126.6808)*CHOOSE(CONTROL!$C$21, $C$9, 100%, $E$9)</f>
        <v>126.6808</v>
      </c>
      <c r="H1059" s="14">
        <f>CHOOSE(CONTROL!$C$42, 126.7559, 126.7559) * CHOOSE(CONTROL!$C$21, $C$9, 100%, $E$9)</f>
        <v>126.7559</v>
      </c>
      <c r="I1059" s="14">
        <f>CHOOSE(CONTROL!$C$42, 126.6837, 126.6837)* CHOOSE(CONTROL!$C$21, $C$9, 100%, $E$9)</f>
        <v>126.6837</v>
      </c>
      <c r="J1059" s="14">
        <f>CHOOSE(CONTROL!$C$42, 126.658, 126.658)* CHOOSE(CONTROL!$C$21, $C$9, 100%, $E$9)</f>
        <v>126.658</v>
      </c>
      <c r="K1059" s="53">
        <f>CHOOSE(CONTROL!$C$42, 126.6798, 126.6798) * CHOOSE(CONTROL!$C$21, $C$9, 100%, $E$9)</f>
        <v>126.6798</v>
      </c>
      <c r="L1059" s="14">
        <f>CHOOSE(CONTROL!$C$42, 127.3429, 127.3429) * CHOOSE(CONTROL!$C$21, $C$9, 100%, $E$9)</f>
        <v>127.3429</v>
      </c>
      <c r="M1059" s="14">
        <f>CHOOSE(CONTROL!$C$42, 125.3936, 125.3936) * CHOOSE(CONTROL!$C$21, $C$9, 100%, $E$9)</f>
        <v>125.39360000000001</v>
      </c>
      <c r="N1059" s="14">
        <f>CHOOSE(CONTROL!$C$42, 125.4093, 125.4093) * CHOOSE(CONTROL!$C$21, $C$9, 100%, $E$9)</f>
        <v>125.4093</v>
      </c>
      <c r="O1059" s="14">
        <f>CHOOSE(CONTROL!$C$42, 125.4906, 125.4906) * CHOOSE(CONTROL!$C$21, $C$9, 100%, $E$9)</f>
        <v>125.4906</v>
      </c>
      <c r="P1059" s="14">
        <f>CHOOSE(CONTROL!$C$42, 125.4191, 125.4191) * CHOOSE(CONTROL!$C$21, $C$9, 100%, $E$9)</f>
        <v>125.4191</v>
      </c>
      <c r="Q1059" s="14">
        <f>CHOOSE(CONTROL!$C$42, 126.0859, 126.0859) * CHOOSE(CONTROL!$C$21, $C$9, 100%, $E$9)</f>
        <v>126.0859</v>
      </c>
      <c r="R1059" s="14">
        <f>CHOOSE(CONTROL!$C$42, 126.9881, 126.9881) * CHOOSE(CONTROL!$C$21, $C$9, 100%, $E$9)</f>
        <v>126.9881</v>
      </c>
      <c r="S1059" s="14">
        <f>CHOOSE(CONTROL!$C$42, 123.001, 123.001) * CHOOSE(CONTROL!$C$21, $C$9, 100%, $E$9)</f>
        <v>123.001</v>
      </c>
      <c r="T1059" s="57">
        <f>(((255000*CHOOSE(CONTROL!$C$42, 0.4694, 0.4694)+(750000-255000)*CHOOSE(CONTROL!$C$42, 0.7185, 0.7185)+400000*CHOOSE(CONTROL!$C$42, 1.14, 1.14))*CHOOSE(CONTROL!$C$42, 31, 31))/1000000)+CHOOSE(CONTROL!$C$42, 0.2445, 0.2445)+CHOOSE(CONTROL!$C$42, 0.2781, 0.2781)</f>
        <v>29.394589499999999</v>
      </c>
      <c r="U1059" s="57">
        <f>(1000*CHOOSE(CONTROL!$C$42, 695, 695)*CHOOSE(CONTROL!$C$42, 0.5599, 0.5599)*CHOOSE(CONTROL!$C$42, 31, 31))/1000000</f>
        <v>12.063045499999998</v>
      </c>
      <c r="V1059" s="57">
        <f>(1000*CHOOSE(CONTROL!$C$42, 500, 500)*CHOOSE(CONTROL!$C$42, 0.275, 0.275)*CHOOSE(CONTROL!$C$42, 31, 31))/1000000</f>
        <v>4.2625000000000002</v>
      </c>
      <c r="W1059" s="57">
        <f>(1000*CHOOSE(CONTROL!$C$42, 0.1146, 0.1146)*CHOOSE(CONTROL!$C$42, 121.5, 121.5)*CHOOSE(CONTROL!$C$42, 31, 31))/1000000</f>
        <v>0.43164089999999994</v>
      </c>
      <c r="X1059" s="57">
        <f>(31*0.1790888*100000/1000000)+(31*0.2374*100000/1000000)</f>
        <v>1.2911152800000001</v>
      </c>
      <c r="Y1059" s="57"/>
      <c r="Z1059" s="14"/>
      <c r="AA1059" s="56"/>
      <c r="AB1059" s="50">
        <f>(B1059*122.58+C1059*297.941+D1059*89.177+E1059*40.302+F1059*40+G1059*160+H1059*0+I1059*100+J1059*300)/(122.58+297.941+89.177+40.302+0+40+160+100+300)</f>
        <v>126.67665896286958</v>
      </c>
      <c r="AC1059" s="45">
        <f>(M1059*'RAP TEMPLATE-GAS AVAILABILITY'!O1058+N1059*'RAP TEMPLATE-GAS AVAILABILITY'!P1058+O1059*'RAP TEMPLATE-GAS AVAILABILITY'!Q1058+P1059*'RAP TEMPLATE-GAS AVAILABILITY'!R1058)/('RAP TEMPLATE-GAS AVAILABILITY'!O1058+'RAP TEMPLATE-GAS AVAILABILITY'!P1058+'RAP TEMPLATE-GAS AVAILABILITY'!Q1058+'RAP TEMPLATE-GAS AVAILABILITY'!R1058)</f>
        <v>125.44213669064749</v>
      </c>
    </row>
    <row r="1060" spans="1:29" ht="15.75" x14ac:dyDescent="0.25">
      <c r="A1060" s="32">
        <v>73170</v>
      </c>
      <c r="B1060" s="14">
        <f>CHOOSE(CONTROL!$C$42, 126.2857, 126.2857) * CHOOSE(CONTROL!$C$21, $C$9, 100%, $E$9)</f>
        <v>126.28570000000001</v>
      </c>
      <c r="C1060" s="14">
        <f>CHOOSE(CONTROL!$C$42, 126.29, 126.29) * CHOOSE(CONTROL!$C$21, $C$9, 100%, $E$9)</f>
        <v>126.29</v>
      </c>
      <c r="D1060" s="14">
        <f>CHOOSE(CONTROL!$C$42, 126.4908, 126.4908) * CHOOSE(CONTROL!$C$21, $C$9, 100%, $E$9)</f>
        <v>126.49079999999999</v>
      </c>
      <c r="E1060" s="14">
        <f>CHOOSE(CONTROL!$C$42, 126.5225, 126.5225) * CHOOSE(CONTROL!$C$21, $C$9, 100%, $E$9)</f>
        <v>126.52249999999999</v>
      </c>
      <c r="F1060" s="14">
        <f>CHOOSE(CONTROL!$C$42, 126.2702, 126.2702)*CHOOSE(CONTROL!$C$21, $C$9, 100%, $E$9)</f>
        <v>126.2702</v>
      </c>
      <c r="G1060" s="14">
        <f>CHOOSE(CONTROL!$C$42, 126.2859, 126.2859)*CHOOSE(CONTROL!$C$21, $C$9, 100%, $E$9)</f>
        <v>126.2859</v>
      </c>
      <c r="H1060" s="14">
        <f>CHOOSE(CONTROL!$C$42, 126.5123, 126.5123) * CHOOSE(CONTROL!$C$21, $C$9, 100%, $E$9)</f>
        <v>126.5123</v>
      </c>
      <c r="I1060" s="14">
        <f>CHOOSE(CONTROL!$C$42, 126.2984, 126.2984)* CHOOSE(CONTROL!$C$21, $C$9, 100%, $E$9)</f>
        <v>126.2984</v>
      </c>
      <c r="J1060" s="14">
        <f>CHOOSE(CONTROL!$C$42, 126.2632, 126.2632)* CHOOSE(CONTROL!$C$21, $C$9, 100%, $E$9)</f>
        <v>126.2632</v>
      </c>
      <c r="K1060" s="53">
        <f>CHOOSE(CONTROL!$C$42, 126.2945, 126.2945) * CHOOSE(CONTROL!$C$21, $C$9, 100%, $E$9)</f>
        <v>126.2945</v>
      </c>
      <c r="L1060" s="14">
        <f>CHOOSE(CONTROL!$C$42, 127.0993, 127.0993) * CHOOSE(CONTROL!$C$21, $C$9, 100%, $E$9)</f>
        <v>127.0993</v>
      </c>
      <c r="M1060" s="14">
        <f>CHOOSE(CONTROL!$C$42, 125.0029, 125.0029) * CHOOSE(CONTROL!$C$21, $C$9, 100%, $E$9)</f>
        <v>125.0029</v>
      </c>
      <c r="N1060" s="14">
        <f>CHOOSE(CONTROL!$C$42, 125.0183, 125.0183) * CHOOSE(CONTROL!$C$21, $C$9, 100%, $E$9)</f>
        <v>125.0183</v>
      </c>
      <c r="O1060" s="14">
        <f>CHOOSE(CONTROL!$C$42, 125.2494, 125.2494) * CHOOSE(CONTROL!$C$21, $C$9, 100%, $E$9)</f>
        <v>125.24939999999999</v>
      </c>
      <c r="P1060" s="14">
        <f>CHOOSE(CONTROL!$C$42, 125.0377, 125.0377) * CHOOSE(CONTROL!$C$21, $C$9, 100%, $E$9)</f>
        <v>125.0377</v>
      </c>
      <c r="Q1060" s="14">
        <f>CHOOSE(CONTROL!$C$42, 125.8447, 125.8447) * CHOOSE(CONTROL!$C$21, $C$9, 100%, $E$9)</f>
        <v>125.8447</v>
      </c>
      <c r="R1060" s="14">
        <f>CHOOSE(CONTROL!$C$42, 126.7463, 126.7463) * CHOOSE(CONTROL!$C$21, $C$9, 100%, $E$9)</f>
        <v>126.74630000000001</v>
      </c>
      <c r="S1060" s="14">
        <f>CHOOSE(CONTROL!$C$42, 122.6331, 122.6331) * CHOOSE(CONTROL!$C$21, $C$9, 100%, $E$9)</f>
        <v>122.6331</v>
      </c>
      <c r="T1060" s="57">
        <f>(((280000*CHOOSE(CONTROL!$C$42, 0.4694, 0.4694)+(839000-280000)*CHOOSE(CONTROL!$C$42, 0.7185, 0.7185)+400000*CHOOSE(CONTROL!$C$42, 1.14, 1.14))*CHOOSE(CONTROL!$C$42, 30, 30))/1000000)+CHOOSE(CONTROL!$C$42, 0.1952, 0.1952)+CHOOSE(CONTROL!$C$42, 0.3265, 0.3265)</f>
        <v>30.193905000000001</v>
      </c>
      <c r="U1060" s="57">
        <f>(1000*CHOOSE(CONTROL!$C$42, 695, 695)*CHOOSE(CONTROL!$C$42, 0.5599, 0.5599)*CHOOSE(CONTROL!$C$42, 30, 30))/1000000</f>
        <v>11.673914999999997</v>
      </c>
      <c r="V1060" s="57">
        <f>(1000*CHOOSE(CONTROL!$C$42, 500, 500)*CHOOSE(CONTROL!$C$42, 0.275, 0.275)*CHOOSE(CONTROL!$C$42, 30, 30))/1000000</f>
        <v>4.125</v>
      </c>
      <c r="W1060" s="57">
        <f>(1000*CHOOSE(CONTROL!$C$42, 0.1146, 0.1146)*CHOOSE(CONTROL!$C$42, 121.5, 121.5)*CHOOSE(CONTROL!$C$42, 30, 30))/1000000</f>
        <v>0.417717</v>
      </c>
      <c r="X1060" s="57">
        <f>(30*0.1790888*245000/1000000)+(30*0.2374*100000/1000000)</f>
        <v>2.0285026799999999</v>
      </c>
      <c r="Y1060" s="57"/>
      <c r="Z1060" s="14"/>
      <c r="AA1060" s="56"/>
      <c r="AB1060" s="50">
        <f>(B1060*141.293+C1060*267.993+D1060*115.016+E1060*89.698+F1060*40+G1060*185+H1060*0+I1060*100+J1060*300)/(141.293+267.993+115.016+89.698+0+40+185+100+300)</f>
        <v>126.31791923962872</v>
      </c>
      <c r="AC1060" s="45">
        <f>(M1060*'RAP TEMPLATE-GAS AVAILABILITY'!O1059+N1060*'RAP TEMPLATE-GAS AVAILABILITY'!P1059+O1060*'RAP TEMPLATE-GAS AVAILABILITY'!Q1059+P1060*'RAP TEMPLATE-GAS AVAILABILITY'!R1059)/('RAP TEMPLATE-GAS AVAILABILITY'!O1059+'RAP TEMPLATE-GAS AVAILABILITY'!P1059+'RAP TEMPLATE-GAS AVAILABILITY'!Q1059+'RAP TEMPLATE-GAS AVAILABILITY'!R1059)</f>
        <v>125.1205165467626</v>
      </c>
    </row>
    <row r="1061" spans="1:29" ht="15.75" x14ac:dyDescent="0.25">
      <c r="A1061" s="32">
        <v>73201</v>
      </c>
      <c r="B1061" s="14">
        <f>CHOOSE(CONTROL!$C$42, 127.4016, 127.4016) * CHOOSE(CONTROL!$C$21, $C$9, 100%, $E$9)</f>
        <v>127.4016</v>
      </c>
      <c r="C1061" s="14">
        <f>CHOOSE(CONTROL!$C$42, 127.4096, 127.4096) * CHOOSE(CONTROL!$C$21, $C$9, 100%, $E$9)</f>
        <v>127.4096</v>
      </c>
      <c r="D1061" s="14">
        <f>CHOOSE(CONTROL!$C$42, 127.6071, 127.6071) * CHOOSE(CONTROL!$C$21, $C$9, 100%, $E$9)</f>
        <v>127.6071</v>
      </c>
      <c r="E1061" s="14">
        <f>CHOOSE(CONTROL!$C$42, 127.6383, 127.6383) * CHOOSE(CONTROL!$C$21, $C$9, 100%, $E$9)</f>
        <v>127.6383</v>
      </c>
      <c r="F1061" s="14">
        <f>CHOOSE(CONTROL!$C$42, 127.3851, 127.3851)*CHOOSE(CONTROL!$C$21, $C$9, 100%, $E$9)</f>
        <v>127.38509999999999</v>
      </c>
      <c r="G1061" s="14">
        <f>CHOOSE(CONTROL!$C$42, 127.4011, 127.4011)*CHOOSE(CONTROL!$C$21, $C$9, 100%, $E$9)</f>
        <v>127.4011</v>
      </c>
      <c r="H1061" s="14">
        <f>CHOOSE(CONTROL!$C$42, 127.6269, 127.6269) * CHOOSE(CONTROL!$C$21, $C$9, 100%, $E$9)</f>
        <v>127.62690000000001</v>
      </c>
      <c r="I1061" s="14">
        <f>CHOOSE(CONTROL!$C$42, 127.413, 127.413)* CHOOSE(CONTROL!$C$21, $C$9, 100%, $E$9)</f>
        <v>127.413</v>
      </c>
      <c r="J1061" s="14">
        <f>CHOOSE(CONTROL!$C$42, 127.3781, 127.3781)* CHOOSE(CONTROL!$C$21, $C$9, 100%, $E$9)</f>
        <v>127.3781</v>
      </c>
      <c r="K1061" s="53">
        <f>CHOOSE(CONTROL!$C$42, 127.4091, 127.4091) * CHOOSE(CONTROL!$C$21, $C$9, 100%, $E$9)</f>
        <v>127.4091</v>
      </c>
      <c r="L1061" s="14">
        <f>CHOOSE(CONTROL!$C$42, 128.2139, 128.2139) * CHOOSE(CONTROL!$C$21, $C$9, 100%, $E$9)</f>
        <v>128.2139</v>
      </c>
      <c r="M1061" s="14">
        <f>CHOOSE(CONTROL!$C$42, 126.1064, 126.1064) * CHOOSE(CONTROL!$C$21, $C$9, 100%, $E$9)</f>
        <v>126.10639999999999</v>
      </c>
      <c r="N1061" s="14">
        <f>CHOOSE(CONTROL!$C$42, 126.1223, 126.1223) * CHOOSE(CONTROL!$C$21, $C$9, 100%, $E$9)</f>
        <v>126.1223</v>
      </c>
      <c r="O1061" s="14">
        <f>CHOOSE(CONTROL!$C$42, 126.3528, 126.3528) * CHOOSE(CONTROL!$C$21, $C$9, 100%, $E$9)</f>
        <v>126.3528</v>
      </c>
      <c r="P1061" s="14">
        <f>CHOOSE(CONTROL!$C$42, 126.1411, 126.1411) * CHOOSE(CONTROL!$C$21, $C$9, 100%, $E$9)</f>
        <v>126.14109999999999</v>
      </c>
      <c r="Q1061" s="14">
        <f>CHOOSE(CONTROL!$C$42, 126.9481, 126.9481) * CHOOSE(CONTROL!$C$21, $C$9, 100%, $E$9)</f>
        <v>126.9481</v>
      </c>
      <c r="R1061" s="14">
        <f>CHOOSE(CONTROL!$C$42, 127.8524, 127.8524) * CHOOSE(CONTROL!$C$21, $C$9, 100%, $E$9)</f>
        <v>127.8524</v>
      </c>
      <c r="S1061" s="14">
        <f>CHOOSE(CONTROL!$C$42, 123.7155, 123.7155) * CHOOSE(CONTROL!$C$21, $C$9, 100%, $E$9)</f>
        <v>123.71550000000001</v>
      </c>
      <c r="T1061" s="57">
        <f>((((430000*CHOOSE(CONTROL!$C$42, 0.4694, 0.4694)+(874000-430000)*CHOOSE(CONTROL!$C$42, 0.7185, 0.7185)+400000*CHOOSE(CONTROL!$C$42, 1.14, 1.14))*CHOOSE(CONTROL!$C$42, 31, 31))/1000000))+CHOOSE(CONTROL!$C$42, 0.1662, 0.1662)+CHOOSE(CONTROL!$C$42, 0.6286, 0.6286)</f>
        <v>31.077335999999999</v>
      </c>
      <c r="U1061" s="57">
        <f>(1000*CHOOSE(CONTROL!$C$42, 695, 695)*CHOOSE(CONTROL!$C$42, 0.5599, 0.5599)*CHOOSE(CONTROL!$C$42, 31, 31))/1000000</f>
        <v>12.063045499999998</v>
      </c>
      <c r="V1061" s="57">
        <f>(1000*CHOOSE(CONTROL!$C$42, 500, 500)*CHOOSE(CONTROL!$C$42, 0.275, 0.275)*CHOOSE(CONTROL!$C$42, 31, 31))/1000000</f>
        <v>4.2625000000000002</v>
      </c>
      <c r="W1061" s="57">
        <f>(1000*CHOOSE(CONTROL!$C$42, 0.1146, 0.1146)*CHOOSE(CONTROL!$C$42, 121.5, 121.5)*CHOOSE(CONTROL!$C$42, 31, 31))/1000000</f>
        <v>0.43164089999999994</v>
      </c>
      <c r="X1061" s="57">
        <f>(31*0.1790888*245000/1000000)+(31*0.2374*100000/1000000)</f>
        <v>2.0961194359999999</v>
      </c>
      <c r="Y1061" s="57"/>
      <c r="Z1061" s="14"/>
      <c r="AA1061" s="56"/>
      <c r="AB1061" s="50">
        <f>(B1061*194.205+C1061*267.466+D1061*133.845+E1061*53.484+F1061*40+G1061*185+H1061*0+I1061*100+J1061*300)/(194.205+267.466+133.845+53.484+0+40+185+100+300)</f>
        <v>127.4295764821821</v>
      </c>
      <c r="AC1061" s="45">
        <f>(M1061*'RAP TEMPLATE-GAS AVAILABILITY'!O1060+N1061*'RAP TEMPLATE-GAS AVAILABILITY'!P1060+O1061*'RAP TEMPLATE-GAS AVAILABILITY'!Q1060+P1061*'RAP TEMPLATE-GAS AVAILABILITY'!R1060)/('RAP TEMPLATE-GAS AVAILABILITY'!O1060+'RAP TEMPLATE-GAS AVAILABILITY'!P1060+'RAP TEMPLATE-GAS AVAILABILITY'!Q1060+'RAP TEMPLATE-GAS AVAILABILITY'!R1060)</f>
        <v>126.22398561151078</v>
      </c>
    </row>
    <row r="1062" spans="1:29" ht="15.75" x14ac:dyDescent="0.25">
      <c r="A1062" s="32">
        <v>73231</v>
      </c>
      <c r="B1062" s="14">
        <f>CHOOSE(CONTROL!$C$42, 131.0154, 131.0154) * CHOOSE(CONTROL!$C$21, $C$9, 100%, $E$9)</f>
        <v>131.0154</v>
      </c>
      <c r="C1062" s="14">
        <f>CHOOSE(CONTROL!$C$42, 131.0233, 131.0233) * CHOOSE(CONTROL!$C$21, $C$9, 100%, $E$9)</f>
        <v>131.02330000000001</v>
      </c>
      <c r="D1062" s="14">
        <f>CHOOSE(CONTROL!$C$42, 131.2209, 131.2209) * CHOOSE(CONTROL!$C$21, $C$9, 100%, $E$9)</f>
        <v>131.2209</v>
      </c>
      <c r="E1062" s="14">
        <f>CHOOSE(CONTROL!$C$42, 131.2521, 131.2521) * CHOOSE(CONTROL!$C$21, $C$9, 100%, $E$9)</f>
        <v>131.25210000000001</v>
      </c>
      <c r="F1062" s="14">
        <f>CHOOSE(CONTROL!$C$42, 130.9993, 130.9993)*CHOOSE(CONTROL!$C$21, $C$9, 100%, $E$9)</f>
        <v>130.99930000000001</v>
      </c>
      <c r="G1062" s="14">
        <f>CHOOSE(CONTROL!$C$42, 131.0154, 131.0154)*CHOOSE(CONTROL!$C$21, $C$9, 100%, $E$9)</f>
        <v>131.0154</v>
      </c>
      <c r="H1062" s="14">
        <f>CHOOSE(CONTROL!$C$42, 131.2407, 131.2407) * CHOOSE(CONTROL!$C$21, $C$9, 100%, $E$9)</f>
        <v>131.2407</v>
      </c>
      <c r="I1062" s="14">
        <f>CHOOSE(CONTROL!$C$42, 131.0268, 131.0268)* CHOOSE(CONTROL!$C$21, $C$9, 100%, $E$9)</f>
        <v>131.02680000000001</v>
      </c>
      <c r="J1062" s="14">
        <f>CHOOSE(CONTROL!$C$42, 130.9923, 130.9923)* CHOOSE(CONTROL!$C$21, $C$9, 100%, $E$9)</f>
        <v>130.9923</v>
      </c>
      <c r="K1062" s="53">
        <f>CHOOSE(CONTROL!$C$42, 131.0229, 131.0229) * CHOOSE(CONTROL!$C$21, $C$9, 100%, $E$9)</f>
        <v>131.02289999999999</v>
      </c>
      <c r="L1062" s="14">
        <f>CHOOSE(CONTROL!$C$42, 131.8277, 131.8277) * CHOOSE(CONTROL!$C$21, $C$9, 100%, $E$9)</f>
        <v>131.82769999999999</v>
      </c>
      <c r="M1062" s="14">
        <f>CHOOSE(CONTROL!$C$42, 129.6841, 129.6841) * CHOOSE(CONTROL!$C$21, $C$9, 100%, $E$9)</f>
        <v>129.6841</v>
      </c>
      <c r="N1062" s="14">
        <f>CHOOSE(CONTROL!$C$42, 129.7002, 129.7002) * CHOOSE(CONTROL!$C$21, $C$9, 100%, $E$9)</f>
        <v>129.7002</v>
      </c>
      <c r="O1062" s="14">
        <f>CHOOSE(CONTROL!$C$42, 129.9301, 129.9301) * CHOOSE(CONTROL!$C$21, $C$9, 100%, $E$9)</f>
        <v>129.93010000000001</v>
      </c>
      <c r="P1062" s="14">
        <f>CHOOSE(CONTROL!$C$42, 129.7184, 129.7184) * CHOOSE(CONTROL!$C$21, $C$9, 100%, $E$9)</f>
        <v>129.7184</v>
      </c>
      <c r="Q1062" s="14">
        <f>CHOOSE(CONTROL!$C$42, 130.5254, 130.5254) * CHOOSE(CONTROL!$C$21, $C$9, 100%, $E$9)</f>
        <v>130.52539999999999</v>
      </c>
      <c r="R1062" s="14">
        <f>CHOOSE(CONTROL!$C$42, 131.4387, 131.4387) * CHOOSE(CONTROL!$C$21, $C$9, 100%, $E$9)</f>
        <v>131.43870000000001</v>
      </c>
      <c r="S1062" s="14">
        <f>CHOOSE(CONTROL!$C$42, 127.2248, 127.2248) * CHOOSE(CONTROL!$C$21, $C$9, 100%, $E$9)</f>
        <v>127.2248</v>
      </c>
      <c r="T1062" s="57">
        <f>((((430000*CHOOSE(CONTROL!$C$42, 0.4694, 0.4694)+(874000-430000)*CHOOSE(CONTROL!$C$42, 0.7185, 0.7185)+400000*CHOOSE(CONTROL!$C$42, 1.14, 1.14))*CHOOSE(CONTROL!$C$42, 30, 30))/1000000))+CHOOSE(CONTROL!$C$42, 0.1573, 0.1573)+CHOOSE(CONTROL!$C$42, 0.6376, 0.6376)</f>
        <v>30.100579999999997</v>
      </c>
      <c r="U1062" s="57">
        <f>(1000*CHOOSE(CONTROL!$C$42, 695, 695)*CHOOSE(CONTROL!$C$42, 0.5599, 0.5599)*CHOOSE(CONTROL!$C$42, 30, 30))/1000000</f>
        <v>11.673914999999997</v>
      </c>
      <c r="V1062" s="57">
        <f>(1000*CHOOSE(CONTROL!$C$42, 500, 500)*CHOOSE(CONTROL!$C$42, 0.275, 0.275)*CHOOSE(CONTROL!$C$42, 30, 30))/1000000</f>
        <v>4.125</v>
      </c>
      <c r="W1062" s="57">
        <f>(1000*CHOOSE(CONTROL!$C$42, 0.1146, 0.1146)*CHOOSE(CONTROL!$C$42, 121.5, 121.5)*CHOOSE(CONTROL!$C$42, 30, 30))/1000000</f>
        <v>0.417717</v>
      </c>
      <c r="X1062" s="57">
        <f>(30*0.1790888*245000/1000000)+(30*0.2374*100000/1000000)</f>
        <v>2.0285026799999999</v>
      </c>
      <c r="Y1062" s="57"/>
      <c r="Z1062" s="14"/>
      <c r="AA1062" s="56"/>
      <c r="AB1062" s="50">
        <f>(B1062*194.205+C1062*267.466+D1062*133.845+E1062*53.484+F1062*40+G1062*185+H1062*0+I1062*100+J1062*300)/(194.205+267.466+133.845+53.484+0+40+185+100+300)</f>
        <v>131.0435348443485</v>
      </c>
      <c r="AC1062" s="45">
        <f>(M1062*'RAP TEMPLATE-GAS AVAILABILITY'!O1061+N1062*'RAP TEMPLATE-GAS AVAILABILITY'!P1061+O1062*'RAP TEMPLATE-GAS AVAILABILITY'!Q1061+P1062*'RAP TEMPLATE-GAS AVAILABILITY'!R1061)/('RAP TEMPLATE-GAS AVAILABILITY'!O1061+'RAP TEMPLATE-GAS AVAILABILITY'!P1061+'RAP TEMPLATE-GAS AVAILABILITY'!Q1061+'RAP TEMPLATE-GAS AVAILABILITY'!R1061)</f>
        <v>129.80145827338129</v>
      </c>
    </row>
    <row r="1063" spans="1:29" ht="15.75" x14ac:dyDescent="0.25">
      <c r="A1063" s="32">
        <v>73262</v>
      </c>
      <c r="B1063" s="14">
        <f>CHOOSE(CONTROL!$C$42, 128.502, 128.502) * CHOOSE(CONTROL!$C$21, $C$9, 100%, $E$9)</f>
        <v>128.50200000000001</v>
      </c>
      <c r="C1063" s="14">
        <f>CHOOSE(CONTROL!$C$42, 128.5099, 128.5099) * CHOOSE(CONTROL!$C$21, $C$9, 100%, $E$9)</f>
        <v>128.50989999999999</v>
      </c>
      <c r="D1063" s="14">
        <f>CHOOSE(CONTROL!$C$42, 128.7075, 128.7075) * CHOOSE(CONTROL!$C$21, $C$9, 100%, $E$9)</f>
        <v>128.70750000000001</v>
      </c>
      <c r="E1063" s="14">
        <f>CHOOSE(CONTROL!$C$42, 128.7387, 128.7387) * CHOOSE(CONTROL!$C$21, $C$9, 100%, $E$9)</f>
        <v>128.73869999999999</v>
      </c>
      <c r="F1063" s="14">
        <f>CHOOSE(CONTROL!$C$42, 128.4863, 128.4863)*CHOOSE(CONTROL!$C$21, $C$9, 100%, $E$9)</f>
        <v>128.4863</v>
      </c>
      <c r="G1063" s="14">
        <f>CHOOSE(CONTROL!$C$42, 128.5026, 128.5026)*CHOOSE(CONTROL!$C$21, $C$9, 100%, $E$9)</f>
        <v>128.5026</v>
      </c>
      <c r="H1063" s="14">
        <f>CHOOSE(CONTROL!$C$42, 128.7273, 128.7273) * CHOOSE(CONTROL!$C$21, $C$9, 100%, $E$9)</f>
        <v>128.72730000000001</v>
      </c>
      <c r="I1063" s="14">
        <f>CHOOSE(CONTROL!$C$42, 128.5134, 128.5134)* CHOOSE(CONTROL!$C$21, $C$9, 100%, $E$9)</f>
        <v>128.51339999999999</v>
      </c>
      <c r="J1063" s="14">
        <f>CHOOSE(CONTROL!$C$42, 128.4793, 128.4793)* CHOOSE(CONTROL!$C$21, $C$9, 100%, $E$9)</f>
        <v>128.47929999999999</v>
      </c>
      <c r="K1063" s="53">
        <f>CHOOSE(CONTROL!$C$42, 128.5095, 128.5095) * CHOOSE(CONTROL!$C$21, $C$9, 100%, $E$9)</f>
        <v>128.5095</v>
      </c>
      <c r="L1063" s="14">
        <f>CHOOSE(CONTROL!$C$42, 129.3143, 129.3143) * CHOOSE(CONTROL!$C$21, $C$9, 100%, $E$9)</f>
        <v>129.3143</v>
      </c>
      <c r="M1063" s="14">
        <f>CHOOSE(CONTROL!$C$42, 127.1965, 127.1965) * CHOOSE(CONTROL!$C$21, $C$9, 100%, $E$9)</f>
        <v>127.1965</v>
      </c>
      <c r="N1063" s="14">
        <f>CHOOSE(CONTROL!$C$42, 127.2127, 127.2127) * CHOOSE(CONTROL!$C$21, $C$9, 100%, $E$9)</f>
        <v>127.2127</v>
      </c>
      <c r="O1063" s="14">
        <f>CHOOSE(CONTROL!$C$42, 127.442, 127.442) * CHOOSE(CONTROL!$C$21, $C$9, 100%, $E$9)</f>
        <v>127.44199999999999</v>
      </c>
      <c r="P1063" s="14">
        <f>CHOOSE(CONTROL!$C$42, 127.2303, 127.2303) * CHOOSE(CONTROL!$C$21, $C$9, 100%, $E$9)</f>
        <v>127.2303</v>
      </c>
      <c r="Q1063" s="14">
        <f>CHOOSE(CONTROL!$C$42, 128.0373, 128.0373) * CHOOSE(CONTROL!$C$21, $C$9, 100%, $E$9)</f>
        <v>128.03729999999999</v>
      </c>
      <c r="R1063" s="14">
        <f>CHOOSE(CONTROL!$C$42, 128.9444, 128.9444) * CHOOSE(CONTROL!$C$21, $C$9, 100%, $E$9)</f>
        <v>128.9444</v>
      </c>
      <c r="S1063" s="14">
        <f>CHOOSE(CONTROL!$C$42, 124.7841, 124.7841) * CHOOSE(CONTROL!$C$21, $C$9, 100%, $E$9)</f>
        <v>124.7841</v>
      </c>
      <c r="T1063" s="57">
        <f>((((430000*CHOOSE(CONTROL!$C$42, 0.4694, 0.4694)+(874000-430000)*CHOOSE(CONTROL!$C$42, 0.7185, 0.7185)+400000*CHOOSE(CONTROL!$C$42, 1.14, 1.14))*CHOOSE(CONTROL!$C$42, 31, 31))/1000000))+CHOOSE(CONTROL!$C$42, 0.1519, 0.1519)+CHOOSE(CONTROL!$C$42, 0.626, 0.626)</f>
        <v>31.060436000000003</v>
      </c>
      <c r="U1063" s="57">
        <f>(1000*CHOOSE(CONTROL!$C$42, 695, 695)*CHOOSE(CONTROL!$C$42, 0.5599, 0.5599)*CHOOSE(CONTROL!$C$42, 31, 31))/1000000</f>
        <v>12.063045499999998</v>
      </c>
      <c r="V1063" s="57">
        <f>(1000*CHOOSE(CONTROL!$C$42, 500, 500)*CHOOSE(CONTROL!$C$42, 0.275, 0.275)*CHOOSE(CONTROL!$C$42, 31, 31))/1000000</f>
        <v>4.2625000000000002</v>
      </c>
      <c r="W1063" s="57">
        <f>(1000*CHOOSE(CONTROL!$C$42, 0.1146, 0.1146)*CHOOSE(CONTROL!$C$42, 121.5, 121.5)*CHOOSE(CONTROL!$C$42, 31, 31))/1000000</f>
        <v>0.43164089999999994</v>
      </c>
      <c r="X1063" s="57">
        <f>(31*0.1790888*245000/1000000)+(31*0.2374*100000/1000000)</f>
        <v>2.0961194359999999</v>
      </c>
      <c r="Y1063" s="57"/>
      <c r="Z1063" s="14"/>
      <c r="AA1063" s="56"/>
      <c r="AB1063" s="50">
        <f>(B1063*194.205+C1063*267.466+D1063*133.845+E1063*53.484+F1063*40+G1063*185+H1063*0+I1063*100+J1063*300)/(194.205+267.466+133.845+53.484+0+40+185+100+300)</f>
        <v>128.53032872189954</v>
      </c>
      <c r="AC1063" s="45">
        <f>(M1063*'RAP TEMPLATE-GAS AVAILABILITY'!O1062+N1063*'RAP TEMPLATE-GAS AVAILABILITY'!P1062+O1063*'RAP TEMPLATE-GAS AVAILABILITY'!Q1062+P1063*'RAP TEMPLATE-GAS AVAILABILITY'!R1062)/('RAP TEMPLATE-GAS AVAILABILITY'!O1062+'RAP TEMPLATE-GAS AVAILABILITY'!P1062+'RAP TEMPLATE-GAS AVAILABILITY'!Q1062+'RAP TEMPLATE-GAS AVAILABILITY'!R1062)</f>
        <v>127.31356546762588</v>
      </c>
    </row>
    <row r="1064" spans="1:29" ht="15.75" x14ac:dyDescent="0.25">
      <c r="A1064" s="32">
        <v>73293</v>
      </c>
      <c r="B1064" s="14">
        <f>CHOOSE(CONTROL!$C$42, 122.1549, 122.1549) * CHOOSE(CONTROL!$C$21, $C$9, 100%, $E$9)</f>
        <v>122.1549</v>
      </c>
      <c r="C1064" s="14">
        <f>CHOOSE(CONTROL!$C$42, 122.1628, 122.1628) * CHOOSE(CONTROL!$C$21, $C$9, 100%, $E$9)</f>
        <v>122.1628</v>
      </c>
      <c r="D1064" s="14">
        <f>CHOOSE(CONTROL!$C$42, 122.3604, 122.3604) * CHOOSE(CONTROL!$C$21, $C$9, 100%, $E$9)</f>
        <v>122.3604</v>
      </c>
      <c r="E1064" s="14">
        <f>CHOOSE(CONTROL!$C$42, 122.3915, 122.3915) * CHOOSE(CONTROL!$C$21, $C$9, 100%, $E$9)</f>
        <v>122.39149999999999</v>
      </c>
      <c r="F1064" s="14">
        <f>CHOOSE(CONTROL!$C$42, 122.1393, 122.1393)*CHOOSE(CONTROL!$C$21, $C$9, 100%, $E$9)</f>
        <v>122.13930000000001</v>
      </c>
      <c r="G1064" s="14">
        <f>CHOOSE(CONTROL!$C$42, 122.1557, 122.1557)*CHOOSE(CONTROL!$C$21, $C$9, 100%, $E$9)</f>
        <v>122.1557</v>
      </c>
      <c r="H1064" s="14">
        <f>CHOOSE(CONTROL!$C$42, 122.3802, 122.3802) * CHOOSE(CONTROL!$C$21, $C$9, 100%, $E$9)</f>
        <v>122.3802</v>
      </c>
      <c r="I1064" s="14">
        <f>CHOOSE(CONTROL!$C$42, 122.1662, 122.1662)* CHOOSE(CONTROL!$C$21, $C$9, 100%, $E$9)</f>
        <v>122.1662</v>
      </c>
      <c r="J1064" s="14">
        <f>CHOOSE(CONTROL!$C$42, 122.1323, 122.1323)* CHOOSE(CONTROL!$C$21, $C$9, 100%, $E$9)</f>
        <v>122.1323</v>
      </c>
      <c r="K1064" s="53">
        <f>CHOOSE(CONTROL!$C$42, 122.1624, 122.1624) * CHOOSE(CONTROL!$C$21, $C$9, 100%, $E$9)</f>
        <v>122.16240000000001</v>
      </c>
      <c r="L1064" s="14">
        <f>CHOOSE(CONTROL!$C$42, 122.9672, 122.9672) * CHOOSE(CONTROL!$C$21, $C$9, 100%, $E$9)</f>
        <v>122.96720000000001</v>
      </c>
      <c r="M1064" s="14">
        <f>CHOOSE(CONTROL!$C$42, 120.9136, 120.9136) * CHOOSE(CONTROL!$C$21, $C$9, 100%, $E$9)</f>
        <v>120.9136</v>
      </c>
      <c r="N1064" s="14">
        <f>CHOOSE(CONTROL!$C$42, 120.9298, 120.9298) * CHOOSE(CONTROL!$C$21, $C$9, 100%, $E$9)</f>
        <v>120.9298</v>
      </c>
      <c r="O1064" s="14">
        <f>CHOOSE(CONTROL!$C$42, 121.159, 121.159) * CHOOSE(CONTROL!$C$21, $C$9, 100%, $E$9)</f>
        <v>121.15900000000001</v>
      </c>
      <c r="P1064" s="14">
        <f>CHOOSE(CONTROL!$C$42, 120.9472, 120.9472) * CHOOSE(CONTROL!$C$21, $C$9, 100%, $E$9)</f>
        <v>120.9472</v>
      </c>
      <c r="Q1064" s="14">
        <f>CHOOSE(CONTROL!$C$42, 121.7543, 121.7543) * CHOOSE(CONTROL!$C$21, $C$9, 100%, $E$9)</f>
        <v>121.7543</v>
      </c>
      <c r="R1064" s="14">
        <f>CHOOSE(CONTROL!$C$42, 122.6456, 122.6456) * CHOOSE(CONTROL!$C$21, $C$9, 100%, $E$9)</f>
        <v>122.6456</v>
      </c>
      <c r="S1064" s="14">
        <f>CHOOSE(CONTROL!$C$42, 118.6204, 118.6204) * CHOOSE(CONTROL!$C$21, $C$9, 100%, $E$9)</f>
        <v>118.6204</v>
      </c>
      <c r="T1064" s="57">
        <f>((((430000*CHOOSE(CONTROL!$C$42, 0.4694, 0.4694)+(874000-430000)*CHOOSE(CONTROL!$C$42, 0.7185, 0.7185)+400000*CHOOSE(CONTROL!$C$42, 1.14, 1.14))*CHOOSE(CONTROL!$C$42, 31, 31))/1000000))+CHOOSE(CONTROL!$C$42, 0.1868, 0.1868)+CHOOSE(CONTROL!$C$42, 0.6257, 0.6257)</f>
        <v>31.095036</v>
      </c>
      <c r="U1064" s="57">
        <f>(1000*CHOOSE(CONTROL!$C$42, 695, 695)*CHOOSE(CONTROL!$C$42, 0.5599, 0.5599)*CHOOSE(CONTROL!$C$42, 31, 31))/1000000</f>
        <v>12.063045499999998</v>
      </c>
      <c r="V1064" s="57">
        <f>(1000*CHOOSE(CONTROL!$C$42, 500, 500)*CHOOSE(CONTROL!$C$42, 0.275, 0.275)*CHOOSE(CONTROL!$C$42, 31, 31))/1000000</f>
        <v>4.2625000000000002</v>
      </c>
      <c r="W1064" s="57">
        <f>(1000*CHOOSE(CONTROL!$C$42, 0.1146, 0.1146)*CHOOSE(CONTROL!$C$42, 121.5, 121.5)*CHOOSE(CONTROL!$C$42, 31, 31))/1000000</f>
        <v>0.43164089999999994</v>
      </c>
      <c r="X1064" s="57">
        <f>(31*0.1790888*245000/1000000)+(31*0.2374*100000/1000000)</f>
        <v>2.0961194359999999</v>
      </c>
      <c r="Y1064" s="57"/>
      <c r="Z1064" s="14"/>
      <c r="AA1064" s="56"/>
      <c r="AB1064" s="50">
        <f>(B1064*194.205+C1064*267.466+D1064*133.845+E1064*53.484+F1064*40+G1064*185+H1064*0+I1064*100+J1064*300)/(194.205+267.466+133.845+53.484+0+40+185+100+300)</f>
        <v>122.18327240447408</v>
      </c>
      <c r="AC1064" s="45">
        <f>(M1064*'RAP TEMPLATE-GAS AVAILABILITY'!O1063+N1064*'RAP TEMPLATE-GAS AVAILABILITY'!P1063+O1064*'RAP TEMPLATE-GAS AVAILABILITY'!Q1063+P1064*'RAP TEMPLATE-GAS AVAILABILITY'!R1063)/('RAP TEMPLATE-GAS AVAILABILITY'!O1063+'RAP TEMPLATE-GAS AVAILABILITY'!P1063+'RAP TEMPLATE-GAS AVAILABILITY'!Q1063+'RAP TEMPLATE-GAS AVAILABILITY'!R1063)</f>
        <v>121.03059136690648</v>
      </c>
    </row>
    <row r="1065" spans="1:29" ht="15.75" x14ac:dyDescent="0.25">
      <c r="A1065" s="32">
        <v>73323</v>
      </c>
      <c r="B1065" s="14">
        <f>CHOOSE(CONTROL!$C$42, 114.3995, 114.3995) * CHOOSE(CONTROL!$C$21, $C$9, 100%, $E$9)</f>
        <v>114.3995</v>
      </c>
      <c r="C1065" s="14">
        <f>CHOOSE(CONTROL!$C$42, 114.4074, 114.4074) * CHOOSE(CONTROL!$C$21, $C$9, 100%, $E$9)</f>
        <v>114.4074</v>
      </c>
      <c r="D1065" s="14">
        <f>CHOOSE(CONTROL!$C$42, 114.605, 114.605) * CHOOSE(CONTROL!$C$21, $C$9, 100%, $E$9)</f>
        <v>114.605</v>
      </c>
      <c r="E1065" s="14">
        <f>CHOOSE(CONTROL!$C$42, 114.6361, 114.6361) * CHOOSE(CONTROL!$C$21, $C$9, 100%, $E$9)</f>
        <v>114.6361</v>
      </c>
      <c r="F1065" s="14">
        <f>CHOOSE(CONTROL!$C$42, 114.3839, 114.3839)*CHOOSE(CONTROL!$C$21, $C$9, 100%, $E$9)</f>
        <v>114.3839</v>
      </c>
      <c r="G1065" s="14">
        <f>CHOOSE(CONTROL!$C$42, 114.4002, 114.4002)*CHOOSE(CONTROL!$C$21, $C$9, 100%, $E$9)</f>
        <v>114.4002</v>
      </c>
      <c r="H1065" s="14">
        <f>CHOOSE(CONTROL!$C$42, 114.6247, 114.6247) * CHOOSE(CONTROL!$C$21, $C$9, 100%, $E$9)</f>
        <v>114.6247</v>
      </c>
      <c r="I1065" s="14">
        <f>CHOOSE(CONTROL!$C$42, 114.4108, 114.4108)* CHOOSE(CONTROL!$C$21, $C$9, 100%, $E$9)</f>
        <v>114.41079999999999</v>
      </c>
      <c r="J1065" s="14">
        <f>CHOOSE(CONTROL!$C$42, 114.3769, 114.3769)* CHOOSE(CONTROL!$C$21, $C$9, 100%, $E$9)</f>
        <v>114.37690000000001</v>
      </c>
      <c r="K1065" s="53">
        <f>CHOOSE(CONTROL!$C$42, 114.407, 114.407) * CHOOSE(CONTROL!$C$21, $C$9, 100%, $E$9)</f>
        <v>114.407</v>
      </c>
      <c r="L1065" s="14">
        <f>CHOOSE(CONTROL!$C$42, 115.2117, 115.2117) * CHOOSE(CONTROL!$C$21, $C$9, 100%, $E$9)</f>
        <v>115.21169999999999</v>
      </c>
      <c r="M1065" s="14">
        <f>CHOOSE(CONTROL!$C$42, 113.2364, 113.2364) * CHOOSE(CONTROL!$C$21, $C$9, 100%, $E$9)</f>
        <v>113.2364</v>
      </c>
      <c r="N1065" s="14">
        <f>CHOOSE(CONTROL!$C$42, 113.2526, 113.2526) * CHOOSE(CONTROL!$C$21, $C$9, 100%, $E$9)</f>
        <v>113.2526</v>
      </c>
      <c r="O1065" s="14">
        <f>CHOOSE(CONTROL!$C$42, 113.4818, 113.4818) * CHOOSE(CONTROL!$C$21, $C$9, 100%, $E$9)</f>
        <v>113.48180000000001</v>
      </c>
      <c r="P1065" s="14">
        <f>CHOOSE(CONTROL!$C$42, 113.2701, 113.2701) * CHOOSE(CONTROL!$C$21, $C$9, 100%, $E$9)</f>
        <v>113.2701</v>
      </c>
      <c r="Q1065" s="14">
        <f>CHOOSE(CONTROL!$C$42, 114.0771, 114.0771) * CHOOSE(CONTROL!$C$21, $C$9, 100%, $E$9)</f>
        <v>114.0771</v>
      </c>
      <c r="R1065" s="14">
        <f>CHOOSE(CONTROL!$C$42, 114.9493, 114.9493) * CHOOSE(CONTROL!$C$21, $C$9, 100%, $E$9)</f>
        <v>114.94929999999999</v>
      </c>
      <c r="S1065" s="14">
        <f>CHOOSE(CONTROL!$C$42, 111.0891, 111.0891) * CHOOSE(CONTROL!$C$21, $C$9, 100%, $E$9)</f>
        <v>111.0891</v>
      </c>
      <c r="T1065" s="57">
        <f>((((430000*CHOOSE(CONTROL!$C$42, 0.4694, 0.4694)+(874000-430000)*CHOOSE(CONTROL!$C$42, 0.7185, 0.7185)+400000*CHOOSE(CONTROL!$C$42, 1.14, 1.14))*CHOOSE(CONTROL!$C$42, 30, 30))/1000000))+CHOOSE(CONTROL!$C$42, 0.1677, 0.1677)+CHOOSE(CONTROL!$C$42, 0.1997, 0.1997)</f>
        <v>29.673079999999999</v>
      </c>
      <c r="U1065" s="57">
        <f>(1000*CHOOSE(CONTROL!$C$42, 695, 695)*CHOOSE(CONTROL!$C$42, 0.5599, 0.5599)*CHOOSE(CONTROL!$C$42, 30, 30))/1000000</f>
        <v>11.673914999999997</v>
      </c>
      <c r="V1065" s="57">
        <f>(1000*CHOOSE(CONTROL!$C$42, 500, 500)*CHOOSE(CONTROL!$C$42, 0.275, 0.275)*CHOOSE(CONTROL!$C$42, 30, 30))/1000000</f>
        <v>4.125</v>
      </c>
      <c r="W1065" s="57">
        <f>(1000*CHOOSE(CONTROL!$C$42, 0.1146, 0.1146)*CHOOSE(CONTROL!$C$42, 121.5, 121.5)*CHOOSE(CONTROL!$C$42, 30, 30))/1000000</f>
        <v>0.417717</v>
      </c>
      <c r="X1065" s="57">
        <f>(30*0.1790888*245000/1000000)+(30*0.2374*100000/1000000)</f>
        <v>2.0285026799999999</v>
      </c>
      <c r="Y1065" s="57"/>
      <c r="Z1065" s="14"/>
      <c r="AA1065" s="56"/>
      <c r="AB1065" s="50">
        <f>(B1065*194.205+C1065*267.466+D1065*133.845+E1065*53.484+F1065*40+G1065*185+H1065*0+I1065*100+J1065*300)/(194.205+267.466+133.845+53.484+0+40+185+100+300)</f>
        <v>114.42785788328099</v>
      </c>
      <c r="AC1065" s="45">
        <f>(M1065*'RAP TEMPLATE-GAS AVAILABILITY'!O1064+N1065*'RAP TEMPLATE-GAS AVAILABILITY'!P1064+O1065*'RAP TEMPLATE-GAS AVAILABILITY'!Q1064+P1065*'RAP TEMPLATE-GAS AVAILABILITY'!R1064)/('RAP TEMPLATE-GAS AVAILABILITY'!O1064+'RAP TEMPLATE-GAS AVAILABILITY'!P1064+'RAP TEMPLATE-GAS AVAILABILITY'!Q1064+'RAP TEMPLATE-GAS AVAILABILITY'!R1064)</f>
        <v>113.35340575539568</v>
      </c>
    </row>
    <row r="1066" spans="1:29" ht="15.75" x14ac:dyDescent="0.25">
      <c r="A1066" s="32">
        <v>73354</v>
      </c>
      <c r="B1066" s="14">
        <f>CHOOSE(CONTROL!$C$42, 112.0751, 112.0751) * CHOOSE(CONTROL!$C$21, $C$9, 100%, $E$9)</f>
        <v>112.07510000000001</v>
      </c>
      <c r="C1066" s="14">
        <f>CHOOSE(CONTROL!$C$42, 112.0803, 112.0803) * CHOOSE(CONTROL!$C$21, $C$9, 100%, $E$9)</f>
        <v>112.08029999999999</v>
      </c>
      <c r="D1066" s="14">
        <f>CHOOSE(CONTROL!$C$42, 112.2828, 112.2828) * CHOOSE(CONTROL!$C$21, $C$9, 100%, $E$9)</f>
        <v>112.28279999999999</v>
      </c>
      <c r="E1066" s="14">
        <f>CHOOSE(CONTROL!$C$42, 112.3116, 112.3116) * CHOOSE(CONTROL!$C$21, $C$9, 100%, $E$9)</f>
        <v>112.3116</v>
      </c>
      <c r="F1066" s="14">
        <f>CHOOSE(CONTROL!$C$42, 112.0614, 112.0614)*CHOOSE(CONTROL!$C$21, $C$9, 100%, $E$9)</f>
        <v>112.06140000000001</v>
      </c>
      <c r="G1066" s="14">
        <f>CHOOSE(CONTROL!$C$42, 112.0774, 112.0774)*CHOOSE(CONTROL!$C$21, $C$9, 100%, $E$9)</f>
        <v>112.0774</v>
      </c>
      <c r="H1066" s="14">
        <f>CHOOSE(CONTROL!$C$42, 112.3021, 112.3021) * CHOOSE(CONTROL!$C$21, $C$9, 100%, $E$9)</f>
        <v>112.3021</v>
      </c>
      <c r="I1066" s="14">
        <f>CHOOSE(CONTROL!$C$42, 112.0882, 112.0882)* CHOOSE(CONTROL!$C$21, $C$9, 100%, $E$9)</f>
        <v>112.0882</v>
      </c>
      <c r="J1066" s="14">
        <f>CHOOSE(CONTROL!$C$42, 112.0544, 112.0544)* CHOOSE(CONTROL!$C$21, $C$9, 100%, $E$9)</f>
        <v>112.0544</v>
      </c>
      <c r="K1066" s="53">
        <f>CHOOSE(CONTROL!$C$42, 112.0843, 112.0843) * CHOOSE(CONTROL!$C$21, $C$9, 100%, $E$9)</f>
        <v>112.0843</v>
      </c>
      <c r="L1066" s="14">
        <f>CHOOSE(CONTROL!$C$42, 112.8891, 112.8891) * CHOOSE(CONTROL!$C$21, $C$9, 100%, $E$9)</f>
        <v>112.8891</v>
      </c>
      <c r="M1066" s="14">
        <f>CHOOSE(CONTROL!$C$42, 110.9374, 110.9374) * CHOOSE(CONTROL!$C$21, $C$9, 100%, $E$9)</f>
        <v>110.9374</v>
      </c>
      <c r="N1066" s="14">
        <f>CHOOSE(CONTROL!$C$42, 110.9533, 110.9533) * CHOOSE(CONTROL!$C$21, $C$9, 100%, $E$9)</f>
        <v>110.9533</v>
      </c>
      <c r="O1066" s="14">
        <f>CHOOSE(CONTROL!$C$42, 111.1826, 111.1826) * CHOOSE(CONTROL!$C$21, $C$9, 100%, $E$9)</f>
        <v>111.18259999999999</v>
      </c>
      <c r="P1066" s="14">
        <f>CHOOSE(CONTROL!$C$42, 110.9709, 110.9709) * CHOOSE(CONTROL!$C$21, $C$9, 100%, $E$9)</f>
        <v>110.9709</v>
      </c>
      <c r="Q1066" s="14">
        <f>CHOOSE(CONTROL!$C$42, 111.7779, 111.7779) * CHOOSE(CONTROL!$C$21, $C$9, 100%, $E$9)</f>
        <v>111.7779</v>
      </c>
      <c r="R1066" s="14">
        <f>CHOOSE(CONTROL!$C$42, 112.6443, 112.6443) * CHOOSE(CONTROL!$C$21, $C$9, 100%, $E$9)</f>
        <v>112.6443</v>
      </c>
      <c r="S1066" s="14">
        <f>CHOOSE(CONTROL!$C$42, 108.8335, 108.8335) * CHOOSE(CONTROL!$C$21, $C$9, 100%, $E$9)</f>
        <v>108.8335</v>
      </c>
      <c r="T1066" s="57">
        <f>(((280000*CHOOSE(CONTROL!$C$42, 0.4694, 0.4694)+(839000-280000)*CHOOSE(CONTROL!$C$42, 0.7185, 0.7185)+400000*CHOOSE(CONTROL!$C$42, 1.14, 1.14))*CHOOSE(CONTROL!$C$42, 31, 31))/1000000)+CHOOSE(CONTROL!$C$42, 0.1676, 0.1676)+CHOOSE(CONTROL!$C$42, 0.42, 0.42)</f>
        <v>31.248878500000004</v>
      </c>
      <c r="U1066" s="57">
        <f>(1000*CHOOSE(CONTROL!$C$42, 695, 695)*CHOOSE(CONTROL!$C$42, 0.5599, 0.5599)*CHOOSE(CONTROL!$C$42, 31, 31))/1000000</f>
        <v>12.063045499999998</v>
      </c>
      <c r="V1066" s="57">
        <f>(1000*CHOOSE(CONTROL!$C$42, 500, 500)*CHOOSE(CONTROL!$C$42, 0.275, 0.275)*CHOOSE(CONTROL!$C$42, 31, 31))/1000000</f>
        <v>4.2625000000000002</v>
      </c>
      <c r="W1066" s="57">
        <f>(1000*CHOOSE(CONTROL!$C$42, 0.1146, 0.1146)*CHOOSE(CONTROL!$C$42, 121.5, 121.5)*CHOOSE(CONTROL!$C$42, 31, 31))/1000000</f>
        <v>0.43164089999999994</v>
      </c>
      <c r="X1066" s="57">
        <f>(31*0.1790888*245000/1000000)+(31*0.2374*100000/1000000)</f>
        <v>2.0961194359999999</v>
      </c>
      <c r="Y1066" s="57"/>
      <c r="Z1066" s="14"/>
      <c r="AA1066" s="56"/>
      <c r="AB1066" s="50">
        <f>(B1066*131.881+C1066*277.167+D1066*79.08+E1066*125.872+F1066*40+G1066*185+H1066*0+I1066*100+J1066*300)/(131.881+277.167+79.08+125.872+0+40+185+100+300)</f>
        <v>112.10949258466506</v>
      </c>
      <c r="AC1066" s="45">
        <f>(M1066*'RAP TEMPLATE-GAS AVAILABILITY'!O1065+N1066*'RAP TEMPLATE-GAS AVAILABILITY'!P1065+O1066*'RAP TEMPLATE-GAS AVAILABILITY'!Q1065+P1066*'RAP TEMPLATE-GAS AVAILABILITY'!R1065)/('RAP TEMPLATE-GAS AVAILABILITY'!O1065+'RAP TEMPLATE-GAS AVAILABILITY'!P1065+'RAP TEMPLATE-GAS AVAILABILITY'!Q1065+'RAP TEMPLATE-GAS AVAILABILITY'!R1065)</f>
        <v>111.05426906474821</v>
      </c>
    </row>
    <row r="1067" spans="1:29" ht="15.75" x14ac:dyDescent="0.25">
      <c r="A1067" s="32">
        <v>73384</v>
      </c>
      <c r="B1067" s="14">
        <f>CHOOSE(CONTROL!$C$42, 115.0271, 115.0271) * CHOOSE(CONTROL!$C$21, $C$9, 100%, $E$9)</f>
        <v>115.0271</v>
      </c>
      <c r="C1067" s="14">
        <f>CHOOSE(CONTROL!$C$42, 115.0321, 115.0321) * CHOOSE(CONTROL!$C$21, $C$9, 100%, $E$9)</f>
        <v>115.0321</v>
      </c>
      <c r="D1067" s="14">
        <f>CHOOSE(CONTROL!$C$42, 115.0952, 115.0952) * CHOOSE(CONTROL!$C$21, $C$9, 100%, $E$9)</f>
        <v>115.09520000000001</v>
      </c>
      <c r="E1067" s="14">
        <f>CHOOSE(CONTROL!$C$42, 115.1289, 115.1289) * CHOOSE(CONTROL!$C$21, $C$9, 100%, $E$9)</f>
        <v>115.1289</v>
      </c>
      <c r="F1067" s="14">
        <f>CHOOSE(CONTROL!$C$42, 115.0278, 115.0278)*CHOOSE(CONTROL!$C$21, $C$9, 100%, $E$9)</f>
        <v>115.0278</v>
      </c>
      <c r="G1067" s="14">
        <f>CHOOSE(CONTROL!$C$42, 115.0441, 115.0441)*CHOOSE(CONTROL!$C$21, $C$9, 100%, $E$9)</f>
        <v>115.0441</v>
      </c>
      <c r="H1067" s="14">
        <f>CHOOSE(CONTROL!$C$42, 115.1181, 115.1181) * CHOOSE(CONTROL!$C$21, $C$9, 100%, $E$9)</f>
        <v>115.1181</v>
      </c>
      <c r="I1067" s="14">
        <f>CHOOSE(CONTROL!$C$42, 115.0407, 115.0407)* CHOOSE(CONTROL!$C$21, $C$9, 100%, $E$9)</f>
        <v>115.0407</v>
      </c>
      <c r="J1067" s="14">
        <f>CHOOSE(CONTROL!$C$42, 115.0208, 115.0208)* CHOOSE(CONTROL!$C$21, $C$9, 100%, $E$9)</f>
        <v>115.02079999999999</v>
      </c>
      <c r="K1067" s="53">
        <f>CHOOSE(CONTROL!$C$42, 115.0368, 115.0368) * CHOOSE(CONTROL!$C$21, $C$9, 100%, $E$9)</f>
        <v>115.0368</v>
      </c>
      <c r="L1067" s="14">
        <f>CHOOSE(CONTROL!$C$42, 115.7051, 115.7051) * CHOOSE(CONTROL!$C$21, $C$9, 100%, $E$9)</f>
        <v>115.7051</v>
      </c>
      <c r="M1067" s="14">
        <f>CHOOSE(CONTROL!$C$42, 113.8739, 113.8739) * CHOOSE(CONTROL!$C$21, $C$9, 100%, $E$9)</f>
        <v>113.87390000000001</v>
      </c>
      <c r="N1067" s="14">
        <f>CHOOSE(CONTROL!$C$42, 113.89, 113.89) * CHOOSE(CONTROL!$C$21, $C$9, 100%, $E$9)</f>
        <v>113.89</v>
      </c>
      <c r="O1067" s="14">
        <f>CHOOSE(CONTROL!$C$42, 113.9702, 113.9702) * CHOOSE(CONTROL!$C$21, $C$9, 100%, $E$9)</f>
        <v>113.97020000000001</v>
      </c>
      <c r="P1067" s="14">
        <f>CHOOSE(CONTROL!$C$42, 113.8936, 113.8936) * CHOOSE(CONTROL!$C$21, $C$9, 100%, $E$9)</f>
        <v>113.89360000000001</v>
      </c>
      <c r="Q1067" s="14">
        <f>CHOOSE(CONTROL!$C$42, 114.5655, 114.5655) * CHOOSE(CONTROL!$C$21, $C$9, 100%, $E$9)</f>
        <v>114.5655</v>
      </c>
      <c r="R1067" s="14">
        <f>CHOOSE(CONTROL!$C$42, 115.4389, 115.4389) * CHOOSE(CONTROL!$C$21, $C$9, 100%, $E$9)</f>
        <v>115.4389</v>
      </c>
      <c r="S1067" s="14">
        <f>CHOOSE(CONTROL!$C$42, 111.7007, 111.7007) * CHOOSE(CONTROL!$C$21, $C$9, 100%, $E$9)</f>
        <v>111.7007</v>
      </c>
      <c r="T1067" s="57">
        <f>(((255000*CHOOSE(CONTROL!$C$42, 0.4694, 0.4694)+(750000-255000)*CHOOSE(CONTROL!$C$42, 0.7185, 0.7185)+400000*CHOOSE(CONTROL!$C$42, 1.14, 1.14))*CHOOSE(CONTROL!$C$42, 30, 30))/1000000)+CHOOSE(CONTROL!$C$42, 0.1398, 0.1398)+CHOOSE(CONTROL!$C$42, 0.2974, 0.2974)</f>
        <v>28.377835000000001</v>
      </c>
      <c r="U1067" s="57">
        <f>(1000*CHOOSE(CONTROL!$C$42, 695, 695)*CHOOSE(CONTROL!$C$42, 0.5599, 0.5599)*CHOOSE(CONTROL!$C$42, 30, 30))/1000000</f>
        <v>11.673914999999997</v>
      </c>
      <c r="V1067" s="57">
        <f>(1000*CHOOSE(CONTROL!$C$42, 500, 500)*CHOOSE(CONTROL!$C$42, 0.275, 0.275)*CHOOSE(CONTROL!$C$42, 30, 30))/1000000</f>
        <v>4.125</v>
      </c>
      <c r="W1067" s="57">
        <f>(1000*CHOOSE(CONTROL!$C$42, 0.1146, 0.1146)*CHOOSE(CONTROL!$C$42, 121.5, 121.5)*CHOOSE(CONTROL!$C$42, 30, 30))/1000000</f>
        <v>0.417717</v>
      </c>
      <c r="X1067" s="57">
        <f>(30*0.1790888*100000/1000000)+(30*0.2374*100000/1000000)</f>
        <v>1.2494664</v>
      </c>
      <c r="Y1067" s="57"/>
      <c r="Z1067" s="14"/>
      <c r="AA1067" s="56"/>
      <c r="AB1067" s="50">
        <f>(B1067*122.58+C1067*297.941+D1067*89.177+E1067*40.302+F1067*40+G1067*160+H1067*0+I1067*100+J1067*300)/(122.58+297.941+89.177+40.302+0+40+160+100+300)</f>
        <v>115.03917252373913</v>
      </c>
      <c r="AC1067" s="45">
        <f>(M1067*'RAP TEMPLATE-GAS AVAILABILITY'!O1066+N1067*'RAP TEMPLATE-GAS AVAILABILITY'!P1066+O1067*'RAP TEMPLATE-GAS AVAILABILITY'!Q1066+P1067*'RAP TEMPLATE-GAS AVAILABILITY'!R1066)/('RAP TEMPLATE-GAS AVAILABILITY'!O1066+'RAP TEMPLATE-GAS AVAILABILITY'!P1066+'RAP TEMPLATE-GAS AVAILABILITY'!Q1066+'RAP TEMPLATE-GAS AVAILABILITY'!R1066)</f>
        <v>113.92130791366908</v>
      </c>
    </row>
    <row r="1068" spans="1:29" ht="15.75" x14ac:dyDescent="0.25">
      <c r="A1068" s="32">
        <v>73415</v>
      </c>
      <c r="B1068" s="14">
        <f>CHOOSE(CONTROL!$C$42, 122.8686, 122.8686) * CHOOSE(CONTROL!$C$21, $C$9, 100%, $E$9)</f>
        <v>122.8686</v>
      </c>
      <c r="C1068" s="14">
        <f>CHOOSE(CONTROL!$C$42, 122.8736, 122.8736) * CHOOSE(CONTROL!$C$21, $C$9, 100%, $E$9)</f>
        <v>122.8736</v>
      </c>
      <c r="D1068" s="14">
        <f>CHOOSE(CONTROL!$C$42, 122.9367, 122.9367) * CHOOSE(CONTROL!$C$21, $C$9, 100%, $E$9)</f>
        <v>122.9367</v>
      </c>
      <c r="E1068" s="14">
        <f>CHOOSE(CONTROL!$C$42, 122.9704, 122.9704) * CHOOSE(CONTROL!$C$21, $C$9, 100%, $E$9)</f>
        <v>122.9704</v>
      </c>
      <c r="F1068" s="14">
        <f>CHOOSE(CONTROL!$C$42, 122.8714, 122.8714)*CHOOSE(CONTROL!$C$21, $C$9, 100%, $E$9)</f>
        <v>122.87139999999999</v>
      </c>
      <c r="G1068" s="14">
        <f>CHOOSE(CONTROL!$C$42, 122.8882, 122.8882)*CHOOSE(CONTROL!$C$21, $C$9, 100%, $E$9)</f>
        <v>122.8882</v>
      </c>
      <c r="H1068" s="14">
        <f>CHOOSE(CONTROL!$C$42, 122.9596, 122.9596) * CHOOSE(CONTROL!$C$21, $C$9, 100%, $E$9)</f>
        <v>122.95959999999999</v>
      </c>
      <c r="I1068" s="14">
        <f>CHOOSE(CONTROL!$C$42, 122.8822, 122.8822)* CHOOSE(CONTROL!$C$21, $C$9, 100%, $E$9)</f>
        <v>122.8822</v>
      </c>
      <c r="J1068" s="14">
        <f>CHOOSE(CONTROL!$C$42, 122.8644, 122.8644)* CHOOSE(CONTROL!$C$21, $C$9, 100%, $E$9)</f>
        <v>122.8644</v>
      </c>
      <c r="K1068" s="53">
        <f>CHOOSE(CONTROL!$C$42, 122.8783, 122.8783) * CHOOSE(CONTROL!$C$21, $C$9, 100%, $E$9)</f>
        <v>122.8783</v>
      </c>
      <c r="L1068" s="14">
        <f>CHOOSE(CONTROL!$C$42, 123.5466, 123.5466) * CHOOSE(CONTROL!$C$21, $C$9, 100%, $E$9)</f>
        <v>123.5466</v>
      </c>
      <c r="M1068" s="14">
        <f>CHOOSE(CONTROL!$C$42, 121.6383, 121.6383) * CHOOSE(CONTROL!$C$21, $C$9, 100%, $E$9)</f>
        <v>121.6383</v>
      </c>
      <c r="N1068" s="14">
        <f>CHOOSE(CONTROL!$C$42, 121.6549, 121.6549) * CHOOSE(CONTROL!$C$21, $C$9, 100%, $E$9)</f>
        <v>121.6549</v>
      </c>
      <c r="O1068" s="14">
        <f>CHOOSE(CONTROL!$C$42, 121.7326, 121.7326) * CHOOSE(CONTROL!$C$21, $C$9, 100%, $E$9)</f>
        <v>121.73260000000001</v>
      </c>
      <c r="P1068" s="14">
        <f>CHOOSE(CONTROL!$C$42, 121.6559, 121.6559) * CHOOSE(CONTROL!$C$21, $C$9, 100%, $E$9)</f>
        <v>121.6559</v>
      </c>
      <c r="Q1068" s="14">
        <f>CHOOSE(CONTROL!$C$42, 122.3279, 122.3279) * CHOOSE(CONTROL!$C$21, $C$9, 100%, $E$9)</f>
        <v>122.3279</v>
      </c>
      <c r="R1068" s="14">
        <f>CHOOSE(CONTROL!$C$42, 123.2207, 123.2207) * CHOOSE(CONTROL!$C$21, $C$9, 100%, $E$9)</f>
        <v>123.22069999999999</v>
      </c>
      <c r="S1068" s="14">
        <f>CHOOSE(CONTROL!$C$42, 119.3156, 119.3156) * CHOOSE(CONTROL!$C$21, $C$9, 100%, $E$9)</f>
        <v>119.3156</v>
      </c>
      <c r="T1068" s="57">
        <f>(((255000*CHOOSE(CONTROL!$C$42, 0.4694, 0.4694)+(750000-255000)*CHOOSE(CONTROL!$C$42, 0.7185, 0.7185)+400000*CHOOSE(CONTROL!$C$42, 1.14, 1.14))*CHOOSE(CONTROL!$C$42, 31, 31))/1000000)+CHOOSE(CONTROL!$C$42, 0.1298, 0.1298)+CHOOSE(CONTROL!$C$42, 0.2562, 0.2562)</f>
        <v>29.257989500000001</v>
      </c>
      <c r="U1068" s="57">
        <f>(1000*CHOOSE(CONTROL!$C$42, 695, 695)*CHOOSE(CONTROL!$C$42, 0.5599, 0.5599)*CHOOSE(CONTROL!$C$42, 31, 31))/1000000</f>
        <v>12.063045499999998</v>
      </c>
      <c r="V1068" s="57">
        <f>(1000*CHOOSE(CONTROL!$C$42, 500, 500)*CHOOSE(CONTROL!$C$42, 0.275, 0.275)*CHOOSE(CONTROL!$C$42, 31, 31))/1000000</f>
        <v>4.2625000000000002</v>
      </c>
      <c r="W1068" s="57">
        <f>(1000*CHOOSE(CONTROL!$C$42, 0.1146, 0.1146)*CHOOSE(CONTROL!$C$42, 121.5, 121.5)*CHOOSE(CONTROL!$C$42, 31, 31))/1000000</f>
        <v>0.43164089999999994</v>
      </c>
      <c r="X1068" s="57">
        <f>(31*0.1790888*100000/1000000)+(31*0.2374*100000/1000000)</f>
        <v>1.2911152800000001</v>
      </c>
      <c r="Y1068" s="57"/>
      <c r="Z1068" s="14"/>
      <c r="AA1068" s="56"/>
      <c r="AB1068" s="50">
        <f>(B1068*122.58+C1068*297.941+D1068*89.177+E1068*40.302+F1068*40+G1068*160+H1068*0+I1068*100+J1068*300)/(122.58+297.941+89.177+40.302+0+40+160+100+300)</f>
        <v>122.88165513243479</v>
      </c>
      <c r="AC1068" s="45">
        <f>(M1068*'RAP TEMPLATE-GAS AVAILABILITY'!O1067+N1068*'RAP TEMPLATE-GAS AVAILABILITY'!P1067+O1068*'RAP TEMPLATE-GAS AVAILABILITY'!Q1067+P1068*'RAP TEMPLATE-GAS AVAILABILITY'!R1067)/('RAP TEMPLATE-GAS AVAILABILITY'!O1067+'RAP TEMPLATE-GAS AVAILABILITY'!P1067+'RAP TEMPLATE-GAS AVAILABILITY'!Q1067+'RAP TEMPLATE-GAS AVAILABILITY'!R1067)</f>
        <v>121.68452805755396</v>
      </c>
    </row>
    <row r="1069" spans="1:29" ht="15" x14ac:dyDescent="0.2">
      <c r="A1069" s="12"/>
    </row>
    <row r="1070" spans="1:29" ht="15.75" x14ac:dyDescent="0.25">
      <c r="A1070" s="10">
        <v>2013</v>
      </c>
      <c r="B1070" s="14">
        <f t="shared" ref="B1070:J1070" si="2">AVERAGE(B13:B24)</f>
        <v>3.8051544559789954</v>
      </c>
      <c r="C1070" s="14">
        <f t="shared" si="2"/>
        <v>3.8114199422191475</v>
      </c>
      <c r="D1070" s="14">
        <f t="shared" si="2"/>
        <v>3.9449193340848159</v>
      </c>
      <c r="E1070" s="14">
        <f t="shared" si="2"/>
        <v>3.9772051667517503</v>
      </c>
      <c r="F1070" s="14">
        <f t="shared" si="2"/>
        <v>3.8065885031570166</v>
      </c>
      <c r="G1070" s="14">
        <f t="shared" si="2"/>
        <v>3.8218082961823541</v>
      </c>
      <c r="H1070" s="14">
        <f t="shared" si="2"/>
        <v>3.9662344676257644</v>
      </c>
      <c r="I1070" s="14">
        <f t="shared" si="2"/>
        <v>3.8241821609210525</v>
      </c>
      <c r="J1070" s="14">
        <f t="shared" si="2"/>
        <v>3.799488503157018</v>
      </c>
      <c r="K1070" s="53"/>
      <c r="L1070" s="14">
        <f t="shared" ref="L1070:S1070" si="3">AVERAGE(L13:L24)</f>
        <v>4.5532344676257628</v>
      </c>
      <c r="M1070" s="14">
        <f t="shared" si="3"/>
        <v>3.7484679389298012</v>
      </c>
      <c r="N1070" s="14">
        <f t="shared" si="3"/>
        <v>3.7634500723112985</v>
      </c>
      <c r="O1070" s="14">
        <f t="shared" si="3"/>
        <v>3.9124187103616941</v>
      </c>
      <c r="P1070" s="14">
        <f t="shared" si="3"/>
        <v>3.7726919324224468</v>
      </c>
      <c r="Q1070" s="14">
        <f t="shared" si="3"/>
        <v>4.5072187103616947</v>
      </c>
      <c r="R1070" s="14">
        <f t="shared" si="3"/>
        <v>5.1054880488042658</v>
      </c>
      <c r="S1070" s="14">
        <f t="shared" si="3"/>
        <v>3.6617827429501322</v>
      </c>
      <c r="T1070" s="49">
        <f t="shared" ref="T1070:Y1070" si="4">SUM(T13:T24)</f>
        <v>360.24599699999999</v>
      </c>
      <c r="U1070" s="49">
        <f t="shared" si="4"/>
        <v>142.03856049999999</v>
      </c>
      <c r="V1070" s="49">
        <f t="shared" si="4"/>
        <v>58.217499999999994</v>
      </c>
      <c r="W1070" s="49">
        <f t="shared" si="4"/>
        <v>8.0930480000000014</v>
      </c>
      <c r="X1070" s="49">
        <f t="shared" si="4"/>
        <v>5.5571254639999994</v>
      </c>
      <c r="Y1070" s="49">
        <f t="shared" si="4"/>
        <v>4.7699999999999996</v>
      </c>
      <c r="Z1070" s="14">
        <f>AVERAGE(Z13:Z24)</f>
        <v>3.7688439794781297</v>
      </c>
      <c r="AA1070" s="49">
        <f>SUM(AA13:AA24)</f>
        <v>10.084160000000001</v>
      </c>
      <c r="AB1070" s="50">
        <f>AVERAGE(AB13:AB24)</f>
        <v>3.8521361677291903</v>
      </c>
      <c r="AC1070" s="45">
        <f>AVERAGE(AC13:AC24)</f>
        <v>3.8169808924193291</v>
      </c>
    </row>
    <row r="1071" spans="1:29" ht="15.75" x14ac:dyDescent="0.25">
      <c r="A1071" s="10">
        <v>2014</v>
      </c>
      <c r="B1071" s="14">
        <f t="shared" ref="B1071:J1071" si="5">AVERAGE(B25:B36)</f>
        <v>4.0452249999999994</v>
      </c>
      <c r="C1071" s="14">
        <f t="shared" si="5"/>
        <v>4.0513749999999993</v>
      </c>
      <c r="D1071" s="14">
        <f t="shared" si="5"/>
        <v>4.1939166666666665</v>
      </c>
      <c r="E1071" s="14">
        <f t="shared" si="5"/>
        <v>4.2259916666666664</v>
      </c>
      <c r="F1071" s="14">
        <f t="shared" si="5"/>
        <v>4.0368000000000004</v>
      </c>
      <c r="G1071" s="14">
        <f t="shared" si="5"/>
        <v>4.0529500000000001</v>
      </c>
      <c r="H1071" s="14">
        <f t="shared" si="5"/>
        <v>4.2151083333333332</v>
      </c>
      <c r="I1071" s="14">
        <f t="shared" si="5"/>
        <v>4.0593666666666666</v>
      </c>
      <c r="J1071" s="14">
        <f t="shared" si="5"/>
        <v>4.0298000000000007</v>
      </c>
      <c r="K1071" s="53"/>
      <c r="L1071" s="14">
        <f t="shared" ref="L1071:S1071" si="6">AVERAGE(L25:L36)</f>
        <v>4.8021083333333339</v>
      </c>
      <c r="M1071" s="14">
        <f t="shared" si="6"/>
        <v>4.0029666666666666</v>
      </c>
      <c r="N1071" s="14">
        <f t="shared" si="6"/>
        <v>4.0189416666666657</v>
      </c>
      <c r="O1071" s="14">
        <f t="shared" si="6"/>
        <v>4.1863999999999999</v>
      </c>
      <c r="P1071" s="14">
        <f t="shared" si="6"/>
        <v>4.0322666666666667</v>
      </c>
      <c r="Q1071" s="14">
        <f t="shared" si="6"/>
        <v>4.7816999999999998</v>
      </c>
      <c r="R1071" s="14">
        <f t="shared" si="6"/>
        <v>5.3806749999999992</v>
      </c>
      <c r="S1071" s="14">
        <f t="shared" si="6"/>
        <v>3.925216666666667</v>
      </c>
      <c r="T1071" s="49">
        <f t="shared" ref="T1071:Y1071" si="7">SUM(T25:T36)</f>
        <v>364.742681</v>
      </c>
      <c r="U1071" s="49">
        <f t="shared" si="7"/>
        <v>142.03263249999998</v>
      </c>
      <c r="V1071" s="49">
        <f t="shared" si="7"/>
        <v>58.217499999999994</v>
      </c>
      <c r="W1071" s="49">
        <f t="shared" si="7"/>
        <v>8.3657999999999983</v>
      </c>
      <c r="X1071" s="49">
        <f t="shared" si="7"/>
        <v>5.5571254639999994</v>
      </c>
      <c r="Y1071" s="49">
        <f t="shared" si="7"/>
        <v>1.2000000000000002</v>
      </c>
      <c r="Z1071" s="14">
        <f>AVERAGE(Z25:Z36)</f>
        <v>4.0358333333333336</v>
      </c>
      <c r="AA1071" s="49">
        <f>SUM(AA25:AA36)</f>
        <v>12.630990000000001</v>
      </c>
      <c r="AB1071" s="50">
        <f>AVERAGE(AB25:AB36)</f>
        <v>4.0928631681826086</v>
      </c>
      <c r="AC1071" s="45">
        <f>AVERAGE(AC25:AC36)</f>
        <v>4.0777347721822546</v>
      </c>
    </row>
    <row r="1072" spans="1:29" ht="15.75" x14ac:dyDescent="0.25">
      <c r="A1072" s="10">
        <v>2015</v>
      </c>
      <c r="B1072" s="14">
        <f t="shared" ref="B1072:J1072" si="8">AVERAGE(B37:B48)</f>
        <v>4.2293666666666665</v>
      </c>
      <c r="C1072" s="14">
        <f t="shared" si="8"/>
        <v>4.2355333333333327</v>
      </c>
      <c r="D1072" s="14">
        <f t="shared" si="8"/>
        <v>4.3780416666666664</v>
      </c>
      <c r="E1072" s="14">
        <f t="shared" si="8"/>
        <v>4.4101499999999998</v>
      </c>
      <c r="F1072" s="14">
        <f t="shared" si="8"/>
        <v>4.2209666666666656</v>
      </c>
      <c r="G1072" s="14">
        <f t="shared" si="8"/>
        <v>4.237099999999999</v>
      </c>
      <c r="H1072" s="14">
        <f t="shared" si="8"/>
        <v>4.3992750000000003</v>
      </c>
      <c r="I1072" s="14">
        <f t="shared" si="8"/>
        <v>4.243525</v>
      </c>
      <c r="J1072" s="14">
        <f t="shared" si="8"/>
        <v>4.2139666666666669</v>
      </c>
      <c r="K1072" s="53"/>
      <c r="L1072" s="14">
        <f t="shared" ref="L1072:S1072" si="9">AVERAGE(L37:L48)</f>
        <v>4.986275</v>
      </c>
      <c r="M1072" s="14">
        <f t="shared" si="9"/>
        <v>4.1852666666666671</v>
      </c>
      <c r="N1072" s="14">
        <f t="shared" si="9"/>
        <v>4.2012416666666663</v>
      </c>
      <c r="O1072" s="14">
        <f t="shared" si="9"/>
        <v>4.3686750000000005</v>
      </c>
      <c r="P1072" s="14">
        <f t="shared" si="9"/>
        <v>4.2145583333333336</v>
      </c>
      <c r="Q1072" s="14">
        <f t="shared" si="9"/>
        <v>4.9639749999999996</v>
      </c>
      <c r="R1072" s="14">
        <f t="shared" si="9"/>
        <v>5.5634083333333324</v>
      </c>
      <c r="S1072" s="14">
        <f t="shared" si="9"/>
        <v>4.10405</v>
      </c>
      <c r="T1072" s="49">
        <f>SUM(T37:T48)</f>
        <v>364.742681</v>
      </c>
      <c r="U1072" s="49">
        <f>SUM(U37:U48)</f>
        <v>142.03263249999998</v>
      </c>
      <c r="V1072" s="49">
        <f>SUM(V37:V48)</f>
        <v>58.217499999999994</v>
      </c>
      <c r="W1072" s="49">
        <f>SUM(W37:W48)</f>
        <v>8.3657999999999983</v>
      </c>
      <c r="X1072" s="49">
        <f>SUM(X37:X48)</f>
        <v>17.010567464000001</v>
      </c>
      <c r="Y1072" s="49"/>
      <c r="Z1072" s="14">
        <f>AVERAGE(Z37:Z48)</f>
        <v>4.218866666666667</v>
      </c>
      <c r="AA1072" s="49">
        <f>SUM(AA37:AA48)</f>
        <v>12.811459999999997</v>
      </c>
      <c r="AB1072" s="50">
        <f>AVERAGE(AB37:AB48)</f>
        <v>4.2581135945663</v>
      </c>
      <c r="AC1072" s="45">
        <f>AVERAGE(AC37:AC48)</f>
        <v>4.2515512589928059</v>
      </c>
    </row>
    <row r="1073" spans="1:29" ht="15.75" x14ac:dyDescent="0.25">
      <c r="A1073" s="10">
        <v>2016</v>
      </c>
      <c r="B1073" s="14">
        <f t="shared" ref="B1073:J1073" si="10">AVERAGE(B49:B60)</f>
        <v>4.4848166666666662</v>
      </c>
      <c r="C1073" s="14">
        <f t="shared" si="10"/>
        <v>4.490966666666667</v>
      </c>
      <c r="D1073" s="14">
        <f t="shared" si="10"/>
        <v>4.6334833333333334</v>
      </c>
      <c r="E1073" s="14">
        <f t="shared" si="10"/>
        <v>4.6655833333333332</v>
      </c>
      <c r="F1073" s="14">
        <f t="shared" si="10"/>
        <v>4.4764083333333327</v>
      </c>
      <c r="G1073" s="14">
        <f t="shared" si="10"/>
        <v>4.4925583333333332</v>
      </c>
      <c r="H1073" s="14">
        <f t="shared" si="10"/>
        <v>4.6547000000000009</v>
      </c>
      <c r="I1073" s="14">
        <f t="shared" si="10"/>
        <v>4.4989499999999998</v>
      </c>
      <c r="J1073" s="14">
        <f t="shared" si="10"/>
        <v>4.4694083333333339</v>
      </c>
      <c r="K1073" s="53"/>
      <c r="L1073" s="14">
        <f t="shared" ref="L1073:S1073" si="11">AVERAGE(L49:L60)</f>
        <v>5.2416999999999989</v>
      </c>
      <c r="M1073" s="14">
        <f t="shared" si="11"/>
        <v>4.4381166666666667</v>
      </c>
      <c r="N1073" s="14">
        <f t="shared" si="11"/>
        <v>4.4540916666666668</v>
      </c>
      <c r="O1073" s="14">
        <f t="shared" si="11"/>
        <v>4.6215416666666664</v>
      </c>
      <c r="P1073" s="14">
        <f t="shared" si="11"/>
        <v>4.4674166666666677</v>
      </c>
      <c r="Q1073" s="14">
        <f t="shared" si="11"/>
        <v>5.2168416666666664</v>
      </c>
      <c r="R1073" s="14">
        <f t="shared" si="11"/>
        <v>5.8168916666666668</v>
      </c>
      <c r="S1073" s="14">
        <f t="shared" si="11"/>
        <v>4.3520833333333329</v>
      </c>
      <c r="T1073" s="49">
        <f>SUM(T49:T60)</f>
        <v>358.17703550000004</v>
      </c>
      <c r="U1073" s="49">
        <f>SUM(U49:U60)</f>
        <v>142.42176299999997</v>
      </c>
      <c r="V1073" s="49">
        <f>SUM(V49:V60)</f>
        <v>58.377000000000002</v>
      </c>
      <c r="W1073" s="49">
        <f>SUM(W49:W60)</f>
        <v>6.1846754999999982</v>
      </c>
      <c r="X1073" s="49">
        <f>SUM(X49:X60)</f>
        <v>20.800615543999996</v>
      </c>
      <c r="Y1073" s="49"/>
      <c r="Z1073" s="14"/>
      <c r="AA1073" s="49"/>
      <c r="AB1073" s="50">
        <f>AVERAGE(AB49:AB60)</f>
        <v>4.5074743276798035</v>
      </c>
      <c r="AC1073" s="45">
        <f>AVERAGE(AC49:AC60)</f>
        <v>4.5032431055155877</v>
      </c>
    </row>
    <row r="1074" spans="1:29" ht="15.75" x14ac:dyDescent="0.25">
      <c r="A1074" s="10">
        <v>2017</v>
      </c>
      <c r="B1074" s="14">
        <f t="shared" ref="B1074:S1074" si="12">AVERAGE(B61:B72)</f>
        <v>4.908266666666667</v>
      </c>
      <c r="C1074" s="14">
        <f t="shared" si="12"/>
        <v>4.9144333333333332</v>
      </c>
      <c r="D1074" s="14">
        <f t="shared" si="12"/>
        <v>5.0569583333333332</v>
      </c>
      <c r="E1074" s="14">
        <f t="shared" si="12"/>
        <v>5.0890416666666667</v>
      </c>
      <c r="F1074" s="14">
        <f t="shared" si="12"/>
        <v>4.8998499999999998</v>
      </c>
      <c r="G1074" s="14">
        <f t="shared" si="12"/>
        <v>4.9159916666666668</v>
      </c>
      <c r="H1074" s="14">
        <f t="shared" si="12"/>
        <v>5.0781499999999999</v>
      </c>
      <c r="I1074" s="14">
        <f t="shared" si="12"/>
        <v>4.9224083333333333</v>
      </c>
      <c r="J1074" s="14">
        <f t="shared" si="12"/>
        <v>4.8928500000000001</v>
      </c>
      <c r="K1074" s="53">
        <f t="shared" si="12"/>
        <v>4.9185249999999998</v>
      </c>
      <c r="L1074" s="14">
        <f t="shared" si="12"/>
        <v>5.6651499999999997</v>
      </c>
      <c r="M1074" s="14">
        <f t="shared" si="12"/>
        <v>4.8573083333333331</v>
      </c>
      <c r="N1074" s="14">
        <f t="shared" si="12"/>
        <v>4.8732833333333341</v>
      </c>
      <c r="O1074" s="14">
        <f t="shared" si="12"/>
        <v>5.0407416666666665</v>
      </c>
      <c r="P1074" s="14">
        <f t="shared" si="12"/>
        <v>4.8866000000000005</v>
      </c>
      <c r="Q1074" s="14">
        <f t="shared" si="12"/>
        <v>5.6360416666666664</v>
      </c>
      <c r="R1074" s="14">
        <f t="shared" si="12"/>
        <v>6.2371166666666662</v>
      </c>
      <c r="S1074" s="14">
        <f t="shared" si="12"/>
        <v>4.7633000000000001</v>
      </c>
      <c r="T1074" s="49">
        <f>SUM(T61:T72)</f>
        <v>357.24568100000005</v>
      </c>
      <c r="U1074" s="49">
        <f>SUM(U61:U72)</f>
        <v>142.03263249999998</v>
      </c>
      <c r="V1074" s="49">
        <f>SUM(V61:V72)</f>
        <v>58.217499999999994</v>
      </c>
      <c r="W1074" s="49">
        <f>SUM(W61:W72)</f>
        <v>5.0822234999999996</v>
      </c>
      <c r="X1074" s="49">
        <f>SUM(X61:X72)</f>
        <v>20.758966663999999</v>
      </c>
      <c r="Y1074" s="49"/>
      <c r="Z1074" s="14"/>
      <c r="AA1074" s="14"/>
      <c r="AB1074" s="50">
        <f>AVERAGE(AB61:AB72)</f>
        <v>4.9309276297163951</v>
      </c>
      <c r="AC1074" s="45">
        <f>AVERAGE(AC61:AC72)</f>
        <v>4.9224373501199041</v>
      </c>
    </row>
    <row r="1075" spans="1:29" ht="15.75" x14ac:dyDescent="0.25">
      <c r="A1075" s="10">
        <v>2018</v>
      </c>
      <c r="B1075" s="14">
        <f t="shared" ref="B1075:S1075" si="13">AVERAGE(B73:B84)</f>
        <v>5.9768250000000007</v>
      </c>
      <c r="C1075" s="14">
        <f t="shared" si="13"/>
        <v>5.9829833333333333</v>
      </c>
      <c r="D1075" s="14">
        <f t="shared" si="13"/>
        <v>6.1254999999999997</v>
      </c>
      <c r="E1075" s="14">
        <f t="shared" si="13"/>
        <v>6.1575833333333341</v>
      </c>
      <c r="F1075" s="14">
        <f t="shared" si="13"/>
        <v>5.9683999999999999</v>
      </c>
      <c r="G1075" s="14">
        <f t="shared" si="13"/>
        <v>5.9845583333333332</v>
      </c>
      <c r="H1075" s="14">
        <f t="shared" si="13"/>
        <v>6.1467000000000001</v>
      </c>
      <c r="I1075" s="14">
        <f t="shared" si="13"/>
        <v>5.9909583333333343</v>
      </c>
      <c r="J1075" s="14">
        <f t="shared" si="13"/>
        <v>5.9614000000000003</v>
      </c>
      <c r="K1075" s="53">
        <f t="shared" si="13"/>
        <v>5.9870749999999999</v>
      </c>
      <c r="L1075" s="14">
        <f t="shared" si="13"/>
        <v>6.7336999999999998</v>
      </c>
      <c r="M1075" s="14">
        <f t="shared" si="13"/>
        <v>5.9150666666666671</v>
      </c>
      <c r="N1075" s="14">
        <f t="shared" si="13"/>
        <v>5.9310499999999999</v>
      </c>
      <c r="O1075" s="14">
        <f t="shared" si="13"/>
        <v>6.0985083333333341</v>
      </c>
      <c r="P1075" s="14">
        <f t="shared" si="13"/>
        <v>5.9443583333333336</v>
      </c>
      <c r="Q1075" s="14">
        <f t="shared" si="13"/>
        <v>6.6938083333333358</v>
      </c>
      <c r="R1075" s="14">
        <f t="shared" si="13"/>
        <v>7.2975416666666666</v>
      </c>
      <c r="S1075" s="14">
        <f t="shared" si="13"/>
        <v>5.8009916666666674</v>
      </c>
      <c r="T1075" s="49">
        <f>SUM(T73:T84)</f>
        <v>357.24568100000005</v>
      </c>
      <c r="U1075" s="49">
        <f>SUM(U73:U84)</f>
        <v>142.03263249999998</v>
      </c>
      <c r="V1075" s="49">
        <f>SUM(V73:V84)</f>
        <v>50.187500000000007</v>
      </c>
      <c r="W1075" s="49">
        <f>SUM(W73:W84)</f>
        <v>5.0822234999999996</v>
      </c>
      <c r="X1075" s="49">
        <f>SUM(X73:X84)</f>
        <v>20.758966663999999</v>
      </c>
      <c r="Y1075" s="49"/>
      <c r="Z1075" s="14"/>
      <c r="AA1075" s="14"/>
      <c r="AB1075" s="50">
        <f>AVERAGE(AB73:AB84)</f>
        <v>5.9994798105616391</v>
      </c>
      <c r="AC1075" s="45">
        <f>AVERAGE(AC73:AC84)</f>
        <v>5.9802013788968829</v>
      </c>
    </row>
    <row r="1076" spans="1:29" ht="15.75" x14ac:dyDescent="0.25">
      <c r="A1076" s="10">
        <v>2019</v>
      </c>
      <c r="B1076" s="14">
        <f t="shared" ref="B1076:S1076" si="14">AVERAGE(B85:B96)</f>
        <v>6.1312999999999995</v>
      </c>
      <c r="C1076" s="14">
        <f t="shared" si="14"/>
        <v>6.1374500000000003</v>
      </c>
      <c r="D1076" s="14">
        <f t="shared" si="14"/>
        <v>6.2799583333333322</v>
      </c>
      <c r="E1076" s="14">
        <f t="shared" si="14"/>
        <v>6.3120583333333329</v>
      </c>
      <c r="F1076" s="14">
        <f t="shared" si="14"/>
        <v>6.1228750000000005</v>
      </c>
      <c r="G1076" s="14">
        <f t="shared" si="14"/>
        <v>6.1390333333333347</v>
      </c>
      <c r="H1076" s="14">
        <f t="shared" si="14"/>
        <v>6.301166666666667</v>
      </c>
      <c r="I1076" s="14">
        <f t="shared" si="14"/>
        <v>6.1454166666666667</v>
      </c>
      <c r="J1076" s="14">
        <f t="shared" si="14"/>
        <v>6.115875</v>
      </c>
      <c r="K1076" s="53">
        <f t="shared" si="14"/>
        <v>6.1415416666666678</v>
      </c>
      <c r="L1076" s="14">
        <f t="shared" si="14"/>
        <v>6.8881666666666677</v>
      </c>
      <c r="M1076" s="14">
        <f t="shared" si="14"/>
        <v>6.067966666666667</v>
      </c>
      <c r="N1076" s="14">
        <f t="shared" si="14"/>
        <v>6.0839583333333325</v>
      </c>
      <c r="O1076" s="14">
        <f t="shared" si="14"/>
        <v>6.251408333333333</v>
      </c>
      <c r="P1076" s="14">
        <f t="shared" si="14"/>
        <v>6.0972749999999998</v>
      </c>
      <c r="Q1076" s="14">
        <f t="shared" si="14"/>
        <v>6.8467083333333321</v>
      </c>
      <c r="R1076" s="14">
        <f t="shared" si="14"/>
        <v>7.4508333333333345</v>
      </c>
      <c r="S1076" s="14">
        <f t="shared" si="14"/>
        <v>5.9509749999999997</v>
      </c>
      <c r="T1076" s="49">
        <f>SUM(T85:T96)</f>
        <v>357.24568100000005</v>
      </c>
      <c r="U1076" s="49">
        <f>SUM(U85:U96)</f>
        <v>142.03263249999998</v>
      </c>
      <c r="V1076" s="49">
        <f>SUM(V85:V96)</f>
        <v>50.187500000000007</v>
      </c>
      <c r="W1076" s="49">
        <f>SUM(W85:W96)</f>
        <v>5.0822234999999996</v>
      </c>
      <c r="X1076" s="49">
        <f>SUM(X85:X96)</f>
        <v>20.758966663999999</v>
      </c>
      <c r="Y1076" s="49"/>
      <c r="Z1076" s="14"/>
      <c r="AA1076" s="14"/>
      <c r="AB1076" s="50">
        <f>AVERAGE(AB85:AB96)</f>
        <v>6.1539501081887344</v>
      </c>
      <c r="AC1076" s="45">
        <f>AVERAGE(AC85:AC96)</f>
        <v>6.1331042565947245</v>
      </c>
    </row>
    <row r="1077" spans="1:29" ht="15.75" x14ac:dyDescent="0.25">
      <c r="A1077" s="10">
        <v>2020</v>
      </c>
      <c r="B1077" s="14">
        <f t="shared" ref="B1077:S1077" si="15">AVERAGE(B97:B108)</f>
        <v>6.2857583333333329</v>
      </c>
      <c r="C1077" s="14">
        <f t="shared" si="15"/>
        <v>6.2919083333333345</v>
      </c>
      <c r="D1077" s="14">
        <f t="shared" si="15"/>
        <v>6.4344333333333337</v>
      </c>
      <c r="E1077" s="14">
        <f t="shared" si="15"/>
        <v>6.4665166666666662</v>
      </c>
      <c r="F1077" s="14">
        <f t="shared" si="15"/>
        <v>6.2773333333333339</v>
      </c>
      <c r="G1077" s="14">
        <f t="shared" si="15"/>
        <v>6.2934666666666663</v>
      </c>
      <c r="H1077" s="14">
        <f t="shared" si="15"/>
        <v>6.4556333333333322</v>
      </c>
      <c r="I1077" s="14">
        <f t="shared" si="15"/>
        <v>6.2998749999999992</v>
      </c>
      <c r="J1077" s="14">
        <f t="shared" si="15"/>
        <v>6.2703333333333333</v>
      </c>
      <c r="K1077" s="53">
        <f t="shared" si="15"/>
        <v>6.2959916666666667</v>
      </c>
      <c r="L1077" s="14">
        <f t="shared" si="15"/>
        <v>7.0426333333333337</v>
      </c>
      <c r="M1077" s="14">
        <f t="shared" si="15"/>
        <v>6.2208666666666668</v>
      </c>
      <c r="N1077" s="14">
        <f t="shared" si="15"/>
        <v>6.2368583333333341</v>
      </c>
      <c r="O1077" s="14">
        <f t="shared" si="15"/>
        <v>6.4042999999999992</v>
      </c>
      <c r="P1077" s="14">
        <f t="shared" si="15"/>
        <v>6.2501749999999996</v>
      </c>
      <c r="Q1077" s="14">
        <f t="shared" si="15"/>
        <v>6.9996000000000009</v>
      </c>
      <c r="R1077" s="14">
        <f t="shared" si="15"/>
        <v>7.6041249999999989</v>
      </c>
      <c r="S1077" s="14">
        <f t="shared" si="15"/>
        <v>6.1009666666666655</v>
      </c>
      <c r="T1077" s="49">
        <f>SUM(T97:T108)</f>
        <v>358.17703550000004</v>
      </c>
      <c r="U1077" s="49">
        <f>SUM(U97:U108)</f>
        <v>142.42176299999997</v>
      </c>
      <c r="V1077" s="49">
        <f>SUM(V97:V108)</f>
        <v>50.325000000000003</v>
      </c>
      <c r="W1077" s="49">
        <f>SUM(W97:W108)</f>
        <v>5.0961473999999995</v>
      </c>
      <c r="X1077" s="49">
        <f>SUM(X97:X108)</f>
        <v>20.800615543999996</v>
      </c>
      <c r="Y1077" s="49"/>
      <c r="Z1077" s="14"/>
      <c r="AA1077" s="14"/>
      <c r="AB1077" s="50">
        <f>AVERAGE(AB97:AB108)</f>
        <v>6.3084062797952285</v>
      </c>
      <c r="AC1077" s="45">
        <f>AVERAGE(AC97:AC108)</f>
        <v>6.286000479616308</v>
      </c>
    </row>
    <row r="1078" spans="1:29" ht="15.75" x14ac:dyDescent="0.25">
      <c r="A1078" s="10">
        <v>2021</v>
      </c>
      <c r="B1078" s="14">
        <f t="shared" ref="B1078:S1078" si="16">AVERAGE(B109:B120)</f>
        <v>6.3887166666666664</v>
      </c>
      <c r="C1078" s="14">
        <f t="shared" si="16"/>
        <v>6.3948833333333335</v>
      </c>
      <c r="D1078" s="14">
        <f t="shared" si="16"/>
        <v>6.5373916666666672</v>
      </c>
      <c r="E1078" s="14">
        <f t="shared" si="16"/>
        <v>6.5695000000000006</v>
      </c>
      <c r="F1078" s="14">
        <f t="shared" si="16"/>
        <v>6.3803166666666682</v>
      </c>
      <c r="G1078" s="14">
        <f t="shared" si="16"/>
        <v>6.396441666666667</v>
      </c>
      <c r="H1078" s="14">
        <f t="shared" si="16"/>
        <v>6.5586166666666657</v>
      </c>
      <c r="I1078" s="14">
        <f t="shared" si="16"/>
        <v>6.4028666666666672</v>
      </c>
      <c r="J1078" s="14">
        <f t="shared" si="16"/>
        <v>6.373316666666665</v>
      </c>
      <c r="K1078" s="53">
        <f t="shared" si="16"/>
        <v>6.3989666666666674</v>
      </c>
      <c r="L1078" s="14">
        <f t="shared" si="16"/>
        <v>7.1456166666666663</v>
      </c>
      <c r="M1078" s="14">
        <f t="shared" si="16"/>
        <v>6.3228166666666672</v>
      </c>
      <c r="N1078" s="14">
        <f t="shared" si="16"/>
        <v>6.3388</v>
      </c>
      <c r="O1078" s="14">
        <f t="shared" si="16"/>
        <v>6.5062583333333324</v>
      </c>
      <c r="P1078" s="14">
        <f t="shared" si="16"/>
        <v>6.352125</v>
      </c>
      <c r="Q1078" s="14">
        <f t="shared" si="16"/>
        <v>7.1015583333333332</v>
      </c>
      <c r="R1078" s="14">
        <f t="shared" si="16"/>
        <v>7.7063083333333324</v>
      </c>
      <c r="S1078" s="14">
        <f t="shared" si="16"/>
        <v>6.2009749999999997</v>
      </c>
      <c r="T1078" s="49">
        <f>SUM(T109:T120)</f>
        <v>357.24568100000005</v>
      </c>
      <c r="U1078" s="49">
        <f>SUM(U109:U120)</f>
        <v>142.03263249999998</v>
      </c>
      <c r="V1078" s="49">
        <f>SUM(V109:V120)</f>
        <v>50.187500000000007</v>
      </c>
      <c r="W1078" s="49">
        <f>SUM(W109:W120)</f>
        <v>5.0822234999999996</v>
      </c>
      <c r="X1078" s="49">
        <f>SUM(X109:X120)</f>
        <v>20.758966663999999</v>
      </c>
      <c r="Y1078" s="49"/>
      <c r="Z1078" s="14"/>
      <c r="AA1078" s="14"/>
      <c r="AB1078" s="50">
        <f>AVERAGE(AB109:AB120)</f>
        <v>6.4113814988707878</v>
      </c>
      <c r="AC1078" s="45">
        <f>AVERAGE(AC109:AC120)</f>
        <v>6.3879508992805754</v>
      </c>
    </row>
    <row r="1079" spans="1:29" ht="15.75" x14ac:dyDescent="0.25">
      <c r="A1079" s="10">
        <v>2022</v>
      </c>
      <c r="B1079" s="14">
        <f t="shared" ref="B1079:S1079" si="17">AVERAGE(B121:B132)</f>
        <v>6.5946749999999996</v>
      </c>
      <c r="C1079" s="14">
        <f t="shared" si="17"/>
        <v>6.6008250000000004</v>
      </c>
      <c r="D1079" s="14">
        <f t="shared" si="17"/>
        <v>6.7433583333333331</v>
      </c>
      <c r="E1079" s="14">
        <f t="shared" si="17"/>
        <v>6.7754583333333329</v>
      </c>
      <c r="F1079" s="14">
        <f t="shared" si="17"/>
        <v>6.5862750000000005</v>
      </c>
      <c r="G1079" s="14">
        <f t="shared" si="17"/>
        <v>6.6024083333333339</v>
      </c>
      <c r="H1079" s="14">
        <f t="shared" si="17"/>
        <v>6.7645749999999998</v>
      </c>
      <c r="I1079" s="14">
        <f t="shared" si="17"/>
        <v>6.6088166666666668</v>
      </c>
      <c r="J1079" s="14">
        <f t="shared" si="17"/>
        <v>6.579275</v>
      </c>
      <c r="K1079" s="53">
        <f t="shared" si="17"/>
        <v>6.6049333333333342</v>
      </c>
      <c r="L1079" s="14">
        <f t="shared" si="17"/>
        <v>7.3515750000000004</v>
      </c>
      <c r="M1079" s="14">
        <f t="shared" si="17"/>
        <v>6.5266916666666654</v>
      </c>
      <c r="N1079" s="14">
        <f t="shared" si="17"/>
        <v>6.5426666666666664</v>
      </c>
      <c r="O1079" s="14">
        <f t="shared" si="17"/>
        <v>6.7101250000000006</v>
      </c>
      <c r="P1079" s="14">
        <f t="shared" si="17"/>
        <v>6.556</v>
      </c>
      <c r="Q1079" s="14">
        <f t="shared" si="17"/>
        <v>7.3054249999999996</v>
      </c>
      <c r="R1079" s="14">
        <f t="shared" si="17"/>
        <v>7.9106833333333348</v>
      </c>
      <c r="S1079" s="14">
        <f t="shared" si="17"/>
        <v>6.4009833333333326</v>
      </c>
      <c r="T1079" s="49">
        <f>SUM(T121:T132)</f>
        <v>357.24568100000005</v>
      </c>
      <c r="U1079" s="49">
        <f>SUM(U121:U132)</f>
        <v>142.03263249999998</v>
      </c>
      <c r="V1079" s="49">
        <f>SUM(V121:V132)</f>
        <v>50.187500000000007</v>
      </c>
      <c r="W1079" s="49">
        <f>SUM(W121:W132)</f>
        <v>5.0822234999999996</v>
      </c>
      <c r="X1079" s="49">
        <f>SUM(X121:X132)</f>
        <v>20.758966663999999</v>
      </c>
      <c r="Y1079" s="49"/>
      <c r="Z1079" s="14"/>
      <c r="AA1079" s="14"/>
      <c r="AB1079" s="50">
        <f>AVERAGE(AB121:AB132)</f>
        <v>6.6173373077276594</v>
      </c>
      <c r="AC1079" s="45">
        <f>AVERAGE(AC121:AC132)</f>
        <v>6.5918230815347725</v>
      </c>
    </row>
    <row r="1080" spans="1:29" ht="15.75" x14ac:dyDescent="0.25">
      <c r="A1080" s="10">
        <v>2023</v>
      </c>
      <c r="B1080" s="14">
        <f t="shared" ref="B1080:S1080" si="18">AVERAGE(B133:B144)</f>
        <v>6.9036</v>
      </c>
      <c r="C1080" s="14">
        <f t="shared" si="18"/>
        <v>6.9097666666666671</v>
      </c>
      <c r="D1080" s="14">
        <f t="shared" si="18"/>
        <v>7.052291666666668</v>
      </c>
      <c r="E1080" s="14">
        <f t="shared" si="18"/>
        <v>7.0843666666666669</v>
      </c>
      <c r="F1080" s="14">
        <f t="shared" si="18"/>
        <v>6.8951833333333328</v>
      </c>
      <c r="G1080" s="14">
        <f t="shared" si="18"/>
        <v>6.9113416666666678</v>
      </c>
      <c r="H1080" s="14">
        <f t="shared" si="18"/>
        <v>7.0734833333333329</v>
      </c>
      <c r="I1080" s="14">
        <f t="shared" si="18"/>
        <v>6.9177500000000007</v>
      </c>
      <c r="J1080" s="14">
        <f t="shared" si="18"/>
        <v>6.888183333333334</v>
      </c>
      <c r="K1080" s="53">
        <f t="shared" si="18"/>
        <v>6.913875</v>
      </c>
      <c r="L1080" s="14">
        <f t="shared" si="18"/>
        <v>7.6604833333333326</v>
      </c>
      <c r="M1080" s="14">
        <f t="shared" si="18"/>
        <v>6.8325083333333341</v>
      </c>
      <c r="N1080" s="14">
        <f t="shared" si="18"/>
        <v>6.8484833333333341</v>
      </c>
      <c r="O1080" s="14">
        <f t="shared" si="18"/>
        <v>7.015933333333332</v>
      </c>
      <c r="P1080" s="14">
        <f t="shared" si="18"/>
        <v>6.8617916666666678</v>
      </c>
      <c r="Q1080" s="14">
        <f t="shared" si="18"/>
        <v>7.611233333333332</v>
      </c>
      <c r="R1080" s="14">
        <f t="shared" si="18"/>
        <v>8.2172583333333336</v>
      </c>
      <c r="S1080" s="14">
        <f t="shared" si="18"/>
        <v>6.7009833333333333</v>
      </c>
      <c r="T1080" s="49">
        <f>SUM(T133:T144)</f>
        <v>357.24568100000005</v>
      </c>
      <c r="U1080" s="49">
        <f>SUM(U133:U144)</f>
        <v>142.03263249999998</v>
      </c>
      <c r="V1080" s="49">
        <f>SUM(V133:V144)</f>
        <v>50.187500000000007</v>
      </c>
      <c r="W1080" s="49">
        <f>SUM(W133:W144)</f>
        <v>5.0822234999999996</v>
      </c>
      <c r="X1080" s="49">
        <f>SUM(X133:X144)</f>
        <v>20.758966663999999</v>
      </c>
      <c r="Y1080" s="49"/>
      <c r="Z1080" s="14"/>
      <c r="AA1080" s="14"/>
      <c r="AB1080" s="50">
        <f>AVERAGE(AB133:AB144)</f>
        <v>6.926263884159698</v>
      </c>
      <c r="AC1080" s="45">
        <f>AVERAGE(AC133:AC144)</f>
        <v>6.89763381294964</v>
      </c>
    </row>
    <row r="1081" spans="1:29" ht="15.75" x14ac:dyDescent="0.25">
      <c r="A1081" s="10">
        <v>2024</v>
      </c>
      <c r="B1081" s="14">
        <f t="shared" ref="B1081:S1081" si="19">AVERAGE(B145:B156)</f>
        <v>7.3154999999999992</v>
      </c>
      <c r="C1081" s="14">
        <f t="shared" si="19"/>
        <v>7.3216749999999999</v>
      </c>
      <c r="D1081" s="14">
        <f t="shared" si="19"/>
        <v>7.4641916666666672</v>
      </c>
      <c r="E1081" s="14">
        <f t="shared" si="19"/>
        <v>7.496291666666667</v>
      </c>
      <c r="F1081" s="14">
        <f t="shared" si="19"/>
        <v>7.3070916666666657</v>
      </c>
      <c r="G1081" s="14">
        <f t="shared" si="19"/>
        <v>7.3232333333333335</v>
      </c>
      <c r="H1081" s="14">
        <f t="shared" si="19"/>
        <v>7.4853999999999994</v>
      </c>
      <c r="I1081" s="14">
        <f t="shared" si="19"/>
        <v>7.3296583333333336</v>
      </c>
      <c r="J1081" s="14">
        <f t="shared" si="19"/>
        <v>7.3000916666666669</v>
      </c>
      <c r="K1081" s="53">
        <f t="shared" si="19"/>
        <v>7.3257583333333338</v>
      </c>
      <c r="L1081" s="14">
        <f t="shared" si="19"/>
        <v>8.0724</v>
      </c>
      <c r="M1081" s="14">
        <f t="shared" si="19"/>
        <v>7.240241666666666</v>
      </c>
      <c r="N1081" s="14">
        <f t="shared" si="19"/>
        <v>7.2562333333333333</v>
      </c>
      <c r="O1081" s="14">
        <f t="shared" si="19"/>
        <v>7.4236916666666657</v>
      </c>
      <c r="P1081" s="14">
        <f t="shared" si="19"/>
        <v>7.2695583333333333</v>
      </c>
      <c r="Q1081" s="14">
        <f t="shared" si="19"/>
        <v>8.0189916666666665</v>
      </c>
      <c r="R1081" s="14">
        <f t="shared" si="19"/>
        <v>8.6260333333333321</v>
      </c>
      <c r="S1081" s="14">
        <f t="shared" si="19"/>
        <v>7.1009750000000009</v>
      </c>
      <c r="T1081" s="49">
        <f>SUM(T145:T156)</f>
        <v>358.17703550000004</v>
      </c>
      <c r="U1081" s="49">
        <f>SUM(U145:U156)</f>
        <v>142.42176299999997</v>
      </c>
      <c r="V1081" s="49">
        <f>SUM(V145:V156)</f>
        <v>50.325000000000003</v>
      </c>
      <c r="W1081" s="49">
        <f>SUM(W145:W156)</f>
        <v>5.0961473999999995</v>
      </c>
      <c r="X1081" s="49">
        <f>SUM(X145:X156)</f>
        <v>20.800615543999996</v>
      </c>
      <c r="Y1081" s="49"/>
      <c r="Z1081" s="14"/>
      <c r="AA1081" s="14"/>
      <c r="AB1081" s="50">
        <f>AVERAGE(AB145:AB156)</f>
        <v>7.3381684682617161</v>
      </c>
      <c r="AC1081" s="45">
        <f>AVERAGE(AC145:AC156)</f>
        <v>7.3053827937649887</v>
      </c>
    </row>
    <row r="1082" spans="1:29" ht="15.75" x14ac:dyDescent="0.25">
      <c r="A1082" s="10">
        <v>2025</v>
      </c>
      <c r="B1082" s="14">
        <f t="shared" ref="B1082:S1082" si="20">AVERAGE(B157:B168)</f>
        <v>7.6244250000000013</v>
      </c>
      <c r="C1082" s="14">
        <f t="shared" si="20"/>
        <v>7.6306000000000012</v>
      </c>
      <c r="D1082" s="14">
        <f t="shared" si="20"/>
        <v>7.7731083333333331</v>
      </c>
      <c r="E1082" s="14">
        <f t="shared" si="20"/>
        <v>7.8052083333333329</v>
      </c>
      <c r="F1082" s="14">
        <f t="shared" si="20"/>
        <v>7.6160333333333332</v>
      </c>
      <c r="G1082" s="14">
        <f t="shared" si="20"/>
        <v>7.6321666666666665</v>
      </c>
      <c r="H1082" s="14">
        <f t="shared" si="20"/>
        <v>7.7943250000000006</v>
      </c>
      <c r="I1082" s="14">
        <f t="shared" si="20"/>
        <v>7.6386000000000003</v>
      </c>
      <c r="J1082" s="14">
        <f t="shared" si="20"/>
        <v>7.6090333333333335</v>
      </c>
      <c r="K1082" s="53">
        <f t="shared" si="20"/>
        <v>7.6347083333333323</v>
      </c>
      <c r="L1082" s="14">
        <f t="shared" si="20"/>
        <v>8.3813249999999986</v>
      </c>
      <c r="M1082" s="14">
        <f t="shared" si="20"/>
        <v>7.5460583333333338</v>
      </c>
      <c r="N1082" s="14">
        <f t="shared" si="20"/>
        <v>7.5620416666666683</v>
      </c>
      <c r="O1082" s="14">
        <f t="shared" si="20"/>
        <v>7.7294916666666653</v>
      </c>
      <c r="P1082" s="14">
        <f t="shared" si="20"/>
        <v>7.5753666666666648</v>
      </c>
      <c r="Q1082" s="14">
        <f t="shared" si="20"/>
        <v>8.3247916666666679</v>
      </c>
      <c r="R1082" s="14">
        <f t="shared" si="20"/>
        <v>8.9326083333333326</v>
      </c>
      <c r="S1082" s="14">
        <f t="shared" si="20"/>
        <v>7.400974999999999</v>
      </c>
      <c r="T1082" s="49">
        <f>SUM(T157:T168)</f>
        <v>357.24568100000005</v>
      </c>
      <c r="U1082" s="49">
        <f>SUM(U157:U168)</f>
        <v>142.03263249999998</v>
      </c>
      <c r="V1082" s="49">
        <f>SUM(V157:V168)</f>
        <v>50.187500000000007</v>
      </c>
      <c r="W1082" s="49">
        <f>SUM(W157:W168)</f>
        <v>5.0822234999999996</v>
      </c>
      <c r="X1082" s="49">
        <f>SUM(X157:X168)</f>
        <v>20.758966663999999</v>
      </c>
      <c r="Y1082" s="49"/>
      <c r="Z1082" s="14"/>
      <c r="AA1082" s="14"/>
      <c r="AB1082" s="50">
        <f>AVERAGE(AB157:AB168)</f>
        <v>7.647099682385087</v>
      </c>
      <c r="AC1082" s="45">
        <f>AVERAGE(AC157:AC168)</f>
        <v>7.6111902278177448</v>
      </c>
    </row>
    <row r="1083" spans="1:29" ht="15.75" x14ac:dyDescent="0.25">
      <c r="A1083" s="10">
        <v>2026</v>
      </c>
      <c r="B1083" s="14">
        <f t="shared" ref="B1083:S1083" si="21">AVERAGE(B169:B180)</f>
        <v>7.9333583333333317</v>
      </c>
      <c r="C1083" s="14">
        <f t="shared" si="21"/>
        <v>7.9395333333333333</v>
      </c>
      <c r="D1083" s="14">
        <f t="shared" si="21"/>
        <v>8.0820333333333316</v>
      </c>
      <c r="E1083" s="14">
        <f t="shared" si="21"/>
        <v>8.114141666666665</v>
      </c>
      <c r="F1083" s="14">
        <f t="shared" si="21"/>
        <v>7.9249499999999999</v>
      </c>
      <c r="G1083" s="14">
        <f t="shared" si="21"/>
        <v>7.9410833333333342</v>
      </c>
      <c r="H1083" s="14">
        <f t="shared" si="21"/>
        <v>8.1032666666666664</v>
      </c>
      <c r="I1083" s="14">
        <f t="shared" si="21"/>
        <v>7.9475333333333351</v>
      </c>
      <c r="J1083" s="14">
        <f t="shared" si="21"/>
        <v>7.9179500000000003</v>
      </c>
      <c r="K1083" s="53">
        <f t="shared" si="21"/>
        <v>7.9436333333333335</v>
      </c>
      <c r="L1083" s="14">
        <f t="shared" si="21"/>
        <v>8.6902666666666661</v>
      </c>
      <c r="M1083" s="14">
        <f t="shared" si="21"/>
        <v>7.8518666666666661</v>
      </c>
      <c r="N1083" s="14">
        <f t="shared" si="21"/>
        <v>7.8678583333333334</v>
      </c>
      <c r="O1083" s="14">
        <f t="shared" si="21"/>
        <v>8.0353083333333331</v>
      </c>
      <c r="P1083" s="14">
        <f t="shared" si="21"/>
        <v>7.8811833333333352</v>
      </c>
      <c r="Q1083" s="14">
        <f t="shared" si="21"/>
        <v>8.630608333333333</v>
      </c>
      <c r="R1083" s="14">
        <f t="shared" si="21"/>
        <v>9.2391833333333349</v>
      </c>
      <c r="S1083" s="14">
        <f t="shared" si="21"/>
        <v>7.7009916666666669</v>
      </c>
      <c r="T1083" s="49">
        <f>SUM(T169:T180)</f>
        <v>357.24568100000005</v>
      </c>
      <c r="U1083" s="49">
        <f>SUM(U169:U180)</f>
        <v>142.03263249999998</v>
      </c>
      <c r="V1083" s="49">
        <f>SUM(V169:V180)</f>
        <v>50.187500000000007</v>
      </c>
      <c r="W1083" s="49">
        <f>SUM(W169:W180)</f>
        <v>5.0822234999999996</v>
      </c>
      <c r="X1083" s="49">
        <f>SUM(X169:X180)</f>
        <v>20.758966663999999</v>
      </c>
      <c r="Y1083" s="49"/>
      <c r="Z1083" s="14"/>
      <c r="AA1083" s="14"/>
      <c r="AB1083" s="50">
        <f>AVERAGE(AB169:AB180)</f>
        <v>7.9560250905264835</v>
      </c>
      <c r="AC1083" s="45">
        <f>AVERAGE(AC169:AC180)</f>
        <v>7.9170040167865698</v>
      </c>
    </row>
    <row r="1084" spans="1:29" ht="15.75" x14ac:dyDescent="0.25">
      <c r="A1084" s="10">
        <v>2027</v>
      </c>
      <c r="B1084" s="14">
        <f t="shared" ref="B1084:S1084" si="22">AVERAGE(B181:B192)</f>
        <v>8.242300000000002</v>
      </c>
      <c r="C1084" s="14">
        <f t="shared" si="22"/>
        <v>8.2484666666666655</v>
      </c>
      <c r="D1084" s="14">
        <f t="shared" si="22"/>
        <v>8.3909749999999992</v>
      </c>
      <c r="E1084" s="14">
        <f t="shared" si="22"/>
        <v>8.423074999999999</v>
      </c>
      <c r="F1084" s="14">
        <f t="shared" si="22"/>
        <v>8.2338833333333348</v>
      </c>
      <c r="G1084" s="14">
        <f t="shared" si="22"/>
        <v>8.2500333333333344</v>
      </c>
      <c r="H1084" s="14">
        <f t="shared" si="22"/>
        <v>8.4121916666666667</v>
      </c>
      <c r="I1084" s="14">
        <f t="shared" si="22"/>
        <v>8.2564500000000027</v>
      </c>
      <c r="J1084" s="14">
        <f t="shared" si="22"/>
        <v>8.2268833333333333</v>
      </c>
      <c r="K1084" s="53">
        <f t="shared" si="22"/>
        <v>8.2525666666666684</v>
      </c>
      <c r="L1084" s="14">
        <f t="shared" si="22"/>
        <v>8.9991916666666683</v>
      </c>
      <c r="M1084" s="14">
        <f t="shared" si="22"/>
        <v>8.1576916666666666</v>
      </c>
      <c r="N1084" s="14">
        <f t="shared" si="22"/>
        <v>8.1736583333333339</v>
      </c>
      <c r="O1084" s="14">
        <f t="shared" si="22"/>
        <v>8.3411333333333335</v>
      </c>
      <c r="P1084" s="14">
        <f t="shared" si="22"/>
        <v>8.1870000000000012</v>
      </c>
      <c r="Q1084" s="14">
        <f t="shared" si="22"/>
        <v>8.9364333333333317</v>
      </c>
      <c r="R1084" s="14">
        <f t="shared" si="22"/>
        <v>9.5457666666666672</v>
      </c>
      <c r="S1084" s="14">
        <f t="shared" si="22"/>
        <v>8.0009833333333322</v>
      </c>
      <c r="T1084" s="49">
        <f>SUM(T181:T192)</f>
        <v>357.24568100000005</v>
      </c>
      <c r="U1084" s="49">
        <f>SUM(U181:U192)</f>
        <v>142.03263249999998</v>
      </c>
      <c r="V1084" s="49">
        <f>SUM(V181:V192)</f>
        <v>50.187500000000007</v>
      </c>
      <c r="W1084" s="49">
        <f>SUM(W181:W192)</f>
        <v>5.0822234999999996</v>
      </c>
      <c r="X1084" s="49">
        <f>SUM(X181:X192)</f>
        <v>20.758966663999999</v>
      </c>
      <c r="Y1084" s="49"/>
      <c r="Z1084" s="14"/>
      <c r="AA1084" s="14"/>
      <c r="AB1084" s="50">
        <f>AVERAGE(AB181:AB192)</f>
        <v>8.2649612078272199</v>
      </c>
      <c r="AC1084" s="45">
        <f>AVERAGE(AC181:AC192)</f>
        <v>8.2228235011990396</v>
      </c>
    </row>
    <row r="1085" spans="1:29" ht="15.75" x14ac:dyDescent="0.25">
      <c r="A1085" s="10">
        <v>2028</v>
      </c>
      <c r="B1085" s="14">
        <f t="shared" ref="B1085:S1085" si="23">AVERAGE(B193:B204)</f>
        <v>8.6542083333333331</v>
      </c>
      <c r="C1085" s="14">
        <f t="shared" si="23"/>
        <v>8.6603583333333347</v>
      </c>
      <c r="D1085" s="14">
        <f t="shared" si="23"/>
        <v>8.8028833333333321</v>
      </c>
      <c r="E1085" s="14">
        <f t="shared" si="23"/>
        <v>8.8349833333333336</v>
      </c>
      <c r="F1085" s="14">
        <f t="shared" si="23"/>
        <v>8.6457916666666677</v>
      </c>
      <c r="G1085" s="14">
        <f t="shared" si="23"/>
        <v>8.6619416666666655</v>
      </c>
      <c r="H1085" s="14">
        <f t="shared" si="23"/>
        <v>8.8240999999999996</v>
      </c>
      <c r="I1085" s="14">
        <f t="shared" si="23"/>
        <v>8.6683499999999984</v>
      </c>
      <c r="J1085" s="14">
        <f t="shared" si="23"/>
        <v>8.6387916666666644</v>
      </c>
      <c r="K1085" s="53">
        <f t="shared" si="23"/>
        <v>8.6644666666666641</v>
      </c>
      <c r="L1085" s="14">
        <f t="shared" si="23"/>
        <v>9.4111000000000011</v>
      </c>
      <c r="M1085" s="14">
        <f t="shared" si="23"/>
        <v>8.565433333333333</v>
      </c>
      <c r="N1085" s="14">
        <f t="shared" si="23"/>
        <v>8.5814416666666666</v>
      </c>
      <c r="O1085" s="14">
        <f t="shared" si="23"/>
        <v>8.7488833333333336</v>
      </c>
      <c r="P1085" s="14">
        <f t="shared" si="23"/>
        <v>8.5947333333333322</v>
      </c>
      <c r="Q1085" s="14">
        <f t="shared" si="23"/>
        <v>9.3441833333333335</v>
      </c>
      <c r="R1085" s="14">
        <f t="shared" si="23"/>
        <v>9.9545333333333321</v>
      </c>
      <c r="S1085" s="14">
        <f t="shared" si="23"/>
        <v>8.4009833333333344</v>
      </c>
      <c r="T1085" s="49">
        <f>SUM(T193:T204)</f>
        <v>358.17703550000004</v>
      </c>
      <c r="U1085" s="49">
        <f>SUM(U193:U204)</f>
        <v>142.42176299999997</v>
      </c>
      <c r="V1085" s="49">
        <f>SUM(V193:V204)</f>
        <v>50.325000000000003</v>
      </c>
      <c r="W1085" s="49">
        <f>SUM(W193:W204)</f>
        <v>5.0961473999999995</v>
      </c>
      <c r="X1085" s="49">
        <f>SUM(X193:X204)</f>
        <v>20.800615543999996</v>
      </c>
      <c r="Y1085" s="49"/>
      <c r="Z1085" s="14"/>
      <c r="AA1085" s="14"/>
      <c r="AB1085" s="50">
        <f>AVERAGE(AB193:AB204)</f>
        <v>8.6768650530215297</v>
      </c>
      <c r="AC1085" s="45">
        <f>AVERAGE(AC193:AC204)</f>
        <v>8.6305758992805739</v>
      </c>
    </row>
    <row r="1086" spans="1:29" ht="15.75" x14ac:dyDescent="0.25">
      <c r="A1086" s="10">
        <v>2029</v>
      </c>
      <c r="B1086" s="14">
        <f t="shared" ref="B1086:S1086" si="24">AVERAGE(B205:B216)</f>
        <v>8.9631333333333334</v>
      </c>
      <c r="C1086" s="14">
        <f t="shared" si="24"/>
        <v>8.9693000000000005</v>
      </c>
      <c r="D1086" s="14">
        <f t="shared" si="24"/>
        <v>9.1118166666666678</v>
      </c>
      <c r="E1086" s="14">
        <f t="shared" si="24"/>
        <v>9.143908333333334</v>
      </c>
      <c r="F1086" s="14">
        <f t="shared" si="24"/>
        <v>8.9547333333333334</v>
      </c>
      <c r="G1086" s="14">
        <f t="shared" si="24"/>
        <v>8.9708750000000013</v>
      </c>
      <c r="H1086" s="14">
        <f t="shared" si="24"/>
        <v>9.1330083333333327</v>
      </c>
      <c r="I1086" s="14">
        <f t="shared" si="24"/>
        <v>8.9772583333333333</v>
      </c>
      <c r="J1086" s="14">
        <f t="shared" si="24"/>
        <v>8.9477333333333338</v>
      </c>
      <c r="K1086" s="53">
        <f t="shared" si="24"/>
        <v>8.9733833333333344</v>
      </c>
      <c r="L1086" s="14">
        <f t="shared" si="24"/>
        <v>9.7200083333333342</v>
      </c>
      <c r="M1086" s="14">
        <f t="shared" si="24"/>
        <v>8.8712416666666662</v>
      </c>
      <c r="N1086" s="14">
        <f t="shared" si="24"/>
        <v>8.8872333333333327</v>
      </c>
      <c r="O1086" s="14">
        <f t="shared" si="24"/>
        <v>9.0546833333333314</v>
      </c>
      <c r="P1086" s="14">
        <f t="shared" si="24"/>
        <v>8.9005583333333345</v>
      </c>
      <c r="Q1086" s="14">
        <f t="shared" si="24"/>
        <v>9.6499833333333331</v>
      </c>
      <c r="R1086" s="14">
        <f t="shared" si="24"/>
        <v>10.261108333333333</v>
      </c>
      <c r="S1086" s="14">
        <f t="shared" si="24"/>
        <v>8.7009916666666651</v>
      </c>
      <c r="T1086" s="49">
        <f>SUM(T205:T216)</f>
        <v>357.24568100000005</v>
      </c>
      <c r="U1086" s="49">
        <f>SUM(U205:U216)</f>
        <v>142.03263249999998</v>
      </c>
      <c r="V1086" s="49">
        <f>SUM(V205:V216)</f>
        <v>50.187500000000007</v>
      </c>
      <c r="W1086" s="49">
        <f>SUM(W205:W216)</f>
        <v>5.0822234999999996</v>
      </c>
      <c r="X1086" s="49">
        <f>SUM(X205:X216)</f>
        <v>20.758966663999999</v>
      </c>
      <c r="Y1086" s="49"/>
      <c r="Z1086" s="14"/>
      <c r="AA1086" s="14"/>
      <c r="AB1086" s="50">
        <f>AVERAGE(AB205:AB216)</f>
        <v>8.9857992083826961</v>
      </c>
      <c r="AC1086" s="45">
        <f>AVERAGE(AC205:AC216)</f>
        <v>8.9363790167865691</v>
      </c>
    </row>
    <row r="1087" spans="1:29" ht="15.75" x14ac:dyDescent="0.25">
      <c r="A1087" s="10">
        <v>2030</v>
      </c>
      <c r="B1087" s="14">
        <f t="shared" ref="B1087:S1087" si="25">AVERAGE(B217:B228)</f>
        <v>9.169083333333333</v>
      </c>
      <c r="C1087" s="14">
        <f t="shared" si="25"/>
        <v>9.1752333333333329</v>
      </c>
      <c r="D1087" s="14">
        <f t="shared" si="25"/>
        <v>9.317775000000001</v>
      </c>
      <c r="E1087" s="14">
        <f t="shared" si="25"/>
        <v>9.3498500000000018</v>
      </c>
      <c r="F1087" s="14">
        <f t="shared" si="25"/>
        <v>9.1606749999999995</v>
      </c>
      <c r="G1087" s="14">
        <f t="shared" si="25"/>
        <v>9.1768166666666673</v>
      </c>
      <c r="H1087" s="14">
        <f t="shared" si="25"/>
        <v>9.3389749999999996</v>
      </c>
      <c r="I1087" s="14">
        <f t="shared" si="25"/>
        <v>9.1832416666666674</v>
      </c>
      <c r="J1087" s="14">
        <f t="shared" si="25"/>
        <v>9.1536750000000016</v>
      </c>
      <c r="K1087" s="53">
        <f t="shared" si="25"/>
        <v>9.1793416666666676</v>
      </c>
      <c r="L1087" s="14">
        <f t="shared" si="25"/>
        <v>9.9259749999999993</v>
      </c>
      <c r="M1087" s="14">
        <f t="shared" si="25"/>
        <v>9.0751249999999999</v>
      </c>
      <c r="N1087" s="14">
        <f t="shared" si="25"/>
        <v>9.0910916666666672</v>
      </c>
      <c r="O1087" s="14">
        <f t="shared" si="25"/>
        <v>9.2585583333333332</v>
      </c>
      <c r="P1087" s="14">
        <f t="shared" si="25"/>
        <v>9.1044000000000018</v>
      </c>
      <c r="Q1087" s="14">
        <f t="shared" si="25"/>
        <v>9.8538583333333332</v>
      </c>
      <c r="R1087" s="14">
        <f t="shared" si="25"/>
        <v>10.465491666666667</v>
      </c>
      <c r="S1087" s="14">
        <f t="shared" si="25"/>
        <v>8.9009666666666671</v>
      </c>
      <c r="T1087" s="49">
        <f>SUM(T217:T228)</f>
        <v>357.24568100000005</v>
      </c>
      <c r="U1087" s="49">
        <f>SUM(U217:U228)</f>
        <v>142.03263249999998</v>
      </c>
      <c r="V1087" s="49">
        <f>SUM(V217:V228)</f>
        <v>50.187500000000007</v>
      </c>
      <c r="W1087" s="49">
        <f>SUM(W217:W228)</f>
        <v>5.0822234999999996</v>
      </c>
      <c r="X1087" s="49">
        <f>SUM(X217:X228)</f>
        <v>20.758966663999999</v>
      </c>
      <c r="Y1087" s="49"/>
      <c r="Z1087" s="14"/>
      <c r="AA1087" s="14"/>
      <c r="AB1087" s="50">
        <f>AVERAGE(AB217:AB228)</f>
        <v>9.1917445649682392</v>
      </c>
      <c r="AC1087" s="45">
        <f>AVERAGE(AC217:AC228)</f>
        <v>9.1402511390887309</v>
      </c>
    </row>
    <row r="1088" spans="1:29" ht="15.75" x14ac:dyDescent="0.25">
      <c r="A1088" s="10">
        <v>2031</v>
      </c>
      <c r="B1088" s="14">
        <f t="shared" ref="B1088:S1088" si="26">AVERAGE(B229:B240)</f>
        <v>9.5162750000000003</v>
      </c>
      <c r="C1088" s="14">
        <f t="shared" si="26"/>
        <v>9.5224416666666674</v>
      </c>
      <c r="D1088" s="14">
        <f t="shared" si="26"/>
        <v>9.6649416666666657</v>
      </c>
      <c r="E1088" s="14">
        <f t="shared" si="26"/>
        <v>9.6970333333333318</v>
      </c>
      <c r="F1088" s="14">
        <f t="shared" si="26"/>
        <v>9.5078416666666659</v>
      </c>
      <c r="G1088" s="14">
        <f t="shared" si="26"/>
        <v>9.5239999999999991</v>
      </c>
      <c r="H1088" s="14">
        <f t="shared" si="26"/>
        <v>9.6861583333333332</v>
      </c>
      <c r="I1088" s="14">
        <f t="shared" si="26"/>
        <v>9.5304166666666656</v>
      </c>
      <c r="J1088" s="14">
        <f t="shared" si="26"/>
        <v>9.5008416666666662</v>
      </c>
      <c r="K1088" s="53">
        <f t="shared" si="26"/>
        <v>9.5265333333333349</v>
      </c>
      <c r="L1088" s="14">
        <f t="shared" si="26"/>
        <v>10.273158333333333</v>
      </c>
      <c r="M1088" s="14">
        <f t="shared" si="26"/>
        <v>9.4187999999999992</v>
      </c>
      <c r="N1088" s="14">
        <f t="shared" si="26"/>
        <v>9.4347916666666674</v>
      </c>
      <c r="O1088" s="14">
        <f t="shared" si="26"/>
        <v>9.6022333333333325</v>
      </c>
      <c r="P1088" s="14">
        <f t="shared" si="26"/>
        <v>9.4480916666666666</v>
      </c>
      <c r="Q1088" s="14">
        <f t="shared" si="26"/>
        <v>10.197533333333334</v>
      </c>
      <c r="R1088" s="14">
        <f t="shared" si="26"/>
        <v>10.810024999999998</v>
      </c>
      <c r="S1088" s="14">
        <f t="shared" si="26"/>
        <v>9.2381250000000001</v>
      </c>
      <c r="T1088" s="49">
        <f>SUM(T229:T240)</f>
        <v>357.24568100000005</v>
      </c>
      <c r="U1088" s="49">
        <f>SUM(U229:U240)</f>
        <v>142.03263249999998</v>
      </c>
      <c r="V1088" s="49">
        <f>SUM(V229:V240)</f>
        <v>50.187500000000007</v>
      </c>
      <c r="W1088" s="49">
        <f>SUM(W229:W240)</f>
        <v>5.0822234999999996</v>
      </c>
      <c r="X1088" s="49">
        <f>SUM(X229:X240)</f>
        <v>20.758966663999999</v>
      </c>
      <c r="Y1088" s="49"/>
      <c r="Z1088" s="14"/>
      <c r="AA1088" s="14"/>
      <c r="AB1088" s="50">
        <f>AVERAGE(AB229:AB240)</f>
        <v>9.5389281845381717</v>
      </c>
      <c r="AC1088" s="45">
        <f>AVERAGE(AC229:AC240)</f>
        <v>9.4839314148681044</v>
      </c>
    </row>
    <row r="1089" spans="1:29" ht="15.75" x14ac:dyDescent="0.25">
      <c r="A1089" s="10">
        <v>2032</v>
      </c>
      <c r="B1089" s="14">
        <f t="shared" ref="B1089:S1089" si="27">AVERAGE(B241:B252)</f>
        <v>9.8766083333333317</v>
      </c>
      <c r="C1089" s="14">
        <f t="shared" si="27"/>
        <v>9.8827583333333333</v>
      </c>
      <c r="D1089" s="14">
        <f t="shared" si="27"/>
        <v>10.025291666666666</v>
      </c>
      <c r="E1089" s="14">
        <f t="shared" si="27"/>
        <v>10.057374999999999</v>
      </c>
      <c r="F1089" s="14">
        <f t="shared" si="27"/>
        <v>9.8681916666666663</v>
      </c>
      <c r="G1089" s="14">
        <f t="shared" si="27"/>
        <v>9.8843416666666659</v>
      </c>
      <c r="H1089" s="14">
        <f t="shared" si="27"/>
        <v>10.046508333333334</v>
      </c>
      <c r="I1089" s="14">
        <f t="shared" si="27"/>
        <v>9.8907583333333342</v>
      </c>
      <c r="J1089" s="14">
        <f t="shared" si="27"/>
        <v>9.8611916666666666</v>
      </c>
      <c r="K1089" s="53">
        <f t="shared" si="27"/>
        <v>9.8868583333333344</v>
      </c>
      <c r="L1089" s="14">
        <f t="shared" si="27"/>
        <v>10.633508333333333</v>
      </c>
      <c r="M1089" s="14">
        <f t="shared" si="27"/>
        <v>9.7755166666666682</v>
      </c>
      <c r="N1089" s="14">
        <f t="shared" si="27"/>
        <v>9.7914750000000002</v>
      </c>
      <c r="O1089" s="14">
        <f t="shared" si="27"/>
        <v>9.9589416666666679</v>
      </c>
      <c r="P1089" s="14">
        <f t="shared" si="27"/>
        <v>9.8048083333333338</v>
      </c>
      <c r="Q1089" s="14">
        <f t="shared" si="27"/>
        <v>10.554241666666666</v>
      </c>
      <c r="R1089" s="14">
        <f t="shared" si="27"/>
        <v>11.167633333333335</v>
      </c>
      <c r="S1089" s="14">
        <f t="shared" si="27"/>
        <v>9.5880666666666645</v>
      </c>
      <c r="T1089" s="49">
        <f>SUM(T241:T252)</f>
        <v>358.17703550000004</v>
      </c>
      <c r="U1089" s="49">
        <f>SUM(U241:U252)</f>
        <v>142.42176299999997</v>
      </c>
      <c r="V1089" s="49">
        <f>SUM(V241:V252)</f>
        <v>50.325000000000003</v>
      </c>
      <c r="W1089" s="49">
        <f>SUM(W241:W252)</f>
        <v>5.0961473999999995</v>
      </c>
      <c r="X1089" s="49">
        <f>SUM(X241:X252)</f>
        <v>20.800615543999996</v>
      </c>
      <c r="Y1089" s="49"/>
      <c r="Z1089" s="14"/>
      <c r="AA1089" s="14"/>
      <c r="AB1089" s="50">
        <f>AVERAGE(AB241:AB252)</f>
        <v>9.899266194904488</v>
      </c>
      <c r="AC1089" s="45">
        <f>AVERAGE(AC241:AC252)</f>
        <v>9.8406395083932861</v>
      </c>
    </row>
    <row r="1090" spans="1:29" ht="15.75" x14ac:dyDescent="0.25">
      <c r="A1090" s="10">
        <v>2033</v>
      </c>
      <c r="B1090" s="14">
        <f t="shared" ref="B1090:S1090" si="28">AVERAGE(B253:B264)</f>
        <v>10.250608333333334</v>
      </c>
      <c r="C1090" s="14">
        <f t="shared" si="28"/>
        <v>10.256749999999998</v>
      </c>
      <c r="D1090" s="14">
        <f t="shared" si="28"/>
        <v>10.399275000000001</v>
      </c>
      <c r="E1090" s="14">
        <f t="shared" si="28"/>
        <v>10.431366666666667</v>
      </c>
      <c r="F1090" s="14">
        <f t="shared" si="28"/>
        <v>10.242166666666666</v>
      </c>
      <c r="G1090" s="14">
        <f t="shared" si="28"/>
        <v>10.258324999999999</v>
      </c>
      <c r="H1090" s="14">
        <f t="shared" si="28"/>
        <v>10.420483333333332</v>
      </c>
      <c r="I1090" s="14">
        <f t="shared" si="28"/>
        <v>10.26473333333333</v>
      </c>
      <c r="J1090" s="14">
        <f t="shared" si="28"/>
        <v>10.235166666666666</v>
      </c>
      <c r="K1090" s="53">
        <f t="shared" si="28"/>
        <v>10.260833333333332</v>
      </c>
      <c r="L1090" s="14">
        <f t="shared" si="28"/>
        <v>11.007483333333333</v>
      </c>
      <c r="M1090" s="14">
        <f t="shared" si="28"/>
        <v>10.145708333333333</v>
      </c>
      <c r="N1090" s="14">
        <f t="shared" si="28"/>
        <v>10.161683333333334</v>
      </c>
      <c r="O1090" s="14">
        <f t="shared" si="28"/>
        <v>10.329141666666667</v>
      </c>
      <c r="P1090" s="14">
        <f t="shared" si="28"/>
        <v>10.174991666666667</v>
      </c>
      <c r="Q1090" s="14">
        <f t="shared" si="28"/>
        <v>10.924441666666667</v>
      </c>
      <c r="R1090" s="14">
        <f t="shared" si="28"/>
        <v>11.538766666666666</v>
      </c>
      <c r="S1090" s="14">
        <f t="shared" si="28"/>
        <v>9.9512250000000009</v>
      </c>
      <c r="T1090" s="49">
        <f>SUM(T253:T264)</f>
        <v>357.24568100000005</v>
      </c>
      <c r="U1090" s="49">
        <f>SUM(U253:U264)</f>
        <v>142.03263249999998</v>
      </c>
      <c r="V1090" s="49">
        <f>SUM(V253:V264)</f>
        <v>50.187500000000007</v>
      </c>
      <c r="W1090" s="49">
        <f>SUM(W253:W264)</f>
        <v>5.0822234999999996</v>
      </c>
      <c r="X1090" s="49">
        <f>SUM(X253:X264)</f>
        <v>20.758966663999999</v>
      </c>
      <c r="Y1090" s="49"/>
      <c r="Z1090" s="14"/>
      <c r="AA1090" s="14"/>
      <c r="AB1090" s="50">
        <f>AVERAGE(AB253:AB264)</f>
        <v>10.27325029339729</v>
      </c>
      <c r="AC1090" s="45">
        <f>AVERAGE(AC253:AC264)</f>
        <v>10.210837589928056</v>
      </c>
    </row>
    <row r="1091" spans="1:29" ht="15.75" x14ac:dyDescent="0.25">
      <c r="A1091" s="10">
        <v>2034</v>
      </c>
      <c r="B1091" s="14">
        <f t="shared" ref="B1091:S1091" si="29">AVERAGE(B265:B276)</f>
        <v>10.638741666666666</v>
      </c>
      <c r="C1091" s="14">
        <f t="shared" si="29"/>
        <v>10.644916666666669</v>
      </c>
      <c r="D1091" s="14">
        <f t="shared" si="29"/>
        <v>10.787425000000001</v>
      </c>
      <c r="E1091" s="14">
        <f t="shared" si="29"/>
        <v>10.819516666666665</v>
      </c>
      <c r="F1091" s="14">
        <f t="shared" si="29"/>
        <v>10.630341666666666</v>
      </c>
      <c r="G1091" s="14">
        <f t="shared" si="29"/>
        <v>10.646466666666667</v>
      </c>
      <c r="H1091" s="14">
        <f t="shared" si="29"/>
        <v>10.808641666666666</v>
      </c>
      <c r="I1091" s="14">
        <f t="shared" si="29"/>
        <v>10.652899999999999</v>
      </c>
      <c r="J1091" s="14">
        <f t="shared" si="29"/>
        <v>10.623341666666665</v>
      </c>
      <c r="K1091" s="53">
        <f t="shared" si="29"/>
        <v>10.648999999999999</v>
      </c>
      <c r="L1091" s="14">
        <f t="shared" si="29"/>
        <v>11.395641666666664</v>
      </c>
      <c r="M1091" s="14">
        <f t="shared" si="29"/>
        <v>10.529958333333331</v>
      </c>
      <c r="N1091" s="14">
        <f t="shared" si="29"/>
        <v>10.545933333333332</v>
      </c>
      <c r="O1091" s="14">
        <f t="shared" si="29"/>
        <v>10.713383333333333</v>
      </c>
      <c r="P1091" s="14">
        <f t="shared" si="29"/>
        <v>10.559275</v>
      </c>
      <c r="Q1091" s="14">
        <f t="shared" si="29"/>
        <v>11.308683333333335</v>
      </c>
      <c r="R1091" s="14">
        <f t="shared" si="29"/>
        <v>11.92395</v>
      </c>
      <c r="S1091" s="14">
        <f t="shared" si="29"/>
        <v>10.328175000000002</v>
      </c>
      <c r="T1091" s="49">
        <f>SUM(T265:T276)</f>
        <v>357.24568100000005</v>
      </c>
      <c r="U1091" s="49">
        <f>SUM(U265:U276)</f>
        <v>142.03263249999998</v>
      </c>
      <c r="V1091" s="49">
        <f>SUM(V265:V276)</f>
        <v>50.187500000000007</v>
      </c>
      <c r="W1091" s="49">
        <f>SUM(W265:W276)</f>
        <v>5.0822234999999996</v>
      </c>
      <c r="X1091" s="49">
        <f>SUM(X265:X276)</f>
        <v>20.758966663999999</v>
      </c>
      <c r="Y1091" s="49"/>
      <c r="Z1091" s="14"/>
      <c r="AA1091" s="14"/>
      <c r="AB1091" s="50">
        <f>AVERAGE(AB265:AB276)</f>
        <v>10.661409869239318</v>
      </c>
      <c r="AC1091" s="45">
        <f>AVERAGE(AC265:AC276)</f>
        <v>10.595085731414871</v>
      </c>
    </row>
    <row r="1092" spans="1:29" ht="15.75" x14ac:dyDescent="0.25">
      <c r="A1092" s="10">
        <v>2035</v>
      </c>
      <c r="B1092" s="14">
        <f t="shared" ref="B1092:S1092" si="30">AVERAGE(B277:B288)</f>
        <v>11.041600000000001</v>
      </c>
      <c r="C1092" s="14">
        <f t="shared" si="30"/>
        <v>11.047766666666668</v>
      </c>
      <c r="D1092" s="14">
        <f t="shared" si="30"/>
        <v>11.190275</v>
      </c>
      <c r="E1092" s="14">
        <f t="shared" si="30"/>
        <v>11.222383333333333</v>
      </c>
      <c r="F1092" s="14">
        <f t="shared" si="30"/>
        <v>11.033200000000001</v>
      </c>
      <c r="G1092" s="14">
        <f t="shared" si="30"/>
        <v>11.049341666666669</v>
      </c>
      <c r="H1092" s="14">
        <f t="shared" si="30"/>
        <v>11.211500000000001</v>
      </c>
      <c r="I1092" s="14">
        <f t="shared" si="30"/>
        <v>11.055741666666668</v>
      </c>
      <c r="J1092" s="14">
        <f t="shared" si="30"/>
        <v>11.026199999999998</v>
      </c>
      <c r="K1092" s="53">
        <f t="shared" si="30"/>
        <v>11.051866666666667</v>
      </c>
      <c r="L1092" s="14">
        <f t="shared" si="30"/>
        <v>11.798499999999999</v>
      </c>
      <c r="M1092" s="14">
        <f t="shared" si="30"/>
        <v>10.928733333333335</v>
      </c>
      <c r="N1092" s="14">
        <f t="shared" si="30"/>
        <v>10.944733333333334</v>
      </c>
      <c r="O1092" s="14">
        <f t="shared" si="30"/>
        <v>11.112183333333334</v>
      </c>
      <c r="P1092" s="14">
        <f t="shared" si="30"/>
        <v>10.958049999999998</v>
      </c>
      <c r="Q1092" s="14">
        <f t="shared" si="30"/>
        <v>11.707483333333334</v>
      </c>
      <c r="R1092" s="14">
        <f t="shared" si="30"/>
        <v>12.323749999999999</v>
      </c>
      <c r="S1092" s="14">
        <f t="shared" si="30"/>
        <v>10.7194</v>
      </c>
      <c r="T1092" s="49">
        <f>SUM(T277:T288)</f>
        <v>357.24568100000005</v>
      </c>
      <c r="U1092" s="49">
        <f>SUM(U277:U288)</f>
        <v>142.03263249999998</v>
      </c>
      <c r="V1092" s="49">
        <f>SUM(V277:V288)</f>
        <v>50.187500000000007</v>
      </c>
      <c r="W1092" s="49">
        <f>SUM(W277:W288)</f>
        <v>5.0822234999999996</v>
      </c>
      <c r="X1092" s="49">
        <f>SUM(X277:X288)</f>
        <v>20.758966663999999</v>
      </c>
      <c r="Y1092" s="49"/>
      <c r="Z1092" s="14"/>
      <c r="AA1092" s="14"/>
      <c r="AB1092" s="50">
        <f>AVERAGE(AB277:AB288)</f>
        <v>11.064266059205947</v>
      </c>
      <c r="AC1092" s="45">
        <f>AVERAGE(AC277:AC288)</f>
        <v>10.993874940047961</v>
      </c>
    </row>
    <row r="1093" spans="1:29" ht="15.75" x14ac:dyDescent="0.25">
      <c r="A1093" s="10">
        <v>2036</v>
      </c>
      <c r="B1093" s="14">
        <f t="shared" ref="B1093:S1093" si="31">AVERAGE(B289:B300)</f>
        <v>11.459716666666665</v>
      </c>
      <c r="C1093" s="14">
        <f t="shared" si="31"/>
        <v>11.465891666666666</v>
      </c>
      <c r="D1093" s="14">
        <f t="shared" si="31"/>
        <v>11.608399999999998</v>
      </c>
      <c r="E1093" s="14">
        <f t="shared" si="31"/>
        <v>11.640499999999998</v>
      </c>
      <c r="F1093" s="14">
        <f t="shared" si="31"/>
        <v>11.451324999999999</v>
      </c>
      <c r="G1093" s="14">
        <f t="shared" si="31"/>
        <v>11.467458333333333</v>
      </c>
      <c r="H1093" s="14">
        <f t="shared" si="31"/>
        <v>11.629608333333332</v>
      </c>
      <c r="I1093" s="14">
        <f t="shared" si="31"/>
        <v>11.473866666666666</v>
      </c>
      <c r="J1093" s="14">
        <f t="shared" si="31"/>
        <v>11.444325000000001</v>
      </c>
      <c r="K1093" s="53">
        <f t="shared" si="31"/>
        <v>11.469983333333333</v>
      </c>
      <c r="L1093" s="14">
        <f t="shared" si="31"/>
        <v>12.216608333333333</v>
      </c>
      <c r="M1093" s="14">
        <f t="shared" si="31"/>
        <v>11.342641666666667</v>
      </c>
      <c r="N1093" s="14">
        <f t="shared" si="31"/>
        <v>11.358633333333335</v>
      </c>
      <c r="O1093" s="14">
        <f t="shared" si="31"/>
        <v>11.526091666666666</v>
      </c>
      <c r="P1093" s="14">
        <f t="shared" si="31"/>
        <v>11.37195</v>
      </c>
      <c r="Q1093" s="14">
        <f t="shared" si="31"/>
        <v>12.121391666666668</v>
      </c>
      <c r="R1093" s="14">
        <f t="shared" si="31"/>
        <v>12.738666666666667</v>
      </c>
      <c r="S1093" s="14">
        <f t="shared" si="31"/>
        <v>11.125433333333334</v>
      </c>
      <c r="T1093" s="49">
        <f>SUM(T289:T300)</f>
        <v>358.17703550000004</v>
      </c>
      <c r="U1093" s="49">
        <f>SUM(U289:U300)</f>
        <v>142.42176299999997</v>
      </c>
      <c r="V1093" s="49">
        <f>SUM(V289:V300)</f>
        <v>50.325000000000003</v>
      </c>
      <c r="W1093" s="49">
        <f>SUM(W289:W300)</f>
        <v>5.0961473999999995</v>
      </c>
      <c r="X1093" s="49">
        <f>SUM(X289:X300)</f>
        <v>20.800615543999996</v>
      </c>
      <c r="Y1093" s="49"/>
      <c r="Z1093" s="14"/>
      <c r="AA1093" s="14"/>
      <c r="AB1093" s="50">
        <f>AVERAGE(AB289:AB300)</f>
        <v>11.482388851715363</v>
      </c>
      <c r="AC1093" s="45">
        <f>AVERAGE(AC289:AC300)</f>
        <v>11.40778159472422</v>
      </c>
    </row>
    <row r="1094" spans="1:29" ht="15.75" x14ac:dyDescent="0.25">
      <c r="A1094" s="10">
        <v>2037</v>
      </c>
      <c r="B1094" s="14">
        <f t="shared" ref="B1094:S1094" si="32">AVERAGE(B301:B312)</f>
        <v>11.893683333333335</v>
      </c>
      <c r="C1094" s="14">
        <f t="shared" si="32"/>
        <v>11.899833333333333</v>
      </c>
      <c r="D1094" s="14">
        <f t="shared" si="32"/>
        <v>12.042349999999999</v>
      </c>
      <c r="E1094" s="14">
        <f t="shared" si="32"/>
        <v>12.074475000000001</v>
      </c>
      <c r="F1094" s="14">
        <f t="shared" si="32"/>
        <v>11.885283333333335</v>
      </c>
      <c r="G1094" s="14">
        <f t="shared" si="32"/>
        <v>11.901425000000001</v>
      </c>
      <c r="H1094" s="14">
        <f t="shared" si="32"/>
        <v>12.063583333333332</v>
      </c>
      <c r="I1094" s="14">
        <f t="shared" si="32"/>
        <v>11.907816666666667</v>
      </c>
      <c r="J1094" s="14">
        <f t="shared" si="32"/>
        <v>11.878283333333334</v>
      </c>
      <c r="K1094" s="53">
        <f t="shared" si="32"/>
        <v>11.903933333333333</v>
      </c>
      <c r="L1094" s="14">
        <f t="shared" si="32"/>
        <v>12.650583333333335</v>
      </c>
      <c r="M1094" s="14">
        <f t="shared" si="32"/>
        <v>11.772225000000001</v>
      </c>
      <c r="N1094" s="14">
        <f t="shared" si="32"/>
        <v>11.788200000000002</v>
      </c>
      <c r="O1094" s="14">
        <f t="shared" si="32"/>
        <v>11.955658333333334</v>
      </c>
      <c r="P1094" s="14">
        <f t="shared" si="32"/>
        <v>11.801525</v>
      </c>
      <c r="Q1094" s="14">
        <f t="shared" si="32"/>
        <v>12.550958333333334</v>
      </c>
      <c r="R1094" s="14">
        <f t="shared" si="32"/>
        <v>13.169333333333336</v>
      </c>
      <c r="S1094" s="14">
        <f t="shared" si="32"/>
        <v>11.546841666666667</v>
      </c>
      <c r="T1094" s="49">
        <f>SUM(T301:T312)</f>
        <v>357.24568100000005</v>
      </c>
      <c r="U1094" s="49">
        <f>SUM(U301:U312)</f>
        <v>142.03263249999998</v>
      </c>
      <c r="V1094" s="49">
        <f>SUM(V301:V312)</f>
        <v>50.187500000000007</v>
      </c>
      <c r="W1094" s="49">
        <f>SUM(W301:W312)</f>
        <v>5.0822234999999996</v>
      </c>
      <c r="X1094" s="49">
        <f>SUM(X301:X312)</f>
        <v>20.758966663999999</v>
      </c>
      <c r="Y1094" s="49"/>
      <c r="Z1094" s="14"/>
      <c r="AA1094" s="14"/>
      <c r="AB1094" s="50">
        <f>AVERAGE(AB301:AB312)</f>
        <v>11.91634468246764</v>
      </c>
      <c r="AC1094" s="45">
        <f>AVERAGE(AC301:AC312)</f>
        <v>11.837355215827335</v>
      </c>
    </row>
    <row r="1095" spans="1:29" ht="15.75" x14ac:dyDescent="0.25">
      <c r="A1095" s="10">
        <f t="shared" ref="A1095:A1126" si="33">A1094+1</f>
        <v>2038</v>
      </c>
      <c r="B1095" s="14">
        <f t="shared" ref="B1095:S1095" si="34">AVERAGE(B313:B324)</f>
        <v>12.344091666666666</v>
      </c>
      <c r="C1095" s="14">
        <f t="shared" si="34"/>
        <v>12.350250000000001</v>
      </c>
      <c r="D1095" s="14">
        <f t="shared" si="34"/>
        <v>12.492758333333333</v>
      </c>
      <c r="E1095" s="14">
        <f t="shared" si="34"/>
        <v>12.524841666666665</v>
      </c>
      <c r="F1095" s="14">
        <f t="shared" si="34"/>
        <v>12.335650000000001</v>
      </c>
      <c r="G1095" s="14">
        <f t="shared" si="34"/>
        <v>12.351808333333333</v>
      </c>
      <c r="H1095" s="14">
        <f t="shared" si="34"/>
        <v>12.513958333333333</v>
      </c>
      <c r="I1095" s="14">
        <f t="shared" si="34"/>
        <v>12.358216666666669</v>
      </c>
      <c r="J1095" s="14">
        <f t="shared" si="34"/>
        <v>12.328649999999998</v>
      </c>
      <c r="K1095" s="53">
        <f t="shared" si="34"/>
        <v>12.354325000000001</v>
      </c>
      <c r="L1095" s="14">
        <f t="shared" si="34"/>
        <v>13.100958333333333</v>
      </c>
      <c r="M1095" s="14">
        <f t="shared" si="34"/>
        <v>12.218075000000001</v>
      </c>
      <c r="N1095" s="14">
        <f t="shared" si="34"/>
        <v>12.234041666666668</v>
      </c>
      <c r="O1095" s="14">
        <f t="shared" si="34"/>
        <v>12.401508333333334</v>
      </c>
      <c r="P1095" s="14">
        <f t="shared" si="34"/>
        <v>12.247375</v>
      </c>
      <c r="Q1095" s="14">
        <f t="shared" si="34"/>
        <v>12.996808333333334</v>
      </c>
      <c r="R1095" s="14">
        <f t="shared" si="34"/>
        <v>13.616300000000001</v>
      </c>
      <c r="S1095" s="14">
        <f t="shared" si="34"/>
        <v>11.984216666666667</v>
      </c>
      <c r="T1095" s="49">
        <f>SUM(T313:T324)</f>
        <v>357.24568100000005</v>
      </c>
      <c r="U1095" s="49">
        <f>SUM(U313:U324)</f>
        <v>142.03263249999998</v>
      </c>
      <c r="V1095" s="49">
        <f>SUM(V313:V324)</f>
        <v>50.187500000000007</v>
      </c>
      <c r="W1095" s="49">
        <f>SUM(W313:W324)</f>
        <v>5.0822234999999996</v>
      </c>
      <c r="X1095" s="49">
        <f>SUM(X313:X324)</f>
        <v>20.758966663999999</v>
      </c>
      <c r="Y1095" s="49"/>
      <c r="Z1095" s="14"/>
      <c r="AA1095" s="14"/>
      <c r="AB1095" s="50">
        <f>AVERAGE(AB313:AB324)</f>
        <v>12.366738200592783</v>
      </c>
      <c r="AC1095" s="45">
        <f>AVERAGE(AC313:AC324)</f>
        <v>12.283203297362109</v>
      </c>
    </row>
    <row r="1096" spans="1:29" ht="15.75" x14ac:dyDescent="0.25">
      <c r="A1096" s="10">
        <f t="shared" si="33"/>
        <v>2039</v>
      </c>
      <c r="B1096" s="14">
        <f t="shared" ref="B1096:S1096" si="35">AVERAGE(B325:B336)</f>
        <v>12.811524999999998</v>
      </c>
      <c r="C1096" s="14">
        <f t="shared" si="35"/>
        <v>12.81769166666667</v>
      </c>
      <c r="D1096" s="14">
        <f t="shared" si="35"/>
        <v>12.960216666666668</v>
      </c>
      <c r="E1096" s="14">
        <f t="shared" si="35"/>
        <v>12.992299999999998</v>
      </c>
      <c r="F1096" s="14">
        <f t="shared" si="35"/>
        <v>12.803116666666666</v>
      </c>
      <c r="G1096" s="14">
        <f t="shared" si="35"/>
        <v>12.819266666666666</v>
      </c>
      <c r="H1096" s="14">
        <f t="shared" si="35"/>
        <v>12.981425000000002</v>
      </c>
      <c r="I1096" s="14">
        <f t="shared" si="35"/>
        <v>12.82568333333333</v>
      </c>
      <c r="J1096" s="14">
        <f t="shared" si="35"/>
        <v>12.796116666666665</v>
      </c>
      <c r="K1096" s="53">
        <f t="shared" si="35"/>
        <v>12.821783333333334</v>
      </c>
      <c r="L1096" s="14">
        <f t="shared" si="35"/>
        <v>13.568424999999998</v>
      </c>
      <c r="M1096" s="14">
        <f t="shared" si="35"/>
        <v>12.680824999999999</v>
      </c>
      <c r="N1096" s="14">
        <f t="shared" si="35"/>
        <v>12.696808333333331</v>
      </c>
      <c r="O1096" s="14">
        <f t="shared" si="35"/>
        <v>12.864249999999998</v>
      </c>
      <c r="P1096" s="14">
        <f t="shared" si="35"/>
        <v>12.710108333333331</v>
      </c>
      <c r="Q1096" s="14">
        <f t="shared" si="35"/>
        <v>13.459549999999998</v>
      </c>
      <c r="R1096" s="14">
        <f t="shared" si="35"/>
        <v>14.0802</v>
      </c>
      <c r="S1096" s="14">
        <f t="shared" si="35"/>
        <v>12.438166666666667</v>
      </c>
      <c r="T1096" s="49">
        <f>SUM(T325:T336)</f>
        <v>357.24568100000005</v>
      </c>
      <c r="U1096" s="49">
        <f>SUM(U325:U336)</f>
        <v>142.03263249999998</v>
      </c>
      <c r="V1096" s="49">
        <f>SUM(V325:V336)</f>
        <v>50.187500000000007</v>
      </c>
      <c r="W1096" s="49">
        <f>SUM(W325:W336)</f>
        <v>5.0822234999999996</v>
      </c>
      <c r="X1096" s="49">
        <f>SUM(X325:X336)</f>
        <v>20.758966663999999</v>
      </c>
      <c r="Y1096" s="49"/>
      <c r="Z1096" s="55"/>
      <c r="AA1096" s="54"/>
      <c r="AB1096" s="50">
        <f>AVERAGE(AB325:AB336)</f>
        <v>12.834191976201771</v>
      </c>
      <c r="AC1096" s="45">
        <f>AVERAGE(AC325:AC336)</f>
        <v>12.745950959232616</v>
      </c>
    </row>
    <row r="1097" spans="1:29" ht="15.75" x14ac:dyDescent="0.25">
      <c r="A1097" s="10">
        <f t="shared" si="33"/>
        <v>2040</v>
      </c>
      <c r="B1097" s="14">
        <f t="shared" ref="B1097:S1097" si="36">AVERAGE(B337:B348)</f>
        <v>13.296716666666663</v>
      </c>
      <c r="C1097" s="14">
        <f t="shared" si="36"/>
        <v>13.302866666666667</v>
      </c>
      <c r="D1097" s="14">
        <f t="shared" si="36"/>
        <v>13.445391666666666</v>
      </c>
      <c r="E1097" s="14">
        <f t="shared" si="36"/>
        <v>13.477483333333334</v>
      </c>
      <c r="F1097" s="14">
        <f t="shared" si="36"/>
        <v>13.288299999999998</v>
      </c>
      <c r="G1097" s="14">
        <f t="shared" si="36"/>
        <v>13.304441666666667</v>
      </c>
      <c r="H1097" s="14">
        <f t="shared" si="36"/>
        <v>13.4666</v>
      </c>
      <c r="I1097" s="14">
        <f t="shared" si="36"/>
        <v>13.310850000000002</v>
      </c>
      <c r="J1097" s="14">
        <f t="shared" si="36"/>
        <v>13.281300000000002</v>
      </c>
      <c r="K1097" s="53">
        <f t="shared" si="36"/>
        <v>13.306958333333332</v>
      </c>
      <c r="L1097" s="14">
        <f t="shared" si="36"/>
        <v>14.053600000000001</v>
      </c>
      <c r="M1097" s="14">
        <f t="shared" si="36"/>
        <v>13.161091666666664</v>
      </c>
      <c r="N1097" s="14">
        <f t="shared" si="36"/>
        <v>13.177066666666667</v>
      </c>
      <c r="O1097" s="14">
        <f t="shared" si="36"/>
        <v>13.344499999999998</v>
      </c>
      <c r="P1097" s="14">
        <f t="shared" si="36"/>
        <v>13.190391666666665</v>
      </c>
      <c r="Q1097" s="14">
        <f t="shared" si="36"/>
        <v>13.9398</v>
      </c>
      <c r="R1097" s="14">
        <f t="shared" si="36"/>
        <v>14.561675000000001</v>
      </c>
      <c r="S1097" s="14">
        <f t="shared" si="36"/>
        <v>12.909308333333334</v>
      </c>
      <c r="T1097" s="49">
        <f>SUM(T337:T348)</f>
        <v>358.17703550000004</v>
      </c>
      <c r="U1097" s="49">
        <f>SUM(U337:U348)</f>
        <v>142.42176299999997</v>
      </c>
      <c r="V1097" s="49">
        <f>SUM(V337:V348)</f>
        <v>50.325000000000003</v>
      </c>
      <c r="W1097" s="49">
        <f>SUM(W337:W348)</f>
        <v>5.0961473999999995</v>
      </c>
      <c r="X1097" s="49">
        <f>SUM(X337:X348)</f>
        <v>20.800615543999996</v>
      </c>
      <c r="Y1097" s="49"/>
      <c r="Z1097" s="55"/>
      <c r="AA1097" s="54"/>
      <c r="AB1097" s="50">
        <f>AVERAGE(AB337:AB348)</f>
        <v>13.319370782678583</v>
      </c>
      <c r="AC1097" s="45">
        <f>AVERAGE(AC337:AC348)</f>
        <v>13.226211990407675</v>
      </c>
    </row>
    <row r="1098" spans="1:29" ht="15.75" x14ac:dyDescent="0.25">
      <c r="A1098" s="10">
        <f t="shared" si="33"/>
        <v>2041</v>
      </c>
      <c r="B1098" s="14">
        <f t="shared" ref="B1098:S1098" si="37">AVERAGE(B349:B360)</f>
        <v>13.80025</v>
      </c>
      <c r="C1098" s="14">
        <f t="shared" si="37"/>
        <v>13.806400000000002</v>
      </c>
      <c r="D1098" s="14">
        <f t="shared" si="37"/>
        <v>13.948924999999997</v>
      </c>
      <c r="E1098" s="14">
        <f t="shared" si="37"/>
        <v>13.981016666666669</v>
      </c>
      <c r="F1098" s="14">
        <f t="shared" si="37"/>
        <v>13.791841666666665</v>
      </c>
      <c r="G1098" s="14">
        <f t="shared" si="37"/>
        <v>13.807975000000001</v>
      </c>
      <c r="H1098" s="14">
        <f t="shared" si="37"/>
        <v>13.970149999999999</v>
      </c>
      <c r="I1098" s="14">
        <f t="shared" si="37"/>
        <v>13.814408333333335</v>
      </c>
      <c r="J1098" s="14">
        <f t="shared" si="37"/>
        <v>13.784841666666665</v>
      </c>
      <c r="K1098" s="53">
        <f t="shared" si="37"/>
        <v>13.810508333333333</v>
      </c>
      <c r="L1098" s="14">
        <f t="shared" si="37"/>
        <v>14.55715</v>
      </c>
      <c r="M1098" s="14">
        <f t="shared" si="37"/>
        <v>13.659558333333335</v>
      </c>
      <c r="N1098" s="14">
        <f t="shared" si="37"/>
        <v>13.675541666666662</v>
      </c>
      <c r="O1098" s="14">
        <f t="shared" si="37"/>
        <v>13.842983333333336</v>
      </c>
      <c r="P1098" s="14">
        <f t="shared" si="37"/>
        <v>13.688858333333334</v>
      </c>
      <c r="Q1098" s="14">
        <f t="shared" si="37"/>
        <v>14.438283333333331</v>
      </c>
      <c r="R1098" s="14">
        <f t="shared" si="37"/>
        <v>15.061366666666666</v>
      </c>
      <c r="S1098" s="14">
        <f t="shared" si="37"/>
        <v>13.398308333333333</v>
      </c>
      <c r="T1098" s="49">
        <f>SUM(T349:T360)</f>
        <v>357.24568100000005</v>
      </c>
      <c r="U1098" s="49">
        <f>SUM(U349:U360)</f>
        <v>142.03263249999998</v>
      </c>
      <c r="V1098" s="49">
        <f>SUM(V349:V360)</f>
        <v>50.187500000000007</v>
      </c>
      <c r="W1098" s="49">
        <f>SUM(W349:W360)</f>
        <v>5.0822234999999996</v>
      </c>
      <c r="X1098" s="49">
        <f>SUM(X349:X360)</f>
        <v>20.758966663999999</v>
      </c>
      <c r="Y1098" s="49"/>
      <c r="Z1098" s="55"/>
      <c r="AA1098" s="54"/>
      <c r="AB1098" s="50">
        <f>AVERAGE(AB349:AB360)</f>
        <v>13.822908505505644</v>
      </c>
      <c r="AC1098" s="45">
        <f>AVERAGE(AC349:AC360)</f>
        <v>13.724686690647482</v>
      </c>
    </row>
    <row r="1099" spans="1:29" ht="15.75" x14ac:dyDescent="0.25">
      <c r="A1099" s="10">
        <f t="shared" si="33"/>
        <v>2042</v>
      </c>
      <c r="B1099" s="14">
        <f t="shared" ref="B1099:S1099" si="38">AVERAGE(B361:B372)</f>
        <v>14.322866666666664</v>
      </c>
      <c r="C1099" s="14">
        <f t="shared" si="38"/>
        <v>14.329033333333333</v>
      </c>
      <c r="D1099" s="14">
        <f t="shared" si="38"/>
        <v>14.471550000000001</v>
      </c>
      <c r="E1099" s="14">
        <f t="shared" si="38"/>
        <v>14.503641666666667</v>
      </c>
      <c r="F1099" s="14">
        <f t="shared" si="38"/>
        <v>14.314466666666668</v>
      </c>
      <c r="G1099" s="14">
        <f t="shared" si="38"/>
        <v>14.330591666666663</v>
      </c>
      <c r="H1099" s="14">
        <f t="shared" si="38"/>
        <v>14.492766666666666</v>
      </c>
      <c r="I1099" s="14">
        <f t="shared" si="38"/>
        <v>14.33704166666667</v>
      </c>
      <c r="J1099" s="14">
        <f t="shared" si="38"/>
        <v>14.307466666666665</v>
      </c>
      <c r="K1099" s="53">
        <f t="shared" si="38"/>
        <v>14.333141666666668</v>
      </c>
      <c r="L1099" s="14">
        <f t="shared" si="38"/>
        <v>15.079766666666666</v>
      </c>
      <c r="M1099" s="14">
        <f t="shared" si="38"/>
        <v>14.176883333333334</v>
      </c>
      <c r="N1099" s="14">
        <f t="shared" si="38"/>
        <v>14.192900000000002</v>
      </c>
      <c r="O1099" s="14">
        <f t="shared" si="38"/>
        <v>14.360341666666669</v>
      </c>
      <c r="P1099" s="14">
        <f t="shared" si="38"/>
        <v>14.206199999999997</v>
      </c>
      <c r="Q1099" s="14">
        <f t="shared" si="38"/>
        <v>14.955641666666667</v>
      </c>
      <c r="R1099" s="14">
        <f t="shared" si="38"/>
        <v>15.580024999999997</v>
      </c>
      <c r="S1099" s="14">
        <f t="shared" si="38"/>
        <v>13.905825</v>
      </c>
      <c r="T1099" s="49">
        <f>SUM(T361:T372)</f>
        <v>357.24568100000005</v>
      </c>
      <c r="U1099" s="49">
        <f>SUM(U361:U372)</f>
        <v>142.03263249999998</v>
      </c>
      <c r="V1099" s="49">
        <f>SUM(V361:V372)</f>
        <v>50.187500000000007</v>
      </c>
      <c r="W1099" s="49">
        <f>SUM(W361:W372)</f>
        <v>5.0822234999999996</v>
      </c>
      <c r="X1099" s="49">
        <f>SUM(X361:X372)</f>
        <v>20.758966663999999</v>
      </c>
      <c r="Y1099" s="49"/>
      <c r="Z1099" s="55"/>
      <c r="AA1099" s="54"/>
      <c r="AB1099" s="50">
        <f>AVERAGE(AB361:AB372)</f>
        <v>14.345534308097873</v>
      </c>
      <c r="AC1099" s="45">
        <f>AVERAGE(AC361:AC372)</f>
        <v>14.242032553956832</v>
      </c>
    </row>
    <row r="1100" spans="1:29" ht="15.75" x14ac:dyDescent="0.25">
      <c r="A1100" s="10">
        <f t="shared" si="33"/>
        <v>2043</v>
      </c>
      <c r="B1100" s="14">
        <f t="shared" ref="B1100:S1100" si="39">AVERAGE(B373:B384)</f>
        <v>14.865308333333333</v>
      </c>
      <c r="C1100" s="14">
        <f t="shared" si="39"/>
        <v>14.871458333333331</v>
      </c>
      <c r="D1100" s="14">
        <f t="shared" si="39"/>
        <v>15.013966666666668</v>
      </c>
      <c r="E1100" s="14">
        <f t="shared" si="39"/>
        <v>15.046066666666666</v>
      </c>
      <c r="F1100" s="14">
        <f t="shared" si="39"/>
        <v>14.856883333333331</v>
      </c>
      <c r="G1100" s="14">
        <f t="shared" si="39"/>
        <v>14.873016666666665</v>
      </c>
      <c r="H1100" s="14">
        <f t="shared" si="39"/>
        <v>15.035200000000001</v>
      </c>
      <c r="I1100" s="14">
        <f t="shared" si="39"/>
        <v>14.879441666666665</v>
      </c>
      <c r="J1100" s="14">
        <f t="shared" si="39"/>
        <v>14.849883333333333</v>
      </c>
      <c r="K1100" s="53">
        <f t="shared" si="39"/>
        <v>14.875549999999997</v>
      </c>
      <c r="L1100" s="14">
        <f t="shared" si="39"/>
        <v>15.622199999999998</v>
      </c>
      <c r="M1100" s="14">
        <f t="shared" si="39"/>
        <v>14.713850000000001</v>
      </c>
      <c r="N1100" s="14">
        <f t="shared" si="39"/>
        <v>14.729833333333332</v>
      </c>
      <c r="O1100" s="14">
        <f t="shared" si="39"/>
        <v>14.897275</v>
      </c>
      <c r="P1100" s="14">
        <f t="shared" si="39"/>
        <v>14.743141666666666</v>
      </c>
      <c r="Q1100" s="14">
        <f t="shared" si="39"/>
        <v>15.492575000000002</v>
      </c>
      <c r="R1100" s="14">
        <f t="shared" si="39"/>
        <v>16.118308333333335</v>
      </c>
      <c r="S1100" s="14">
        <f t="shared" si="39"/>
        <v>14.432591666666667</v>
      </c>
      <c r="T1100" s="49">
        <f>SUM(T373:T384)</f>
        <v>357.24568100000005</v>
      </c>
      <c r="U1100" s="49">
        <f>SUM(U373:U384)</f>
        <v>142.03263249999998</v>
      </c>
      <c r="V1100" s="49">
        <f>SUM(V373:V384)</f>
        <v>50.187500000000007</v>
      </c>
      <c r="W1100" s="49">
        <f>SUM(W373:W384)</f>
        <v>5.0822234999999996</v>
      </c>
      <c r="X1100" s="49">
        <f>SUM(X373:X384)</f>
        <v>20.758966663999999</v>
      </c>
      <c r="Y1100" s="49"/>
      <c r="Z1100" s="55"/>
      <c r="AA1100" s="54"/>
      <c r="AB1100" s="50">
        <f>AVERAGE(AB373:AB384)</f>
        <v>14.88795571431335</v>
      </c>
      <c r="AC1100" s="45">
        <f>AVERAGE(AC373:AC384)</f>
        <v>14.778977158273383</v>
      </c>
    </row>
    <row r="1101" spans="1:29" ht="15.75" x14ac:dyDescent="0.25">
      <c r="A1101" s="10">
        <f t="shared" si="33"/>
        <v>2044</v>
      </c>
      <c r="B1101" s="14">
        <f t="shared" ref="B1101:S1101" si="40">AVERAGE(B385:B396)</f>
        <v>15.428274999999999</v>
      </c>
      <c r="C1101" s="14">
        <f t="shared" si="40"/>
        <v>15.434424999999999</v>
      </c>
      <c r="D1101" s="14">
        <f t="shared" si="40"/>
        <v>15.576941666666668</v>
      </c>
      <c r="E1101" s="14">
        <f t="shared" si="40"/>
        <v>15.609024999999997</v>
      </c>
      <c r="F1101" s="14">
        <f t="shared" si="40"/>
        <v>15.419824999999998</v>
      </c>
      <c r="G1101" s="14">
        <f t="shared" si="40"/>
        <v>15.435991666666665</v>
      </c>
      <c r="H1101" s="14">
        <f t="shared" si="40"/>
        <v>15.598141666666665</v>
      </c>
      <c r="I1101" s="14">
        <f t="shared" si="40"/>
        <v>15.442399999999997</v>
      </c>
      <c r="J1101" s="14">
        <f t="shared" si="40"/>
        <v>15.412825000000003</v>
      </c>
      <c r="K1101" s="53">
        <f t="shared" si="40"/>
        <v>15.438508333333337</v>
      </c>
      <c r="L1101" s="14">
        <f t="shared" si="40"/>
        <v>16.18514166666667</v>
      </c>
      <c r="M1101" s="14">
        <f t="shared" si="40"/>
        <v>15.271141666666667</v>
      </c>
      <c r="N1101" s="14">
        <f t="shared" si="40"/>
        <v>15.287108333333331</v>
      </c>
      <c r="O1101" s="14">
        <f t="shared" si="40"/>
        <v>15.45456666666667</v>
      </c>
      <c r="P1101" s="14">
        <f t="shared" si="40"/>
        <v>15.300433333333332</v>
      </c>
      <c r="Q1101" s="14">
        <f t="shared" si="40"/>
        <v>16.049866666666663</v>
      </c>
      <c r="R1101" s="14">
        <f t="shared" si="40"/>
        <v>16.676983333333329</v>
      </c>
      <c r="S1101" s="14">
        <f t="shared" si="40"/>
        <v>14.979266666666668</v>
      </c>
      <c r="T1101" s="49">
        <f>SUM(T385:T396)</f>
        <v>358.17703550000004</v>
      </c>
      <c r="U1101" s="49">
        <f>SUM(U385:U396)</f>
        <v>142.42176299999997</v>
      </c>
      <c r="V1101" s="49">
        <f>SUM(V385:V396)</f>
        <v>50.325000000000003</v>
      </c>
      <c r="W1101" s="49">
        <f>SUM(W385:W396)</f>
        <v>5.0961473999999995</v>
      </c>
      <c r="X1101" s="49">
        <f>SUM(X385:X396)</f>
        <v>20.800615543999996</v>
      </c>
      <c r="Y1101" s="49"/>
      <c r="Z1101" s="55"/>
      <c r="AA1101" s="54"/>
      <c r="AB1101" s="50">
        <f>AVERAGE(AB385:AB396)</f>
        <v>15.450917215297034</v>
      </c>
      <c r="AC1101" s="45">
        <f>AVERAGE(AC385:AC396)</f>
        <v>15.336266426858513</v>
      </c>
    </row>
    <row r="1102" spans="1:29" ht="15.75" x14ac:dyDescent="0.25">
      <c r="A1102" s="10">
        <f t="shared" si="33"/>
        <v>2045</v>
      </c>
      <c r="B1102" s="14">
        <f t="shared" ref="B1102:S1102" si="41">AVERAGE(B397:B408)</f>
        <v>16.012558333333335</v>
      </c>
      <c r="C1102" s="14">
        <f t="shared" si="41"/>
        <v>16.018716666666666</v>
      </c>
      <c r="D1102" s="14">
        <f t="shared" si="41"/>
        <v>16.161241666666665</v>
      </c>
      <c r="E1102" s="14">
        <f t="shared" si="41"/>
        <v>16.193333333333335</v>
      </c>
      <c r="F1102" s="14">
        <f t="shared" si="41"/>
        <v>16.004141666666666</v>
      </c>
      <c r="G1102" s="14">
        <f t="shared" si="41"/>
        <v>16.020300000000002</v>
      </c>
      <c r="H1102" s="14">
        <f t="shared" si="41"/>
        <v>16.182441666666666</v>
      </c>
      <c r="I1102" s="14">
        <f t="shared" si="41"/>
        <v>16.026691666666668</v>
      </c>
      <c r="J1102" s="14">
        <f t="shared" si="41"/>
        <v>15.997141666666666</v>
      </c>
      <c r="K1102" s="53">
        <f t="shared" si="41"/>
        <v>16.0228</v>
      </c>
      <c r="L1102" s="14">
        <f t="shared" si="41"/>
        <v>16.769441666666669</v>
      </c>
      <c r="M1102" s="14">
        <f t="shared" si="41"/>
        <v>15.849516666666666</v>
      </c>
      <c r="N1102" s="14">
        <f t="shared" si="41"/>
        <v>15.865508333333331</v>
      </c>
      <c r="O1102" s="14">
        <f t="shared" si="41"/>
        <v>16.032983333333334</v>
      </c>
      <c r="P1102" s="14">
        <f t="shared" si="41"/>
        <v>15.878833333333331</v>
      </c>
      <c r="Q1102" s="14">
        <f t="shared" si="41"/>
        <v>16.628283333333332</v>
      </c>
      <c r="R1102" s="14">
        <f t="shared" si="41"/>
        <v>17.25684166666667</v>
      </c>
      <c r="S1102" s="14">
        <f t="shared" si="41"/>
        <v>15.546675000000002</v>
      </c>
      <c r="T1102" s="49">
        <f>SUM(T397:T408)</f>
        <v>357.24568100000005</v>
      </c>
      <c r="U1102" s="49">
        <f>SUM(U397:U408)</f>
        <v>142.03263249999998</v>
      </c>
      <c r="V1102" s="49">
        <f>SUM(V397:V408)</f>
        <v>50.187500000000007</v>
      </c>
      <c r="W1102" s="49">
        <f>SUM(W397:W408)</f>
        <v>5.0822234999999996</v>
      </c>
      <c r="X1102" s="49">
        <f>SUM(X397:X408)</f>
        <v>20.758966663999999</v>
      </c>
      <c r="Y1102" s="49"/>
      <c r="Z1102" s="55"/>
      <c r="AA1102" s="54"/>
      <c r="AB1102" s="50">
        <f>AVERAGE(AB397:AB408)</f>
        <v>16.035218155912947</v>
      </c>
      <c r="AC1102" s="45">
        <f>AVERAGE(AC397:AC408)</f>
        <v>15.914663908872901</v>
      </c>
    </row>
    <row r="1103" spans="1:29" ht="15.75" x14ac:dyDescent="0.25">
      <c r="A1103" s="10">
        <f t="shared" si="33"/>
        <v>2046</v>
      </c>
      <c r="B1103" s="14">
        <f t="shared" ref="B1103:S1103" si="42">AVERAGE(B409:B420)</f>
        <v>16.618983333333333</v>
      </c>
      <c r="C1103" s="14">
        <f t="shared" si="42"/>
        <v>16.625150000000001</v>
      </c>
      <c r="D1103" s="14">
        <f t="shared" si="42"/>
        <v>16.767641666666666</v>
      </c>
      <c r="E1103" s="14">
        <f t="shared" si="42"/>
        <v>16.799766666666667</v>
      </c>
      <c r="F1103" s="14">
        <f t="shared" si="42"/>
        <v>16.610566666666667</v>
      </c>
      <c r="G1103" s="14">
        <f t="shared" si="42"/>
        <v>16.626716666666667</v>
      </c>
      <c r="H1103" s="14">
        <f t="shared" si="42"/>
        <v>16.788883333333334</v>
      </c>
      <c r="I1103" s="14">
        <f t="shared" si="42"/>
        <v>16.633133333333333</v>
      </c>
      <c r="J1103" s="14">
        <f t="shared" si="42"/>
        <v>16.603566666666669</v>
      </c>
      <c r="K1103" s="53">
        <f t="shared" si="42"/>
        <v>16.629241666666669</v>
      </c>
      <c r="L1103" s="14">
        <f t="shared" si="42"/>
        <v>17.375883333333334</v>
      </c>
      <c r="M1103" s="14">
        <f t="shared" si="42"/>
        <v>16.449850000000001</v>
      </c>
      <c r="N1103" s="14">
        <f t="shared" si="42"/>
        <v>16.465816666666665</v>
      </c>
      <c r="O1103" s="14">
        <f t="shared" si="42"/>
        <v>16.633283333333335</v>
      </c>
      <c r="P1103" s="14">
        <f t="shared" si="42"/>
        <v>16.479133333333333</v>
      </c>
      <c r="Q1103" s="14">
        <f t="shared" si="42"/>
        <v>17.228583333333333</v>
      </c>
      <c r="R1103" s="14">
        <f t="shared" si="42"/>
        <v>17.858641666666667</v>
      </c>
      <c r="S1103" s="14">
        <f t="shared" si="42"/>
        <v>16.135566666666666</v>
      </c>
      <c r="T1103" s="49">
        <f>SUM(T409:T420)</f>
        <v>357.24568100000005</v>
      </c>
      <c r="U1103" s="49">
        <f>SUM(U409:U420)</f>
        <v>142.03263249999998</v>
      </c>
      <c r="V1103" s="49">
        <f>SUM(V409:V420)</f>
        <v>50.187500000000007</v>
      </c>
      <c r="W1103" s="49">
        <f>SUM(W409:W420)</f>
        <v>5.0822234999999996</v>
      </c>
      <c r="X1103" s="49">
        <f>SUM(X409:X420)</f>
        <v>20.758966663999999</v>
      </c>
      <c r="Y1103" s="49"/>
      <c r="Z1103" s="55"/>
      <c r="AA1103" s="54"/>
      <c r="AB1103" s="50">
        <f>AVERAGE(AB409:AB420)</f>
        <v>16.641642239587433</v>
      </c>
      <c r="AC1103" s="45">
        <f>AVERAGE(AC409:AC420)</f>
        <v>16.514977338129494</v>
      </c>
    </row>
    <row r="1104" spans="1:29" ht="15.75" x14ac:dyDescent="0.25">
      <c r="A1104" s="10">
        <f t="shared" si="33"/>
        <v>2047</v>
      </c>
      <c r="B1104" s="14">
        <f t="shared" ref="B1104:S1104" si="43">AVERAGE(B421:B432)</f>
        <v>17.2484</v>
      </c>
      <c r="C1104" s="14">
        <f t="shared" si="43"/>
        <v>17.254550000000005</v>
      </c>
      <c r="D1104" s="14">
        <f t="shared" si="43"/>
        <v>17.397058333333334</v>
      </c>
      <c r="E1104" s="14">
        <f t="shared" si="43"/>
        <v>17.429166666666664</v>
      </c>
      <c r="F1104" s="14">
        <f t="shared" si="43"/>
        <v>17.23995833333333</v>
      </c>
      <c r="G1104" s="14">
        <f t="shared" si="43"/>
        <v>17.25610833333333</v>
      </c>
      <c r="H1104" s="14">
        <f t="shared" si="43"/>
        <v>17.418283333333335</v>
      </c>
      <c r="I1104" s="14">
        <f t="shared" si="43"/>
        <v>17.262525</v>
      </c>
      <c r="J1104" s="14">
        <f t="shared" si="43"/>
        <v>17.232958333333332</v>
      </c>
      <c r="K1104" s="53">
        <f t="shared" si="43"/>
        <v>17.258649999999999</v>
      </c>
      <c r="L1104" s="14">
        <f t="shared" si="43"/>
        <v>18.005283333333331</v>
      </c>
      <c r="M1104" s="14">
        <f t="shared" si="43"/>
        <v>17.072875</v>
      </c>
      <c r="N1104" s="14">
        <f t="shared" si="43"/>
        <v>17.088866666666664</v>
      </c>
      <c r="O1104" s="14">
        <f t="shared" si="43"/>
        <v>17.256316666666667</v>
      </c>
      <c r="P1104" s="14">
        <f t="shared" si="43"/>
        <v>17.102191666666666</v>
      </c>
      <c r="Q1104" s="14">
        <f t="shared" si="43"/>
        <v>17.851616666666668</v>
      </c>
      <c r="R1104" s="14">
        <f t="shared" si="43"/>
        <v>18.483233333333335</v>
      </c>
      <c r="S1104" s="14">
        <f t="shared" si="43"/>
        <v>16.746791666666667</v>
      </c>
      <c r="T1104" s="49">
        <f>SUM(T421:T432)</f>
        <v>357.24568100000005</v>
      </c>
      <c r="U1104" s="49">
        <f>SUM(U421:U432)</f>
        <v>142.03263249999998</v>
      </c>
      <c r="V1104" s="49">
        <f>SUM(V421:V432)</f>
        <v>50.187500000000007</v>
      </c>
      <c r="W1104" s="49">
        <f>SUM(W421:W432)</f>
        <v>5.0822234999999996</v>
      </c>
      <c r="X1104" s="49">
        <f>SUM(X421:X432)</f>
        <v>20.758966663999999</v>
      </c>
      <c r="Y1104" s="49"/>
      <c r="Z1104" s="55"/>
      <c r="AA1104" s="54"/>
      <c r="AB1104" s="50">
        <f>AVERAGE(AB421:AB432)</f>
        <v>17.271042729300646</v>
      </c>
      <c r="AC1104" s="45">
        <f>AVERAGE(AC421:AC432)</f>
        <v>17.138012350119904</v>
      </c>
    </row>
    <row r="1105" spans="1:29" ht="15.75" x14ac:dyDescent="0.25">
      <c r="A1105" s="10">
        <f t="shared" si="33"/>
        <v>2048</v>
      </c>
      <c r="B1105" s="14">
        <f t="shared" ref="B1105:S1105" si="44">AVERAGE(B433:B444)</f>
        <v>17.901633333333336</v>
      </c>
      <c r="C1105" s="14">
        <f t="shared" si="44"/>
        <v>17.907791666666668</v>
      </c>
      <c r="D1105" s="14">
        <f t="shared" si="44"/>
        <v>18.050308333333334</v>
      </c>
      <c r="E1105" s="14">
        <f t="shared" si="44"/>
        <v>18.082400000000003</v>
      </c>
      <c r="F1105" s="14">
        <f t="shared" si="44"/>
        <v>17.893208333333337</v>
      </c>
      <c r="G1105" s="14">
        <f t="shared" si="44"/>
        <v>17.909358333333333</v>
      </c>
      <c r="H1105" s="14">
        <f t="shared" si="44"/>
        <v>18.07150833333333</v>
      </c>
      <c r="I1105" s="14">
        <f t="shared" si="44"/>
        <v>17.915766666666666</v>
      </c>
      <c r="J1105" s="14">
        <f t="shared" si="44"/>
        <v>17.886208333333336</v>
      </c>
      <c r="K1105" s="53">
        <f t="shared" si="44"/>
        <v>17.911891666666666</v>
      </c>
      <c r="L1105" s="14">
        <f t="shared" si="44"/>
        <v>18.658508333333334</v>
      </c>
      <c r="M1105" s="14">
        <f t="shared" si="44"/>
        <v>17.719533333333334</v>
      </c>
      <c r="N1105" s="14">
        <f t="shared" si="44"/>
        <v>17.735524999999999</v>
      </c>
      <c r="O1105" s="14">
        <f t="shared" si="44"/>
        <v>17.902966666666664</v>
      </c>
      <c r="P1105" s="14">
        <f t="shared" si="44"/>
        <v>17.748833333333334</v>
      </c>
      <c r="Q1105" s="14">
        <f t="shared" si="44"/>
        <v>18.498266666666666</v>
      </c>
      <c r="R1105" s="14">
        <f t="shared" si="44"/>
        <v>19.131516666666666</v>
      </c>
      <c r="S1105" s="14">
        <f t="shared" si="44"/>
        <v>17.381166666666665</v>
      </c>
      <c r="T1105" s="49">
        <f>SUM(T433:T444)</f>
        <v>358.17703550000004</v>
      </c>
      <c r="U1105" s="49">
        <f>SUM(U433:U444)</f>
        <v>142.42176299999997</v>
      </c>
      <c r="V1105" s="49">
        <f>SUM(V433:V444)</f>
        <v>50.325000000000003</v>
      </c>
      <c r="W1105" s="49">
        <f>SUM(W433:W444)</f>
        <v>5.0961473999999995</v>
      </c>
      <c r="X1105" s="49">
        <f>SUM(X433:X444)</f>
        <v>20.800615543999996</v>
      </c>
      <c r="Y1105" s="49"/>
      <c r="Z1105" s="55"/>
      <c r="AA1105" s="54"/>
      <c r="AB1105" s="50">
        <f>AVERAGE(AB433:AB444)</f>
        <v>17.924288033649894</v>
      </c>
      <c r="AC1105" s="45">
        <f>AVERAGE(AC433:AC444)</f>
        <v>17.784665947242207</v>
      </c>
    </row>
    <row r="1106" spans="1:29" ht="15.75" x14ac:dyDescent="0.25">
      <c r="A1106" s="10">
        <f t="shared" si="33"/>
        <v>2049</v>
      </c>
      <c r="B1106" s="14">
        <f t="shared" ref="B1106:S1106" si="45">AVERAGE(B445:B456)</f>
        <v>18.579625</v>
      </c>
      <c r="C1106" s="14">
        <f t="shared" si="45"/>
        <v>18.585783333333335</v>
      </c>
      <c r="D1106" s="14">
        <f t="shared" si="45"/>
        <v>18.728308333333334</v>
      </c>
      <c r="E1106" s="14">
        <f t="shared" si="45"/>
        <v>18.760383333333333</v>
      </c>
      <c r="F1106" s="14">
        <f t="shared" si="45"/>
        <v>18.571208333333331</v>
      </c>
      <c r="G1106" s="14">
        <f t="shared" si="45"/>
        <v>18.587341666666671</v>
      </c>
      <c r="H1106" s="14">
        <f t="shared" si="45"/>
        <v>18.749508333333331</v>
      </c>
      <c r="I1106" s="14">
        <f t="shared" si="45"/>
        <v>18.59375</v>
      </c>
      <c r="J1106" s="14">
        <f t="shared" si="45"/>
        <v>18.564208333333333</v>
      </c>
      <c r="K1106" s="53">
        <f t="shared" si="45"/>
        <v>18.589874999999999</v>
      </c>
      <c r="L1106" s="14">
        <f t="shared" si="45"/>
        <v>19.336508333333331</v>
      </c>
      <c r="M1106" s="14">
        <f t="shared" si="45"/>
        <v>18.390683333333332</v>
      </c>
      <c r="N1106" s="14">
        <f t="shared" si="45"/>
        <v>18.40668333333333</v>
      </c>
      <c r="O1106" s="14">
        <f t="shared" si="45"/>
        <v>18.574124999999999</v>
      </c>
      <c r="P1106" s="14">
        <f t="shared" si="45"/>
        <v>18.419983333333331</v>
      </c>
      <c r="Q1106" s="14">
        <f t="shared" si="45"/>
        <v>19.169425</v>
      </c>
      <c r="R1106" s="14">
        <f t="shared" si="45"/>
        <v>19.804341666666666</v>
      </c>
      <c r="S1106" s="14">
        <f t="shared" si="45"/>
        <v>18.039541666666668</v>
      </c>
      <c r="T1106" s="49">
        <f>SUM(T445:T456)</f>
        <v>357.24568100000005</v>
      </c>
      <c r="U1106" s="49">
        <f>SUM(U445:U456)</f>
        <v>142.03263249999998</v>
      </c>
      <c r="V1106" s="49">
        <f>SUM(V445:V456)</f>
        <v>50.187500000000007</v>
      </c>
      <c r="W1106" s="49">
        <f>SUM(W445:W456)</f>
        <v>5.0822234999999996</v>
      </c>
      <c r="X1106" s="49">
        <f>SUM(X445:X456)</f>
        <v>20.758966663999999</v>
      </c>
      <c r="Y1106" s="49"/>
      <c r="Z1106" s="55"/>
      <c r="AA1106" s="54"/>
      <c r="AB1106" s="50">
        <f>AVERAGE(AB445:AB456)</f>
        <v>18.602280407122112</v>
      </c>
      <c r="AC1106" s="45">
        <f>AVERAGE(AC445:AC456)</f>
        <v>18.455821642685848</v>
      </c>
    </row>
    <row r="1107" spans="1:29" ht="15.75" x14ac:dyDescent="0.25">
      <c r="A1107" s="10">
        <f t="shared" si="33"/>
        <v>2050</v>
      </c>
      <c r="B1107" s="14">
        <f t="shared" ref="B1107:S1107" si="46">AVERAGE(B457:B468)</f>
        <v>19.283283333333333</v>
      </c>
      <c r="C1107" s="14">
        <f t="shared" si="46"/>
        <v>19.289474999999999</v>
      </c>
      <c r="D1107" s="14">
        <f t="shared" si="46"/>
        <v>19.431966666666671</v>
      </c>
      <c r="E1107" s="14">
        <f t="shared" si="46"/>
        <v>19.46405833333333</v>
      </c>
      <c r="F1107" s="14">
        <f t="shared" si="46"/>
        <v>19.274900000000002</v>
      </c>
      <c r="G1107" s="14">
        <f t="shared" si="46"/>
        <v>19.291041666666661</v>
      </c>
      <c r="H1107" s="14">
        <f t="shared" si="46"/>
        <v>19.453166666666664</v>
      </c>
      <c r="I1107" s="14">
        <f t="shared" si="46"/>
        <v>19.297433333333334</v>
      </c>
      <c r="J1107" s="14">
        <f t="shared" si="46"/>
        <v>19.267900000000001</v>
      </c>
      <c r="K1107" s="53">
        <f t="shared" si="46"/>
        <v>19.293541666666666</v>
      </c>
      <c r="L1107" s="14">
        <f t="shared" si="46"/>
        <v>20.040166666666668</v>
      </c>
      <c r="M1107" s="14">
        <f t="shared" si="46"/>
        <v>19.087250000000001</v>
      </c>
      <c r="N1107" s="14">
        <f t="shared" si="46"/>
        <v>19.103249999999999</v>
      </c>
      <c r="O1107" s="14">
        <f t="shared" si="46"/>
        <v>19.270683333333327</v>
      </c>
      <c r="P1107" s="14">
        <f t="shared" si="46"/>
        <v>19.116566666666667</v>
      </c>
      <c r="Q1107" s="14">
        <f t="shared" si="46"/>
        <v>19.865983333333336</v>
      </c>
      <c r="R1107" s="14">
        <f t="shared" si="46"/>
        <v>20.502649999999999</v>
      </c>
      <c r="S1107" s="14">
        <f t="shared" si="46"/>
        <v>18.722899999999999</v>
      </c>
      <c r="T1107" s="49">
        <f>SUM(T457:T468)</f>
        <v>357.24568100000005</v>
      </c>
      <c r="U1107" s="49">
        <f>SUM(U457:U468)</f>
        <v>142.03263249999998</v>
      </c>
      <c r="V1107" s="49">
        <f>SUM(V457:V468)</f>
        <v>50.187500000000007</v>
      </c>
      <c r="W1107" s="49">
        <f>SUM(W457:W468)</f>
        <v>5.0822234999999996</v>
      </c>
      <c r="X1107" s="49">
        <f>SUM(X457:X468)</f>
        <v>20.758966663999999</v>
      </c>
      <c r="Y1107" s="49"/>
      <c r="Z1107" s="55"/>
      <c r="AA1107" s="54"/>
      <c r="AB1107" s="50">
        <f>AVERAGE(AB457:AB468)</f>
        <v>19.305964232196175</v>
      </c>
      <c r="AC1107" s="45">
        <f>AVERAGE(AC457:AC468)</f>
        <v>19.152385491606712</v>
      </c>
    </row>
    <row r="1108" spans="1:29" ht="15.75" x14ac:dyDescent="0.25">
      <c r="A1108" s="10">
        <f t="shared" si="33"/>
        <v>2051</v>
      </c>
      <c r="B1108" s="14">
        <f t="shared" ref="B1108:S1108" si="47">AVERAGE(B469:B480)</f>
        <v>20.013616666666667</v>
      </c>
      <c r="C1108" s="14">
        <f t="shared" si="47"/>
        <v>20.019791666666663</v>
      </c>
      <c r="D1108" s="14">
        <f t="shared" si="47"/>
        <v>20.162308333333335</v>
      </c>
      <c r="E1108" s="14">
        <f t="shared" si="47"/>
        <v>20.194399999999998</v>
      </c>
      <c r="F1108" s="14">
        <f t="shared" si="47"/>
        <v>20.005216666666666</v>
      </c>
      <c r="G1108" s="14">
        <f t="shared" si="47"/>
        <v>20.021350000000002</v>
      </c>
      <c r="H1108" s="14">
        <f t="shared" si="47"/>
        <v>20.183491666666665</v>
      </c>
      <c r="I1108" s="14">
        <f t="shared" si="47"/>
        <v>20.027758333333335</v>
      </c>
      <c r="J1108" s="14">
        <f t="shared" si="47"/>
        <v>19.998216666666668</v>
      </c>
      <c r="K1108" s="53">
        <f t="shared" si="47"/>
        <v>20.023866666666667</v>
      </c>
      <c r="L1108" s="14">
        <f t="shared" si="47"/>
        <v>20.770491666666668</v>
      </c>
      <c r="M1108" s="14">
        <f t="shared" si="47"/>
        <v>19.810216666666665</v>
      </c>
      <c r="N1108" s="14">
        <f t="shared" si="47"/>
        <v>19.82620833333333</v>
      </c>
      <c r="O1108" s="14">
        <f t="shared" si="47"/>
        <v>19.993658333333332</v>
      </c>
      <c r="P1108" s="14">
        <f t="shared" si="47"/>
        <v>19.839516666666668</v>
      </c>
      <c r="Q1108" s="14">
        <f t="shared" si="47"/>
        <v>20.588958333333334</v>
      </c>
      <c r="R1108" s="14">
        <f t="shared" si="47"/>
        <v>21.227433333333334</v>
      </c>
      <c r="S1108" s="14">
        <f t="shared" si="47"/>
        <v>19.432116666666662</v>
      </c>
      <c r="T1108" s="49">
        <f>SUM(T469:T480)</f>
        <v>357.24568100000005</v>
      </c>
      <c r="U1108" s="49">
        <f>SUM(U469:U480)</f>
        <v>142.03263249999998</v>
      </c>
      <c r="V1108" s="49">
        <f>SUM(V469:V480)</f>
        <v>50.187500000000007</v>
      </c>
      <c r="W1108" s="49">
        <f>SUM(W469:W480)</f>
        <v>5.0822234999999996</v>
      </c>
      <c r="X1108" s="49">
        <f>SUM(X469:X480)</f>
        <v>20.758966663999999</v>
      </c>
      <c r="Y1108" s="49"/>
      <c r="Z1108" s="55"/>
      <c r="AA1108" s="54"/>
      <c r="AB1108" s="50">
        <f>AVERAGE(AB469:AB480)</f>
        <v>20.036285604656097</v>
      </c>
      <c r="AC1108" s="45">
        <f>AVERAGE(AC469:AC480)</f>
        <v>19.875353057553959</v>
      </c>
    </row>
    <row r="1109" spans="1:29" ht="15.75" x14ac:dyDescent="0.25">
      <c r="A1109" s="10">
        <f t="shared" si="33"/>
        <v>2052</v>
      </c>
      <c r="B1109" s="14">
        <f t="shared" ref="B1109:S1109" si="48">AVERAGE(B481:B492)</f>
        <v>20.771616666666667</v>
      </c>
      <c r="C1109" s="14">
        <f t="shared" si="48"/>
        <v>20.777791666666666</v>
      </c>
      <c r="D1109" s="14">
        <f t="shared" si="48"/>
        <v>20.920291666666667</v>
      </c>
      <c r="E1109" s="14">
        <f t="shared" si="48"/>
        <v>20.952399999999997</v>
      </c>
      <c r="F1109" s="14">
        <f t="shared" si="48"/>
        <v>20.763208333333335</v>
      </c>
      <c r="G1109" s="14">
        <f t="shared" si="48"/>
        <v>20.779350000000001</v>
      </c>
      <c r="H1109" s="14">
        <f t="shared" si="48"/>
        <v>20.941516666666669</v>
      </c>
      <c r="I1109" s="14">
        <f t="shared" si="48"/>
        <v>20.785774999999997</v>
      </c>
      <c r="J1109" s="14">
        <f t="shared" si="48"/>
        <v>20.756208333333337</v>
      </c>
      <c r="K1109" s="53">
        <f t="shared" si="48"/>
        <v>20.781883333333337</v>
      </c>
      <c r="L1109" s="14">
        <f t="shared" si="48"/>
        <v>21.528516666666665</v>
      </c>
      <c r="M1109" s="14">
        <f t="shared" si="48"/>
        <v>20.560575</v>
      </c>
      <c r="N1109" s="14">
        <f t="shared" si="48"/>
        <v>20.576550000000001</v>
      </c>
      <c r="O1109" s="14">
        <f t="shared" si="48"/>
        <v>20.74399166666667</v>
      </c>
      <c r="P1109" s="14">
        <f t="shared" si="48"/>
        <v>20.589866666666662</v>
      </c>
      <c r="Q1109" s="14">
        <f t="shared" si="48"/>
        <v>21.339291666666668</v>
      </c>
      <c r="R1109" s="14">
        <f t="shared" si="48"/>
        <v>21.979658333333333</v>
      </c>
      <c r="S1109" s="14">
        <f t="shared" si="48"/>
        <v>20.168208333333336</v>
      </c>
      <c r="T1109" s="49">
        <f>SUM(T481:T492)</f>
        <v>358.17703550000004</v>
      </c>
      <c r="U1109" s="49">
        <f>SUM(U481:U492)</f>
        <v>142.42176299999997</v>
      </c>
      <c r="V1109" s="49">
        <f>SUM(V481:V492)</f>
        <v>50.325000000000003</v>
      </c>
      <c r="W1109" s="49">
        <f>SUM(W481:W492)</f>
        <v>5.0961473999999995</v>
      </c>
      <c r="X1109" s="49">
        <f>SUM(X481:X492)</f>
        <v>20.800615543999996</v>
      </c>
      <c r="Y1109" s="49"/>
      <c r="Z1109" s="55"/>
      <c r="AA1109" s="54"/>
      <c r="AB1109" s="50">
        <f>AVERAGE(AB481:AB492)</f>
        <v>20.794282260448306</v>
      </c>
      <c r="AC1109" s="45">
        <f>AVERAGE(AC481:AC492)</f>
        <v>20.625697901678659</v>
      </c>
    </row>
    <row r="1110" spans="1:29" ht="15.75" x14ac:dyDescent="0.25">
      <c r="A1110" s="10">
        <f t="shared" si="33"/>
        <v>2053</v>
      </c>
      <c r="B1110" s="14">
        <f t="shared" ref="B1110:S1110" si="49">AVERAGE(B493:B504)</f>
        <v>21.558325</v>
      </c>
      <c r="C1110" s="14">
        <f t="shared" si="49"/>
        <v>21.564508333333333</v>
      </c>
      <c r="D1110" s="14">
        <f t="shared" si="49"/>
        <v>21.707016666666664</v>
      </c>
      <c r="E1110" s="14">
        <f t="shared" si="49"/>
        <v>21.739091666666667</v>
      </c>
      <c r="F1110" s="14">
        <f t="shared" si="49"/>
        <v>21.549916666666661</v>
      </c>
      <c r="G1110" s="14">
        <f t="shared" si="49"/>
        <v>21.566066666666668</v>
      </c>
      <c r="H1110" s="14">
        <f t="shared" si="49"/>
        <v>21.728200000000001</v>
      </c>
      <c r="I1110" s="14">
        <f t="shared" si="49"/>
        <v>21.572466666666667</v>
      </c>
      <c r="J1110" s="14">
        <f t="shared" si="49"/>
        <v>21.542916666666667</v>
      </c>
      <c r="K1110" s="53">
        <f t="shared" si="49"/>
        <v>21.568583333333336</v>
      </c>
      <c r="L1110" s="14">
        <f t="shared" si="49"/>
        <v>22.315200000000001</v>
      </c>
      <c r="M1110" s="14">
        <f t="shared" si="49"/>
        <v>21.339333333333329</v>
      </c>
      <c r="N1110" s="14">
        <f t="shared" si="49"/>
        <v>21.355316666666667</v>
      </c>
      <c r="O1110" s="14">
        <f t="shared" si="49"/>
        <v>21.522758333333332</v>
      </c>
      <c r="P1110" s="14">
        <f t="shared" si="49"/>
        <v>21.368633333333332</v>
      </c>
      <c r="Q1110" s="14">
        <f t="shared" si="49"/>
        <v>22.118058333333334</v>
      </c>
      <c r="R1110" s="14">
        <f t="shared" si="49"/>
        <v>22.760366666666666</v>
      </c>
      <c r="S1110" s="14">
        <f t="shared" si="49"/>
        <v>20.932174999999997</v>
      </c>
      <c r="T1110" s="49">
        <f>SUM(T493:T504)</f>
        <v>357.24568100000005</v>
      </c>
      <c r="U1110" s="49">
        <f>SUM(U493:U504)</f>
        <v>142.03263249999998</v>
      </c>
      <c r="V1110" s="49">
        <f>SUM(V493:V504)</f>
        <v>50.187500000000007</v>
      </c>
      <c r="W1110" s="49">
        <f>SUM(W493:W504)</f>
        <v>5.0822234999999996</v>
      </c>
      <c r="X1110" s="49">
        <f>SUM(X493:X504)</f>
        <v>20.758966663999999</v>
      </c>
      <c r="Y1110" s="49"/>
      <c r="Z1110" s="55"/>
      <c r="AA1110" s="54"/>
      <c r="AB1110" s="50">
        <f>AVERAGE(AB493:AB504)</f>
        <v>21.58099491266022</v>
      </c>
      <c r="AC1110" s="45">
        <f>AVERAGE(AC493:AC504)</f>
        <v>21.404461690647484</v>
      </c>
    </row>
    <row r="1111" spans="1:29" ht="15.75" x14ac:dyDescent="0.25">
      <c r="A1111" s="10">
        <f t="shared" si="33"/>
        <v>2054</v>
      </c>
      <c r="B1111" s="14">
        <f t="shared" ref="B1111:S1111" si="50">AVERAGE(B505:B516)</f>
        <v>22.374841666666665</v>
      </c>
      <c r="C1111" s="14">
        <f t="shared" si="50"/>
        <v>22.381008333333337</v>
      </c>
      <c r="D1111" s="14">
        <f t="shared" si="50"/>
        <v>22.523516666666666</v>
      </c>
      <c r="E1111" s="14">
        <f t="shared" si="50"/>
        <v>22.555608333333335</v>
      </c>
      <c r="F1111" s="14">
        <f t="shared" si="50"/>
        <v>22.366424999999996</v>
      </c>
      <c r="G1111" s="14">
        <f t="shared" si="50"/>
        <v>22.382566666666666</v>
      </c>
      <c r="H1111" s="14">
        <f t="shared" si="50"/>
        <v>22.544733333333337</v>
      </c>
      <c r="I1111" s="14">
        <f t="shared" si="50"/>
        <v>22.388991666666666</v>
      </c>
      <c r="J1111" s="14">
        <f t="shared" si="50"/>
        <v>22.359425000000002</v>
      </c>
      <c r="K1111" s="53">
        <f t="shared" si="50"/>
        <v>22.385091666666668</v>
      </c>
      <c r="L1111" s="14">
        <f t="shared" si="50"/>
        <v>23.131733333333333</v>
      </c>
      <c r="M1111" s="14">
        <f t="shared" si="50"/>
        <v>22.147600000000001</v>
      </c>
      <c r="N1111" s="14">
        <f t="shared" si="50"/>
        <v>22.163591666666665</v>
      </c>
      <c r="O1111" s="14">
        <f t="shared" si="50"/>
        <v>22.331033333333334</v>
      </c>
      <c r="P1111" s="14">
        <f t="shared" si="50"/>
        <v>22.1769</v>
      </c>
      <c r="Q1111" s="14">
        <f t="shared" si="50"/>
        <v>22.926333333333332</v>
      </c>
      <c r="R1111" s="14">
        <f t="shared" si="50"/>
        <v>23.570674999999998</v>
      </c>
      <c r="S1111" s="14">
        <f t="shared" si="50"/>
        <v>21.725091666666668</v>
      </c>
      <c r="T1111" s="49">
        <f>SUM(T505:T516)</f>
        <v>357.24568100000005</v>
      </c>
      <c r="U1111" s="49">
        <f>SUM(U505:U516)</f>
        <v>142.03263249999998</v>
      </c>
      <c r="V1111" s="49">
        <f>SUM(V505:V516)</f>
        <v>50.187500000000007</v>
      </c>
      <c r="W1111" s="49">
        <f>SUM(W505:W516)</f>
        <v>5.0822234999999996</v>
      </c>
      <c r="X1111" s="49">
        <f>SUM(X505:X516)</f>
        <v>20.758966663999999</v>
      </c>
      <c r="Y1111" s="49"/>
      <c r="Z1111" s="52"/>
      <c r="AA1111" s="51"/>
      <c r="AB1111" s="50">
        <f>AVERAGE(AB505:AB516)</f>
        <v>22.397500810452005</v>
      </c>
      <c r="AC1111" s="45">
        <f>AVERAGE(AC505:AC516)</f>
        <v>22.212732613908869</v>
      </c>
    </row>
    <row r="1112" spans="1:29" ht="15.75" x14ac:dyDescent="0.25">
      <c r="A1112" s="10">
        <f t="shared" si="33"/>
        <v>2055</v>
      </c>
      <c r="B1112" s="14">
        <f t="shared" ref="B1112:S1112" si="51">AVERAGE(B517:B528)</f>
        <v>23.222275</v>
      </c>
      <c r="C1112" s="14">
        <f t="shared" si="51"/>
        <v>23.228458333333336</v>
      </c>
      <c r="D1112" s="14">
        <f t="shared" si="51"/>
        <v>23.370966666666671</v>
      </c>
      <c r="E1112" s="14">
        <f t="shared" si="51"/>
        <v>23.403050000000004</v>
      </c>
      <c r="F1112" s="14">
        <f t="shared" si="51"/>
        <v>23.213875000000002</v>
      </c>
      <c r="G1112" s="14">
        <f t="shared" si="51"/>
        <v>23.23</v>
      </c>
      <c r="H1112" s="14">
        <f t="shared" si="51"/>
        <v>23.392175000000005</v>
      </c>
      <c r="I1112" s="14">
        <f t="shared" si="51"/>
        <v>23.236433333333338</v>
      </c>
      <c r="J1112" s="14">
        <f t="shared" si="51"/>
        <v>23.206874999999997</v>
      </c>
      <c r="K1112" s="53">
        <f t="shared" si="51"/>
        <v>23.232541666666666</v>
      </c>
      <c r="L1112" s="14">
        <f t="shared" si="51"/>
        <v>23.979174999999998</v>
      </c>
      <c r="M1112" s="14">
        <f t="shared" si="51"/>
        <v>22.98651666666667</v>
      </c>
      <c r="N1112" s="14">
        <f t="shared" si="51"/>
        <v>23.002499999999998</v>
      </c>
      <c r="O1112" s="14">
        <f t="shared" si="51"/>
        <v>23.169933333333329</v>
      </c>
      <c r="P1112" s="14">
        <f t="shared" si="51"/>
        <v>23.015808333333336</v>
      </c>
      <c r="Q1112" s="14">
        <f t="shared" si="51"/>
        <v>23.765233333333331</v>
      </c>
      <c r="R1112" s="14">
        <f t="shared" si="51"/>
        <v>24.411649999999998</v>
      </c>
      <c r="S1112" s="14">
        <f t="shared" si="51"/>
        <v>22.54805</v>
      </c>
      <c r="T1112" s="49">
        <f>SUM(T517:T528)</f>
        <v>357.24568100000005</v>
      </c>
      <c r="U1112" s="49">
        <f>SUM(U517:U528)</f>
        <v>142.03263249999998</v>
      </c>
      <c r="V1112" s="49">
        <f>SUM(V517:V528)</f>
        <v>50.187500000000007</v>
      </c>
      <c r="W1112" s="49">
        <f>SUM(W517:W528)</f>
        <v>5.0822234999999996</v>
      </c>
      <c r="X1112" s="49">
        <f>SUM(X517:X528)</f>
        <v>20.758966663999999</v>
      </c>
      <c r="Y1112" s="49"/>
      <c r="Z1112" s="52"/>
      <c r="AA1112" s="51"/>
      <c r="AB1112" s="50">
        <f>AVERAGE(AB517:AB528)</f>
        <v>23.244945719507779</v>
      </c>
      <c r="AC1112" s="45">
        <f>AVERAGE(AC517:AC528)</f>
        <v>23.05164004796163</v>
      </c>
    </row>
    <row r="1113" spans="1:29" ht="15.75" x14ac:dyDescent="0.25">
      <c r="A1113" s="10">
        <f t="shared" si="33"/>
        <v>2056</v>
      </c>
      <c r="B1113" s="14">
        <f t="shared" ref="B1113:S1113" si="52">AVERAGE(B529:B540)</f>
        <v>24.101833333333332</v>
      </c>
      <c r="C1113" s="14">
        <f t="shared" si="52"/>
        <v>24.108000000000001</v>
      </c>
      <c r="D1113" s="14">
        <f t="shared" si="52"/>
        <v>24.25051666666667</v>
      </c>
      <c r="E1113" s="14">
        <f t="shared" si="52"/>
        <v>24.282608333333332</v>
      </c>
      <c r="F1113" s="14">
        <f t="shared" si="52"/>
        <v>24.093433333333333</v>
      </c>
      <c r="G1113" s="14">
        <f t="shared" si="52"/>
        <v>24.109566666666666</v>
      </c>
      <c r="H1113" s="14">
        <f t="shared" si="52"/>
        <v>24.271708333333333</v>
      </c>
      <c r="I1113" s="14">
        <f t="shared" si="52"/>
        <v>24.115974999999995</v>
      </c>
      <c r="J1113" s="14">
        <f t="shared" si="52"/>
        <v>24.086433333333336</v>
      </c>
      <c r="K1113" s="53">
        <f t="shared" si="52"/>
        <v>24.112083333333331</v>
      </c>
      <c r="L1113" s="14">
        <f t="shared" si="52"/>
        <v>24.858708333333329</v>
      </c>
      <c r="M1113" s="14">
        <f t="shared" si="52"/>
        <v>23.857183333333335</v>
      </c>
      <c r="N1113" s="14">
        <f t="shared" si="52"/>
        <v>23.873149999999999</v>
      </c>
      <c r="O1113" s="14">
        <f t="shared" si="52"/>
        <v>24.040591666666668</v>
      </c>
      <c r="P1113" s="14">
        <f t="shared" si="52"/>
        <v>23.886475000000001</v>
      </c>
      <c r="Q1113" s="14">
        <f t="shared" si="52"/>
        <v>24.635891666666662</v>
      </c>
      <c r="R1113" s="14">
        <f t="shared" si="52"/>
        <v>25.284491666666664</v>
      </c>
      <c r="S1113" s="14">
        <f t="shared" si="52"/>
        <v>23.40218333333333</v>
      </c>
      <c r="T1113" s="49">
        <f>SUM(T529:T540)</f>
        <v>358.17703550000004</v>
      </c>
      <c r="U1113" s="49">
        <f>SUM(U529:U540)</f>
        <v>142.42176299999997</v>
      </c>
      <c r="V1113" s="49">
        <f>SUM(V529:V540)</f>
        <v>50.325000000000003</v>
      </c>
      <c r="W1113" s="49">
        <f>SUM(W529:W540)</f>
        <v>5.0961473999999995</v>
      </c>
      <c r="X1113" s="49">
        <f>SUM(X529:X540)</f>
        <v>20.800615543999996</v>
      </c>
      <c r="Y1113" s="49"/>
      <c r="Z1113" s="52"/>
      <c r="AA1113" s="51"/>
      <c r="AB1113" s="50">
        <f>AVERAGE(AB529:AB540)</f>
        <v>24.124499517178577</v>
      </c>
      <c r="AC1113" s="45">
        <f>AVERAGE(AC529:AC540)</f>
        <v>23.922301978417266</v>
      </c>
    </row>
    <row r="1114" spans="1:29" ht="15.75" x14ac:dyDescent="0.25">
      <c r="A1114" s="10">
        <f t="shared" si="33"/>
        <v>2057</v>
      </c>
      <c r="B1114" s="14">
        <f t="shared" ref="B1114:S1114" si="53">AVERAGE(B541:B552)</f>
        <v>25.014708333333331</v>
      </c>
      <c r="C1114" s="14">
        <f t="shared" si="53"/>
        <v>25.020849999999996</v>
      </c>
      <c r="D1114" s="14">
        <f t="shared" si="53"/>
        <v>25.163374999999998</v>
      </c>
      <c r="E1114" s="14">
        <f t="shared" si="53"/>
        <v>25.195483333333339</v>
      </c>
      <c r="F1114" s="14">
        <f t="shared" si="53"/>
        <v>25.006283333333332</v>
      </c>
      <c r="G1114" s="14">
        <f t="shared" si="53"/>
        <v>25.022441666666666</v>
      </c>
      <c r="H1114" s="14">
        <f t="shared" si="53"/>
        <v>25.184591666666666</v>
      </c>
      <c r="I1114" s="14">
        <f t="shared" si="53"/>
        <v>25.028833333333335</v>
      </c>
      <c r="J1114" s="14">
        <f t="shared" si="53"/>
        <v>24.999283333333327</v>
      </c>
      <c r="K1114" s="53">
        <f t="shared" si="53"/>
        <v>25.024966666666668</v>
      </c>
      <c r="L1114" s="14">
        <f t="shared" si="53"/>
        <v>25.771591666666666</v>
      </c>
      <c r="M1114" s="14">
        <f t="shared" si="53"/>
        <v>24.760833333333334</v>
      </c>
      <c r="N1114" s="14">
        <f t="shared" si="53"/>
        <v>24.776799999999998</v>
      </c>
      <c r="O1114" s="14">
        <f t="shared" si="53"/>
        <v>24.944266666666667</v>
      </c>
      <c r="P1114" s="14">
        <f t="shared" si="53"/>
        <v>24.790108333333333</v>
      </c>
      <c r="Q1114" s="14">
        <f t="shared" si="53"/>
        <v>25.539566666666662</v>
      </c>
      <c r="R1114" s="14">
        <f t="shared" si="53"/>
        <v>26.190416666666668</v>
      </c>
      <c r="S1114" s="14">
        <f t="shared" si="53"/>
        <v>24.288658333333334</v>
      </c>
      <c r="T1114" s="49">
        <f>SUM(T541:T552)</f>
        <v>357.24568100000005</v>
      </c>
      <c r="U1114" s="49">
        <f>SUM(U541:U552)</f>
        <v>142.03263249999998</v>
      </c>
      <c r="V1114" s="49">
        <f>SUM(V541:V552)</f>
        <v>50.187500000000007</v>
      </c>
      <c r="W1114" s="49">
        <f>SUM(W541:W552)</f>
        <v>5.0822234999999996</v>
      </c>
      <c r="X1114" s="49">
        <f>SUM(X541:X552)</f>
        <v>20.758966663999999</v>
      </c>
      <c r="Y1114" s="49"/>
      <c r="Z1114" s="52"/>
      <c r="AA1114" s="51"/>
      <c r="AB1114" s="50">
        <f>AVERAGE(AB541:AB552)</f>
        <v>25.037358718842786</v>
      </c>
      <c r="AC1114" s="45">
        <f>AVERAGE(AC541:AC552)</f>
        <v>24.82595947242206</v>
      </c>
    </row>
    <row r="1115" spans="1:29" ht="15.75" x14ac:dyDescent="0.25">
      <c r="A1115" s="10">
        <f t="shared" si="33"/>
        <v>2058</v>
      </c>
      <c r="B1115" s="14">
        <f t="shared" ref="B1115:S1115" si="54">AVERAGE(B553:B564)</f>
        <v>25.962141666666668</v>
      </c>
      <c r="C1115" s="14">
        <f t="shared" si="54"/>
        <v>25.968308333333329</v>
      </c>
      <c r="D1115" s="14">
        <f t="shared" si="54"/>
        <v>26.110824999999995</v>
      </c>
      <c r="E1115" s="14">
        <f t="shared" si="54"/>
        <v>26.142908333333327</v>
      </c>
      <c r="F1115" s="14">
        <f t="shared" si="54"/>
        <v>25.953749999999999</v>
      </c>
      <c r="G1115" s="14">
        <f t="shared" si="54"/>
        <v>25.969883333333332</v>
      </c>
      <c r="H1115" s="14">
        <f t="shared" si="54"/>
        <v>26.132033333333336</v>
      </c>
      <c r="I1115" s="14">
        <f t="shared" si="54"/>
        <v>25.976299999999998</v>
      </c>
      <c r="J1115" s="14">
        <f t="shared" si="54"/>
        <v>25.946749999999998</v>
      </c>
      <c r="K1115" s="53">
        <f t="shared" si="54"/>
        <v>25.972400000000004</v>
      </c>
      <c r="L1115" s="14">
        <f t="shared" si="54"/>
        <v>26.719033333333339</v>
      </c>
      <c r="M1115" s="14">
        <f t="shared" si="54"/>
        <v>25.698725</v>
      </c>
      <c r="N1115" s="14">
        <f t="shared" si="54"/>
        <v>25.714699999999997</v>
      </c>
      <c r="O1115" s="14">
        <f t="shared" si="54"/>
        <v>25.882125000000002</v>
      </c>
      <c r="P1115" s="14">
        <f t="shared" si="54"/>
        <v>25.728008333333335</v>
      </c>
      <c r="Q1115" s="14">
        <f t="shared" si="54"/>
        <v>26.477424999999997</v>
      </c>
      <c r="R1115" s="14">
        <f t="shared" si="54"/>
        <v>27.130633333333332</v>
      </c>
      <c r="S1115" s="14">
        <f t="shared" si="54"/>
        <v>25.208749999999998</v>
      </c>
      <c r="T1115" s="49">
        <f>SUM(T553:T564)</f>
        <v>357.24568100000005</v>
      </c>
      <c r="U1115" s="49">
        <f>SUM(U553:U564)</f>
        <v>142.03263249999998</v>
      </c>
      <c r="V1115" s="49">
        <f>SUM(V553:V564)</f>
        <v>50.187500000000007</v>
      </c>
      <c r="W1115" s="49">
        <f>SUM(W553:W564)</f>
        <v>5.0822234999999996</v>
      </c>
      <c r="X1115" s="49">
        <f>SUM(X553:X564)</f>
        <v>20.758966663999999</v>
      </c>
      <c r="Y1115" s="49"/>
      <c r="Z1115" s="52"/>
      <c r="AA1115" s="51"/>
      <c r="AB1115" s="50">
        <f>AVERAGE(AB553:AB564)</f>
        <v>25.984811803996262</v>
      </c>
      <c r="AC1115" s="45">
        <f>AVERAGE(AC553:AC564)</f>
        <v>25.763840587529973</v>
      </c>
    </row>
    <row r="1116" spans="1:29" ht="15.75" x14ac:dyDescent="0.25">
      <c r="A1116" s="10">
        <f t="shared" si="33"/>
        <v>2059</v>
      </c>
      <c r="B1116" s="14">
        <f t="shared" ref="B1116:S1116" si="55">AVERAGE(B565:B576)</f>
        <v>26.945474999999998</v>
      </c>
      <c r="C1116" s="14">
        <f t="shared" si="55"/>
        <v>26.951649999999997</v>
      </c>
      <c r="D1116" s="14">
        <f t="shared" si="55"/>
        <v>27.094158333333329</v>
      </c>
      <c r="E1116" s="14">
        <f t="shared" si="55"/>
        <v>27.126249999999999</v>
      </c>
      <c r="F1116" s="14">
        <f t="shared" si="55"/>
        <v>26.937074999999997</v>
      </c>
      <c r="G1116" s="14">
        <f t="shared" si="55"/>
        <v>26.953216666666666</v>
      </c>
      <c r="H1116" s="14">
        <f t="shared" si="55"/>
        <v>27.115374999999997</v>
      </c>
      <c r="I1116" s="14">
        <f t="shared" si="55"/>
        <v>26.959633333333329</v>
      </c>
      <c r="J1116" s="14">
        <f t="shared" si="55"/>
        <v>26.930075000000002</v>
      </c>
      <c r="K1116" s="53">
        <f t="shared" si="55"/>
        <v>26.955741666666668</v>
      </c>
      <c r="L1116" s="14">
        <f t="shared" si="55"/>
        <v>27.702375</v>
      </c>
      <c r="M1116" s="14">
        <f t="shared" si="55"/>
        <v>26.672133333333335</v>
      </c>
      <c r="N1116" s="14">
        <f t="shared" si="55"/>
        <v>26.688091666666676</v>
      </c>
      <c r="O1116" s="14">
        <f t="shared" si="55"/>
        <v>26.855558333333335</v>
      </c>
      <c r="P1116" s="14">
        <f t="shared" si="55"/>
        <v>26.70141666666667</v>
      </c>
      <c r="Q1116" s="14">
        <f t="shared" si="55"/>
        <v>27.450858333333333</v>
      </c>
      <c r="R1116" s="14">
        <f t="shared" si="55"/>
        <v>28.106483333333333</v>
      </c>
      <c r="S1116" s="14">
        <f t="shared" si="55"/>
        <v>26.163658333333331</v>
      </c>
      <c r="T1116" s="49">
        <f>SUM(T565:T576)</f>
        <v>357.24568100000005</v>
      </c>
      <c r="U1116" s="49">
        <f>SUM(U565:U576)</f>
        <v>142.03263249999998</v>
      </c>
      <c r="V1116" s="49">
        <f>SUM(V565:V576)</f>
        <v>50.187500000000007</v>
      </c>
      <c r="W1116" s="49">
        <f>SUM(W565:W576)</f>
        <v>5.0822234999999996</v>
      </c>
      <c r="X1116" s="49">
        <f>SUM(X565:X576)</f>
        <v>20.758966663999999</v>
      </c>
      <c r="Y1116" s="49"/>
      <c r="Z1116" s="14"/>
      <c r="AA1116" s="14"/>
      <c r="AB1116" s="50">
        <f>AVERAGE(AB565:AB576)</f>
        <v>26.968145564971966</v>
      </c>
      <c r="AC1116" s="45">
        <f>AVERAGE(AC565:AC576)</f>
        <v>26.737256414868099</v>
      </c>
    </row>
    <row r="1117" spans="1:29" ht="15.75" x14ac:dyDescent="0.25">
      <c r="A1117" s="10">
        <f t="shared" si="33"/>
        <v>2060</v>
      </c>
      <c r="B1117" s="14">
        <f t="shared" ref="B1117:S1117" si="56">AVERAGE(B577:B588)</f>
        <v>27.966083333333334</v>
      </c>
      <c r="C1117" s="14">
        <f t="shared" si="56"/>
        <v>27.972233333333335</v>
      </c>
      <c r="D1117" s="14">
        <f t="shared" si="56"/>
        <v>28.114741666666674</v>
      </c>
      <c r="E1117" s="14">
        <f t="shared" si="56"/>
        <v>28.146850000000001</v>
      </c>
      <c r="F1117" s="14">
        <f t="shared" si="56"/>
        <v>27.957658333333331</v>
      </c>
      <c r="G1117" s="14">
        <f t="shared" si="56"/>
        <v>27.973791666666667</v>
      </c>
      <c r="H1117" s="14">
        <f t="shared" si="56"/>
        <v>28.135974999999998</v>
      </c>
      <c r="I1117" s="14">
        <f t="shared" si="56"/>
        <v>27.980216666666667</v>
      </c>
      <c r="J1117" s="14">
        <f t="shared" si="56"/>
        <v>27.950658333333326</v>
      </c>
      <c r="K1117" s="53">
        <f t="shared" si="56"/>
        <v>27.976341666666666</v>
      </c>
      <c r="L1117" s="14">
        <f t="shared" si="56"/>
        <v>28.722974999999995</v>
      </c>
      <c r="M1117" s="14">
        <f t="shared" si="56"/>
        <v>27.682416666666665</v>
      </c>
      <c r="N1117" s="14">
        <f t="shared" si="56"/>
        <v>27.698399999999996</v>
      </c>
      <c r="O1117" s="14">
        <f t="shared" si="56"/>
        <v>27.865849999999998</v>
      </c>
      <c r="P1117" s="14">
        <f t="shared" si="56"/>
        <v>27.711716666666664</v>
      </c>
      <c r="Q1117" s="14">
        <f t="shared" si="56"/>
        <v>28.461150000000004</v>
      </c>
      <c r="R1117" s="14">
        <f t="shared" si="56"/>
        <v>29.119316666666663</v>
      </c>
      <c r="S1117" s="14">
        <f t="shared" si="56"/>
        <v>27.15474166666667</v>
      </c>
      <c r="T1117" s="49">
        <f>SUM(T577:T588)</f>
        <v>358.17703550000004</v>
      </c>
      <c r="U1117" s="49">
        <f>SUM(U577:U588)</f>
        <v>142.42176299999997</v>
      </c>
      <c r="V1117" s="49">
        <f>SUM(V577:V588)</f>
        <v>50.325000000000003</v>
      </c>
      <c r="W1117" s="49">
        <f>SUM(W577:W588)</f>
        <v>5.0961473999999995</v>
      </c>
      <c r="X1117" s="49">
        <f>SUM(X577:X588)</f>
        <v>20.800615543999996</v>
      </c>
      <c r="Y1117" s="49"/>
      <c r="Z1117" s="52"/>
      <c r="AA1117" s="51"/>
      <c r="AB1117" s="50">
        <f>AVERAGE(AB577:AB588)</f>
        <v>27.988731422954022</v>
      </c>
      <c r="AC1117" s="45">
        <f>AVERAGE(AC577:AC588)</f>
        <v>27.747548800959233</v>
      </c>
    </row>
    <row r="1118" spans="1:29" ht="15.75" x14ac:dyDescent="0.25">
      <c r="A1118" s="10">
        <f t="shared" si="33"/>
        <v>2061</v>
      </c>
      <c r="B1118" s="14">
        <f t="shared" ref="B1118:S1118" si="57">AVERAGE(B589:B600)</f>
        <v>29.025324999999999</v>
      </c>
      <c r="C1118" s="14">
        <f t="shared" si="57"/>
        <v>29.03146666666666</v>
      </c>
      <c r="D1118" s="14">
        <f t="shared" si="57"/>
        <v>29.173991666666669</v>
      </c>
      <c r="E1118" s="14">
        <f t="shared" si="57"/>
        <v>29.206116666666663</v>
      </c>
      <c r="F1118" s="14">
        <f t="shared" si="57"/>
        <v>29.016916666666663</v>
      </c>
      <c r="G1118" s="14">
        <f t="shared" si="57"/>
        <v>29.033058333333333</v>
      </c>
      <c r="H1118" s="14">
        <f t="shared" si="57"/>
        <v>29.195225000000004</v>
      </c>
      <c r="I1118" s="14">
        <f t="shared" si="57"/>
        <v>29.039483333333326</v>
      </c>
      <c r="J1118" s="14">
        <f t="shared" si="57"/>
        <v>29.009916666666669</v>
      </c>
      <c r="K1118" s="53">
        <f t="shared" si="57"/>
        <v>29.035583333333335</v>
      </c>
      <c r="L1118" s="14">
        <f t="shared" si="57"/>
        <v>29.782225</v>
      </c>
      <c r="M1118" s="14">
        <f t="shared" si="57"/>
        <v>28.730983333333331</v>
      </c>
      <c r="N1118" s="14">
        <f t="shared" si="57"/>
        <v>28.746966666666662</v>
      </c>
      <c r="O1118" s="14">
        <f t="shared" si="57"/>
        <v>28.914416666666668</v>
      </c>
      <c r="P1118" s="14">
        <f t="shared" si="57"/>
        <v>28.760266666666666</v>
      </c>
      <c r="Q1118" s="14">
        <f t="shared" si="57"/>
        <v>29.509716666666673</v>
      </c>
      <c r="R1118" s="14">
        <f t="shared" si="57"/>
        <v>30.170491666666674</v>
      </c>
      <c r="S1118" s="14">
        <f t="shared" si="57"/>
        <v>28.183391666666669</v>
      </c>
      <c r="T1118" s="49">
        <f>SUM(T589:T600)</f>
        <v>357.24568100000005</v>
      </c>
      <c r="U1118" s="49">
        <f>SUM(U589:U600)</f>
        <v>142.03263249999998</v>
      </c>
      <c r="V1118" s="49">
        <f>SUM(V589:V600)</f>
        <v>50.187500000000007</v>
      </c>
      <c r="W1118" s="49">
        <f>SUM(W589:W600)</f>
        <v>5.0822234999999996</v>
      </c>
      <c r="X1118" s="49">
        <f>SUM(X589:X600)</f>
        <v>20.758966663999999</v>
      </c>
      <c r="Y1118" s="49"/>
      <c r="Z1118" s="52"/>
      <c r="AA1118" s="51"/>
      <c r="AB1118" s="50">
        <f>AVERAGE(AB589:AB600)</f>
        <v>29.047982713835761</v>
      </c>
      <c r="AC1118" s="45">
        <f>AVERAGE(AC589:AC600)</f>
        <v>28.796113069544365</v>
      </c>
    </row>
    <row r="1119" spans="1:29" ht="15" x14ac:dyDescent="0.2">
      <c r="A1119" s="10">
        <f t="shared" si="33"/>
        <v>2062</v>
      </c>
      <c r="B1119" s="14">
        <f t="shared" ref="B1119:K1128" ca="1" si="58">AVERAGE(OFFSET(B$601,($A1119-$A$1119)*12,0,12,1))</f>
        <v>30.124700000000001</v>
      </c>
      <c r="C1119" s="14">
        <f t="shared" ca="1" si="58"/>
        <v>30.130866666666666</v>
      </c>
      <c r="D1119" s="14">
        <f t="shared" ca="1" si="58"/>
        <v>30.273383333333332</v>
      </c>
      <c r="E1119" s="14">
        <f t="shared" ca="1" si="58"/>
        <v>30.305483333333328</v>
      </c>
      <c r="F1119" s="14">
        <f t="shared" ca="1" si="58"/>
        <v>30.116299999999995</v>
      </c>
      <c r="G1119" s="14">
        <f t="shared" ca="1" si="58"/>
        <v>30.132425000000008</v>
      </c>
      <c r="H1119" s="14">
        <f t="shared" ca="1" si="58"/>
        <v>30.294591666666665</v>
      </c>
      <c r="I1119" s="14">
        <f t="shared" ca="1" si="58"/>
        <v>30.138858333333332</v>
      </c>
      <c r="J1119" s="14">
        <f t="shared" ca="1" si="58"/>
        <v>30.109300000000001</v>
      </c>
      <c r="K1119" s="14">
        <f t="shared" ca="1" si="58"/>
        <v>30.13495833333333</v>
      </c>
      <c r="L1119" s="14">
        <f t="shared" ref="L1119:S1128" ca="1" si="59">AVERAGE(OFFSET(L$601,($A1119-$A$1119)*12,0,12,1))</f>
        <v>30.881591666666669</v>
      </c>
      <c r="M1119" s="14">
        <f t="shared" ca="1" si="59"/>
        <v>29.819258333333334</v>
      </c>
      <c r="N1119" s="14">
        <f t="shared" ca="1" si="59"/>
        <v>29.835241666666661</v>
      </c>
      <c r="O1119" s="14">
        <f t="shared" ca="1" si="59"/>
        <v>30.002708333333331</v>
      </c>
      <c r="P1119" s="14">
        <f t="shared" ca="1" si="59"/>
        <v>29.84855833333333</v>
      </c>
      <c r="Q1119" s="14">
        <f t="shared" ca="1" si="59"/>
        <v>30.598008333333336</v>
      </c>
      <c r="R1119" s="14">
        <f t="shared" ca="1" si="59"/>
        <v>31.261483333333334</v>
      </c>
      <c r="S1119" s="14">
        <f t="shared" ca="1" si="59"/>
        <v>29.250991666666664</v>
      </c>
      <c r="T1119" s="49">
        <f t="shared" ref="T1119:X1128" ca="1" si="60">SUM(OFFSET(T$601,($A1119-$A$1119)*12,0,12,1))</f>
        <v>357.24568100000005</v>
      </c>
      <c r="U1119" s="49">
        <f t="shared" ca="1" si="60"/>
        <v>142.03263249999998</v>
      </c>
      <c r="V1119" s="49">
        <f t="shared" ca="1" si="60"/>
        <v>50.187500000000007</v>
      </c>
      <c r="W1119" s="49">
        <f t="shared" ca="1" si="60"/>
        <v>5.0822234999999996</v>
      </c>
      <c r="X1119" s="49">
        <f t="shared" ca="1" si="60"/>
        <v>20.758966663999999</v>
      </c>
      <c r="Y1119" s="14"/>
      <c r="Z1119" s="14"/>
      <c r="AA1119" s="14"/>
      <c r="AB1119" s="14">
        <f t="shared" ref="AB1119:AC1138" ca="1" si="61">AVERAGE(OFFSET(AB$601,($A1119-$A$1119)*12,0,12,1))</f>
        <v>30.147366684307119</v>
      </c>
      <c r="AC1119" s="14">
        <f t="shared" ca="1" si="61"/>
        <v>29.907540467625896</v>
      </c>
    </row>
    <row r="1120" spans="1:29" ht="15" x14ac:dyDescent="0.2">
      <c r="A1120" s="10">
        <f t="shared" si="33"/>
        <v>2063</v>
      </c>
      <c r="B1120" s="14">
        <f t="shared" ca="1" si="58"/>
        <v>31.265733333333333</v>
      </c>
      <c r="C1120" s="14">
        <f t="shared" ca="1" si="58"/>
        <v>31.271883333333331</v>
      </c>
      <c r="D1120" s="14">
        <f t="shared" ca="1" si="58"/>
        <v>31.414408333333331</v>
      </c>
      <c r="E1120" s="14">
        <f t="shared" ca="1" si="58"/>
        <v>31.4465</v>
      </c>
      <c r="F1120" s="14">
        <f t="shared" ca="1" si="58"/>
        <v>31.257316666666668</v>
      </c>
      <c r="G1120" s="14">
        <f t="shared" ca="1" si="58"/>
        <v>31.273458333333338</v>
      </c>
      <c r="H1120" s="14">
        <f t="shared" ca="1" si="58"/>
        <v>31.435616666666672</v>
      </c>
      <c r="I1120" s="14">
        <f t="shared" ca="1" si="58"/>
        <v>31.279875000000004</v>
      </c>
      <c r="J1120" s="14">
        <f t="shared" ca="1" si="58"/>
        <v>31.250316666666667</v>
      </c>
      <c r="K1120" s="14">
        <f t="shared" ca="1" si="58"/>
        <v>31.275974999999999</v>
      </c>
      <c r="L1120" s="14">
        <f t="shared" ca="1" si="59"/>
        <v>32.022616666666671</v>
      </c>
      <c r="M1120" s="14">
        <f t="shared" ca="1" si="59"/>
        <v>30.948783333333335</v>
      </c>
      <c r="N1120" s="14">
        <f t="shared" ca="1" si="59"/>
        <v>30.964741666666665</v>
      </c>
      <c r="O1120" s="14">
        <f t="shared" ca="1" si="59"/>
        <v>31.132200000000001</v>
      </c>
      <c r="P1120" s="14">
        <f t="shared" ca="1" si="59"/>
        <v>30.978066666666663</v>
      </c>
      <c r="Q1120" s="14">
        <f t="shared" ca="1" si="59"/>
        <v>31.727499999999996</v>
      </c>
      <c r="R1120" s="14">
        <f t="shared" ca="1" si="59"/>
        <v>32.393808333333332</v>
      </c>
      <c r="S1120" s="14">
        <f t="shared" ca="1" si="59"/>
        <v>30.359033333333329</v>
      </c>
      <c r="T1120" s="49">
        <f t="shared" ca="1" si="60"/>
        <v>357.24568100000005</v>
      </c>
      <c r="U1120" s="49">
        <f t="shared" ca="1" si="60"/>
        <v>142.03263249999998</v>
      </c>
      <c r="V1120" s="49">
        <f t="shared" ca="1" si="60"/>
        <v>50.187500000000007</v>
      </c>
      <c r="W1120" s="49">
        <f t="shared" ca="1" si="60"/>
        <v>5.0822234999999996</v>
      </c>
      <c r="X1120" s="49">
        <f t="shared" ca="1" si="60"/>
        <v>20.758966663999999</v>
      </c>
      <c r="Y1120" s="14"/>
      <c r="Z1120" s="14"/>
      <c r="AA1120" s="14"/>
      <c r="AB1120" s="14">
        <f t="shared" ca="1" si="61"/>
        <v>31.288388383488993</v>
      </c>
      <c r="AC1120" s="14">
        <f t="shared" ca="1" si="61"/>
        <v>31.037046522781775</v>
      </c>
    </row>
    <row r="1121" spans="1:29" ht="15" x14ac:dyDescent="0.2">
      <c r="A1121" s="10">
        <f t="shared" si="33"/>
        <v>2064</v>
      </c>
      <c r="B1121" s="14">
        <f t="shared" ca="1" si="58"/>
        <v>32.449983333333329</v>
      </c>
      <c r="C1121" s="14">
        <f t="shared" ca="1" si="58"/>
        <v>32.456141666666667</v>
      </c>
      <c r="D1121" s="14">
        <f t="shared" ca="1" si="58"/>
        <v>32.598641666666673</v>
      </c>
      <c r="E1121" s="14">
        <f t="shared" ca="1" si="58"/>
        <v>32.630741666666673</v>
      </c>
      <c r="F1121" s="14">
        <f t="shared" ca="1" si="58"/>
        <v>32.441575000000007</v>
      </c>
      <c r="G1121" s="14">
        <f t="shared" ca="1" si="58"/>
        <v>32.45771666666667</v>
      </c>
      <c r="H1121" s="14">
        <f t="shared" ca="1" si="58"/>
        <v>32.619875</v>
      </c>
      <c r="I1121" s="14">
        <f t="shared" ca="1" si="58"/>
        <v>32.46414166666667</v>
      </c>
      <c r="J1121" s="14">
        <f t="shared" ca="1" si="58"/>
        <v>32.434575000000002</v>
      </c>
      <c r="K1121" s="14">
        <f t="shared" ca="1" si="58"/>
        <v>32.460241666666668</v>
      </c>
      <c r="L1121" s="14">
        <f t="shared" ca="1" si="59"/>
        <v>33.206875000000004</v>
      </c>
      <c r="M1121" s="14">
        <f t="shared" ca="1" si="59"/>
        <v>32.12105833333333</v>
      </c>
      <c r="N1121" s="14">
        <f t="shared" ca="1" si="59"/>
        <v>32.137058333333336</v>
      </c>
      <c r="O1121" s="14">
        <f t="shared" ca="1" si="59"/>
        <v>32.304508333333338</v>
      </c>
      <c r="P1121" s="14">
        <f t="shared" ca="1" si="59"/>
        <v>32.150366666666663</v>
      </c>
      <c r="Q1121" s="14">
        <f t="shared" ca="1" si="59"/>
        <v>32.899808333333333</v>
      </c>
      <c r="R1121" s="14">
        <f t="shared" ca="1" si="59"/>
        <v>33.569041666666671</v>
      </c>
      <c r="S1121" s="14">
        <f t="shared" ca="1" si="59"/>
        <v>31.509049999999998</v>
      </c>
      <c r="T1121" s="49">
        <f t="shared" ca="1" si="60"/>
        <v>358.17703550000004</v>
      </c>
      <c r="U1121" s="49">
        <f t="shared" ca="1" si="60"/>
        <v>142.42176299999997</v>
      </c>
      <c r="V1121" s="49">
        <f t="shared" ca="1" si="60"/>
        <v>50.325000000000003</v>
      </c>
      <c r="W1121" s="49">
        <f t="shared" ca="1" si="60"/>
        <v>5.0961473999999995</v>
      </c>
      <c r="X1121" s="49">
        <f t="shared" ca="1" si="60"/>
        <v>20.800615543999996</v>
      </c>
      <c r="Y1121" s="14"/>
      <c r="Z1121" s="14"/>
      <c r="AA1121" s="14"/>
      <c r="AB1121" s="14">
        <f t="shared" ca="1" si="61"/>
        <v>32.472643227547501</v>
      </c>
      <c r="AC1121" s="14">
        <f t="shared" ca="1" si="61"/>
        <v>32.209342625899275</v>
      </c>
    </row>
    <row r="1122" spans="1:29" ht="15" x14ac:dyDescent="0.2">
      <c r="A1122" s="10">
        <f t="shared" si="33"/>
        <v>2065</v>
      </c>
      <c r="B1122" s="14">
        <f t="shared" ca="1" si="58"/>
        <v>33.679074999999997</v>
      </c>
      <c r="C1122" s="14">
        <f t="shared" ca="1" si="58"/>
        <v>33.685258333333337</v>
      </c>
      <c r="D1122" s="14">
        <f t="shared" ca="1" si="58"/>
        <v>33.827750000000002</v>
      </c>
      <c r="E1122" s="14">
        <f t="shared" ca="1" si="58"/>
        <v>33.859866666666669</v>
      </c>
      <c r="F1122" s="14">
        <f t="shared" ca="1" si="58"/>
        <v>33.670674999999996</v>
      </c>
      <c r="G1122" s="14">
        <f t="shared" ca="1" si="58"/>
        <v>33.686808333333332</v>
      </c>
      <c r="H1122" s="14">
        <f t="shared" ca="1" si="58"/>
        <v>33.848975000000003</v>
      </c>
      <c r="I1122" s="14">
        <f t="shared" ca="1" si="58"/>
        <v>33.693225000000005</v>
      </c>
      <c r="J1122" s="14">
        <f t="shared" ca="1" si="58"/>
        <v>33.663674999999998</v>
      </c>
      <c r="K1122" s="14">
        <f t="shared" ca="1" si="58"/>
        <v>33.689341666666664</v>
      </c>
      <c r="L1122" s="14">
        <f t="shared" ca="1" si="59"/>
        <v>34.435974999999992</v>
      </c>
      <c r="M1122" s="14">
        <f t="shared" ca="1" si="59"/>
        <v>33.337774999999993</v>
      </c>
      <c r="N1122" s="14">
        <f t="shared" ca="1" si="59"/>
        <v>33.353758333333332</v>
      </c>
      <c r="O1122" s="14">
        <f t="shared" ca="1" si="59"/>
        <v>33.521200000000007</v>
      </c>
      <c r="P1122" s="14">
        <f t="shared" ca="1" si="59"/>
        <v>33.367066666666666</v>
      </c>
      <c r="Q1122" s="14">
        <f t="shared" ca="1" si="59"/>
        <v>34.116500000000002</v>
      </c>
      <c r="R1122" s="14">
        <f t="shared" ca="1" si="59"/>
        <v>34.788800000000002</v>
      </c>
      <c r="S1122" s="14">
        <f t="shared" ca="1" si="59"/>
        <v>32.702649999999998</v>
      </c>
      <c r="T1122" s="49">
        <f t="shared" ca="1" si="60"/>
        <v>357.24568100000005</v>
      </c>
      <c r="U1122" s="49">
        <f t="shared" ca="1" si="60"/>
        <v>142.03263249999998</v>
      </c>
      <c r="V1122" s="49">
        <f t="shared" ca="1" si="60"/>
        <v>50.187500000000007</v>
      </c>
      <c r="W1122" s="49">
        <f t="shared" ca="1" si="60"/>
        <v>5.0822234999999996</v>
      </c>
      <c r="X1122" s="49">
        <f t="shared" ca="1" si="60"/>
        <v>20.758966663999999</v>
      </c>
      <c r="Y1122" s="14"/>
      <c r="Z1122" s="14"/>
      <c r="AA1122" s="14"/>
      <c r="AB1122" s="14">
        <f t="shared" ca="1" si="61"/>
        <v>33.701745263954976</v>
      </c>
      <c r="AC1122" s="14">
        <f t="shared" ca="1" si="61"/>
        <v>33.426044604316544</v>
      </c>
    </row>
    <row r="1123" spans="1:29" ht="15" x14ac:dyDescent="0.2">
      <c r="A1123" s="10">
        <f t="shared" si="33"/>
        <v>2066</v>
      </c>
      <c r="B1123" s="14">
        <f t="shared" ca="1" si="58"/>
        <v>34.954766666666664</v>
      </c>
      <c r="C1123" s="14">
        <f t="shared" ca="1" si="58"/>
        <v>34.960908333333336</v>
      </c>
      <c r="D1123" s="14">
        <f t="shared" ca="1" si="58"/>
        <v>35.103450000000002</v>
      </c>
      <c r="E1123" s="14">
        <f t="shared" ca="1" si="58"/>
        <v>35.135533333333335</v>
      </c>
      <c r="F1123" s="14">
        <f t="shared" ca="1" si="58"/>
        <v>34.946349999999995</v>
      </c>
      <c r="G1123" s="14">
        <f t="shared" ca="1" si="58"/>
        <v>34.962491666666672</v>
      </c>
      <c r="H1123" s="14">
        <f t="shared" ca="1" si="58"/>
        <v>35.124641666666662</v>
      </c>
      <c r="I1123" s="14">
        <f t="shared" ca="1" si="58"/>
        <v>34.968891666666664</v>
      </c>
      <c r="J1123" s="14">
        <f t="shared" ca="1" si="58"/>
        <v>34.939349999999997</v>
      </c>
      <c r="K1123" s="14">
        <f t="shared" ca="1" si="58"/>
        <v>34.965000000000011</v>
      </c>
      <c r="L1123" s="14">
        <f t="shared" ca="1" si="59"/>
        <v>35.711641666666672</v>
      </c>
      <c r="M1123" s="14">
        <f t="shared" ca="1" si="59"/>
        <v>34.600583333333333</v>
      </c>
      <c r="N1123" s="14">
        <f t="shared" ca="1" si="59"/>
        <v>34.616549999999997</v>
      </c>
      <c r="O1123" s="14">
        <f t="shared" ca="1" si="59"/>
        <v>34.783999999999992</v>
      </c>
      <c r="P1123" s="14">
        <f t="shared" ca="1" si="59"/>
        <v>34.629874999999991</v>
      </c>
      <c r="Q1123" s="14">
        <f t="shared" ca="1" si="59"/>
        <v>35.379300000000001</v>
      </c>
      <c r="R1123" s="14">
        <f t="shared" ca="1" si="59"/>
        <v>36.054749999999999</v>
      </c>
      <c r="S1123" s="14">
        <f t="shared" ca="1" si="59"/>
        <v>33.941458333333337</v>
      </c>
      <c r="T1123" s="49">
        <f t="shared" ca="1" si="60"/>
        <v>357.24568100000005</v>
      </c>
      <c r="U1123" s="49">
        <f t="shared" ca="1" si="60"/>
        <v>142.03263249999998</v>
      </c>
      <c r="V1123" s="49">
        <f t="shared" ca="1" si="60"/>
        <v>50.187500000000007</v>
      </c>
      <c r="W1123" s="49">
        <f t="shared" ca="1" si="60"/>
        <v>5.0822234999999996</v>
      </c>
      <c r="X1123" s="49">
        <f t="shared" ca="1" si="60"/>
        <v>20.758966663999999</v>
      </c>
      <c r="Y1123" s="14"/>
      <c r="Z1123" s="14"/>
      <c r="AA1123" s="14"/>
      <c r="AB1123" s="14">
        <f t="shared" ca="1" si="61"/>
        <v>34.977418846693816</v>
      </c>
      <c r="AC1123" s="14">
        <f t="shared" ca="1" si="61"/>
        <v>34.688848201438852</v>
      </c>
    </row>
    <row r="1124" spans="1:29" ht="15" x14ac:dyDescent="0.2">
      <c r="A1124" s="10">
        <f t="shared" si="33"/>
        <v>2067</v>
      </c>
      <c r="B1124" s="14">
        <f t="shared" ca="1" si="58"/>
        <v>36.278758333333336</v>
      </c>
      <c r="C1124" s="14">
        <f t="shared" ca="1" si="58"/>
        <v>36.2849</v>
      </c>
      <c r="D1124" s="14">
        <f t="shared" ca="1" si="58"/>
        <v>36.427424999999999</v>
      </c>
      <c r="E1124" s="14">
        <f t="shared" ca="1" si="58"/>
        <v>36.459524999999999</v>
      </c>
      <c r="F1124" s="14">
        <f t="shared" ca="1" si="58"/>
        <v>36.270350000000008</v>
      </c>
      <c r="G1124" s="14">
        <f t="shared" ca="1" si="58"/>
        <v>36.28649166666667</v>
      </c>
      <c r="H1124" s="14">
        <f t="shared" ca="1" si="58"/>
        <v>36.448658333333334</v>
      </c>
      <c r="I1124" s="14">
        <f t="shared" ca="1" si="58"/>
        <v>36.292899999999996</v>
      </c>
      <c r="J1124" s="14">
        <f t="shared" ca="1" si="58"/>
        <v>36.26335000000001</v>
      </c>
      <c r="K1124" s="14">
        <f t="shared" ca="1" si="58"/>
        <v>36.289000000000001</v>
      </c>
      <c r="L1124" s="14">
        <f t="shared" ca="1" si="59"/>
        <v>37.035658333333338</v>
      </c>
      <c r="M1124" s="14">
        <f t="shared" ca="1" si="59"/>
        <v>35.911208333333335</v>
      </c>
      <c r="N1124" s="14">
        <f t="shared" ca="1" si="59"/>
        <v>35.927183333333332</v>
      </c>
      <c r="O1124" s="14">
        <f t="shared" ca="1" si="59"/>
        <v>36.094650000000001</v>
      </c>
      <c r="P1124" s="14">
        <f t="shared" ca="1" si="59"/>
        <v>35.9405</v>
      </c>
      <c r="Q1124" s="14">
        <f t="shared" ca="1" si="59"/>
        <v>36.689950000000003</v>
      </c>
      <c r="R1124" s="14">
        <f t="shared" ca="1" si="59"/>
        <v>37.368666666666662</v>
      </c>
      <c r="S1124" s="14">
        <f t="shared" ca="1" si="59"/>
        <v>35.227183333333336</v>
      </c>
      <c r="T1124" s="49">
        <f t="shared" ca="1" si="60"/>
        <v>357.24568100000005</v>
      </c>
      <c r="U1124" s="49">
        <f t="shared" ca="1" si="60"/>
        <v>142.03263249999998</v>
      </c>
      <c r="V1124" s="49">
        <f t="shared" ca="1" si="60"/>
        <v>50.187500000000007</v>
      </c>
      <c r="W1124" s="49">
        <f t="shared" ca="1" si="60"/>
        <v>5.0822234999999996</v>
      </c>
      <c r="X1124" s="49">
        <f t="shared" ca="1" si="60"/>
        <v>20.758966663999999</v>
      </c>
      <c r="Y1124" s="14"/>
      <c r="Z1124" s="14"/>
      <c r="AA1124" s="14"/>
      <c r="AB1124" s="14">
        <f t="shared" ca="1" si="61"/>
        <v>36.30141364193544</v>
      </c>
      <c r="AC1124" s="14">
        <f t="shared" ca="1" si="61"/>
        <v>35.999485011990416</v>
      </c>
    </row>
    <row r="1125" spans="1:29" ht="15" x14ac:dyDescent="0.2">
      <c r="A1125" s="10">
        <f t="shared" si="33"/>
        <v>2068</v>
      </c>
      <c r="B1125" s="14">
        <f t="shared" ca="1" si="58"/>
        <v>37.652891666666669</v>
      </c>
      <c r="C1125" s="14">
        <f t="shared" ca="1" si="58"/>
        <v>37.659083333333335</v>
      </c>
      <c r="D1125" s="14">
        <f t="shared" ca="1" si="58"/>
        <v>37.801566666666659</v>
      </c>
      <c r="E1125" s="14">
        <f t="shared" ca="1" si="58"/>
        <v>37.833675000000007</v>
      </c>
      <c r="F1125" s="14">
        <f t="shared" ca="1" si="58"/>
        <v>37.644491666666674</v>
      </c>
      <c r="G1125" s="14">
        <f t="shared" ca="1" si="58"/>
        <v>37.660625000000003</v>
      </c>
      <c r="H1125" s="14">
        <f t="shared" ca="1" si="58"/>
        <v>37.822791666666667</v>
      </c>
      <c r="I1125" s="14">
        <f t="shared" ca="1" si="58"/>
        <v>37.667050000000003</v>
      </c>
      <c r="J1125" s="14">
        <f t="shared" ca="1" si="58"/>
        <v>37.637491666666669</v>
      </c>
      <c r="K1125" s="14">
        <f t="shared" ca="1" si="58"/>
        <v>37.663166666666676</v>
      </c>
      <c r="L1125" s="14">
        <f t="shared" ca="1" si="59"/>
        <v>38.409791666666671</v>
      </c>
      <c r="M1125" s="14">
        <f t="shared" ca="1" si="59"/>
        <v>37.271491666666655</v>
      </c>
      <c r="N1125" s="14">
        <f t="shared" ca="1" si="59"/>
        <v>37.287475000000001</v>
      </c>
      <c r="O1125" s="14">
        <f t="shared" ca="1" si="59"/>
        <v>37.454916666666662</v>
      </c>
      <c r="P1125" s="14">
        <f t="shared" ca="1" si="59"/>
        <v>37.300783333333335</v>
      </c>
      <c r="Q1125" s="14">
        <f t="shared" ca="1" si="59"/>
        <v>38.050216666666664</v>
      </c>
      <c r="R1125" s="14">
        <f t="shared" ca="1" si="59"/>
        <v>38.732350000000004</v>
      </c>
      <c r="S1125" s="14">
        <f t="shared" ca="1" si="59"/>
        <v>36.561624999999999</v>
      </c>
      <c r="T1125" s="49">
        <f t="shared" ca="1" si="60"/>
        <v>358.17703550000004</v>
      </c>
      <c r="U1125" s="49">
        <f t="shared" ca="1" si="60"/>
        <v>142.42176299999997</v>
      </c>
      <c r="V1125" s="49">
        <f t="shared" ca="1" si="60"/>
        <v>50.325000000000003</v>
      </c>
      <c r="W1125" s="49">
        <f t="shared" ca="1" si="60"/>
        <v>5.0961473999999995</v>
      </c>
      <c r="X1125" s="49">
        <f t="shared" ca="1" si="60"/>
        <v>20.800615543999996</v>
      </c>
      <c r="Y1125" s="14"/>
      <c r="Z1125" s="14"/>
      <c r="AA1125" s="14"/>
      <c r="AB1125" s="14">
        <f t="shared" ca="1" si="61"/>
        <v>37.675564451678717</v>
      </c>
      <c r="AC1125" s="14">
        <f t="shared" ca="1" si="61"/>
        <v>37.359761270983221</v>
      </c>
    </row>
    <row r="1126" spans="1:29" ht="15" x14ac:dyDescent="0.2">
      <c r="A1126" s="10">
        <f t="shared" si="33"/>
        <v>2069</v>
      </c>
      <c r="B1126" s="14">
        <f t="shared" ca="1" si="58"/>
        <v>39.07910833333333</v>
      </c>
      <c r="C1126" s="14">
        <f t="shared" ca="1" si="58"/>
        <v>39.085275000000003</v>
      </c>
      <c r="D1126" s="14">
        <f t="shared" ca="1" si="58"/>
        <v>39.227800000000002</v>
      </c>
      <c r="E1126" s="14">
        <f t="shared" ca="1" si="58"/>
        <v>39.259875000000001</v>
      </c>
      <c r="F1126" s="14">
        <f t="shared" ca="1" si="58"/>
        <v>39.070691666666669</v>
      </c>
      <c r="G1126" s="14">
        <f t="shared" ca="1" si="58"/>
        <v>39.086841666666665</v>
      </c>
      <c r="H1126" s="14">
        <f t="shared" ca="1" si="58"/>
        <v>39.248991666666662</v>
      </c>
      <c r="I1126" s="14">
        <f t="shared" ca="1" si="58"/>
        <v>39.093266666666665</v>
      </c>
      <c r="J1126" s="14">
        <f t="shared" ca="1" si="58"/>
        <v>39.063691666666671</v>
      </c>
      <c r="K1126" s="14">
        <f t="shared" ca="1" si="58"/>
        <v>39.089375000000004</v>
      </c>
      <c r="L1126" s="14">
        <f t="shared" ca="1" si="59"/>
        <v>39.835991666666665</v>
      </c>
      <c r="M1126" s="14">
        <f t="shared" ca="1" si="59"/>
        <v>38.683291666666662</v>
      </c>
      <c r="N1126" s="14">
        <f t="shared" ca="1" si="59"/>
        <v>38.699283333333334</v>
      </c>
      <c r="O1126" s="14">
        <f t="shared" ca="1" si="59"/>
        <v>38.866725000000002</v>
      </c>
      <c r="P1126" s="14">
        <f t="shared" ca="1" si="59"/>
        <v>38.712600000000002</v>
      </c>
      <c r="Q1126" s="14">
        <f t="shared" ca="1" si="59"/>
        <v>39.462025000000004</v>
      </c>
      <c r="R1126" s="14">
        <f t="shared" ca="1" si="59"/>
        <v>40.147691666666667</v>
      </c>
      <c r="S1126" s="14">
        <f t="shared" ca="1" si="59"/>
        <v>37.946625000000004</v>
      </c>
      <c r="T1126" s="49">
        <f t="shared" ca="1" si="60"/>
        <v>357.24568100000005</v>
      </c>
      <c r="U1126" s="49">
        <f t="shared" ca="1" si="60"/>
        <v>142.03263249999998</v>
      </c>
      <c r="V1126" s="49">
        <f t="shared" ca="1" si="60"/>
        <v>50.187500000000007</v>
      </c>
      <c r="W1126" s="49">
        <f t="shared" ca="1" si="60"/>
        <v>5.0822234999999996</v>
      </c>
      <c r="X1126" s="49">
        <f t="shared" ca="1" si="60"/>
        <v>20.758966663999999</v>
      </c>
      <c r="Y1126" s="14"/>
      <c r="Z1126" s="14"/>
      <c r="AA1126" s="14"/>
      <c r="AB1126" s="14">
        <f t="shared" ca="1" si="61"/>
        <v>39.101771437223363</v>
      </c>
      <c r="AC1126" s="14">
        <f t="shared" ca="1" si="61"/>
        <v>38.771567925659475</v>
      </c>
    </row>
    <row r="1127" spans="1:29" ht="15" x14ac:dyDescent="0.2">
      <c r="A1127" s="10">
        <f t="shared" ref="A1127:A1157" si="62">A1126+1</f>
        <v>2070</v>
      </c>
      <c r="B1127" s="14">
        <f t="shared" ca="1" si="58"/>
        <v>40.559341666666668</v>
      </c>
      <c r="C1127" s="14">
        <f t="shared" ca="1" si="58"/>
        <v>40.565508333333334</v>
      </c>
      <c r="D1127" s="14">
        <f t="shared" ca="1" si="58"/>
        <v>40.708008333333332</v>
      </c>
      <c r="E1127" s="14">
        <f t="shared" ca="1" si="58"/>
        <v>40.740116666666665</v>
      </c>
      <c r="F1127" s="14">
        <f t="shared" ca="1" si="58"/>
        <v>40.550924999999999</v>
      </c>
      <c r="G1127" s="14">
        <f t="shared" ca="1" si="58"/>
        <v>40.567066666666669</v>
      </c>
      <c r="H1127" s="14">
        <f t="shared" ca="1" si="58"/>
        <v>40.729241666666674</v>
      </c>
      <c r="I1127" s="14">
        <f t="shared" ca="1" si="58"/>
        <v>40.573491666666662</v>
      </c>
      <c r="J1127" s="14">
        <f t="shared" ca="1" si="58"/>
        <v>40.543925000000002</v>
      </c>
      <c r="K1127" s="14">
        <f t="shared" ca="1" si="58"/>
        <v>40.569608333333328</v>
      </c>
      <c r="L1127" s="14">
        <f t="shared" ca="1" si="59"/>
        <v>41.316241666666663</v>
      </c>
      <c r="M1127" s="14">
        <f t="shared" ca="1" si="59"/>
        <v>40.148600000000002</v>
      </c>
      <c r="N1127" s="14">
        <f t="shared" ca="1" si="59"/>
        <v>40.164591666666666</v>
      </c>
      <c r="O1127" s="14">
        <f t="shared" ca="1" si="59"/>
        <v>40.332041666666676</v>
      </c>
      <c r="P1127" s="14">
        <f t="shared" ca="1" si="59"/>
        <v>40.177900000000001</v>
      </c>
      <c r="Q1127" s="14">
        <f t="shared" ca="1" si="59"/>
        <v>40.927341666666671</v>
      </c>
      <c r="R1127" s="14">
        <f t="shared" ca="1" si="59"/>
        <v>41.61665</v>
      </c>
      <c r="S1127" s="14">
        <f t="shared" ca="1" si="59"/>
        <v>39.384058333333329</v>
      </c>
      <c r="T1127" s="49">
        <f t="shared" ca="1" si="60"/>
        <v>357.24568100000005</v>
      </c>
      <c r="U1127" s="49">
        <f t="shared" ca="1" si="60"/>
        <v>142.03263249999998</v>
      </c>
      <c r="V1127" s="49">
        <f t="shared" ca="1" si="60"/>
        <v>50.187500000000007</v>
      </c>
      <c r="W1127" s="49">
        <f t="shared" ca="1" si="60"/>
        <v>5.0822234999999996</v>
      </c>
      <c r="X1127" s="49">
        <f t="shared" ca="1" si="60"/>
        <v>20.758966663999999</v>
      </c>
      <c r="Y1127" s="14"/>
      <c r="Z1127" s="14"/>
      <c r="AA1127" s="14"/>
      <c r="AB1127" s="14">
        <f t="shared" ca="1" si="61"/>
        <v>40.582001316542929</v>
      </c>
      <c r="AC1127" s="14">
        <f t="shared" ca="1" si="61"/>
        <v>40.236878836930451</v>
      </c>
    </row>
    <row r="1128" spans="1:29" ht="15" x14ac:dyDescent="0.2">
      <c r="A1128" s="10">
        <f t="shared" si="62"/>
        <v>2071</v>
      </c>
      <c r="B1128" s="14">
        <f t="shared" ca="1" si="58"/>
        <v>42.09565833333334</v>
      </c>
      <c r="C1128" s="14">
        <f t="shared" ca="1" si="58"/>
        <v>42.101824999999998</v>
      </c>
      <c r="D1128" s="14">
        <f t="shared" ca="1" si="58"/>
        <v>42.24433333333333</v>
      </c>
      <c r="E1128" s="14">
        <f t="shared" ca="1" si="58"/>
        <v>42.27642500000001</v>
      </c>
      <c r="F1128" s="14">
        <f t="shared" ca="1" si="58"/>
        <v>42.087233333333337</v>
      </c>
      <c r="G1128" s="14">
        <f t="shared" ca="1" si="58"/>
        <v>42.103383333333333</v>
      </c>
      <c r="H1128" s="14">
        <f t="shared" ca="1" si="58"/>
        <v>42.265533333333337</v>
      </c>
      <c r="I1128" s="14">
        <f t="shared" ca="1" si="58"/>
        <v>42.109791666666666</v>
      </c>
      <c r="J1128" s="14">
        <f t="shared" ca="1" si="58"/>
        <v>42.080233333333332</v>
      </c>
      <c r="K1128" s="14">
        <f t="shared" ca="1" si="58"/>
        <v>42.105899999999998</v>
      </c>
      <c r="L1128" s="14">
        <f t="shared" ca="1" si="59"/>
        <v>42.852533333333334</v>
      </c>
      <c r="M1128" s="14">
        <f t="shared" ca="1" si="59"/>
        <v>41.669400000000003</v>
      </c>
      <c r="N1128" s="14">
        <f t="shared" ca="1" si="59"/>
        <v>41.685400000000001</v>
      </c>
      <c r="O1128" s="14">
        <f t="shared" ca="1" si="59"/>
        <v>41.852841666666663</v>
      </c>
      <c r="P1128" s="14">
        <f t="shared" ca="1" si="59"/>
        <v>41.698708333333329</v>
      </c>
      <c r="Q1128" s="14">
        <f t="shared" ca="1" si="59"/>
        <v>42.448141666666665</v>
      </c>
      <c r="R1128" s="14">
        <f t="shared" ca="1" si="59"/>
        <v>43.141249999999992</v>
      </c>
      <c r="S1128" s="14">
        <f t="shared" ca="1" si="59"/>
        <v>40.875974999999997</v>
      </c>
      <c r="T1128" s="49">
        <f t="shared" ca="1" si="60"/>
        <v>357.24568100000005</v>
      </c>
      <c r="U1128" s="49">
        <f t="shared" ca="1" si="60"/>
        <v>142.03263249999998</v>
      </c>
      <c r="V1128" s="49">
        <f t="shared" ca="1" si="60"/>
        <v>50.187500000000007</v>
      </c>
      <c r="W1128" s="49">
        <f t="shared" ca="1" si="60"/>
        <v>5.0822234999999996</v>
      </c>
      <c r="X1128" s="49">
        <f t="shared" ca="1" si="60"/>
        <v>20.758966663999999</v>
      </c>
      <c r="Y1128" s="14"/>
      <c r="Z1128" s="14"/>
      <c r="AA1128" s="14"/>
      <c r="AB1128" s="14">
        <f t="shared" ca="1" si="61"/>
        <v>42.11831425700246</v>
      </c>
      <c r="AC1128" s="14">
        <f t="shared" ca="1" si="61"/>
        <v>41.757680515587531</v>
      </c>
    </row>
    <row r="1129" spans="1:29" ht="15" x14ac:dyDescent="0.2">
      <c r="A1129" s="10">
        <f t="shared" si="62"/>
        <v>2072</v>
      </c>
      <c r="B1129" s="14">
        <f t="shared" ref="B1129:K1138" ca="1" si="63">AVERAGE(OFFSET(B$601,($A1129-$A$1119)*12,0,12,1))</f>
        <v>43.690149999999996</v>
      </c>
      <c r="C1129" s="14">
        <f t="shared" ca="1" si="63"/>
        <v>43.696316666666668</v>
      </c>
      <c r="D1129" s="14">
        <f t="shared" ca="1" si="63"/>
        <v>43.838833333333334</v>
      </c>
      <c r="E1129" s="14">
        <f t="shared" ca="1" si="63"/>
        <v>43.870941666666674</v>
      </c>
      <c r="F1129" s="14">
        <f t="shared" ca="1" si="63"/>
        <v>43.68174166666666</v>
      </c>
      <c r="G1129" s="14">
        <f t="shared" ca="1" si="63"/>
        <v>43.697900000000004</v>
      </c>
      <c r="H1129" s="14">
        <f t="shared" ca="1" si="63"/>
        <v>43.860050000000001</v>
      </c>
      <c r="I1129" s="14">
        <f t="shared" ca="1" si="63"/>
        <v>43.704291666666656</v>
      </c>
      <c r="J1129" s="14">
        <f t="shared" ca="1" si="63"/>
        <v>43.674741666666655</v>
      </c>
      <c r="K1129" s="14">
        <f t="shared" ca="1" si="63"/>
        <v>43.700408333333336</v>
      </c>
      <c r="L1129" s="14">
        <f t="shared" ref="L1129:S1138" ca="1" si="64">AVERAGE(OFFSET(L$601,($A1129-$A$1119)*12,0,12,1))</f>
        <v>44.447049999999997</v>
      </c>
      <c r="M1129" s="14">
        <f t="shared" ca="1" si="64"/>
        <v>43.247816666666658</v>
      </c>
      <c r="N1129" s="14">
        <f t="shared" ca="1" si="64"/>
        <v>43.263800000000003</v>
      </c>
      <c r="O1129" s="14">
        <f t="shared" ca="1" si="64"/>
        <v>43.431250000000006</v>
      </c>
      <c r="P1129" s="14">
        <f t="shared" ca="1" si="64"/>
        <v>43.277125000000005</v>
      </c>
      <c r="Q1129" s="14">
        <f t="shared" ca="1" si="64"/>
        <v>44.026549999999993</v>
      </c>
      <c r="R1129" s="14">
        <f t="shared" ca="1" si="64"/>
        <v>44.723616666666665</v>
      </c>
      <c r="S1129" s="14">
        <f t="shared" ca="1" si="64"/>
        <v>42.424400000000006</v>
      </c>
      <c r="T1129" s="49">
        <f t="shared" ref="T1129:X1138" ca="1" si="65">SUM(OFFSET(T$601,($A1129-$A$1119)*12,0,12,1))</f>
        <v>358.17703550000004</v>
      </c>
      <c r="U1129" s="49">
        <f t="shared" ca="1" si="65"/>
        <v>142.42176299999997</v>
      </c>
      <c r="V1129" s="49">
        <f t="shared" ca="1" si="65"/>
        <v>50.325000000000003</v>
      </c>
      <c r="W1129" s="49">
        <f t="shared" ca="1" si="65"/>
        <v>5.0961473999999995</v>
      </c>
      <c r="X1129" s="49">
        <f t="shared" ca="1" si="65"/>
        <v>20.800615543999996</v>
      </c>
      <c r="Y1129" s="14"/>
      <c r="Z1129" s="14"/>
      <c r="AA1129" s="14"/>
      <c r="AB1129" s="14">
        <f t="shared" ca="1" si="61"/>
        <v>43.712816158102505</v>
      </c>
      <c r="AC1129" s="14">
        <f t="shared" ca="1" si="61"/>
        <v>43.33609244604316</v>
      </c>
    </row>
    <row r="1130" spans="1:29" ht="15" x14ac:dyDescent="0.2">
      <c r="A1130" s="10">
        <f t="shared" si="62"/>
        <v>2073</v>
      </c>
      <c r="B1130" s="14">
        <f t="shared" ca="1" si="63"/>
        <v>45.345066666666661</v>
      </c>
      <c r="C1130" s="14">
        <f t="shared" ca="1" si="63"/>
        <v>45.35124166666666</v>
      </c>
      <c r="D1130" s="14">
        <f t="shared" ca="1" si="63"/>
        <v>45.493741666666665</v>
      </c>
      <c r="E1130" s="14">
        <f t="shared" ca="1" si="63"/>
        <v>45.525833333333338</v>
      </c>
      <c r="F1130" s="14">
        <f t="shared" ca="1" si="63"/>
        <v>45.336658333333332</v>
      </c>
      <c r="G1130" s="14">
        <f t="shared" ca="1" si="63"/>
        <v>45.352800000000002</v>
      </c>
      <c r="H1130" s="14">
        <f t="shared" ca="1" si="63"/>
        <v>45.514949999999999</v>
      </c>
      <c r="I1130" s="14">
        <f t="shared" ca="1" si="63"/>
        <v>45.359216666666669</v>
      </c>
      <c r="J1130" s="14">
        <f t="shared" ca="1" si="63"/>
        <v>45.329658333333334</v>
      </c>
      <c r="K1130" s="14">
        <f t="shared" ca="1" si="63"/>
        <v>45.355316666666674</v>
      </c>
      <c r="L1130" s="14">
        <f t="shared" ca="1" si="64"/>
        <v>46.101949999999995</v>
      </c>
      <c r="M1130" s="14">
        <f t="shared" ca="1" si="64"/>
        <v>44.88601666666667</v>
      </c>
      <c r="N1130" s="14">
        <f t="shared" ca="1" si="64"/>
        <v>44.902016666666668</v>
      </c>
      <c r="O1130" s="14">
        <f t="shared" ca="1" si="64"/>
        <v>45.069475000000004</v>
      </c>
      <c r="P1130" s="14">
        <f t="shared" ca="1" si="64"/>
        <v>44.915324999999996</v>
      </c>
      <c r="Q1130" s="14">
        <f t="shared" ca="1" si="64"/>
        <v>45.664774999999992</v>
      </c>
      <c r="R1130" s="14">
        <f t="shared" ca="1" si="64"/>
        <v>46.365933333333338</v>
      </c>
      <c r="S1130" s="14">
        <f t="shared" ca="1" si="64"/>
        <v>44.031483333333334</v>
      </c>
      <c r="T1130" s="49">
        <f t="shared" ca="1" si="65"/>
        <v>357.24568100000005</v>
      </c>
      <c r="U1130" s="49">
        <f t="shared" ca="1" si="65"/>
        <v>142.03263249999998</v>
      </c>
      <c r="V1130" s="49">
        <f t="shared" ca="1" si="65"/>
        <v>50.187500000000007</v>
      </c>
      <c r="W1130" s="49">
        <f t="shared" ca="1" si="65"/>
        <v>5.0822234999999996</v>
      </c>
      <c r="X1130" s="49">
        <f t="shared" ca="1" si="65"/>
        <v>20.758966663999999</v>
      </c>
      <c r="Y1130" s="14"/>
      <c r="Z1130" s="14"/>
      <c r="AA1130" s="14"/>
      <c r="AB1130" s="14">
        <f t="shared" ca="1" si="61"/>
        <v>45.367732021960713</v>
      </c>
      <c r="AC1130" s="14">
        <f t="shared" ca="1" si="61"/>
        <v>44.974304736211032</v>
      </c>
    </row>
    <row r="1131" spans="1:29" ht="15" x14ac:dyDescent="0.2">
      <c r="A1131" s="10">
        <f t="shared" si="62"/>
        <v>2074</v>
      </c>
      <c r="B1131" s="14">
        <f t="shared" ca="1" si="63"/>
        <v>47.062683333333325</v>
      </c>
      <c r="C1131" s="14">
        <f t="shared" ca="1" si="63"/>
        <v>47.068824999999997</v>
      </c>
      <c r="D1131" s="14">
        <f t="shared" ca="1" si="63"/>
        <v>47.211350000000003</v>
      </c>
      <c r="E1131" s="14">
        <f t="shared" ca="1" si="63"/>
        <v>47.243458333333329</v>
      </c>
      <c r="F1131" s="14">
        <f t="shared" ca="1" si="63"/>
        <v>47.05425833333333</v>
      </c>
      <c r="G1131" s="14">
        <f t="shared" ca="1" si="63"/>
        <v>47.07040833333334</v>
      </c>
      <c r="H1131" s="14">
        <f t="shared" ca="1" si="63"/>
        <v>47.232583333333331</v>
      </c>
      <c r="I1131" s="14">
        <f t="shared" ca="1" si="63"/>
        <v>47.076808333333325</v>
      </c>
      <c r="J1131" s="14">
        <f t="shared" ca="1" si="63"/>
        <v>47.047258333333332</v>
      </c>
      <c r="K1131" s="14">
        <f t="shared" ca="1" si="63"/>
        <v>47.072924999999991</v>
      </c>
      <c r="L1131" s="14">
        <f t="shared" ca="1" si="64"/>
        <v>47.819583333333327</v>
      </c>
      <c r="M1131" s="14">
        <f t="shared" ca="1" si="64"/>
        <v>46.586300000000001</v>
      </c>
      <c r="N1131" s="14">
        <f t="shared" ca="1" si="64"/>
        <v>46.602274999999999</v>
      </c>
      <c r="O1131" s="14">
        <f t="shared" ca="1" si="64"/>
        <v>46.769741666666668</v>
      </c>
      <c r="P1131" s="14">
        <f t="shared" ca="1" si="64"/>
        <v>46.615599999999993</v>
      </c>
      <c r="Q1131" s="14">
        <f t="shared" ca="1" si="64"/>
        <v>47.365041666666663</v>
      </c>
      <c r="R1131" s="14">
        <f t="shared" ca="1" si="64"/>
        <v>48.07044166666666</v>
      </c>
      <c r="S1131" s="14">
        <f t="shared" ca="1" si="64"/>
        <v>45.699449999999992</v>
      </c>
      <c r="T1131" s="49">
        <f t="shared" ca="1" si="65"/>
        <v>357.24568100000005</v>
      </c>
      <c r="U1131" s="49">
        <f t="shared" ca="1" si="65"/>
        <v>142.03263249999998</v>
      </c>
      <c r="V1131" s="49">
        <f t="shared" ca="1" si="65"/>
        <v>50.187500000000007</v>
      </c>
      <c r="W1131" s="49">
        <f t="shared" ca="1" si="65"/>
        <v>5.0822234999999996</v>
      </c>
      <c r="X1131" s="49">
        <f t="shared" ca="1" si="65"/>
        <v>20.758966663999999</v>
      </c>
      <c r="Y1131" s="14"/>
      <c r="Z1131" s="14"/>
      <c r="AA1131" s="14"/>
      <c r="AB1131" s="14">
        <f t="shared" ca="1" si="61"/>
        <v>47.085332126048861</v>
      </c>
      <c r="AC1131" s="14">
        <f t="shared" ca="1" si="61"/>
        <v>46.674577877697836</v>
      </c>
    </row>
    <row r="1132" spans="1:29" ht="15" x14ac:dyDescent="0.2">
      <c r="A1132" s="10">
        <f t="shared" si="62"/>
        <v>2075</v>
      </c>
      <c r="B1132" s="14">
        <f t="shared" ca="1" si="63"/>
        <v>48.845341666666677</v>
      </c>
      <c r="C1132" s="14">
        <f t="shared" ca="1" si="63"/>
        <v>48.851500000000009</v>
      </c>
      <c r="D1132" s="14">
        <f t="shared" ca="1" si="63"/>
        <v>48.99401666666666</v>
      </c>
      <c r="E1132" s="14">
        <f t="shared" ca="1" si="63"/>
        <v>49.026108333333333</v>
      </c>
      <c r="F1132" s="14">
        <f t="shared" ca="1" si="63"/>
        <v>48.836925000000001</v>
      </c>
      <c r="G1132" s="14">
        <f t="shared" ca="1" si="63"/>
        <v>48.85306666666667</v>
      </c>
      <c r="H1132" s="14">
        <f t="shared" ca="1" si="63"/>
        <v>49.015224999999994</v>
      </c>
      <c r="I1132" s="14">
        <f t="shared" ca="1" si="63"/>
        <v>48.859475000000003</v>
      </c>
      <c r="J1132" s="14">
        <f t="shared" ca="1" si="63"/>
        <v>48.829924999999996</v>
      </c>
      <c r="K1132" s="14">
        <f t="shared" ca="1" si="63"/>
        <v>48.855583333333328</v>
      </c>
      <c r="L1132" s="14">
        <f t="shared" ca="1" si="64"/>
        <v>49.602225000000004</v>
      </c>
      <c r="M1132" s="14">
        <f t="shared" ca="1" si="64"/>
        <v>48.350975000000005</v>
      </c>
      <c r="N1132" s="14">
        <f t="shared" ca="1" si="64"/>
        <v>48.366950000000003</v>
      </c>
      <c r="O1132" s="14">
        <f t="shared" ca="1" si="64"/>
        <v>48.534408333333324</v>
      </c>
      <c r="P1132" s="14">
        <f t="shared" ca="1" si="64"/>
        <v>48.380266666666664</v>
      </c>
      <c r="Q1132" s="14">
        <f t="shared" ca="1" si="64"/>
        <v>49.129708333333333</v>
      </c>
      <c r="R1132" s="14">
        <f t="shared" ca="1" si="64"/>
        <v>49.839541666666655</v>
      </c>
      <c r="S1132" s="14">
        <f t="shared" ca="1" si="64"/>
        <v>47.430599999999998</v>
      </c>
      <c r="T1132" s="49">
        <f t="shared" ca="1" si="65"/>
        <v>357.24568100000005</v>
      </c>
      <c r="U1132" s="49">
        <f t="shared" ca="1" si="65"/>
        <v>142.03263249999998</v>
      </c>
      <c r="V1132" s="49">
        <f t="shared" ca="1" si="65"/>
        <v>50.187500000000007</v>
      </c>
      <c r="W1132" s="49">
        <f t="shared" ca="1" si="65"/>
        <v>5.0822234999999996</v>
      </c>
      <c r="X1132" s="49">
        <f t="shared" ca="1" si="65"/>
        <v>20.758966663999999</v>
      </c>
      <c r="Y1132" s="14"/>
      <c r="Z1132" s="14"/>
      <c r="AA1132" s="14"/>
      <c r="AB1132" s="14">
        <f t="shared" ca="1" si="61"/>
        <v>48.86799804007461</v>
      </c>
      <c r="AC1132" s="14">
        <f t="shared" ca="1" si="61"/>
        <v>48.439247901678662</v>
      </c>
    </row>
    <row r="1133" spans="1:29" ht="15" x14ac:dyDescent="0.2">
      <c r="A1133" s="10">
        <f t="shared" si="62"/>
        <v>2076</v>
      </c>
      <c r="B1133" s="14">
        <f t="shared" ca="1" si="63"/>
        <v>50.695549999999997</v>
      </c>
      <c r="C1133" s="14">
        <f t="shared" ca="1" si="63"/>
        <v>50.701691666666669</v>
      </c>
      <c r="D1133" s="14">
        <f t="shared" ca="1" si="63"/>
        <v>50.844208333333334</v>
      </c>
      <c r="E1133" s="14">
        <f t="shared" ca="1" si="63"/>
        <v>50.876299999999993</v>
      </c>
      <c r="F1133" s="14">
        <f t="shared" ca="1" si="63"/>
        <v>50.687133333333342</v>
      </c>
      <c r="G1133" s="14">
        <f t="shared" ca="1" si="63"/>
        <v>50.703274999999998</v>
      </c>
      <c r="H1133" s="14">
        <f t="shared" ca="1" si="63"/>
        <v>50.865441666666662</v>
      </c>
      <c r="I1133" s="14">
        <f t="shared" ca="1" si="63"/>
        <v>50.709691666666657</v>
      </c>
      <c r="J1133" s="14">
        <f t="shared" ca="1" si="63"/>
        <v>50.680133333333337</v>
      </c>
      <c r="K1133" s="14">
        <f t="shared" ca="1" si="63"/>
        <v>50.705800000000004</v>
      </c>
      <c r="L1133" s="14">
        <f t="shared" ca="1" si="64"/>
        <v>51.452441666666665</v>
      </c>
      <c r="M1133" s="14">
        <f t="shared" ca="1" si="64"/>
        <v>50.182500000000005</v>
      </c>
      <c r="N1133" s="14">
        <f t="shared" ca="1" si="64"/>
        <v>50.198466666666668</v>
      </c>
      <c r="O1133" s="14">
        <f t="shared" ca="1" si="64"/>
        <v>50.365933333333338</v>
      </c>
      <c r="P1133" s="14">
        <f t="shared" ca="1" si="64"/>
        <v>50.211791666666663</v>
      </c>
      <c r="Q1133" s="14">
        <f t="shared" ca="1" si="64"/>
        <v>50.961233333333332</v>
      </c>
      <c r="R1133" s="14">
        <f t="shared" ca="1" si="64"/>
        <v>51.675649999999997</v>
      </c>
      <c r="S1133" s="14">
        <f t="shared" ca="1" si="64"/>
        <v>49.227333333333341</v>
      </c>
      <c r="T1133" s="49">
        <f t="shared" ca="1" si="65"/>
        <v>358.17703550000004</v>
      </c>
      <c r="U1133" s="49">
        <f t="shared" ca="1" si="65"/>
        <v>142.42176299999997</v>
      </c>
      <c r="V1133" s="49">
        <f t="shared" ca="1" si="65"/>
        <v>50.325000000000003</v>
      </c>
      <c r="W1133" s="49">
        <f t="shared" ca="1" si="65"/>
        <v>5.0961473999999995</v>
      </c>
      <c r="X1133" s="49">
        <f t="shared" ca="1" si="65"/>
        <v>20.800615543999996</v>
      </c>
      <c r="Y1133" s="14"/>
      <c r="Z1133" s="14"/>
      <c r="AA1133" s="14"/>
      <c r="AB1133" s="14">
        <f t="shared" ca="1" si="61"/>
        <v>50.718200607744954</v>
      </c>
      <c r="AC1133" s="14">
        <f t="shared" ca="1" si="61"/>
        <v>50.27077242206235</v>
      </c>
    </row>
    <row r="1134" spans="1:29" ht="15" x14ac:dyDescent="0.2">
      <c r="A1134" s="10">
        <f t="shared" si="62"/>
        <v>2077</v>
      </c>
      <c r="B1134" s="14">
        <f t="shared" ca="1" si="63"/>
        <v>52.615816666666667</v>
      </c>
      <c r="C1134" s="14">
        <f t="shared" ca="1" si="63"/>
        <v>52.621991666666673</v>
      </c>
      <c r="D1134" s="14">
        <f t="shared" ca="1" si="63"/>
        <v>52.764491666666665</v>
      </c>
      <c r="E1134" s="14">
        <f t="shared" ca="1" si="63"/>
        <v>52.796591666666671</v>
      </c>
      <c r="F1134" s="14">
        <f t="shared" ca="1" si="63"/>
        <v>52.607416666666673</v>
      </c>
      <c r="G1134" s="14">
        <f t="shared" ca="1" si="63"/>
        <v>52.623566666666676</v>
      </c>
      <c r="H1134" s="14">
        <f t="shared" ca="1" si="63"/>
        <v>52.785708333333332</v>
      </c>
      <c r="I1134" s="14">
        <f t="shared" ca="1" si="63"/>
        <v>52.629966666666668</v>
      </c>
      <c r="J1134" s="14">
        <f t="shared" ca="1" si="63"/>
        <v>52.600416666666661</v>
      </c>
      <c r="K1134" s="14">
        <f t="shared" ca="1" si="63"/>
        <v>52.626066666666667</v>
      </c>
      <c r="L1134" s="14">
        <f t="shared" ca="1" si="64"/>
        <v>53.372708333333328</v>
      </c>
      <c r="M1134" s="14">
        <f t="shared" ca="1" si="64"/>
        <v>52.083408333333345</v>
      </c>
      <c r="N1134" s="14">
        <f t="shared" ca="1" si="64"/>
        <v>52.099383333333343</v>
      </c>
      <c r="O1134" s="14">
        <f t="shared" ca="1" si="64"/>
        <v>52.266833333333345</v>
      </c>
      <c r="P1134" s="14">
        <f t="shared" ca="1" si="64"/>
        <v>52.112691666666656</v>
      </c>
      <c r="Q1134" s="14">
        <f t="shared" ca="1" si="64"/>
        <v>52.862133333333333</v>
      </c>
      <c r="R1134" s="14">
        <f t="shared" ca="1" si="64"/>
        <v>53.581291666666665</v>
      </c>
      <c r="S1134" s="14">
        <f t="shared" ca="1" si="64"/>
        <v>51.092108333333329</v>
      </c>
      <c r="T1134" s="49">
        <f t="shared" ca="1" si="65"/>
        <v>357.24568100000005</v>
      </c>
      <c r="U1134" s="49">
        <f t="shared" ca="1" si="65"/>
        <v>142.03263249999998</v>
      </c>
      <c r="V1134" s="49">
        <f t="shared" ca="1" si="65"/>
        <v>50.187500000000007</v>
      </c>
      <c r="W1134" s="49">
        <f t="shared" ca="1" si="65"/>
        <v>5.0822234999999996</v>
      </c>
      <c r="X1134" s="49">
        <f t="shared" ca="1" si="65"/>
        <v>20.758966663999999</v>
      </c>
      <c r="Y1134" s="14"/>
      <c r="Z1134" s="14"/>
      <c r="AA1134" s="14"/>
      <c r="AB1134" s="14">
        <f t="shared" ca="1" si="61"/>
        <v>52.638486329517853</v>
      </c>
      <c r="AC1134" s="14">
        <f t="shared" ca="1" si="61"/>
        <v>52.171676258992811</v>
      </c>
    </row>
    <row r="1135" spans="1:29" ht="15" x14ac:dyDescent="0.2">
      <c r="A1135" s="10">
        <f t="shared" si="62"/>
        <v>2078</v>
      </c>
      <c r="B1135" s="14">
        <f t="shared" ca="1" si="63"/>
        <v>54.608849999999997</v>
      </c>
      <c r="C1135" s="14">
        <f t="shared" ca="1" si="63"/>
        <v>54.615025000000003</v>
      </c>
      <c r="D1135" s="14">
        <f t="shared" ca="1" si="63"/>
        <v>54.757533333333335</v>
      </c>
      <c r="E1135" s="14">
        <f t="shared" ca="1" si="63"/>
        <v>54.789608333333341</v>
      </c>
      <c r="F1135" s="14">
        <f t="shared" ca="1" si="63"/>
        <v>54.600441666666661</v>
      </c>
      <c r="G1135" s="14">
        <f t="shared" ca="1" si="63"/>
        <v>54.616583333333331</v>
      </c>
      <c r="H1135" s="14">
        <f t="shared" ca="1" si="63"/>
        <v>54.778741666666662</v>
      </c>
      <c r="I1135" s="14">
        <f t="shared" ca="1" si="63"/>
        <v>54.623000000000012</v>
      </c>
      <c r="J1135" s="14">
        <f t="shared" ca="1" si="63"/>
        <v>54.593441666666671</v>
      </c>
      <c r="K1135" s="14">
        <f t="shared" ca="1" si="63"/>
        <v>54.619116666666677</v>
      </c>
      <c r="L1135" s="14">
        <f t="shared" ca="1" si="64"/>
        <v>55.365741666666679</v>
      </c>
      <c r="M1135" s="14">
        <f t="shared" ca="1" si="64"/>
        <v>54.056333333333328</v>
      </c>
      <c r="N1135" s="14">
        <f t="shared" ca="1" si="64"/>
        <v>54.072316666666666</v>
      </c>
      <c r="O1135" s="14">
        <f t="shared" ca="1" si="64"/>
        <v>54.239775000000002</v>
      </c>
      <c r="P1135" s="14">
        <f t="shared" ca="1" si="64"/>
        <v>54.085641666666675</v>
      </c>
      <c r="Q1135" s="14">
        <f t="shared" ca="1" si="64"/>
        <v>54.83507500000001</v>
      </c>
      <c r="R1135" s="14">
        <f t="shared" ca="1" si="64"/>
        <v>55.559158333333336</v>
      </c>
      <c r="S1135" s="14">
        <f t="shared" ca="1" si="64"/>
        <v>53.027550000000012</v>
      </c>
      <c r="T1135" s="49">
        <f t="shared" ca="1" si="65"/>
        <v>357.24568100000005</v>
      </c>
      <c r="U1135" s="49">
        <f t="shared" ca="1" si="65"/>
        <v>142.03263249999998</v>
      </c>
      <c r="V1135" s="49">
        <f t="shared" ca="1" si="65"/>
        <v>50.187500000000007</v>
      </c>
      <c r="W1135" s="49">
        <f t="shared" ca="1" si="65"/>
        <v>5.0822234999999996</v>
      </c>
      <c r="X1135" s="49">
        <f t="shared" ca="1" si="65"/>
        <v>20.758966663999999</v>
      </c>
      <c r="Y1135" s="14"/>
      <c r="Z1135" s="14"/>
      <c r="AA1135" s="14"/>
      <c r="AB1135" s="14">
        <f t="shared" ca="1" si="61"/>
        <v>54.631516228675366</v>
      </c>
      <c r="AC1135" s="14">
        <f t="shared" ca="1" si="61"/>
        <v>54.14461288968824</v>
      </c>
    </row>
    <row r="1136" spans="1:29" ht="15" x14ac:dyDescent="0.2">
      <c r="A1136" s="10">
        <f t="shared" si="62"/>
        <v>2079</v>
      </c>
      <c r="B1136" s="14">
        <f t="shared" ca="1" si="63"/>
        <v>56.677408333333346</v>
      </c>
      <c r="C1136" s="14">
        <f t="shared" ca="1" si="63"/>
        <v>56.683541666666663</v>
      </c>
      <c r="D1136" s="14">
        <f t="shared" ca="1" si="63"/>
        <v>56.826074999999996</v>
      </c>
      <c r="E1136" s="14">
        <f t="shared" ca="1" si="63"/>
        <v>56.858158333333336</v>
      </c>
      <c r="F1136" s="14">
        <f t="shared" ca="1" si="63"/>
        <v>56.66896666666667</v>
      </c>
      <c r="G1136" s="14">
        <f t="shared" ca="1" si="63"/>
        <v>56.685124999999999</v>
      </c>
      <c r="H1136" s="14">
        <f t="shared" ca="1" si="63"/>
        <v>56.847275000000003</v>
      </c>
      <c r="I1136" s="14">
        <f t="shared" ca="1" si="63"/>
        <v>56.691525000000013</v>
      </c>
      <c r="J1136" s="14">
        <f t="shared" ca="1" si="63"/>
        <v>56.661966666666665</v>
      </c>
      <c r="K1136" s="14">
        <f t="shared" ca="1" si="63"/>
        <v>56.687633333333331</v>
      </c>
      <c r="L1136" s="14">
        <f t="shared" ca="1" si="64"/>
        <v>57.434275000000007</v>
      </c>
      <c r="M1136" s="14">
        <f t="shared" ca="1" si="64"/>
        <v>56.103974999999998</v>
      </c>
      <c r="N1136" s="14">
        <f t="shared" ca="1" si="64"/>
        <v>56.119966666666663</v>
      </c>
      <c r="O1136" s="14">
        <f t="shared" ca="1" si="64"/>
        <v>56.287424999999992</v>
      </c>
      <c r="P1136" s="14">
        <f t="shared" ca="1" si="64"/>
        <v>56.133283333333331</v>
      </c>
      <c r="Q1136" s="14">
        <f t="shared" ca="1" si="64"/>
        <v>56.882725000000001</v>
      </c>
      <c r="R1136" s="14">
        <f t="shared" ca="1" si="64"/>
        <v>57.611916666666666</v>
      </c>
      <c r="S1136" s="14">
        <f t="shared" ca="1" si="64"/>
        <v>55.036291666666671</v>
      </c>
      <c r="T1136" s="49">
        <f t="shared" ca="1" si="65"/>
        <v>357.24568100000005</v>
      </c>
      <c r="U1136" s="49">
        <f t="shared" ca="1" si="65"/>
        <v>142.03263249999998</v>
      </c>
      <c r="V1136" s="49">
        <f t="shared" ca="1" si="65"/>
        <v>50.187500000000007</v>
      </c>
      <c r="W1136" s="49">
        <f t="shared" ca="1" si="65"/>
        <v>5.0822234999999996</v>
      </c>
      <c r="X1136" s="49">
        <f t="shared" ca="1" si="65"/>
        <v>20.758966663999999</v>
      </c>
      <c r="Y1136" s="14"/>
      <c r="Z1136" s="14"/>
      <c r="AA1136" s="14"/>
      <c r="AB1136" s="14">
        <f t="shared" ca="1" si="61"/>
        <v>56.700047427196132</v>
      </c>
      <c r="AC1136" s="14">
        <f t="shared" ca="1" si="61"/>
        <v>56.192258812949639</v>
      </c>
    </row>
    <row r="1137" spans="1:29" ht="15" x14ac:dyDescent="0.2">
      <c r="A1137" s="10">
        <f t="shared" si="62"/>
        <v>2080</v>
      </c>
      <c r="B1137" s="14">
        <f t="shared" ca="1" si="63"/>
        <v>58.824275</v>
      </c>
      <c r="C1137" s="14">
        <f t="shared" ca="1" si="63"/>
        <v>58.830424999999998</v>
      </c>
      <c r="D1137" s="14">
        <f t="shared" ca="1" si="63"/>
        <v>58.972949999999997</v>
      </c>
      <c r="E1137" s="14">
        <f t="shared" ca="1" si="63"/>
        <v>59.005041666666671</v>
      </c>
      <c r="F1137" s="14">
        <f t="shared" ca="1" si="63"/>
        <v>58.815866666666665</v>
      </c>
      <c r="G1137" s="14">
        <f t="shared" ca="1" si="63"/>
        <v>58.832008333333334</v>
      </c>
      <c r="H1137" s="14">
        <f t="shared" ca="1" si="63"/>
        <v>58.994175000000006</v>
      </c>
      <c r="I1137" s="14">
        <f t="shared" ca="1" si="63"/>
        <v>58.838441666666661</v>
      </c>
      <c r="J1137" s="14">
        <f t="shared" ca="1" si="63"/>
        <v>58.808866666666667</v>
      </c>
      <c r="K1137" s="14">
        <f t="shared" ca="1" si="63"/>
        <v>58.834541666666667</v>
      </c>
      <c r="L1137" s="14">
        <f t="shared" ca="1" si="64"/>
        <v>59.581175000000002</v>
      </c>
      <c r="M1137" s="14">
        <f t="shared" ca="1" si="64"/>
        <v>58.229199999999992</v>
      </c>
      <c r="N1137" s="14">
        <f t="shared" ca="1" si="64"/>
        <v>58.24518333333333</v>
      </c>
      <c r="O1137" s="14">
        <f t="shared" ca="1" si="64"/>
        <v>58.412641666666673</v>
      </c>
      <c r="P1137" s="14">
        <f t="shared" ca="1" si="64"/>
        <v>58.258508333333332</v>
      </c>
      <c r="Q1137" s="14">
        <f t="shared" ca="1" si="64"/>
        <v>59.00794166666666</v>
      </c>
      <c r="R1137" s="14">
        <f t="shared" ca="1" si="64"/>
        <v>59.742475000000013</v>
      </c>
      <c r="S1137" s="14">
        <f t="shared" ca="1" si="64"/>
        <v>57.121124999999999</v>
      </c>
      <c r="T1137" s="49">
        <f t="shared" ca="1" si="65"/>
        <v>358.17703550000004</v>
      </c>
      <c r="U1137" s="49">
        <f t="shared" ca="1" si="65"/>
        <v>142.42176299999997</v>
      </c>
      <c r="V1137" s="49">
        <f t="shared" ca="1" si="65"/>
        <v>50.325000000000003</v>
      </c>
      <c r="W1137" s="49">
        <f t="shared" ca="1" si="65"/>
        <v>5.0961473999999995</v>
      </c>
      <c r="X1137" s="49">
        <f t="shared" ca="1" si="65"/>
        <v>20.800615543999996</v>
      </c>
      <c r="Y1137" s="14"/>
      <c r="Z1137" s="14"/>
      <c r="AA1137" s="14"/>
      <c r="AB1137" s="14">
        <f t="shared" ca="1" si="61"/>
        <v>58.846935517074861</v>
      </c>
      <c r="AC1137" s="14">
        <f t="shared" ca="1" si="61"/>
        <v>58.317479556354918</v>
      </c>
    </row>
    <row r="1138" spans="1:29" ht="15" x14ac:dyDescent="0.2">
      <c r="A1138" s="10">
        <f t="shared" si="62"/>
        <v>2081</v>
      </c>
      <c r="B1138" s="14">
        <f t="shared" ca="1" si="63"/>
        <v>61.052500000000002</v>
      </c>
      <c r="C1138" s="14">
        <f t="shared" ca="1" si="63"/>
        <v>61.058658333333334</v>
      </c>
      <c r="D1138" s="14">
        <f t="shared" ca="1" si="63"/>
        <v>61.201183333333326</v>
      </c>
      <c r="E1138" s="14">
        <f t="shared" ca="1" si="63"/>
        <v>61.233258333333332</v>
      </c>
      <c r="F1138" s="14">
        <f t="shared" ca="1" si="63"/>
        <v>61.044100000000007</v>
      </c>
      <c r="G1138" s="14">
        <f t="shared" ca="1" si="63"/>
        <v>61.06022500000001</v>
      </c>
      <c r="H1138" s="14">
        <f t="shared" ca="1" si="63"/>
        <v>61.222399999999993</v>
      </c>
      <c r="I1138" s="14">
        <f t="shared" ca="1" si="63"/>
        <v>61.066650000000003</v>
      </c>
      <c r="J1138" s="14">
        <f t="shared" ca="1" si="63"/>
        <v>61.037100000000002</v>
      </c>
      <c r="K1138" s="14">
        <f t="shared" ca="1" si="63"/>
        <v>61.062758333333335</v>
      </c>
      <c r="L1138" s="14">
        <f t="shared" ca="1" si="64"/>
        <v>61.809400000000004</v>
      </c>
      <c r="M1138" s="14">
        <f t="shared" ca="1" si="64"/>
        <v>60.434950000000008</v>
      </c>
      <c r="N1138" s="14">
        <f t="shared" ca="1" si="64"/>
        <v>60.450908333333352</v>
      </c>
      <c r="O1138" s="14">
        <f t="shared" ca="1" si="64"/>
        <v>60.618383333333327</v>
      </c>
      <c r="P1138" s="14">
        <f t="shared" ca="1" si="64"/>
        <v>60.46425</v>
      </c>
      <c r="Q1138" s="14">
        <f t="shared" ca="1" si="64"/>
        <v>61.213683333333336</v>
      </c>
      <c r="R1138" s="14">
        <f t="shared" ca="1" si="64"/>
        <v>61.953708333333331</v>
      </c>
      <c r="S1138" s="14">
        <f t="shared" ca="1" si="64"/>
        <v>59.284966666666662</v>
      </c>
      <c r="T1138" s="49">
        <f t="shared" ca="1" si="65"/>
        <v>357.24568100000005</v>
      </c>
      <c r="U1138" s="49">
        <f t="shared" ca="1" si="65"/>
        <v>142.03263249999998</v>
      </c>
      <c r="V1138" s="49">
        <f t="shared" ca="1" si="65"/>
        <v>50.187500000000007</v>
      </c>
      <c r="W1138" s="49">
        <f t="shared" ca="1" si="65"/>
        <v>5.0822234999999996</v>
      </c>
      <c r="X1138" s="49">
        <f t="shared" ca="1" si="65"/>
        <v>20.758966663999999</v>
      </c>
      <c r="Y1138" s="14"/>
      <c r="Z1138" s="14"/>
      <c r="AA1138" s="14"/>
      <c r="AB1138" s="14">
        <f t="shared" ca="1" si="61"/>
        <v>61.075162972471624</v>
      </c>
      <c r="AC1138" s="14">
        <f t="shared" ca="1" si="61"/>
        <v>60.523223141486802</v>
      </c>
    </row>
    <row r="1139" spans="1:29" ht="15" x14ac:dyDescent="0.2">
      <c r="A1139" s="10">
        <f t="shared" si="62"/>
        <v>2082</v>
      </c>
      <c r="B1139" s="14">
        <f t="shared" ref="B1139:K1148" ca="1" si="66">AVERAGE(OFFSET(B$601,($A1139-$A$1119)*12,0,12,1))</f>
        <v>63.365124999999985</v>
      </c>
      <c r="C1139" s="14">
        <f t="shared" ca="1" si="66"/>
        <v>63.371291666666657</v>
      </c>
      <c r="D1139" s="14">
        <f t="shared" ca="1" si="66"/>
        <v>63.513799999999982</v>
      </c>
      <c r="E1139" s="14">
        <f t="shared" ca="1" si="66"/>
        <v>63.545899999999996</v>
      </c>
      <c r="F1139" s="14">
        <f t="shared" ca="1" si="66"/>
        <v>63.356708333333323</v>
      </c>
      <c r="G1139" s="14">
        <f t="shared" ca="1" si="66"/>
        <v>63.37286666666666</v>
      </c>
      <c r="H1139" s="14">
        <f t="shared" ca="1" si="66"/>
        <v>63.535016666666671</v>
      </c>
      <c r="I1139" s="14">
        <f t="shared" ca="1" si="66"/>
        <v>63.379266666666666</v>
      </c>
      <c r="J1139" s="14">
        <f t="shared" ca="1" si="66"/>
        <v>63.349708333333332</v>
      </c>
      <c r="K1139" s="14">
        <f t="shared" ca="1" si="66"/>
        <v>63.375374999999991</v>
      </c>
      <c r="L1139" s="14">
        <f t="shared" ref="L1139:S1148" ca="1" si="67">AVERAGE(OFFSET(L$601,($A1139-$A$1119)*12,0,12,1))</f>
        <v>64.122016666666653</v>
      </c>
      <c r="M1139" s="14">
        <f t="shared" ca="1" si="67"/>
        <v>62.724224999999997</v>
      </c>
      <c r="N1139" s="14">
        <f t="shared" ca="1" si="67"/>
        <v>62.740216666666662</v>
      </c>
      <c r="O1139" s="14">
        <f t="shared" ca="1" si="67"/>
        <v>62.907666666666664</v>
      </c>
      <c r="P1139" s="14">
        <f t="shared" ca="1" si="67"/>
        <v>62.753533333333337</v>
      </c>
      <c r="Q1139" s="14">
        <f t="shared" ca="1" si="67"/>
        <v>63.502966666666673</v>
      </c>
      <c r="R1139" s="14">
        <f t="shared" ca="1" si="67"/>
        <v>64.248716666666667</v>
      </c>
      <c r="S1139" s="14">
        <f t="shared" ca="1" si="67"/>
        <v>61.530749999999991</v>
      </c>
      <c r="T1139" s="49">
        <f t="shared" ref="T1139:X1148" ca="1" si="68">SUM(OFFSET(T$601,($A1139-$A$1119)*12,0,12,1))</f>
        <v>357.24568100000005</v>
      </c>
      <c r="U1139" s="49">
        <f t="shared" ca="1" si="68"/>
        <v>142.03263249999998</v>
      </c>
      <c r="V1139" s="49">
        <f t="shared" ca="1" si="68"/>
        <v>50.187500000000007</v>
      </c>
      <c r="W1139" s="49">
        <f t="shared" ca="1" si="68"/>
        <v>5.0822234999999996</v>
      </c>
      <c r="X1139" s="49">
        <f t="shared" ca="1" si="68"/>
        <v>20.758966663999999</v>
      </c>
      <c r="Y1139" s="14"/>
      <c r="Z1139" s="14"/>
      <c r="AA1139" s="14"/>
      <c r="AB1139" s="14">
        <f t="shared" ref="AB1139:AC1157" ca="1" si="69">AVERAGE(OFFSET(AB$601,($A1139-$A$1119)*12,0,12,1))</f>
        <v>63.387786892330688</v>
      </c>
      <c r="AC1139" s="14">
        <f t="shared" ca="1" si="69"/>
        <v>62.812505035971235</v>
      </c>
    </row>
    <row r="1140" spans="1:29" ht="15" x14ac:dyDescent="0.2">
      <c r="A1140" s="10">
        <f t="shared" si="62"/>
        <v>2083</v>
      </c>
      <c r="B1140" s="14">
        <f t="shared" ca="1" si="66"/>
        <v>65.765358333333339</v>
      </c>
      <c r="C1140" s="14">
        <f t="shared" ca="1" si="66"/>
        <v>65.771533333333338</v>
      </c>
      <c r="D1140" s="14">
        <f t="shared" ca="1" si="66"/>
        <v>65.914050000000003</v>
      </c>
      <c r="E1140" s="14">
        <f t="shared" ca="1" si="66"/>
        <v>65.946141666666662</v>
      </c>
      <c r="F1140" s="14">
        <f t="shared" ca="1" si="66"/>
        <v>65.756958333333344</v>
      </c>
      <c r="G1140" s="14">
        <f t="shared" ca="1" si="66"/>
        <v>65.773099999999999</v>
      </c>
      <c r="H1140" s="14">
        <f t="shared" ca="1" si="66"/>
        <v>65.935250000000011</v>
      </c>
      <c r="I1140" s="14">
        <f t="shared" ca="1" si="66"/>
        <v>65.77951666666668</v>
      </c>
      <c r="J1140" s="14">
        <f t="shared" ca="1" si="66"/>
        <v>65.749958333333325</v>
      </c>
      <c r="K1140" s="14">
        <f t="shared" ca="1" si="66"/>
        <v>65.775616666666664</v>
      </c>
      <c r="L1140" s="14">
        <f t="shared" ca="1" si="67"/>
        <v>66.52225</v>
      </c>
      <c r="M1140" s="14">
        <f t="shared" ca="1" si="67"/>
        <v>65.100241666666676</v>
      </c>
      <c r="N1140" s="14">
        <f t="shared" ca="1" si="67"/>
        <v>65.116225</v>
      </c>
      <c r="O1140" s="14">
        <f t="shared" ca="1" si="67"/>
        <v>65.28369166666667</v>
      </c>
      <c r="P1140" s="14">
        <f t="shared" ca="1" si="67"/>
        <v>65.129566666666676</v>
      </c>
      <c r="Q1140" s="14">
        <f t="shared" ca="1" si="67"/>
        <v>65.878991666666664</v>
      </c>
      <c r="R1140" s="14">
        <f t="shared" ca="1" si="67"/>
        <v>66.630674999999997</v>
      </c>
      <c r="S1140" s="14">
        <f t="shared" ca="1" si="67"/>
        <v>63.861633333333337</v>
      </c>
      <c r="T1140" s="49">
        <f t="shared" ca="1" si="68"/>
        <v>357.24568100000005</v>
      </c>
      <c r="U1140" s="49">
        <f t="shared" ca="1" si="68"/>
        <v>142.03263249999998</v>
      </c>
      <c r="V1140" s="49">
        <f t="shared" ca="1" si="68"/>
        <v>50.187500000000007</v>
      </c>
      <c r="W1140" s="49">
        <f t="shared" ca="1" si="68"/>
        <v>5.0822234999999996</v>
      </c>
      <c r="X1140" s="49">
        <f t="shared" ca="1" si="68"/>
        <v>20.758966663999999</v>
      </c>
      <c r="Y1140" s="14"/>
      <c r="Z1140" s="14"/>
      <c r="AA1140" s="14"/>
      <c r="AB1140" s="14">
        <f t="shared" ca="1" si="69"/>
        <v>65.788030374365135</v>
      </c>
      <c r="AC1140" s="14">
        <f t="shared" ca="1" si="69"/>
        <v>65.188527398081533</v>
      </c>
    </row>
    <row r="1141" spans="1:29" ht="15" x14ac:dyDescent="0.2">
      <c r="A1141" s="10">
        <f t="shared" si="62"/>
        <v>2084</v>
      </c>
      <c r="B1141" s="14">
        <f t="shared" ca="1" si="66"/>
        <v>68.256516666666684</v>
      </c>
      <c r="C1141" s="14">
        <f t="shared" ca="1" si="66"/>
        <v>68.262683333333328</v>
      </c>
      <c r="D1141" s="14">
        <f t="shared" ca="1" si="66"/>
        <v>68.405208333333334</v>
      </c>
      <c r="E1141" s="14">
        <f t="shared" ca="1" si="66"/>
        <v>68.437299999999993</v>
      </c>
      <c r="F1141" s="14">
        <f t="shared" ca="1" si="66"/>
        <v>68.248108333333334</v>
      </c>
      <c r="G1141" s="14">
        <f t="shared" ca="1" si="66"/>
        <v>68.264241666666663</v>
      </c>
      <c r="H1141" s="14">
        <f t="shared" ca="1" si="66"/>
        <v>68.426433333333321</v>
      </c>
      <c r="I1141" s="14">
        <f t="shared" ca="1" si="66"/>
        <v>68.270683333333338</v>
      </c>
      <c r="J1141" s="14">
        <f t="shared" ca="1" si="66"/>
        <v>68.241108333333329</v>
      </c>
      <c r="K1141" s="14">
        <f t="shared" ca="1" si="66"/>
        <v>68.266799999999989</v>
      </c>
      <c r="L1141" s="14">
        <f t="shared" ca="1" si="67"/>
        <v>69.01343333333331</v>
      </c>
      <c r="M1141" s="14">
        <f t="shared" ca="1" si="67"/>
        <v>67.566258333333337</v>
      </c>
      <c r="N1141" s="14">
        <f t="shared" ca="1" si="67"/>
        <v>67.582250000000002</v>
      </c>
      <c r="O1141" s="14">
        <f t="shared" ca="1" si="67"/>
        <v>67.749700000000004</v>
      </c>
      <c r="P1141" s="14">
        <f t="shared" ca="1" si="67"/>
        <v>67.595574999999997</v>
      </c>
      <c r="Q1141" s="14">
        <f t="shared" ca="1" si="67"/>
        <v>68.344999999999999</v>
      </c>
      <c r="R1141" s="14">
        <f t="shared" ca="1" si="67"/>
        <v>69.102874999999997</v>
      </c>
      <c r="S1141" s="14">
        <f t="shared" ca="1" si="67"/>
        <v>66.280799999999985</v>
      </c>
      <c r="T1141" s="49">
        <f t="shared" ca="1" si="68"/>
        <v>358.17703550000004</v>
      </c>
      <c r="U1141" s="49">
        <f t="shared" ca="1" si="68"/>
        <v>142.42176299999997</v>
      </c>
      <c r="V1141" s="49">
        <f t="shared" ca="1" si="68"/>
        <v>50.325000000000003</v>
      </c>
      <c r="W1141" s="49">
        <f t="shared" ca="1" si="68"/>
        <v>5.0961473999999995</v>
      </c>
      <c r="X1141" s="49">
        <f t="shared" ca="1" si="68"/>
        <v>20.800615543999996</v>
      </c>
      <c r="Y1141" s="14"/>
      <c r="Z1141" s="14"/>
      <c r="AA1141" s="14"/>
      <c r="AB1141" s="14">
        <f t="shared" ca="1" si="69"/>
        <v>68.279182146378147</v>
      </c>
      <c r="AC1141" s="14">
        <f t="shared" ca="1" si="69"/>
        <v>67.654539568345328</v>
      </c>
    </row>
    <row r="1142" spans="1:29" ht="15" x14ac:dyDescent="0.2">
      <c r="A1142" s="10">
        <f t="shared" si="62"/>
        <v>2085</v>
      </c>
      <c r="B1142" s="14">
        <f t="shared" ca="1" si="66"/>
        <v>70.842066666666668</v>
      </c>
      <c r="C1142" s="14">
        <f t="shared" ca="1" si="66"/>
        <v>70.848224999999985</v>
      </c>
      <c r="D1142" s="14">
        <f t="shared" ca="1" si="66"/>
        <v>70.990750000000006</v>
      </c>
      <c r="E1142" s="14">
        <f t="shared" ca="1" si="66"/>
        <v>71.022824999999997</v>
      </c>
      <c r="F1142" s="14">
        <f t="shared" ca="1" si="66"/>
        <v>70.833649999999992</v>
      </c>
      <c r="G1142" s="14">
        <f t="shared" ca="1" si="66"/>
        <v>70.849783333333349</v>
      </c>
      <c r="H1142" s="14">
        <f t="shared" ca="1" si="66"/>
        <v>71.011941666666658</v>
      </c>
      <c r="I1142" s="14">
        <f t="shared" ca="1" si="66"/>
        <v>70.856191666666675</v>
      </c>
      <c r="J1142" s="14">
        <f t="shared" ca="1" si="66"/>
        <v>70.826650000000001</v>
      </c>
      <c r="K1142" s="14">
        <f t="shared" ca="1" si="66"/>
        <v>70.852324999999993</v>
      </c>
      <c r="L1142" s="14">
        <f t="shared" ca="1" si="67"/>
        <v>71.598941666666676</v>
      </c>
      <c r="M1142" s="14">
        <f t="shared" ca="1" si="67"/>
        <v>70.125708333333321</v>
      </c>
      <c r="N1142" s="14">
        <f t="shared" ca="1" si="67"/>
        <v>70.141674999999992</v>
      </c>
      <c r="O1142" s="14">
        <f t="shared" ca="1" si="67"/>
        <v>70.309116666666668</v>
      </c>
      <c r="P1142" s="14">
        <f t="shared" ca="1" si="67"/>
        <v>70.155000000000001</v>
      </c>
      <c r="Q1142" s="14">
        <f t="shared" ca="1" si="67"/>
        <v>70.904416666666648</v>
      </c>
      <c r="R1142" s="14">
        <f t="shared" ca="1" si="67"/>
        <v>71.668708333333328</v>
      </c>
      <c r="S1142" s="14">
        <f t="shared" ca="1" si="67"/>
        <v>68.791633333333337</v>
      </c>
      <c r="T1142" s="49">
        <f t="shared" ca="1" si="68"/>
        <v>357.24568100000005</v>
      </c>
      <c r="U1142" s="49">
        <f t="shared" ca="1" si="68"/>
        <v>142.03263249999998</v>
      </c>
      <c r="V1142" s="49">
        <f t="shared" ca="1" si="68"/>
        <v>50.187500000000007</v>
      </c>
      <c r="W1142" s="49">
        <f t="shared" ca="1" si="68"/>
        <v>5.0822234999999996</v>
      </c>
      <c r="X1142" s="49">
        <f t="shared" ca="1" si="68"/>
        <v>20.758966663999999</v>
      </c>
      <c r="Y1142" s="14"/>
      <c r="Z1142" s="14"/>
      <c r="AA1142" s="14"/>
      <c r="AB1142" s="14">
        <f t="shared" ca="1" si="69"/>
        <v>70.864722055311148</v>
      </c>
      <c r="AC1142" s="14">
        <f t="shared" ca="1" si="69"/>
        <v>70.21396942446043</v>
      </c>
    </row>
    <row r="1143" spans="1:29" ht="15" x14ac:dyDescent="0.2">
      <c r="A1143" s="10">
        <f t="shared" si="62"/>
        <v>2086</v>
      </c>
      <c r="B1143" s="14">
        <f t="shared" ca="1" si="66"/>
        <v>73.525533333333343</v>
      </c>
      <c r="C1143" s="14">
        <f t="shared" ca="1" si="66"/>
        <v>73.531699999999987</v>
      </c>
      <c r="D1143" s="14">
        <f t="shared" ca="1" si="66"/>
        <v>73.674191666666658</v>
      </c>
      <c r="E1143" s="14">
        <f t="shared" ca="1" si="66"/>
        <v>73.706308333333325</v>
      </c>
      <c r="F1143" s="14">
        <f t="shared" ca="1" si="66"/>
        <v>73.517116666666666</v>
      </c>
      <c r="G1143" s="14">
        <f t="shared" ca="1" si="66"/>
        <v>73.533249999999995</v>
      </c>
      <c r="H1143" s="14">
        <f t="shared" ca="1" si="66"/>
        <v>73.695433333333327</v>
      </c>
      <c r="I1143" s="14">
        <f t="shared" ca="1" si="66"/>
        <v>73.539683333333329</v>
      </c>
      <c r="J1143" s="14">
        <f t="shared" ca="1" si="66"/>
        <v>73.510116666666676</v>
      </c>
      <c r="K1143" s="14">
        <f t="shared" ca="1" si="66"/>
        <v>73.535799999999995</v>
      </c>
      <c r="L1143" s="14">
        <f t="shared" ca="1" si="67"/>
        <v>74.282433333333344</v>
      </c>
      <c r="M1143" s="14">
        <f t="shared" ca="1" si="67"/>
        <v>72.782108333333326</v>
      </c>
      <c r="N1143" s="14">
        <f t="shared" ca="1" si="67"/>
        <v>72.798091666666679</v>
      </c>
      <c r="O1143" s="14">
        <f t="shared" ca="1" si="67"/>
        <v>72.965550000000007</v>
      </c>
      <c r="P1143" s="14">
        <f t="shared" ca="1" si="67"/>
        <v>72.811399999999992</v>
      </c>
      <c r="Q1143" s="14">
        <f t="shared" ca="1" si="67"/>
        <v>73.560850000000002</v>
      </c>
      <c r="R1143" s="14">
        <f t="shared" ca="1" si="67"/>
        <v>74.331741666666659</v>
      </c>
      <c r="S1143" s="14">
        <f t="shared" ca="1" si="67"/>
        <v>71.397525000000016</v>
      </c>
      <c r="T1143" s="49">
        <f t="shared" ca="1" si="68"/>
        <v>357.24568100000005</v>
      </c>
      <c r="U1143" s="49">
        <f t="shared" ca="1" si="68"/>
        <v>142.03263249999998</v>
      </c>
      <c r="V1143" s="49">
        <f t="shared" ca="1" si="68"/>
        <v>50.187500000000007</v>
      </c>
      <c r="W1143" s="49">
        <f t="shared" ca="1" si="68"/>
        <v>5.0822234999999996</v>
      </c>
      <c r="X1143" s="49">
        <f t="shared" ca="1" si="68"/>
        <v>20.758966663999999</v>
      </c>
      <c r="Y1143" s="14"/>
      <c r="Z1143" s="14"/>
      <c r="AA1143" s="14"/>
      <c r="AB1143" s="14">
        <f t="shared" ca="1" si="69"/>
        <v>73.548190014110489</v>
      </c>
      <c r="AC1143" s="14">
        <f t="shared" ca="1" si="69"/>
        <v>72.870385491606712</v>
      </c>
    </row>
    <row r="1144" spans="1:29" ht="15" x14ac:dyDescent="0.2">
      <c r="A1144" s="10">
        <f t="shared" si="62"/>
        <v>2087</v>
      </c>
      <c r="B1144" s="14">
        <f t="shared" ca="1" si="66"/>
        <v>76.310658333333336</v>
      </c>
      <c r="C1144" s="14">
        <f t="shared" ca="1" si="66"/>
        <v>76.316825000000009</v>
      </c>
      <c r="D1144" s="14">
        <f t="shared" ca="1" si="66"/>
        <v>76.459333333333333</v>
      </c>
      <c r="E1144" s="14">
        <f t="shared" ca="1" si="66"/>
        <v>76.491433333333319</v>
      </c>
      <c r="F1144" s="14">
        <f t="shared" ca="1" si="66"/>
        <v>76.302249999999987</v>
      </c>
      <c r="G1144" s="14">
        <f t="shared" ca="1" si="66"/>
        <v>76.318399999999997</v>
      </c>
      <c r="H1144" s="14">
        <f t="shared" ca="1" si="66"/>
        <v>76.480558333333335</v>
      </c>
      <c r="I1144" s="14">
        <f t="shared" ca="1" si="66"/>
        <v>76.324816666666663</v>
      </c>
      <c r="J1144" s="14">
        <f t="shared" ca="1" si="66"/>
        <v>76.295249999999996</v>
      </c>
      <c r="K1144" s="14">
        <f t="shared" ca="1" si="66"/>
        <v>76.320916666666662</v>
      </c>
      <c r="L1144" s="14">
        <f t="shared" ca="1" si="67"/>
        <v>77.067558333333338</v>
      </c>
      <c r="M1144" s="14">
        <f t="shared" ca="1" si="67"/>
        <v>75.539124999999999</v>
      </c>
      <c r="N1144" s="14">
        <f t="shared" ca="1" si="67"/>
        <v>75.555108333333337</v>
      </c>
      <c r="O1144" s="14">
        <f t="shared" ca="1" si="67"/>
        <v>75.72256666666668</v>
      </c>
      <c r="P1144" s="14">
        <f t="shared" ca="1" si="67"/>
        <v>75.568441666666672</v>
      </c>
      <c r="Q1144" s="14">
        <f t="shared" ca="1" si="67"/>
        <v>76.317866666666674</v>
      </c>
      <c r="R1144" s="14">
        <f t="shared" ca="1" si="67"/>
        <v>77.095666666666673</v>
      </c>
      <c r="S1144" s="14">
        <f t="shared" ca="1" si="67"/>
        <v>74.102166666666662</v>
      </c>
      <c r="T1144" s="49">
        <f t="shared" ca="1" si="68"/>
        <v>357.24568100000005</v>
      </c>
      <c r="U1144" s="49">
        <f t="shared" ca="1" si="68"/>
        <v>142.03263249999998</v>
      </c>
      <c r="V1144" s="49">
        <f t="shared" ca="1" si="68"/>
        <v>50.187500000000007</v>
      </c>
      <c r="W1144" s="49">
        <f t="shared" ca="1" si="68"/>
        <v>5.0822234999999996</v>
      </c>
      <c r="X1144" s="49">
        <f t="shared" ca="1" si="68"/>
        <v>20.758966663999999</v>
      </c>
      <c r="Y1144" s="14"/>
      <c r="Z1144" s="14"/>
      <c r="AA1144" s="14"/>
      <c r="AB1144" s="14">
        <f t="shared" ca="1" si="69"/>
        <v>76.333324385671276</v>
      </c>
      <c r="AC1144" s="14">
        <f t="shared" ca="1" si="69"/>
        <v>75.627405755395671</v>
      </c>
    </row>
    <row r="1145" spans="1:29" ht="15" x14ac:dyDescent="0.2">
      <c r="A1145" s="10">
        <f t="shared" si="62"/>
        <v>2088</v>
      </c>
      <c r="B1145" s="14">
        <f t="shared" ca="1" si="66"/>
        <v>79.201291666666648</v>
      </c>
      <c r="C1145" s="14">
        <f t="shared" ca="1" si="66"/>
        <v>79.207466666666662</v>
      </c>
      <c r="D1145" s="14">
        <f t="shared" ca="1" si="66"/>
        <v>79.349966666666674</v>
      </c>
      <c r="E1145" s="14">
        <f t="shared" ca="1" si="66"/>
        <v>79.382083333333327</v>
      </c>
      <c r="F1145" s="14">
        <f t="shared" ca="1" si="66"/>
        <v>79.192883333333327</v>
      </c>
      <c r="G1145" s="14">
        <f t="shared" ca="1" si="66"/>
        <v>79.209033333333352</v>
      </c>
      <c r="H1145" s="14">
        <f t="shared" ca="1" si="66"/>
        <v>79.37118333333332</v>
      </c>
      <c r="I1145" s="14">
        <f t="shared" ca="1" si="66"/>
        <v>79.215441666666663</v>
      </c>
      <c r="J1145" s="14">
        <f t="shared" ca="1" si="66"/>
        <v>79.185883333333337</v>
      </c>
      <c r="K1145" s="14">
        <f t="shared" ca="1" si="66"/>
        <v>79.211558333333343</v>
      </c>
      <c r="L1145" s="14">
        <f t="shared" ca="1" si="67"/>
        <v>79.958183333333338</v>
      </c>
      <c r="M1145" s="14">
        <f t="shared" ca="1" si="67"/>
        <v>78.400599999999997</v>
      </c>
      <c r="N1145" s="14">
        <f t="shared" ca="1" si="67"/>
        <v>78.416574999999995</v>
      </c>
      <c r="O1145" s="14">
        <f t="shared" ca="1" si="67"/>
        <v>78.584024999999997</v>
      </c>
      <c r="P1145" s="14">
        <f t="shared" ca="1" si="67"/>
        <v>78.42990833333333</v>
      </c>
      <c r="Q1145" s="14">
        <f t="shared" ca="1" si="67"/>
        <v>79.17932500000002</v>
      </c>
      <c r="R1145" s="14">
        <f t="shared" ca="1" si="67"/>
        <v>79.964283333333341</v>
      </c>
      <c r="S1145" s="14">
        <f t="shared" ca="1" si="67"/>
        <v>76.90928333333332</v>
      </c>
      <c r="T1145" s="49">
        <f t="shared" ca="1" si="68"/>
        <v>358.17703550000004</v>
      </c>
      <c r="U1145" s="49">
        <f t="shared" ca="1" si="68"/>
        <v>142.42176299999997</v>
      </c>
      <c r="V1145" s="49">
        <f t="shared" ca="1" si="68"/>
        <v>50.325000000000003</v>
      </c>
      <c r="W1145" s="49">
        <f t="shared" ca="1" si="68"/>
        <v>5.0961473999999995</v>
      </c>
      <c r="X1145" s="49">
        <f t="shared" ca="1" si="68"/>
        <v>20.800615543999996</v>
      </c>
      <c r="Y1145" s="14"/>
      <c r="Z1145" s="14"/>
      <c r="AA1145" s="14"/>
      <c r="AB1145" s="14">
        <f t="shared" ca="1" si="69"/>
        <v>79.223958852090036</v>
      </c>
      <c r="AC1145" s="14">
        <f t="shared" ca="1" si="69"/>
        <v>78.488871522781764</v>
      </c>
    </row>
    <row r="1146" spans="1:29" ht="15" x14ac:dyDescent="0.2">
      <c r="A1146" s="10">
        <f t="shared" si="62"/>
        <v>2089</v>
      </c>
      <c r="B1146" s="14">
        <f t="shared" ca="1" si="66"/>
        <v>82.201458333333321</v>
      </c>
      <c r="C1146" s="14">
        <f t="shared" ca="1" si="66"/>
        <v>82.20760833333334</v>
      </c>
      <c r="D1146" s="14">
        <f t="shared" ca="1" si="66"/>
        <v>82.350149999999999</v>
      </c>
      <c r="E1146" s="14">
        <f t="shared" ca="1" si="66"/>
        <v>82.382208333333338</v>
      </c>
      <c r="F1146" s="14">
        <f t="shared" ca="1" si="66"/>
        <v>82.193033333333332</v>
      </c>
      <c r="G1146" s="14">
        <f t="shared" ca="1" si="66"/>
        <v>82.209191666666669</v>
      </c>
      <c r="H1146" s="14">
        <f t="shared" ca="1" si="66"/>
        <v>82.371316666666672</v>
      </c>
      <c r="I1146" s="14">
        <f t="shared" ca="1" si="66"/>
        <v>82.215583333333328</v>
      </c>
      <c r="J1146" s="14">
        <f t="shared" ca="1" si="66"/>
        <v>82.186033333333327</v>
      </c>
      <c r="K1146" s="14">
        <f t="shared" ca="1" si="66"/>
        <v>82.211691666666667</v>
      </c>
      <c r="L1146" s="14">
        <f t="shared" ca="1" si="67"/>
        <v>82.958316666666661</v>
      </c>
      <c r="M1146" s="14">
        <f t="shared" ca="1" si="67"/>
        <v>81.370458333333332</v>
      </c>
      <c r="N1146" s="14">
        <f t="shared" ca="1" si="67"/>
        <v>81.386433333333343</v>
      </c>
      <c r="O1146" s="14">
        <f t="shared" ca="1" si="67"/>
        <v>81.553891666666672</v>
      </c>
      <c r="P1146" s="14">
        <f t="shared" ca="1" si="67"/>
        <v>81.399766666666679</v>
      </c>
      <c r="Q1146" s="14">
        <f t="shared" ca="1" si="67"/>
        <v>82.149191666666653</v>
      </c>
      <c r="R1146" s="14">
        <f t="shared" ca="1" si="67"/>
        <v>82.941558333333333</v>
      </c>
      <c r="S1146" s="14">
        <f t="shared" ca="1" si="67"/>
        <v>79.822708333333324</v>
      </c>
      <c r="T1146" s="49">
        <f t="shared" ca="1" si="68"/>
        <v>357.24568100000005</v>
      </c>
      <c r="U1146" s="49">
        <f t="shared" ca="1" si="68"/>
        <v>142.03263249999998</v>
      </c>
      <c r="V1146" s="49">
        <f t="shared" ca="1" si="68"/>
        <v>50.187500000000007</v>
      </c>
      <c r="W1146" s="49">
        <f t="shared" ca="1" si="68"/>
        <v>5.0822234999999996</v>
      </c>
      <c r="X1146" s="49">
        <f t="shared" ca="1" si="68"/>
        <v>20.758966663999999</v>
      </c>
      <c r="Y1146" s="14"/>
      <c r="Z1146" s="14"/>
      <c r="AA1146" s="14"/>
      <c r="AB1146" s="14">
        <f t="shared" ca="1" si="69"/>
        <v>82.224112304792101</v>
      </c>
      <c r="AC1146" s="14">
        <f t="shared" ca="1" si="69"/>
        <v>81.458733633093516</v>
      </c>
    </row>
    <row r="1147" spans="1:29" ht="15" x14ac:dyDescent="0.2">
      <c r="A1147" s="10">
        <f t="shared" si="62"/>
        <v>2090</v>
      </c>
      <c r="B1147" s="14">
        <f t="shared" ca="1" si="66"/>
        <v>85.315233333333325</v>
      </c>
      <c r="C1147" s="14">
        <f t="shared" ca="1" si="66"/>
        <v>85.321433333333331</v>
      </c>
      <c r="D1147" s="14">
        <f t="shared" ca="1" si="66"/>
        <v>85.463899999999981</v>
      </c>
      <c r="E1147" s="14">
        <f t="shared" ca="1" si="66"/>
        <v>85.496016666666662</v>
      </c>
      <c r="F1147" s="14">
        <f t="shared" ca="1" si="66"/>
        <v>85.30683333333333</v>
      </c>
      <c r="G1147" s="14">
        <f t="shared" ca="1" si="66"/>
        <v>85.322966666666659</v>
      </c>
      <c r="H1147" s="14">
        <f t="shared" ca="1" si="66"/>
        <v>85.485124999999996</v>
      </c>
      <c r="I1147" s="14">
        <f t="shared" ca="1" si="66"/>
        <v>85.32938333333334</v>
      </c>
      <c r="J1147" s="14">
        <f t="shared" ca="1" si="66"/>
        <v>85.299833333333339</v>
      </c>
      <c r="K1147" s="14">
        <f t="shared" ca="1" si="66"/>
        <v>85.325499999999991</v>
      </c>
      <c r="L1147" s="14">
        <f t="shared" ca="1" si="67"/>
        <v>86.072125000000014</v>
      </c>
      <c r="M1147" s="14">
        <f t="shared" ca="1" si="67"/>
        <v>84.452833333333331</v>
      </c>
      <c r="N1147" s="14">
        <f t="shared" ca="1" si="67"/>
        <v>84.468816666666655</v>
      </c>
      <c r="O1147" s="14">
        <f t="shared" ca="1" si="67"/>
        <v>84.636266666666671</v>
      </c>
      <c r="P1147" s="14">
        <f t="shared" ca="1" si="67"/>
        <v>84.482133333333323</v>
      </c>
      <c r="Q1147" s="14">
        <f t="shared" ca="1" si="67"/>
        <v>85.231566666666666</v>
      </c>
      <c r="R1147" s="14">
        <f t="shared" ca="1" si="67"/>
        <v>86.031633333333332</v>
      </c>
      <c r="S1147" s="14">
        <f t="shared" ca="1" si="67"/>
        <v>82.846516666666673</v>
      </c>
      <c r="T1147" s="49">
        <f t="shared" ca="1" si="68"/>
        <v>357.24568100000005</v>
      </c>
      <c r="U1147" s="49">
        <f t="shared" ca="1" si="68"/>
        <v>142.03263249999998</v>
      </c>
      <c r="V1147" s="49">
        <f t="shared" ca="1" si="68"/>
        <v>50.187500000000007</v>
      </c>
      <c r="W1147" s="49">
        <f t="shared" ca="1" si="68"/>
        <v>5.0822234999999996</v>
      </c>
      <c r="X1147" s="49">
        <f t="shared" ca="1" si="68"/>
        <v>20.758966663999999</v>
      </c>
      <c r="Y1147" s="14"/>
      <c r="Z1147" s="14"/>
      <c r="AA1147" s="14"/>
      <c r="AB1147" s="14">
        <f t="shared" ca="1" si="69"/>
        <v>85.337906619595671</v>
      </c>
      <c r="AC1147" s="14">
        <f t="shared" ca="1" si="69"/>
        <v>84.541107913669066</v>
      </c>
    </row>
    <row r="1148" spans="1:29" ht="15" x14ac:dyDescent="0.2">
      <c r="A1148" s="10">
        <f t="shared" si="62"/>
        <v>2091</v>
      </c>
      <c r="B1148" s="14">
        <f t="shared" ca="1" si="66"/>
        <v>88.546983333333344</v>
      </c>
      <c r="C1148" s="14">
        <f t="shared" ca="1" si="66"/>
        <v>88.553150000000002</v>
      </c>
      <c r="D1148" s="14">
        <f t="shared" ca="1" si="66"/>
        <v>88.695666666666668</v>
      </c>
      <c r="E1148" s="14">
        <f t="shared" ca="1" si="66"/>
        <v>88.727758333333327</v>
      </c>
      <c r="F1148" s="14">
        <f t="shared" ca="1" si="66"/>
        <v>88.538583333333335</v>
      </c>
      <c r="G1148" s="14">
        <f t="shared" ca="1" si="66"/>
        <v>88.554716666666664</v>
      </c>
      <c r="H1148" s="14">
        <f t="shared" ca="1" si="66"/>
        <v>88.716875000000002</v>
      </c>
      <c r="I1148" s="14">
        <f t="shared" ca="1" si="66"/>
        <v>88.561141666666671</v>
      </c>
      <c r="J1148" s="14">
        <f t="shared" ca="1" si="66"/>
        <v>88.53158333333333</v>
      </c>
      <c r="K1148" s="14">
        <f t="shared" ca="1" si="66"/>
        <v>88.557258333333323</v>
      </c>
      <c r="L1148" s="14">
        <f t="shared" ca="1" si="67"/>
        <v>89.303874999999991</v>
      </c>
      <c r="M1148" s="14">
        <f t="shared" ca="1" si="67"/>
        <v>87.651949999999999</v>
      </c>
      <c r="N1148" s="14">
        <f t="shared" ca="1" si="67"/>
        <v>87.667950000000005</v>
      </c>
      <c r="O1148" s="14">
        <f t="shared" ca="1" si="67"/>
        <v>87.835391666666666</v>
      </c>
      <c r="P1148" s="14">
        <f t="shared" ca="1" si="67"/>
        <v>87.681266666666673</v>
      </c>
      <c r="Q1148" s="14">
        <f t="shared" ca="1" si="67"/>
        <v>88.430691666666675</v>
      </c>
      <c r="R1148" s="14">
        <f t="shared" ca="1" si="67"/>
        <v>89.238791666666671</v>
      </c>
      <c r="S1148" s="14">
        <f t="shared" ca="1" si="67"/>
        <v>85.984875000000002</v>
      </c>
      <c r="T1148" s="49">
        <f t="shared" ca="1" si="68"/>
        <v>357.24568100000005</v>
      </c>
      <c r="U1148" s="49">
        <f t="shared" ca="1" si="68"/>
        <v>142.03263249999998</v>
      </c>
      <c r="V1148" s="49">
        <f t="shared" ca="1" si="68"/>
        <v>50.187500000000007</v>
      </c>
      <c r="W1148" s="49">
        <f t="shared" ca="1" si="68"/>
        <v>5.0822234999999996</v>
      </c>
      <c r="X1148" s="49">
        <f t="shared" ca="1" si="68"/>
        <v>20.758966663999999</v>
      </c>
      <c r="Y1148" s="14"/>
      <c r="Z1148" s="14"/>
      <c r="AA1148" s="14"/>
      <c r="AB1148" s="14">
        <f t="shared" ca="1" si="69"/>
        <v>88.569651343349634</v>
      </c>
      <c r="AC1148" s="14">
        <f t="shared" ca="1" si="69"/>
        <v>87.740231714628308</v>
      </c>
    </row>
    <row r="1149" spans="1:29" ht="15" x14ac:dyDescent="0.2">
      <c r="A1149" s="10">
        <f t="shared" si="62"/>
        <v>2092</v>
      </c>
      <c r="B1149" s="14">
        <f t="shared" ref="B1149:K1157" ca="1" si="70">AVERAGE(OFFSET(B$601,($A1149-$A$1119)*12,0,12,1))</f>
        <v>91.901175000000009</v>
      </c>
      <c r="C1149" s="14">
        <f t="shared" ca="1" si="70"/>
        <v>91.907325</v>
      </c>
      <c r="D1149" s="14">
        <f t="shared" ca="1" si="70"/>
        <v>92.049833333333325</v>
      </c>
      <c r="E1149" s="14">
        <f t="shared" ca="1" si="70"/>
        <v>92.081933333333325</v>
      </c>
      <c r="F1149" s="14">
        <f t="shared" ca="1" si="70"/>
        <v>91.892758333333333</v>
      </c>
      <c r="G1149" s="14">
        <f t="shared" ca="1" si="70"/>
        <v>91.908916666666656</v>
      </c>
      <c r="H1149" s="14">
        <f t="shared" ca="1" si="70"/>
        <v>92.07105</v>
      </c>
      <c r="I1149" s="14">
        <f t="shared" ca="1" si="70"/>
        <v>91.915291666666675</v>
      </c>
      <c r="J1149" s="14">
        <f t="shared" ca="1" si="70"/>
        <v>91.885758333333342</v>
      </c>
      <c r="K1149" s="14">
        <f t="shared" ca="1" si="70"/>
        <v>91.911424999999994</v>
      </c>
      <c r="L1149" s="14">
        <f t="shared" ref="L1149:S1157" ca="1" si="71">AVERAGE(OFFSET(L$601,($A1149-$A$1119)*12,0,12,1))</f>
        <v>92.658050000000003</v>
      </c>
      <c r="M1149" s="14">
        <f t="shared" ca="1" si="71"/>
        <v>90.972291666666663</v>
      </c>
      <c r="N1149" s="14">
        <f t="shared" ca="1" si="71"/>
        <v>90.988275000000002</v>
      </c>
      <c r="O1149" s="14">
        <f t="shared" ca="1" si="71"/>
        <v>91.155733333333345</v>
      </c>
      <c r="P1149" s="14">
        <f t="shared" ca="1" si="71"/>
        <v>91.00160000000001</v>
      </c>
      <c r="Q1149" s="14">
        <f t="shared" ca="1" si="71"/>
        <v>91.751033333333325</v>
      </c>
      <c r="R1149" s="14">
        <f t="shared" ca="1" si="71"/>
        <v>92.567400000000006</v>
      </c>
      <c r="S1149" s="14">
        <f t="shared" ca="1" si="71"/>
        <v>89.242100000000008</v>
      </c>
      <c r="T1149" s="49">
        <f t="shared" ref="T1149:X1157" ca="1" si="72">SUM(OFFSET(T$601,($A1149-$A$1119)*12,0,12,1))</f>
        <v>358.17703550000004</v>
      </c>
      <c r="U1149" s="49">
        <f t="shared" ca="1" si="72"/>
        <v>142.42176299999997</v>
      </c>
      <c r="V1149" s="49">
        <f t="shared" ca="1" si="72"/>
        <v>50.325000000000003</v>
      </c>
      <c r="W1149" s="49">
        <f t="shared" ca="1" si="72"/>
        <v>5.0961473999999995</v>
      </c>
      <c r="X1149" s="49">
        <f t="shared" ca="1" si="72"/>
        <v>20.800615543999996</v>
      </c>
      <c r="Y1149" s="14"/>
      <c r="Z1149" s="14"/>
      <c r="AA1149" s="14"/>
      <c r="AB1149" s="14">
        <f t="shared" ca="1" si="69"/>
        <v>91.923828084004711</v>
      </c>
      <c r="AC1149" s="14">
        <f t="shared" ca="1" si="69"/>
        <v>91.060571223021569</v>
      </c>
    </row>
    <row r="1150" spans="1:29" ht="15" x14ac:dyDescent="0.2">
      <c r="A1150" s="10">
        <f t="shared" si="62"/>
        <v>2093</v>
      </c>
      <c r="B1150" s="14">
        <f t="shared" ca="1" si="70"/>
        <v>95.382408333333331</v>
      </c>
      <c r="C1150" s="14">
        <f t="shared" ca="1" si="70"/>
        <v>95.388558333333336</v>
      </c>
      <c r="D1150" s="14">
        <f t="shared" ca="1" si="70"/>
        <v>95.531083333333342</v>
      </c>
      <c r="E1150" s="14">
        <f t="shared" ca="1" si="70"/>
        <v>95.563175000000015</v>
      </c>
      <c r="F1150" s="14">
        <f t="shared" ca="1" si="70"/>
        <v>95.373983333333342</v>
      </c>
      <c r="G1150" s="14">
        <f t="shared" ca="1" si="70"/>
        <v>95.390124999999998</v>
      </c>
      <c r="H1150" s="14">
        <f t="shared" ca="1" si="70"/>
        <v>95.552300000000002</v>
      </c>
      <c r="I1150" s="14">
        <f t="shared" ca="1" si="70"/>
        <v>95.396550000000005</v>
      </c>
      <c r="J1150" s="14">
        <f t="shared" ca="1" si="70"/>
        <v>95.366983333333337</v>
      </c>
      <c r="K1150" s="14">
        <f t="shared" ca="1" si="70"/>
        <v>95.39265833333333</v>
      </c>
      <c r="L1150" s="14">
        <f t="shared" ca="1" si="71"/>
        <v>96.139300000000006</v>
      </c>
      <c r="M1150" s="14">
        <f t="shared" ca="1" si="71"/>
        <v>94.418400000000005</v>
      </c>
      <c r="N1150" s="14">
        <f t="shared" ca="1" si="71"/>
        <v>94.434374999999989</v>
      </c>
      <c r="O1150" s="14">
        <f t="shared" ca="1" si="71"/>
        <v>94.601825000000005</v>
      </c>
      <c r="P1150" s="14">
        <f t="shared" ca="1" si="71"/>
        <v>94.447691666666671</v>
      </c>
      <c r="Q1150" s="14">
        <f t="shared" ca="1" si="71"/>
        <v>95.197124999999986</v>
      </c>
      <c r="R1150" s="14">
        <f t="shared" ca="1" si="71"/>
        <v>96.022116666666648</v>
      </c>
      <c r="S1150" s="14">
        <f t="shared" ca="1" si="71"/>
        <v>92.622733333333329</v>
      </c>
      <c r="T1150" s="49">
        <f t="shared" ca="1" si="72"/>
        <v>357.24568100000005</v>
      </c>
      <c r="U1150" s="49">
        <f t="shared" ca="1" si="72"/>
        <v>142.03263249999998</v>
      </c>
      <c r="V1150" s="49">
        <f t="shared" ca="1" si="72"/>
        <v>50.187500000000007</v>
      </c>
      <c r="W1150" s="49">
        <f t="shared" ca="1" si="72"/>
        <v>5.0822234999999996</v>
      </c>
      <c r="X1150" s="49">
        <f t="shared" ca="1" si="72"/>
        <v>20.758966663999999</v>
      </c>
      <c r="Y1150" s="14"/>
      <c r="Z1150" s="14"/>
      <c r="AA1150" s="14"/>
      <c r="AB1150" s="14">
        <f t="shared" ca="1" si="69"/>
        <v>95.405060148020652</v>
      </c>
      <c r="AC1150" s="14">
        <f t="shared" ca="1" si="69"/>
        <v>94.506669124700238</v>
      </c>
    </row>
    <row r="1151" spans="1:29" ht="15" x14ac:dyDescent="0.2">
      <c r="A1151" s="10">
        <f t="shared" si="62"/>
        <v>2094</v>
      </c>
      <c r="B1151" s="14">
        <f t="shared" ca="1" si="70"/>
        <v>98.995508333333348</v>
      </c>
      <c r="C1151" s="14">
        <f t="shared" ca="1" si="70"/>
        <v>99.001649999999984</v>
      </c>
      <c r="D1151" s="14">
        <f t="shared" ca="1" si="70"/>
        <v>99.144183333333345</v>
      </c>
      <c r="E1151" s="14">
        <f t="shared" ca="1" si="70"/>
        <v>99.17628333333333</v>
      </c>
      <c r="F1151" s="14">
        <f t="shared" ca="1" si="70"/>
        <v>98.987108333333325</v>
      </c>
      <c r="G1151" s="14">
        <f t="shared" ca="1" si="70"/>
        <v>99.003249999999994</v>
      </c>
      <c r="H1151" s="14">
        <f t="shared" ca="1" si="70"/>
        <v>99.165408333333332</v>
      </c>
      <c r="I1151" s="14">
        <f t="shared" ca="1" si="70"/>
        <v>99.00965833333332</v>
      </c>
      <c r="J1151" s="14">
        <f t="shared" ca="1" si="70"/>
        <v>98.980108333333348</v>
      </c>
      <c r="K1151" s="14">
        <f t="shared" ca="1" si="70"/>
        <v>99.005774999999986</v>
      </c>
      <c r="L1151" s="14">
        <f t="shared" ca="1" si="71"/>
        <v>99.752408333333321</v>
      </c>
      <c r="M1151" s="14">
        <f t="shared" ca="1" si="71"/>
        <v>97.995058333333319</v>
      </c>
      <c r="N1151" s="14">
        <f t="shared" ca="1" si="71"/>
        <v>98.011008333333336</v>
      </c>
      <c r="O1151" s="14">
        <f t="shared" ca="1" si="71"/>
        <v>98.178458333333325</v>
      </c>
      <c r="P1151" s="14">
        <f t="shared" ca="1" si="71"/>
        <v>98.024341666666658</v>
      </c>
      <c r="Q1151" s="14">
        <f t="shared" ca="1" si="71"/>
        <v>98.773758333333319</v>
      </c>
      <c r="R1151" s="14">
        <f t="shared" ca="1" si="71"/>
        <v>99.607716666666661</v>
      </c>
      <c r="S1151" s="14">
        <f t="shared" ca="1" si="71"/>
        <v>96.13144166666666</v>
      </c>
      <c r="T1151" s="49">
        <f t="shared" ca="1" si="72"/>
        <v>357.24568100000005</v>
      </c>
      <c r="U1151" s="49">
        <f t="shared" ca="1" si="72"/>
        <v>142.03263249999998</v>
      </c>
      <c r="V1151" s="49">
        <f t="shared" ca="1" si="72"/>
        <v>50.187500000000007</v>
      </c>
      <c r="W1151" s="49">
        <f t="shared" ca="1" si="72"/>
        <v>5.0822234999999996</v>
      </c>
      <c r="X1151" s="49">
        <f t="shared" ca="1" si="72"/>
        <v>20.758966663999999</v>
      </c>
      <c r="Y1151" s="14"/>
      <c r="Z1151" s="14"/>
      <c r="AA1151" s="14"/>
      <c r="AB1151" s="14">
        <f t="shared" ca="1" si="69"/>
        <v>99.018169260203351</v>
      </c>
      <c r="AC1151" s="14">
        <f t="shared" ca="1" si="69"/>
        <v>98.083313489208635</v>
      </c>
    </row>
    <row r="1152" spans="1:29" ht="15" x14ac:dyDescent="0.2">
      <c r="A1152" s="10">
        <f t="shared" si="62"/>
        <v>2095</v>
      </c>
      <c r="B1152" s="14">
        <f t="shared" ca="1" si="70"/>
        <v>102.74551666666666</v>
      </c>
      <c r="C1152" s="14">
        <f t="shared" ca="1" si="70"/>
        <v>102.75165833333334</v>
      </c>
      <c r="D1152" s="14">
        <f t="shared" ca="1" si="70"/>
        <v>102.89418333333337</v>
      </c>
      <c r="E1152" s="14">
        <f t="shared" ca="1" si="70"/>
        <v>102.92628333333333</v>
      </c>
      <c r="F1152" s="14">
        <f t="shared" ca="1" si="70"/>
        <v>102.73710833333332</v>
      </c>
      <c r="G1152" s="14">
        <f t="shared" ca="1" si="70"/>
        <v>102.75324166666665</v>
      </c>
      <c r="H1152" s="14">
        <f t="shared" ca="1" si="70"/>
        <v>102.91537499999998</v>
      </c>
      <c r="I1152" s="14">
        <f t="shared" ca="1" si="70"/>
        <v>102.75963333333334</v>
      </c>
      <c r="J1152" s="14">
        <f t="shared" ca="1" si="70"/>
        <v>102.73010833333335</v>
      </c>
      <c r="K1152" s="14">
        <f t="shared" ca="1" si="70"/>
        <v>102.75573333333331</v>
      </c>
      <c r="L1152" s="14">
        <f t="shared" ca="1" si="71"/>
        <v>103.50237499999999</v>
      </c>
      <c r="M1152" s="14">
        <f t="shared" ca="1" si="71"/>
        <v>101.70719166666667</v>
      </c>
      <c r="N1152" s="14">
        <f t="shared" ca="1" si="71"/>
        <v>101.72316666666666</v>
      </c>
      <c r="O1152" s="14">
        <f t="shared" ca="1" si="71"/>
        <v>101.89061666666665</v>
      </c>
      <c r="P1152" s="14">
        <f t="shared" ca="1" si="71"/>
        <v>101.73649999999999</v>
      </c>
      <c r="Q1152" s="14">
        <f t="shared" ca="1" si="71"/>
        <v>102.48591666666668</v>
      </c>
      <c r="R1152" s="14">
        <f t="shared" ca="1" si="71"/>
        <v>103.32912499999998</v>
      </c>
      <c r="S1152" s="14">
        <f t="shared" ca="1" si="71"/>
        <v>99.773041666666686</v>
      </c>
      <c r="T1152" s="49">
        <f t="shared" ca="1" si="72"/>
        <v>357.24568100000005</v>
      </c>
      <c r="U1152" s="49">
        <f t="shared" ca="1" si="72"/>
        <v>142.03263249999998</v>
      </c>
      <c r="V1152" s="49">
        <f t="shared" ca="1" si="72"/>
        <v>50.187500000000007</v>
      </c>
      <c r="W1152" s="49">
        <f t="shared" ca="1" si="72"/>
        <v>5.0822234999999996</v>
      </c>
      <c r="X1152" s="49">
        <f t="shared" ca="1" si="72"/>
        <v>20.758966663999999</v>
      </c>
      <c r="Y1152" s="14"/>
      <c r="Z1152" s="14"/>
      <c r="AA1152" s="14"/>
      <c r="AB1152" s="14">
        <f t="shared" ca="1" si="69"/>
        <v>102.7681701203399</v>
      </c>
      <c r="AC1152" s="14">
        <f t="shared" ca="1" si="69"/>
        <v>101.79546318944845</v>
      </c>
    </row>
    <row r="1153" spans="1:29" ht="15" x14ac:dyDescent="0.2">
      <c r="A1153" s="10">
        <f t="shared" si="62"/>
        <v>2096</v>
      </c>
      <c r="B1153" s="14">
        <f t="shared" ca="1" si="70"/>
        <v>106.63754166666666</v>
      </c>
      <c r="C1153" s="14">
        <f t="shared" ca="1" si="70"/>
        <v>106.64370000000001</v>
      </c>
      <c r="D1153" s="14">
        <f t="shared" ca="1" si="70"/>
        <v>106.78621666666668</v>
      </c>
      <c r="E1153" s="14">
        <f t="shared" ca="1" si="70"/>
        <v>106.818325</v>
      </c>
      <c r="F1153" s="14">
        <f t="shared" ca="1" si="70"/>
        <v>106.62911666666666</v>
      </c>
      <c r="G1153" s="14">
        <f t="shared" ca="1" si="70"/>
        <v>106.64527500000001</v>
      </c>
      <c r="H1153" s="14">
        <f t="shared" ca="1" si="70"/>
        <v>106.80742500000001</v>
      </c>
      <c r="I1153" s="14">
        <f t="shared" ca="1" si="70"/>
        <v>106.65168333333332</v>
      </c>
      <c r="J1153" s="14">
        <f t="shared" ca="1" si="70"/>
        <v>106.62211666666667</v>
      </c>
      <c r="K1153" s="14">
        <f t="shared" ca="1" si="70"/>
        <v>106.64779166666665</v>
      </c>
      <c r="L1153" s="14">
        <f t="shared" ca="1" si="71"/>
        <v>107.394425</v>
      </c>
      <c r="M1153" s="14">
        <f t="shared" ca="1" si="71"/>
        <v>105.55994166666666</v>
      </c>
      <c r="N1153" s="14">
        <f t="shared" ca="1" si="71"/>
        <v>105.57594166666668</v>
      </c>
      <c r="O1153" s="14">
        <f t="shared" ca="1" si="71"/>
        <v>105.74338333333334</v>
      </c>
      <c r="P1153" s="14">
        <f t="shared" ca="1" si="71"/>
        <v>105.58926666666669</v>
      </c>
      <c r="Q1153" s="14">
        <f t="shared" ca="1" si="71"/>
        <v>106.33868333333332</v>
      </c>
      <c r="R1153" s="14">
        <f t="shared" ca="1" si="71"/>
        <v>107.19153333333333</v>
      </c>
      <c r="S1153" s="14">
        <f t="shared" ca="1" si="71"/>
        <v>103.55261666666668</v>
      </c>
      <c r="T1153" s="49">
        <f t="shared" ca="1" si="72"/>
        <v>358.17703550000004</v>
      </c>
      <c r="U1153" s="49">
        <f t="shared" ca="1" si="72"/>
        <v>142.42176299999997</v>
      </c>
      <c r="V1153" s="49">
        <f t="shared" ca="1" si="72"/>
        <v>50.325000000000003</v>
      </c>
      <c r="W1153" s="49">
        <f t="shared" ca="1" si="72"/>
        <v>5.0961473999999995</v>
      </c>
      <c r="X1153" s="49">
        <f t="shared" ca="1" si="72"/>
        <v>20.800615543999996</v>
      </c>
      <c r="Y1153" s="14"/>
      <c r="Z1153" s="14"/>
      <c r="AA1153" s="14"/>
      <c r="AB1153" s="14">
        <f t="shared" ca="1" si="69"/>
        <v>106.66019822379853</v>
      </c>
      <c r="AC1153" s="14">
        <f t="shared" ca="1" si="69"/>
        <v>105.64822458033574</v>
      </c>
    </row>
    <row r="1154" spans="1:29" ht="15" x14ac:dyDescent="0.2">
      <c r="A1154" s="10">
        <f t="shared" si="62"/>
        <v>2097</v>
      </c>
      <c r="B1154" s="14">
        <f t="shared" ca="1" si="70"/>
        <v>110.67701666666666</v>
      </c>
      <c r="C1154" s="14">
        <f t="shared" ca="1" si="70"/>
        <v>110.68318333333332</v>
      </c>
      <c r="D1154" s="14">
        <f t="shared" ca="1" si="70"/>
        <v>110.82569166666667</v>
      </c>
      <c r="E1154" s="14">
        <f t="shared" ca="1" si="70"/>
        <v>110.85779166666667</v>
      </c>
      <c r="F1154" s="14">
        <f t="shared" ca="1" si="70"/>
        <v>110.66860833333332</v>
      </c>
      <c r="G1154" s="14">
        <f t="shared" ca="1" si="70"/>
        <v>110.68475000000001</v>
      </c>
      <c r="H1154" s="14">
        <f t="shared" ca="1" si="70"/>
        <v>110.84690000000001</v>
      </c>
      <c r="I1154" s="14">
        <f t="shared" ca="1" si="70"/>
        <v>110.69115000000004</v>
      </c>
      <c r="J1154" s="14">
        <f t="shared" ca="1" si="70"/>
        <v>110.66160833333333</v>
      </c>
      <c r="K1154" s="14">
        <f t="shared" ca="1" si="70"/>
        <v>110.68726666666667</v>
      </c>
      <c r="L1154" s="14">
        <f t="shared" ca="1" si="71"/>
        <v>111.43389999999999</v>
      </c>
      <c r="M1154" s="14">
        <f t="shared" ca="1" si="71"/>
        <v>109.55866666666667</v>
      </c>
      <c r="N1154" s="14">
        <f t="shared" ca="1" si="71"/>
        <v>109.57463333333334</v>
      </c>
      <c r="O1154" s="14">
        <f t="shared" ca="1" si="71"/>
        <v>109.74209166666667</v>
      </c>
      <c r="P1154" s="14">
        <f t="shared" ca="1" si="71"/>
        <v>109.58794999999998</v>
      </c>
      <c r="Q1154" s="14">
        <f t="shared" ca="1" si="71"/>
        <v>110.33739166666665</v>
      </c>
      <c r="R1154" s="14">
        <f t="shared" ca="1" si="71"/>
        <v>111.20024166666666</v>
      </c>
      <c r="S1154" s="14">
        <f t="shared" ca="1" si="71"/>
        <v>107.47534166666667</v>
      </c>
      <c r="T1154" s="49">
        <f t="shared" ca="1" si="72"/>
        <v>357.24568100000005</v>
      </c>
      <c r="U1154" s="49">
        <f t="shared" ca="1" si="72"/>
        <v>142.03263249999998</v>
      </c>
      <c r="V1154" s="49">
        <f t="shared" ca="1" si="72"/>
        <v>50.187500000000007</v>
      </c>
      <c r="W1154" s="49">
        <f t="shared" ca="1" si="72"/>
        <v>5.0822234999999996</v>
      </c>
      <c r="X1154" s="49">
        <f t="shared" ca="1" si="72"/>
        <v>20.758966663999999</v>
      </c>
      <c r="Y1154" s="14"/>
      <c r="Z1154" s="14"/>
      <c r="AA1154" s="14"/>
      <c r="AB1154" s="14">
        <f t="shared" ca="1" si="69"/>
        <v>110.69967871680382</v>
      </c>
      <c r="AC1154" s="14">
        <f t="shared" ca="1" si="69"/>
        <v>109.64693411270984</v>
      </c>
    </row>
    <row r="1155" spans="1:29" ht="15" x14ac:dyDescent="0.2">
      <c r="A1155" s="10">
        <f t="shared" si="62"/>
        <v>2098</v>
      </c>
      <c r="B1155" s="14">
        <f t="shared" ca="1" si="70"/>
        <v>114.86951666666668</v>
      </c>
      <c r="C1155" s="14">
        <f t="shared" ca="1" si="70"/>
        <v>114.87568333333336</v>
      </c>
      <c r="D1155" s="14">
        <f t="shared" ca="1" si="70"/>
        <v>115.01819166666667</v>
      </c>
      <c r="E1155" s="14">
        <f t="shared" ca="1" si="70"/>
        <v>115.05030000000001</v>
      </c>
      <c r="F1155" s="14">
        <f t="shared" ca="1" si="70"/>
        <v>114.86110833333333</v>
      </c>
      <c r="G1155" s="14">
        <f t="shared" ca="1" si="70"/>
        <v>114.87724999999999</v>
      </c>
      <c r="H1155" s="14">
        <f t="shared" ca="1" si="70"/>
        <v>115.03941666666667</v>
      </c>
      <c r="I1155" s="14">
        <f t="shared" ca="1" si="70"/>
        <v>114.88366666666666</v>
      </c>
      <c r="J1155" s="14">
        <f t="shared" ca="1" si="70"/>
        <v>114.85410833333333</v>
      </c>
      <c r="K1155" s="14">
        <f t="shared" ca="1" si="70"/>
        <v>114.87976666666667</v>
      </c>
      <c r="L1155" s="14">
        <f t="shared" ca="1" si="71"/>
        <v>115.62641666666666</v>
      </c>
      <c r="M1155" s="14">
        <f t="shared" ca="1" si="71"/>
        <v>113.70885</v>
      </c>
      <c r="N1155" s="14">
        <f t="shared" ca="1" si="71"/>
        <v>113.72484166666668</v>
      </c>
      <c r="O1155" s="14">
        <f t="shared" ca="1" si="71"/>
        <v>113.89229166666667</v>
      </c>
      <c r="P1155" s="14">
        <f t="shared" ca="1" si="71"/>
        <v>113.73815833333333</v>
      </c>
      <c r="Q1155" s="14">
        <f t="shared" ca="1" si="71"/>
        <v>114.48759166666669</v>
      </c>
      <c r="R1155" s="14">
        <f t="shared" ca="1" si="71"/>
        <v>115.36080833333334</v>
      </c>
      <c r="S1155" s="14">
        <f t="shared" ca="1" si="71"/>
        <v>111.54668333333335</v>
      </c>
      <c r="T1155" s="49">
        <f t="shared" ca="1" si="72"/>
        <v>357.24568100000005</v>
      </c>
      <c r="U1155" s="49">
        <f t="shared" ca="1" si="72"/>
        <v>142.03263249999998</v>
      </c>
      <c r="V1155" s="49">
        <f t="shared" ca="1" si="72"/>
        <v>50.187500000000007</v>
      </c>
      <c r="W1155" s="49">
        <f t="shared" ca="1" si="72"/>
        <v>5.0822234999999996</v>
      </c>
      <c r="X1155" s="49">
        <f t="shared" ca="1" si="72"/>
        <v>20.758966663999999</v>
      </c>
      <c r="Y1155" s="14"/>
      <c r="Z1155" s="14"/>
      <c r="AA1155" s="14"/>
      <c r="AB1155" s="14">
        <f t="shared" ca="1" si="69"/>
        <v>114.89218034220961</v>
      </c>
      <c r="AC1155" s="14">
        <f t="shared" ca="1" si="69"/>
        <v>113.79713003597124</v>
      </c>
    </row>
    <row r="1156" spans="1:29" ht="15" x14ac:dyDescent="0.2">
      <c r="A1156" s="10">
        <f t="shared" si="62"/>
        <v>2099</v>
      </c>
      <c r="B1156" s="14">
        <f t="shared" ca="1" si="70"/>
        <v>119.22085</v>
      </c>
      <c r="C1156" s="14">
        <f t="shared" ca="1" si="70"/>
        <v>119.22701666666666</v>
      </c>
      <c r="D1156" s="14">
        <f t="shared" ca="1" si="70"/>
        <v>119.369525</v>
      </c>
      <c r="E1156" s="14">
        <f t="shared" ca="1" si="70"/>
        <v>119.40161666666665</v>
      </c>
      <c r="F1156" s="14">
        <f t="shared" ca="1" si="70"/>
        <v>119.21243333333335</v>
      </c>
      <c r="G1156" s="14">
        <f t="shared" ca="1" si="70"/>
        <v>119.22857500000002</v>
      </c>
      <c r="H1156" s="14">
        <f t="shared" ca="1" si="70"/>
        <v>119.39071666666665</v>
      </c>
      <c r="I1156" s="14">
        <f t="shared" ca="1" si="70"/>
        <v>119.23498333333333</v>
      </c>
      <c r="J1156" s="14">
        <f t="shared" ca="1" si="70"/>
        <v>119.20543333333332</v>
      </c>
      <c r="K1156" s="14">
        <f t="shared" ca="1" si="70"/>
        <v>119.23111666666667</v>
      </c>
      <c r="L1156" s="14">
        <f t="shared" ca="1" si="71"/>
        <v>119.97771666666665</v>
      </c>
      <c r="M1156" s="14">
        <f t="shared" ca="1" si="71"/>
        <v>118.0162666666667</v>
      </c>
      <c r="N1156" s="14">
        <f t="shared" ca="1" si="71"/>
        <v>118.03224999999998</v>
      </c>
      <c r="O1156" s="14">
        <f t="shared" ca="1" si="71"/>
        <v>118.19969999999999</v>
      </c>
      <c r="P1156" s="14">
        <f t="shared" ca="1" si="71"/>
        <v>118.04558333333331</v>
      </c>
      <c r="Q1156" s="14">
        <f t="shared" ca="1" si="71"/>
        <v>118.795</v>
      </c>
      <c r="R1156" s="14">
        <f t="shared" ca="1" si="71"/>
        <v>119.67898333333335</v>
      </c>
      <c r="S1156" s="14">
        <f t="shared" ca="1" si="71"/>
        <v>115.77224166666666</v>
      </c>
      <c r="T1156" s="49">
        <f t="shared" ca="1" si="72"/>
        <v>357.24568100000005</v>
      </c>
      <c r="U1156" s="49">
        <f t="shared" ca="1" si="72"/>
        <v>142.03263249999998</v>
      </c>
      <c r="V1156" s="49">
        <f t="shared" ca="1" si="72"/>
        <v>50.187500000000007</v>
      </c>
      <c r="W1156" s="49">
        <f t="shared" ca="1" si="72"/>
        <v>5.0822234999999996</v>
      </c>
      <c r="X1156" s="49">
        <f t="shared" ca="1" si="72"/>
        <v>20.758966663999999</v>
      </c>
      <c r="Y1156" s="14"/>
      <c r="Z1156" s="14"/>
      <c r="AA1156" s="14"/>
      <c r="AB1156" s="14">
        <f t="shared" ca="1" si="69"/>
        <v>119.24350913532805</v>
      </c>
      <c r="AC1156" s="14">
        <f t="shared" ca="1" si="69"/>
        <v>118.10454364508394</v>
      </c>
    </row>
    <row r="1157" spans="1:29" ht="15" x14ac:dyDescent="0.2">
      <c r="A1157" s="10">
        <f t="shared" si="62"/>
        <v>2100</v>
      </c>
      <c r="B1157" s="14">
        <f t="shared" ca="1" si="70"/>
        <v>123.73693333333334</v>
      </c>
      <c r="C1157" s="14">
        <f t="shared" ca="1" si="70"/>
        <v>123.74310000000001</v>
      </c>
      <c r="D1157" s="14">
        <f t="shared" ca="1" si="70"/>
        <v>123.88561666666665</v>
      </c>
      <c r="E1157" s="14">
        <f t="shared" ca="1" si="70"/>
        <v>123.91770833333332</v>
      </c>
      <c r="F1157" s="14">
        <f t="shared" ca="1" si="70"/>
        <v>123.72853333333336</v>
      </c>
      <c r="G1157" s="14">
        <f t="shared" ca="1" si="70"/>
        <v>123.74465833333335</v>
      </c>
      <c r="H1157" s="14">
        <f t="shared" ca="1" si="70"/>
        <v>123.90681666666667</v>
      </c>
      <c r="I1157" s="14">
        <f t="shared" ca="1" si="70"/>
        <v>123.751075</v>
      </c>
      <c r="J1157" s="14">
        <f t="shared" ca="1" si="70"/>
        <v>123.72153333333331</v>
      </c>
      <c r="K1157" s="14">
        <f t="shared" ca="1" si="70"/>
        <v>123.74720000000001</v>
      </c>
      <c r="L1157" s="14">
        <f t="shared" ca="1" si="71"/>
        <v>124.49381666666666</v>
      </c>
      <c r="M1157" s="14">
        <f t="shared" ca="1" si="71"/>
        <v>122.48678333333334</v>
      </c>
      <c r="N1157" s="14">
        <f t="shared" ca="1" si="71"/>
        <v>122.50275833333332</v>
      </c>
      <c r="O1157" s="14">
        <f t="shared" ca="1" si="71"/>
        <v>122.670225</v>
      </c>
      <c r="P1157" s="14">
        <f t="shared" ca="1" si="71"/>
        <v>122.516075</v>
      </c>
      <c r="Q1157" s="14">
        <f t="shared" ca="1" si="71"/>
        <v>123.26552499999998</v>
      </c>
      <c r="R1157" s="14">
        <f t="shared" ca="1" si="71"/>
        <v>124.16066666666667</v>
      </c>
      <c r="S1157" s="14">
        <f t="shared" ca="1" si="71"/>
        <v>120.15782499999999</v>
      </c>
      <c r="T1157" s="49">
        <f t="shared" ca="1" si="72"/>
        <v>358.17703550000004</v>
      </c>
      <c r="U1157" s="49">
        <f t="shared" ca="1" si="72"/>
        <v>142.42176299999997</v>
      </c>
      <c r="V1157" s="49">
        <f t="shared" ca="1" si="72"/>
        <v>50.325000000000003</v>
      </c>
      <c r="W1157" s="49">
        <f t="shared" ca="1" si="72"/>
        <v>5.0961473999999995</v>
      </c>
      <c r="X1157" s="49">
        <f t="shared" ca="1" si="72"/>
        <v>20.758966663999999</v>
      </c>
      <c r="Y1157" s="14"/>
      <c r="Z1157" s="14"/>
      <c r="AA1157" s="14"/>
      <c r="AB1157" s="14">
        <f t="shared" ca="1" si="69"/>
        <v>123.75959790008341</v>
      </c>
      <c r="AC1157" s="14">
        <f t="shared" ca="1" si="69"/>
        <v>122.57506001199043</v>
      </c>
    </row>
    <row r="1158" spans="1:29" ht="15" x14ac:dyDescent="0.2">
      <c r="A1158" s="10"/>
    </row>
    <row r="1159" spans="1:29" ht="15" x14ac:dyDescent="0.2">
      <c r="A1159" s="10"/>
    </row>
    <row r="1160" spans="1:29" ht="15" x14ac:dyDescent="0.2">
      <c r="A1160" s="10"/>
    </row>
    <row r="1161" spans="1:29" ht="15" x14ac:dyDescent="0.2">
      <c r="A1161" s="10"/>
    </row>
    <row r="1162" spans="1:29" ht="15" x14ac:dyDescent="0.2">
      <c r="A1162" s="10"/>
    </row>
    <row r="1163" spans="1:29" ht="15" x14ac:dyDescent="0.2">
      <c r="A1163" s="10"/>
    </row>
    <row r="1164" spans="1:29" ht="15" x14ac:dyDescent="0.2">
      <c r="A1164" s="10"/>
    </row>
    <row r="1165" spans="1:29" ht="15" x14ac:dyDescent="0.2">
      <c r="A1165" s="10"/>
    </row>
    <row r="1166" spans="1:29" ht="15" x14ac:dyDescent="0.2">
      <c r="A1166" s="10"/>
    </row>
    <row r="1167" spans="1:29" ht="15" x14ac:dyDescent="0.2">
      <c r="A1167" s="10"/>
    </row>
    <row r="1168" spans="1:29" ht="15" x14ac:dyDescent="0.2">
      <c r="A1168" s="10"/>
    </row>
    <row r="1169" spans="1:1" ht="15" x14ac:dyDescent="0.2">
      <c r="A1169" s="10"/>
    </row>
    <row r="1170" spans="1:1" ht="15" x14ac:dyDescent="0.2">
      <c r="A1170" s="10"/>
    </row>
    <row r="1171" spans="1:1" ht="15" x14ac:dyDescent="0.2">
      <c r="A1171" s="10"/>
    </row>
    <row r="1172" spans="1:1" ht="15" x14ac:dyDescent="0.2">
      <c r="A1172" s="10"/>
    </row>
  </sheetData>
  <mergeCells count="4">
    <mergeCell ref="Z9:AA9"/>
    <mergeCell ref="T9:Y9"/>
    <mergeCell ref="T10:Y10"/>
    <mergeCell ref="T8:Y8"/>
  </mergeCells>
  <pageMargins left="0.25" right="0.25" top="0.5" bottom="0.5" header="0.25" footer="0.25"/>
  <pageSetup paperSize="17" scale="35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locked="0" defaultSize="0" autoLine="0" autoPict="0">
                <anchor moveWithCells="1">
                  <from>
                    <xdr:col>7</xdr:col>
                    <xdr:colOff>285750</xdr:colOff>
                    <xdr:row>7</xdr:row>
                    <xdr:rowOff>28575</xdr:rowOff>
                  </from>
                  <to>
                    <xdr:col>8</xdr:col>
                    <xdr:colOff>552450</xdr:colOff>
                    <xdr:row>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locked="0" defaultSize="0" autoLine="0" autoPict="0">
                <anchor moveWithCells="1">
                  <from>
                    <xdr:col>11</xdr:col>
                    <xdr:colOff>0</xdr:colOff>
                    <xdr:row>7</xdr:row>
                    <xdr:rowOff>133350</xdr:rowOff>
                  </from>
                  <to>
                    <xdr:col>12</xdr:col>
                    <xdr:colOff>266700</xdr:colOff>
                    <xdr:row>9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D1176"/>
  <sheetViews>
    <sheetView zoomScale="70" zoomScaleNormal="70" workbookViewId="0">
      <pane xSplit="1" ySplit="11" topLeftCell="B12" activePane="bottomRight" state="frozen"/>
      <selection activeCell="B7" sqref="B7"/>
      <selection pane="topRight" activeCell="B7" sqref="B7"/>
      <selection pane="bottomLeft" activeCell="B7" sqref="B7"/>
      <selection pane="bottomRight" activeCell="B12" sqref="B12"/>
    </sheetView>
  </sheetViews>
  <sheetFormatPr defaultColWidth="7.109375" defaultRowHeight="12.75" x14ac:dyDescent="0.2"/>
  <cols>
    <col min="1" max="1" width="19.21875" style="31" customWidth="1"/>
    <col min="2" max="2" width="7.88671875" style="31" customWidth="1"/>
    <col min="3" max="14" width="13" style="8" customWidth="1"/>
    <col min="15" max="19" width="20.6640625" style="8" customWidth="1"/>
    <col min="20" max="20" width="15.44140625" style="8" customWidth="1"/>
    <col min="21" max="21" width="7.77734375" style="8" customWidth="1"/>
    <col min="22" max="16384" width="7.109375" style="8"/>
  </cols>
  <sheetData>
    <row r="1" spans="1:30" ht="15.75" x14ac:dyDescent="0.25">
      <c r="A1" s="107" t="s">
        <v>91</v>
      </c>
    </row>
    <row r="2" spans="1:30" ht="15.75" x14ac:dyDescent="0.25">
      <c r="A2" s="107" t="s">
        <v>92</v>
      </c>
    </row>
    <row r="3" spans="1:30" ht="15.75" x14ac:dyDescent="0.25">
      <c r="A3" s="107" t="s">
        <v>93</v>
      </c>
    </row>
    <row r="4" spans="1:30" ht="15.75" x14ac:dyDescent="0.25">
      <c r="A4" s="107" t="s">
        <v>94</v>
      </c>
    </row>
    <row r="5" spans="1:30" ht="15.75" x14ac:dyDescent="0.25">
      <c r="A5" s="107" t="s">
        <v>96</v>
      </c>
    </row>
    <row r="6" spans="1:30" ht="15.75" x14ac:dyDescent="0.25">
      <c r="A6" s="107" t="s">
        <v>101</v>
      </c>
    </row>
    <row r="8" spans="1:30" ht="15.75" x14ac:dyDescent="0.25">
      <c r="A8" s="43" t="s">
        <v>27</v>
      </c>
      <c r="B8" s="43"/>
      <c r="C8" s="106"/>
      <c r="O8" s="78"/>
      <c r="P8" s="78"/>
      <c r="Q8" s="78"/>
      <c r="R8" s="78"/>
      <c r="S8" s="78"/>
    </row>
    <row r="9" spans="1:30" ht="15.75" x14ac:dyDescent="0.25">
      <c r="A9" s="43"/>
      <c r="C9" s="116" t="s">
        <v>90</v>
      </c>
      <c r="D9" s="116"/>
      <c r="E9" s="116"/>
      <c r="F9" s="116"/>
      <c r="G9" s="105"/>
      <c r="H9" s="105"/>
      <c r="I9" s="121" t="s">
        <v>89</v>
      </c>
      <c r="J9" s="122"/>
      <c r="K9" s="122"/>
      <c r="L9" s="104"/>
      <c r="M9" s="80"/>
      <c r="N9" s="103"/>
      <c r="O9" s="120"/>
      <c r="P9" s="120"/>
      <c r="Q9" s="120"/>
      <c r="R9" s="102"/>
      <c r="S9" s="102"/>
    </row>
    <row r="10" spans="1:30" ht="97.9" customHeight="1" x14ac:dyDescent="0.25">
      <c r="A10" s="101"/>
      <c r="B10" s="101"/>
      <c r="C10" s="73" t="s">
        <v>76</v>
      </c>
      <c r="D10" s="77" t="s">
        <v>75</v>
      </c>
      <c r="E10" s="73" t="s">
        <v>74</v>
      </c>
      <c r="F10" s="73" t="s">
        <v>73</v>
      </c>
      <c r="G10" s="77" t="s">
        <v>72</v>
      </c>
      <c r="H10" s="77" t="s">
        <v>71</v>
      </c>
      <c r="I10" s="77" t="s">
        <v>70</v>
      </c>
      <c r="J10" s="77" t="s">
        <v>69</v>
      </c>
      <c r="K10" s="77" t="s">
        <v>68</v>
      </c>
      <c r="L10" s="73" t="s">
        <v>88</v>
      </c>
      <c r="M10" s="74" t="s">
        <v>67</v>
      </c>
      <c r="N10" s="37" t="s">
        <v>66</v>
      </c>
      <c r="O10" s="76" t="s">
        <v>87</v>
      </c>
      <c r="P10" s="76" t="s">
        <v>86</v>
      </c>
      <c r="Q10" s="76" t="s">
        <v>85</v>
      </c>
      <c r="R10" s="76" t="s">
        <v>84</v>
      </c>
      <c r="S10" s="100" t="s">
        <v>83</v>
      </c>
      <c r="T10" s="39" t="s">
        <v>82</v>
      </c>
    </row>
    <row r="11" spans="1:30" ht="15.75" x14ac:dyDescent="0.25">
      <c r="A11" s="38" t="s">
        <v>15</v>
      </c>
      <c r="B11" s="38" t="s">
        <v>81</v>
      </c>
      <c r="C11" s="38" t="s">
        <v>80</v>
      </c>
      <c r="D11" s="38" t="s">
        <v>80</v>
      </c>
      <c r="E11" s="38" t="s">
        <v>80</v>
      </c>
      <c r="F11" s="38" t="s">
        <v>80</v>
      </c>
      <c r="G11" s="38" t="s">
        <v>80</v>
      </c>
      <c r="H11" s="38" t="s">
        <v>80</v>
      </c>
      <c r="I11" s="38" t="s">
        <v>80</v>
      </c>
      <c r="J11" s="38" t="s">
        <v>80</v>
      </c>
      <c r="K11" s="38" t="s">
        <v>80</v>
      </c>
      <c r="L11" s="38" t="s">
        <v>80</v>
      </c>
      <c r="M11" s="99" t="s">
        <v>80</v>
      </c>
      <c r="N11" s="38" t="s">
        <v>80</v>
      </c>
      <c r="O11" s="38" t="s">
        <v>80</v>
      </c>
      <c r="P11" s="38" t="s">
        <v>80</v>
      </c>
      <c r="Q11" s="38" t="s">
        <v>80</v>
      </c>
      <c r="R11" s="38" t="s">
        <v>80</v>
      </c>
      <c r="S11" s="38" t="s">
        <v>80</v>
      </c>
      <c r="T11" s="38" t="s">
        <v>80</v>
      </c>
    </row>
    <row r="12" spans="1:30" ht="15" x14ac:dyDescent="0.2">
      <c r="A12" s="13">
        <v>41275</v>
      </c>
      <c r="B12" s="97">
        <v>31</v>
      </c>
      <c r="C12" s="83">
        <v>122.58</v>
      </c>
      <c r="D12" s="83">
        <v>297.94099999999997</v>
      </c>
      <c r="E12" s="92">
        <v>89.177000000000007</v>
      </c>
      <c r="F12" s="83">
        <v>200.30199999999999</v>
      </c>
      <c r="G12" s="86">
        <v>40</v>
      </c>
      <c r="H12" s="83">
        <v>0</v>
      </c>
      <c r="I12" s="83">
        <v>0</v>
      </c>
      <c r="J12" s="86">
        <v>100</v>
      </c>
      <c r="K12" s="86">
        <v>300</v>
      </c>
      <c r="L12" s="83">
        <v>1150</v>
      </c>
      <c r="M12" s="98"/>
      <c r="N12" s="83">
        <v>125</v>
      </c>
      <c r="O12" s="86">
        <v>240</v>
      </c>
      <c r="P12" s="86">
        <v>0</v>
      </c>
      <c r="Q12" s="86">
        <v>355</v>
      </c>
      <c r="R12" s="86">
        <v>100</v>
      </c>
      <c r="S12" s="83">
        <v>695</v>
      </c>
      <c r="T12" s="83">
        <v>50</v>
      </c>
      <c r="U12" s="84"/>
      <c r="V12" s="84"/>
      <c r="W12" s="84"/>
      <c r="X12" s="84"/>
      <c r="Y12" s="84"/>
      <c r="Z12" s="84"/>
      <c r="AA12" s="84"/>
      <c r="AB12" s="84"/>
      <c r="AC12" s="84"/>
      <c r="AD12" s="84"/>
    </row>
    <row r="13" spans="1:30" ht="15" x14ac:dyDescent="0.2">
      <c r="A13" s="13">
        <v>41306</v>
      </c>
      <c r="B13" s="97">
        <v>28</v>
      </c>
      <c r="C13" s="83">
        <v>122.58</v>
      </c>
      <c r="D13" s="83">
        <v>297.94099999999997</v>
      </c>
      <c r="E13" s="92">
        <v>89.177000000000007</v>
      </c>
      <c r="F13" s="83">
        <v>200.30199999999999</v>
      </c>
      <c r="G13" s="86">
        <v>40</v>
      </c>
      <c r="H13" s="83">
        <v>0</v>
      </c>
      <c r="I13" s="83">
        <v>0</v>
      </c>
      <c r="J13" s="86">
        <v>100</v>
      </c>
      <c r="K13" s="86">
        <v>300</v>
      </c>
      <c r="L13" s="83">
        <v>1150</v>
      </c>
      <c r="M13" s="98"/>
      <c r="N13" s="83">
        <v>125</v>
      </c>
      <c r="O13" s="86">
        <v>240</v>
      </c>
      <c r="P13" s="86">
        <v>0</v>
      </c>
      <c r="Q13" s="86">
        <v>355</v>
      </c>
      <c r="R13" s="86">
        <v>100</v>
      </c>
      <c r="S13" s="83">
        <v>695</v>
      </c>
      <c r="T13" s="83">
        <v>50</v>
      </c>
      <c r="U13" s="84"/>
      <c r="V13" s="84"/>
      <c r="W13" s="84"/>
      <c r="X13" s="84"/>
      <c r="Y13" s="84"/>
      <c r="Z13" s="84"/>
      <c r="AA13" s="84"/>
      <c r="AB13" s="84"/>
      <c r="AC13" s="84"/>
      <c r="AD13" s="84"/>
    </row>
    <row r="14" spans="1:30" ht="15" x14ac:dyDescent="0.2">
      <c r="A14" s="13">
        <v>41334</v>
      </c>
      <c r="B14" s="97">
        <v>31</v>
      </c>
      <c r="C14" s="83">
        <v>122.58</v>
      </c>
      <c r="D14" s="83">
        <v>297.94099999999997</v>
      </c>
      <c r="E14" s="92">
        <v>89.177000000000007</v>
      </c>
      <c r="F14" s="83">
        <v>200.30199999999999</v>
      </c>
      <c r="G14" s="86">
        <v>40</v>
      </c>
      <c r="H14" s="83">
        <v>0</v>
      </c>
      <c r="I14" s="83">
        <v>0</v>
      </c>
      <c r="J14" s="86">
        <v>100</v>
      </c>
      <c r="K14" s="86">
        <v>300</v>
      </c>
      <c r="L14" s="83">
        <v>1150</v>
      </c>
      <c r="M14" s="98"/>
      <c r="N14" s="83">
        <v>125</v>
      </c>
      <c r="O14" s="86">
        <v>240</v>
      </c>
      <c r="P14" s="86">
        <v>0</v>
      </c>
      <c r="Q14" s="86">
        <v>355</v>
      </c>
      <c r="R14" s="86">
        <v>100</v>
      </c>
      <c r="S14" s="83">
        <v>695</v>
      </c>
      <c r="T14" s="83">
        <v>50</v>
      </c>
      <c r="U14" s="84"/>
      <c r="V14" s="84"/>
      <c r="W14" s="84"/>
      <c r="X14" s="84"/>
      <c r="Y14" s="84"/>
      <c r="Z14" s="84"/>
      <c r="AA14" s="84"/>
      <c r="AB14" s="84"/>
      <c r="AC14" s="84"/>
      <c r="AD14" s="84"/>
    </row>
    <row r="15" spans="1:30" ht="15" x14ac:dyDescent="0.2">
      <c r="A15" s="13">
        <v>41365</v>
      </c>
      <c r="B15" s="97">
        <v>30</v>
      </c>
      <c r="C15" s="83">
        <v>141.29300000000001</v>
      </c>
      <c r="D15" s="83">
        <v>267.99299999999999</v>
      </c>
      <c r="E15" s="92">
        <v>115.01600000000001</v>
      </c>
      <c r="F15" s="83">
        <v>249.69800000000001</v>
      </c>
      <c r="G15" s="86">
        <v>40</v>
      </c>
      <c r="H15" s="83">
        <v>25</v>
      </c>
      <c r="I15" s="83">
        <v>0</v>
      </c>
      <c r="J15" s="86">
        <v>100</v>
      </c>
      <c r="K15" s="86">
        <v>300</v>
      </c>
      <c r="L15" s="83">
        <v>1239</v>
      </c>
      <c r="M15" s="98"/>
      <c r="N15" s="83">
        <v>125</v>
      </c>
      <c r="O15" s="86">
        <v>240</v>
      </c>
      <c r="P15" s="86">
        <v>120</v>
      </c>
      <c r="Q15" s="86">
        <v>235</v>
      </c>
      <c r="R15" s="86">
        <v>100</v>
      </c>
      <c r="S15" s="83">
        <v>695</v>
      </c>
      <c r="T15" s="83">
        <v>50</v>
      </c>
      <c r="U15" s="84"/>
      <c r="V15" s="84"/>
      <c r="W15" s="84"/>
      <c r="X15" s="84"/>
      <c r="Y15" s="84"/>
      <c r="Z15" s="84"/>
      <c r="AA15" s="84"/>
      <c r="AB15" s="84"/>
      <c r="AC15" s="84"/>
      <c r="AD15" s="84"/>
    </row>
    <row r="16" spans="1:30" ht="15" x14ac:dyDescent="0.2">
      <c r="A16" s="13">
        <v>41395</v>
      </c>
      <c r="B16" s="97">
        <v>31</v>
      </c>
      <c r="C16" s="83">
        <v>194.20500000000001</v>
      </c>
      <c r="D16" s="83">
        <v>267.46600000000001</v>
      </c>
      <c r="E16" s="92">
        <v>133.845</v>
      </c>
      <c r="F16" s="83">
        <v>213.48400000000001</v>
      </c>
      <c r="G16" s="86">
        <v>40</v>
      </c>
      <c r="H16" s="83">
        <v>25</v>
      </c>
      <c r="I16" s="98">
        <v>30</v>
      </c>
      <c r="J16" s="86">
        <v>100</v>
      </c>
      <c r="K16" s="86">
        <v>300</v>
      </c>
      <c r="L16" s="83">
        <v>1304</v>
      </c>
      <c r="M16" s="98"/>
      <c r="N16" s="83">
        <v>100</v>
      </c>
      <c r="O16" s="86">
        <v>240</v>
      </c>
      <c r="P16" s="86">
        <v>120</v>
      </c>
      <c r="Q16" s="86">
        <v>235</v>
      </c>
      <c r="R16" s="86">
        <v>100</v>
      </c>
      <c r="S16" s="83">
        <v>695</v>
      </c>
      <c r="T16" s="83">
        <v>50</v>
      </c>
      <c r="U16" s="84"/>
      <c r="V16" s="84"/>
      <c r="W16" s="84"/>
      <c r="X16" s="84"/>
      <c r="Y16" s="84"/>
      <c r="Z16" s="84"/>
      <c r="AA16" s="84"/>
      <c r="AB16" s="84"/>
      <c r="AC16" s="84"/>
      <c r="AD16" s="84"/>
    </row>
    <row r="17" spans="1:30" ht="15" x14ac:dyDescent="0.2">
      <c r="A17" s="13">
        <v>41426</v>
      </c>
      <c r="B17" s="97">
        <v>30</v>
      </c>
      <c r="C17" s="83">
        <v>194.20500000000001</v>
      </c>
      <c r="D17" s="83">
        <v>267.46600000000001</v>
      </c>
      <c r="E17" s="92">
        <v>133.845</v>
      </c>
      <c r="F17" s="83">
        <v>213.48400000000001</v>
      </c>
      <c r="G17" s="86">
        <v>40</v>
      </c>
      <c r="H17" s="83">
        <v>25</v>
      </c>
      <c r="I17" s="98">
        <v>30</v>
      </c>
      <c r="J17" s="86">
        <v>100</v>
      </c>
      <c r="K17" s="86">
        <v>300</v>
      </c>
      <c r="L17" s="83">
        <v>1304</v>
      </c>
      <c r="M17" s="98"/>
      <c r="N17" s="83">
        <v>55</v>
      </c>
      <c r="O17" s="86">
        <v>240</v>
      </c>
      <c r="P17" s="86">
        <v>120</v>
      </c>
      <c r="Q17" s="86">
        <v>235</v>
      </c>
      <c r="R17" s="86">
        <v>100</v>
      </c>
      <c r="S17" s="83">
        <v>695</v>
      </c>
      <c r="T17" s="83">
        <v>50</v>
      </c>
      <c r="U17" s="84"/>
      <c r="V17" s="84"/>
      <c r="W17" s="84"/>
      <c r="X17" s="84"/>
      <c r="Y17" s="84"/>
      <c r="Z17" s="84"/>
      <c r="AA17" s="84"/>
      <c r="AB17" s="84"/>
      <c r="AC17" s="84"/>
      <c r="AD17" s="84"/>
    </row>
    <row r="18" spans="1:30" ht="15" x14ac:dyDescent="0.2">
      <c r="A18" s="13">
        <v>41456</v>
      </c>
      <c r="B18" s="97">
        <v>31</v>
      </c>
      <c r="C18" s="83">
        <v>194.20500000000001</v>
      </c>
      <c r="D18" s="83">
        <v>267.46600000000001</v>
      </c>
      <c r="E18" s="92">
        <v>133.845</v>
      </c>
      <c r="F18" s="83">
        <v>213.48400000000001</v>
      </c>
      <c r="G18" s="86">
        <v>40</v>
      </c>
      <c r="H18" s="83">
        <v>25</v>
      </c>
      <c r="I18" s="98">
        <v>30</v>
      </c>
      <c r="J18" s="86">
        <v>100</v>
      </c>
      <c r="K18" s="86">
        <v>300</v>
      </c>
      <c r="L18" s="83">
        <v>1304</v>
      </c>
      <c r="M18" s="98"/>
      <c r="N18" s="83">
        <v>55</v>
      </c>
      <c r="O18" s="86">
        <v>240</v>
      </c>
      <c r="P18" s="86">
        <v>120</v>
      </c>
      <c r="Q18" s="86">
        <v>235</v>
      </c>
      <c r="R18" s="86">
        <v>100</v>
      </c>
      <c r="S18" s="83">
        <v>695</v>
      </c>
      <c r="T18" s="83">
        <v>0</v>
      </c>
      <c r="U18" s="84"/>
      <c r="V18" s="84"/>
      <c r="W18" s="84"/>
      <c r="X18" s="84"/>
      <c r="Y18" s="84"/>
      <c r="Z18" s="84"/>
      <c r="AA18" s="84"/>
      <c r="AB18" s="84"/>
      <c r="AC18" s="84"/>
      <c r="AD18" s="84"/>
    </row>
    <row r="19" spans="1:30" ht="15" x14ac:dyDescent="0.2">
      <c r="A19" s="13">
        <v>41487</v>
      </c>
      <c r="B19" s="97">
        <v>31</v>
      </c>
      <c r="C19" s="83">
        <v>194.20500000000001</v>
      </c>
      <c r="D19" s="83">
        <v>267.46600000000001</v>
      </c>
      <c r="E19" s="92">
        <v>133.845</v>
      </c>
      <c r="F19" s="83">
        <v>213.48400000000001</v>
      </c>
      <c r="G19" s="86">
        <v>40</v>
      </c>
      <c r="H19" s="83">
        <v>25</v>
      </c>
      <c r="I19" s="98">
        <v>30</v>
      </c>
      <c r="J19" s="86">
        <v>100</v>
      </c>
      <c r="K19" s="86">
        <v>300</v>
      </c>
      <c r="L19" s="83">
        <v>1304</v>
      </c>
      <c r="M19" s="98"/>
      <c r="N19" s="83">
        <v>55</v>
      </c>
      <c r="O19" s="86">
        <v>240</v>
      </c>
      <c r="P19" s="86">
        <v>120</v>
      </c>
      <c r="Q19" s="86">
        <v>235</v>
      </c>
      <c r="R19" s="86">
        <v>100</v>
      </c>
      <c r="S19" s="83">
        <v>695</v>
      </c>
      <c r="T19" s="83">
        <v>0</v>
      </c>
      <c r="U19" s="84"/>
      <c r="V19" s="84"/>
      <c r="W19" s="84"/>
      <c r="X19" s="84"/>
      <c r="Y19" s="84"/>
      <c r="Z19" s="84"/>
      <c r="AA19" s="84"/>
      <c r="AB19" s="84"/>
      <c r="AC19" s="84"/>
      <c r="AD19" s="84"/>
    </row>
    <row r="20" spans="1:30" ht="15" x14ac:dyDescent="0.2">
      <c r="A20" s="13">
        <v>41518</v>
      </c>
      <c r="B20" s="97">
        <v>30</v>
      </c>
      <c r="C20" s="83">
        <v>194.20500000000001</v>
      </c>
      <c r="D20" s="83">
        <v>267.46600000000001</v>
      </c>
      <c r="E20" s="92">
        <v>133.845</v>
      </c>
      <c r="F20" s="83">
        <v>213.48400000000001</v>
      </c>
      <c r="G20" s="86">
        <v>40</v>
      </c>
      <c r="H20" s="83">
        <v>25</v>
      </c>
      <c r="I20" s="98">
        <v>30</v>
      </c>
      <c r="J20" s="86">
        <v>100</v>
      </c>
      <c r="K20" s="86">
        <v>300</v>
      </c>
      <c r="L20" s="83">
        <v>1304</v>
      </c>
      <c r="M20" s="98"/>
      <c r="N20" s="83">
        <v>55</v>
      </c>
      <c r="O20" s="86">
        <v>240</v>
      </c>
      <c r="P20" s="86">
        <v>120</v>
      </c>
      <c r="Q20" s="86">
        <v>235</v>
      </c>
      <c r="R20" s="86">
        <v>100</v>
      </c>
      <c r="S20" s="83">
        <v>695</v>
      </c>
      <c r="T20" s="83">
        <v>0</v>
      </c>
      <c r="U20" s="84"/>
      <c r="V20" s="84"/>
      <c r="W20" s="84"/>
      <c r="X20" s="84"/>
      <c r="Y20" s="84"/>
      <c r="Z20" s="84"/>
      <c r="AA20" s="84"/>
      <c r="AB20" s="84"/>
      <c r="AC20" s="84"/>
      <c r="AD20" s="84"/>
    </row>
    <row r="21" spans="1:30" ht="15" x14ac:dyDescent="0.2">
      <c r="A21" s="13">
        <v>41548</v>
      </c>
      <c r="B21" s="97">
        <v>31</v>
      </c>
      <c r="C21" s="83">
        <v>131.881</v>
      </c>
      <c r="D21" s="83">
        <v>277.16699999999997</v>
      </c>
      <c r="E21" s="92">
        <v>79.08</v>
      </c>
      <c r="F21" s="83">
        <v>285.87200000000001</v>
      </c>
      <c r="G21" s="86">
        <v>40</v>
      </c>
      <c r="H21" s="83">
        <v>25</v>
      </c>
      <c r="I21" s="83">
        <v>0</v>
      </c>
      <c r="J21" s="86">
        <v>100</v>
      </c>
      <c r="K21" s="86">
        <v>300</v>
      </c>
      <c r="L21" s="83">
        <v>1239</v>
      </c>
      <c r="M21" s="98"/>
      <c r="N21" s="83">
        <v>100</v>
      </c>
      <c r="O21" s="86">
        <v>240</v>
      </c>
      <c r="P21" s="86">
        <v>120</v>
      </c>
      <c r="Q21" s="86">
        <v>235</v>
      </c>
      <c r="R21" s="86">
        <v>100</v>
      </c>
      <c r="S21" s="83">
        <v>695</v>
      </c>
      <c r="T21" s="83">
        <v>0</v>
      </c>
      <c r="U21" s="84"/>
      <c r="V21" s="84"/>
      <c r="W21" s="84"/>
      <c r="X21" s="84"/>
      <c r="Y21" s="84"/>
      <c r="Z21" s="84"/>
      <c r="AA21" s="84"/>
      <c r="AB21" s="84"/>
      <c r="AC21" s="84"/>
      <c r="AD21" s="84"/>
    </row>
    <row r="22" spans="1:30" ht="15" x14ac:dyDescent="0.2">
      <c r="A22" s="13">
        <v>41579</v>
      </c>
      <c r="B22" s="97">
        <v>30</v>
      </c>
      <c r="C22" s="83">
        <f>122.58</f>
        <v>122.58</v>
      </c>
      <c r="D22" s="83">
        <f>297.941</f>
        <v>297.94099999999997</v>
      </c>
      <c r="E22" s="92">
        <f>89.177</f>
        <v>89.177000000000007</v>
      </c>
      <c r="F22" s="83">
        <f>240.302-40</f>
        <v>200.30199999999999</v>
      </c>
      <c r="G22" s="86">
        <v>40</v>
      </c>
      <c r="H22" s="83">
        <v>0</v>
      </c>
      <c r="I22" s="83">
        <v>0</v>
      </c>
      <c r="J22" s="86">
        <v>100</v>
      </c>
      <c r="K22" s="86">
        <v>300</v>
      </c>
      <c r="L22" s="83">
        <f t="shared" ref="L22:L85" si="0">SUM(C22:K22)</f>
        <v>1150</v>
      </c>
      <c r="M22" s="98"/>
      <c r="N22" s="83">
        <f>125</f>
        <v>125</v>
      </c>
      <c r="O22" s="86">
        <v>240</v>
      </c>
      <c r="P22" s="86">
        <v>0</v>
      </c>
      <c r="Q22" s="86">
        <f t="shared" ref="Q22:Q85" si="1">695-R22-O22-P22</f>
        <v>355</v>
      </c>
      <c r="R22" s="86">
        <f t="shared" ref="R22:R85" si="2">200-J22</f>
        <v>100</v>
      </c>
      <c r="S22" s="83">
        <f t="shared" ref="S22:S85" si="3">SUM(O22:R22)</f>
        <v>695</v>
      </c>
      <c r="T22" s="83">
        <f>50</f>
        <v>50</v>
      </c>
      <c r="U22" s="84"/>
      <c r="V22" s="84"/>
      <c r="W22" s="84"/>
      <c r="X22" s="84"/>
      <c r="Y22" s="84"/>
      <c r="Z22" s="84"/>
      <c r="AA22" s="84"/>
      <c r="AB22" s="84"/>
      <c r="AC22" s="84"/>
      <c r="AD22" s="84"/>
    </row>
    <row r="23" spans="1:30" ht="15" x14ac:dyDescent="0.2">
      <c r="A23" s="13">
        <v>41609</v>
      </c>
      <c r="B23" s="97">
        <v>31</v>
      </c>
      <c r="C23" s="83">
        <f>122.58</f>
        <v>122.58</v>
      </c>
      <c r="D23" s="83">
        <f>297.941</f>
        <v>297.94099999999997</v>
      </c>
      <c r="E23" s="92">
        <f>89.177</f>
        <v>89.177000000000007</v>
      </c>
      <c r="F23" s="83">
        <f>240.302-40</f>
        <v>200.30199999999999</v>
      </c>
      <c r="G23" s="86">
        <v>40</v>
      </c>
      <c r="H23" s="83">
        <v>0</v>
      </c>
      <c r="I23" s="83">
        <v>0</v>
      </c>
      <c r="J23" s="86">
        <v>100</v>
      </c>
      <c r="K23" s="86">
        <v>300</v>
      </c>
      <c r="L23" s="83">
        <f t="shared" si="0"/>
        <v>1150</v>
      </c>
      <c r="M23" s="98"/>
      <c r="N23" s="83">
        <f>125</f>
        <v>125</v>
      </c>
      <c r="O23" s="86">
        <v>240</v>
      </c>
      <c r="P23" s="86">
        <v>0</v>
      </c>
      <c r="Q23" s="86">
        <f t="shared" si="1"/>
        <v>355</v>
      </c>
      <c r="R23" s="86">
        <f t="shared" si="2"/>
        <v>100</v>
      </c>
      <c r="S23" s="83">
        <f t="shared" si="3"/>
        <v>695</v>
      </c>
      <c r="T23" s="83">
        <f>50</f>
        <v>50</v>
      </c>
      <c r="U23" s="84"/>
      <c r="V23" s="84"/>
      <c r="W23" s="84"/>
      <c r="X23" s="84"/>
      <c r="Y23" s="84"/>
      <c r="Z23" s="84"/>
      <c r="AA23" s="84"/>
      <c r="AB23" s="84"/>
      <c r="AC23" s="84"/>
      <c r="AD23" s="84"/>
    </row>
    <row r="24" spans="1:30" ht="15.75" x14ac:dyDescent="0.25">
      <c r="A24" s="13">
        <v>41640</v>
      </c>
      <c r="B24" s="97">
        <v>31</v>
      </c>
      <c r="C24" s="83">
        <f>122.58</f>
        <v>122.58</v>
      </c>
      <c r="D24" s="83">
        <f>297.941</f>
        <v>297.94099999999997</v>
      </c>
      <c r="E24" s="92">
        <f>89.177</f>
        <v>89.177000000000007</v>
      </c>
      <c r="F24" s="83">
        <f>240.302-40</f>
        <v>200.30199999999999</v>
      </c>
      <c r="G24" s="86">
        <v>40</v>
      </c>
      <c r="H24" s="83">
        <v>0</v>
      </c>
      <c r="I24" s="83">
        <v>0</v>
      </c>
      <c r="J24" s="86">
        <v>100</v>
      </c>
      <c r="K24" s="86">
        <v>300</v>
      </c>
      <c r="L24" s="83">
        <f t="shared" si="0"/>
        <v>1150</v>
      </c>
      <c r="M24" s="94"/>
      <c r="N24" s="83">
        <f>100</f>
        <v>100</v>
      </c>
      <c r="O24" s="86">
        <v>240</v>
      </c>
      <c r="P24" s="86">
        <v>0</v>
      </c>
      <c r="Q24" s="86">
        <f t="shared" si="1"/>
        <v>355</v>
      </c>
      <c r="R24" s="86">
        <f t="shared" si="2"/>
        <v>100</v>
      </c>
      <c r="S24" s="83">
        <f t="shared" si="3"/>
        <v>695</v>
      </c>
      <c r="T24" s="83">
        <f>50</f>
        <v>50</v>
      </c>
      <c r="U24" s="84"/>
      <c r="V24" s="84"/>
      <c r="W24" s="84"/>
      <c r="X24" s="84"/>
      <c r="Y24" s="84"/>
      <c r="Z24" s="84"/>
      <c r="AA24" s="84"/>
      <c r="AB24" s="84"/>
      <c r="AC24" s="84"/>
      <c r="AD24" s="84"/>
    </row>
    <row r="25" spans="1:30" ht="15.75" x14ac:dyDescent="0.25">
      <c r="A25" s="13">
        <v>41671</v>
      </c>
      <c r="B25" s="97">
        <v>28</v>
      </c>
      <c r="C25" s="83">
        <f>122.58</f>
        <v>122.58</v>
      </c>
      <c r="D25" s="83">
        <f>297.941</f>
        <v>297.94099999999997</v>
      </c>
      <c r="E25" s="92">
        <f>89.177</f>
        <v>89.177000000000007</v>
      </c>
      <c r="F25" s="83">
        <f>240.302-40</f>
        <v>200.30199999999999</v>
      </c>
      <c r="G25" s="86">
        <v>40</v>
      </c>
      <c r="H25" s="83">
        <v>0</v>
      </c>
      <c r="I25" s="83">
        <v>0</v>
      </c>
      <c r="J25" s="86">
        <v>100</v>
      </c>
      <c r="K25" s="86">
        <v>300</v>
      </c>
      <c r="L25" s="83">
        <f t="shared" si="0"/>
        <v>1150</v>
      </c>
      <c r="M25" s="94"/>
      <c r="N25" s="83">
        <f>100</f>
        <v>100</v>
      </c>
      <c r="O25" s="86">
        <v>240</v>
      </c>
      <c r="P25" s="86">
        <v>0</v>
      </c>
      <c r="Q25" s="86">
        <f t="shared" si="1"/>
        <v>355</v>
      </c>
      <c r="R25" s="86">
        <f t="shared" si="2"/>
        <v>100</v>
      </c>
      <c r="S25" s="83">
        <f t="shared" si="3"/>
        <v>695</v>
      </c>
      <c r="T25" s="83">
        <f>50</f>
        <v>50</v>
      </c>
      <c r="U25" s="84"/>
      <c r="V25" s="84"/>
      <c r="W25" s="84"/>
      <c r="X25" s="84"/>
      <c r="Y25" s="84"/>
      <c r="Z25" s="84"/>
      <c r="AA25" s="84"/>
      <c r="AB25" s="84"/>
      <c r="AC25" s="84"/>
      <c r="AD25" s="84"/>
    </row>
    <row r="26" spans="1:30" ht="15.75" x14ac:dyDescent="0.25">
      <c r="A26" s="13">
        <v>41699</v>
      </c>
      <c r="B26" s="97">
        <v>31</v>
      </c>
      <c r="C26" s="83">
        <f>122.58</f>
        <v>122.58</v>
      </c>
      <c r="D26" s="83">
        <f>297.941</f>
        <v>297.94099999999997</v>
      </c>
      <c r="E26" s="92">
        <f>89.177</f>
        <v>89.177000000000007</v>
      </c>
      <c r="F26" s="83">
        <f>240.302-40</f>
        <v>200.30199999999999</v>
      </c>
      <c r="G26" s="86">
        <v>40</v>
      </c>
      <c r="H26" s="83">
        <v>0</v>
      </c>
      <c r="I26" s="83">
        <v>0</v>
      </c>
      <c r="J26" s="86">
        <v>100</v>
      </c>
      <c r="K26" s="86">
        <v>300</v>
      </c>
      <c r="L26" s="83">
        <f t="shared" si="0"/>
        <v>1150</v>
      </c>
      <c r="M26" s="94"/>
      <c r="N26" s="83">
        <f>100</f>
        <v>100</v>
      </c>
      <c r="O26" s="86">
        <v>240</v>
      </c>
      <c r="P26" s="86">
        <v>0</v>
      </c>
      <c r="Q26" s="86">
        <f t="shared" si="1"/>
        <v>355</v>
      </c>
      <c r="R26" s="86">
        <f t="shared" si="2"/>
        <v>100</v>
      </c>
      <c r="S26" s="83">
        <f t="shared" si="3"/>
        <v>695</v>
      </c>
      <c r="T26" s="83">
        <f>50</f>
        <v>50</v>
      </c>
      <c r="U26" s="84"/>
      <c r="V26" s="84"/>
      <c r="W26" s="84"/>
      <c r="X26" s="84"/>
      <c r="Y26" s="84"/>
      <c r="Z26" s="84"/>
      <c r="AA26" s="84"/>
      <c r="AB26" s="84"/>
      <c r="AC26" s="84"/>
      <c r="AD26" s="84"/>
    </row>
    <row r="27" spans="1:30" ht="15.75" x14ac:dyDescent="0.25">
      <c r="A27" s="13">
        <v>41730</v>
      </c>
      <c r="B27" s="97">
        <v>30</v>
      </c>
      <c r="C27" s="83">
        <f>141.293</f>
        <v>141.29300000000001</v>
      </c>
      <c r="D27" s="83">
        <f>267.993</f>
        <v>267.99299999999999</v>
      </c>
      <c r="E27" s="92">
        <f>115.016</f>
        <v>115.01600000000001</v>
      </c>
      <c r="F27" s="83">
        <f>314.698-40-25</f>
        <v>249.69799999999998</v>
      </c>
      <c r="G27" s="86">
        <v>40</v>
      </c>
      <c r="H27" s="83">
        <v>25</v>
      </c>
      <c r="I27" s="83">
        <v>0</v>
      </c>
      <c r="J27" s="86">
        <v>100</v>
      </c>
      <c r="K27" s="86">
        <v>300</v>
      </c>
      <c r="L27" s="83">
        <f t="shared" si="0"/>
        <v>1239</v>
      </c>
      <c r="M27" s="94"/>
      <c r="N27" s="83">
        <f>100</f>
        <v>100</v>
      </c>
      <c r="O27" s="86">
        <v>240</v>
      </c>
      <c r="P27" s="86">
        <f t="shared" ref="P27:P33" si="4">145-H27</f>
        <v>120</v>
      </c>
      <c r="Q27" s="86">
        <f t="shared" si="1"/>
        <v>235</v>
      </c>
      <c r="R27" s="86">
        <f t="shared" si="2"/>
        <v>100</v>
      </c>
      <c r="S27" s="83">
        <f t="shared" si="3"/>
        <v>695</v>
      </c>
      <c r="T27" s="83">
        <f>50</f>
        <v>50</v>
      </c>
      <c r="U27" s="84"/>
      <c r="V27" s="84"/>
      <c r="W27" s="84"/>
      <c r="X27" s="84"/>
      <c r="Y27" s="84"/>
      <c r="Z27" s="84"/>
      <c r="AA27" s="84"/>
      <c r="AB27" s="84"/>
      <c r="AC27" s="84"/>
      <c r="AD27" s="84"/>
    </row>
    <row r="28" spans="1:30" ht="15.75" x14ac:dyDescent="0.25">
      <c r="A28" s="13">
        <v>41760</v>
      </c>
      <c r="B28" s="97">
        <v>31</v>
      </c>
      <c r="C28" s="83">
        <f>194.205</f>
        <v>194.20500000000001</v>
      </c>
      <c r="D28" s="83">
        <f>267.466</f>
        <v>267.46600000000001</v>
      </c>
      <c r="E28" s="92">
        <f>133.845</f>
        <v>133.845</v>
      </c>
      <c r="F28" s="83">
        <f>278.484-40-25</f>
        <v>213.48399999999998</v>
      </c>
      <c r="G28" s="86">
        <v>40</v>
      </c>
      <c r="H28" s="83">
        <v>25</v>
      </c>
      <c r="I28" s="98">
        <v>50</v>
      </c>
      <c r="J28" s="86">
        <v>100</v>
      </c>
      <c r="K28" s="86">
        <v>300</v>
      </c>
      <c r="L28" s="83">
        <f t="shared" si="0"/>
        <v>1324</v>
      </c>
      <c r="M28" s="94"/>
      <c r="N28" s="83">
        <f>75</f>
        <v>75</v>
      </c>
      <c r="O28" s="86">
        <v>240</v>
      </c>
      <c r="P28" s="86">
        <f t="shared" si="4"/>
        <v>120</v>
      </c>
      <c r="Q28" s="86">
        <f t="shared" si="1"/>
        <v>235</v>
      </c>
      <c r="R28" s="86">
        <f t="shared" si="2"/>
        <v>100</v>
      </c>
      <c r="S28" s="83">
        <f t="shared" si="3"/>
        <v>695</v>
      </c>
      <c r="T28" s="83">
        <f>50</f>
        <v>50</v>
      </c>
      <c r="U28" s="84"/>
      <c r="V28" s="84"/>
      <c r="W28" s="84"/>
      <c r="X28" s="84"/>
      <c r="Y28" s="84"/>
      <c r="Z28" s="84"/>
      <c r="AA28" s="84"/>
      <c r="AB28" s="84"/>
      <c r="AC28" s="84"/>
      <c r="AD28" s="84"/>
    </row>
    <row r="29" spans="1:30" ht="15.75" x14ac:dyDescent="0.25">
      <c r="A29" s="13">
        <v>41791</v>
      </c>
      <c r="B29" s="97">
        <v>30</v>
      </c>
      <c r="C29" s="83">
        <f>194.205</f>
        <v>194.20500000000001</v>
      </c>
      <c r="D29" s="83">
        <f>267.466</f>
        <v>267.46600000000001</v>
      </c>
      <c r="E29" s="92">
        <f>133.845</f>
        <v>133.845</v>
      </c>
      <c r="F29" s="83">
        <f>278.484-40-25</f>
        <v>213.48399999999998</v>
      </c>
      <c r="G29" s="86">
        <v>40</v>
      </c>
      <c r="H29" s="83">
        <v>25</v>
      </c>
      <c r="I29" s="98">
        <v>50</v>
      </c>
      <c r="J29" s="86">
        <v>100</v>
      </c>
      <c r="K29" s="86">
        <v>300</v>
      </c>
      <c r="L29" s="83">
        <f t="shared" si="0"/>
        <v>1324</v>
      </c>
      <c r="M29" s="94"/>
      <c r="N29" s="83">
        <f>30</f>
        <v>30</v>
      </c>
      <c r="O29" s="86">
        <v>240</v>
      </c>
      <c r="P29" s="86">
        <f t="shared" si="4"/>
        <v>120</v>
      </c>
      <c r="Q29" s="86">
        <f t="shared" si="1"/>
        <v>235</v>
      </c>
      <c r="R29" s="86">
        <f t="shared" si="2"/>
        <v>100</v>
      </c>
      <c r="S29" s="83">
        <f t="shared" si="3"/>
        <v>695</v>
      </c>
      <c r="T29" s="83">
        <f>50</f>
        <v>50</v>
      </c>
      <c r="U29" s="84"/>
      <c r="V29" s="84"/>
      <c r="W29" s="84"/>
      <c r="X29" s="84"/>
      <c r="Y29" s="84"/>
      <c r="Z29" s="84"/>
      <c r="AA29" s="84"/>
      <c r="AB29" s="84"/>
      <c r="AC29" s="84"/>
      <c r="AD29" s="84"/>
    </row>
    <row r="30" spans="1:30" ht="15.75" x14ac:dyDescent="0.25">
      <c r="A30" s="13">
        <v>41821</v>
      </c>
      <c r="B30" s="97">
        <v>31</v>
      </c>
      <c r="C30" s="83">
        <f>194.205</f>
        <v>194.20500000000001</v>
      </c>
      <c r="D30" s="83">
        <f>267.466</f>
        <v>267.46600000000001</v>
      </c>
      <c r="E30" s="92">
        <f>133.845</f>
        <v>133.845</v>
      </c>
      <c r="F30" s="83">
        <f>278.484-40-25</f>
        <v>213.48399999999998</v>
      </c>
      <c r="G30" s="86">
        <v>40</v>
      </c>
      <c r="H30" s="83">
        <v>25</v>
      </c>
      <c r="I30" s="98">
        <v>50</v>
      </c>
      <c r="J30" s="86">
        <v>100</v>
      </c>
      <c r="K30" s="86">
        <v>300</v>
      </c>
      <c r="L30" s="83">
        <f t="shared" si="0"/>
        <v>1324</v>
      </c>
      <c r="M30" s="94"/>
      <c r="N30" s="83">
        <f>30</f>
        <v>30</v>
      </c>
      <c r="O30" s="86">
        <v>240</v>
      </c>
      <c r="P30" s="86">
        <f t="shared" si="4"/>
        <v>120</v>
      </c>
      <c r="Q30" s="86">
        <f t="shared" si="1"/>
        <v>235</v>
      </c>
      <c r="R30" s="86">
        <f t="shared" si="2"/>
        <v>100</v>
      </c>
      <c r="S30" s="83">
        <f t="shared" si="3"/>
        <v>695</v>
      </c>
      <c r="T30" s="83">
        <f>0</f>
        <v>0</v>
      </c>
      <c r="U30" s="84"/>
      <c r="V30" s="84"/>
      <c r="W30" s="84"/>
      <c r="X30" s="84"/>
      <c r="Y30" s="84"/>
      <c r="Z30" s="84"/>
      <c r="AA30" s="84"/>
      <c r="AB30" s="84"/>
      <c r="AC30" s="84"/>
      <c r="AD30" s="84"/>
    </row>
    <row r="31" spans="1:30" ht="15.75" x14ac:dyDescent="0.25">
      <c r="A31" s="13">
        <v>41852</v>
      </c>
      <c r="B31" s="97">
        <v>31</v>
      </c>
      <c r="C31" s="83">
        <f>194.205</f>
        <v>194.20500000000001</v>
      </c>
      <c r="D31" s="83">
        <f>267.466</f>
        <v>267.46600000000001</v>
      </c>
      <c r="E31" s="92">
        <f>133.845</f>
        <v>133.845</v>
      </c>
      <c r="F31" s="83">
        <f>278.484-40-25</f>
        <v>213.48399999999998</v>
      </c>
      <c r="G31" s="86">
        <v>40</v>
      </c>
      <c r="H31" s="83">
        <v>25</v>
      </c>
      <c r="I31" s="98">
        <v>50</v>
      </c>
      <c r="J31" s="86">
        <v>100</v>
      </c>
      <c r="K31" s="86">
        <v>300</v>
      </c>
      <c r="L31" s="83">
        <f t="shared" si="0"/>
        <v>1324</v>
      </c>
      <c r="M31" s="94"/>
      <c r="N31" s="83">
        <f>30</f>
        <v>30</v>
      </c>
      <c r="O31" s="86">
        <v>240</v>
      </c>
      <c r="P31" s="86">
        <f t="shared" si="4"/>
        <v>120</v>
      </c>
      <c r="Q31" s="86">
        <f t="shared" si="1"/>
        <v>235</v>
      </c>
      <c r="R31" s="86">
        <f t="shared" si="2"/>
        <v>100</v>
      </c>
      <c r="S31" s="83">
        <f t="shared" si="3"/>
        <v>695</v>
      </c>
      <c r="T31" s="83">
        <f>0</f>
        <v>0</v>
      </c>
      <c r="U31" s="84"/>
      <c r="V31" s="84"/>
      <c r="W31" s="84"/>
      <c r="X31" s="84"/>
      <c r="Y31" s="84"/>
      <c r="Z31" s="84"/>
      <c r="AA31" s="84"/>
      <c r="AB31" s="84"/>
      <c r="AC31" s="84"/>
      <c r="AD31" s="84"/>
    </row>
    <row r="32" spans="1:30" ht="15.75" x14ac:dyDescent="0.25">
      <c r="A32" s="13">
        <v>41883</v>
      </c>
      <c r="B32" s="97">
        <v>30</v>
      </c>
      <c r="C32" s="83">
        <f>194.205</f>
        <v>194.20500000000001</v>
      </c>
      <c r="D32" s="83">
        <f>267.466</f>
        <v>267.46600000000001</v>
      </c>
      <c r="E32" s="92">
        <f>133.845</f>
        <v>133.845</v>
      </c>
      <c r="F32" s="83">
        <f>278.484-40-25</f>
        <v>213.48399999999998</v>
      </c>
      <c r="G32" s="86">
        <v>40</v>
      </c>
      <c r="H32" s="83">
        <v>25</v>
      </c>
      <c r="I32" s="98">
        <v>50</v>
      </c>
      <c r="J32" s="86">
        <v>100</v>
      </c>
      <c r="K32" s="86">
        <v>300</v>
      </c>
      <c r="L32" s="83">
        <f t="shared" si="0"/>
        <v>1324</v>
      </c>
      <c r="M32" s="94"/>
      <c r="N32" s="83">
        <f>30</f>
        <v>30</v>
      </c>
      <c r="O32" s="86">
        <v>240</v>
      </c>
      <c r="P32" s="86">
        <f t="shared" si="4"/>
        <v>120</v>
      </c>
      <c r="Q32" s="86">
        <f t="shared" si="1"/>
        <v>235</v>
      </c>
      <c r="R32" s="86">
        <f t="shared" si="2"/>
        <v>100</v>
      </c>
      <c r="S32" s="83">
        <f t="shared" si="3"/>
        <v>695</v>
      </c>
      <c r="T32" s="83">
        <f>0</f>
        <v>0</v>
      </c>
      <c r="U32" s="84"/>
      <c r="V32" s="84"/>
      <c r="W32" s="84"/>
      <c r="X32" s="84"/>
      <c r="Y32" s="84"/>
      <c r="Z32" s="84"/>
      <c r="AA32" s="84"/>
      <c r="AB32" s="84"/>
      <c r="AC32" s="84"/>
      <c r="AD32" s="84"/>
    </row>
    <row r="33" spans="1:30" ht="15.75" x14ac:dyDescent="0.25">
      <c r="A33" s="13">
        <v>41913</v>
      </c>
      <c r="B33" s="97">
        <v>31</v>
      </c>
      <c r="C33" s="83">
        <f>131.881</f>
        <v>131.881</v>
      </c>
      <c r="D33" s="83">
        <f>277.167</f>
        <v>277.16699999999997</v>
      </c>
      <c r="E33" s="92">
        <f>79.08</f>
        <v>79.08</v>
      </c>
      <c r="F33" s="83">
        <f>350.872-40-25</f>
        <v>285.87200000000001</v>
      </c>
      <c r="G33" s="86">
        <v>40</v>
      </c>
      <c r="H33" s="83">
        <v>25</v>
      </c>
      <c r="I33" s="83">
        <v>0</v>
      </c>
      <c r="J33" s="86">
        <v>100</v>
      </c>
      <c r="K33" s="86">
        <v>300</v>
      </c>
      <c r="L33" s="83">
        <f t="shared" si="0"/>
        <v>1239</v>
      </c>
      <c r="M33" s="94"/>
      <c r="N33" s="83">
        <f>75</f>
        <v>75</v>
      </c>
      <c r="O33" s="86">
        <v>240</v>
      </c>
      <c r="P33" s="86">
        <f t="shared" si="4"/>
        <v>120</v>
      </c>
      <c r="Q33" s="86">
        <f t="shared" si="1"/>
        <v>235</v>
      </c>
      <c r="R33" s="86">
        <f t="shared" si="2"/>
        <v>100</v>
      </c>
      <c r="S33" s="83">
        <f t="shared" si="3"/>
        <v>695</v>
      </c>
      <c r="T33" s="83">
        <f>0</f>
        <v>0</v>
      </c>
      <c r="U33" s="84"/>
      <c r="V33" s="84"/>
      <c r="W33" s="84"/>
      <c r="X33" s="84"/>
      <c r="Y33" s="84"/>
      <c r="Z33" s="84"/>
      <c r="AA33" s="84"/>
      <c r="AB33" s="84"/>
      <c r="AC33" s="84"/>
      <c r="AD33" s="84"/>
    </row>
    <row r="34" spans="1:30" ht="15.75" x14ac:dyDescent="0.25">
      <c r="A34" s="13">
        <v>41944</v>
      </c>
      <c r="B34" s="97">
        <v>30</v>
      </c>
      <c r="C34" s="83">
        <f>122.58</f>
        <v>122.58</v>
      </c>
      <c r="D34" s="83">
        <f>297.941</f>
        <v>297.94099999999997</v>
      </c>
      <c r="E34" s="92">
        <f>89.177</f>
        <v>89.177000000000007</v>
      </c>
      <c r="F34" s="83">
        <f>240.302-40</f>
        <v>200.30199999999999</v>
      </c>
      <c r="G34" s="86">
        <v>40</v>
      </c>
      <c r="H34" s="83">
        <v>0</v>
      </c>
      <c r="I34" s="83">
        <v>0</v>
      </c>
      <c r="J34" s="86">
        <v>100</v>
      </c>
      <c r="K34" s="86">
        <v>300</v>
      </c>
      <c r="L34" s="83">
        <f t="shared" si="0"/>
        <v>1150</v>
      </c>
      <c r="M34" s="94"/>
      <c r="N34" s="83">
        <f>100</f>
        <v>100</v>
      </c>
      <c r="O34" s="86">
        <v>240</v>
      </c>
      <c r="P34" s="86">
        <v>0</v>
      </c>
      <c r="Q34" s="86">
        <f t="shared" si="1"/>
        <v>355</v>
      </c>
      <c r="R34" s="86">
        <f t="shared" si="2"/>
        <v>100</v>
      </c>
      <c r="S34" s="83">
        <f t="shared" si="3"/>
        <v>695</v>
      </c>
      <c r="T34" s="83">
        <f>50</f>
        <v>50</v>
      </c>
      <c r="U34" s="84"/>
      <c r="V34" s="84"/>
      <c r="W34" s="84"/>
      <c r="X34" s="84"/>
      <c r="Y34" s="84"/>
      <c r="Z34" s="84"/>
      <c r="AA34" s="84"/>
      <c r="AB34" s="84"/>
      <c r="AC34" s="84"/>
      <c r="AD34" s="84"/>
    </row>
    <row r="35" spans="1:30" ht="15.75" x14ac:dyDescent="0.25">
      <c r="A35" s="13">
        <v>41974</v>
      </c>
      <c r="B35" s="97">
        <v>31</v>
      </c>
      <c r="C35" s="83">
        <f>122.58</f>
        <v>122.58</v>
      </c>
      <c r="D35" s="83">
        <f>297.941</f>
        <v>297.94099999999997</v>
      </c>
      <c r="E35" s="92">
        <f>89.177</f>
        <v>89.177000000000007</v>
      </c>
      <c r="F35" s="83">
        <f>240.302-40</f>
        <v>200.30199999999999</v>
      </c>
      <c r="G35" s="86">
        <v>40</v>
      </c>
      <c r="H35" s="83">
        <v>0</v>
      </c>
      <c r="I35" s="83">
        <v>0</v>
      </c>
      <c r="J35" s="86">
        <v>100</v>
      </c>
      <c r="K35" s="86">
        <v>300</v>
      </c>
      <c r="L35" s="83">
        <f t="shared" si="0"/>
        <v>1150</v>
      </c>
      <c r="M35" s="94"/>
      <c r="N35" s="83">
        <f>100</f>
        <v>100</v>
      </c>
      <c r="O35" s="86">
        <v>240</v>
      </c>
      <c r="P35" s="86">
        <v>0</v>
      </c>
      <c r="Q35" s="86">
        <f t="shared" si="1"/>
        <v>355</v>
      </c>
      <c r="R35" s="86">
        <f t="shared" si="2"/>
        <v>100</v>
      </c>
      <c r="S35" s="83">
        <f t="shared" si="3"/>
        <v>695</v>
      </c>
      <c r="T35" s="83">
        <f>50</f>
        <v>50</v>
      </c>
      <c r="U35" s="84"/>
      <c r="V35" s="84"/>
      <c r="W35" s="84"/>
      <c r="X35" s="84"/>
      <c r="Y35" s="84"/>
      <c r="Z35" s="84"/>
      <c r="AA35" s="84"/>
      <c r="AB35" s="84"/>
      <c r="AC35" s="84"/>
      <c r="AD35" s="84"/>
    </row>
    <row r="36" spans="1:30" ht="15.75" x14ac:dyDescent="0.25">
      <c r="A36" s="13">
        <v>42005</v>
      </c>
      <c r="B36" s="97">
        <v>31</v>
      </c>
      <c r="C36" s="83">
        <f>122.58</f>
        <v>122.58</v>
      </c>
      <c r="D36" s="83">
        <f>297.941</f>
        <v>297.94099999999997</v>
      </c>
      <c r="E36" s="92">
        <f>89.177</f>
        <v>89.177000000000007</v>
      </c>
      <c r="F36" s="83">
        <f>240.302-40</f>
        <v>200.30199999999999</v>
      </c>
      <c r="G36" s="86">
        <v>40</v>
      </c>
      <c r="H36" s="83">
        <v>0</v>
      </c>
      <c r="I36" s="83">
        <v>0</v>
      </c>
      <c r="J36" s="86">
        <v>100</v>
      </c>
      <c r="K36" s="86">
        <v>300</v>
      </c>
      <c r="L36" s="83">
        <f t="shared" si="0"/>
        <v>1150</v>
      </c>
      <c r="M36" s="94"/>
      <c r="N36" s="83">
        <f>100</f>
        <v>100</v>
      </c>
      <c r="O36" s="86">
        <v>240</v>
      </c>
      <c r="P36" s="86">
        <v>0</v>
      </c>
      <c r="Q36" s="86">
        <f t="shared" si="1"/>
        <v>355</v>
      </c>
      <c r="R36" s="86">
        <f t="shared" si="2"/>
        <v>100</v>
      </c>
      <c r="S36" s="83">
        <f t="shared" si="3"/>
        <v>695</v>
      </c>
      <c r="T36" s="83">
        <f>50</f>
        <v>50</v>
      </c>
      <c r="U36" s="84"/>
      <c r="V36" s="84"/>
      <c r="W36" s="84"/>
      <c r="X36" s="84"/>
      <c r="Y36" s="84"/>
      <c r="Z36" s="84"/>
      <c r="AA36" s="84"/>
      <c r="AB36" s="84"/>
      <c r="AC36" s="84"/>
      <c r="AD36" s="84"/>
    </row>
    <row r="37" spans="1:30" ht="15.75" x14ac:dyDescent="0.25">
      <c r="A37" s="13">
        <v>42036</v>
      </c>
      <c r="B37" s="97">
        <v>28</v>
      </c>
      <c r="C37" s="83">
        <f>122.58</f>
        <v>122.58</v>
      </c>
      <c r="D37" s="83">
        <f>297.941</f>
        <v>297.94099999999997</v>
      </c>
      <c r="E37" s="92">
        <f>89.177</f>
        <v>89.177000000000007</v>
      </c>
      <c r="F37" s="83">
        <f>240.302-40</f>
        <v>200.30199999999999</v>
      </c>
      <c r="G37" s="86">
        <v>40</v>
      </c>
      <c r="H37" s="83">
        <v>0</v>
      </c>
      <c r="I37" s="83">
        <v>0</v>
      </c>
      <c r="J37" s="86">
        <v>100</v>
      </c>
      <c r="K37" s="86">
        <v>300</v>
      </c>
      <c r="L37" s="83">
        <f t="shared" si="0"/>
        <v>1150</v>
      </c>
      <c r="M37" s="94"/>
      <c r="N37" s="83">
        <f>100</f>
        <v>100</v>
      </c>
      <c r="O37" s="86">
        <v>240</v>
      </c>
      <c r="P37" s="86">
        <v>0</v>
      </c>
      <c r="Q37" s="86">
        <f t="shared" si="1"/>
        <v>355</v>
      </c>
      <c r="R37" s="86">
        <f t="shared" si="2"/>
        <v>100</v>
      </c>
      <c r="S37" s="83">
        <f t="shared" si="3"/>
        <v>695</v>
      </c>
      <c r="T37" s="83">
        <f>50</f>
        <v>50</v>
      </c>
      <c r="U37" s="84"/>
      <c r="V37" s="84"/>
      <c r="W37" s="84"/>
      <c r="X37" s="84"/>
      <c r="Y37" s="84"/>
      <c r="Z37" s="84"/>
      <c r="AA37" s="84"/>
      <c r="AB37" s="84"/>
      <c r="AC37" s="84"/>
      <c r="AD37" s="84"/>
    </row>
    <row r="38" spans="1:30" ht="15.75" x14ac:dyDescent="0.25">
      <c r="A38" s="13">
        <v>42064</v>
      </c>
      <c r="B38" s="97">
        <v>31</v>
      </c>
      <c r="C38" s="83">
        <f>122.58</f>
        <v>122.58</v>
      </c>
      <c r="D38" s="83">
        <f>297.941</f>
        <v>297.94099999999997</v>
      </c>
      <c r="E38" s="92">
        <f>89.177</f>
        <v>89.177000000000007</v>
      </c>
      <c r="F38" s="83">
        <f>240.302-40</f>
        <v>200.30199999999999</v>
      </c>
      <c r="G38" s="86">
        <v>40</v>
      </c>
      <c r="H38" s="83">
        <v>0</v>
      </c>
      <c r="I38" s="83">
        <v>0</v>
      </c>
      <c r="J38" s="86">
        <v>100</v>
      </c>
      <c r="K38" s="86">
        <v>300</v>
      </c>
      <c r="L38" s="83">
        <f t="shared" si="0"/>
        <v>1150</v>
      </c>
      <c r="M38" s="94"/>
      <c r="N38" s="83">
        <f>100</f>
        <v>100</v>
      </c>
      <c r="O38" s="86">
        <v>240</v>
      </c>
      <c r="P38" s="86">
        <v>0</v>
      </c>
      <c r="Q38" s="86">
        <f t="shared" si="1"/>
        <v>355</v>
      </c>
      <c r="R38" s="86">
        <f t="shared" si="2"/>
        <v>100</v>
      </c>
      <c r="S38" s="83">
        <f t="shared" si="3"/>
        <v>695</v>
      </c>
      <c r="T38" s="83">
        <f>50</f>
        <v>50</v>
      </c>
      <c r="U38" s="84"/>
      <c r="V38" s="84"/>
      <c r="W38" s="84"/>
      <c r="X38" s="84"/>
      <c r="Y38" s="84"/>
      <c r="Z38" s="84"/>
      <c r="AA38" s="84"/>
      <c r="AB38" s="84"/>
      <c r="AC38" s="84"/>
      <c r="AD38" s="84"/>
    </row>
    <row r="39" spans="1:30" ht="15.75" x14ac:dyDescent="0.25">
      <c r="A39" s="13">
        <v>42095</v>
      </c>
      <c r="B39" s="97">
        <v>30</v>
      </c>
      <c r="C39" s="83">
        <f>141.293</f>
        <v>141.29300000000001</v>
      </c>
      <c r="D39" s="83">
        <f>267.993</f>
        <v>267.99299999999999</v>
      </c>
      <c r="E39" s="92">
        <f>115.016</f>
        <v>115.01600000000001</v>
      </c>
      <c r="F39" s="83">
        <f>314.698-40-25-60-100</f>
        <v>89.697999999999979</v>
      </c>
      <c r="G39" s="86">
        <v>40</v>
      </c>
      <c r="H39" s="83">
        <f t="shared" ref="H39:H45" si="5">25+60+100</f>
        <v>185</v>
      </c>
      <c r="I39" s="83">
        <v>0</v>
      </c>
      <c r="J39" s="86">
        <v>100</v>
      </c>
      <c r="K39" s="86">
        <v>300</v>
      </c>
      <c r="L39" s="83">
        <f t="shared" si="0"/>
        <v>1239</v>
      </c>
      <c r="M39" s="94"/>
      <c r="N39" s="83">
        <f>100</f>
        <v>100</v>
      </c>
      <c r="O39" s="86">
        <v>240</v>
      </c>
      <c r="P39" s="86">
        <f t="shared" ref="P39:P45" si="6">120+40</f>
        <v>160</v>
      </c>
      <c r="Q39" s="86">
        <f t="shared" si="1"/>
        <v>195</v>
      </c>
      <c r="R39" s="86">
        <f t="shared" si="2"/>
        <v>100</v>
      </c>
      <c r="S39" s="83">
        <f t="shared" si="3"/>
        <v>695</v>
      </c>
      <c r="T39" s="83">
        <f>50</f>
        <v>50</v>
      </c>
      <c r="U39" s="84"/>
      <c r="V39" s="84"/>
      <c r="W39" s="84"/>
      <c r="X39" s="84"/>
      <c r="Y39" s="84"/>
      <c r="Z39" s="84"/>
      <c r="AA39" s="84"/>
      <c r="AB39" s="84"/>
      <c r="AC39" s="84"/>
      <c r="AD39" s="84"/>
    </row>
    <row r="40" spans="1:30" ht="15.75" x14ac:dyDescent="0.25">
      <c r="A40" s="13">
        <v>42125</v>
      </c>
      <c r="B40" s="97">
        <v>31</v>
      </c>
      <c r="C40" s="83">
        <f>194.205</f>
        <v>194.20500000000001</v>
      </c>
      <c r="D40" s="83">
        <f>267.466</f>
        <v>267.46600000000001</v>
      </c>
      <c r="E40" s="92">
        <f>133.845</f>
        <v>133.845</v>
      </c>
      <c r="F40" s="83">
        <f>278.484-40-25-60-100</f>
        <v>53.48399999999998</v>
      </c>
      <c r="G40" s="86">
        <v>40</v>
      </c>
      <c r="H40" s="83">
        <f t="shared" si="5"/>
        <v>185</v>
      </c>
      <c r="I40" s="98">
        <v>50</v>
      </c>
      <c r="J40" s="86">
        <v>100</v>
      </c>
      <c r="K40" s="86">
        <v>300</v>
      </c>
      <c r="L40" s="83">
        <f t="shared" si="0"/>
        <v>1324</v>
      </c>
      <c r="M40" s="94"/>
      <c r="N40" s="83">
        <f>75</f>
        <v>75</v>
      </c>
      <c r="O40" s="86">
        <v>240</v>
      </c>
      <c r="P40" s="86">
        <f t="shared" si="6"/>
        <v>160</v>
      </c>
      <c r="Q40" s="86">
        <f t="shared" si="1"/>
        <v>195</v>
      </c>
      <c r="R40" s="86">
        <f t="shared" si="2"/>
        <v>100</v>
      </c>
      <c r="S40" s="83">
        <f t="shared" si="3"/>
        <v>695</v>
      </c>
      <c r="T40" s="83">
        <f>50</f>
        <v>50</v>
      </c>
      <c r="U40" s="84"/>
      <c r="V40" s="84"/>
      <c r="W40" s="84"/>
      <c r="X40" s="84"/>
      <c r="Y40" s="84"/>
      <c r="Z40" s="84"/>
      <c r="AA40" s="84"/>
      <c r="AB40" s="84"/>
      <c r="AC40" s="84"/>
      <c r="AD40" s="84"/>
    </row>
    <row r="41" spans="1:30" ht="15.75" x14ac:dyDescent="0.25">
      <c r="A41" s="13">
        <v>42156</v>
      </c>
      <c r="B41" s="97">
        <v>30</v>
      </c>
      <c r="C41" s="83">
        <f>194.205</f>
        <v>194.20500000000001</v>
      </c>
      <c r="D41" s="83">
        <f>267.466</f>
        <v>267.46600000000001</v>
      </c>
      <c r="E41" s="92">
        <f>133.845</f>
        <v>133.845</v>
      </c>
      <c r="F41" s="83">
        <f>278.484-40-25-60-100</f>
        <v>53.48399999999998</v>
      </c>
      <c r="G41" s="86">
        <v>40</v>
      </c>
      <c r="H41" s="83">
        <f t="shared" si="5"/>
        <v>185</v>
      </c>
      <c r="I41" s="98">
        <v>50</v>
      </c>
      <c r="J41" s="86">
        <v>100</v>
      </c>
      <c r="K41" s="86">
        <v>300</v>
      </c>
      <c r="L41" s="83">
        <f t="shared" si="0"/>
        <v>1324</v>
      </c>
      <c r="M41" s="94"/>
      <c r="N41" s="83">
        <f>30</f>
        <v>30</v>
      </c>
      <c r="O41" s="86">
        <v>240</v>
      </c>
      <c r="P41" s="86">
        <f t="shared" si="6"/>
        <v>160</v>
      </c>
      <c r="Q41" s="86">
        <f t="shared" si="1"/>
        <v>195</v>
      </c>
      <c r="R41" s="86">
        <f t="shared" si="2"/>
        <v>100</v>
      </c>
      <c r="S41" s="83">
        <f t="shared" si="3"/>
        <v>695</v>
      </c>
      <c r="T41" s="83">
        <f>50</f>
        <v>50</v>
      </c>
      <c r="U41" s="84"/>
      <c r="V41" s="84"/>
      <c r="W41" s="84"/>
      <c r="X41" s="84"/>
      <c r="Y41" s="84"/>
      <c r="Z41" s="84"/>
      <c r="AA41" s="84"/>
      <c r="AB41" s="84"/>
      <c r="AC41" s="84"/>
      <c r="AD41" s="84"/>
    </row>
    <row r="42" spans="1:30" ht="15.75" x14ac:dyDescent="0.25">
      <c r="A42" s="13">
        <v>42186</v>
      </c>
      <c r="B42" s="97">
        <v>31</v>
      </c>
      <c r="C42" s="83">
        <f>194.205</f>
        <v>194.20500000000001</v>
      </c>
      <c r="D42" s="83">
        <f>267.466</f>
        <v>267.46600000000001</v>
      </c>
      <c r="E42" s="92">
        <f>133.845</f>
        <v>133.845</v>
      </c>
      <c r="F42" s="83">
        <f>278.484-40-25-60-100</f>
        <v>53.48399999999998</v>
      </c>
      <c r="G42" s="86">
        <v>40</v>
      </c>
      <c r="H42" s="83">
        <f t="shared" si="5"/>
        <v>185</v>
      </c>
      <c r="I42" s="98">
        <v>50</v>
      </c>
      <c r="J42" s="86">
        <v>100</v>
      </c>
      <c r="K42" s="86">
        <v>300</v>
      </c>
      <c r="L42" s="83">
        <f t="shared" si="0"/>
        <v>1324</v>
      </c>
      <c r="M42" s="94"/>
      <c r="N42" s="83">
        <f>30</f>
        <v>30</v>
      </c>
      <c r="O42" s="86">
        <v>240</v>
      </c>
      <c r="P42" s="86">
        <f t="shared" si="6"/>
        <v>160</v>
      </c>
      <c r="Q42" s="86">
        <f t="shared" si="1"/>
        <v>195</v>
      </c>
      <c r="R42" s="86">
        <f t="shared" si="2"/>
        <v>100</v>
      </c>
      <c r="S42" s="83">
        <f t="shared" si="3"/>
        <v>695</v>
      </c>
      <c r="T42" s="83">
        <f>0</f>
        <v>0</v>
      </c>
      <c r="U42" s="84"/>
      <c r="V42" s="84"/>
      <c r="W42" s="84"/>
      <c r="X42" s="84"/>
      <c r="Y42" s="84"/>
      <c r="Z42" s="84"/>
      <c r="AA42" s="84"/>
      <c r="AB42" s="84"/>
      <c r="AC42" s="84"/>
      <c r="AD42" s="84"/>
    </row>
    <row r="43" spans="1:30" ht="15.75" x14ac:dyDescent="0.25">
      <c r="A43" s="13">
        <v>42217</v>
      </c>
      <c r="B43" s="97">
        <v>31</v>
      </c>
      <c r="C43" s="83">
        <f>194.205</f>
        <v>194.20500000000001</v>
      </c>
      <c r="D43" s="83">
        <f>267.466</f>
        <v>267.46600000000001</v>
      </c>
      <c r="E43" s="92">
        <f>133.845</f>
        <v>133.845</v>
      </c>
      <c r="F43" s="83">
        <f>278.484-40-25-60-100</f>
        <v>53.48399999999998</v>
      </c>
      <c r="G43" s="86">
        <v>40</v>
      </c>
      <c r="H43" s="83">
        <f t="shared" si="5"/>
        <v>185</v>
      </c>
      <c r="I43" s="98">
        <v>50</v>
      </c>
      <c r="J43" s="86">
        <v>100</v>
      </c>
      <c r="K43" s="86">
        <v>300</v>
      </c>
      <c r="L43" s="83">
        <f t="shared" si="0"/>
        <v>1324</v>
      </c>
      <c r="M43" s="94"/>
      <c r="N43" s="83">
        <f>30</f>
        <v>30</v>
      </c>
      <c r="O43" s="86">
        <v>240</v>
      </c>
      <c r="P43" s="86">
        <f t="shared" si="6"/>
        <v>160</v>
      </c>
      <c r="Q43" s="86">
        <f t="shared" si="1"/>
        <v>195</v>
      </c>
      <c r="R43" s="86">
        <f t="shared" si="2"/>
        <v>100</v>
      </c>
      <c r="S43" s="83">
        <f t="shared" si="3"/>
        <v>695</v>
      </c>
      <c r="T43" s="83">
        <f>0</f>
        <v>0</v>
      </c>
      <c r="U43" s="84"/>
      <c r="V43" s="84"/>
      <c r="W43" s="84"/>
      <c r="X43" s="84"/>
      <c r="Y43" s="84"/>
      <c r="Z43" s="84"/>
      <c r="AA43" s="84"/>
      <c r="AB43" s="84"/>
      <c r="AC43" s="84"/>
      <c r="AD43" s="84"/>
    </row>
    <row r="44" spans="1:30" ht="15.75" x14ac:dyDescent="0.25">
      <c r="A44" s="13">
        <v>42248</v>
      </c>
      <c r="B44" s="97">
        <v>30</v>
      </c>
      <c r="C44" s="83">
        <f>194.205</f>
        <v>194.20500000000001</v>
      </c>
      <c r="D44" s="83">
        <f>267.466</f>
        <v>267.46600000000001</v>
      </c>
      <c r="E44" s="92">
        <f>133.845</f>
        <v>133.845</v>
      </c>
      <c r="F44" s="83">
        <f>278.484-40-25-60-100</f>
        <v>53.48399999999998</v>
      </c>
      <c r="G44" s="86">
        <v>40</v>
      </c>
      <c r="H44" s="83">
        <f t="shared" si="5"/>
        <v>185</v>
      </c>
      <c r="I44" s="98">
        <v>50</v>
      </c>
      <c r="J44" s="86">
        <v>100</v>
      </c>
      <c r="K44" s="86">
        <v>300</v>
      </c>
      <c r="L44" s="83">
        <f t="shared" si="0"/>
        <v>1324</v>
      </c>
      <c r="M44" s="94"/>
      <c r="N44" s="83">
        <f>30</f>
        <v>30</v>
      </c>
      <c r="O44" s="86">
        <v>240</v>
      </c>
      <c r="P44" s="86">
        <f t="shared" si="6"/>
        <v>160</v>
      </c>
      <c r="Q44" s="86">
        <f t="shared" si="1"/>
        <v>195</v>
      </c>
      <c r="R44" s="86">
        <f t="shared" si="2"/>
        <v>100</v>
      </c>
      <c r="S44" s="83">
        <f t="shared" si="3"/>
        <v>695</v>
      </c>
      <c r="T44" s="83">
        <f>0</f>
        <v>0</v>
      </c>
      <c r="U44" s="84"/>
      <c r="V44" s="84"/>
      <c r="W44" s="84"/>
      <c r="X44" s="84"/>
      <c r="Y44" s="84"/>
      <c r="Z44" s="84"/>
      <c r="AA44" s="84"/>
      <c r="AB44" s="84"/>
      <c r="AC44" s="84"/>
      <c r="AD44" s="84"/>
    </row>
    <row r="45" spans="1:30" ht="15.75" x14ac:dyDescent="0.25">
      <c r="A45" s="13">
        <v>42278</v>
      </c>
      <c r="B45" s="97">
        <v>31</v>
      </c>
      <c r="C45" s="83">
        <f>131.881</f>
        <v>131.881</v>
      </c>
      <c r="D45" s="83">
        <f>277.167</f>
        <v>277.16699999999997</v>
      </c>
      <c r="E45" s="92">
        <f>79.08</f>
        <v>79.08</v>
      </c>
      <c r="F45" s="83">
        <f>350.872-40-25-60-100</f>
        <v>125.87200000000001</v>
      </c>
      <c r="G45" s="86">
        <v>40</v>
      </c>
      <c r="H45" s="83">
        <f t="shared" si="5"/>
        <v>185</v>
      </c>
      <c r="I45" s="83">
        <v>0</v>
      </c>
      <c r="J45" s="86">
        <v>100</v>
      </c>
      <c r="K45" s="86">
        <v>300</v>
      </c>
      <c r="L45" s="83">
        <f t="shared" si="0"/>
        <v>1239</v>
      </c>
      <c r="M45" s="94"/>
      <c r="N45" s="83">
        <f>75</f>
        <v>75</v>
      </c>
      <c r="O45" s="86">
        <v>240</v>
      </c>
      <c r="P45" s="86">
        <f t="shared" si="6"/>
        <v>160</v>
      </c>
      <c r="Q45" s="86">
        <f t="shared" si="1"/>
        <v>195</v>
      </c>
      <c r="R45" s="86">
        <f t="shared" si="2"/>
        <v>100</v>
      </c>
      <c r="S45" s="83">
        <f t="shared" si="3"/>
        <v>695</v>
      </c>
      <c r="T45" s="83">
        <f>0</f>
        <v>0</v>
      </c>
      <c r="U45" s="84"/>
      <c r="V45" s="84"/>
      <c r="W45" s="84"/>
      <c r="X45" s="84"/>
      <c r="Y45" s="84"/>
      <c r="Z45" s="84"/>
      <c r="AA45" s="84"/>
      <c r="AB45" s="84"/>
      <c r="AC45" s="84"/>
      <c r="AD45" s="84"/>
    </row>
    <row r="46" spans="1:30" ht="15.75" x14ac:dyDescent="0.25">
      <c r="A46" s="13">
        <v>42309</v>
      </c>
      <c r="B46" s="97">
        <v>30</v>
      </c>
      <c r="C46" s="83">
        <f>122.58</f>
        <v>122.58</v>
      </c>
      <c r="D46" s="83">
        <f>297.941</f>
        <v>297.94099999999997</v>
      </c>
      <c r="E46" s="92">
        <f>89.177</f>
        <v>89.177000000000007</v>
      </c>
      <c r="F46" s="83">
        <f>240.302-40-60-100</f>
        <v>40.301999999999992</v>
      </c>
      <c r="G46" s="86">
        <v>40</v>
      </c>
      <c r="H46" s="83">
        <f>60+100</f>
        <v>160</v>
      </c>
      <c r="I46" s="83">
        <v>0</v>
      </c>
      <c r="J46" s="86">
        <v>100</v>
      </c>
      <c r="K46" s="86">
        <v>300</v>
      </c>
      <c r="L46" s="83">
        <f t="shared" si="0"/>
        <v>1150</v>
      </c>
      <c r="M46" s="94"/>
      <c r="N46" s="83">
        <f>100</f>
        <v>100</v>
      </c>
      <c r="O46" s="86">
        <v>240</v>
      </c>
      <c r="P46" s="86">
        <v>40</v>
      </c>
      <c r="Q46" s="86">
        <f t="shared" si="1"/>
        <v>315</v>
      </c>
      <c r="R46" s="86">
        <f t="shared" si="2"/>
        <v>100</v>
      </c>
      <c r="S46" s="83">
        <f t="shared" si="3"/>
        <v>695</v>
      </c>
      <c r="T46" s="83">
        <f>50</f>
        <v>50</v>
      </c>
      <c r="U46" s="84"/>
      <c r="V46" s="84"/>
      <c r="W46" s="84"/>
      <c r="X46" s="84"/>
      <c r="Y46" s="84"/>
      <c r="Z46" s="84"/>
      <c r="AA46" s="84"/>
      <c r="AB46" s="84"/>
      <c r="AC46" s="84"/>
      <c r="AD46" s="84"/>
    </row>
    <row r="47" spans="1:30" ht="15.75" x14ac:dyDescent="0.25">
      <c r="A47" s="13">
        <v>42339</v>
      </c>
      <c r="B47" s="97">
        <v>31</v>
      </c>
      <c r="C47" s="83">
        <f>122.58</f>
        <v>122.58</v>
      </c>
      <c r="D47" s="83">
        <f>297.941</f>
        <v>297.94099999999997</v>
      </c>
      <c r="E47" s="92">
        <f>89.177</f>
        <v>89.177000000000007</v>
      </c>
      <c r="F47" s="83">
        <f>240.302-40-60-100</f>
        <v>40.301999999999992</v>
      </c>
      <c r="G47" s="86">
        <v>40</v>
      </c>
      <c r="H47" s="83">
        <f>60+100</f>
        <v>160</v>
      </c>
      <c r="I47" s="83">
        <v>0</v>
      </c>
      <c r="J47" s="86">
        <v>100</v>
      </c>
      <c r="K47" s="86">
        <v>300</v>
      </c>
      <c r="L47" s="83">
        <f t="shared" si="0"/>
        <v>1150</v>
      </c>
      <c r="M47" s="94"/>
      <c r="N47" s="83">
        <f>100</f>
        <v>100</v>
      </c>
      <c r="O47" s="86">
        <v>240</v>
      </c>
      <c r="P47" s="86">
        <v>40</v>
      </c>
      <c r="Q47" s="86">
        <f t="shared" si="1"/>
        <v>315</v>
      </c>
      <c r="R47" s="86">
        <f t="shared" si="2"/>
        <v>100</v>
      </c>
      <c r="S47" s="83">
        <f t="shared" si="3"/>
        <v>695</v>
      </c>
      <c r="T47" s="83">
        <f>50</f>
        <v>50</v>
      </c>
      <c r="U47" s="84"/>
      <c r="V47" s="84"/>
      <c r="W47" s="84"/>
      <c r="X47" s="84"/>
      <c r="Y47" s="84"/>
      <c r="Z47" s="84"/>
      <c r="AA47" s="84"/>
      <c r="AB47" s="84"/>
      <c r="AC47" s="84"/>
      <c r="AD47" s="84"/>
    </row>
    <row r="48" spans="1:30" ht="15.75" x14ac:dyDescent="0.25">
      <c r="A48" s="13">
        <v>42370</v>
      </c>
      <c r="B48" s="97">
        <v>31</v>
      </c>
      <c r="C48" s="83">
        <f>122.58</f>
        <v>122.58</v>
      </c>
      <c r="D48" s="83">
        <f>297.941</f>
        <v>297.94099999999997</v>
      </c>
      <c r="E48" s="92">
        <f>89.177</f>
        <v>89.177000000000007</v>
      </c>
      <c r="F48" s="83">
        <f>240.302-40-60-100</f>
        <v>40.301999999999992</v>
      </c>
      <c r="G48" s="86">
        <v>40</v>
      </c>
      <c r="H48" s="83">
        <f>60+100</f>
        <v>160</v>
      </c>
      <c r="I48" s="83">
        <v>0</v>
      </c>
      <c r="J48" s="86">
        <v>100</v>
      </c>
      <c r="K48" s="86">
        <v>300</v>
      </c>
      <c r="L48" s="83">
        <f t="shared" si="0"/>
        <v>1150</v>
      </c>
      <c r="M48" s="94"/>
      <c r="N48" s="83">
        <f>100</f>
        <v>100</v>
      </c>
      <c r="O48" s="86">
        <v>240</v>
      </c>
      <c r="P48" s="86">
        <v>40</v>
      </c>
      <c r="Q48" s="86">
        <f t="shared" si="1"/>
        <v>315</v>
      </c>
      <c r="R48" s="86">
        <f t="shared" si="2"/>
        <v>100</v>
      </c>
      <c r="S48" s="83">
        <f t="shared" si="3"/>
        <v>695</v>
      </c>
      <c r="T48" s="83">
        <f>50</f>
        <v>50</v>
      </c>
      <c r="U48" s="84"/>
      <c r="V48" s="84"/>
      <c r="W48" s="84"/>
      <c r="X48" s="84"/>
      <c r="Y48" s="84"/>
      <c r="Z48" s="84"/>
      <c r="AA48" s="84"/>
      <c r="AB48" s="84"/>
      <c r="AC48" s="84"/>
      <c r="AD48" s="84"/>
    </row>
    <row r="49" spans="1:30" ht="15.75" x14ac:dyDescent="0.25">
      <c r="A49" s="13">
        <v>42401</v>
      </c>
      <c r="B49" s="97">
        <v>29</v>
      </c>
      <c r="C49" s="83">
        <f>122.58</f>
        <v>122.58</v>
      </c>
      <c r="D49" s="83">
        <f>297.941</f>
        <v>297.94099999999997</v>
      </c>
      <c r="E49" s="92">
        <f>89.177</f>
        <v>89.177000000000007</v>
      </c>
      <c r="F49" s="83">
        <f>240.302-40-60-100</f>
        <v>40.301999999999992</v>
      </c>
      <c r="G49" s="86">
        <v>40</v>
      </c>
      <c r="H49" s="83">
        <f>60+100</f>
        <v>160</v>
      </c>
      <c r="I49" s="83">
        <v>0</v>
      </c>
      <c r="J49" s="86">
        <v>100</v>
      </c>
      <c r="K49" s="86">
        <v>300</v>
      </c>
      <c r="L49" s="83">
        <f t="shared" si="0"/>
        <v>1150</v>
      </c>
      <c r="M49" s="94"/>
      <c r="N49" s="83">
        <f>100</f>
        <v>100</v>
      </c>
      <c r="O49" s="86">
        <v>240</v>
      </c>
      <c r="P49" s="86">
        <v>40</v>
      </c>
      <c r="Q49" s="86">
        <f t="shared" si="1"/>
        <v>315</v>
      </c>
      <c r="R49" s="86">
        <f t="shared" si="2"/>
        <v>100</v>
      </c>
      <c r="S49" s="83">
        <f t="shared" si="3"/>
        <v>695</v>
      </c>
      <c r="T49" s="83">
        <f>50</f>
        <v>50</v>
      </c>
      <c r="U49" s="84"/>
      <c r="V49" s="84"/>
      <c r="W49" s="84"/>
      <c r="X49" s="84"/>
      <c r="Y49" s="84"/>
      <c r="Z49" s="84"/>
      <c r="AA49" s="84"/>
      <c r="AB49" s="84"/>
      <c r="AC49" s="84"/>
      <c r="AD49" s="84"/>
    </row>
    <row r="50" spans="1:30" ht="15.75" x14ac:dyDescent="0.25">
      <c r="A50" s="13">
        <v>42430</v>
      </c>
      <c r="B50" s="97">
        <v>31</v>
      </c>
      <c r="C50" s="83">
        <f>122.58</f>
        <v>122.58</v>
      </c>
      <c r="D50" s="83">
        <f>297.941</f>
        <v>297.94099999999997</v>
      </c>
      <c r="E50" s="92">
        <f>89.177</f>
        <v>89.177000000000007</v>
      </c>
      <c r="F50" s="83">
        <f>240.302-40-60-100</f>
        <v>40.301999999999992</v>
      </c>
      <c r="G50" s="86">
        <v>40</v>
      </c>
      <c r="H50" s="83">
        <f>60+100</f>
        <v>160</v>
      </c>
      <c r="I50" s="83">
        <v>0</v>
      </c>
      <c r="J50" s="86">
        <v>100</v>
      </c>
      <c r="K50" s="86">
        <v>300</v>
      </c>
      <c r="L50" s="83">
        <f t="shared" si="0"/>
        <v>1150</v>
      </c>
      <c r="M50" s="94"/>
      <c r="N50" s="83">
        <f>100</f>
        <v>100</v>
      </c>
      <c r="O50" s="86">
        <v>240</v>
      </c>
      <c r="P50" s="86">
        <v>40</v>
      </c>
      <c r="Q50" s="86">
        <f t="shared" si="1"/>
        <v>315</v>
      </c>
      <c r="R50" s="86">
        <f t="shared" si="2"/>
        <v>100</v>
      </c>
      <c r="S50" s="83">
        <f t="shared" si="3"/>
        <v>695</v>
      </c>
      <c r="T50" s="83">
        <f>50</f>
        <v>50</v>
      </c>
      <c r="U50" s="84"/>
      <c r="V50" s="84"/>
      <c r="W50" s="84"/>
      <c r="X50" s="84"/>
      <c r="Y50" s="84"/>
      <c r="Z50" s="84"/>
      <c r="AA50" s="84"/>
      <c r="AB50" s="84"/>
      <c r="AC50" s="84"/>
      <c r="AD50" s="84"/>
    </row>
    <row r="51" spans="1:30" ht="15.75" x14ac:dyDescent="0.25">
      <c r="A51" s="13">
        <v>42461</v>
      </c>
      <c r="B51" s="97">
        <v>30</v>
      </c>
      <c r="C51" s="83">
        <f>141.293</f>
        <v>141.29300000000001</v>
      </c>
      <c r="D51" s="83">
        <f>267.993</f>
        <v>267.99299999999999</v>
      </c>
      <c r="E51" s="92">
        <f>115.016</f>
        <v>115.01600000000001</v>
      </c>
      <c r="F51" s="83">
        <f>314.698-40-25-60-100</f>
        <v>89.697999999999979</v>
      </c>
      <c r="G51" s="86">
        <v>40</v>
      </c>
      <c r="H51" s="83">
        <f t="shared" ref="H51:H57" si="7">25+60+100</f>
        <v>185</v>
      </c>
      <c r="I51" s="83">
        <v>0</v>
      </c>
      <c r="J51" s="86">
        <v>100</v>
      </c>
      <c r="K51" s="86">
        <v>300</v>
      </c>
      <c r="L51" s="83">
        <f t="shared" si="0"/>
        <v>1239</v>
      </c>
      <c r="M51" s="94"/>
      <c r="N51" s="83">
        <f>100</f>
        <v>100</v>
      </c>
      <c r="O51" s="86">
        <v>240</v>
      </c>
      <c r="P51" s="86">
        <v>160</v>
      </c>
      <c r="Q51" s="86">
        <f t="shared" si="1"/>
        <v>195</v>
      </c>
      <c r="R51" s="86">
        <f t="shared" si="2"/>
        <v>100</v>
      </c>
      <c r="S51" s="83">
        <f t="shared" si="3"/>
        <v>695</v>
      </c>
      <c r="T51" s="83">
        <f>50</f>
        <v>50</v>
      </c>
      <c r="U51" s="84"/>
      <c r="V51" s="84"/>
      <c r="W51" s="84"/>
      <c r="X51" s="84"/>
      <c r="Y51" s="84"/>
      <c r="Z51" s="84"/>
      <c r="AA51" s="84"/>
      <c r="AB51" s="84"/>
      <c r="AC51" s="84"/>
      <c r="AD51" s="84"/>
    </row>
    <row r="52" spans="1:30" ht="15.75" x14ac:dyDescent="0.25">
      <c r="A52" s="13">
        <v>42491</v>
      </c>
      <c r="B52" s="97">
        <v>31</v>
      </c>
      <c r="C52" s="83">
        <f>194.205</f>
        <v>194.20500000000001</v>
      </c>
      <c r="D52" s="83">
        <f>267.466</f>
        <v>267.46600000000001</v>
      </c>
      <c r="E52" s="92">
        <f>133.845</f>
        <v>133.845</v>
      </c>
      <c r="F52" s="83">
        <f>278.484-40-25-60-100</f>
        <v>53.48399999999998</v>
      </c>
      <c r="G52" s="86">
        <v>40</v>
      </c>
      <c r="H52" s="83">
        <f t="shared" si="7"/>
        <v>185</v>
      </c>
      <c r="I52" s="83">
        <f t="shared" ref="I52:I115" si="8">400-J52-K52</f>
        <v>0</v>
      </c>
      <c r="J52" s="86">
        <v>100</v>
      </c>
      <c r="K52" s="86">
        <v>300</v>
      </c>
      <c r="L52" s="83">
        <f t="shared" si="0"/>
        <v>1274</v>
      </c>
      <c r="M52" s="94"/>
      <c r="N52" s="83">
        <f>75</f>
        <v>75</v>
      </c>
      <c r="O52" s="86">
        <v>240</v>
      </c>
      <c r="P52" s="86">
        <v>160</v>
      </c>
      <c r="Q52" s="86">
        <f t="shared" si="1"/>
        <v>195</v>
      </c>
      <c r="R52" s="86">
        <f t="shared" si="2"/>
        <v>100</v>
      </c>
      <c r="S52" s="83">
        <f t="shared" si="3"/>
        <v>695</v>
      </c>
      <c r="T52" s="83">
        <f>50</f>
        <v>50</v>
      </c>
      <c r="U52" s="84"/>
      <c r="V52" s="84"/>
      <c r="W52" s="84"/>
      <c r="X52" s="84"/>
      <c r="Y52" s="84"/>
      <c r="Z52" s="84"/>
      <c r="AA52" s="84"/>
      <c r="AB52" s="84"/>
      <c r="AC52" s="84"/>
      <c r="AD52" s="84"/>
    </row>
    <row r="53" spans="1:30" ht="15.75" x14ac:dyDescent="0.25">
      <c r="A53" s="13">
        <v>42522</v>
      </c>
      <c r="B53" s="97">
        <v>30</v>
      </c>
      <c r="C53" s="83">
        <f>194.205</f>
        <v>194.20500000000001</v>
      </c>
      <c r="D53" s="83">
        <f>267.466</f>
        <v>267.46600000000001</v>
      </c>
      <c r="E53" s="92">
        <f>133.845</f>
        <v>133.845</v>
      </c>
      <c r="F53" s="83">
        <f>278.484-40-25-60-100</f>
        <v>53.48399999999998</v>
      </c>
      <c r="G53" s="86">
        <v>40</v>
      </c>
      <c r="H53" s="83">
        <f t="shared" si="7"/>
        <v>185</v>
      </c>
      <c r="I53" s="83">
        <f t="shared" si="8"/>
        <v>0</v>
      </c>
      <c r="J53" s="86">
        <v>100</v>
      </c>
      <c r="K53" s="86">
        <v>300</v>
      </c>
      <c r="L53" s="83">
        <f t="shared" si="0"/>
        <v>1274</v>
      </c>
      <c r="M53" s="94"/>
      <c r="N53" s="83">
        <f>30</f>
        <v>30</v>
      </c>
      <c r="O53" s="86">
        <v>240</v>
      </c>
      <c r="P53" s="86">
        <v>160</v>
      </c>
      <c r="Q53" s="86">
        <f t="shared" si="1"/>
        <v>195</v>
      </c>
      <c r="R53" s="86">
        <f t="shared" si="2"/>
        <v>100</v>
      </c>
      <c r="S53" s="83">
        <f t="shared" si="3"/>
        <v>695</v>
      </c>
      <c r="T53" s="83">
        <f>50</f>
        <v>50</v>
      </c>
      <c r="U53" s="84"/>
      <c r="V53" s="84"/>
      <c r="W53" s="84"/>
      <c r="X53" s="84"/>
      <c r="Y53" s="84"/>
      <c r="Z53" s="84"/>
      <c r="AA53" s="84"/>
      <c r="AB53" s="84"/>
      <c r="AC53" s="84"/>
      <c r="AD53" s="84"/>
    </row>
    <row r="54" spans="1:30" ht="15.75" x14ac:dyDescent="0.25">
      <c r="A54" s="13">
        <v>42552</v>
      </c>
      <c r="B54" s="97">
        <v>31</v>
      </c>
      <c r="C54" s="83">
        <f>194.205</f>
        <v>194.20500000000001</v>
      </c>
      <c r="D54" s="83">
        <f>267.466</f>
        <v>267.46600000000001</v>
      </c>
      <c r="E54" s="92">
        <f>133.845</f>
        <v>133.845</v>
      </c>
      <c r="F54" s="83">
        <f>278.484-40-25-60-100</f>
        <v>53.48399999999998</v>
      </c>
      <c r="G54" s="86">
        <v>40</v>
      </c>
      <c r="H54" s="83">
        <f t="shared" si="7"/>
        <v>185</v>
      </c>
      <c r="I54" s="83">
        <f t="shared" si="8"/>
        <v>0</v>
      </c>
      <c r="J54" s="86">
        <v>100</v>
      </c>
      <c r="K54" s="86">
        <v>300</v>
      </c>
      <c r="L54" s="83">
        <f t="shared" si="0"/>
        <v>1274</v>
      </c>
      <c r="M54" s="94"/>
      <c r="N54" s="83">
        <f>30</f>
        <v>30</v>
      </c>
      <c r="O54" s="86">
        <v>240</v>
      </c>
      <c r="P54" s="86">
        <v>160</v>
      </c>
      <c r="Q54" s="86">
        <f t="shared" si="1"/>
        <v>195</v>
      </c>
      <c r="R54" s="86">
        <f t="shared" si="2"/>
        <v>100</v>
      </c>
      <c r="S54" s="83">
        <f t="shared" si="3"/>
        <v>695</v>
      </c>
      <c r="T54" s="83">
        <f>0</f>
        <v>0</v>
      </c>
      <c r="U54" s="84"/>
      <c r="V54" s="84"/>
      <c r="W54" s="84"/>
      <c r="X54" s="84"/>
      <c r="Y54" s="84"/>
      <c r="Z54" s="84"/>
      <c r="AA54" s="84"/>
      <c r="AB54" s="84"/>
      <c r="AC54" s="84"/>
      <c r="AD54" s="84"/>
    </row>
    <row r="55" spans="1:30" ht="15.75" x14ac:dyDescent="0.25">
      <c r="A55" s="13">
        <v>42583</v>
      </c>
      <c r="B55" s="97">
        <v>31</v>
      </c>
      <c r="C55" s="83">
        <f>194.205</f>
        <v>194.20500000000001</v>
      </c>
      <c r="D55" s="83">
        <f>267.466</f>
        <v>267.46600000000001</v>
      </c>
      <c r="E55" s="92">
        <f>133.845</f>
        <v>133.845</v>
      </c>
      <c r="F55" s="83">
        <f>278.484-40-25-60-100</f>
        <v>53.48399999999998</v>
      </c>
      <c r="G55" s="86">
        <v>40</v>
      </c>
      <c r="H55" s="83">
        <f t="shared" si="7"/>
        <v>185</v>
      </c>
      <c r="I55" s="83">
        <f t="shared" si="8"/>
        <v>0</v>
      </c>
      <c r="J55" s="86">
        <v>100</v>
      </c>
      <c r="K55" s="86">
        <v>300</v>
      </c>
      <c r="L55" s="83">
        <f t="shared" si="0"/>
        <v>1274</v>
      </c>
      <c r="M55" s="94"/>
      <c r="N55" s="83">
        <f>30</f>
        <v>30</v>
      </c>
      <c r="O55" s="86">
        <v>240</v>
      </c>
      <c r="P55" s="86">
        <v>160</v>
      </c>
      <c r="Q55" s="86">
        <f t="shared" si="1"/>
        <v>195</v>
      </c>
      <c r="R55" s="86">
        <f t="shared" si="2"/>
        <v>100</v>
      </c>
      <c r="S55" s="83">
        <f t="shared" si="3"/>
        <v>695</v>
      </c>
      <c r="T55" s="83">
        <f>0</f>
        <v>0</v>
      </c>
      <c r="U55" s="84"/>
      <c r="V55" s="84"/>
      <c r="W55" s="84"/>
      <c r="X55" s="84"/>
      <c r="Y55" s="84"/>
      <c r="Z55" s="84"/>
      <c r="AA55" s="84"/>
      <c r="AB55" s="84"/>
      <c r="AC55" s="84"/>
      <c r="AD55" s="84"/>
    </row>
    <row r="56" spans="1:30" ht="15.75" x14ac:dyDescent="0.25">
      <c r="A56" s="13">
        <v>42614</v>
      </c>
      <c r="B56" s="97">
        <v>30</v>
      </c>
      <c r="C56" s="83">
        <f>194.205</f>
        <v>194.20500000000001</v>
      </c>
      <c r="D56" s="83">
        <f>267.466</f>
        <v>267.46600000000001</v>
      </c>
      <c r="E56" s="92">
        <f>133.845</f>
        <v>133.845</v>
      </c>
      <c r="F56" s="83">
        <f>278.484-40-25-60-100</f>
        <v>53.48399999999998</v>
      </c>
      <c r="G56" s="86">
        <v>40</v>
      </c>
      <c r="H56" s="83">
        <f t="shared" si="7"/>
        <v>185</v>
      </c>
      <c r="I56" s="83">
        <f t="shared" si="8"/>
        <v>0</v>
      </c>
      <c r="J56" s="86">
        <v>100</v>
      </c>
      <c r="K56" s="86">
        <v>300</v>
      </c>
      <c r="L56" s="83">
        <f t="shared" si="0"/>
        <v>1274</v>
      </c>
      <c r="M56" s="94"/>
      <c r="N56" s="83">
        <f>30</f>
        <v>30</v>
      </c>
      <c r="O56" s="86">
        <v>240</v>
      </c>
      <c r="P56" s="86">
        <v>160</v>
      </c>
      <c r="Q56" s="86">
        <f t="shared" si="1"/>
        <v>195</v>
      </c>
      <c r="R56" s="86">
        <f t="shared" si="2"/>
        <v>100</v>
      </c>
      <c r="S56" s="83">
        <f t="shared" si="3"/>
        <v>695</v>
      </c>
      <c r="T56" s="83">
        <f>0</f>
        <v>0</v>
      </c>
      <c r="U56" s="84"/>
      <c r="V56" s="84"/>
      <c r="W56" s="84"/>
      <c r="X56" s="84"/>
      <c r="Y56" s="84"/>
      <c r="Z56" s="84"/>
      <c r="AA56" s="84"/>
      <c r="AB56" s="84"/>
      <c r="AC56" s="84"/>
      <c r="AD56" s="84"/>
    </row>
    <row r="57" spans="1:30" ht="15.75" x14ac:dyDescent="0.25">
      <c r="A57" s="13">
        <v>42644</v>
      </c>
      <c r="B57" s="97">
        <v>31</v>
      </c>
      <c r="C57" s="83">
        <f>131.881</f>
        <v>131.881</v>
      </c>
      <c r="D57" s="83">
        <f>277.167</f>
        <v>277.16699999999997</v>
      </c>
      <c r="E57" s="92">
        <f>79.08</f>
        <v>79.08</v>
      </c>
      <c r="F57" s="83">
        <f>350.872-40-25-60-100</f>
        <v>125.87200000000001</v>
      </c>
      <c r="G57" s="86">
        <v>40</v>
      </c>
      <c r="H57" s="83">
        <f t="shared" si="7"/>
        <v>185</v>
      </c>
      <c r="I57" s="83">
        <f t="shared" si="8"/>
        <v>0</v>
      </c>
      <c r="J57" s="86">
        <v>100</v>
      </c>
      <c r="K57" s="86">
        <v>300</v>
      </c>
      <c r="L57" s="83">
        <f t="shared" si="0"/>
        <v>1239</v>
      </c>
      <c r="M57" s="94"/>
      <c r="N57" s="83">
        <f>75</f>
        <v>75</v>
      </c>
      <c r="O57" s="86">
        <v>240</v>
      </c>
      <c r="P57" s="86">
        <v>160</v>
      </c>
      <c r="Q57" s="86">
        <f t="shared" si="1"/>
        <v>195</v>
      </c>
      <c r="R57" s="86">
        <f t="shared" si="2"/>
        <v>100</v>
      </c>
      <c r="S57" s="83">
        <f t="shared" si="3"/>
        <v>695</v>
      </c>
      <c r="T57" s="83">
        <f>0</f>
        <v>0</v>
      </c>
      <c r="U57" s="84"/>
      <c r="V57" s="84"/>
      <c r="W57" s="84"/>
      <c r="X57" s="84"/>
      <c r="Y57" s="84"/>
      <c r="Z57" s="84"/>
      <c r="AA57" s="84"/>
      <c r="AB57" s="84"/>
      <c r="AC57" s="84"/>
      <c r="AD57" s="84"/>
    </row>
    <row r="58" spans="1:30" ht="15.75" x14ac:dyDescent="0.25">
      <c r="A58" s="13">
        <v>42675</v>
      </c>
      <c r="B58" s="97">
        <v>30</v>
      </c>
      <c r="C58" s="83">
        <f>122.58</f>
        <v>122.58</v>
      </c>
      <c r="D58" s="83">
        <f>297.941</f>
        <v>297.94099999999997</v>
      </c>
      <c r="E58" s="92">
        <f>89.177</f>
        <v>89.177000000000007</v>
      </c>
      <c r="F58" s="83">
        <f>240.302-40-60-100</f>
        <v>40.301999999999992</v>
      </c>
      <c r="G58" s="86">
        <v>40</v>
      </c>
      <c r="H58" s="83">
        <f>60+100</f>
        <v>160</v>
      </c>
      <c r="I58" s="83">
        <f t="shared" si="8"/>
        <v>0</v>
      </c>
      <c r="J58" s="86">
        <v>100</v>
      </c>
      <c r="K58" s="86">
        <v>300</v>
      </c>
      <c r="L58" s="83">
        <f t="shared" si="0"/>
        <v>1150</v>
      </c>
      <c r="M58" s="94"/>
      <c r="N58" s="83">
        <f>100</f>
        <v>100</v>
      </c>
      <c r="O58" s="86">
        <v>240</v>
      </c>
      <c r="P58" s="86">
        <v>40</v>
      </c>
      <c r="Q58" s="86">
        <f t="shared" si="1"/>
        <v>315</v>
      </c>
      <c r="R58" s="86">
        <f t="shared" si="2"/>
        <v>100</v>
      </c>
      <c r="S58" s="83">
        <f t="shared" si="3"/>
        <v>695</v>
      </c>
      <c r="T58" s="83">
        <f>50</f>
        <v>50</v>
      </c>
      <c r="U58" s="84"/>
      <c r="V58" s="84"/>
      <c r="W58" s="84"/>
      <c r="X58" s="84"/>
      <c r="Y58" s="84"/>
      <c r="Z58" s="84"/>
      <c r="AA58" s="84"/>
      <c r="AB58" s="84"/>
      <c r="AC58" s="84"/>
      <c r="AD58" s="84"/>
    </row>
    <row r="59" spans="1:30" ht="15.75" x14ac:dyDescent="0.25">
      <c r="A59" s="13">
        <v>42705</v>
      </c>
      <c r="B59" s="97">
        <v>31</v>
      </c>
      <c r="C59" s="83">
        <f>122.58</f>
        <v>122.58</v>
      </c>
      <c r="D59" s="83">
        <f>297.941</f>
        <v>297.94099999999997</v>
      </c>
      <c r="E59" s="92">
        <f>89.177</f>
        <v>89.177000000000007</v>
      </c>
      <c r="F59" s="83">
        <f>240.302-40-60-100</f>
        <v>40.301999999999992</v>
      </c>
      <c r="G59" s="86">
        <v>40</v>
      </c>
      <c r="H59" s="83">
        <f>60+100</f>
        <v>160</v>
      </c>
      <c r="I59" s="83">
        <f t="shared" si="8"/>
        <v>0</v>
      </c>
      <c r="J59" s="86">
        <v>100</v>
      </c>
      <c r="K59" s="86">
        <v>300</v>
      </c>
      <c r="L59" s="83">
        <f t="shared" si="0"/>
        <v>1150</v>
      </c>
      <c r="M59" s="94"/>
      <c r="N59" s="83">
        <f>100</f>
        <v>100</v>
      </c>
      <c r="O59" s="86">
        <v>240</v>
      </c>
      <c r="P59" s="86">
        <v>40</v>
      </c>
      <c r="Q59" s="86">
        <f t="shared" si="1"/>
        <v>315</v>
      </c>
      <c r="R59" s="86">
        <f t="shared" si="2"/>
        <v>100</v>
      </c>
      <c r="S59" s="83">
        <f t="shared" si="3"/>
        <v>695</v>
      </c>
      <c r="T59" s="83">
        <f>50</f>
        <v>50</v>
      </c>
      <c r="U59" s="84"/>
      <c r="V59" s="84"/>
      <c r="W59" s="84"/>
      <c r="X59" s="84"/>
      <c r="Y59" s="84"/>
      <c r="Z59" s="84"/>
      <c r="AA59" s="84"/>
      <c r="AB59" s="84"/>
      <c r="AC59" s="84"/>
      <c r="AD59" s="84"/>
    </row>
    <row r="60" spans="1:30" ht="15.75" x14ac:dyDescent="0.25">
      <c r="A60" s="13">
        <v>42736</v>
      </c>
      <c r="B60" s="97">
        <v>31</v>
      </c>
      <c r="C60" s="83">
        <f>122.58</f>
        <v>122.58</v>
      </c>
      <c r="D60" s="83">
        <f>297.941</f>
        <v>297.94099999999997</v>
      </c>
      <c r="E60" s="92">
        <f>89.177</f>
        <v>89.177000000000007</v>
      </c>
      <c r="F60" s="83">
        <f>240.302-40-60-100</f>
        <v>40.301999999999992</v>
      </c>
      <c r="G60" s="86">
        <v>40</v>
      </c>
      <c r="H60" s="83">
        <f>60+100</f>
        <v>160</v>
      </c>
      <c r="I60" s="83">
        <f t="shared" si="8"/>
        <v>0</v>
      </c>
      <c r="J60" s="86">
        <v>100</v>
      </c>
      <c r="K60" s="86">
        <v>300</v>
      </c>
      <c r="L60" s="83">
        <f t="shared" si="0"/>
        <v>1150</v>
      </c>
      <c r="M60" s="94">
        <v>400</v>
      </c>
      <c r="N60" s="83">
        <f>100</f>
        <v>100</v>
      </c>
      <c r="O60" s="86">
        <v>240</v>
      </c>
      <c r="P60" s="86">
        <v>40</v>
      </c>
      <c r="Q60" s="86">
        <f t="shared" si="1"/>
        <v>315</v>
      </c>
      <c r="R60" s="86">
        <f t="shared" si="2"/>
        <v>100</v>
      </c>
      <c r="S60" s="83">
        <f t="shared" si="3"/>
        <v>695</v>
      </c>
      <c r="T60" s="83">
        <f>50</f>
        <v>50</v>
      </c>
      <c r="U60" s="84"/>
      <c r="V60" s="84"/>
      <c r="W60" s="84"/>
      <c r="X60" s="84"/>
      <c r="Y60" s="84"/>
      <c r="Z60" s="84"/>
      <c r="AA60" s="84"/>
      <c r="AB60" s="84"/>
      <c r="AC60" s="84"/>
      <c r="AD60" s="84"/>
    </row>
    <row r="61" spans="1:30" ht="15.75" x14ac:dyDescent="0.25">
      <c r="A61" s="13">
        <v>42767</v>
      </c>
      <c r="B61" s="97">
        <v>28</v>
      </c>
      <c r="C61" s="83">
        <f>122.58</f>
        <v>122.58</v>
      </c>
      <c r="D61" s="83">
        <f>297.941</f>
        <v>297.94099999999997</v>
      </c>
      <c r="E61" s="92">
        <f>89.177</f>
        <v>89.177000000000007</v>
      </c>
      <c r="F61" s="83">
        <f>240.302-40-60-100</f>
        <v>40.301999999999992</v>
      </c>
      <c r="G61" s="86">
        <v>40</v>
      </c>
      <c r="H61" s="83">
        <f>60+100</f>
        <v>160</v>
      </c>
      <c r="I61" s="83">
        <f t="shared" si="8"/>
        <v>0</v>
      </c>
      <c r="J61" s="86">
        <v>100</v>
      </c>
      <c r="K61" s="86">
        <v>300</v>
      </c>
      <c r="L61" s="83">
        <f t="shared" si="0"/>
        <v>1150</v>
      </c>
      <c r="M61" s="94">
        <v>400</v>
      </c>
      <c r="N61" s="83">
        <f>100</f>
        <v>100</v>
      </c>
      <c r="O61" s="86">
        <v>240</v>
      </c>
      <c r="P61" s="86">
        <v>40</v>
      </c>
      <c r="Q61" s="86">
        <f t="shared" si="1"/>
        <v>315</v>
      </c>
      <c r="R61" s="86">
        <f t="shared" si="2"/>
        <v>100</v>
      </c>
      <c r="S61" s="83">
        <f t="shared" si="3"/>
        <v>695</v>
      </c>
      <c r="T61" s="83">
        <f>50</f>
        <v>50</v>
      </c>
      <c r="U61" s="84"/>
      <c r="V61" s="84"/>
      <c r="W61" s="84"/>
      <c r="X61" s="84"/>
      <c r="Y61" s="84"/>
      <c r="Z61" s="84"/>
      <c r="AA61" s="84"/>
      <c r="AB61" s="84"/>
      <c r="AC61" s="84"/>
      <c r="AD61" s="84"/>
    </row>
    <row r="62" spans="1:30" ht="15.75" x14ac:dyDescent="0.25">
      <c r="A62" s="13">
        <v>42795</v>
      </c>
      <c r="B62" s="97">
        <v>31</v>
      </c>
      <c r="C62" s="83">
        <f>122.58</f>
        <v>122.58</v>
      </c>
      <c r="D62" s="83">
        <f>297.941</f>
        <v>297.94099999999997</v>
      </c>
      <c r="E62" s="92">
        <f>89.177</f>
        <v>89.177000000000007</v>
      </c>
      <c r="F62" s="83">
        <f>240.302-40-60-100</f>
        <v>40.301999999999992</v>
      </c>
      <c r="G62" s="86">
        <v>40</v>
      </c>
      <c r="H62" s="83">
        <f>60+100</f>
        <v>160</v>
      </c>
      <c r="I62" s="83">
        <f t="shared" si="8"/>
        <v>0</v>
      </c>
      <c r="J62" s="86">
        <v>100</v>
      </c>
      <c r="K62" s="86">
        <v>300</v>
      </c>
      <c r="L62" s="83">
        <f t="shared" si="0"/>
        <v>1150</v>
      </c>
      <c r="M62" s="94">
        <v>400</v>
      </c>
      <c r="N62" s="83">
        <f>100</f>
        <v>100</v>
      </c>
      <c r="O62" s="86">
        <v>240</v>
      </c>
      <c r="P62" s="86">
        <v>40</v>
      </c>
      <c r="Q62" s="86">
        <f t="shared" si="1"/>
        <v>315</v>
      </c>
      <c r="R62" s="86">
        <f t="shared" si="2"/>
        <v>100</v>
      </c>
      <c r="S62" s="83">
        <f t="shared" si="3"/>
        <v>695</v>
      </c>
      <c r="T62" s="83">
        <f>50</f>
        <v>50</v>
      </c>
      <c r="U62" s="84"/>
      <c r="V62" s="84"/>
      <c r="W62" s="84"/>
      <c r="X62" s="84"/>
      <c r="Y62" s="84"/>
      <c r="Z62" s="84"/>
      <c r="AA62" s="84"/>
      <c r="AB62" s="84"/>
      <c r="AC62" s="84"/>
      <c r="AD62" s="84"/>
    </row>
    <row r="63" spans="1:30" ht="15.75" x14ac:dyDescent="0.25">
      <c r="A63" s="13">
        <v>42826</v>
      </c>
      <c r="B63" s="97">
        <v>30</v>
      </c>
      <c r="C63" s="83">
        <f>141.293</f>
        <v>141.29300000000001</v>
      </c>
      <c r="D63" s="83">
        <f>267.993</f>
        <v>267.99299999999999</v>
      </c>
      <c r="E63" s="92">
        <f>115.016</f>
        <v>115.01600000000001</v>
      </c>
      <c r="F63" s="83">
        <f>314.698-40-25-60-100</f>
        <v>89.697999999999979</v>
      </c>
      <c r="G63" s="86">
        <v>40</v>
      </c>
      <c r="H63" s="83">
        <f t="shared" ref="H63:H69" si="9">25+60+100</f>
        <v>185</v>
      </c>
      <c r="I63" s="83">
        <f t="shared" si="8"/>
        <v>0</v>
      </c>
      <c r="J63" s="86">
        <v>100</v>
      </c>
      <c r="K63" s="86">
        <v>300</v>
      </c>
      <c r="L63" s="83">
        <f t="shared" si="0"/>
        <v>1239</v>
      </c>
      <c r="M63" s="94">
        <v>400</v>
      </c>
      <c r="N63" s="83">
        <f>100</f>
        <v>100</v>
      </c>
      <c r="O63" s="86">
        <v>240</v>
      </c>
      <c r="P63" s="86">
        <v>160</v>
      </c>
      <c r="Q63" s="86">
        <f t="shared" si="1"/>
        <v>195</v>
      </c>
      <c r="R63" s="86">
        <f t="shared" si="2"/>
        <v>100</v>
      </c>
      <c r="S63" s="83">
        <f t="shared" si="3"/>
        <v>695</v>
      </c>
      <c r="T63" s="83">
        <f>50</f>
        <v>50</v>
      </c>
      <c r="U63" s="84"/>
      <c r="V63" s="84"/>
      <c r="W63" s="84"/>
      <c r="X63" s="84"/>
      <c r="Y63" s="84"/>
      <c r="Z63" s="84"/>
      <c r="AA63" s="84"/>
      <c r="AB63" s="84"/>
      <c r="AC63" s="84"/>
      <c r="AD63" s="84"/>
    </row>
    <row r="64" spans="1:30" ht="15.75" x14ac:dyDescent="0.25">
      <c r="A64" s="13">
        <v>42856</v>
      </c>
      <c r="B64" s="97">
        <v>31</v>
      </c>
      <c r="C64" s="83">
        <f>194.205</f>
        <v>194.20500000000001</v>
      </c>
      <c r="D64" s="83">
        <f>267.466</f>
        <v>267.46600000000001</v>
      </c>
      <c r="E64" s="92">
        <f>133.845</f>
        <v>133.845</v>
      </c>
      <c r="F64" s="83">
        <f>278.484-40-25-60-100</f>
        <v>53.48399999999998</v>
      </c>
      <c r="G64" s="86">
        <v>40</v>
      </c>
      <c r="H64" s="83">
        <f t="shared" si="9"/>
        <v>185</v>
      </c>
      <c r="I64" s="83">
        <f t="shared" si="8"/>
        <v>0</v>
      </c>
      <c r="J64" s="86">
        <v>100</v>
      </c>
      <c r="K64" s="86">
        <v>300</v>
      </c>
      <c r="L64" s="83">
        <f t="shared" si="0"/>
        <v>1274</v>
      </c>
      <c r="M64" s="94">
        <v>400</v>
      </c>
      <c r="N64" s="83">
        <f>75</f>
        <v>75</v>
      </c>
      <c r="O64" s="86">
        <v>240</v>
      </c>
      <c r="P64" s="86">
        <v>160</v>
      </c>
      <c r="Q64" s="86">
        <f t="shared" si="1"/>
        <v>195</v>
      </c>
      <c r="R64" s="86">
        <f t="shared" si="2"/>
        <v>100</v>
      </c>
      <c r="S64" s="83">
        <f t="shared" si="3"/>
        <v>695</v>
      </c>
      <c r="T64" s="83">
        <f>50</f>
        <v>50</v>
      </c>
      <c r="U64" s="84"/>
      <c r="V64" s="84"/>
      <c r="W64" s="84"/>
      <c r="X64" s="84"/>
      <c r="Y64" s="84"/>
      <c r="Z64" s="84"/>
      <c r="AA64" s="84"/>
      <c r="AB64" s="84"/>
      <c r="AC64" s="84"/>
      <c r="AD64" s="84"/>
    </row>
    <row r="65" spans="1:30" ht="15.75" x14ac:dyDescent="0.25">
      <c r="A65" s="13">
        <v>42887</v>
      </c>
      <c r="B65" s="97">
        <v>30</v>
      </c>
      <c r="C65" s="83">
        <f>194.205</f>
        <v>194.20500000000001</v>
      </c>
      <c r="D65" s="83">
        <f>267.466</f>
        <v>267.46600000000001</v>
      </c>
      <c r="E65" s="92">
        <f>133.845</f>
        <v>133.845</v>
      </c>
      <c r="F65" s="83">
        <f>278.484-40-25-60-100</f>
        <v>53.48399999999998</v>
      </c>
      <c r="G65" s="86">
        <v>40</v>
      </c>
      <c r="H65" s="83">
        <f t="shared" si="9"/>
        <v>185</v>
      </c>
      <c r="I65" s="83">
        <f t="shared" si="8"/>
        <v>0</v>
      </c>
      <c r="J65" s="86">
        <v>100</v>
      </c>
      <c r="K65" s="86">
        <v>300</v>
      </c>
      <c r="L65" s="83">
        <f t="shared" si="0"/>
        <v>1274</v>
      </c>
      <c r="M65" s="94">
        <v>400</v>
      </c>
      <c r="N65" s="83">
        <f>30</f>
        <v>30</v>
      </c>
      <c r="O65" s="86">
        <v>240</v>
      </c>
      <c r="P65" s="86">
        <v>160</v>
      </c>
      <c r="Q65" s="86">
        <f t="shared" si="1"/>
        <v>195</v>
      </c>
      <c r="R65" s="86">
        <f t="shared" si="2"/>
        <v>100</v>
      </c>
      <c r="S65" s="83">
        <f t="shared" si="3"/>
        <v>695</v>
      </c>
      <c r="T65" s="83">
        <f>50</f>
        <v>50</v>
      </c>
      <c r="U65" s="84"/>
      <c r="V65" s="84"/>
      <c r="W65" s="84"/>
      <c r="X65" s="84"/>
      <c r="Y65" s="84"/>
      <c r="Z65" s="84"/>
      <c r="AA65" s="84"/>
      <c r="AB65" s="84"/>
      <c r="AC65" s="84"/>
      <c r="AD65" s="84"/>
    </row>
    <row r="66" spans="1:30" ht="15.75" x14ac:dyDescent="0.25">
      <c r="A66" s="13">
        <v>42917</v>
      </c>
      <c r="B66" s="97">
        <v>31</v>
      </c>
      <c r="C66" s="83">
        <f>194.205</f>
        <v>194.20500000000001</v>
      </c>
      <c r="D66" s="83">
        <f>267.466</f>
        <v>267.46600000000001</v>
      </c>
      <c r="E66" s="92">
        <f>133.845</f>
        <v>133.845</v>
      </c>
      <c r="F66" s="83">
        <f>278.484-40-25-60-100</f>
        <v>53.48399999999998</v>
      </c>
      <c r="G66" s="86">
        <v>40</v>
      </c>
      <c r="H66" s="83">
        <f t="shared" si="9"/>
        <v>185</v>
      </c>
      <c r="I66" s="83">
        <f t="shared" si="8"/>
        <v>0</v>
      </c>
      <c r="J66" s="86">
        <v>100</v>
      </c>
      <c r="K66" s="86">
        <v>300</v>
      </c>
      <c r="L66" s="83">
        <f t="shared" si="0"/>
        <v>1274</v>
      </c>
      <c r="M66" s="94">
        <v>400</v>
      </c>
      <c r="N66" s="83">
        <f>30</f>
        <v>30</v>
      </c>
      <c r="O66" s="86">
        <v>240</v>
      </c>
      <c r="P66" s="86">
        <v>160</v>
      </c>
      <c r="Q66" s="86">
        <f t="shared" si="1"/>
        <v>195</v>
      </c>
      <c r="R66" s="86">
        <f t="shared" si="2"/>
        <v>100</v>
      </c>
      <c r="S66" s="83">
        <f t="shared" si="3"/>
        <v>695</v>
      </c>
      <c r="T66" s="83">
        <f>0</f>
        <v>0</v>
      </c>
      <c r="U66" s="84"/>
      <c r="V66" s="84"/>
      <c r="W66" s="84"/>
      <c r="X66" s="84"/>
      <c r="Y66" s="84"/>
      <c r="Z66" s="84"/>
      <c r="AA66" s="84"/>
      <c r="AB66" s="84"/>
      <c r="AC66" s="84"/>
      <c r="AD66" s="84"/>
    </row>
    <row r="67" spans="1:30" ht="15.75" x14ac:dyDescent="0.25">
      <c r="A67" s="13">
        <v>42948</v>
      </c>
      <c r="B67" s="97">
        <v>31</v>
      </c>
      <c r="C67" s="83">
        <f>194.205</f>
        <v>194.20500000000001</v>
      </c>
      <c r="D67" s="83">
        <f>267.466</f>
        <v>267.46600000000001</v>
      </c>
      <c r="E67" s="92">
        <f>133.845</f>
        <v>133.845</v>
      </c>
      <c r="F67" s="83">
        <f>278.484-40-25-60-100</f>
        <v>53.48399999999998</v>
      </c>
      <c r="G67" s="86">
        <v>40</v>
      </c>
      <c r="H67" s="83">
        <f t="shared" si="9"/>
        <v>185</v>
      </c>
      <c r="I67" s="83">
        <f t="shared" si="8"/>
        <v>0</v>
      </c>
      <c r="J67" s="86">
        <v>100</v>
      </c>
      <c r="K67" s="86">
        <v>300</v>
      </c>
      <c r="L67" s="83">
        <f t="shared" si="0"/>
        <v>1274</v>
      </c>
      <c r="M67" s="94">
        <v>400</v>
      </c>
      <c r="N67" s="83">
        <f>30</f>
        <v>30</v>
      </c>
      <c r="O67" s="86">
        <v>240</v>
      </c>
      <c r="P67" s="86">
        <v>160</v>
      </c>
      <c r="Q67" s="86">
        <f t="shared" si="1"/>
        <v>195</v>
      </c>
      <c r="R67" s="86">
        <f t="shared" si="2"/>
        <v>100</v>
      </c>
      <c r="S67" s="83">
        <f t="shared" si="3"/>
        <v>695</v>
      </c>
      <c r="T67" s="83">
        <f>0</f>
        <v>0</v>
      </c>
      <c r="U67" s="84"/>
      <c r="V67" s="84"/>
      <c r="W67" s="84"/>
      <c r="X67" s="84"/>
      <c r="Y67" s="84"/>
      <c r="Z67" s="84"/>
      <c r="AA67" s="84"/>
      <c r="AB67" s="84"/>
      <c r="AC67" s="84"/>
      <c r="AD67" s="84"/>
    </row>
    <row r="68" spans="1:30" ht="15.75" x14ac:dyDescent="0.25">
      <c r="A68" s="13">
        <v>42979</v>
      </c>
      <c r="B68" s="97">
        <v>30</v>
      </c>
      <c r="C68" s="83">
        <f>194.205</f>
        <v>194.20500000000001</v>
      </c>
      <c r="D68" s="83">
        <f>267.466</f>
        <v>267.46600000000001</v>
      </c>
      <c r="E68" s="92">
        <f>133.845</f>
        <v>133.845</v>
      </c>
      <c r="F68" s="83">
        <f>278.484-40-25-60-100</f>
        <v>53.48399999999998</v>
      </c>
      <c r="G68" s="86">
        <v>40</v>
      </c>
      <c r="H68" s="83">
        <f t="shared" si="9"/>
        <v>185</v>
      </c>
      <c r="I68" s="83">
        <f t="shared" si="8"/>
        <v>0</v>
      </c>
      <c r="J68" s="86">
        <v>100</v>
      </c>
      <c r="K68" s="86">
        <v>300</v>
      </c>
      <c r="L68" s="83">
        <f t="shared" si="0"/>
        <v>1274</v>
      </c>
      <c r="M68" s="94">
        <v>400</v>
      </c>
      <c r="N68" s="83">
        <f>30</f>
        <v>30</v>
      </c>
      <c r="O68" s="86">
        <v>240</v>
      </c>
      <c r="P68" s="86">
        <v>160</v>
      </c>
      <c r="Q68" s="86">
        <f t="shared" si="1"/>
        <v>195</v>
      </c>
      <c r="R68" s="86">
        <f t="shared" si="2"/>
        <v>100</v>
      </c>
      <c r="S68" s="83">
        <f t="shared" si="3"/>
        <v>695</v>
      </c>
      <c r="T68" s="83">
        <f>0</f>
        <v>0</v>
      </c>
      <c r="U68" s="84"/>
      <c r="V68" s="84"/>
      <c r="W68" s="84"/>
      <c r="X68" s="84"/>
      <c r="Y68" s="84"/>
      <c r="Z68" s="84"/>
      <c r="AA68" s="84"/>
      <c r="AB68" s="84"/>
      <c r="AC68" s="84"/>
      <c r="AD68" s="84"/>
    </row>
    <row r="69" spans="1:30" ht="15.75" x14ac:dyDescent="0.25">
      <c r="A69" s="13">
        <v>43009</v>
      </c>
      <c r="B69" s="97">
        <v>31</v>
      </c>
      <c r="C69" s="83">
        <f>131.881</f>
        <v>131.881</v>
      </c>
      <c r="D69" s="83">
        <f>277.167</f>
        <v>277.16699999999997</v>
      </c>
      <c r="E69" s="92">
        <f>79.08</f>
        <v>79.08</v>
      </c>
      <c r="F69" s="83">
        <f>350.872-40-25-60-100</f>
        <v>125.87200000000001</v>
      </c>
      <c r="G69" s="86">
        <v>40</v>
      </c>
      <c r="H69" s="83">
        <f t="shared" si="9"/>
        <v>185</v>
      </c>
      <c r="I69" s="83">
        <f t="shared" si="8"/>
        <v>0</v>
      </c>
      <c r="J69" s="86">
        <v>100</v>
      </c>
      <c r="K69" s="86">
        <v>300</v>
      </c>
      <c r="L69" s="83">
        <f t="shared" si="0"/>
        <v>1239</v>
      </c>
      <c r="M69" s="94">
        <v>400</v>
      </c>
      <c r="N69" s="83">
        <f>75</f>
        <v>75</v>
      </c>
      <c r="O69" s="86">
        <v>240</v>
      </c>
      <c r="P69" s="86">
        <v>160</v>
      </c>
      <c r="Q69" s="86">
        <f t="shared" si="1"/>
        <v>195</v>
      </c>
      <c r="R69" s="86">
        <f t="shared" si="2"/>
        <v>100</v>
      </c>
      <c r="S69" s="83">
        <f t="shared" si="3"/>
        <v>695</v>
      </c>
      <c r="T69" s="83">
        <f>0</f>
        <v>0</v>
      </c>
      <c r="U69" s="84"/>
      <c r="V69" s="84"/>
      <c r="W69" s="84"/>
      <c r="X69" s="84"/>
      <c r="Y69" s="84"/>
      <c r="Z69" s="84"/>
      <c r="AA69" s="84"/>
      <c r="AB69" s="84"/>
      <c r="AC69" s="84"/>
      <c r="AD69" s="84"/>
    </row>
    <row r="70" spans="1:30" ht="15.75" x14ac:dyDescent="0.25">
      <c r="A70" s="13">
        <v>43040</v>
      </c>
      <c r="B70" s="97">
        <v>30</v>
      </c>
      <c r="C70" s="83">
        <f>122.58</f>
        <v>122.58</v>
      </c>
      <c r="D70" s="83">
        <f>297.941</f>
        <v>297.94099999999997</v>
      </c>
      <c r="E70" s="92">
        <f>89.177</f>
        <v>89.177000000000007</v>
      </c>
      <c r="F70" s="83">
        <f>240.302-40-60-100</f>
        <v>40.301999999999992</v>
      </c>
      <c r="G70" s="86">
        <v>40</v>
      </c>
      <c r="H70" s="83">
        <f>60+100</f>
        <v>160</v>
      </c>
      <c r="I70" s="83">
        <f t="shared" si="8"/>
        <v>0</v>
      </c>
      <c r="J70" s="86">
        <v>100</v>
      </c>
      <c r="K70" s="86">
        <v>300</v>
      </c>
      <c r="L70" s="83">
        <f t="shared" si="0"/>
        <v>1150</v>
      </c>
      <c r="M70" s="94">
        <v>400</v>
      </c>
      <c r="N70" s="83">
        <f>100</f>
        <v>100</v>
      </c>
      <c r="O70" s="86">
        <v>240</v>
      </c>
      <c r="P70" s="86">
        <v>40</v>
      </c>
      <c r="Q70" s="86">
        <f t="shared" si="1"/>
        <v>315</v>
      </c>
      <c r="R70" s="86">
        <f t="shared" si="2"/>
        <v>100</v>
      </c>
      <c r="S70" s="83">
        <f t="shared" si="3"/>
        <v>695</v>
      </c>
      <c r="T70" s="83">
        <f>50</f>
        <v>50</v>
      </c>
      <c r="U70" s="84"/>
      <c r="V70" s="84"/>
      <c r="W70" s="84"/>
      <c r="X70" s="84"/>
      <c r="Y70" s="84"/>
      <c r="Z70" s="84"/>
      <c r="AA70" s="84"/>
      <c r="AB70" s="84"/>
      <c r="AC70" s="84"/>
      <c r="AD70" s="84"/>
    </row>
    <row r="71" spans="1:30" ht="15.75" x14ac:dyDescent="0.25">
      <c r="A71" s="13">
        <v>43070</v>
      </c>
      <c r="B71" s="97">
        <v>31</v>
      </c>
      <c r="C71" s="83">
        <f>122.58</f>
        <v>122.58</v>
      </c>
      <c r="D71" s="83">
        <f>297.941</f>
        <v>297.94099999999997</v>
      </c>
      <c r="E71" s="92">
        <f>89.177</f>
        <v>89.177000000000007</v>
      </c>
      <c r="F71" s="83">
        <f>240.302-40-60-100</f>
        <v>40.301999999999992</v>
      </c>
      <c r="G71" s="86">
        <v>40</v>
      </c>
      <c r="H71" s="83">
        <f>60+100</f>
        <v>160</v>
      </c>
      <c r="I71" s="83">
        <f t="shared" si="8"/>
        <v>0</v>
      </c>
      <c r="J71" s="86">
        <v>100</v>
      </c>
      <c r="K71" s="86">
        <v>300</v>
      </c>
      <c r="L71" s="83">
        <f t="shared" si="0"/>
        <v>1150</v>
      </c>
      <c r="M71" s="94">
        <v>400</v>
      </c>
      <c r="N71" s="83">
        <f>100</f>
        <v>100</v>
      </c>
      <c r="O71" s="86">
        <v>240</v>
      </c>
      <c r="P71" s="86">
        <v>40</v>
      </c>
      <c r="Q71" s="86">
        <f t="shared" si="1"/>
        <v>315</v>
      </c>
      <c r="R71" s="86">
        <f t="shared" si="2"/>
        <v>100</v>
      </c>
      <c r="S71" s="83">
        <f t="shared" si="3"/>
        <v>695</v>
      </c>
      <c r="T71" s="83">
        <f>50</f>
        <v>50</v>
      </c>
      <c r="U71" s="84"/>
      <c r="V71" s="84"/>
      <c r="W71" s="84"/>
      <c r="X71" s="84"/>
      <c r="Y71" s="84"/>
      <c r="Z71" s="84"/>
      <c r="AA71" s="84"/>
      <c r="AB71" s="84"/>
      <c r="AC71" s="84"/>
      <c r="AD71" s="84"/>
    </row>
    <row r="72" spans="1:30" ht="15.75" x14ac:dyDescent="0.25">
      <c r="A72" s="13">
        <v>43101</v>
      </c>
      <c r="B72" s="97">
        <v>31</v>
      </c>
      <c r="C72" s="83">
        <f>122.58</f>
        <v>122.58</v>
      </c>
      <c r="D72" s="83">
        <f>297.941</f>
        <v>297.94099999999997</v>
      </c>
      <c r="E72" s="92">
        <f>89.177</f>
        <v>89.177000000000007</v>
      </c>
      <c r="F72" s="83">
        <f>240.302-40-60-100</f>
        <v>40.301999999999992</v>
      </c>
      <c r="G72" s="86">
        <v>40</v>
      </c>
      <c r="H72" s="83">
        <f>60+100</f>
        <v>160</v>
      </c>
      <c r="I72" s="83">
        <f t="shared" si="8"/>
        <v>0</v>
      </c>
      <c r="J72" s="86">
        <v>100</v>
      </c>
      <c r="K72" s="86">
        <v>300</v>
      </c>
      <c r="L72" s="83">
        <f t="shared" si="0"/>
        <v>1150</v>
      </c>
      <c r="M72" s="94">
        <v>400</v>
      </c>
      <c r="N72" s="83">
        <f>100</f>
        <v>100</v>
      </c>
      <c r="O72" s="86">
        <v>240</v>
      </c>
      <c r="P72" s="86">
        <v>40</v>
      </c>
      <c r="Q72" s="86">
        <f t="shared" si="1"/>
        <v>315</v>
      </c>
      <c r="R72" s="86">
        <f t="shared" si="2"/>
        <v>100</v>
      </c>
      <c r="S72" s="83">
        <f t="shared" si="3"/>
        <v>695</v>
      </c>
      <c r="T72" s="83">
        <f>50</f>
        <v>50</v>
      </c>
      <c r="U72" s="84"/>
      <c r="V72" s="84"/>
      <c r="W72" s="84"/>
      <c r="X72" s="84"/>
      <c r="Y72" s="84"/>
      <c r="Z72" s="84"/>
      <c r="AA72" s="84"/>
      <c r="AB72" s="84"/>
      <c r="AC72" s="84"/>
      <c r="AD72" s="84"/>
    </row>
    <row r="73" spans="1:30" ht="15.75" x14ac:dyDescent="0.25">
      <c r="A73" s="13">
        <v>43132</v>
      </c>
      <c r="B73" s="97">
        <v>28</v>
      </c>
      <c r="C73" s="83">
        <f>122.58</f>
        <v>122.58</v>
      </c>
      <c r="D73" s="83">
        <f>297.941</f>
        <v>297.94099999999997</v>
      </c>
      <c r="E73" s="92">
        <f>89.177</f>
        <v>89.177000000000007</v>
      </c>
      <c r="F73" s="83">
        <f>240.302-40-60-100</f>
        <v>40.301999999999992</v>
      </c>
      <c r="G73" s="86">
        <v>40</v>
      </c>
      <c r="H73" s="83">
        <f>60+100</f>
        <v>160</v>
      </c>
      <c r="I73" s="83">
        <f t="shared" si="8"/>
        <v>0</v>
      </c>
      <c r="J73" s="86">
        <v>100</v>
      </c>
      <c r="K73" s="86">
        <v>300</v>
      </c>
      <c r="L73" s="83">
        <f t="shared" si="0"/>
        <v>1150</v>
      </c>
      <c r="M73" s="94">
        <v>400</v>
      </c>
      <c r="N73" s="83">
        <f>100</f>
        <v>100</v>
      </c>
      <c r="O73" s="86">
        <v>240</v>
      </c>
      <c r="P73" s="86">
        <v>40</v>
      </c>
      <c r="Q73" s="86">
        <f t="shared" si="1"/>
        <v>315</v>
      </c>
      <c r="R73" s="86">
        <f t="shared" si="2"/>
        <v>100</v>
      </c>
      <c r="S73" s="83">
        <f t="shared" si="3"/>
        <v>695</v>
      </c>
      <c r="T73" s="83">
        <f>50</f>
        <v>50</v>
      </c>
      <c r="U73" s="84"/>
      <c r="V73" s="84"/>
      <c r="W73" s="84"/>
      <c r="X73" s="84"/>
      <c r="Y73" s="84"/>
      <c r="Z73" s="84"/>
      <c r="AA73" s="84"/>
      <c r="AB73" s="84"/>
      <c r="AC73" s="84"/>
      <c r="AD73" s="84"/>
    </row>
    <row r="74" spans="1:30" ht="15.75" x14ac:dyDescent="0.25">
      <c r="A74" s="13">
        <v>43160</v>
      </c>
      <c r="B74" s="97">
        <v>31</v>
      </c>
      <c r="C74" s="83">
        <f>122.58</f>
        <v>122.58</v>
      </c>
      <c r="D74" s="83">
        <f>297.941</f>
        <v>297.94099999999997</v>
      </c>
      <c r="E74" s="92">
        <f>89.177</f>
        <v>89.177000000000007</v>
      </c>
      <c r="F74" s="83">
        <f>240.302-40-60-100</f>
        <v>40.301999999999992</v>
      </c>
      <c r="G74" s="86">
        <v>40</v>
      </c>
      <c r="H74" s="83">
        <f>60+100</f>
        <v>160</v>
      </c>
      <c r="I74" s="83">
        <f t="shared" si="8"/>
        <v>0</v>
      </c>
      <c r="J74" s="86">
        <v>100</v>
      </c>
      <c r="K74" s="86">
        <v>300</v>
      </c>
      <c r="L74" s="83">
        <f t="shared" si="0"/>
        <v>1150</v>
      </c>
      <c r="M74" s="94">
        <v>400</v>
      </c>
      <c r="N74" s="83">
        <f>100</f>
        <v>100</v>
      </c>
      <c r="O74" s="86">
        <v>240</v>
      </c>
      <c r="P74" s="86">
        <v>40</v>
      </c>
      <c r="Q74" s="86">
        <f t="shared" si="1"/>
        <v>315</v>
      </c>
      <c r="R74" s="86">
        <f t="shared" si="2"/>
        <v>100</v>
      </c>
      <c r="S74" s="83">
        <f t="shared" si="3"/>
        <v>695</v>
      </c>
      <c r="T74" s="83">
        <f>50</f>
        <v>50</v>
      </c>
      <c r="U74" s="84"/>
      <c r="V74" s="84"/>
      <c r="W74" s="84"/>
      <c r="X74" s="84"/>
      <c r="Y74" s="84"/>
      <c r="Z74" s="84"/>
      <c r="AA74" s="84"/>
      <c r="AB74" s="84"/>
      <c r="AC74" s="84"/>
      <c r="AD74" s="84"/>
    </row>
    <row r="75" spans="1:30" ht="15.75" x14ac:dyDescent="0.25">
      <c r="A75" s="13">
        <v>43191</v>
      </c>
      <c r="B75" s="97">
        <v>30</v>
      </c>
      <c r="C75" s="83">
        <f>141.293</f>
        <v>141.29300000000001</v>
      </c>
      <c r="D75" s="83">
        <f>267.993</f>
        <v>267.99299999999999</v>
      </c>
      <c r="E75" s="92">
        <f>115.016</f>
        <v>115.01600000000001</v>
      </c>
      <c r="F75" s="83">
        <f>314.698-40-25-60-100</f>
        <v>89.697999999999979</v>
      </c>
      <c r="G75" s="86">
        <v>40</v>
      </c>
      <c r="H75" s="83">
        <f t="shared" ref="H75:H81" si="10">25+60+100</f>
        <v>185</v>
      </c>
      <c r="I75" s="83">
        <f t="shared" si="8"/>
        <v>0</v>
      </c>
      <c r="J75" s="86">
        <v>100</v>
      </c>
      <c r="K75" s="86">
        <v>300</v>
      </c>
      <c r="L75" s="83">
        <f t="shared" si="0"/>
        <v>1239</v>
      </c>
      <c r="M75" s="94">
        <v>400</v>
      </c>
      <c r="N75" s="83">
        <f>100</f>
        <v>100</v>
      </c>
      <c r="O75" s="86">
        <v>240</v>
      </c>
      <c r="P75" s="86">
        <v>160</v>
      </c>
      <c r="Q75" s="86">
        <f t="shared" si="1"/>
        <v>195</v>
      </c>
      <c r="R75" s="86">
        <f t="shared" si="2"/>
        <v>100</v>
      </c>
      <c r="S75" s="83">
        <f t="shared" si="3"/>
        <v>695</v>
      </c>
      <c r="T75" s="83">
        <f>50</f>
        <v>50</v>
      </c>
      <c r="U75" s="84"/>
      <c r="V75" s="84"/>
      <c r="W75" s="84"/>
      <c r="X75" s="84"/>
      <c r="Y75" s="84"/>
      <c r="Z75" s="84"/>
      <c r="AA75" s="84"/>
      <c r="AB75" s="84"/>
      <c r="AC75" s="84"/>
      <c r="AD75" s="84"/>
    </row>
    <row r="76" spans="1:30" ht="15.75" x14ac:dyDescent="0.25">
      <c r="A76" s="13">
        <v>43221</v>
      </c>
      <c r="B76" s="97">
        <v>31</v>
      </c>
      <c r="C76" s="83">
        <f>194.205</f>
        <v>194.20500000000001</v>
      </c>
      <c r="D76" s="83">
        <f>267.466</f>
        <v>267.46600000000001</v>
      </c>
      <c r="E76" s="92">
        <f>133.845</f>
        <v>133.845</v>
      </c>
      <c r="F76" s="83">
        <f>278.484-40-25-60-100</f>
        <v>53.48399999999998</v>
      </c>
      <c r="G76" s="86">
        <v>40</v>
      </c>
      <c r="H76" s="83">
        <f t="shared" si="10"/>
        <v>185</v>
      </c>
      <c r="I76" s="83">
        <f t="shared" si="8"/>
        <v>0</v>
      </c>
      <c r="J76" s="86">
        <v>100</v>
      </c>
      <c r="K76" s="86">
        <v>300</v>
      </c>
      <c r="L76" s="83">
        <f t="shared" si="0"/>
        <v>1274</v>
      </c>
      <c r="M76" s="94">
        <v>400</v>
      </c>
      <c r="N76" s="83">
        <f>75</f>
        <v>75</v>
      </c>
      <c r="O76" s="86">
        <v>240</v>
      </c>
      <c r="P76" s="86">
        <v>160</v>
      </c>
      <c r="Q76" s="86">
        <f t="shared" si="1"/>
        <v>195</v>
      </c>
      <c r="R76" s="86">
        <f t="shared" si="2"/>
        <v>100</v>
      </c>
      <c r="S76" s="83">
        <f t="shared" si="3"/>
        <v>695</v>
      </c>
      <c r="T76" s="83">
        <f>50</f>
        <v>50</v>
      </c>
      <c r="U76" s="84"/>
      <c r="V76" s="84"/>
      <c r="W76" s="84"/>
      <c r="X76" s="84"/>
      <c r="Y76" s="84"/>
      <c r="Z76" s="84"/>
      <c r="AA76" s="84"/>
      <c r="AB76" s="84"/>
      <c r="AC76" s="84"/>
      <c r="AD76" s="84"/>
    </row>
    <row r="77" spans="1:30" ht="15.75" x14ac:dyDescent="0.25">
      <c r="A77" s="13">
        <v>43252</v>
      </c>
      <c r="B77" s="97">
        <v>30</v>
      </c>
      <c r="C77" s="83">
        <f>194.205</f>
        <v>194.20500000000001</v>
      </c>
      <c r="D77" s="83">
        <f>267.466</f>
        <v>267.46600000000001</v>
      </c>
      <c r="E77" s="92">
        <f>133.845</f>
        <v>133.845</v>
      </c>
      <c r="F77" s="83">
        <f>278.484-40-25-60-100</f>
        <v>53.48399999999998</v>
      </c>
      <c r="G77" s="86">
        <v>40</v>
      </c>
      <c r="H77" s="83">
        <f t="shared" si="10"/>
        <v>185</v>
      </c>
      <c r="I77" s="83">
        <f t="shared" si="8"/>
        <v>0</v>
      </c>
      <c r="J77" s="86">
        <v>100</v>
      </c>
      <c r="K77" s="86">
        <v>300</v>
      </c>
      <c r="L77" s="83">
        <f t="shared" si="0"/>
        <v>1274</v>
      </c>
      <c r="M77" s="94">
        <v>400</v>
      </c>
      <c r="N77" s="83">
        <f>30</f>
        <v>30</v>
      </c>
      <c r="O77" s="86">
        <v>240</v>
      </c>
      <c r="P77" s="86">
        <v>160</v>
      </c>
      <c r="Q77" s="86">
        <f t="shared" si="1"/>
        <v>195</v>
      </c>
      <c r="R77" s="86">
        <f t="shared" si="2"/>
        <v>100</v>
      </c>
      <c r="S77" s="83">
        <f t="shared" si="3"/>
        <v>695</v>
      </c>
      <c r="T77" s="83">
        <f>50</f>
        <v>50</v>
      </c>
      <c r="U77" s="84"/>
      <c r="V77" s="84"/>
      <c r="W77" s="84"/>
      <c r="X77" s="84"/>
      <c r="Y77" s="84"/>
      <c r="Z77" s="84"/>
      <c r="AA77" s="84"/>
      <c r="AB77" s="84"/>
      <c r="AC77" s="84"/>
      <c r="AD77" s="84"/>
    </row>
    <row r="78" spans="1:30" ht="15.75" x14ac:dyDescent="0.25">
      <c r="A78" s="13">
        <v>43282</v>
      </c>
      <c r="B78" s="97">
        <v>31</v>
      </c>
      <c r="C78" s="83">
        <f>194.205</f>
        <v>194.20500000000001</v>
      </c>
      <c r="D78" s="83">
        <f>267.466</f>
        <v>267.46600000000001</v>
      </c>
      <c r="E78" s="92">
        <f>133.845</f>
        <v>133.845</v>
      </c>
      <c r="F78" s="83">
        <f>278.484-40-25-60-100</f>
        <v>53.48399999999998</v>
      </c>
      <c r="G78" s="86">
        <v>40</v>
      </c>
      <c r="H78" s="83">
        <f t="shared" si="10"/>
        <v>185</v>
      </c>
      <c r="I78" s="83">
        <f t="shared" si="8"/>
        <v>0</v>
      </c>
      <c r="J78" s="86">
        <v>100</v>
      </c>
      <c r="K78" s="86">
        <v>300</v>
      </c>
      <c r="L78" s="83">
        <f t="shared" si="0"/>
        <v>1274</v>
      </c>
      <c r="M78" s="94">
        <v>400</v>
      </c>
      <c r="N78" s="83">
        <f>30</f>
        <v>30</v>
      </c>
      <c r="O78" s="86">
        <v>240</v>
      </c>
      <c r="P78" s="86">
        <v>160</v>
      </c>
      <c r="Q78" s="86">
        <f t="shared" si="1"/>
        <v>195</v>
      </c>
      <c r="R78" s="86">
        <f t="shared" si="2"/>
        <v>100</v>
      </c>
      <c r="S78" s="83">
        <f t="shared" si="3"/>
        <v>695</v>
      </c>
      <c r="T78" s="83">
        <f>0</f>
        <v>0</v>
      </c>
      <c r="U78" s="84"/>
      <c r="V78" s="84"/>
      <c r="W78" s="84"/>
      <c r="X78" s="84"/>
      <c r="Y78" s="84"/>
      <c r="Z78" s="84"/>
      <c r="AA78" s="84"/>
      <c r="AB78" s="84"/>
      <c r="AC78" s="84"/>
      <c r="AD78" s="84"/>
    </row>
    <row r="79" spans="1:30" ht="15.75" x14ac:dyDescent="0.25">
      <c r="A79" s="13">
        <v>43313</v>
      </c>
      <c r="B79" s="97">
        <v>31</v>
      </c>
      <c r="C79" s="83">
        <f>194.205</f>
        <v>194.20500000000001</v>
      </c>
      <c r="D79" s="83">
        <f>267.466</f>
        <v>267.46600000000001</v>
      </c>
      <c r="E79" s="92">
        <f>133.845</f>
        <v>133.845</v>
      </c>
      <c r="F79" s="83">
        <f>278.484-40-25-60-100</f>
        <v>53.48399999999998</v>
      </c>
      <c r="G79" s="86">
        <v>40</v>
      </c>
      <c r="H79" s="83">
        <f t="shared" si="10"/>
        <v>185</v>
      </c>
      <c r="I79" s="83">
        <f t="shared" si="8"/>
        <v>0</v>
      </c>
      <c r="J79" s="86">
        <v>100</v>
      </c>
      <c r="K79" s="86">
        <v>300</v>
      </c>
      <c r="L79" s="83">
        <f t="shared" si="0"/>
        <v>1274</v>
      </c>
      <c r="M79" s="94">
        <v>400</v>
      </c>
      <c r="N79" s="83">
        <f>30</f>
        <v>30</v>
      </c>
      <c r="O79" s="86">
        <v>240</v>
      </c>
      <c r="P79" s="86">
        <v>160</v>
      </c>
      <c r="Q79" s="86">
        <f t="shared" si="1"/>
        <v>195</v>
      </c>
      <c r="R79" s="86">
        <f t="shared" si="2"/>
        <v>100</v>
      </c>
      <c r="S79" s="83">
        <f t="shared" si="3"/>
        <v>695</v>
      </c>
      <c r="T79" s="83">
        <f>0</f>
        <v>0</v>
      </c>
      <c r="U79" s="84"/>
      <c r="V79" s="84"/>
      <c r="W79" s="84"/>
      <c r="X79" s="84"/>
      <c r="Y79" s="84"/>
      <c r="Z79" s="84"/>
      <c r="AA79" s="84"/>
      <c r="AB79" s="84"/>
      <c r="AC79" s="84"/>
      <c r="AD79" s="84"/>
    </row>
    <row r="80" spans="1:30" ht="15.75" x14ac:dyDescent="0.25">
      <c r="A80" s="13">
        <v>43344</v>
      </c>
      <c r="B80" s="97">
        <v>30</v>
      </c>
      <c r="C80" s="83">
        <f>194.205</f>
        <v>194.20500000000001</v>
      </c>
      <c r="D80" s="83">
        <f>267.466</f>
        <v>267.46600000000001</v>
      </c>
      <c r="E80" s="92">
        <f>133.845</f>
        <v>133.845</v>
      </c>
      <c r="F80" s="83">
        <f>278.484-40-25-60-100</f>
        <v>53.48399999999998</v>
      </c>
      <c r="G80" s="86">
        <v>40</v>
      </c>
      <c r="H80" s="83">
        <f t="shared" si="10"/>
        <v>185</v>
      </c>
      <c r="I80" s="83">
        <f t="shared" si="8"/>
        <v>0</v>
      </c>
      <c r="J80" s="86">
        <v>100</v>
      </c>
      <c r="K80" s="86">
        <v>300</v>
      </c>
      <c r="L80" s="83">
        <f t="shared" si="0"/>
        <v>1274</v>
      </c>
      <c r="M80" s="94">
        <v>400</v>
      </c>
      <c r="N80" s="83">
        <f>30</f>
        <v>30</v>
      </c>
      <c r="O80" s="86">
        <v>240</v>
      </c>
      <c r="P80" s="86">
        <v>160</v>
      </c>
      <c r="Q80" s="86">
        <f t="shared" si="1"/>
        <v>195</v>
      </c>
      <c r="R80" s="86">
        <f t="shared" si="2"/>
        <v>100</v>
      </c>
      <c r="S80" s="83">
        <f t="shared" si="3"/>
        <v>695</v>
      </c>
      <c r="T80" s="83">
        <f>0</f>
        <v>0</v>
      </c>
      <c r="U80" s="84"/>
      <c r="V80" s="84"/>
      <c r="W80" s="84"/>
      <c r="X80" s="84"/>
      <c r="Y80" s="84"/>
      <c r="Z80" s="84"/>
      <c r="AA80" s="84"/>
      <c r="AB80" s="84"/>
      <c r="AC80" s="84"/>
      <c r="AD80" s="84"/>
    </row>
    <row r="81" spans="1:30" ht="15.75" x14ac:dyDescent="0.25">
      <c r="A81" s="13">
        <v>43374</v>
      </c>
      <c r="B81" s="97">
        <v>31</v>
      </c>
      <c r="C81" s="83">
        <f>131.881</f>
        <v>131.881</v>
      </c>
      <c r="D81" s="83">
        <f>277.167</f>
        <v>277.16699999999997</v>
      </c>
      <c r="E81" s="92">
        <f>79.08</f>
        <v>79.08</v>
      </c>
      <c r="F81" s="83">
        <f>350.872-40-25-60-100</f>
        <v>125.87200000000001</v>
      </c>
      <c r="G81" s="86">
        <v>40</v>
      </c>
      <c r="H81" s="83">
        <f t="shared" si="10"/>
        <v>185</v>
      </c>
      <c r="I81" s="83">
        <f t="shared" si="8"/>
        <v>0</v>
      </c>
      <c r="J81" s="86">
        <v>100</v>
      </c>
      <c r="K81" s="86">
        <v>300</v>
      </c>
      <c r="L81" s="83">
        <f t="shared" si="0"/>
        <v>1239</v>
      </c>
      <c r="M81" s="94">
        <v>400</v>
      </c>
      <c r="N81" s="83">
        <f>75</f>
        <v>75</v>
      </c>
      <c r="O81" s="86">
        <v>240</v>
      </c>
      <c r="P81" s="86">
        <v>160</v>
      </c>
      <c r="Q81" s="86">
        <f t="shared" si="1"/>
        <v>195</v>
      </c>
      <c r="R81" s="86">
        <f t="shared" si="2"/>
        <v>100</v>
      </c>
      <c r="S81" s="83">
        <f t="shared" si="3"/>
        <v>695</v>
      </c>
      <c r="T81" s="83">
        <f>0</f>
        <v>0</v>
      </c>
      <c r="U81" s="84"/>
      <c r="V81" s="84"/>
      <c r="W81" s="84"/>
      <c r="X81" s="84"/>
      <c r="Y81" s="84"/>
      <c r="Z81" s="84"/>
      <c r="AA81" s="84"/>
      <c r="AB81" s="84"/>
      <c r="AC81" s="84"/>
      <c r="AD81" s="84"/>
    </row>
    <row r="82" spans="1:30" ht="15.75" x14ac:dyDescent="0.25">
      <c r="A82" s="13">
        <v>43405</v>
      </c>
      <c r="B82" s="97">
        <v>30</v>
      </c>
      <c r="C82" s="83">
        <f>122.58</f>
        <v>122.58</v>
      </c>
      <c r="D82" s="83">
        <f>297.941</f>
        <v>297.94099999999997</v>
      </c>
      <c r="E82" s="92">
        <f>89.177</f>
        <v>89.177000000000007</v>
      </c>
      <c r="F82" s="83">
        <f>240.302-40-60-100</f>
        <v>40.301999999999992</v>
      </c>
      <c r="G82" s="86">
        <v>40</v>
      </c>
      <c r="H82" s="83">
        <f>60+100</f>
        <v>160</v>
      </c>
      <c r="I82" s="83">
        <f t="shared" si="8"/>
        <v>0</v>
      </c>
      <c r="J82" s="86">
        <v>100</v>
      </c>
      <c r="K82" s="86">
        <v>300</v>
      </c>
      <c r="L82" s="83">
        <f t="shared" si="0"/>
        <v>1150</v>
      </c>
      <c r="M82" s="94">
        <v>400</v>
      </c>
      <c r="N82" s="83">
        <f>100</f>
        <v>100</v>
      </c>
      <c r="O82" s="86">
        <v>240</v>
      </c>
      <c r="P82" s="86">
        <v>40</v>
      </c>
      <c r="Q82" s="86">
        <f t="shared" si="1"/>
        <v>315</v>
      </c>
      <c r="R82" s="86">
        <f t="shared" si="2"/>
        <v>100</v>
      </c>
      <c r="S82" s="83">
        <f t="shared" si="3"/>
        <v>695</v>
      </c>
      <c r="T82" s="83">
        <f>50</f>
        <v>50</v>
      </c>
      <c r="U82" s="84"/>
      <c r="V82" s="84"/>
      <c r="W82" s="84"/>
      <c r="X82" s="84"/>
      <c r="Y82" s="84"/>
      <c r="Z82" s="84"/>
      <c r="AA82" s="84"/>
      <c r="AB82" s="84"/>
      <c r="AC82" s="84"/>
      <c r="AD82" s="84"/>
    </row>
    <row r="83" spans="1:30" ht="15.75" x14ac:dyDescent="0.25">
      <c r="A83" s="13">
        <v>43435</v>
      </c>
      <c r="B83" s="97">
        <v>31</v>
      </c>
      <c r="C83" s="83">
        <f>122.58</f>
        <v>122.58</v>
      </c>
      <c r="D83" s="83">
        <f>297.941</f>
        <v>297.94099999999997</v>
      </c>
      <c r="E83" s="92">
        <f>89.177</f>
        <v>89.177000000000007</v>
      </c>
      <c r="F83" s="83">
        <f>240.302-40-60-100</f>
        <v>40.301999999999992</v>
      </c>
      <c r="G83" s="86">
        <v>40</v>
      </c>
      <c r="H83" s="83">
        <f>60+100</f>
        <v>160</v>
      </c>
      <c r="I83" s="83">
        <f t="shared" si="8"/>
        <v>0</v>
      </c>
      <c r="J83" s="86">
        <v>100</v>
      </c>
      <c r="K83" s="86">
        <v>300</v>
      </c>
      <c r="L83" s="83">
        <f t="shared" si="0"/>
        <v>1150</v>
      </c>
      <c r="M83" s="94">
        <v>400</v>
      </c>
      <c r="N83" s="83">
        <f>100</f>
        <v>100</v>
      </c>
      <c r="O83" s="86">
        <v>240</v>
      </c>
      <c r="P83" s="86">
        <v>40</v>
      </c>
      <c r="Q83" s="86">
        <f t="shared" si="1"/>
        <v>315</v>
      </c>
      <c r="R83" s="86">
        <f t="shared" si="2"/>
        <v>100</v>
      </c>
      <c r="S83" s="83">
        <f t="shared" si="3"/>
        <v>695</v>
      </c>
      <c r="T83" s="83">
        <f>50</f>
        <v>50</v>
      </c>
      <c r="U83" s="84"/>
      <c r="V83" s="84"/>
      <c r="W83" s="84"/>
      <c r="X83" s="84"/>
      <c r="Y83" s="84"/>
      <c r="Z83" s="84"/>
      <c r="AA83" s="84"/>
      <c r="AB83" s="84"/>
      <c r="AC83" s="84"/>
      <c r="AD83" s="84"/>
    </row>
    <row r="84" spans="1:30" ht="15.75" x14ac:dyDescent="0.25">
      <c r="A84" s="13">
        <v>43466</v>
      </c>
      <c r="B84" s="97">
        <v>31</v>
      </c>
      <c r="C84" s="83">
        <f>122.58</f>
        <v>122.58</v>
      </c>
      <c r="D84" s="83">
        <f>297.941</f>
        <v>297.94099999999997</v>
      </c>
      <c r="E84" s="92">
        <f>89.177</f>
        <v>89.177000000000007</v>
      </c>
      <c r="F84" s="83">
        <f>240.302-40-60-100</f>
        <v>40.301999999999992</v>
      </c>
      <c r="G84" s="86">
        <v>40</v>
      </c>
      <c r="H84" s="83">
        <f>60+100</f>
        <v>160</v>
      </c>
      <c r="I84" s="83">
        <f t="shared" si="8"/>
        <v>0</v>
      </c>
      <c r="J84" s="86">
        <v>100</v>
      </c>
      <c r="K84" s="86">
        <v>300</v>
      </c>
      <c r="L84" s="83">
        <f t="shared" si="0"/>
        <v>1150</v>
      </c>
      <c r="M84" s="94">
        <v>400</v>
      </c>
      <c r="N84" s="83">
        <f>100</f>
        <v>100</v>
      </c>
      <c r="O84" s="86">
        <v>240</v>
      </c>
      <c r="P84" s="86">
        <v>40</v>
      </c>
      <c r="Q84" s="86">
        <f t="shared" si="1"/>
        <v>315</v>
      </c>
      <c r="R84" s="86">
        <f t="shared" si="2"/>
        <v>100</v>
      </c>
      <c r="S84" s="83">
        <f t="shared" si="3"/>
        <v>695</v>
      </c>
      <c r="T84" s="83">
        <f>50</f>
        <v>50</v>
      </c>
      <c r="U84" s="84"/>
      <c r="V84" s="84"/>
      <c r="W84" s="84"/>
      <c r="X84" s="84"/>
      <c r="Y84" s="84"/>
      <c r="Z84" s="84"/>
      <c r="AA84" s="84"/>
      <c r="AB84" s="84"/>
      <c r="AC84" s="84"/>
      <c r="AD84" s="84"/>
    </row>
    <row r="85" spans="1:30" ht="15.75" x14ac:dyDescent="0.25">
      <c r="A85" s="13">
        <v>43497</v>
      </c>
      <c r="B85" s="97">
        <v>28</v>
      </c>
      <c r="C85" s="83">
        <f>122.58</f>
        <v>122.58</v>
      </c>
      <c r="D85" s="83">
        <f>297.941</f>
        <v>297.94099999999997</v>
      </c>
      <c r="E85" s="92">
        <f>89.177</f>
        <v>89.177000000000007</v>
      </c>
      <c r="F85" s="83">
        <f>240.302-40-60-100</f>
        <v>40.301999999999992</v>
      </c>
      <c r="G85" s="86">
        <v>40</v>
      </c>
      <c r="H85" s="83">
        <f>60+100</f>
        <v>160</v>
      </c>
      <c r="I85" s="83">
        <f t="shared" si="8"/>
        <v>0</v>
      </c>
      <c r="J85" s="86">
        <v>100</v>
      </c>
      <c r="K85" s="86">
        <v>300</v>
      </c>
      <c r="L85" s="83">
        <f t="shared" si="0"/>
        <v>1150</v>
      </c>
      <c r="M85" s="94">
        <v>400</v>
      </c>
      <c r="N85" s="83">
        <f>100</f>
        <v>100</v>
      </c>
      <c r="O85" s="86">
        <v>240</v>
      </c>
      <c r="P85" s="86">
        <v>40</v>
      </c>
      <c r="Q85" s="86">
        <f t="shared" si="1"/>
        <v>315</v>
      </c>
      <c r="R85" s="86">
        <f t="shared" si="2"/>
        <v>100</v>
      </c>
      <c r="S85" s="83">
        <f t="shared" si="3"/>
        <v>695</v>
      </c>
      <c r="T85" s="83">
        <f>50</f>
        <v>50</v>
      </c>
      <c r="U85" s="84"/>
      <c r="V85" s="84"/>
      <c r="W85" s="84"/>
      <c r="X85" s="84"/>
      <c r="Y85" s="84"/>
      <c r="Z85" s="84"/>
      <c r="AA85" s="84"/>
      <c r="AB85" s="84"/>
      <c r="AC85" s="84"/>
      <c r="AD85" s="84"/>
    </row>
    <row r="86" spans="1:30" ht="15.75" x14ac:dyDescent="0.25">
      <c r="A86" s="13">
        <v>43525</v>
      </c>
      <c r="B86" s="97">
        <v>31</v>
      </c>
      <c r="C86" s="83">
        <f>122.58</f>
        <v>122.58</v>
      </c>
      <c r="D86" s="83">
        <f>297.941</f>
        <v>297.94099999999997</v>
      </c>
      <c r="E86" s="92">
        <f>89.177</f>
        <v>89.177000000000007</v>
      </c>
      <c r="F86" s="83">
        <f>240.302-40-60-100</f>
        <v>40.301999999999992</v>
      </c>
      <c r="G86" s="86">
        <v>40</v>
      </c>
      <c r="H86" s="83">
        <f>60+100</f>
        <v>160</v>
      </c>
      <c r="I86" s="83">
        <f t="shared" si="8"/>
        <v>0</v>
      </c>
      <c r="J86" s="86">
        <v>100</v>
      </c>
      <c r="K86" s="86">
        <v>300</v>
      </c>
      <c r="L86" s="83">
        <f t="shared" ref="L86:L149" si="11">SUM(C86:K86)</f>
        <v>1150</v>
      </c>
      <c r="M86" s="94">
        <v>400</v>
      </c>
      <c r="N86" s="83">
        <f>100</f>
        <v>100</v>
      </c>
      <c r="O86" s="86">
        <v>240</v>
      </c>
      <c r="P86" s="86">
        <v>40</v>
      </c>
      <c r="Q86" s="86">
        <f t="shared" ref="Q86:Q149" si="12">695-R86-O86-P86</f>
        <v>315</v>
      </c>
      <c r="R86" s="86">
        <f t="shared" ref="R86:R149" si="13">200-J86</f>
        <v>100</v>
      </c>
      <c r="S86" s="83">
        <f t="shared" ref="S86:S149" si="14">SUM(O86:R86)</f>
        <v>695</v>
      </c>
      <c r="T86" s="83">
        <f>50</f>
        <v>50</v>
      </c>
      <c r="U86" s="84"/>
      <c r="V86" s="84"/>
      <c r="W86" s="84"/>
      <c r="X86" s="84"/>
      <c r="Y86" s="84"/>
      <c r="Z86" s="84"/>
      <c r="AA86" s="84"/>
      <c r="AB86" s="84"/>
      <c r="AC86" s="84"/>
      <c r="AD86" s="84"/>
    </row>
    <row r="87" spans="1:30" ht="15.75" x14ac:dyDescent="0.25">
      <c r="A87" s="13">
        <v>43556</v>
      </c>
      <c r="B87" s="97">
        <v>30</v>
      </c>
      <c r="C87" s="83">
        <f>141.293</f>
        <v>141.29300000000001</v>
      </c>
      <c r="D87" s="83">
        <f>267.993</f>
        <v>267.99299999999999</v>
      </c>
      <c r="E87" s="92">
        <f>115.016</f>
        <v>115.01600000000001</v>
      </c>
      <c r="F87" s="83">
        <f>314.698-40-25-60-100</f>
        <v>89.697999999999979</v>
      </c>
      <c r="G87" s="86">
        <v>40</v>
      </c>
      <c r="H87" s="83">
        <f t="shared" ref="H87:H93" si="15">25+60+100</f>
        <v>185</v>
      </c>
      <c r="I87" s="83">
        <f t="shared" si="8"/>
        <v>0</v>
      </c>
      <c r="J87" s="86">
        <v>100</v>
      </c>
      <c r="K87" s="86">
        <v>300</v>
      </c>
      <c r="L87" s="83">
        <f t="shared" si="11"/>
        <v>1239</v>
      </c>
      <c r="M87" s="94">
        <v>400</v>
      </c>
      <c r="N87" s="83">
        <f>100</f>
        <v>100</v>
      </c>
      <c r="O87" s="86">
        <v>240</v>
      </c>
      <c r="P87" s="86">
        <v>160</v>
      </c>
      <c r="Q87" s="86">
        <f t="shared" si="12"/>
        <v>195</v>
      </c>
      <c r="R87" s="86">
        <f t="shared" si="13"/>
        <v>100</v>
      </c>
      <c r="S87" s="83">
        <f t="shared" si="14"/>
        <v>695</v>
      </c>
      <c r="T87" s="83">
        <f>50</f>
        <v>50</v>
      </c>
      <c r="U87" s="84"/>
      <c r="V87" s="84"/>
      <c r="W87" s="84"/>
      <c r="X87" s="84"/>
      <c r="Y87" s="84"/>
      <c r="Z87" s="84"/>
      <c r="AA87" s="84"/>
      <c r="AB87" s="84"/>
      <c r="AC87" s="84"/>
      <c r="AD87" s="84"/>
    </row>
    <row r="88" spans="1:30" ht="15.75" x14ac:dyDescent="0.25">
      <c r="A88" s="13">
        <v>43586</v>
      </c>
      <c r="B88" s="97">
        <v>31</v>
      </c>
      <c r="C88" s="83">
        <f>194.205</f>
        <v>194.20500000000001</v>
      </c>
      <c r="D88" s="83">
        <f>267.466</f>
        <v>267.46600000000001</v>
      </c>
      <c r="E88" s="92">
        <f>133.845</f>
        <v>133.845</v>
      </c>
      <c r="F88" s="83">
        <f>278.484-40-25-60-100</f>
        <v>53.48399999999998</v>
      </c>
      <c r="G88" s="86">
        <v>40</v>
      </c>
      <c r="H88" s="83">
        <f t="shared" si="15"/>
        <v>185</v>
      </c>
      <c r="I88" s="83">
        <f t="shared" si="8"/>
        <v>0</v>
      </c>
      <c r="J88" s="86">
        <v>100</v>
      </c>
      <c r="K88" s="86">
        <v>300</v>
      </c>
      <c r="L88" s="83">
        <f t="shared" si="11"/>
        <v>1274</v>
      </c>
      <c r="M88" s="94">
        <v>400</v>
      </c>
      <c r="N88" s="83">
        <f>75</f>
        <v>75</v>
      </c>
      <c r="O88" s="86">
        <v>240</v>
      </c>
      <c r="P88" s="86">
        <v>160</v>
      </c>
      <c r="Q88" s="86">
        <f t="shared" si="12"/>
        <v>195</v>
      </c>
      <c r="R88" s="86">
        <f t="shared" si="13"/>
        <v>100</v>
      </c>
      <c r="S88" s="83">
        <f t="shared" si="14"/>
        <v>695</v>
      </c>
      <c r="T88" s="83">
        <f>50</f>
        <v>50</v>
      </c>
      <c r="U88" s="84"/>
      <c r="V88" s="84"/>
      <c r="W88" s="84"/>
      <c r="X88" s="84"/>
      <c r="Y88" s="84"/>
      <c r="Z88" s="84"/>
      <c r="AA88" s="84"/>
      <c r="AB88" s="84"/>
      <c r="AC88" s="84"/>
      <c r="AD88" s="84"/>
    </row>
    <row r="89" spans="1:30" ht="15.75" x14ac:dyDescent="0.25">
      <c r="A89" s="13">
        <v>43617</v>
      </c>
      <c r="B89" s="97">
        <v>30</v>
      </c>
      <c r="C89" s="83">
        <f>194.205</f>
        <v>194.20500000000001</v>
      </c>
      <c r="D89" s="83">
        <f>267.466</f>
        <v>267.46600000000001</v>
      </c>
      <c r="E89" s="92">
        <f>133.845</f>
        <v>133.845</v>
      </c>
      <c r="F89" s="83">
        <f>278.484-40-25-60-100</f>
        <v>53.48399999999998</v>
      </c>
      <c r="G89" s="86">
        <v>40</v>
      </c>
      <c r="H89" s="83">
        <f t="shared" si="15"/>
        <v>185</v>
      </c>
      <c r="I89" s="83">
        <f t="shared" si="8"/>
        <v>0</v>
      </c>
      <c r="J89" s="86">
        <v>100</v>
      </c>
      <c r="K89" s="86">
        <v>300</v>
      </c>
      <c r="L89" s="83">
        <f t="shared" si="11"/>
        <v>1274</v>
      </c>
      <c r="M89" s="94">
        <v>400</v>
      </c>
      <c r="N89" s="83">
        <f>30</f>
        <v>30</v>
      </c>
      <c r="O89" s="86">
        <v>240</v>
      </c>
      <c r="P89" s="86">
        <v>160</v>
      </c>
      <c r="Q89" s="86">
        <f t="shared" si="12"/>
        <v>195</v>
      </c>
      <c r="R89" s="86">
        <f t="shared" si="13"/>
        <v>100</v>
      </c>
      <c r="S89" s="83">
        <f t="shared" si="14"/>
        <v>695</v>
      </c>
      <c r="T89" s="83">
        <f>50</f>
        <v>50</v>
      </c>
      <c r="U89" s="84"/>
      <c r="V89" s="84"/>
      <c r="W89" s="84"/>
      <c r="X89" s="84"/>
      <c r="Y89" s="84"/>
      <c r="Z89" s="84"/>
      <c r="AA89" s="84"/>
      <c r="AB89" s="84"/>
      <c r="AC89" s="84"/>
      <c r="AD89" s="84"/>
    </row>
    <row r="90" spans="1:30" ht="15.75" x14ac:dyDescent="0.25">
      <c r="A90" s="13">
        <v>43647</v>
      </c>
      <c r="B90" s="97">
        <v>31</v>
      </c>
      <c r="C90" s="83">
        <f>194.205</f>
        <v>194.20500000000001</v>
      </c>
      <c r="D90" s="83">
        <f>267.466</f>
        <v>267.46600000000001</v>
      </c>
      <c r="E90" s="92">
        <f>133.845</f>
        <v>133.845</v>
      </c>
      <c r="F90" s="83">
        <f>278.484-40-25-60-100</f>
        <v>53.48399999999998</v>
      </c>
      <c r="G90" s="86">
        <v>40</v>
      </c>
      <c r="H90" s="83">
        <f t="shared" si="15"/>
        <v>185</v>
      </c>
      <c r="I90" s="83">
        <f t="shared" si="8"/>
        <v>0</v>
      </c>
      <c r="J90" s="86">
        <v>100</v>
      </c>
      <c r="K90" s="86">
        <v>300</v>
      </c>
      <c r="L90" s="83">
        <f t="shared" si="11"/>
        <v>1274</v>
      </c>
      <c r="M90" s="94">
        <v>400</v>
      </c>
      <c r="N90" s="83">
        <f>30</f>
        <v>30</v>
      </c>
      <c r="O90" s="86">
        <v>240</v>
      </c>
      <c r="P90" s="86">
        <v>160</v>
      </c>
      <c r="Q90" s="86">
        <f t="shared" si="12"/>
        <v>195</v>
      </c>
      <c r="R90" s="86">
        <f t="shared" si="13"/>
        <v>100</v>
      </c>
      <c r="S90" s="83">
        <f t="shared" si="14"/>
        <v>695</v>
      </c>
      <c r="T90" s="83">
        <f>0</f>
        <v>0</v>
      </c>
      <c r="U90" s="84"/>
      <c r="V90" s="84"/>
      <c r="W90" s="84"/>
      <c r="X90" s="84"/>
      <c r="Y90" s="84"/>
      <c r="Z90" s="84"/>
      <c r="AA90" s="84"/>
      <c r="AB90" s="84"/>
      <c r="AC90" s="84"/>
      <c r="AD90" s="84"/>
    </row>
    <row r="91" spans="1:30" ht="15.75" x14ac:dyDescent="0.25">
      <c r="A91" s="13">
        <v>43678</v>
      </c>
      <c r="B91" s="97">
        <v>31</v>
      </c>
      <c r="C91" s="83">
        <f>194.205</f>
        <v>194.20500000000001</v>
      </c>
      <c r="D91" s="83">
        <f>267.466</f>
        <v>267.46600000000001</v>
      </c>
      <c r="E91" s="92">
        <f>133.845</f>
        <v>133.845</v>
      </c>
      <c r="F91" s="83">
        <f>278.484-40-25-60-100</f>
        <v>53.48399999999998</v>
      </c>
      <c r="G91" s="86">
        <v>40</v>
      </c>
      <c r="H91" s="83">
        <f t="shared" si="15"/>
        <v>185</v>
      </c>
      <c r="I91" s="83">
        <f t="shared" si="8"/>
        <v>0</v>
      </c>
      <c r="J91" s="86">
        <v>100</v>
      </c>
      <c r="K91" s="86">
        <v>300</v>
      </c>
      <c r="L91" s="83">
        <f t="shared" si="11"/>
        <v>1274</v>
      </c>
      <c r="M91" s="94">
        <v>400</v>
      </c>
      <c r="N91" s="83">
        <f>30</f>
        <v>30</v>
      </c>
      <c r="O91" s="86">
        <v>240</v>
      </c>
      <c r="P91" s="86">
        <v>160</v>
      </c>
      <c r="Q91" s="86">
        <f t="shared" si="12"/>
        <v>195</v>
      </c>
      <c r="R91" s="86">
        <f t="shared" si="13"/>
        <v>100</v>
      </c>
      <c r="S91" s="83">
        <f t="shared" si="14"/>
        <v>695</v>
      </c>
      <c r="T91" s="83">
        <f>0</f>
        <v>0</v>
      </c>
      <c r="U91" s="84"/>
      <c r="V91" s="84"/>
      <c r="W91" s="84"/>
      <c r="X91" s="84"/>
      <c r="Y91" s="84"/>
      <c r="Z91" s="84"/>
      <c r="AA91" s="84"/>
      <c r="AB91" s="84"/>
      <c r="AC91" s="84"/>
      <c r="AD91" s="84"/>
    </row>
    <row r="92" spans="1:30" ht="15.75" x14ac:dyDescent="0.25">
      <c r="A92" s="13">
        <v>43709</v>
      </c>
      <c r="B92" s="97">
        <v>30</v>
      </c>
      <c r="C92" s="83">
        <f>194.205</f>
        <v>194.20500000000001</v>
      </c>
      <c r="D92" s="83">
        <f>267.466</f>
        <v>267.46600000000001</v>
      </c>
      <c r="E92" s="92">
        <f>133.845</f>
        <v>133.845</v>
      </c>
      <c r="F92" s="83">
        <f>278.484-40-25-60-100</f>
        <v>53.48399999999998</v>
      </c>
      <c r="G92" s="86">
        <v>40</v>
      </c>
      <c r="H92" s="83">
        <f t="shared" si="15"/>
        <v>185</v>
      </c>
      <c r="I92" s="83">
        <f t="shared" si="8"/>
        <v>0</v>
      </c>
      <c r="J92" s="86">
        <v>100</v>
      </c>
      <c r="K92" s="86">
        <v>300</v>
      </c>
      <c r="L92" s="83">
        <f t="shared" si="11"/>
        <v>1274</v>
      </c>
      <c r="M92" s="94">
        <v>400</v>
      </c>
      <c r="N92" s="83">
        <f>30</f>
        <v>30</v>
      </c>
      <c r="O92" s="86">
        <v>240</v>
      </c>
      <c r="P92" s="86">
        <v>160</v>
      </c>
      <c r="Q92" s="86">
        <f t="shared" si="12"/>
        <v>195</v>
      </c>
      <c r="R92" s="86">
        <f t="shared" si="13"/>
        <v>100</v>
      </c>
      <c r="S92" s="83">
        <f t="shared" si="14"/>
        <v>695</v>
      </c>
      <c r="T92" s="83">
        <f>0</f>
        <v>0</v>
      </c>
      <c r="U92" s="84"/>
      <c r="V92" s="84"/>
      <c r="W92" s="84"/>
      <c r="X92" s="84"/>
      <c r="Y92" s="84"/>
      <c r="Z92" s="84"/>
      <c r="AA92" s="84"/>
      <c r="AB92" s="84"/>
      <c r="AC92" s="84"/>
      <c r="AD92" s="84"/>
    </row>
    <row r="93" spans="1:30" ht="15.75" x14ac:dyDescent="0.25">
      <c r="A93" s="13">
        <v>43739</v>
      </c>
      <c r="B93" s="97">
        <v>31</v>
      </c>
      <c r="C93" s="83">
        <f>131.881</f>
        <v>131.881</v>
      </c>
      <c r="D93" s="83">
        <f>277.167</f>
        <v>277.16699999999997</v>
      </c>
      <c r="E93" s="92">
        <f>79.08</f>
        <v>79.08</v>
      </c>
      <c r="F93" s="83">
        <f>350.872-40-25-60-100</f>
        <v>125.87200000000001</v>
      </c>
      <c r="G93" s="86">
        <v>40</v>
      </c>
      <c r="H93" s="83">
        <f t="shared" si="15"/>
        <v>185</v>
      </c>
      <c r="I93" s="83">
        <f t="shared" si="8"/>
        <v>0</v>
      </c>
      <c r="J93" s="86">
        <v>100</v>
      </c>
      <c r="K93" s="86">
        <v>300</v>
      </c>
      <c r="L93" s="83">
        <f t="shared" si="11"/>
        <v>1239</v>
      </c>
      <c r="M93" s="94">
        <v>400</v>
      </c>
      <c r="N93" s="83">
        <f>75</f>
        <v>75</v>
      </c>
      <c r="O93" s="86">
        <v>240</v>
      </c>
      <c r="P93" s="86">
        <v>160</v>
      </c>
      <c r="Q93" s="86">
        <f t="shared" si="12"/>
        <v>195</v>
      </c>
      <c r="R93" s="86">
        <f t="shared" si="13"/>
        <v>100</v>
      </c>
      <c r="S93" s="83">
        <f t="shared" si="14"/>
        <v>695</v>
      </c>
      <c r="T93" s="83">
        <f>0</f>
        <v>0</v>
      </c>
      <c r="U93" s="84"/>
      <c r="V93" s="84"/>
      <c r="W93" s="84"/>
      <c r="X93" s="84"/>
      <c r="Y93" s="84"/>
      <c r="Z93" s="84"/>
      <c r="AA93" s="84"/>
      <c r="AB93" s="84"/>
      <c r="AC93" s="84"/>
      <c r="AD93" s="84"/>
    </row>
    <row r="94" spans="1:30" ht="15.75" x14ac:dyDescent="0.25">
      <c r="A94" s="13">
        <v>43770</v>
      </c>
      <c r="B94" s="97">
        <v>30</v>
      </c>
      <c r="C94" s="83">
        <f>122.58</f>
        <v>122.58</v>
      </c>
      <c r="D94" s="83">
        <f>297.941</f>
        <v>297.94099999999997</v>
      </c>
      <c r="E94" s="92">
        <f>89.177</f>
        <v>89.177000000000007</v>
      </c>
      <c r="F94" s="83">
        <f>240.302-40-60-100</f>
        <v>40.301999999999992</v>
      </c>
      <c r="G94" s="86">
        <v>40</v>
      </c>
      <c r="H94" s="83">
        <f>60+100</f>
        <v>160</v>
      </c>
      <c r="I94" s="83">
        <f t="shared" si="8"/>
        <v>0</v>
      </c>
      <c r="J94" s="86">
        <v>100</v>
      </c>
      <c r="K94" s="86">
        <v>300</v>
      </c>
      <c r="L94" s="83">
        <f t="shared" si="11"/>
        <v>1150</v>
      </c>
      <c r="M94" s="94">
        <v>400</v>
      </c>
      <c r="N94" s="83">
        <f>100</f>
        <v>100</v>
      </c>
      <c r="O94" s="86">
        <v>240</v>
      </c>
      <c r="P94" s="86">
        <v>40</v>
      </c>
      <c r="Q94" s="86">
        <f t="shared" si="12"/>
        <v>315</v>
      </c>
      <c r="R94" s="86">
        <f t="shared" si="13"/>
        <v>100</v>
      </c>
      <c r="S94" s="83">
        <f t="shared" si="14"/>
        <v>695</v>
      </c>
      <c r="T94" s="83">
        <f>50</f>
        <v>50</v>
      </c>
      <c r="U94" s="84"/>
      <c r="V94" s="84"/>
      <c r="W94" s="84"/>
      <c r="X94" s="84"/>
      <c r="Y94" s="84"/>
      <c r="Z94" s="84"/>
      <c r="AA94" s="84"/>
      <c r="AB94" s="84"/>
      <c r="AC94" s="84"/>
      <c r="AD94" s="84"/>
    </row>
    <row r="95" spans="1:30" ht="15.75" x14ac:dyDescent="0.25">
      <c r="A95" s="13">
        <v>43800</v>
      </c>
      <c r="B95" s="97">
        <v>31</v>
      </c>
      <c r="C95" s="83">
        <f>122.58</f>
        <v>122.58</v>
      </c>
      <c r="D95" s="83">
        <f>297.941</f>
        <v>297.94099999999997</v>
      </c>
      <c r="E95" s="92">
        <f>89.177</f>
        <v>89.177000000000007</v>
      </c>
      <c r="F95" s="83">
        <f>240.302-40-60-100</f>
        <v>40.301999999999992</v>
      </c>
      <c r="G95" s="86">
        <v>40</v>
      </c>
      <c r="H95" s="83">
        <f>60+100</f>
        <v>160</v>
      </c>
      <c r="I95" s="83">
        <f t="shared" si="8"/>
        <v>0</v>
      </c>
      <c r="J95" s="86">
        <v>100</v>
      </c>
      <c r="K95" s="86">
        <v>300</v>
      </c>
      <c r="L95" s="83">
        <f t="shared" si="11"/>
        <v>1150</v>
      </c>
      <c r="M95" s="94">
        <v>400</v>
      </c>
      <c r="N95" s="83">
        <f>100</f>
        <v>100</v>
      </c>
      <c r="O95" s="86">
        <v>240</v>
      </c>
      <c r="P95" s="86">
        <v>40</v>
      </c>
      <c r="Q95" s="86">
        <f t="shared" si="12"/>
        <v>315</v>
      </c>
      <c r="R95" s="86">
        <f t="shared" si="13"/>
        <v>100</v>
      </c>
      <c r="S95" s="83">
        <f t="shared" si="14"/>
        <v>695</v>
      </c>
      <c r="T95" s="83">
        <f>50</f>
        <v>50</v>
      </c>
      <c r="U95" s="84"/>
      <c r="V95" s="84"/>
      <c r="W95" s="84"/>
      <c r="X95" s="84"/>
      <c r="Y95" s="84"/>
      <c r="Z95" s="84"/>
      <c r="AA95" s="84"/>
      <c r="AB95" s="84"/>
      <c r="AC95" s="84"/>
      <c r="AD95" s="84"/>
    </row>
    <row r="96" spans="1:30" ht="15.75" x14ac:dyDescent="0.25">
      <c r="A96" s="13">
        <v>43831</v>
      </c>
      <c r="B96" s="97">
        <v>31</v>
      </c>
      <c r="C96" s="83">
        <f>122.58</f>
        <v>122.58</v>
      </c>
      <c r="D96" s="83">
        <f>297.941</f>
        <v>297.94099999999997</v>
      </c>
      <c r="E96" s="92">
        <f>89.177</f>
        <v>89.177000000000007</v>
      </c>
      <c r="F96" s="83">
        <f>240.302-40-60-100</f>
        <v>40.301999999999992</v>
      </c>
      <c r="G96" s="86">
        <v>40</v>
      </c>
      <c r="H96" s="83">
        <f>60+100</f>
        <v>160</v>
      </c>
      <c r="I96" s="83">
        <f t="shared" si="8"/>
        <v>0</v>
      </c>
      <c r="J96" s="86">
        <v>100</v>
      </c>
      <c r="K96" s="86">
        <v>300</v>
      </c>
      <c r="L96" s="83">
        <f t="shared" si="11"/>
        <v>1150</v>
      </c>
      <c r="M96" s="94">
        <v>400</v>
      </c>
      <c r="N96" s="83">
        <f>100</f>
        <v>100</v>
      </c>
      <c r="O96" s="86">
        <v>240</v>
      </c>
      <c r="P96" s="86">
        <v>40</v>
      </c>
      <c r="Q96" s="86">
        <f t="shared" si="12"/>
        <v>315</v>
      </c>
      <c r="R96" s="86">
        <f t="shared" si="13"/>
        <v>100</v>
      </c>
      <c r="S96" s="83">
        <f t="shared" si="14"/>
        <v>695</v>
      </c>
      <c r="T96" s="83">
        <f>50</f>
        <v>50</v>
      </c>
      <c r="U96" s="84"/>
      <c r="V96" s="84"/>
      <c r="W96" s="84"/>
      <c r="X96" s="84"/>
      <c r="Y96" s="84"/>
      <c r="Z96" s="84"/>
      <c r="AA96" s="84"/>
      <c r="AB96" s="84"/>
      <c r="AC96" s="84"/>
      <c r="AD96" s="84"/>
    </row>
    <row r="97" spans="1:30" ht="15.75" x14ac:dyDescent="0.25">
      <c r="A97" s="13">
        <v>43862</v>
      </c>
      <c r="B97" s="97">
        <v>29</v>
      </c>
      <c r="C97" s="83">
        <f>122.58</f>
        <v>122.58</v>
      </c>
      <c r="D97" s="83">
        <f>297.941</f>
        <v>297.94099999999997</v>
      </c>
      <c r="E97" s="92">
        <f>89.177</f>
        <v>89.177000000000007</v>
      </c>
      <c r="F97" s="83">
        <f>240.302-40-60-100</f>
        <v>40.301999999999992</v>
      </c>
      <c r="G97" s="86">
        <v>40</v>
      </c>
      <c r="H97" s="83">
        <f>60+100</f>
        <v>160</v>
      </c>
      <c r="I97" s="83">
        <f t="shared" si="8"/>
        <v>0</v>
      </c>
      <c r="J97" s="86">
        <v>100</v>
      </c>
      <c r="K97" s="86">
        <v>300</v>
      </c>
      <c r="L97" s="83">
        <f t="shared" si="11"/>
        <v>1150</v>
      </c>
      <c r="M97" s="94">
        <v>400</v>
      </c>
      <c r="N97" s="83">
        <f>100</f>
        <v>100</v>
      </c>
      <c r="O97" s="86">
        <v>240</v>
      </c>
      <c r="P97" s="86">
        <v>40</v>
      </c>
      <c r="Q97" s="86">
        <f t="shared" si="12"/>
        <v>315</v>
      </c>
      <c r="R97" s="86">
        <f t="shared" si="13"/>
        <v>100</v>
      </c>
      <c r="S97" s="83">
        <f t="shared" si="14"/>
        <v>695</v>
      </c>
      <c r="T97" s="83">
        <f>50</f>
        <v>50</v>
      </c>
      <c r="U97" s="84"/>
      <c r="V97" s="84"/>
      <c r="W97" s="84"/>
      <c r="X97" s="84"/>
      <c r="Y97" s="84"/>
      <c r="Z97" s="84"/>
      <c r="AA97" s="84"/>
      <c r="AB97" s="84"/>
      <c r="AC97" s="84"/>
      <c r="AD97" s="84"/>
    </row>
    <row r="98" spans="1:30" ht="15.75" x14ac:dyDescent="0.25">
      <c r="A98" s="13">
        <v>43891</v>
      </c>
      <c r="B98" s="97">
        <v>31</v>
      </c>
      <c r="C98" s="83">
        <f>122.58</f>
        <v>122.58</v>
      </c>
      <c r="D98" s="83">
        <f>297.941</f>
        <v>297.94099999999997</v>
      </c>
      <c r="E98" s="92">
        <f>89.177</f>
        <v>89.177000000000007</v>
      </c>
      <c r="F98" s="83">
        <f>240.302-40-60-100</f>
        <v>40.301999999999992</v>
      </c>
      <c r="G98" s="86">
        <v>40</v>
      </c>
      <c r="H98" s="83">
        <f>60+100</f>
        <v>160</v>
      </c>
      <c r="I98" s="83">
        <f t="shared" si="8"/>
        <v>0</v>
      </c>
      <c r="J98" s="86">
        <v>100</v>
      </c>
      <c r="K98" s="86">
        <v>300</v>
      </c>
      <c r="L98" s="83">
        <f t="shared" si="11"/>
        <v>1150</v>
      </c>
      <c r="M98" s="94">
        <v>400</v>
      </c>
      <c r="N98" s="83">
        <f>100</f>
        <v>100</v>
      </c>
      <c r="O98" s="86">
        <v>240</v>
      </c>
      <c r="P98" s="86">
        <v>40</v>
      </c>
      <c r="Q98" s="86">
        <f t="shared" si="12"/>
        <v>315</v>
      </c>
      <c r="R98" s="86">
        <f t="shared" si="13"/>
        <v>100</v>
      </c>
      <c r="S98" s="83">
        <f t="shared" si="14"/>
        <v>695</v>
      </c>
      <c r="T98" s="83">
        <f>50</f>
        <v>50</v>
      </c>
      <c r="U98" s="84"/>
      <c r="V98" s="84"/>
      <c r="W98" s="84"/>
      <c r="X98" s="84"/>
      <c r="Y98" s="84"/>
      <c r="Z98" s="84"/>
      <c r="AA98" s="84"/>
      <c r="AB98" s="84"/>
      <c r="AC98" s="84"/>
      <c r="AD98" s="84"/>
    </row>
    <row r="99" spans="1:30" ht="15.75" x14ac:dyDescent="0.25">
      <c r="A99" s="13">
        <v>43922</v>
      </c>
      <c r="B99" s="97">
        <v>30</v>
      </c>
      <c r="C99" s="83">
        <f>141.293</f>
        <v>141.29300000000001</v>
      </c>
      <c r="D99" s="83">
        <f>267.993</f>
        <v>267.99299999999999</v>
      </c>
      <c r="E99" s="92">
        <f>115.016</f>
        <v>115.01600000000001</v>
      </c>
      <c r="F99" s="83">
        <f>314.698-40-25-60-100</f>
        <v>89.697999999999979</v>
      </c>
      <c r="G99" s="86">
        <v>40</v>
      </c>
      <c r="H99" s="83">
        <f t="shared" ref="H99:H105" si="16">25+60+100</f>
        <v>185</v>
      </c>
      <c r="I99" s="83">
        <f t="shared" si="8"/>
        <v>0</v>
      </c>
      <c r="J99" s="86">
        <v>100</v>
      </c>
      <c r="K99" s="86">
        <v>300</v>
      </c>
      <c r="L99" s="83">
        <f t="shared" si="11"/>
        <v>1239</v>
      </c>
      <c r="M99" s="94">
        <v>400</v>
      </c>
      <c r="N99" s="83">
        <f>100</f>
        <v>100</v>
      </c>
      <c r="O99" s="86">
        <v>240</v>
      </c>
      <c r="P99" s="86">
        <v>160</v>
      </c>
      <c r="Q99" s="86">
        <f t="shared" si="12"/>
        <v>195</v>
      </c>
      <c r="R99" s="86">
        <f t="shared" si="13"/>
        <v>100</v>
      </c>
      <c r="S99" s="83">
        <f t="shared" si="14"/>
        <v>695</v>
      </c>
      <c r="T99" s="83">
        <f>50</f>
        <v>50</v>
      </c>
      <c r="U99" s="84"/>
      <c r="V99" s="84"/>
      <c r="W99" s="84"/>
      <c r="X99" s="84"/>
      <c r="Y99" s="84"/>
      <c r="Z99" s="84"/>
      <c r="AA99" s="84"/>
      <c r="AB99" s="84"/>
      <c r="AC99" s="84"/>
      <c r="AD99" s="84"/>
    </row>
    <row r="100" spans="1:30" ht="15.75" x14ac:dyDescent="0.25">
      <c r="A100" s="13">
        <v>43952</v>
      </c>
      <c r="B100" s="97">
        <v>31</v>
      </c>
      <c r="C100" s="83">
        <f>194.205</f>
        <v>194.20500000000001</v>
      </c>
      <c r="D100" s="83">
        <f>267.466</f>
        <v>267.46600000000001</v>
      </c>
      <c r="E100" s="92">
        <f>133.845</f>
        <v>133.845</v>
      </c>
      <c r="F100" s="83">
        <f>278.484-40-25-60-100</f>
        <v>53.48399999999998</v>
      </c>
      <c r="G100" s="86">
        <v>40</v>
      </c>
      <c r="H100" s="83">
        <f t="shared" si="16"/>
        <v>185</v>
      </c>
      <c r="I100" s="83">
        <f t="shared" si="8"/>
        <v>0</v>
      </c>
      <c r="J100" s="86">
        <v>100</v>
      </c>
      <c r="K100" s="86">
        <v>300</v>
      </c>
      <c r="L100" s="83">
        <f t="shared" si="11"/>
        <v>1274</v>
      </c>
      <c r="M100" s="94">
        <v>600</v>
      </c>
      <c r="N100" s="83">
        <f>75</f>
        <v>75</v>
      </c>
      <c r="O100" s="86">
        <v>240</v>
      </c>
      <c r="P100" s="86">
        <v>160</v>
      </c>
      <c r="Q100" s="86">
        <f t="shared" si="12"/>
        <v>195</v>
      </c>
      <c r="R100" s="86">
        <f t="shared" si="13"/>
        <v>100</v>
      </c>
      <c r="S100" s="83">
        <f t="shared" si="14"/>
        <v>695</v>
      </c>
      <c r="T100" s="83">
        <f>50</f>
        <v>50</v>
      </c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</row>
    <row r="101" spans="1:30" ht="15.75" x14ac:dyDescent="0.25">
      <c r="A101" s="13">
        <v>43983</v>
      </c>
      <c r="B101" s="97">
        <v>30</v>
      </c>
      <c r="C101" s="83">
        <f>194.205</f>
        <v>194.20500000000001</v>
      </c>
      <c r="D101" s="83">
        <f>267.466</f>
        <v>267.46600000000001</v>
      </c>
      <c r="E101" s="92">
        <f>133.845</f>
        <v>133.845</v>
      </c>
      <c r="F101" s="83">
        <f>278.484-40-25-60-100</f>
        <v>53.48399999999998</v>
      </c>
      <c r="G101" s="86">
        <v>40</v>
      </c>
      <c r="H101" s="83">
        <f t="shared" si="16"/>
        <v>185</v>
      </c>
      <c r="I101" s="83">
        <f t="shared" si="8"/>
        <v>0</v>
      </c>
      <c r="J101" s="86">
        <v>100</v>
      </c>
      <c r="K101" s="86">
        <v>300</v>
      </c>
      <c r="L101" s="83">
        <f t="shared" si="11"/>
        <v>1274</v>
      </c>
      <c r="M101" s="94">
        <v>600</v>
      </c>
      <c r="N101" s="83">
        <f>30</f>
        <v>30</v>
      </c>
      <c r="O101" s="86">
        <v>240</v>
      </c>
      <c r="P101" s="86">
        <v>160</v>
      </c>
      <c r="Q101" s="86">
        <f t="shared" si="12"/>
        <v>195</v>
      </c>
      <c r="R101" s="86">
        <f t="shared" si="13"/>
        <v>100</v>
      </c>
      <c r="S101" s="83">
        <f t="shared" si="14"/>
        <v>695</v>
      </c>
      <c r="T101" s="83">
        <f>50</f>
        <v>50</v>
      </c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</row>
    <row r="102" spans="1:30" ht="15.75" x14ac:dyDescent="0.25">
      <c r="A102" s="13">
        <v>44013</v>
      </c>
      <c r="B102" s="97">
        <v>31</v>
      </c>
      <c r="C102" s="83">
        <f>194.205</f>
        <v>194.20500000000001</v>
      </c>
      <c r="D102" s="83">
        <f>267.466</f>
        <v>267.46600000000001</v>
      </c>
      <c r="E102" s="92">
        <f>133.845</f>
        <v>133.845</v>
      </c>
      <c r="F102" s="83">
        <f>278.484-40-25-60-100</f>
        <v>53.48399999999998</v>
      </c>
      <c r="G102" s="86">
        <v>40</v>
      </c>
      <c r="H102" s="83">
        <f t="shared" si="16"/>
        <v>185</v>
      </c>
      <c r="I102" s="83">
        <f t="shared" si="8"/>
        <v>0</v>
      </c>
      <c r="J102" s="86">
        <v>100</v>
      </c>
      <c r="K102" s="86">
        <v>300</v>
      </c>
      <c r="L102" s="83">
        <f t="shared" si="11"/>
        <v>1274</v>
      </c>
      <c r="M102" s="94">
        <v>600</v>
      </c>
      <c r="N102" s="83">
        <f>30</f>
        <v>30</v>
      </c>
      <c r="O102" s="86">
        <v>240</v>
      </c>
      <c r="P102" s="86">
        <v>160</v>
      </c>
      <c r="Q102" s="86">
        <f t="shared" si="12"/>
        <v>195</v>
      </c>
      <c r="R102" s="86">
        <f t="shared" si="13"/>
        <v>100</v>
      </c>
      <c r="S102" s="83">
        <f t="shared" si="14"/>
        <v>695</v>
      </c>
      <c r="T102" s="83">
        <f>0</f>
        <v>0</v>
      </c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</row>
    <row r="103" spans="1:30" ht="15.75" x14ac:dyDescent="0.25">
      <c r="A103" s="13">
        <v>44044</v>
      </c>
      <c r="B103" s="97">
        <v>31</v>
      </c>
      <c r="C103" s="83">
        <f>194.205</f>
        <v>194.20500000000001</v>
      </c>
      <c r="D103" s="83">
        <f>267.466</f>
        <v>267.46600000000001</v>
      </c>
      <c r="E103" s="92">
        <f>133.845</f>
        <v>133.845</v>
      </c>
      <c r="F103" s="83">
        <f>278.484-40-25-60-100</f>
        <v>53.48399999999998</v>
      </c>
      <c r="G103" s="86">
        <v>40</v>
      </c>
      <c r="H103" s="83">
        <f t="shared" si="16"/>
        <v>185</v>
      </c>
      <c r="I103" s="83">
        <f t="shared" si="8"/>
        <v>0</v>
      </c>
      <c r="J103" s="86">
        <v>100</v>
      </c>
      <c r="K103" s="86">
        <v>300</v>
      </c>
      <c r="L103" s="83">
        <f t="shared" si="11"/>
        <v>1274</v>
      </c>
      <c r="M103" s="94">
        <v>600</v>
      </c>
      <c r="N103" s="83">
        <f>30</f>
        <v>30</v>
      </c>
      <c r="O103" s="86">
        <v>240</v>
      </c>
      <c r="P103" s="86">
        <v>160</v>
      </c>
      <c r="Q103" s="86">
        <f t="shared" si="12"/>
        <v>195</v>
      </c>
      <c r="R103" s="86">
        <f t="shared" si="13"/>
        <v>100</v>
      </c>
      <c r="S103" s="83">
        <f t="shared" si="14"/>
        <v>695</v>
      </c>
      <c r="T103" s="83">
        <f>0</f>
        <v>0</v>
      </c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</row>
    <row r="104" spans="1:30" ht="15.75" x14ac:dyDescent="0.25">
      <c r="A104" s="13">
        <v>44075</v>
      </c>
      <c r="B104" s="97">
        <v>30</v>
      </c>
      <c r="C104" s="83">
        <f>194.205</f>
        <v>194.20500000000001</v>
      </c>
      <c r="D104" s="83">
        <f>267.466</f>
        <v>267.46600000000001</v>
      </c>
      <c r="E104" s="92">
        <f>133.845</f>
        <v>133.845</v>
      </c>
      <c r="F104" s="83">
        <f>278.484-40-25-60-100</f>
        <v>53.48399999999998</v>
      </c>
      <c r="G104" s="86">
        <v>40</v>
      </c>
      <c r="H104" s="83">
        <f t="shared" si="16"/>
        <v>185</v>
      </c>
      <c r="I104" s="83">
        <f t="shared" si="8"/>
        <v>0</v>
      </c>
      <c r="J104" s="86">
        <v>100</v>
      </c>
      <c r="K104" s="86">
        <v>300</v>
      </c>
      <c r="L104" s="83">
        <f t="shared" si="11"/>
        <v>1274</v>
      </c>
      <c r="M104" s="94">
        <v>600</v>
      </c>
      <c r="N104" s="83">
        <f>30</f>
        <v>30</v>
      </c>
      <c r="O104" s="86">
        <v>240</v>
      </c>
      <c r="P104" s="86">
        <v>160</v>
      </c>
      <c r="Q104" s="86">
        <f t="shared" si="12"/>
        <v>195</v>
      </c>
      <c r="R104" s="86">
        <f t="shared" si="13"/>
        <v>100</v>
      </c>
      <c r="S104" s="83">
        <f t="shared" si="14"/>
        <v>695</v>
      </c>
      <c r="T104" s="83">
        <f>0</f>
        <v>0</v>
      </c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</row>
    <row r="105" spans="1:30" ht="15.75" x14ac:dyDescent="0.25">
      <c r="A105" s="13">
        <v>44105</v>
      </c>
      <c r="B105" s="97">
        <v>31</v>
      </c>
      <c r="C105" s="83">
        <f>131.881</f>
        <v>131.881</v>
      </c>
      <c r="D105" s="83">
        <f>277.167</f>
        <v>277.16699999999997</v>
      </c>
      <c r="E105" s="92">
        <f>79.08</f>
        <v>79.08</v>
      </c>
      <c r="F105" s="83">
        <f>350.872-40-25-60-100</f>
        <v>125.87200000000001</v>
      </c>
      <c r="G105" s="86">
        <v>40</v>
      </c>
      <c r="H105" s="83">
        <f t="shared" si="16"/>
        <v>185</v>
      </c>
      <c r="I105" s="83">
        <f t="shared" si="8"/>
        <v>0</v>
      </c>
      <c r="J105" s="86">
        <v>100</v>
      </c>
      <c r="K105" s="86">
        <v>300</v>
      </c>
      <c r="L105" s="83">
        <f t="shared" si="11"/>
        <v>1239</v>
      </c>
      <c r="M105" s="94">
        <v>600</v>
      </c>
      <c r="N105" s="83">
        <f>75</f>
        <v>75</v>
      </c>
      <c r="O105" s="86">
        <v>240</v>
      </c>
      <c r="P105" s="86">
        <v>160</v>
      </c>
      <c r="Q105" s="86">
        <f t="shared" si="12"/>
        <v>195</v>
      </c>
      <c r="R105" s="86">
        <f t="shared" si="13"/>
        <v>100</v>
      </c>
      <c r="S105" s="83">
        <f t="shared" si="14"/>
        <v>695</v>
      </c>
      <c r="T105" s="83">
        <f>0</f>
        <v>0</v>
      </c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</row>
    <row r="106" spans="1:30" ht="15.75" x14ac:dyDescent="0.25">
      <c r="A106" s="13">
        <v>44136</v>
      </c>
      <c r="B106" s="97">
        <v>30</v>
      </c>
      <c r="C106" s="83">
        <f>122.58</f>
        <v>122.58</v>
      </c>
      <c r="D106" s="83">
        <f>297.941</f>
        <v>297.94099999999997</v>
      </c>
      <c r="E106" s="92">
        <f>89.177</f>
        <v>89.177000000000007</v>
      </c>
      <c r="F106" s="83">
        <f>240.302-40-60-100</f>
        <v>40.301999999999992</v>
      </c>
      <c r="G106" s="86">
        <v>40</v>
      </c>
      <c r="H106" s="83">
        <f>60+100</f>
        <v>160</v>
      </c>
      <c r="I106" s="83">
        <f t="shared" si="8"/>
        <v>0</v>
      </c>
      <c r="J106" s="86">
        <v>100</v>
      </c>
      <c r="K106" s="86">
        <v>300</v>
      </c>
      <c r="L106" s="83">
        <f t="shared" si="11"/>
        <v>1150</v>
      </c>
      <c r="M106" s="94">
        <v>600</v>
      </c>
      <c r="N106" s="83">
        <f>100</f>
        <v>100</v>
      </c>
      <c r="O106" s="86">
        <v>240</v>
      </c>
      <c r="P106" s="86">
        <v>40</v>
      </c>
      <c r="Q106" s="86">
        <f t="shared" si="12"/>
        <v>315</v>
      </c>
      <c r="R106" s="86">
        <f t="shared" si="13"/>
        <v>100</v>
      </c>
      <c r="S106" s="83">
        <f t="shared" si="14"/>
        <v>695</v>
      </c>
      <c r="T106" s="83">
        <f>50</f>
        <v>50</v>
      </c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</row>
    <row r="107" spans="1:30" ht="15.75" x14ac:dyDescent="0.25">
      <c r="A107" s="13">
        <v>44166</v>
      </c>
      <c r="B107" s="97">
        <v>31</v>
      </c>
      <c r="C107" s="83">
        <f>122.58</f>
        <v>122.58</v>
      </c>
      <c r="D107" s="83">
        <f>297.941</f>
        <v>297.94099999999997</v>
      </c>
      <c r="E107" s="92">
        <f>89.177</f>
        <v>89.177000000000007</v>
      </c>
      <c r="F107" s="83">
        <f>240.302-40-60-100</f>
        <v>40.301999999999992</v>
      </c>
      <c r="G107" s="86">
        <v>40</v>
      </c>
      <c r="H107" s="83">
        <f>60+100</f>
        <v>160</v>
      </c>
      <c r="I107" s="83">
        <f t="shared" si="8"/>
        <v>0</v>
      </c>
      <c r="J107" s="86">
        <v>100</v>
      </c>
      <c r="K107" s="86">
        <v>300</v>
      </c>
      <c r="L107" s="83">
        <f t="shared" si="11"/>
        <v>1150</v>
      </c>
      <c r="M107" s="94">
        <v>600</v>
      </c>
      <c r="N107" s="83">
        <f>100</f>
        <v>100</v>
      </c>
      <c r="O107" s="86">
        <v>240</v>
      </c>
      <c r="P107" s="86">
        <v>40</v>
      </c>
      <c r="Q107" s="86">
        <f t="shared" si="12"/>
        <v>315</v>
      </c>
      <c r="R107" s="86">
        <f t="shared" si="13"/>
        <v>100</v>
      </c>
      <c r="S107" s="83">
        <f t="shared" si="14"/>
        <v>695</v>
      </c>
      <c r="T107" s="83">
        <f>50</f>
        <v>50</v>
      </c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</row>
    <row r="108" spans="1:30" ht="15.75" x14ac:dyDescent="0.25">
      <c r="A108" s="13">
        <v>44197</v>
      </c>
      <c r="B108" s="97">
        <v>31</v>
      </c>
      <c r="C108" s="83">
        <f>122.58</f>
        <v>122.58</v>
      </c>
      <c r="D108" s="83">
        <f>297.941</f>
        <v>297.94099999999997</v>
      </c>
      <c r="E108" s="92">
        <f>89.177</f>
        <v>89.177000000000007</v>
      </c>
      <c r="F108" s="83">
        <f>240.302-40-60-100</f>
        <v>40.301999999999992</v>
      </c>
      <c r="G108" s="86">
        <v>40</v>
      </c>
      <c r="H108" s="83">
        <f>60+100</f>
        <v>160</v>
      </c>
      <c r="I108" s="83">
        <f t="shared" si="8"/>
        <v>0</v>
      </c>
      <c r="J108" s="86">
        <v>100</v>
      </c>
      <c r="K108" s="86">
        <v>300</v>
      </c>
      <c r="L108" s="83">
        <f t="shared" si="11"/>
        <v>1150</v>
      </c>
      <c r="M108" s="94">
        <v>600</v>
      </c>
      <c r="N108" s="83">
        <f>100</f>
        <v>100</v>
      </c>
      <c r="O108" s="86">
        <v>240</v>
      </c>
      <c r="P108" s="86">
        <v>40</v>
      </c>
      <c r="Q108" s="86">
        <f t="shared" si="12"/>
        <v>315</v>
      </c>
      <c r="R108" s="86">
        <f t="shared" si="13"/>
        <v>100</v>
      </c>
      <c r="S108" s="83">
        <f t="shared" si="14"/>
        <v>695</v>
      </c>
      <c r="T108" s="83">
        <f>50</f>
        <v>50</v>
      </c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</row>
    <row r="109" spans="1:30" ht="15.75" x14ac:dyDescent="0.25">
      <c r="A109" s="13">
        <v>44228</v>
      </c>
      <c r="B109" s="97">
        <v>28</v>
      </c>
      <c r="C109" s="83">
        <f>122.58</f>
        <v>122.58</v>
      </c>
      <c r="D109" s="83">
        <f>297.941</f>
        <v>297.94099999999997</v>
      </c>
      <c r="E109" s="92">
        <f>89.177</f>
        <v>89.177000000000007</v>
      </c>
      <c r="F109" s="83">
        <f>240.302-40-60-100</f>
        <v>40.301999999999992</v>
      </c>
      <c r="G109" s="86">
        <v>40</v>
      </c>
      <c r="H109" s="83">
        <f>60+100</f>
        <v>160</v>
      </c>
      <c r="I109" s="83">
        <f t="shared" si="8"/>
        <v>0</v>
      </c>
      <c r="J109" s="86">
        <v>100</v>
      </c>
      <c r="K109" s="86">
        <v>300</v>
      </c>
      <c r="L109" s="83">
        <f t="shared" si="11"/>
        <v>1150</v>
      </c>
      <c r="M109" s="94">
        <v>600</v>
      </c>
      <c r="N109" s="83">
        <f>100</f>
        <v>100</v>
      </c>
      <c r="O109" s="86">
        <v>240</v>
      </c>
      <c r="P109" s="86">
        <v>40</v>
      </c>
      <c r="Q109" s="86">
        <f t="shared" si="12"/>
        <v>315</v>
      </c>
      <c r="R109" s="86">
        <f t="shared" si="13"/>
        <v>100</v>
      </c>
      <c r="S109" s="83">
        <f t="shared" si="14"/>
        <v>695</v>
      </c>
      <c r="T109" s="83">
        <f>50</f>
        <v>50</v>
      </c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</row>
    <row r="110" spans="1:30" ht="15.75" x14ac:dyDescent="0.25">
      <c r="A110" s="13">
        <v>44256</v>
      </c>
      <c r="B110" s="97">
        <v>31</v>
      </c>
      <c r="C110" s="83">
        <f>122.58</f>
        <v>122.58</v>
      </c>
      <c r="D110" s="83">
        <f>297.941</f>
        <v>297.94099999999997</v>
      </c>
      <c r="E110" s="92">
        <f>89.177</f>
        <v>89.177000000000007</v>
      </c>
      <c r="F110" s="83">
        <f>240.302-40-60-100</f>
        <v>40.301999999999992</v>
      </c>
      <c r="G110" s="86">
        <v>40</v>
      </c>
      <c r="H110" s="83">
        <f>60+100</f>
        <v>160</v>
      </c>
      <c r="I110" s="83">
        <f t="shared" si="8"/>
        <v>0</v>
      </c>
      <c r="J110" s="86">
        <v>100</v>
      </c>
      <c r="K110" s="86">
        <v>300</v>
      </c>
      <c r="L110" s="83">
        <f t="shared" si="11"/>
        <v>1150</v>
      </c>
      <c r="M110" s="94">
        <v>600</v>
      </c>
      <c r="N110" s="83">
        <f>100</f>
        <v>100</v>
      </c>
      <c r="O110" s="86">
        <v>240</v>
      </c>
      <c r="P110" s="86">
        <v>40</v>
      </c>
      <c r="Q110" s="86">
        <f t="shared" si="12"/>
        <v>315</v>
      </c>
      <c r="R110" s="86">
        <f t="shared" si="13"/>
        <v>100</v>
      </c>
      <c r="S110" s="83">
        <f t="shared" si="14"/>
        <v>695</v>
      </c>
      <c r="T110" s="83">
        <f>50</f>
        <v>50</v>
      </c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</row>
    <row r="111" spans="1:30" ht="15.75" x14ac:dyDescent="0.25">
      <c r="A111" s="13">
        <v>44287</v>
      </c>
      <c r="B111" s="97">
        <v>30</v>
      </c>
      <c r="C111" s="83">
        <f>141.293</f>
        <v>141.29300000000001</v>
      </c>
      <c r="D111" s="83">
        <f>267.993</f>
        <v>267.99299999999999</v>
      </c>
      <c r="E111" s="92">
        <f>115.016</f>
        <v>115.01600000000001</v>
      </c>
      <c r="F111" s="83">
        <f>314.698-40-25-60-100</f>
        <v>89.697999999999979</v>
      </c>
      <c r="G111" s="86">
        <v>40</v>
      </c>
      <c r="H111" s="83">
        <f t="shared" ref="H111:H117" si="17">25+60+100</f>
        <v>185</v>
      </c>
      <c r="I111" s="83">
        <f t="shared" si="8"/>
        <v>0</v>
      </c>
      <c r="J111" s="86">
        <v>100</v>
      </c>
      <c r="K111" s="86">
        <v>300</v>
      </c>
      <c r="L111" s="83">
        <f t="shared" si="11"/>
        <v>1239</v>
      </c>
      <c r="M111" s="94">
        <v>600</v>
      </c>
      <c r="N111" s="83">
        <f>100</f>
        <v>100</v>
      </c>
      <c r="O111" s="86">
        <v>240</v>
      </c>
      <c r="P111" s="86">
        <v>160</v>
      </c>
      <c r="Q111" s="86">
        <f t="shared" si="12"/>
        <v>195</v>
      </c>
      <c r="R111" s="86">
        <f t="shared" si="13"/>
        <v>100</v>
      </c>
      <c r="S111" s="83">
        <f t="shared" si="14"/>
        <v>695</v>
      </c>
      <c r="T111" s="83">
        <f>50</f>
        <v>50</v>
      </c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</row>
    <row r="112" spans="1:30" ht="15.75" x14ac:dyDescent="0.25">
      <c r="A112" s="13">
        <v>44317</v>
      </c>
      <c r="B112" s="97">
        <v>31</v>
      </c>
      <c r="C112" s="83">
        <f>194.205</f>
        <v>194.20500000000001</v>
      </c>
      <c r="D112" s="83">
        <f>267.466</f>
        <v>267.46600000000001</v>
      </c>
      <c r="E112" s="92">
        <f>133.845</f>
        <v>133.845</v>
      </c>
      <c r="F112" s="83">
        <f>278.484-40-25-60-100</f>
        <v>53.48399999999998</v>
      </c>
      <c r="G112" s="86">
        <v>40</v>
      </c>
      <c r="H112" s="83">
        <f t="shared" si="17"/>
        <v>185</v>
      </c>
      <c r="I112" s="83">
        <f t="shared" si="8"/>
        <v>0</v>
      </c>
      <c r="J112" s="86">
        <v>100</v>
      </c>
      <c r="K112" s="86">
        <v>300</v>
      </c>
      <c r="L112" s="83">
        <f t="shared" si="11"/>
        <v>1274</v>
      </c>
      <c r="M112" s="94">
        <v>600</v>
      </c>
      <c r="N112" s="83">
        <f>75</f>
        <v>75</v>
      </c>
      <c r="O112" s="86">
        <v>240</v>
      </c>
      <c r="P112" s="86">
        <v>160</v>
      </c>
      <c r="Q112" s="86">
        <f t="shared" si="12"/>
        <v>195</v>
      </c>
      <c r="R112" s="86">
        <f t="shared" si="13"/>
        <v>100</v>
      </c>
      <c r="S112" s="83">
        <f t="shared" si="14"/>
        <v>695</v>
      </c>
      <c r="T112" s="83">
        <f>50</f>
        <v>50</v>
      </c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</row>
    <row r="113" spans="1:30" ht="15.75" x14ac:dyDescent="0.25">
      <c r="A113" s="13">
        <v>44348</v>
      </c>
      <c r="B113" s="97">
        <v>30</v>
      </c>
      <c r="C113" s="83">
        <f>194.205</f>
        <v>194.20500000000001</v>
      </c>
      <c r="D113" s="83">
        <f>267.466</f>
        <v>267.46600000000001</v>
      </c>
      <c r="E113" s="92">
        <f>133.845</f>
        <v>133.845</v>
      </c>
      <c r="F113" s="83">
        <f>278.484-40-25-60-100</f>
        <v>53.48399999999998</v>
      </c>
      <c r="G113" s="86">
        <v>40</v>
      </c>
      <c r="H113" s="83">
        <f t="shared" si="17"/>
        <v>185</v>
      </c>
      <c r="I113" s="83">
        <f t="shared" si="8"/>
        <v>0</v>
      </c>
      <c r="J113" s="86">
        <v>100</v>
      </c>
      <c r="K113" s="86">
        <v>300</v>
      </c>
      <c r="L113" s="83">
        <f t="shared" si="11"/>
        <v>1274</v>
      </c>
      <c r="M113" s="94">
        <v>600</v>
      </c>
      <c r="N113" s="83">
        <f>30</f>
        <v>30</v>
      </c>
      <c r="O113" s="86">
        <v>240</v>
      </c>
      <c r="P113" s="86">
        <v>160</v>
      </c>
      <c r="Q113" s="86">
        <f t="shared" si="12"/>
        <v>195</v>
      </c>
      <c r="R113" s="86">
        <f t="shared" si="13"/>
        <v>100</v>
      </c>
      <c r="S113" s="83">
        <f t="shared" si="14"/>
        <v>695</v>
      </c>
      <c r="T113" s="83">
        <f>50</f>
        <v>50</v>
      </c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</row>
    <row r="114" spans="1:30" ht="15.75" x14ac:dyDescent="0.25">
      <c r="A114" s="13">
        <v>44378</v>
      </c>
      <c r="B114" s="97">
        <v>31</v>
      </c>
      <c r="C114" s="83">
        <f>194.205</f>
        <v>194.20500000000001</v>
      </c>
      <c r="D114" s="83">
        <f>267.466</f>
        <v>267.46600000000001</v>
      </c>
      <c r="E114" s="92">
        <f>133.845</f>
        <v>133.845</v>
      </c>
      <c r="F114" s="83">
        <f>278.484-40-25-60-100</f>
        <v>53.48399999999998</v>
      </c>
      <c r="G114" s="86">
        <v>40</v>
      </c>
      <c r="H114" s="83">
        <f t="shared" si="17"/>
        <v>185</v>
      </c>
      <c r="I114" s="83">
        <f t="shared" si="8"/>
        <v>0</v>
      </c>
      <c r="J114" s="86">
        <v>100</v>
      </c>
      <c r="K114" s="86">
        <v>300</v>
      </c>
      <c r="L114" s="83">
        <f t="shared" si="11"/>
        <v>1274</v>
      </c>
      <c r="M114" s="94">
        <v>600</v>
      </c>
      <c r="N114" s="83">
        <f>30</f>
        <v>30</v>
      </c>
      <c r="O114" s="86">
        <v>240</v>
      </c>
      <c r="P114" s="86">
        <v>160</v>
      </c>
      <c r="Q114" s="86">
        <f t="shared" si="12"/>
        <v>195</v>
      </c>
      <c r="R114" s="86">
        <f t="shared" si="13"/>
        <v>100</v>
      </c>
      <c r="S114" s="83">
        <f t="shared" si="14"/>
        <v>695</v>
      </c>
      <c r="T114" s="83">
        <f>0</f>
        <v>0</v>
      </c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</row>
    <row r="115" spans="1:30" ht="15.75" x14ac:dyDescent="0.25">
      <c r="A115" s="13">
        <v>44409</v>
      </c>
      <c r="B115" s="97">
        <v>31</v>
      </c>
      <c r="C115" s="83">
        <f>194.205</f>
        <v>194.20500000000001</v>
      </c>
      <c r="D115" s="83">
        <f>267.466</f>
        <v>267.46600000000001</v>
      </c>
      <c r="E115" s="92">
        <f>133.845</f>
        <v>133.845</v>
      </c>
      <c r="F115" s="83">
        <f>278.484-40-25-60-100</f>
        <v>53.48399999999998</v>
      </c>
      <c r="G115" s="86">
        <v>40</v>
      </c>
      <c r="H115" s="83">
        <f t="shared" si="17"/>
        <v>185</v>
      </c>
      <c r="I115" s="83">
        <f t="shared" si="8"/>
        <v>0</v>
      </c>
      <c r="J115" s="86">
        <v>100</v>
      </c>
      <c r="K115" s="86">
        <v>300</v>
      </c>
      <c r="L115" s="83">
        <f t="shared" si="11"/>
        <v>1274</v>
      </c>
      <c r="M115" s="94">
        <v>600</v>
      </c>
      <c r="N115" s="83">
        <f>30</f>
        <v>30</v>
      </c>
      <c r="O115" s="86">
        <v>240</v>
      </c>
      <c r="P115" s="86">
        <v>160</v>
      </c>
      <c r="Q115" s="86">
        <f t="shared" si="12"/>
        <v>195</v>
      </c>
      <c r="R115" s="86">
        <f t="shared" si="13"/>
        <v>100</v>
      </c>
      <c r="S115" s="83">
        <f t="shared" si="14"/>
        <v>695</v>
      </c>
      <c r="T115" s="83">
        <f>0</f>
        <v>0</v>
      </c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</row>
    <row r="116" spans="1:30" ht="15.75" x14ac:dyDescent="0.25">
      <c r="A116" s="13">
        <v>44440</v>
      </c>
      <c r="B116" s="97">
        <v>30</v>
      </c>
      <c r="C116" s="83">
        <f>194.205</f>
        <v>194.20500000000001</v>
      </c>
      <c r="D116" s="83">
        <f>267.466</f>
        <v>267.46600000000001</v>
      </c>
      <c r="E116" s="92">
        <f>133.845</f>
        <v>133.845</v>
      </c>
      <c r="F116" s="83">
        <f>278.484-40-25-60-100</f>
        <v>53.48399999999998</v>
      </c>
      <c r="G116" s="86">
        <v>40</v>
      </c>
      <c r="H116" s="83">
        <f t="shared" si="17"/>
        <v>185</v>
      </c>
      <c r="I116" s="83">
        <f t="shared" ref="I116:I179" si="18">400-J116-K116</f>
        <v>0</v>
      </c>
      <c r="J116" s="86">
        <v>100</v>
      </c>
      <c r="K116" s="86">
        <v>300</v>
      </c>
      <c r="L116" s="83">
        <f t="shared" si="11"/>
        <v>1274</v>
      </c>
      <c r="M116" s="94">
        <v>600</v>
      </c>
      <c r="N116" s="83">
        <f>30</f>
        <v>30</v>
      </c>
      <c r="O116" s="86">
        <v>240</v>
      </c>
      <c r="P116" s="86">
        <v>160</v>
      </c>
      <c r="Q116" s="86">
        <f t="shared" si="12"/>
        <v>195</v>
      </c>
      <c r="R116" s="86">
        <f t="shared" si="13"/>
        <v>100</v>
      </c>
      <c r="S116" s="83">
        <f t="shared" si="14"/>
        <v>695</v>
      </c>
      <c r="T116" s="83">
        <f>0</f>
        <v>0</v>
      </c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</row>
    <row r="117" spans="1:30" ht="15.75" x14ac:dyDescent="0.25">
      <c r="A117" s="13">
        <v>44470</v>
      </c>
      <c r="B117" s="97">
        <v>31</v>
      </c>
      <c r="C117" s="83">
        <f>131.881</f>
        <v>131.881</v>
      </c>
      <c r="D117" s="83">
        <f>277.167</f>
        <v>277.16699999999997</v>
      </c>
      <c r="E117" s="92">
        <f>79.08</f>
        <v>79.08</v>
      </c>
      <c r="F117" s="83">
        <f>350.872-40-25-60-100</f>
        <v>125.87200000000001</v>
      </c>
      <c r="G117" s="86">
        <v>40</v>
      </c>
      <c r="H117" s="83">
        <f t="shared" si="17"/>
        <v>185</v>
      </c>
      <c r="I117" s="83">
        <f t="shared" si="18"/>
        <v>0</v>
      </c>
      <c r="J117" s="86">
        <v>100</v>
      </c>
      <c r="K117" s="86">
        <v>300</v>
      </c>
      <c r="L117" s="83">
        <f t="shared" si="11"/>
        <v>1239</v>
      </c>
      <c r="M117" s="94">
        <v>600</v>
      </c>
      <c r="N117" s="83">
        <f>75</f>
        <v>75</v>
      </c>
      <c r="O117" s="86">
        <v>240</v>
      </c>
      <c r="P117" s="86">
        <v>160</v>
      </c>
      <c r="Q117" s="86">
        <f t="shared" si="12"/>
        <v>195</v>
      </c>
      <c r="R117" s="86">
        <f t="shared" si="13"/>
        <v>100</v>
      </c>
      <c r="S117" s="83">
        <f t="shared" si="14"/>
        <v>695</v>
      </c>
      <c r="T117" s="83">
        <f>0</f>
        <v>0</v>
      </c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</row>
    <row r="118" spans="1:30" ht="15.75" x14ac:dyDescent="0.25">
      <c r="A118" s="13">
        <v>44501</v>
      </c>
      <c r="B118" s="97">
        <v>30</v>
      </c>
      <c r="C118" s="83">
        <f>122.58</f>
        <v>122.58</v>
      </c>
      <c r="D118" s="83">
        <f>297.941</f>
        <v>297.94099999999997</v>
      </c>
      <c r="E118" s="92">
        <f>89.177</f>
        <v>89.177000000000007</v>
      </c>
      <c r="F118" s="83">
        <f>240.302-40-60-100</f>
        <v>40.301999999999992</v>
      </c>
      <c r="G118" s="86">
        <v>40</v>
      </c>
      <c r="H118" s="83">
        <f>60+100</f>
        <v>160</v>
      </c>
      <c r="I118" s="83">
        <f t="shared" si="18"/>
        <v>0</v>
      </c>
      <c r="J118" s="86">
        <v>100</v>
      </c>
      <c r="K118" s="86">
        <v>300</v>
      </c>
      <c r="L118" s="83">
        <f t="shared" si="11"/>
        <v>1150</v>
      </c>
      <c r="M118" s="94">
        <v>600</v>
      </c>
      <c r="N118" s="83">
        <f>100</f>
        <v>100</v>
      </c>
      <c r="O118" s="86">
        <v>240</v>
      </c>
      <c r="P118" s="86">
        <v>40</v>
      </c>
      <c r="Q118" s="86">
        <f t="shared" si="12"/>
        <v>315</v>
      </c>
      <c r="R118" s="86">
        <f t="shared" si="13"/>
        <v>100</v>
      </c>
      <c r="S118" s="83">
        <f t="shared" si="14"/>
        <v>695</v>
      </c>
      <c r="T118" s="83">
        <f>50</f>
        <v>50</v>
      </c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</row>
    <row r="119" spans="1:30" ht="15.75" x14ac:dyDescent="0.25">
      <c r="A119" s="13">
        <v>44531</v>
      </c>
      <c r="B119" s="97">
        <v>31</v>
      </c>
      <c r="C119" s="83">
        <f>122.58</f>
        <v>122.58</v>
      </c>
      <c r="D119" s="83">
        <f>297.941</f>
        <v>297.94099999999997</v>
      </c>
      <c r="E119" s="92">
        <f>89.177</f>
        <v>89.177000000000007</v>
      </c>
      <c r="F119" s="83">
        <f>240.302-40-60-100</f>
        <v>40.301999999999992</v>
      </c>
      <c r="G119" s="86">
        <v>40</v>
      </c>
      <c r="H119" s="83">
        <f>60+100</f>
        <v>160</v>
      </c>
      <c r="I119" s="83">
        <f t="shared" si="18"/>
        <v>0</v>
      </c>
      <c r="J119" s="86">
        <v>100</v>
      </c>
      <c r="K119" s="86">
        <v>300</v>
      </c>
      <c r="L119" s="83">
        <f t="shared" si="11"/>
        <v>1150</v>
      </c>
      <c r="M119" s="94">
        <v>600</v>
      </c>
      <c r="N119" s="83">
        <f>100</f>
        <v>100</v>
      </c>
      <c r="O119" s="86">
        <v>240</v>
      </c>
      <c r="P119" s="86">
        <v>40</v>
      </c>
      <c r="Q119" s="86">
        <f t="shared" si="12"/>
        <v>315</v>
      </c>
      <c r="R119" s="86">
        <f t="shared" si="13"/>
        <v>100</v>
      </c>
      <c r="S119" s="83">
        <f t="shared" si="14"/>
        <v>695</v>
      </c>
      <c r="T119" s="83">
        <f>50</f>
        <v>50</v>
      </c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</row>
    <row r="120" spans="1:30" ht="15.75" x14ac:dyDescent="0.25">
      <c r="A120" s="13">
        <v>44562</v>
      </c>
      <c r="B120" s="97">
        <v>31</v>
      </c>
      <c r="C120" s="83">
        <f>122.58</f>
        <v>122.58</v>
      </c>
      <c r="D120" s="83">
        <f>297.941</f>
        <v>297.94099999999997</v>
      </c>
      <c r="E120" s="92">
        <f>89.177</f>
        <v>89.177000000000007</v>
      </c>
      <c r="F120" s="83">
        <f>240.302-40-60-100</f>
        <v>40.301999999999992</v>
      </c>
      <c r="G120" s="86">
        <v>40</v>
      </c>
      <c r="H120" s="83">
        <f>60+100</f>
        <v>160</v>
      </c>
      <c r="I120" s="83">
        <f t="shared" si="18"/>
        <v>0</v>
      </c>
      <c r="J120" s="86">
        <v>100</v>
      </c>
      <c r="K120" s="86">
        <v>300</v>
      </c>
      <c r="L120" s="83">
        <f t="shared" si="11"/>
        <v>1150</v>
      </c>
      <c r="M120" s="94">
        <v>600</v>
      </c>
      <c r="N120" s="83">
        <f>100</f>
        <v>100</v>
      </c>
      <c r="O120" s="86">
        <v>240</v>
      </c>
      <c r="P120" s="86">
        <v>40</v>
      </c>
      <c r="Q120" s="86">
        <f t="shared" si="12"/>
        <v>315</v>
      </c>
      <c r="R120" s="86">
        <f t="shared" si="13"/>
        <v>100</v>
      </c>
      <c r="S120" s="83">
        <f t="shared" si="14"/>
        <v>695</v>
      </c>
      <c r="T120" s="83">
        <f>50</f>
        <v>50</v>
      </c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</row>
    <row r="121" spans="1:30" ht="15.75" x14ac:dyDescent="0.25">
      <c r="A121" s="13">
        <v>44593</v>
      </c>
      <c r="B121" s="97">
        <v>28</v>
      </c>
      <c r="C121" s="83">
        <f>122.58</f>
        <v>122.58</v>
      </c>
      <c r="D121" s="83">
        <f>297.941</f>
        <v>297.94099999999997</v>
      </c>
      <c r="E121" s="92">
        <f>89.177</f>
        <v>89.177000000000007</v>
      </c>
      <c r="F121" s="83">
        <f>240.302-40-60-100</f>
        <v>40.301999999999992</v>
      </c>
      <c r="G121" s="86">
        <v>40</v>
      </c>
      <c r="H121" s="83">
        <f>60+100</f>
        <v>160</v>
      </c>
      <c r="I121" s="83">
        <f t="shared" si="18"/>
        <v>0</v>
      </c>
      <c r="J121" s="86">
        <v>100</v>
      </c>
      <c r="K121" s="86">
        <v>300</v>
      </c>
      <c r="L121" s="83">
        <f t="shared" si="11"/>
        <v>1150</v>
      </c>
      <c r="M121" s="94">
        <v>600</v>
      </c>
      <c r="N121" s="83">
        <f>100</f>
        <v>100</v>
      </c>
      <c r="O121" s="86">
        <v>240</v>
      </c>
      <c r="P121" s="86">
        <v>40</v>
      </c>
      <c r="Q121" s="86">
        <f t="shared" si="12"/>
        <v>315</v>
      </c>
      <c r="R121" s="86">
        <f t="shared" si="13"/>
        <v>100</v>
      </c>
      <c r="S121" s="83">
        <f t="shared" si="14"/>
        <v>695</v>
      </c>
      <c r="T121" s="83">
        <f>50</f>
        <v>50</v>
      </c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</row>
    <row r="122" spans="1:30" ht="15.75" x14ac:dyDescent="0.25">
      <c r="A122" s="13">
        <v>44621</v>
      </c>
      <c r="B122" s="97">
        <v>31</v>
      </c>
      <c r="C122" s="83">
        <f>122.58</f>
        <v>122.58</v>
      </c>
      <c r="D122" s="83">
        <f>297.941</f>
        <v>297.94099999999997</v>
      </c>
      <c r="E122" s="92">
        <f>89.177</f>
        <v>89.177000000000007</v>
      </c>
      <c r="F122" s="83">
        <f>240.302-40-60-100</f>
        <v>40.301999999999992</v>
      </c>
      <c r="G122" s="86">
        <v>40</v>
      </c>
      <c r="H122" s="83">
        <f>60+100</f>
        <v>160</v>
      </c>
      <c r="I122" s="83">
        <f t="shared" si="18"/>
        <v>0</v>
      </c>
      <c r="J122" s="86">
        <v>100</v>
      </c>
      <c r="K122" s="86">
        <v>300</v>
      </c>
      <c r="L122" s="83">
        <f t="shared" si="11"/>
        <v>1150</v>
      </c>
      <c r="M122" s="94">
        <v>600</v>
      </c>
      <c r="N122" s="83">
        <f>100</f>
        <v>100</v>
      </c>
      <c r="O122" s="86">
        <v>240</v>
      </c>
      <c r="P122" s="86">
        <v>40</v>
      </c>
      <c r="Q122" s="86">
        <f t="shared" si="12"/>
        <v>315</v>
      </c>
      <c r="R122" s="86">
        <f t="shared" si="13"/>
        <v>100</v>
      </c>
      <c r="S122" s="83">
        <f t="shared" si="14"/>
        <v>695</v>
      </c>
      <c r="T122" s="83">
        <f>50</f>
        <v>50</v>
      </c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</row>
    <row r="123" spans="1:30" ht="15.75" x14ac:dyDescent="0.25">
      <c r="A123" s="13">
        <v>44652</v>
      </c>
      <c r="B123" s="97">
        <v>30</v>
      </c>
      <c r="C123" s="83">
        <f>141.293</f>
        <v>141.29300000000001</v>
      </c>
      <c r="D123" s="83">
        <f>267.993</f>
        <v>267.99299999999999</v>
      </c>
      <c r="E123" s="92">
        <f>115.016</f>
        <v>115.01600000000001</v>
      </c>
      <c r="F123" s="83">
        <f>314.698-40-25-60-100</f>
        <v>89.697999999999979</v>
      </c>
      <c r="G123" s="86">
        <v>40</v>
      </c>
      <c r="H123" s="83">
        <f t="shared" ref="H123:H129" si="19">25+60+100</f>
        <v>185</v>
      </c>
      <c r="I123" s="83">
        <f t="shared" si="18"/>
        <v>0</v>
      </c>
      <c r="J123" s="86">
        <v>100</v>
      </c>
      <c r="K123" s="86">
        <v>300</v>
      </c>
      <c r="L123" s="83">
        <f t="shared" si="11"/>
        <v>1239</v>
      </c>
      <c r="M123" s="94">
        <v>600</v>
      </c>
      <c r="N123" s="83">
        <f>100</f>
        <v>100</v>
      </c>
      <c r="O123" s="86">
        <v>240</v>
      </c>
      <c r="P123" s="86">
        <v>160</v>
      </c>
      <c r="Q123" s="86">
        <f t="shared" si="12"/>
        <v>195</v>
      </c>
      <c r="R123" s="86">
        <f t="shared" si="13"/>
        <v>100</v>
      </c>
      <c r="S123" s="83">
        <f t="shared" si="14"/>
        <v>695</v>
      </c>
      <c r="T123" s="83">
        <f>50</f>
        <v>50</v>
      </c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</row>
    <row r="124" spans="1:30" ht="15.75" x14ac:dyDescent="0.25">
      <c r="A124" s="13">
        <v>44682</v>
      </c>
      <c r="B124" s="97">
        <v>31</v>
      </c>
      <c r="C124" s="83">
        <f>194.205</f>
        <v>194.20500000000001</v>
      </c>
      <c r="D124" s="83">
        <f>267.466</f>
        <v>267.46600000000001</v>
      </c>
      <c r="E124" s="92">
        <f>133.845</f>
        <v>133.845</v>
      </c>
      <c r="F124" s="83">
        <f>278.484-40-25-60-100</f>
        <v>53.48399999999998</v>
      </c>
      <c r="G124" s="86">
        <v>40</v>
      </c>
      <c r="H124" s="83">
        <f t="shared" si="19"/>
        <v>185</v>
      </c>
      <c r="I124" s="83">
        <f t="shared" si="18"/>
        <v>0</v>
      </c>
      <c r="J124" s="86">
        <v>100</v>
      </c>
      <c r="K124" s="86">
        <v>300</v>
      </c>
      <c r="L124" s="83">
        <f t="shared" si="11"/>
        <v>1274</v>
      </c>
      <c r="M124" s="94">
        <v>600</v>
      </c>
      <c r="N124" s="83">
        <f>75</f>
        <v>75</v>
      </c>
      <c r="O124" s="86">
        <v>240</v>
      </c>
      <c r="P124" s="86">
        <v>160</v>
      </c>
      <c r="Q124" s="86">
        <f t="shared" si="12"/>
        <v>195</v>
      </c>
      <c r="R124" s="86">
        <f t="shared" si="13"/>
        <v>100</v>
      </c>
      <c r="S124" s="83">
        <f t="shared" si="14"/>
        <v>695</v>
      </c>
      <c r="T124" s="83">
        <f>50</f>
        <v>50</v>
      </c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</row>
    <row r="125" spans="1:30" ht="15.75" x14ac:dyDescent="0.25">
      <c r="A125" s="13">
        <v>44713</v>
      </c>
      <c r="B125" s="97">
        <v>30</v>
      </c>
      <c r="C125" s="83">
        <f>194.205</f>
        <v>194.20500000000001</v>
      </c>
      <c r="D125" s="83">
        <f>267.466</f>
        <v>267.46600000000001</v>
      </c>
      <c r="E125" s="92">
        <f>133.845</f>
        <v>133.845</v>
      </c>
      <c r="F125" s="83">
        <f>278.484-40-25-60-100</f>
        <v>53.48399999999998</v>
      </c>
      <c r="G125" s="86">
        <v>40</v>
      </c>
      <c r="H125" s="83">
        <f t="shared" si="19"/>
        <v>185</v>
      </c>
      <c r="I125" s="83">
        <f t="shared" si="18"/>
        <v>0</v>
      </c>
      <c r="J125" s="86">
        <v>100</v>
      </c>
      <c r="K125" s="86">
        <v>300</v>
      </c>
      <c r="L125" s="83">
        <f t="shared" si="11"/>
        <v>1274</v>
      </c>
      <c r="M125" s="94">
        <v>600</v>
      </c>
      <c r="N125" s="83">
        <f>30</f>
        <v>30</v>
      </c>
      <c r="O125" s="86">
        <v>240</v>
      </c>
      <c r="P125" s="86">
        <v>160</v>
      </c>
      <c r="Q125" s="86">
        <f t="shared" si="12"/>
        <v>195</v>
      </c>
      <c r="R125" s="86">
        <f t="shared" si="13"/>
        <v>100</v>
      </c>
      <c r="S125" s="83">
        <f t="shared" si="14"/>
        <v>695</v>
      </c>
      <c r="T125" s="83">
        <f>50</f>
        <v>50</v>
      </c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</row>
    <row r="126" spans="1:30" ht="15.75" x14ac:dyDescent="0.25">
      <c r="A126" s="13">
        <v>44743</v>
      </c>
      <c r="B126" s="97">
        <v>31</v>
      </c>
      <c r="C126" s="83">
        <f>194.205</f>
        <v>194.20500000000001</v>
      </c>
      <c r="D126" s="83">
        <f>267.466</f>
        <v>267.46600000000001</v>
      </c>
      <c r="E126" s="92">
        <f>133.845</f>
        <v>133.845</v>
      </c>
      <c r="F126" s="83">
        <f>278.484-40-25-60-100</f>
        <v>53.48399999999998</v>
      </c>
      <c r="G126" s="86">
        <v>40</v>
      </c>
      <c r="H126" s="83">
        <f t="shared" si="19"/>
        <v>185</v>
      </c>
      <c r="I126" s="83">
        <f t="shared" si="18"/>
        <v>0</v>
      </c>
      <c r="J126" s="86">
        <v>100</v>
      </c>
      <c r="K126" s="86">
        <v>300</v>
      </c>
      <c r="L126" s="83">
        <f t="shared" si="11"/>
        <v>1274</v>
      </c>
      <c r="M126" s="94">
        <v>600</v>
      </c>
      <c r="N126" s="83">
        <f>30</f>
        <v>30</v>
      </c>
      <c r="O126" s="86">
        <v>240</v>
      </c>
      <c r="P126" s="86">
        <v>160</v>
      </c>
      <c r="Q126" s="86">
        <f t="shared" si="12"/>
        <v>195</v>
      </c>
      <c r="R126" s="86">
        <f t="shared" si="13"/>
        <v>100</v>
      </c>
      <c r="S126" s="83">
        <f t="shared" si="14"/>
        <v>695</v>
      </c>
      <c r="T126" s="83">
        <f>0</f>
        <v>0</v>
      </c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</row>
    <row r="127" spans="1:30" ht="15.75" x14ac:dyDescent="0.25">
      <c r="A127" s="13">
        <v>44774</v>
      </c>
      <c r="B127" s="97">
        <v>31</v>
      </c>
      <c r="C127" s="83">
        <f>194.205</f>
        <v>194.20500000000001</v>
      </c>
      <c r="D127" s="83">
        <f>267.466</f>
        <v>267.46600000000001</v>
      </c>
      <c r="E127" s="92">
        <f>133.845</f>
        <v>133.845</v>
      </c>
      <c r="F127" s="83">
        <f>278.484-40-25-60-100</f>
        <v>53.48399999999998</v>
      </c>
      <c r="G127" s="86">
        <v>40</v>
      </c>
      <c r="H127" s="83">
        <f t="shared" si="19"/>
        <v>185</v>
      </c>
      <c r="I127" s="83">
        <f t="shared" si="18"/>
        <v>0</v>
      </c>
      <c r="J127" s="86">
        <v>100</v>
      </c>
      <c r="K127" s="86">
        <v>300</v>
      </c>
      <c r="L127" s="83">
        <f t="shared" si="11"/>
        <v>1274</v>
      </c>
      <c r="M127" s="94">
        <v>600</v>
      </c>
      <c r="N127" s="83">
        <f>30</f>
        <v>30</v>
      </c>
      <c r="O127" s="86">
        <v>240</v>
      </c>
      <c r="P127" s="86">
        <v>160</v>
      </c>
      <c r="Q127" s="86">
        <f t="shared" si="12"/>
        <v>195</v>
      </c>
      <c r="R127" s="86">
        <f t="shared" si="13"/>
        <v>100</v>
      </c>
      <c r="S127" s="83">
        <f t="shared" si="14"/>
        <v>695</v>
      </c>
      <c r="T127" s="83">
        <f>0</f>
        <v>0</v>
      </c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</row>
    <row r="128" spans="1:30" ht="15.75" x14ac:dyDescent="0.25">
      <c r="A128" s="13">
        <v>44805</v>
      </c>
      <c r="B128" s="97">
        <v>30</v>
      </c>
      <c r="C128" s="83">
        <f>194.205</f>
        <v>194.20500000000001</v>
      </c>
      <c r="D128" s="83">
        <f>267.466</f>
        <v>267.46600000000001</v>
      </c>
      <c r="E128" s="92">
        <f>133.845</f>
        <v>133.845</v>
      </c>
      <c r="F128" s="83">
        <f>278.484-40-25-60-100</f>
        <v>53.48399999999998</v>
      </c>
      <c r="G128" s="86">
        <v>40</v>
      </c>
      <c r="H128" s="83">
        <f t="shared" si="19"/>
        <v>185</v>
      </c>
      <c r="I128" s="83">
        <f t="shared" si="18"/>
        <v>0</v>
      </c>
      <c r="J128" s="86">
        <v>100</v>
      </c>
      <c r="K128" s="86">
        <v>300</v>
      </c>
      <c r="L128" s="83">
        <f t="shared" si="11"/>
        <v>1274</v>
      </c>
      <c r="M128" s="94">
        <v>600</v>
      </c>
      <c r="N128" s="83">
        <f>30</f>
        <v>30</v>
      </c>
      <c r="O128" s="86">
        <v>240</v>
      </c>
      <c r="P128" s="86">
        <v>160</v>
      </c>
      <c r="Q128" s="86">
        <f t="shared" si="12"/>
        <v>195</v>
      </c>
      <c r="R128" s="86">
        <f t="shared" si="13"/>
        <v>100</v>
      </c>
      <c r="S128" s="83">
        <f t="shared" si="14"/>
        <v>695</v>
      </c>
      <c r="T128" s="83">
        <f>0</f>
        <v>0</v>
      </c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</row>
    <row r="129" spans="1:30" ht="15.75" x14ac:dyDescent="0.25">
      <c r="A129" s="13">
        <v>44835</v>
      </c>
      <c r="B129" s="97">
        <v>31</v>
      </c>
      <c r="C129" s="83">
        <f>131.881</f>
        <v>131.881</v>
      </c>
      <c r="D129" s="83">
        <f>277.167</f>
        <v>277.16699999999997</v>
      </c>
      <c r="E129" s="92">
        <f>79.08</f>
        <v>79.08</v>
      </c>
      <c r="F129" s="83">
        <f>350.872-40-25-60-100</f>
        <v>125.87200000000001</v>
      </c>
      <c r="G129" s="86">
        <v>40</v>
      </c>
      <c r="H129" s="83">
        <f t="shared" si="19"/>
        <v>185</v>
      </c>
      <c r="I129" s="83">
        <f t="shared" si="18"/>
        <v>0</v>
      </c>
      <c r="J129" s="86">
        <v>100</v>
      </c>
      <c r="K129" s="86">
        <v>300</v>
      </c>
      <c r="L129" s="83">
        <f t="shared" si="11"/>
        <v>1239</v>
      </c>
      <c r="M129" s="94">
        <v>600</v>
      </c>
      <c r="N129" s="83">
        <f>75</f>
        <v>75</v>
      </c>
      <c r="O129" s="86">
        <v>240</v>
      </c>
      <c r="P129" s="86">
        <v>160</v>
      </c>
      <c r="Q129" s="86">
        <f t="shared" si="12"/>
        <v>195</v>
      </c>
      <c r="R129" s="86">
        <f t="shared" si="13"/>
        <v>100</v>
      </c>
      <c r="S129" s="83">
        <f t="shared" si="14"/>
        <v>695</v>
      </c>
      <c r="T129" s="83">
        <f>0</f>
        <v>0</v>
      </c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</row>
    <row r="130" spans="1:30" ht="15.75" x14ac:dyDescent="0.25">
      <c r="A130" s="13">
        <v>44866</v>
      </c>
      <c r="B130" s="97">
        <v>30</v>
      </c>
      <c r="C130" s="83">
        <f>122.58</f>
        <v>122.58</v>
      </c>
      <c r="D130" s="83">
        <f>297.941</f>
        <v>297.94099999999997</v>
      </c>
      <c r="E130" s="92">
        <f>89.177</f>
        <v>89.177000000000007</v>
      </c>
      <c r="F130" s="83">
        <f>240.302-40-60-100</f>
        <v>40.301999999999992</v>
      </c>
      <c r="G130" s="86">
        <v>40</v>
      </c>
      <c r="H130" s="83">
        <f>60+100</f>
        <v>160</v>
      </c>
      <c r="I130" s="83">
        <f t="shared" si="18"/>
        <v>0</v>
      </c>
      <c r="J130" s="86">
        <v>100</v>
      </c>
      <c r="K130" s="86">
        <v>300</v>
      </c>
      <c r="L130" s="83">
        <f t="shared" si="11"/>
        <v>1150</v>
      </c>
      <c r="M130" s="94">
        <v>600</v>
      </c>
      <c r="N130" s="83">
        <f>100</f>
        <v>100</v>
      </c>
      <c r="O130" s="86">
        <v>240</v>
      </c>
      <c r="P130" s="86">
        <v>40</v>
      </c>
      <c r="Q130" s="86">
        <f t="shared" si="12"/>
        <v>315</v>
      </c>
      <c r="R130" s="86">
        <f t="shared" si="13"/>
        <v>100</v>
      </c>
      <c r="S130" s="83">
        <f t="shared" si="14"/>
        <v>695</v>
      </c>
      <c r="T130" s="83">
        <f>50</f>
        <v>50</v>
      </c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</row>
    <row r="131" spans="1:30" ht="15.75" x14ac:dyDescent="0.25">
      <c r="A131" s="13">
        <v>44896</v>
      </c>
      <c r="B131" s="97">
        <v>31</v>
      </c>
      <c r="C131" s="83">
        <f>122.58</f>
        <v>122.58</v>
      </c>
      <c r="D131" s="83">
        <f>297.941</f>
        <v>297.94099999999997</v>
      </c>
      <c r="E131" s="92">
        <f>89.177</f>
        <v>89.177000000000007</v>
      </c>
      <c r="F131" s="83">
        <f>240.302-40-60-100</f>
        <v>40.301999999999992</v>
      </c>
      <c r="G131" s="86">
        <v>40</v>
      </c>
      <c r="H131" s="83">
        <f>60+100</f>
        <v>160</v>
      </c>
      <c r="I131" s="83">
        <f t="shared" si="18"/>
        <v>0</v>
      </c>
      <c r="J131" s="86">
        <v>100</v>
      </c>
      <c r="K131" s="86">
        <v>300</v>
      </c>
      <c r="L131" s="83">
        <f t="shared" si="11"/>
        <v>1150</v>
      </c>
      <c r="M131" s="94">
        <v>600</v>
      </c>
      <c r="N131" s="83">
        <f>100</f>
        <v>100</v>
      </c>
      <c r="O131" s="86">
        <v>240</v>
      </c>
      <c r="P131" s="86">
        <v>40</v>
      </c>
      <c r="Q131" s="86">
        <f t="shared" si="12"/>
        <v>315</v>
      </c>
      <c r="R131" s="86">
        <f t="shared" si="13"/>
        <v>100</v>
      </c>
      <c r="S131" s="83">
        <f t="shared" si="14"/>
        <v>695</v>
      </c>
      <c r="T131" s="83">
        <f>50</f>
        <v>50</v>
      </c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</row>
    <row r="132" spans="1:30" ht="15.75" x14ac:dyDescent="0.25">
      <c r="A132" s="13">
        <v>44927</v>
      </c>
      <c r="B132" s="97">
        <v>31</v>
      </c>
      <c r="C132" s="83">
        <f>122.58</f>
        <v>122.58</v>
      </c>
      <c r="D132" s="83">
        <f>297.941</f>
        <v>297.94099999999997</v>
      </c>
      <c r="E132" s="92">
        <f>89.177</f>
        <v>89.177000000000007</v>
      </c>
      <c r="F132" s="83">
        <f>240.302-40-60-100</f>
        <v>40.301999999999992</v>
      </c>
      <c r="G132" s="86">
        <v>40</v>
      </c>
      <c r="H132" s="83">
        <f>60+100</f>
        <v>160</v>
      </c>
      <c r="I132" s="83">
        <f t="shared" si="18"/>
        <v>0</v>
      </c>
      <c r="J132" s="86">
        <v>100</v>
      </c>
      <c r="K132" s="86">
        <v>300</v>
      </c>
      <c r="L132" s="83">
        <f t="shared" si="11"/>
        <v>1150</v>
      </c>
      <c r="M132" s="94">
        <v>600</v>
      </c>
      <c r="N132" s="83">
        <f>100</f>
        <v>100</v>
      </c>
      <c r="O132" s="86">
        <v>240</v>
      </c>
      <c r="P132" s="86">
        <v>40</v>
      </c>
      <c r="Q132" s="86">
        <f t="shared" si="12"/>
        <v>315</v>
      </c>
      <c r="R132" s="86">
        <f t="shared" si="13"/>
        <v>100</v>
      </c>
      <c r="S132" s="83">
        <f t="shared" si="14"/>
        <v>695</v>
      </c>
      <c r="T132" s="83">
        <f>50</f>
        <v>50</v>
      </c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</row>
    <row r="133" spans="1:30" ht="15.75" x14ac:dyDescent="0.25">
      <c r="A133" s="13">
        <v>44958</v>
      </c>
      <c r="B133" s="97">
        <v>28</v>
      </c>
      <c r="C133" s="83">
        <f>122.58</f>
        <v>122.58</v>
      </c>
      <c r="D133" s="83">
        <f>297.941</f>
        <v>297.94099999999997</v>
      </c>
      <c r="E133" s="92">
        <f>89.177</f>
        <v>89.177000000000007</v>
      </c>
      <c r="F133" s="83">
        <f>240.302-40-60-100</f>
        <v>40.301999999999992</v>
      </c>
      <c r="G133" s="86">
        <v>40</v>
      </c>
      <c r="H133" s="83">
        <f>60+100</f>
        <v>160</v>
      </c>
      <c r="I133" s="83">
        <f t="shared" si="18"/>
        <v>0</v>
      </c>
      <c r="J133" s="86">
        <v>100</v>
      </c>
      <c r="K133" s="86">
        <v>300</v>
      </c>
      <c r="L133" s="83">
        <f t="shared" si="11"/>
        <v>1150</v>
      </c>
      <c r="M133" s="94">
        <v>600</v>
      </c>
      <c r="N133" s="83">
        <f>100</f>
        <v>100</v>
      </c>
      <c r="O133" s="86">
        <v>240</v>
      </c>
      <c r="P133" s="86">
        <v>40</v>
      </c>
      <c r="Q133" s="86">
        <f t="shared" si="12"/>
        <v>315</v>
      </c>
      <c r="R133" s="86">
        <f t="shared" si="13"/>
        <v>100</v>
      </c>
      <c r="S133" s="83">
        <f t="shared" si="14"/>
        <v>695</v>
      </c>
      <c r="T133" s="83">
        <f>50</f>
        <v>50</v>
      </c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</row>
    <row r="134" spans="1:30" ht="15.75" x14ac:dyDescent="0.25">
      <c r="A134" s="13">
        <v>44986</v>
      </c>
      <c r="B134" s="97">
        <v>31</v>
      </c>
      <c r="C134" s="83">
        <f>122.58</f>
        <v>122.58</v>
      </c>
      <c r="D134" s="83">
        <f>297.941</f>
        <v>297.94099999999997</v>
      </c>
      <c r="E134" s="92">
        <f>89.177</f>
        <v>89.177000000000007</v>
      </c>
      <c r="F134" s="83">
        <f>240.302-40-60-100</f>
        <v>40.301999999999992</v>
      </c>
      <c r="G134" s="86">
        <v>40</v>
      </c>
      <c r="H134" s="83">
        <f>60+100</f>
        <v>160</v>
      </c>
      <c r="I134" s="83">
        <f t="shared" si="18"/>
        <v>0</v>
      </c>
      <c r="J134" s="86">
        <v>100</v>
      </c>
      <c r="K134" s="86">
        <v>300</v>
      </c>
      <c r="L134" s="83">
        <f t="shared" si="11"/>
        <v>1150</v>
      </c>
      <c r="M134" s="94">
        <v>600</v>
      </c>
      <c r="N134" s="83">
        <f>100</f>
        <v>100</v>
      </c>
      <c r="O134" s="86">
        <v>240</v>
      </c>
      <c r="P134" s="86">
        <v>40</v>
      </c>
      <c r="Q134" s="86">
        <f t="shared" si="12"/>
        <v>315</v>
      </c>
      <c r="R134" s="86">
        <f t="shared" si="13"/>
        <v>100</v>
      </c>
      <c r="S134" s="83">
        <f t="shared" si="14"/>
        <v>695</v>
      </c>
      <c r="T134" s="83">
        <f>50</f>
        <v>50</v>
      </c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</row>
    <row r="135" spans="1:30" ht="15.75" x14ac:dyDescent="0.25">
      <c r="A135" s="13">
        <v>45017</v>
      </c>
      <c r="B135" s="97">
        <v>30</v>
      </c>
      <c r="C135" s="83">
        <f>141.293</f>
        <v>141.29300000000001</v>
      </c>
      <c r="D135" s="83">
        <f>267.993</f>
        <v>267.99299999999999</v>
      </c>
      <c r="E135" s="92">
        <f>115.016</f>
        <v>115.01600000000001</v>
      </c>
      <c r="F135" s="83">
        <f>314.698-40-25-60-100</f>
        <v>89.697999999999979</v>
      </c>
      <c r="G135" s="86">
        <v>40</v>
      </c>
      <c r="H135" s="83">
        <f t="shared" ref="H135:H141" si="20">25+60+100</f>
        <v>185</v>
      </c>
      <c r="I135" s="83">
        <f t="shared" si="18"/>
        <v>0</v>
      </c>
      <c r="J135" s="86">
        <v>100</v>
      </c>
      <c r="K135" s="86">
        <v>300</v>
      </c>
      <c r="L135" s="83">
        <f t="shared" si="11"/>
        <v>1239</v>
      </c>
      <c r="M135" s="94">
        <v>600</v>
      </c>
      <c r="N135" s="83">
        <f>100</f>
        <v>100</v>
      </c>
      <c r="O135" s="86">
        <v>240</v>
      </c>
      <c r="P135" s="86">
        <v>160</v>
      </c>
      <c r="Q135" s="86">
        <f t="shared" si="12"/>
        <v>195</v>
      </c>
      <c r="R135" s="86">
        <f t="shared" si="13"/>
        <v>100</v>
      </c>
      <c r="S135" s="83">
        <f t="shared" si="14"/>
        <v>695</v>
      </c>
      <c r="T135" s="83">
        <f>50</f>
        <v>50</v>
      </c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</row>
    <row r="136" spans="1:30" ht="15.75" x14ac:dyDescent="0.25">
      <c r="A136" s="13">
        <v>45047</v>
      </c>
      <c r="B136" s="97">
        <v>31</v>
      </c>
      <c r="C136" s="83">
        <f>194.205</f>
        <v>194.20500000000001</v>
      </c>
      <c r="D136" s="83">
        <f>267.466</f>
        <v>267.46600000000001</v>
      </c>
      <c r="E136" s="92">
        <f>133.845</f>
        <v>133.845</v>
      </c>
      <c r="F136" s="83">
        <f>278.484-40-25-60-100</f>
        <v>53.48399999999998</v>
      </c>
      <c r="G136" s="86">
        <v>40</v>
      </c>
      <c r="H136" s="83">
        <f t="shared" si="20"/>
        <v>185</v>
      </c>
      <c r="I136" s="83">
        <f t="shared" si="18"/>
        <v>0</v>
      </c>
      <c r="J136" s="86">
        <v>100</v>
      </c>
      <c r="K136" s="86">
        <v>300</v>
      </c>
      <c r="L136" s="83">
        <f t="shared" si="11"/>
        <v>1274</v>
      </c>
      <c r="M136" s="94">
        <v>600</v>
      </c>
      <c r="N136" s="83">
        <f>75</f>
        <v>75</v>
      </c>
      <c r="O136" s="86">
        <v>240</v>
      </c>
      <c r="P136" s="86">
        <v>160</v>
      </c>
      <c r="Q136" s="86">
        <f t="shared" si="12"/>
        <v>195</v>
      </c>
      <c r="R136" s="86">
        <f t="shared" si="13"/>
        <v>100</v>
      </c>
      <c r="S136" s="83">
        <f t="shared" si="14"/>
        <v>695</v>
      </c>
      <c r="T136" s="83">
        <f>50</f>
        <v>50</v>
      </c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</row>
    <row r="137" spans="1:30" ht="15.75" x14ac:dyDescent="0.25">
      <c r="A137" s="13">
        <v>45078</v>
      </c>
      <c r="B137" s="97">
        <v>30</v>
      </c>
      <c r="C137" s="83">
        <f>194.205</f>
        <v>194.20500000000001</v>
      </c>
      <c r="D137" s="83">
        <f>267.466</f>
        <v>267.46600000000001</v>
      </c>
      <c r="E137" s="92">
        <f>133.845</f>
        <v>133.845</v>
      </c>
      <c r="F137" s="83">
        <f>278.484-40-25-60-100</f>
        <v>53.48399999999998</v>
      </c>
      <c r="G137" s="86">
        <v>40</v>
      </c>
      <c r="H137" s="83">
        <f t="shared" si="20"/>
        <v>185</v>
      </c>
      <c r="I137" s="83">
        <f t="shared" si="18"/>
        <v>0</v>
      </c>
      <c r="J137" s="86">
        <v>100</v>
      </c>
      <c r="K137" s="86">
        <v>300</v>
      </c>
      <c r="L137" s="83">
        <f t="shared" si="11"/>
        <v>1274</v>
      </c>
      <c r="M137" s="94">
        <v>600</v>
      </c>
      <c r="N137" s="83">
        <f>30</f>
        <v>30</v>
      </c>
      <c r="O137" s="86">
        <v>240</v>
      </c>
      <c r="P137" s="86">
        <v>160</v>
      </c>
      <c r="Q137" s="86">
        <f t="shared" si="12"/>
        <v>195</v>
      </c>
      <c r="R137" s="86">
        <f t="shared" si="13"/>
        <v>100</v>
      </c>
      <c r="S137" s="83">
        <f t="shared" si="14"/>
        <v>695</v>
      </c>
      <c r="T137" s="83">
        <f>50</f>
        <v>50</v>
      </c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</row>
    <row r="138" spans="1:30" ht="15.75" x14ac:dyDescent="0.25">
      <c r="A138" s="13">
        <v>45108</v>
      </c>
      <c r="B138" s="97">
        <v>31</v>
      </c>
      <c r="C138" s="83">
        <f>194.205</f>
        <v>194.20500000000001</v>
      </c>
      <c r="D138" s="83">
        <f>267.466</f>
        <v>267.46600000000001</v>
      </c>
      <c r="E138" s="92">
        <f>133.845</f>
        <v>133.845</v>
      </c>
      <c r="F138" s="83">
        <f>278.484-40-25-60-100</f>
        <v>53.48399999999998</v>
      </c>
      <c r="G138" s="86">
        <v>40</v>
      </c>
      <c r="H138" s="83">
        <f t="shared" si="20"/>
        <v>185</v>
      </c>
      <c r="I138" s="83">
        <f t="shared" si="18"/>
        <v>0</v>
      </c>
      <c r="J138" s="86">
        <v>100</v>
      </c>
      <c r="K138" s="86">
        <v>300</v>
      </c>
      <c r="L138" s="83">
        <f t="shared" si="11"/>
        <v>1274</v>
      </c>
      <c r="M138" s="94">
        <v>600</v>
      </c>
      <c r="N138" s="83">
        <f>30</f>
        <v>30</v>
      </c>
      <c r="O138" s="86">
        <v>240</v>
      </c>
      <c r="P138" s="86">
        <v>160</v>
      </c>
      <c r="Q138" s="86">
        <f t="shared" si="12"/>
        <v>195</v>
      </c>
      <c r="R138" s="86">
        <f t="shared" si="13"/>
        <v>100</v>
      </c>
      <c r="S138" s="83">
        <f t="shared" si="14"/>
        <v>695</v>
      </c>
      <c r="T138" s="83">
        <f>0</f>
        <v>0</v>
      </c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</row>
    <row r="139" spans="1:30" ht="15.75" x14ac:dyDescent="0.25">
      <c r="A139" s="13">
        <v>45139</v>
      </c>
      <c r="B139" s="97">
        <v>31</v>
      </c>
      <c r="C139" s="83">
        <f>194.205</f>
        <v>194.20500000000001</v>
      </c>
      <c r="D139" s="83">
        <f>267.466</f>
        <v>267.46600000000001</v>
      </c>
      <c r="E139" s="92">
        <f>133.845</f>
        <v>133.845</v>
      </c>
      <c r="F139" s="83">
        <f>278.484-40-25-60-100</f>
        <v>53.48399999999998</v>
      </c>
      <c r="G139" s="86">
        <v>40</v>
      </c>
      <c r="H139" s="83">
        <f t="shared" si="20"/>
        <v>185</v>
      </c>
      <c r="I139" s="83">
        <f t="shared" si="18"/>
        <v>0</v>
      </c>
      <c r="J139" s="86">
        <v>100</v>
      </c>
      <c r="K139" s="86">
        <v>300</v>
      </c>
      <c r="L139" s="83">
        <f t="shared" si="11"/>
        <v>1274</v>
      </c>
      <c r="M139" s="94">
        <v>600</v>
      </c>
      <c r="N139" s="83">
        <f>30</f>
        <v>30</v>
      </c>
      <c r="O139" s="86">
        <v>240</v>
      </c>
      <c r="P139" s="86">
        <v>160</v>
      </c>
      <c r="Q139" s="86">
        <f t="shared" si="12"/>
        <v>195</v>
      </c>
      <c r="R139" s="86">
        <f t="shared" si="13"/>
        <v>100</v>
      </c>
      <c r="S139" s="83">
        <f t="shared" si="14"/>
        <v>695</v>
      </c>
      <c r="T139" s="83">
        <f>0</f>
        <v>0</v>
      </c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</row>
    <row r="140" spans="1:30" ht="15.75" x14ac:dyDescent="0.25">
      <c r="A140" s="13">
        <v>45170</v>
      </c>
      <c r="B140" s="97">
        <v>30</v>
      </c>
      <c r="C140" s="83">
        <f>194.205</f>
        <v>194.20500000000001</v>
      </c>
      <c r="D140" s="83">
        <f>267.466</f>
        <v>267.46600000000001</v>
      </c>
      <c r="E140" s="92">
        <f>133.845</f>
        <v>133.845</v>
      </c>
      <c r="F140" s="83">
        <f>278.484-40-25-60-100</f>
        <v>53.48399999999998</v>
      </c>
      <c r="G140" s="86">
        <v>40</v>
      </c>
      <c r="H140" s="83">
        <f t="shared" si="20"/>
        <v>185</v>
      </c>
      <c r="I140" s="83">
        <f t="shared" si="18"/>
        <v>0</v>
      </c>
      <c r="J140" s="86">
        <v>100</v>
      </c>
      <c r="K140" s="86">
        <v>300</v>
      </c>
      <c r="L140" s="83">
        <f t="shared" si="11"/>
        <v>1274</v>
      </c>
      <c r="M140" s="94">
        <v>600</v>
      </c>
      <c r="N140" s="83">
        <f>30</f>
        <v>30</v>
      </c>
      <c r="O140" s="86">
        <v>240</v>
      </c>
      <c r="P140" s="86">
        <v>160</v>
      </c>
      <c r="Q140" s="86">
        <f t="shared" si="12"/>
        <v>195</v>
      </c>
      <c r="R140" s="86">
        <f t="shared" si="13"/>
        <v>100</v>
      </c>
      <c r="S140" s="83">
        <f t="shared" si="14"/>
        <v>695</v>
      </c>
      <c r="T140" s="83">
        <f>0</f>
        <v>0</v>
      </c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</row>
    <row r="141" spans="1:30" ht="15.75" x14ac:dyDescent="0.25">
      <c r="A141" s="13">
        <v>45200</v>
      </c>
      <c r="B141" s="97">
        <v>31</v>
      </c>
      <c r="C141" s="83">
        <f>131.881</f>
        <v>131.881</v>
      </c>
      <c r="D141" s="83">
        <f>277.167</f>
        <v>277.16699999999997</v>
      </c>
      <c r="E141" s="92">
        <f>79.08</f>
        <v>79.08</v>
      </c>
      <c r="F141" s="83">
        <f>350.872-40-25-60-100</f>
        <v>125.87200000000001</v>
      </c>
      <c r="G141" s="86">
        <v>40</v>
      </c>
      <c r="H141" s="83">
        <f t="shared" si="20"/>
        <v>185</v>
      </c>
      <c r="I141" s="83">
        <f t="shared" si="18"/>
        <v>0</v>
      </c>
      <c r="J141" s="86">
        <v>100</v>
      </c>
      <c r="K141" s="86">
        <v>300</v>
      </c>
      <c r="L141" s="83">
        <f t="shared" si="11"/>
        <v>1239</v>
      </c>
      <c r="M141" s="94">
        <v>600</v>
      </c>
      <c r="N141" s="83">
        <f>75</f>
        <v>75</v>
      </c>
      <c r="O141" s="86">
        <v>240</v>
      </c>
      <c r="P141" s="86">
        <v>160</v>
      </c>
      <c r="Q141" s="86">
        <f t="shared" si="12"/>
        <v>195</v>
      </c>
      <c r="R141" s="86">
        <f t="shared" si="13"/>
        <v>100</v>
      </c>
      <c r="S141" s="83">
        <f t="shared" si="14"/>
        <v>695</v>
      </c>
      <c r="T141" s="83">
        <f>0</f>
        <v>0</v>
      </c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</row>
    <row r="142" spans="1:30" ht="15.75" x14ac:dyDescent="0.25">
      <c r="A142" s="13">
        <v>45231</v>
      </c>
      <c r="B142" s="97">
        <v>30</v>
      </c>
      <c r="C142" s="83">
        <f>122.58</f>
        <v>122.58</v>
      </c>
      <c r="D142" s="83">
        <f>297.941</f>
        <v>297.94099999999997</v>
      </c>
      <c r="E142" s="92">
        <f>89.177</f>
        <v>89.177000000000007</v>
      </c>
      <c r="F142" s="83">
        <f>240.302-40-60-100</f>
        <v>40.301999999999992</v>
      </c>
      <c r="G142" s="86">
        <v>40</v>
      </c>
      <c r="H142" s="83">
        <f>60+100</f>
        <v>160</v>
      </c>
      <c r="I142" s="83">
        <f t="shared" si="18"/>
        <v>0</v>
      </c>
      <c r="J142" s="86">
        <v>100</v>
      </c>
      <c r="K142" s="86">
        <v>300</v>
      </c>
      <c r="L142" s="83">
        <f t="shared" si="11"/>
        <v>1150</v>
      </c>
      <c r="M142" s="94">
        <v>600</v>
      </c>
      <c r="N142" s="83">
        <f>100</f>
        <v>100</v>
      </c>
      <c r="O142" s="86">
        <v>240</v>
      </c>
      <c r="P142" s="86">
        <v>40</v>
      </c>
      <c r="Q142" s="86">
        <f t="shared" si="12"/>
        <v>315</v>
      </c>
      <c r="R142" s="86">
        <f t="shared" si="13"/>
        <v>100</v>
      </c>
      <c r="S142" s="83">
        <f t="shared" si="14"/>
        <v>695</v>
      </c>
      <c r="T142" s="83">
        <f>50</f>
        <v>50</v>
      </c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</row>
    <row r="143" spans="1:30" ht="15.75" x14ac:dyDescent="0.25">
      <c r="A143" s="13">
        <v>45261</v>
      </c>
      <c r="B143" s="97">
        <v>31</v>
      </c>
      <c r="C143" s="83">
        <f>122.58</f>
        <v>122.58</v>
      </c>
      <c r="D143" s="83">
        <f>297.941</f>
        <v>297.94099999999997</v>
      </c>
      <c r="E143" s="92">
        <f>89.177</f>
        <v>89.177000000000007</v>
      </c>
      <c r="F143" s="83">
        <f>240.302-40-60-100</f>
        <v>40.301999999999992</v>
      </c>
      <c r="G143" s="86">
        <v>40</v>
      </c>
      <c r="H143" s="83">
        <f>60+100</f>
        <v>160</v>
      </c>
      <c r="I143" s="83">
        <f t="shared" si="18"/>
        <v>0</v>
      </c>
      <c r="J143" s="86">
        <v>100</v>
      </c>
      <c r="K143" s="86">
        <v>300</v>
      </c>
      <c r="L143" s="83">
        <f t="shared" si="11"/>
        <v>1150</v>
      </c>
      <c r="M143" s="94">
        <v>600</v>
      </c>
      <c r="N143" s="83">
        <f>100</f>
        <v>100</v>
      </c>
      <c r="O143" s="86">
        <v>240</v>
      </c>
      <c r="P143" s="86">
        <v>40</v>
      </c>
      <c r="Q143" s="86">
        <f t="shared" si="12"/>
        <v>315</v>
      </c>
      <c r="R143" s="86">
        <f t="shared" si="13"/>
        <v>100</v>
      </c>
      <c r="S143" s="83">
        <f t="shared" si="14"/>
        <v>695</v>
      </c>
      <c r="T143" s="83">
        <f>50</f>
        <v>50</v>
      </c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</row>
    <row r="144" spans="1:30" ht="15.75" x14ac:dyDescent="0.25">
      <c r="A144" s="13">
        <v>45292</v>
      </c>
      <c r="B144" s="97">
        <v>31</v>
      </c>
      <c r="C144" s="83">
        <f>122.58</f>
        <v>122.58</v>
      </c>
      <c r="D144" s="83">
        <f>297.941</f>
        <v>297.94099999999997</v>
      </c>
      <c r="E144" s="92">
        <f>89.177</f>
        <v>89.177000000000007</v>
      </c>
      <c r="F144" s="83">
        <f>240.302-40-60-100</f>
        <v>40.301999999999992</v>
      </c>
      <c r="G144" s="86">
        <v>40</v>
      </c>
      <c r="H144" s="83">
        <f>60+100</f>
        <v>160</v>
      </c>
      <c r="I144" s="83">
        <f t="shared" si="18"/>
        <v>0</v>
      </c>
      <c r="J144" s="86">
        <v>100</v>
      </c>
      <c r="K144" s="86">
        <v>300</v>
      </c>
      <c r="L144" s="83">
        <f t="shared" si="11"/>
        <v>1150</v>
      </c>
      <c r="M144" s="94">
        <v>600</v>
      </c>
      <c r="N144" s="83">
        <f>100</f>
        <v>100</v>
      </c>
      <c r="O144" s="86">
        <v>240</v>
      </c>
      <c r="P144" s="86">
        <v>40</v>
      </c>
      <c r="Q144" s="86">
        <f t="shared" si="12"/>
        <v>315</v>
      </c>
      <c r="R144" s="86">
        <f t="shared" si="13"/>
        <v>100</v>
      </c>
      <c r="S144" s="83">
        <f t="shared" si="14"/>
        <v>695</v>
      </c>
      <c r="T144" s="83">
        <f>50</f>
        <v>50</v>
      </c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</row>
    <row r="145" spans="1:30" ht="15.75" x14ac:dyDescent="0.25">
      <c r="A145" s="13">
        <v>45323</v>
      </c>
      <c r="B145" s="97">
        <v>29</v>
      </c>
      <c r="C145" s="83">
        <f>122.58</f>
        <v>122.58</v>
      </c>
      <c r="D145" s="83">
        <f>297.941</f>
        <v>297.94099999999997</v>
      </c>
      <c r="E145" s="92">
        <f>89.177</f>
        <v>89.177000000000007</v>
      </c>
      <c r="F145" s="83">
        <f>240.302-40-60-100</f>
        <v>40.301999999999992</v>
      </c>
      <c r="G145" s="86">
        <v>40</v>
      </c>
      <c r="H145" s="83">
        <f>60+100</f>
        <v>160</v>
      </c>
      <c r="I145" s="83">
        <f t="shared" si="18"/>
        <v>0</v>
      </c>
      <c r="J145" s="86">
        <v>100</v>
      </c>
      <c r="K145" s="86">
        <v>300</v>
      </c>
      <c r="L145" s="83">
        <f t="shared" si="11"/>
        <v>1150</v>
      </c>
      <c r="M145" s="94">
        <v>600</v>
      </c>
      <c r="N145" s="83">
        <f>100</f>
        <v>100</v>
      </c>
      <c r="O145" s="86">
        <v>240</v>
      </c>
      <c r="P145" s="86">
        <v>40</v>
      </c>
      <c r="Q145" s="86">
        <f t="shared" si="12"/>
        <v>315</v>
      </c>
      <c r="R145" s="86">
        <f t="shared" si="13"/>
        <v>100</v>
      </c>
      <c r="S145" s="83">
        <f t="shared" si="14"/>
        <v>695</v>
      </c>
      <c r="T145" s="83">
        <f>50</f>
        <v>50</v>
      </c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</row>
    <row r="146" spans="1:30" ht="15.75" x14ac:dyDescent="0.25">
      <c r="A146" s="13">
        <v>45352</v>
      </c>
      <c r="B146" s="97">
        <v>31</v>
      </c>
      <c r="C146" s="83">
        <f>122.58</f>
        <v>122.58</v>
      </c>
      <c r="D146" s="83">
        <f>297.941</f>
        <v>297.94099999999997</v>
      </c>
      <c r="E146" s="92">
        <f>89.177</f>
        <v>89.177000000000007</v>
      </c>
      <c r="F146" s="83">
        <f>240.302-40-60-100</f>
        <v>40.301999999999992</v>
      </c>
      <c r="G146" s="86">
        <v>40</v>
      </c>
      <c r="H146" s="83">
        <f>60+100</f>
        <v>160</v>
      </c>
      <c r="I146" s="83">
        <f t="shared" si="18"/>
        <v>0</v>
      </c>
      <c r="J146" s="86">
        <v>100</v>
      </c>
      <c r="K146" s="86">
        <v>300</v>
      </c>
      <c r="L146" s="83">
        <f t="shared" si="11"/>
        <v>1150</v>
      </c>
      <c r="M146" s="94">
        <v>600</v>
      </c>
      <c r="N146" s="83">
        <f>100</f>
        <v>100</v>
      </c>
      <c r="O146" s="86">
        <v>240</v>
      </c>
      <c r="P146" s="86">
        <v>40</v>
      </c>
      <c r="Q146" s="86">
        <f t="shared" si="12"/>
        <v>315</v>
      </c>
      <c r="R146" s="86">
        <f t="shared" si="13"/>
        <v>100</v>
      </c>
      <c r="S146" s="83">
        <f t="shared" si="14"/>
        <v>695</v>
      </c>
      <c r="T146" s="83">
        <f>50</f>
        <v>50</v>
      </c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</row>
    <row r="147" spans="1:30" ht="15.75" x14ac:dyDescent="0.25">
      <c r="A147" s="13">
        <v>45383</v>
      </c>
      <c r="B147" s="97">
        <v>30</v>
      </c>
      <c r="C147" s="83">
        <f>141.293</f>
        <v>141.29300000000001</v>
      </c>
      <c r="D147" s="83">
        <f>267.993</f>
        <v>267.99299999999999</v>
      </c>
      <c r="E147" s="92">
        <f>115.016</f>
        <v>115.01600000000001</v>
      </c>
      <c r="F147" s="83">
        <f>314.698-40-25-60-100</f>
        <v>89.697999999999979</v>
      </c>
      <c r="G147" s="86">
        <v>40</v>
      </c>
      <c r="H147" s="83">
        <f t="shared" ref="H147:H153" si="21">25+60+100</f>
        <v>185</v>
      </c>
      <c r="I147" s="83">
        <f t="shared" si="18"/>
        <v>0</v>
      </c>
      <c r="J147" s="86">
        <v>100</v>
      </c>
      <c r="K147" s="86">
        <v>300</v>
      </c>
      <c r="L147" s="83">
        <f t="shared" si="11"/>
        <v>1239</v>
      </c>
      <c r="M147" s="94">
        <v>600</v>
      </c>
      <c r="N147" s="83">
        <f>100</f>
        <v>100</v>
      </c>
      <c r="O147" s="86">
        <v>240</v>
      </c>
      <c r="P147" s="86">
        <v>160</v>
      </c>
      <c r="Q147" s="86">
        <f t="shared" si="12"/>
        <v>195</v>
      </c>
      <c r="R147" s="86">
        <f t="shared" si="13"/>
        <v>100</v>
      </c>
      <c r="S147" s="83">
        <f t="shared" si="14"/>
        <v>695</v>
      </c>
      <c r="T147" s="83">
        <f>50</f>
        <v>50</v>
      </c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</row>
    <row r="148" spans="1:30" ht="15.75" x14ac:dyDescent="0.25">
      <c r="A148" s="13">
        <v>45413</v>
      </c>
      <c r="B148" s="97">
        <v>31</v>
      </c>
      <c r="C148" s="83">
        <f>194.205</f>
        <v>194.20500000000001</v>
      </c>
      <c r="D148" s="83">
        <f>267.466</f>
        <v>267.46600000000001</v>
      </c>
      <c r="E148" s="92">
        <f>133.845</f>
        <v>133.845</v>
      </c>
      <c r="F148" s="83">
        <f>278.484-40-25-60-100</f>
        <v>53.48399999999998</v>
      </c>
      <c r="G148" s="86">
        <v>40</v>
      </c>
      <c r="H148" s="83">
        <f t="shared" si="21"/>
        <v>185</v>
      </c>
      <c r="I148" s="83">
        <f t="shared" si="18"/>
        <v>0</v>
      </c>
      <c r="J148" s="86">
        <v>100</v>
      </c>
      <c r="K148" s="86">
        <v>300</v>
      </c>
      <c r="L148" s="83">
        <f t="shared" si="11"/>
        <v>1274</v>
      </c>
      <c r="M148" s="94">
        <v>600</v>
      </c>
      <c r="N148" s="83">
        <f>75</f>
        <v>75</v>
      </c>
      <c r="O148" s="86">
        <v>240</v>
      </c>
      <c r="P148" s="86">
        <v>160</v>
      </c>
      <c r="Q148" s="86">
        <f t="shared" si="12"/>
        <v>195</v>
      </c>
      <c r="R148" s="86">
        <f t="shared" si="13"/>
        <v>100</v>
      </c>
      <c r="S148" s="83">
        <f t="shared" si="14"/>
        <v>695</v>
      </c>
      <c r="T148" s="83">
        <f>50</f>
        <v>50</v>
      </c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</row>
    <row r="149" spans="1:30" ht="15.75" x14ac:dyDescent="0.25">
      <c r="A149" s="13">
        <v>45444</v>
      </c>
      <c r="B149" s="97">
        <v>30</v>
      </c>
      <c r="C149" s="83">
        <f>194.205</f>
        <v>194.20500000000001</v>
      </c>
      <c r="D149" s="83">
        <f>267.466</f>
        <v>267.46600000000001</v>
      </c>
      <c r="E149" s="92">
        <f>133.845</f>
        <v>133.845</v>
      </c>
      <c r="F149" s="83">
        <f>278.484-40-25-60-100</f>
        <v>53.48399999999998</v>
      </c>
      <c r="G149" s="86">
        <v>40</v>
      </c>
      <c r="H149" s="83">
        <f t="shared" si="21"/>
        <v>185</v>
      </c>
      <c r="I149" s="83">
        <f t="shared" si="18"/>
        <v>0</v>
      </c>
      <c r="J149" s="86">
        <v>100</v>
      </c>
      <c r="K149" s="86">
        <v>300</v>
      </c>
      <c r="L149" s="83">
        <f t="shared" si="11"/>
        <v>1274</v>
      </c>
      <c r="M149" s="94">
        <v>600</v>
      </c>
      <c r="N149" s="83">
        <f>30</f>
        <v>30</v>
      </c>
      <c r="O149" s="86">
        <v>240</v>
      </c>
      <c r="P149" s="86">
        <v>160</v>
      </c>
      <c r="Q149" s="86">
        <f t="shared" si="12"/>
        <v>195</v>
      </c>
      <c r="R149" s="86">
        <f t="shared" si="13"/>
        <v>100</v>
      </c>
      <c r="S149" s="83">
        <f t="shared" si="14"/>
        <v>695</v>
      </c>
      <c r="T149" s="83">
        <f>50</f>
        <v>50</v>
      </c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</row>
    <row r="150" spans="1:30" ht="15.75" x14ac:dyDescent="0.25">
      <c r="A150" s="13">
        <v>45474</v>
      </c>
      <c r="B150" s="97">
        <v>31</v>
      </c>
      <c r="C150" s="83">
        <f>194.205</f>
        <v>194.20500000000001</v>
      </c>
      <c r="D150" s="83">
        <f>267.466</f>
        <v>267.46600000000001</v>
      </c>
      <c r="E150" s="92">
        <f>133.845</f>
        <v>133.845</v>
      </c>
      <c r="F150" s="83">
        <f>278.484-40-25-60-100</f>
        <v>53.48399999999998</v>
      </c>
      <c r="G150" s="86">
        <v>40</v>
      </c>
      <c r="H150" s="83">
        <f t="shared" si="21"/>
        <v>185</v>
      </c>
      <c r="I150" s="83">
        <f t="shared" si="18"/>
        <v>0</v>
      </c>
      <c r="J150" s="86">
        <v>100</v>
      </c>
      <c r="K150" s="86">
        <v>300</v>
      </c>
      <c r="L150" s="83">
        <f t="shared" ref="L150:L213" si="22">SUM(C150:K150)</f>
        <v>1274</v>
      </c>
      <c r="M150" s="94">
        <v>600</v>
      </c>
      <c r="N150" s="83">
        <f>30</f>
        <v>30</v>
      </c>
      <c r="O150" s="86">
        <v>240</v>
      </c>
      <c r="P150" s="86">
        <v>160</v>
      </c>
      <c r="Q150" s="86">
        <f t="shared" ref="Q150:Q213" si="23">695-R150-O150-P150</f>
        <v>195</v>
      </c>
      <c r="R150" s="86">
        <f t="shared" ref="R150:R213" si="24">200-J150</f>
        <v>100</v>
      </c>
      <c r="S150" s="83">
        <f t="shared" ref="S150:S213" si="25">SUM(O150:R150)</f>
        <v>695</v>
      </c>
      <c r="T150" s="83">
        <f>0</f>
        <v>0</v>
      </c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</row>
    <row r="151" spans="1:30" ht="15.75" x14ac:dyDescent="0.25">
      <c r="A151" s="13">
        <v>45505</v>
      </c>
      <c r="B151" s="97">
        <v>31</v>
      </c>
      <c r="C151" s="83">
        <f>194.205</f>
        <v>194.20500000000001</v>
      </c>
      <c r="D151" s="83">
        <f>267.466</f>
        <v>267.46600000000001</v>
      </c>
      <c r="E151" s="92">
        <f>133.845</f>
        <v>133.845</v>
      </c>
      <c r="F151" s="83">
        <f>278.484-40-25-60-100</f>
        <v>53.48399999999998</v>
      </c>
      <c r="G151" s="86">
        <v>40</v>
      </c>
      <c r="H151" s="83">
        <f t="shared" si="21"/>
        <v>185</v>
      </c>
      <c r="I151" s="83">
        <f t="shared" si="18"/>
        <v>0</v>
      </c>
      <c r="J151" s="86">
        <v>100</v>
      </c>
      <c r="K151" s="86">
        <v>300</v>
      </c>
      <c r="L151" s="83">
        <f t="shared" si="22"/>
        <v>1274</v>
      </c>
      <c r="M151" s="94">
        <v>600</v>
      </c>
      <c r="N151" s="83">
        <f>30</f>
        <v>30</v>
      </c>
      <c r="O151" s="86">
        <v>240</v>
      </c>
      <c r="P151" s="86">
        <v>160</v>
      </c>
      <c r="Q151" s="86">
        <f t="shared" si="23"/>
        <v>195</v>
      </c>
      <c r="R151" s="86">
        <f t="shared" si="24"/>
        <v>100</v>
      </c>
      <c r="S151" s="83">
        <f t="shared" si="25"/>
        <v>695</v>
      </c>
      <c r="T151" s="83">
        <f>0</f>
        <v>0</v>
      </c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</row>
    <row r="152" spans="1:30" ht="15.75" x14ac:dyDescent="0.25">
      <c r="A152" s="13">
        <v>45536</v>
      </c>
      <c r="B152" s="97">
        <v>30</v>
      </c>
      <c r="C152" s="83">
        <f>194.205</f>
        <v>194.20500000000001</v>
      </c>
      <c r="D152" s="83">
        <f>267.466</f>
        <v>267.46600000000001</v>
      </c>
      <c r="E152" s="92">
        <f>133.845</f>
        <v>133.845</v>
      </c>
      <c r="F152" s="83">
        <f>278.484-40-25-60-100</f>
        <v>53.48399999999998</v>
      </c>
      <c r="G152" s="86">
        <v>40</v>
      </c>
      <c r="H152" s="83">
        <f t="shared" si="21"/>
        <v>185</v>
      </c>
      <c r="I152" s="83">
        <f t="shared" si="18"/>
        <v>0</v>
      </c>
      <c r="J152" s="86">
        <v>100</v>
      </c>
      <c r="K152" s="86">
        <v>300</v>
      </c>
      <c r="L152" s="83">
        <f t="shared" si="22"/>
        <v>1274</v>
      </c>
      <c r="M152" s="94">
        <v>600</v>
      </c>
      <c r="N152" s="83">
        <f>30</f>
        <v>30</v>
      </c>
      <c r="O152" s="86">
        <v>240</v>
      </c>
      <c r="P152" s="86">
        <v>160</v>
      </c>
      <c r="Q152" s="86">
        <f t="shared" si="23"/>
        <v>195</v>
      </c>
      <c r="R152" s="86">
        <f t="shared" si="24"/>
        <v>100</v>
      </c>
      <c r="S152" s="83">
        <f t="shared" si="25"/>
        <v>695</v>
      </c>
      <c r="T152" s="83">
        <f>0</f>
        <v>0</v>
      </c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</row>
    <row r="153" spans="1:30" ht="15.75" x14ac:dyDescent="0.25">
      <c r="A153" s="13">
        <v>45566</v>
      </c>
      <c r="B153" s="97">
        <v>31</v>
      </c>
      <c r="C153" s="83">
        <f>131.881</f>
        <v>131.881</v>
      </c>
      <c r="D153" s="83">
        <f>277.167</f>
        <v>277.16699999999997</v>
      </c>
      <c r="E153" s="92">
        <f>79.08</f>
        <v>79.08</v>
      </c>
      <c r="F153" s="83">
        <f>350.872-40-25-60-100</f>
        <v>125.87200000000001</v>
      </c>
      <c r="G153" s="86">
        <v>40</v>
      </c>
      <c r="H153" s="83">
        <f t="shared" si="21"/>
        <v>185</v>
      </c>
      <c r="I153" s="83">
        <f t="shared" si="18"/>
        <v>0</v>
      </c>
      <c r="J153" s="86">
        <v>100</v>
      </c>
      <c r="K153" s="86">
        <v>300</v>
      </c>
      <c r="L153" s="83">
        <f t="shared" si="22"/>
        <v>1239</v>
      </c>
      <c r="M153" s="94">
        <v>600</v>
      </c>
      <c r="N153" s="83">
        <f>75</f>
        <v>75</v>
      </c>
      <c r="O153" s="86">
        <v>240</v>
      </c>
      <c r="P153" s="86">
        <v>160</v>
      </c>
      <c r="Q153" s="86">
        <f t="shared" si="23"/>
        <v>195</v>
      </c>
      <c r="R153" s="86">
        <f t="shared" si="24"/>
        <v>100</v>
      </c>
      <c r="S153" s="83">
        <f t="shared" si="25"/>
        <v>695</v>
      </c>
      <c r="T153" s="83">
        <f>0</f>
        <v>0</v>
      </c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</row>
    <row r="154" spans="1:30" ht="15.75" x14ac:dyDescent="0.25">
      <c r="A154" s="13">
        <v>45597</v>
      </c>
      <c r="B154" s="97">
        <v>30</v>
      </c>
      <c r="C154" s="83">
        <f>122.58</f>
        <v>122.58</v>
      </c>
      <c r="D154" s="83">
        <f>297.941</f>
        <v>297.94099999999997</v>
      </c>
      <c r="E154" s="92">
        <f>89.177</f>
        <v>89.177000000000007</v>
      </c>
      <c r="F154" s="83">
        <f>240.302-40-60-100</f>
        <v>40.301999999999992</v>
      </c>
      <c r="G154" s="86">
        <v>40</v>
      </c>
      <c r="H154" s="83">
        <f>60+100</f>
        <v>160</v>
      </c>
      <c r="I154" s="83">
        <f t="shared" si="18"/>
        <v>0</v>
      </c>
      <c r="J154" s="86">
        <v>100</v>
      </c>
      <c r="K154" s="86">
        <v>300</v>
      </c>
      <c r="L154" s="83">
        <f t="shared" si="22"/>
        <v>1150</v>
      </c>
      <c r="M154" s="94">
        <v>600</v>
      </c>
      <c r="N154" s="83">
        <f>100</f>
        <v>100</v>
      </c>
      <c r="O154" s="86">
        <v>240</v>
      </c>
      <c r="P154" s="86">
        <v>40</v>
      </c>
      <c r="Q154" s="86">
        <f t="shared" si="23"/>
        <v>315</v>
      </c>
      <c r="R154" s="86">
        <f t="shared" si="24"/>
        <v>100</v>
      </c>
      <c r="S154" s="83">
        <f t="shared" si="25"/>
        <v>695</v>
      </c>
      <c r="T154" s="83">
        <f>50</f>
        <v>50</v>
      </c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</row>
    <row r="155" spans="1:30" ht="15.75" x14ac:dyDescent="0.25">
      <c r="A155" s="13">
        <v>45627</v>
      </c>
      <c r="B155" s="97">
        <v>31</v>
      </c>
      <c r="C155" s="83">
        <f>122.58</f>
        <v>122.58</v>
      </c>
      <c r="D155" s="83">
        <f>297.941</f>
        <v>297.94099999999997</v>
      </c>
      <c r="E155" s="92">
        <f>89.177</f>
        <v>89.177000000000007</v>
      </c>
      <c r="F155" s="83">
        <f>240.302-40-60-100</f>
        <v>40.301999999999992</v>
      </c>
      <c r="G155" s="86">
        <v>40</v>
      </c>
      <c r="H155" s="83">
        <f>60+100</f>
        <v>160</v>
      </c>
      <c r="I155" s="83">
        <f t="shared" si="18"/>
        <v>0</v>
      </c>
      <c r="J155" s="86">
        <v>100</v>
      </c>
      <c r="K155" s="86">
        <v>300</v>
      </c>
      <c r="L155" s="83">
        <f t="shared" si="22"/>
        <v>1150</v>
      </c>
      <c r="M155" s="94">
        <v>600</v>
      </c>
      <c r="N155" s="83">
        <f>100</f>
        <v>100</v>
      </c>
      <c r="O155" s="86">
        <v>240</v>
      </c>
      <c r="P155" s="86">
        <v>40</v>
      </c>
      <c r="Q155" s="86">
        <f t="shared" si="23"/>
        <v>315</v>
      </c>
      <c r="R155" s="86">
        <f t="shared" si="24"/>
        <v>100</v>
      </c>
      <c r="S155" s="83">
        <f t="shared" si="25"/>
        <v>695</v>
      </c>
      <c r="T155" s="83">
        <f>50</f>
        <v>50</v>
      </c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</row>
    <row r="156" spans="1:30" ht="15.75" x14ac:dyDescent="0.25">
      <c r="A156" s="13">
        <v>45658</v>
      </c>
      <c r="B156" s="97">
        <v>31</v>
      </c>
      <c r="C156" s="83">
        <f>122.58</f>
        <v>122.58</v>
      </c>
      <c r="D156" s="83">
        <f>297.941</f>
        <v>297.94099999999997</v>
      </c>
      <c r="E156" s="92">
        <f>89.177</f>
        <v>89.177000000000007</v>
      </c>
      <c r="F156" s="83">
        <f>240.302-40-60-100</f>
        <v>40.301999999999992</v>
      </c>
      <c r="G156" s="86">
        <v>40</v>
      </c>
      <c r="H156" s="83">
        <f>60+100</f>
        <v>160</v>
      </c>
      <c r="I156" s="83">
        <f t="shared" si="18"/>
        <v>0</v>
      </c>
      <c r="J156" s="86">
        <v>100</v>
      </c>
      <c r="K156" s="86">
        <v>300</v>
      </c>
      <c r="L156" s="83">
        <f t="shared" si="22"/>
        <v>1150</v>
      </c>
      <c r="M156" s="94">
        <v>600</v>
      </c>
      <c r="N156" s="83">
        <f>100</f>
        <v>100</v>
      </c>
      <c r="O156" s="86">
        <v>240</v>
      </c>
      <c r="P156" s="86">
        <v>40</v>
      </c>
      <c r="Q156" s="86">
        <f t="shared" si="23"/>
        <v>315</v>
      </c>
      <c r="R156" s="86">
        <f t="shared" si="24"/>
        <v>100</v>
      </c>
      <c r="S156" s="83">
        <f t="shared" si="25"/>
        <v>695</v>
      </c>
      <c r="T156" s="83">
        <f>50</f>
        <v>50</v>
      </c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</row>
    <row r="157" spans="1:30" ht="15.75" x14ac:dyDescent="0.25">
      <c r="A157" s="13">
        <v>45689</v>
      </c>
      <c r="B157" s="97">
        <v>28</v>
      </c>
      <c r="C157" s="83">
        <f>122.58</f>
        <v>122.58</v>
      </c>
      <c r="D157" s="83">
        <f>297.941</f>
        <v>297.94099999999997</v>
      </c>
      <c r="E157" s="92">
        <f>89.177</f>
        <v>89.177000000000007</v>
      </c>
      <c r="F157" s="83">
        <f>240.302-40-60-100</f>
        <v>40.301999999999992</v>
      </c>
      <c r="G157" s="86">
        <v>40</v>
      </c>
      <c r="H157" s="83">
        <f>60+100</f>
        <v>160</v>
      </c>
      <c r="I157" s="83">
        <f t="shared" si="18"/>
        <v>0</v>
      </c>
      <c r="J157" s="86">
        <v>100</v>
      </c>
      <c r="K157" s="86">
        <v>300</v>
      </c>
      <c r="L157" s="83">
        <f t="shared" si="22"/>
        <v>1150</v>
      </c>
      <c r="M157" s="94">
        <v>600</v>
      </c>
      <c r="N157" s="83">
        <f>100</f>
        <v>100</v>
      </c>
      <c r="O157" s="86">
        <v>240</v>
      </c>
      <c r="P157" s="86">
        <v>40</v>
      </c>
      <c r="Q157" s="86">
        <f t="shared" si="23"/>
        <v>315</v>
      </c>
      <c r="R157" s="86">
        <f t="shared" si="24"/>
        <v>100</v>
      </c>
      <c r="S157" s="83">
        <f t="shared" si="25"/>
        <v>695</v>
      </c>
      <c r="T157" s="83">
        <f>50</f>
        <v>50</v>
      </c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</row>
    <row r="158" spans="1:30" ht="15.75" x14ac:dyDescent="0.25">
      <c r="A158" s="13">
        <v>45717</v>
      </c>
      <c r="B158" s="97">
        <v>31</v>
      </c>
      <c r="C158" s="83">
        <f>122.58</f>
        <v>122.58</v>
      </c>
      <c r="D158" s="83">
        <f>297.941</f>
        <v>297.94099999999997</v>
      </c>
      <c r="E158" s="92">
        <f>89.177</f>
        <v>89.177000000000007</v>
      </c>
      <c r="F158" s="83">
        <f>240.302-40-60-100</f>
        <v>40.301999999999992</v>
      </c>
      <c r="G158" s="86">
        <v>40</v>
      </c>
      <c r="H158" s="83">
        <f>60+100</f>
        <v>160</v>
      </c>
      <c r="I158" s="83">
        <f t="shared" si="18"/>
        <v>0</v>
      </c>
      <c r="J158" s="86">
        <v>100</v>
      </c>
      <c r="K158" s="86">
        <v>300</v>
      </c>
      <c r="L158" s="83">
        <f t="shared" si="22"/>
        <v>1150</v>
      </c>
      <c r="M158" s="94">
        <v>600</v>
      </c>
      <c r="N158" s="83">
        <f>100</f>
        <v>100</v>
      </c>
      <c r="O158" s="86">
        <v>240</v>
      </c>
      <c r="P158" s="86">
        <v>40</v>
      </c>
      <c r="Q158" s="86">
        <f t="shared" si="23"/>
        <v>315</v>
      </c>
      <c r="R158" s="86">
        <f t="shared" si="24"/>
        <v>100</v>
      </c>
      <c r="S158" s="83">
        <f t="shared" si="25"/>
        <v>695</v>
      </c>
      <c r="T158" s="83">
        <f>50</f>
        <v>50</v>
      </c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</row>
    <row r="159" spans="1:30" ht="15.75" x14ac:dyDescent="0.25">
      <c r="A159" s="13">
        <v>45748</v>
      </c>
      <c r="B159" s="97">
        <v>30</v>
      </c>
      <c r="C159" s="83">
        <f>141.293</f>
        <v>141.29300000000001</v>
      </c>
      <c r="D159" s="83">
        <f>267.993</f>
        <v>267.99299999999999</v>
      </c>
      <c r="E159" s="92">
        <f>115.016</f>
        <v>115.01600000000001</v>
      </c>
      <c r="F159" s="83">
        <f>314.698-40-25-60-100</f>
        <v>89.697999999999979</v>
      </c>
      <c r="G159" s="86">
        <v>40</v>
      </c>
      <c r="H159" s="83">
        <f t="shared" ref="H159:H165" si="26">25+60+100</f>
        <v>185</v>
      </c>
      <c r="I159" s="83">
        <f t="shared" si="18"/>
        <v>0</v>
      </c>
      <c r="J159" s="86">
        <v>100</v>
      </c>
      <c r="K159" s="86">
        <v>300</v>
      </c>
      <c r="L159" s="83">
        <f t="shared" si="22"/>
        <v>1239</v>
      </c>
      <c r="M159" s="94">
        <v>600</v>
      </c>
      <c r="N159" s="83">
        <f>100</f>
        <v>100</v>
      </c>
      <c r="O159" s="86">
        <v>240</v>
      </c>
      <c r="P159" s="86">
        <v>160</v>
      </c>
      <c r="Q159" s="86">
        <f t="shared" si="23"/>
        <v>195</v>
      </c>
      <c r="R159" s="86">
        <f t="shared" si="24"/>
        <v>100</v>
      </c>
      <c r="S159" s="83">
        <f t="shared" si="25"/>
        <v>695</v>
      </c>
      <c r="T159" s="83">
        <f>50</f>
        <v>50</v>
      </c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</row>
    <row r="160" spans="1:30" ht="15.75" x14ac:dyDescent="0.25">
      <c r="A160" s="13">
        <v>45778</v>
      </c>
      <c r="B160" s="97">
        <v>31</v>
      </c>
      <c r="C160" s="83">
        <f>194.205</f>
        <v>194.20500000000001</v>
      </c>
      <c r="D160" s="83">
        <f>267.466</f>
        <v>267.46600000000001</v>
      </c>
      <c r="E160" s="92">
        <f>133.845</f>
        <v>133.845</v>
      </c>
      <c r="F160" s="83">
        <f>278.484-40-25-60-100</f>
        <v>53.48399999999998</v>
      </c>
      <c r="G160" s="86">
        <v>40</v>
      </c>
      <c r="H160" s="83">
        <f t="shared" si="26"/>
        <v>185</v>
      </c>
      <c r="I160" s="83">
        <f t="shared" si="18"/>
        <v>0</v>
      </c>
      <c r="J160" s="86">
        <v>100</v>
      </c>
      <c r="K160" s="86">
        <v>300</v>
      </c>
      <c r="L160" s="83">
        <f t="shared" si="22"/>
        <v>1274</v>
      </c>
      <c r="M160" s="94">
        <v>600</v>
      </c>
      <c r="N160" s="83">
        <f>75</f>
        <v>75</v>
      </c>
      <c r="O160" s="86">
        <v>240</v>
      </c>
      <c r="P160" s="86">
        <v>160</v>
      </c>
      <c r="Q160" s="86">
        <f t="shared" si="23"/>
        <v>195</v>
      </c>
      <c r="R160" s="86">
        <f t="shared" si="24"/>
        <v>100</v>
      </c>
      <c r="S160" s="83">
        <f t="shared" si="25"/>
        <v>695</v>
      </c>
      <c r="T160" s="83">
        <f>50</f>
        <v>50</v>
      </c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</row>
    <row r="161" spans="1:30" ht="15.75" x14ac:dyDescent="0.25">
      <c r="A161" s="13">
        <v>45809</v>
      </c>
      <c r="B161" s="97">
        <v>30</v>
      </c>
      <c r="C161" s="83">
        <f>194.205</f>
        <v>194.20500000000001</v>
      </c>
      <c r="D161" s="83">
        <f>267.466</f>
        <v>267.46600000000001</v>
      </c>
      <c r="E161" s="92">
        <f>133.845</f>
        <v>133.845</v>
      </c>
      <c r="F161" s="83">
        <f>278.484-40-25-60-100</f>
        <v>53.48399999999998</v>
      </c>
      <c r="G161" s="86">
        <v>40</v>
      </c>
      <c r="H161" s="83">
        <f t="shared" si="26"/>
        <v>185</v>
      </c>
      <c r="I161" s="83">
        <f t="shared" si="18"/>
        <v>0</v>
      </c>
      <c r="J161" s="86">
        <v>100</v>
      </c>
      <c r="K161" s="86">
        <v>300</v>
      </c>
      <c r="L161" s="83">
        <f t="shared" si="22"/>
        <v>1274</v>
      </c>
      <c r="M161" s="94">
        <v>600</v>
      </c>
      <c r="N161" s="83">
        <f>30</f>
        <v>30</v>
      </c>
      <c r="O161" s="86">
        <v>240</v>
      </c>
      <c r="P161" s="86">
        <v>160</v>
      </c>
      <c r="Q161" s="86">
        <f t="shared" si="23"/>
        <v>195</v>
      </c>
      <c r="R161" s="86">
        <f t="shared" si="24"/>
        <v>100</v>
      </c>
      <c r="S161" s="83">
        <f t="shared" si="25"/>
        <v>695</v>
      </c>
      <c r="T161" s="83">
        <f>50</f>
        <v>50</v>
      </c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</row>
    <row r="162" spans="1:30" ht="15.75" x14ac:dyDescent="0.25">
      <c r="A162" s="13">
        <v>45839</v>
      </c>
      <c r="B162" s="97">
        <v>31</v>
      </c>
      <c r="C162" s="83">
        <f>194.205</f>
        <v>194.20500000000001</v>
      </c>
      <c r="D162" s="83">
        <f>267.466</f>
        <v>267.46600000000001</v>
      </c>
      <c r="E162" s="92">
        <f>133.845</f>
        <v>133.845</v>
      </c>
      <c r="F162" s="83">
        <f>278.484-40-25-60-100</f>
        <v>53.48399999999998</v>
      </c>
      <c r="G162" s="86">
        <v>40</v>
      </c>
      <c r="H162" s="83">
        <f t="shared" si="26"/>
        <v>185</v>
      </c>
      <c r="I162" s="83">
        <f t="shared" si="18"/>
        <v>0</v>
      </c>
      <c r="J162" s="86">
        <v>100</v>
      </c>
      <c r="K162" s="86">
        <v>300</v>
      </c>
      <c r="L162" s="83">
        <f t="shared" si="22"/>
        <v>1274</v>
      </c>
      <c r="M162" s="94">
        <v>600</v>
      </c>
      <c r="N162" s="83">
        <f>30</f>
        <v>30</v>
      </c>
      <c r="O162" s="86">
        <v>240</v>
      </c>
      <c r="P162" s="86">
        <v>160</v>
      </c>
      <c r="Q162" s="86">
        <f t="shared" si="23"/>
        <v>195</v>
      </c>
      <c r="R162" s="86">
        <f t="shared" si="24"/>
        <v>100</v>
      </c>
      <c r="S162" s="83">
        <f t="shared" si="25"/>
        <v>695</v>
      </c>
      <c r="T162" s="83">
        <f>0</f>
        <v>0</v>
      </c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</row>
    <row r="163" spans="1:30" ht="15.75" x14ac:dyDescent="0.25">
      <c r="A163" s="13">
        <v>45870</v>
      </c>
      <c r="B163" s="97">
        <v>31</v>
      </c>
      <c r="C163" s="83">
        <f>194.205</f>
        <v>194.20500000000001</v>
      </c>
      <c r="D163" s="83">
        <f>267.466</f>
        <v>267.46600000000001</v>
      </c>
      <c r="E163" s="92">
        <f>133.845</f>
        <v>133.845</v>
      </c>
      <c r="F163" s="83">
        <f>278.484-40-25-60-100</f>
        <v>53.48399999999998</v>
      </c>
      <c r="G163" s="86">
        <v>40</v>
      </c>
      <c r="H163" s="83">
        <f t="shared" si="26"/>
        <v>185</v>
      </c>
      <c r="I163" s="83">
        <f t="shared" si="18"/>
        <v>0</v>
      </c>
      <c r="J163" s="86">
        <v>100</v>
      </c>
      <c r="K163" s="86">
        <v>300</v>
      </c>
      <c r="L163" s="83">
        <f t="shared" si="22"/>
        <v>1274</v>
      </c>
      <c r="M163" s="94">
        <v>600</v>
      </c>
      <c r="N163" s="83">
        <f>30</f>
        <v>30</v>
      </c>
      <c r="O163" s="86">
        <v>240</v>
      </c>
      <c r="P163" s="86">
        <v>160</v>
      </c>
      <c r="Q163" s="86">
        <f t="shared" si="23"/>
        <v>195</v>
      </c>
      <c r="R163" s="86">
        <f t="shared" si="24"/>
        <v>100</v>
      </c>
      <c r="S163" s="83">
        <f t="shared" si="25"/>
        <v>695</v>
      </c>
      <c r="T163" s="83">
        <f>0</f>
        <v>0</v>
      </c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</row>
    <row r="164" spans="1:30" ht="15.75" x14ac:dyDescent="0.25">
      <c r="A164" s="13">
        <v>45901</v>
      </c>
      <c r="B164" s="97">
        <v>30</v>
      </c>
      <c r="C164" s="83">
        <f>194.205</f>
        <v>194.20500000000001</v>
      </c>
      <c r="D164" s="83">
        <f>267.466</f>
        <v>267.46600000000001</v>
      </c>
      <c r="E164" s="92">
        <f>133.845</f>
        <v>133.845</v>
      </c>
      <c r="F164" s="83">
        <f>278.484-40-25-60-100</f>
        <v>53.48399999999998</v>
      </c>
      <c r="G164" s="86">
        <v>40</v>
      </c>
      <c r="H164" s="83">
        <f t="shared" si="26"/>
        <v>185</v>
      </c>
      <c r="I164" s="83">
        <f t="shared" si="18"/>
        <v>0</v>
      </c>
      <c r="J164" s="86">
        <v>100</v>
      </c>
      <c r="K164" s="86">
        <v>300</v>
      </c>
      <c r="L164" s="83">
        <f t="shared" si="22"/>
        <v>1274</v>
      </c>
      <c r="M164" s="94">
        <v>600</v>
      </c>
      <c r="N164" s="83">
        <f>30</f>
        <v>30</v>
      </c>
      <c r="O164" s="86">
        <v>240</v>
      </c>
      <c r="P164" s="86">
        <v>160</v>
      </c>
      <c r="Q164" s="86">
        <f t="shared" si="23"/>
        <v>195</v>
      </c>
      <c r="R164" s="86">
        <f t="shared" si="24"/>
        <v>100</v>
      </c>
      <c r="S164" s="83">
        <f t="shared" si="25"/>
        <v>695</v>
      </c>
      <c r="T164" s="83">
        <f>0</f>
        <v>0</v>
      </c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</row>
    <row r="165" spans="1:30" ht="15.75" x14ac:dyDescent="0.25">
      <c r="A165" s="13">
        <v>45931</v>
      </c>
      <c r="B165" s="97">
        <v>31</v>
      </c>
      <c r="C165" s="83">
        <f>131.881</f>
        <v>131.881</v>
      </c>
      <c r="D165" s="83">
        <f>277.167</f>
        <v>277.16699999999997</v>
      </c>
      <c r="E165" s="92">
        <f>79.08</f>
        <v>79.08</v>
      </c>
      <c r="F165" s="83">
        <f>350.872-40-25-60-100</f>
        <v>125.87200000000001</v>
      </c>
      <c r="G165" s="86">
        <v>40</v>
      </c>
      <c r="H165" s="83">
        <f t="shared" si="26"/>
        <v>185</v>
      </c>
      <c r="I165" s="83">
        <f t="shared" si="18"/>
        <v>0</v>
      </c>
      <c r="J165" s="86">
        <v>100</v>
      </c>
      <c r="K165" s="86">
        <v>300</v>
      </c>
      <c r="L165" s="83">
        <f t="shared" si="22"/>
        <v>1239</v>
      </c>
      <c r="M165" s="94">
        <v>600</v>
      </c>
      <c r="N165" s="83">
        <f>75</f>
        <v>75</v>
      </c>
      <c r="O165" s="86">
        <v>240</v>
      </c>
      <c r="P165" s="86">
        <v>160</v>
      </c>
      <c r="Q165" s="86">
        <f t="shared" si="23"/>
        <v>195</v>
      </c>
      <c r="R165" s="86">
        <f t="shared" si="24"/>
        <v>100</v>
      </c>
      <c r="S165" s="83">
        <f t="shared" si="25"/>
        <v>695</v>
      </c>
      <c r="T165" s="83">
        <f>0</f>
        <v>0</v>
      </c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</row>
    <row r="166" spans="1:30" ht="15.75" x14ac:dyDescent="0.25">
      <c r="A166" s="13">
        <v>45962</v>
      </c>
      <c r="B166" s="97">
        <v>30</v>
      </c>
      <c r="C166" s="83">
        <f>122.58</f>
        <v>122.58</v>
      </c>
      <c r="D166" s="83">
        <f>297.941</f>
        <v>297.94099999999997</v>
      </c>
      <c r="E166" s="92">
        <f>89.177</f>
        <v>89.177000000000007</v>
      </c>
      <c r="F166" s="83">
        <f>240.302-40-60-100</f>
        <v>40.301999999999992</v>
      </c>
      <c r="G166" s="86">
        <v>40</v>
      </c>
      <c r="H166" s="83">
        <f>60+100</f>
        <v>160</v>
      </c>
      <c r="I166" s="83">
        <f t="shared" si="18"/>
        <v>0</v>
      </c>
      <c r="J166" s="86">
        <v>100</v>
      </c>
      <c r="K166" s="86">
        <v>300</v>
      </c>
      <c r="L166" s="83">
        <f t="shared" si="22"/>
        <v>1150</v>
      </c>
      <c r="M166" s="94">
        <v>600</v>
      </c>
      <c r="N166" s="83">
        <f>100</f>
        <v>100</v>
      </c>
      <c r="O166" s="86">
        <v>240</v>
      </c>
      <c r="P166" s="86">
        <v>40</v>
      </c>
      <c r="Q166" s="86">
        <f t="shared" si="23"/>
        <v>315</v>
      </c>
      <c r="R166" s="86">
        <f t="shared" si="24"/>
        <v>100</v>
      </c>
      <c r="S166" s="83">
        <f t="shared" si="25"/>
        <v>695</v>
      </c>
      <c r="T166" s="83">
        <f>50</f>
        <v>50</v>
      </c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</row>
    <row r="167" spans="1:30" ht="15.75" x14ac:dyDescent="0.25">
      <c r="A167" s="13">
        <v>45992</v>
      </c>
      <c r="B167" s="97">
        <v>31</v>
      </c>
      <c r="C167" s="83">
        <f>122.58</f>
        <v>122.58</v>
      </c>
      <c r="D167" s="83">
        <f>297.941</f>
        <v>297.94099999999997</v>
      </c>
      <c r="E167" s="92">
        <f>89.177</f>
        <v>89.177000000000007</v>
      </c>
      <c r="F167" s="83">
        <f>240.302-40-60-100</f>
        <v>40.301999999999992</v>
      </c>
      <c r="G167" s="86">
        <v>40</v>
      </c>
      <c r="H167" s="83">
        <f>60+100</f>
        <v>160</v>
      </c>
      <c r="I167" s="83">
        <f t="shared" si="18"/>
        <v>0</v>
      </c>
      <c r="J167" s="86">
        <v>100</v>
      </c>
      <c r="K167" s="86">
        <v>300</v>
      </c>
      <c r="L167" s="83">
        <f t="shared" si="22"/>
        <v>1150</v>
      </c>
      <c r="M167" s="94">
        <v>600</v>
      </c>
      <c r="N167" s="83">
        <f>100</f>
        <v>100</v>
      </c>
      <c r="O167" s="86">
        <v>240</v>
      </c>
      <c r="P167" s="86">
        <v>40</v>
      </c>
      <c r="Q167" s="86">
        <f t="shared" si="23"/>
        <v>315</v>
      </c>
      <c r="R167" s="86">
        <f t="shared" si="24"/>
        <v>100</v>
      </c>
      <c r="S167" s="83">
        <f t="shared" si="25"/>
        <v>695</v>
      </c>
      <c r="T167" s="83">
        <f>50</f>
        <v>50</v>
      </c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</row>
    <row r="168" spans="1:30" ht="15.75" x14ac:dyDescent="0.25">
      <c r="A168" s="13">
        <v>46023</v>
      </c>
      <c r="B168" s="97">
        <v>31</v>
      </c>
      <c r="C168" s="83">
        <f>122.58</f>
        <v>122.58</v>
      </c>
      <c r="D168" s="83">
        <f>297.941</f>
        <v>297.94099999999997</v>
      </c>
      <c r="E168" s="92">
        <f>89.177</f>
        <v>89.177000000000007</v>
      </c>
      <c r="F168" s="83">
        <f>240.302-40-60-100</f>
        <v>40.301999999999992</v>
      </c>
      <c r="G168" s="86">
        <v>40</v>
      </c>
      <c r="H168" s="83">
        <f>60+100</f>
        <v>160</v>
      </c>
      <c r="I168" s="83">
        <f t="shared" si="18"/>
        <v>0</v>
      </c>
      <c r="J168" s="86">
        <v>100</v>
      </c>
      <c r="K168" s="86">
        <v>300</v>
      </c>
      <c r="L168" s="83">
        <f t="shared" si="22"/>
        <v>1150</v>
      </c>
      <c r="M168" s="94">
        <v>600</v>
      </c>
      <c r="N168" s="83">
        <f>100</f>
        <v>100</v>
      </c>
      <c r="O168" s="86">
        <v>240</v>
      </c>
      <c r="P168" s="86">
        <v>40</v>
      </c>
      <c r="Q168" s="86">
        <f t="shared" si="23"/>
        <v>315</v>
      </c>
      <c r="R168" s="86">
        <f t="shared" si="24"/>
        <v>100</v>
      </c>
      <c r="S168" s="83">
        <f t="shared" si="25"/>
        <v>695</v>
      </c>
      <c r="T168" s="83">
        <f>50</f>
        <v>50</v>
      </c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</row>
    <row r="169" spans="1:30" ht="15.75" x14ac:dyDescent="0.25">
      <c r="A169" s="13">
        <v>46054</v>
      </c>
      <c r="B169" s="97">
        <v>28</v>
      </c>
      <c r="C169" s="83">
        <f>122.58</f>
        <v>122.58</v>
      </c>
      <c r="D169" s="83">
        <f>297.941</f>
        <v>297.94099999999997</v>
      </c>
      <c r="E169" s="92">
        <f>89.177</f>
        <v>89.177000000000007</v>
      </c>
      <c r="F169" s="83">
        <f>240.302-40-60-100</f>
        <v>40.301999999999992</v>
      </c>
      <c r="G169" s="86">
        <v>40</v>
      </c>
      <c r="H169" s="83">
        <f>60+100</f>
        <v>160</v>
      </c>
      <c r="I169" s="83">
        <f t="shared" si="18"/>
        <v>0</v>
      </c>
      <c r="J169" s="86">
        <v>100</v>
      </c>
      <c r="K169" s="86">
        <v>300</v>
      </c>
      <c r="L169" s="83">
        <f t="shared" si="22"/>
        <v>1150</v>
      </c>
      <c r="M169" s="94">
        <v>600</v>
      </c>
      <c r="N169" s="83">
        <f>100</f>
        <v>100</v>
      </c>
      <c r="O169" s="86">
        <v>240</v>
      </c>
      <c r="P169" s="86">
        <v>40</v>
      </c>
      <c r="Q169" s="86">
        <f t="shared" si="23"/>
        <v>315</v>
      </c>
      <c r="R169" s="86">
        <f t="shared" si="24"/>
        <v>100</v>
      </c>
      <c r="S169" s="83">
        <f t="shared" si="25"/>
        <v>695</v>
      </c>
      <c r="T169" s="83">
        <f>50</f>
        <v>50</v>
      </c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</row>
    <row r="170" spans="1:30" ht="15.75" x14ac:dyDescent="0.25">
      <c r="A170" s="13">
        <v>46082</v>
      </c>
      <c r="B170" s="97">
        <v>31</v>
      </c>
      <c r="C170" s="83">
        <f>122.58</f>
        <v>122.58</v>
      </c>
      <c r="D170" s="83">
        <f>297.941</f>
        <v>297.94099999999997</v>
      </c>
      <c r="E170" s="92">
        <f>89.177</f>
        <v>89.177000000000007</v>
      </c>
      <c r="F170" s="83">
        <f>240.302-40-60-100</f>
        <v>40.301999999999992</v>
      </c>
      <c r="G170" s="86">
        <v>40</v>
      </c>
      <c r="H170" s="83">
        <f>60+100</f>
        <v>160</v>
      </c>
      <c r="I170" s="83">
        <f t="shared" si="18"/>
        <v>0</v>
      </c>
      <c r="J170" s="86">
        <v>100</v>
      </c>
      <c r="K170" s="86">
        <v>300</v>
      </c>
      <c r="L170" s="83">
        <f t="shared" si="22"/>
        <v>1150</v>
      </c>
      <c r="M170" s="94">
        <v>600</v>
      </c>
      <c r="N170" s="83">
        <f>100</f>
        <v>100</v>
      </c>
      <c r="O170" s="86">
        <v>240</v>
      </c>
      <c r="P170" s="86">
        <v>40</v>
      </c>
      <c r="Q170" s="86">
        <f t="shared" si="23"/>
        <v>315</v>
      </c>
      <c r="R170" s="86">
        <f t="shared" si="24"/>
        <v>100</v>
      </c>
      <c r="S170" s="83">
        <f t="shared" si="25"/>
        <v>695</v>
      </c>
      <c r="T170" s="83">
        <f>50</f>
        <v>50</v>
      </c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</row>
    <row r="171" spans="1:30" ht="15.75" x14ac:dyDescent="0.25">
      <c r="A171" s="13">
        <v>46113</v>
      </c>
      <c r="B171" s="97">
        <v>30</v>
      </c>
      <c r="C171" s="83">
        <f>141.293</f>
        <v>141.29300000000001</v>
      </c>
      <c r="D171" s="83">
        <f>267.993</f>
        <v>267.99299999999999</v>
      </c>
      <c r="E171" s="92">
        <f>115.016</f>
        <v>115.01600000000001</v>
      </c>
      <c r="F171" s="83">
        <f>314.698-40-25-60-100</f>
        <v>89.697999999999979</v>
      </c>
      <c r="G171" s="86">
        <v>40</v>
      </c>
      <c r="H171" s="83">
        <f t="shared" ref="H171:H177" si="27">25+60+100</f>
        <v>185</v>
      </c>
      <c r="I171" s="83">
        <f t="shared" si="18"/>
        <v>0</v>
      </c>
      <c r="J171" s="86">
        <v>100</v>
      </c>
      <c r="K171" s="86">
        <v>300</v>
      </c>
      <c r="L171" s="83">
        <f t="shared" si="22"/>
        <v>1239</v>
      </c>
      <c r="M171" s="94">
        <v>600</v>
      </c>
      <c r="N171" s="83">
        <f>100</f>
        <v>100</v>
      </c>
      <c r="O171" s="86">
        <v>240</v>
      </c>
      <c r="P171" s="86">
        <v>160</v>
      </c>
      <c r="Q171" s="86">
        <f t="shared" si="23"/>
        <v>195</v>
      </c>
      <c r="R171" s="86">
        <f t="shared" si="24"/>
        <v>100</v>
      </c>
      <c r="S171" s="83">
        <f t="shared" si="25"/>
        <v>695</v>
      </c>
      <c r="T171" s="83">
        <f>50</f>
        <v>50</v>
      </c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</row>
    <row r="172" spans="1:30" ht="15.75" x14ac:dyDescent="0.25">
      <c r="A172" s="13">
        <v>46143</v>
      </c>
      <c r="B172" s="97">
        <v>31</v>
      </c>
      <c r="C172" s="83">
        <f>194.205</f>
        <v>194.20500000000001</v>
      </c>
      <c r="D172" s="83">
        <f>267.466</f>
        <v>267.46600000000001</v>
      </c>
      <c r="E172" s="92">
        <f>133.845</f>
        <v>133.845</v>
      </c>
      <c r="F172" s="83">
        <f>278.484-40-25-60-100</f>
        <v>53.48399999999998</v>
      </c>
      <c r="G172" s="86">
        <v>40</v>
      </c>
      <c r="H172" s="83">
        <f t="shared" si="27"/>
        <v>185</v>
      </c>
      <c r="I172" s="83">
        <f t="shared" si="18"/>
        <v>0</v>
      </c>
      <c r="J172" s="86">
        <v>100</v>
      </c>
      <c r="K172" s="86">
        <v>300</v>
      </c>
      <c r="L172" s="83">
        <f t="shared" si="22"/>
        <v>1274</v>
      </c>
      <c r="M172" s="94">
        <v>600</v>
      </c>
      <c r="N172" s="83">
        <f>75</f>
        <v>75</v>
      </c>
      <c r="O172" s="86">
        <v>240</v>
      </c>
      <c r="P172" s="86">
        <v>160</v>
      </c>
      <c r="Q172" s="86">
        <f t="shared" si="23"/>
        <v>195</v>
      </c>
      <c r="R172" s="86">
        <f t="shared" si="24"/>
        <v>100</v>
      </c>
      <c r="S172" s="83">
        <f t="shared" si="25"/>
        <v>695</v>
      </c>
      <c r="T172" s="83">
        <f>50</f>
        <v>50</v>
      </c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</row>
    <row r="173" spans="1:30" ht="15.75" x14ac:dyDescent="0.25">
      <c r="A173" s="13">
        <v>46174</v>
      </c>
      <c r="B173" s="97">
        <v>30</v>
      </c>
      <c r="C173" s="83">
        <f>194.205</f>
        <v>194.20500000000001</v>
      </c>
      <c r="D173" s="83">
        <f>267.466</f>
        <v>267.46600000000001</v>
      </c>
      <c r="E173" s="92">
        <f>133.845</f>
        <v>133.845</v>
      </c>
      <c r="F173" s="83">
        <f>278.484-40-25-60-100</f>
        <v>53.48399999999998</v>
      </c>
      <c r="G173" s="86">
        <v>40</v>
      </c>
      <c r="H173" s="83">
        <f t="shared" si="27"/>
        <v>185</v>
      </c>
      <c r="I173" s="83">
        <f t="shared" si="18"/>
        <v>0</v>
      </c>
      <c r="J173" s="86">
        <v>100</v>
      </c>
      <c r="K173" s="86">
        <v>300</v>
      </c>
      <c r="L173" s="83">
        <f t="shared" si="22"/>
        <v>1274</v>
      </c>
      <c r="M173" s="94">
        <v>600</v>
      </c>
      <c r="N173" s="83">
        <f>30</f>
        <v>30</v>
      </c>
      <c r="O173" s="86">
        <v>240</v>
      </c>
      <c r="P173" s="86">
        <v>160</v>
      </c>
      <c r="Q173" s="86">
        <f t="shared" si="23"/>
        <v>195</v>
      </c>
      <c r="R173" s="86">
        <f t="shared" si="24"/>
        <v>100</v>
      </c>
      <c r="S173" s="83">
        <f t="shared" si="25"/>
        <v>695</v>
      </c>
      <c r="T173" s="83">
        <f>50</f>
        <v>50</v>
      </c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</row>
    <row r="174" spans="1:30" ht="15.75" x14ac:dyDescent="0.25">
      <c r="A174" s="13">
        <v>46204</v>
      </c>
      <c r="B174" s="97">
        <v>31</v>
      </c>
      <c r="C174" s="83">
        <f>194.205</f>
        <v>194.20500000000001</v>
      </c>
      <c r="D174" s="83">
        <f>267.466</f>
        <v>267.46600000000001</v>
      </c>
      <c r="E174" s="92">
        <f>133.845</f>
        <v>133.845</v>
      </c>
      <c r="F174" s="83">
        <f>278.484-40-25-60-100</f>
        <v>53.48399999999998</v>
      </c>
      <c r="G174" s="86">
        <v>40</v>
      </c>
      <c r="H174" s="83">
        <f t="shared" si="27"/>
        <v>185</v>
      </c>
      <c r="I174" s="83">
        <f t="shared" si="18"/>
        <v>0</v>
      </c>
      <c r="J174" s="86">
        <v>100</v>
      </c>
      <c r="K174" s="86">
        <v>300</v>
      </c>
      <c r="L174" s="83">
        <f t="shared" si="22"/>
        <v>1274</v>
      </c>
      <c r="M174" s="94">
        <v>600</v>
      </c>
      <c r="N174" s="83">
        <f>30</f>
        <v>30</v>
      </c>
      <c r="O174" s="86">
        <v>240</v>
      </c>
      <c r="P174" s="86">
        <v>160</v>
      </c>
      <c r="Q174" s="86">
        <f t="shared" si="23"/>
        <v>195</v>
      </c>
      <c r="R174" s="86">
        <f t="shared" si="24"/>
        <v>100</v>
      </c>
      <c r="S174" s="83">
        <f t="shared" si="25"/>
        <v>695</v>
      </c>
      <c r="T174" s="83">
        <f>0</f>
        <v>0</v>
      </c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</row>
    <row r="175" spans="1:30" ht="15.75" x14ac:dyDescent="0.25">
      <c r="A175" s="13">
        <v>46235</v>
      </c>
      <c r="B175" s="97">
        <v>31</v>
      </c>
      <c r="C175" s="83">
        <f>194.205</f>
        <v>194.20500000000001</v>
      </c>
      <c r="D175" s="83">
        <f>267.466</f>
        <v>267.46600000000001</v>
      </c>
      <c r="E175" s="92">
        <f>133.845</f>
        <v>133.845</v>
      </c>
      <c r="F175" s="83">
        <f>278.484-40-25-60-100</f>
        <v>53.48399999999998</v>
      </c>
      <c r="G175" s="86">
        <v>40</v>
      </c>
      <c r="H175" s="83">
        <f t="shared" si="27"/>
        <v>185</v>
      </c>
      <c r="I175" s="83">
        <f t="shared" si="18"/>
        <v>0</v>
      </c>
      <c r="J175" s="86">
        <v>100</v>
      </c>
      <c r="K175" s="86">
        <v>300</v>
      </c>
      <c r="L175" s="83">
        <f t="shared" si="22"/>
        <v>1274</v>
      </c>
      <c r="M175" s="94">
        <v>600</v>
      </c>
      <c r="N175" s="83">
        <f>30</f>
        <v>30</v>
      </c>
      <c r="O175" s="86">
        <v>240</v>
      </c>
      <c r="P175" s="86">
        <v>160</v>
      </c>
      <c r="Q175" s="86">
        <f t="shared" si="23"/>
        <v>195</v>
      </c>
      <c r="R175" s="86">
        <f t="shared" si="24"/>
        <v>100</v>
      </c>
      <c r="S175" s="83">
        <f t="shared" si="25"/>
        <v>695</v>
      </c>
      <c r="T175" s="83">
        <f>0</f>
        <v>0</v>
      </c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</row>
    <row r="176" spans="1:30" ht="15.75" x14ac:dyDescent="0.25">
      <c r="A176" s="13">
        <v>46266</v>
      </c>
      <c r="B176" s="97">
        <v>30</v>
      </c>
      <c r="C176" s="83">
        <f>194.205</f>
        <v>194.20500000000001</v>
      </c>
      <c r="D176" s="83">
        <f>267.466</f>
        <v>267.46600000000001</v>
      </c>
      <c r="E176" s="92">
        <f>133.845</f>
        <v>133.845</v>
      </c>
      <c r="F176" s="83">
        <f>278.484-40-25-60-100</f>
        <v>53.48399999999998</v>
      </c>
      <c r="G176" s="86">
        <v>40</v>
      </c>
      <c r="H176" s="83">
        <f t="shared" si="27"/>
        <v>185</v>
      </c>
      <c r="I176" s="83">
        <f t="shared" si="18"/>
        <v>0</v>
      </c>
      <c r="J176" s="86">
        <v>100</v>
      </c>
      <c r="K176" s="86">
        <v>300</v>
      </c>
      <c r="L176" s="83">
        <f t="shared" si="22"/>
        <v>1274</v>
      </c>
      <c r="M176" s="94">
        <v>600</v>
      </c>
      <c r="N176" s="83">
        <f>30</f>
        <v>30</v>
      </c>
      <c r="O176" s="86">
        <v>240</v>
      </c>
      <c r="P176" s="86">
        <v>160</v>
      </c>
      <c r="Q176" s="86">
        <f t="shared" si="23"/>
        <v>195</v>
      </c>
      <c r="R176" s="86">
        <f t="shared" si="24"/>
        <v>100</v>
      </c>
      <c r="S176" s="83">
        <f t="shared" si="25"/>
        <v>695</v>
      </c>
      <c r="T176" s="83">
        <f>0</f>
        <v>0</v>
      </c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</row>
    <row r="177" spans="1:30" ht="15.75" x14ac:dyDescent="0.25">
      <c r="A177" s="13">
        <v>46296</v>
      </c>
      <c r="B177" s="97">
        <v>31</v>
      </c>
      <c r="C177" s="83">
        <f>131.881</f>
        <v>131.881</v>
      </c>
      <c r="D177" s="83">
        <f>277.167</f>
        <v>277.16699999999997</v>
      </c>
      <c r="E177" s="92">
        <f>79.08</f>
        <v>79.08</v>
      </c>
      <c r="F177" s="83">
        <f>350.872-40-25-60-100</f>
        <v>125.87200000000001</v>
      </c>
      <c r="G177" s="86">
        <v>40</v>
      </c>
      <c r="H177" s="83">
        <f t="shared" si="27"/>
        <v>185</v>
      </c>
      <c r="I177" s="83">
        <f t="shared" si="18"/>
        <v>0</v>
      </c>
      <c r="J177" s="86">
        <v>100</v>
      </c>
      <c r="K177" s="86">
        <v>300</v>
      </c>
      <c r="L177" s="83">
        <f t="shared" si="22"/>
        <v>1239</v>
      </c>
      <c r="M177" s="94">
        <v>600</v>
      </c>
      <c r="N177" s="83">
        <f>75</f>
        <v>75</v>
      </c>
      <c r="O177" s="86">
        <v>240</v>
      </c>
      <c r="P177" s="86">
        <v>160</v>
      </c>
      <c r="Q177" s="86">
        <f t="shared" si="23"/>
        <v>195</v>
      </c>
      <c r="R177" s="86">
        <f t="shared" si="24"/>
        <v>100</v>
      </c>
      <c r="S177" s="83">
        <f t="shared" si="25"/>
        <v>695</v>
      </c>
      <c r="T177" s="83">
        <f>0</f>
        <v>0</v>
      </c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</row>
    <row r="178" spans="1:30" ht="15.75" x14ac:dyDescent="0.25">
      <c r="A178" s="13">
        <v>46327</v>
      </c>
      <c r="B178" s="97">
        <v>30</v>
      </c>
      <c r="C178" s="83">
        <f>122.58</f>
        <v>122.58</v>
      </c>
      <c r="D178" s="83">
        <f>297.941</f>
        <v>297.94099999999997</v>
      </c>
      <c r="E178" s="92">
        <f>89.177</f>
        <v>89.177000000000007</v>
      </c>
      <c r="F178" s="83">
        <f>240.302-40-60-100</f>
        <v>40.301999999999992</v>
      </c>
      <c r="G178" s="86">
        <v>40</v>
      </c>
      <c r="H178" s="83">
        <f>60+100</f>
        <v>160</v>
      </c>
      <c r="I178" s="83">
        <f t="shared" si="18"/>
        <v>0</v>
      </c>
      <c r="J178" s="86">
        <v>100</v>
      </c>
      <c r="K178" s="86">
        <v>300</v>
      </c>
      <c r="L178" s="83">
        <f t="shared" si="22"/>
        <v>1150</v>
      </c>
      <c r="M178" s="94">
        <v>600</v>
      </c>
      <c r="N178" s="83">
        <f>100</f>
        <v>100</v>
      </c>
      <c r="O178" s="86">
        <v>240</v>
      </c>
      <c r="P178" s="86">
        <v>40</v>
      </c>
      <c r="Q178" s="86">
        <f t="shared" si="23"/>
        <v>315</v>
      </c>
      <c r="R178" s="86">
        <f t="shared" si="24"/>
        <v>100</v>
      </c>
      <c r="S178" s="83">
        <f t="shared" si="25"/>
        <v>695</v>
      </c>
      <c r="T178" s="83">
        <f>50</f>
        <v>50</v>
      </c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</row>
    <row r="179" spans="1:30" ht="15.75" x14ac:dyDescent="0.25">
      <c r="A179" s="13">
        <v>46357</v>
      </c>
      <c r="B179" s="97">
        <v>31</v>
      </c>
      <c r="C179" s="83">
        <f>122.58</f>
        <v>122.58</v>
      </c>
      <c r="D179" s="83">
        <f>297.941</f>
        <v>297.94099999999997</v>
      </c>
      <c r="E179" s="92">
        <f>89.177</f>
        <v>89.177000000000007</v>
      </c>
      <c r="F179" s="83">
        <f>240.302-40-60-100</f>
        <v>40.301999999999992</v>
      </c>
      <c r="G179" s="86">
        <v>40</v>
      </c>
      <c r="H179" s="83">
        <f>60+100</f>
        <v>160</v>
      </c>
      <c r="I179" s="83">
        <f t="shared" si="18"/>
        <v>0</v>
      </c>
      <c r="J179" s="86">
        <v>100</v>
      </c>
      <c r="K179" s="86">
        <v>300</v>
      </c>
      <c r="L179" s="83">
        <f t="shared" si="22"/>
        <v>1150</v>
      </c>
      <c r="M179" s="94">
        <v>600</v>
      </c>
      <c r="N179" s="83">
        <f>100</f>
        <v>100</v>
      </c>
      <c r="O179" s="86">
        <v>240</v>
      </c>
      <c r="P179" s="86">
        <v>40</v>
      </c>
      <c r="Q179" s="86">
        <f t="shared" si="23"/>
        <v>315</v>
      </c>
      <c r="R179" s="86">
        <f t="shared" si="24"/>
        <v>100</v>
      </c>
      <c r="S179" s="83">
        <f t="shared" si="25"/>
        <v>695</v>
      </c>
      <c r="T179" s="83">
        <f>50</f>
        <v>50</v>
      </c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</row>
    <row r="180" spans="1:30" ht="15.75" x14ac:dyDescent="0.25">
      <c r="A180" s="13">
        <v>46388</v>
      </c>
      <c r="B180" s="97">
        <v>31</v>
      </c>
      <c r="C180" s="83">
        <f>122.58</f>
        <v>122.58</v>
      </c>
      <c r="D180" s="83">
        <f>297.941</f>
        <v>297.94099999999997</v>
      </c>
      <c r="E180" s="92">
        <f>89.177</f>
        <v>89.177000000000007</v>
      </c>
      <c r="F180" s="83">
        <f>240.302-40-60-100</f>
        <v>40.301999999999992</v>
      </c>
      <c r="G180" s="86">
        <v>40</v>
      </c>
      <c r="H180" s="83">
        <f>60+100</f>
        <v>160</v>
      </c>
      <c r="I180" s="83">
        <f t="shared" ref="I180:I243" si="28">400-J180-K180</f>
        <v>0</v>
      </c>
      <c r="J180" s="86">
        <v>100</v>
      </c>
      <c r="K180" s="86">
        <v>300</v>
      </c>
      <c r="L180" s="83">
        <f t="shared" si="22"/>
        <v>1150</v>
      </c>
      <c r="M180" s="94">
        <v>600</v>
      </c>
      <c r="N180" s="83">
        <f>100</f>
        <v>100</v>
      </c>
      <c r="O180" s="86">
        <v>240</v>
      </c>
      <c r="P180" s="86">
        <v>40</v>
      </c>
      <c r="Q180" s="86">
        <f t="shared" si="23"/>
        <v>315</v>
      </c>
      <c r="R180" s="86">
        <f t="shared" si="24"/>
        <v>100</v>
      </c>
      <c r="S180" s="83">
        <f t="shared" si="25"/>
        <v>695</v>
      </c>
      <c r="T180" s="83">
        <f>50</f>
        <v>50</v>
      </c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</row>
    <row r="181" spans="1:30" ht="15.75" x14ac:dyDescent="0.25">
      <c r="A181" s="13">
        <v>46419</v>
      </c>
      <c r="B181" s="97">
        <v>28</v>
      </c>
      <c r="C181" s="83">
        <f>122.58</f>
        <v>122.58</v>
      </c>
      <c r="D181" s="83">
        <f>297.941</f>
        <v>297.94099999999997</v>
      </c>
      <c r="E181" s="92">
        <f>89.177</f>
        <v>89.177000000000007</v>
      </c>
      <c r="F181" s="83">
        <f>240.302-40-60-100</f>
        <v>40.301999999999992</v>
      </c>
      <c r="G181" s="86">
        <v>40</v>
      </c>
      <c r="H181" s="83">
        <f>60+100</f>
        <v>160</v>
      </c>
      <c r="I181" s="83">
        <f t="shared" si="28"/>
        <v>0</v>
      </c>
      <c r="J181" s="86">
        <v>100</v>
      </c>
      <c r="K181" s="86">
        <v>300</v>
      </c>
      <c r="L181" s="83">
        <f t="shared" si="22"/>
        <v>1150</v>
      </c>
      <c r="M181" s="94">
        <v>600</v>
      </c>
      <c r="N181" s="83">
        <f>100</f>
        <v>100</v>
      </c>
      <c r="O181" s="86">
        <v>240</v>
      </c>
      <c r="P181" s="86">
        <v>40</v>
      </c>
      <c r="Q181" s="86">
        <f t="shared" si="23"/>
        <v>315</v>
      </c>
      <c r="R181" s="86">
        <f t="shared" si="24"/>
        <v>100</v>
      </c>
      <c r="S181" s="83">
        <f t="shared" si="25"/>
        <v>695</v>
      </c>
      <c r="T181" s="83">
        <f>50</f>
        <v>50</v>
      </c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</row>
    <row r="182" spans="1:30" ht="15.75" x14ac:dyDescent="0.25">
      <c r="A182" s="13">
        <v>46447</v>
      </c>
      <c r="B182" s="97">
        <v>31</v>
      </c>
      <c r="C182" s="83">
        <f>122.58</f>
        <v>122.58</v>
      </c>
      <c r="D182" s="83">
        <f>297.941</f>
        <v>297.94099999999997</v>
      </c>
      <c r="E182" s="92">
        <f>89.177</f>
        <v>89.177000000000007</v>
      </c>
      <c r="F182" s="83">
        <f>240.302-40-60-100</f>
        <v>40.301999999999992</v>
      </c>
      <c r="G182" s="86">
        <v>40</v>
      </c>
      <c r="H182" s="83">
        <f>60+100</f>
        <v>160</v>
      </c>
      <c r="I182" s="83">
        <f t="shared" si="28"/>
        <v>0</v>
      </c>
      <c r="J182" s="86">
        <v>100</v>
      </c>
      <c r="K182" s="86">
        <v>300</v>
      </c>
      <c r="L182" s="83">
        <f t="shared" si="22"/>
        <v>1150</v>
      </c>
      <c r="M182" s="94">
        <v>600</v>
      </c>
      <c r="N182" s="83">
        <f>100</f>
        <v>100</v>
      </c>
      <c r="O182" s="86">
        <v>240</v>
      </c>
      <c r="P182" s="86">
        <v>40</v>
      </c>
      <c r="Q182" s="86">
        <f t="shared" si="23"/>
        <v>315</v>
      </c>
      <c r="R182" s="86">
        <f t="shared" si="24"/>
        <v>100</v>
      </c>
      <c r="S182" s="83">
        <f t="shared" si="25"/>
        <v>695</v>
      </c>
      <c r="T182" s="83">
        <f>50</f>
        <v>50</v>
      </c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</row>
    <row r="183" spans="1:30" ht="15.75" x14ac:dyDescent="0.25">
      <c r="A183" s="13">
        <v>46478</v>
      </c>
      <c r="B183" s="97">
        <v>30</v>
      </c>
      <c r="C183" s="83">
        <f>141.293</f>
        <v>141.29300000000001</v>
      </c>
      <c r="D183" s="83">
        <f>267.993</f>
        <v>267.99299999999999</v>
      </c>
      <c r="E183" s="92">
        <f>115.016</f>
        <v>115.01600000000001</v>
      </c>
      <c r="F183" s="83">
        <f>314.698-40-25-60-100</f>
        <v>89.697999999999979</v>
      </c>
      <c r="G183" s="86">
        <v>40</v>
      </c>
      <c r="H183" s="83">
        <f t="shared" ref="H183:H189" si="29">25+60+100</f>
        <v>185</v>
      </c>
      <c r="I183" s="83">
        <f t="shared" si="28"/>
        <v>0</v>
      </c>
      <c r="J183" s="86">
        <v>100</v>
      </c>
      <c r="K183" s="86">
        <v>300</v>
      </c>
      <c r="L183" s="83">
        <f t="shared" si="22"/>
        <v>1239</v>
      </c>
      <c r="M183" s="94">
        <v>600</v>
      </c>
      <c r="N183" s="83">
        <f>100</f>
        <v>100</v>
      </c>
      <c r="O183" s="86">
        <v>240</v>
      </c>
      <c r="P183" s="86">
        <v>160</v>
      </c>
      <c r="Q183" s="86">
        <f t="shared" si="23"/>
        <v>195</v>
      </c>
      <c r="R183" s="86">
        <f t="shared" si="24"/>
        <v>100</v>
      </c>
      <c r="S183" s="83">
        <f t="shared" si="25"/>
        <v>695</v>
      </c>
      <c r="T183" s="83">
        <f>50</f>
        <v>50</v>
      </c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</row>
    <row r="184" spans="1:30" ht="15.75" x14ac:dyDescent="0.25">
      <c r="A184" s="13">
        <v>46508</v>
      </c>
      <c r="B184" s="97">
        <v>31</v>
      </c>
      <c r="C184" s="83">
        <f>194.205</f>
        <v>194.20500000000001</v>
      </c>
      <c r="D184" s="83">
        <f>267.466</f>
        <v>267.46600000000001</v>
      </c>
      <c r="E184" s="92">
        <f>133.845</f>
        <v>133.845</v>
      </c>
      <c r="F184" s="83">
        <f>278.484-40-25-60-100</f>
        <v>53.48399999999998</v>
      </c>
      <c r="G184" s="86">
        <v>40</v>
      </c>
      <c r="H184" s="83">
        <f t="shared" si="29"/>
        <v>185</v>
      </c>
      <c r="I184" s="83">
        <f t="shared" si="28"/>
        <v>0</v>
      </c>
      <c r="J184" s="86">
        <v>100</v>
      </c>
      <c r="K184" s="86">
        <v>300</v>
      </c>
      <c r="L184" s="83">
        <f t="shared" si="22"/>
        <v>1274</v>
      </c>
      <c r="M184" s="94">
        <v>600</v>
      </c>
      <c r="N184" s="83">
        <f>75</f>
        <v>75</v>
      </c>
      <c r="O184" s="86">
        <v>240</v>
      </c>
      <c r="P184" s="86">
        <v>160</v>
      </c>
      <c r="Q184" s="86">
        <f t="shared" si="23"/>
        <v>195</v>
      </c>
      <c r="R184" s="86">
        <f t="shared" si="24"/>
        <v>100</v>
      </c>
      <c r="S184" s="83">
        <f t="shared" si="25"/>
        <v>695</v>
      </c>
      <c r="T184" s="83">
        <f>50</f>
        <v>50</v>
      </c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</row>
    <row r="185" spans="1:30" ht="15.75" x14ac:dyDescent="0.25">
      <c r="A185" s="13">
        <v>46539</v>
      </c>
      <c r="B185" s="97">
        <v>30</v>
      </c>
      <c r="C185" s="83">
        <f>194.205</f>
        <v>194.20500000000001</v>
      </c>
      <c r="D185" s="83">
        <f>267.466</f>
        <v>267.46600000000001</v>
      </c>
      <c r="E185" s="92">
        <f>133.845</f>
        <v>133.845</v>
      </c>
      <c r="F185" s="83">
        <f>278.484-40-25-60-100</f>
        <v>53.48399999999998</v>
      </c>
      <c r="G185" s="86">
        <v>40</v>
      </c>
      <c r="H185" s="83">
        <f t="shared" si="29"/>
        <v>185</v>
      </c>
      <c r="I185" s="83">
        <f t="shared" si="28"/>
        <v>0</v>
      </c>
      <c r="J185" s="86">
        <v>100</v>
      </c>
      <c r="K185" s="86">
        <v>300</v>
      </c>
      <c r="L185" s="83">
        <f t="shared" si="22"/>
        <v>1274</v>
      </c>
      <c r="M185" s="94">
        <v>600</v>
      </c>
      <c r="N185" s="83">
        <f>30</f>
        <v>30</v>
      </c>
      <c r="O185" s="86">
        <v>240</v>
      </c>
      <c r="P185" s="86">
        <v>160</v>
      </c>
      <c r="Q185" s="86">
        <f t="shared" si="23"/>
        <v>195</v>
      </c>
      <c r="R185" s="86">
        <f t="shared" si="24"/>
        <v>100</v>
      </c>
      <c r="S185" s="83">
        <f t="shared" si="25"/>
        <v>695</v>
      </c>
      <c r="T185" s="83">
        <f>50</f>
        <v>50</v>
      </c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</row>
    <row r="186" spans="1:30" ht="15.75" x14ac:dyDescent="0.25">
      <c r="A186" s="13">
        <v>46569</v>
      </c>
      <c r="B186" s="97">
        <v>31</v>
      </c>
      <c r="C186" s="83">
        <f>194.205</f>
        <v>194.20500000000001</v>
      </c>
      <c r="D186" s="83">
        <f>267.466</f>
        <v>267.46600000000001</v>
      </c>
      <c r="E186" s="92">
        <f>133.845</f>
        <v>133.845</v>
      </c>
      <c r="F186" s="83">
        <f>278.484-40-25-60-100</f>
        <v>53.48399999999998</v>
      </c>
      <c r="G186" s="86">
        <v>40</v>
      </c>
      <c r="H186" s="83">
        <f t="shared" si="29"/>
        <v>185</v>
      </c>
      <c r="I186" s="83">
        <f t="shared" si="28"/>
        <v>0</v>
      </c>
      <c r="J186" s="86">
        <v>100</v>
      </c>
      <c r="K186" s="86">
        <v>300</v>
      </c>
      <c r="L186" s="83">
        <f t="shared" si="22"/>
        <v>1274</v>
      </c>
      <c r="M186" s="94">
        <v>600</v>
      </c>
      <c r="N186" s="83">
        <f>30</f>
        <v>30</v>
      </c>
      <c r="O186" s="86">
        <v>240</v>
      </c>
      <c r="P186" s="86">
        <v>160</v>
      </c>
      <c r="Q186" s="86">
        <f t="shared" si="23"/>
        <v>195</v>
      </c>
      <c r="R186" s="86">
        <f t="shared" si="24"/>
        <v>100</v>
      </c>
      <c r="S186" s="83">
        <f t="shared" si="25"/>
        <v>695</v>
      </c>
      <c r="T186" s="83">
        <f>0</f>
        <v>0</v>
      </c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</row>
    <row r="187" spans="1:30" ht="15.75" x14ac:dyDescent="0.25">
      <c r="A187" s="13">
        <v>46600</v>
      </c>
      <c r="B187" s="97">
        <v>31</v>
      </c>
      <c r="C187" s="83">
        <f>194.205</f>
        <v>194.20500000000001</v>
      </c>
      <c r="D187" s="83">
        <f>267.466</f>
        <v>267.46600000000001</v>
      </c>
      <c r="E187" s="92">
        <f>133.845</f>
        <v>133.845</v>
      </c>
      <c r="F187" s="83">
        <f>278.484-40-25-60-100</f>
        <v>53.48399999999998</v>
      </c>
      <c r="G187" s="86">
        <v>40</v>
      </c>
      <c r="H187" s="83">
        <f t="shared" si="29"/>
        <v>185</v>
      </c>
      <c r="I187" s="83">
        <f t="shared" si="28"/>
        <v>0</v>
      </c>
      <c r="J187" s="86">
        <v>100</v>
      </c>
      <c r="K187" s="86">
        <v>300</v>
      </c>
      <c r="L187" s="83">
        <f t="shared" si="22"/>
        <v>1274</v>
      </c>
      <c r="M187" s="94">
        <v>600</v>
      </c>
      <c r="N187" s="83">
        <f>30</f>
        <v>30</v>
      </c>
      <c r="O187" s="86">
        <v>240</v>
      </c>
      <c r="P187" s="86">
        <v>160</v>
      </c>
      <c r="Q187" s="86">
        <f t="shared" si="23"/>
        <v>195</v>
      </c>
      <c r="R187" s="86">
        <f t="shared" si="24"/>
        <v>100</v>
      </c>
      <c r="S187" s="83">
        <f t="shared" si="25"/>
        <v>695</v>
      </c>
      <c r="T187" s="83">
        <f>0</f>
        <v>0</v>
      </c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</row>
    <row r="188" spans="1:30" ht="15.75" x14ac:dyDescent="0.25">
      <c r="A188" s="13">
        <v>46631</v>
      </c>
      <c r="B188" s="97">
        <v>30</v>
      </c>
      <c r="C188" s="83">
        <f>194.205</f>
        <v>194.20500000000001</v>
      </c>
      <c r="D188" s="83">
        <f>267.466</f>
        <v>267.46600000000001</v>
      </c>
      <c r="E188" s="92">
        <f>133.845</f>
        <v>133.845</v>
      </c>
      <c r="F188" s="83">
        <f>278.484-40-25-60-100</f>
        <v>53.48399999999998</v>
      </c>
      <c r="G188" s="86">
        <v>40</v>
      </c>
      <c r="H188" s="83">
        <f t="shared" si="29"/>
        <v>185</v>
      </c>
      <c r="I188" s="83">
        <f t="shared" si="28"/>
        <v>0</v>
      </c>
      <c r="J188" s="86">
        <v>100</v>
      </c>
      <c r="K188" s="86">
        <v>300</v>
      </c>
      <c r="L188" s="83">
        <f t="shared" si="22"/>
        <v>1274</v>
      </c>
      <c r="M188" s="94">
        <v>600</v>
      </c>
      <c r="N188" s="83">
        <f>30</f>
        <v>30</v>
      </c>
      <c r="O188" s="86">
        <v>240</v>
      </c>
      <c r="P188" s="86">
        <v>160</v>
      </c>
      <c r="Q188" s="86">
        <f t="shared" si="23"/>
        <v>195</v>
      </c>
      <c r="R188" s="86">
        <f t="shared" si="24"/>
        <v>100</v>
      </c>
      <c r="S188" s="83">
        <f t="shared" si="25"/>
        <v>695</v>
      </c>
      <c r="T188" s="83">
        <f>0</f>
        <v>0</v>
      </c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</row>
    <row r="189" spans="1:30" ht="15.75" x14ac:dyDescent="0.25">
      <c r="A189" s="13">
        <v>46661</v>
      </c>
      <c r="B189" s="97">
        <v>31</v>
      </c>
      <c r="C189" s="83">
        <f>131.881</f>
        <v>131.881</v>
      </c>
      <c r="D189" s="83">
        <f>277.167</f>
        <v>277.16699999999997</v>
      </c>
      <c r="E189" s="92">
        <f>79.08</f>
        <v>79.08</v>
      </c>
      <c r="F189" s="83">
        <f>350.872-40-25-60-100</f>
        <v>125.87200000000001</v>
      </c>
      <c r="G189" s="86">
        <v>40</v>
      </c>
      <c r="H189" s="83">
        <f t="shared" si="29"/>
        <v>185</v>
      </c>
      <c r="I189" s="83">
        <f t="shared" si="28"/>
        <v>0</v>
      </c>
      <c r="J189" s="86">
        <v>100</v>
      </c>
      <c r="K189" s="86">
        <v>300</v>
      </c>
      <c r="L189" s="83">
        <f t="shared" si="22"/>
        <v>1239</v>
      </c>
      <c r="M189" s="94">
        <v>600</v>
      </c>
      <c r="N189" s="83">
        <f>75</f>
        <v>75</v>
      </c>
      <c r="O189" s="86">
        <v>240</v>
      </c>
      <c r="P189" s="86">
        <v>160</v>
      </c>
      <c r="Q189" s="86">
        <f t="shared" si="23"/>
        <v>195</v>
      </c>
      <c r="R189" s="86">
        <f t="shared" si="24"/>
        <v>100</v>
      </c>
      <c r="S189" s="83">
        <f t="shared" si="25"/>
        <v>695</v>
      </c>
      <c r="T189" s="83">
        <f>0</f>
        <v>0</v>
      </c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</row>
    <row r="190" spans="1:30" ht="15.75" x14ac:dyDescent="0.25">
      <c r="A190" s="13">
        <v>46692</v>
      </c>
      <c r="B190" s="97">
        <v>30</v>
      </c>
      <c r="C190" s="83">
        <f>122.58</f>
        <v>122.58</v>
      </c>
      <c r="D190" s="83">
        <f>297.941</f>
        <v>297.94099999999997</v>
      </c>
      <c r="E190" s="92">
        <f>89.177</f>
        <v>89.177000000000007</v>
      </c>
      <c r="F190" s="83">
        <f>240.302-40-60-100</f>
        <v>40.301999999999992</v>
      </c>
      <c r="G190" s="86">
        <v>40</v>
      </c>
      <c r="H190" s="83">
        <f>60+100</f>
        <v>160</v>
      </c>
      <c r="I190" s="83">
        <f t="shared" si="28"/>
        <v>0</v>
      </c>
      <c r="J190" s="86">
        <v>100</v>
      </c>
      <c r="K190" s="86">
        <v>300</v>
      </c>
      <c r="L190" s="83">
        <f t="shared" si="22"/>
        <v>1150</v>
      </c>
      <c r="M190" s="94">
        <v>600</v>
      </c>
      <c r="N190" s="83">
        <f>100</f>
        <v>100</v>
      </c>
      <c r="O190" s="86">
        <v>240</v>
      </c>
      <c r="P190" s="86">
        <v>40</v>
      </c>
      <c r="Q190" s="86">
        <f t="shared" si="23"/>
        <v>315</v>
      </c>
      <c r="R190" s="86">
        <f t="shared" si="24"/>
        <v>100</v>
      </c>
      <c r="S190" s="83">
        <f t="shared" si="25"/>
        <v>695</v>
      </c>
      <c r="T190" s="83">
        <f>50</f>
        <v>50</v>
      </c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</row>
    <row r="191" spans="1:30" ht="15.75" x14ac:dyDescent="0.25">
      <c r="A191" s="13">
        <v>46722</v>
      </c>
      <c r="B191" s="97">
        <v>31</v>
      </c>
      <c r="C191" s="83">
        <f>122.58</f>
        <v>122.58</v>
      </c>
      <c r="D191" s="83">
        <f>297.941</f>
        <v>297.94099999999997</v>
      </c>
      <c r="E191" s="92">
        <f>89.177</f>
        <v>89.177000000000007</v>
      </c>
      <c r="F191" s="83">
        <f>240.302-40-60-100</f>
        <v>40.301999999999992</v>
      </c>
      <c r="G191" s="86">
        <v>40</v>
      </c>
      <c r="H191" s="83">
        <f>60+100</f>
        <v>160</v>
      </c>
      <c r="I191" s="83">
        <f t="shared" si="28"/>
        <v>0</v>
      </c>
      <c r="J191" s="86">
        <v>100</v>
      </c>
      <c r="K191" s="86">
        <v>300</v>
      </c>
      <c r="L191" s="83">
        <f t="shared" si="22"/>
        <v>1150</v>
      </c>
      <c r="M191" s="94">
        <v>600</v>
      </c>
      <c r="N191" s="83">
        <f>100</f>
        <v>100</v>
      </c>
      <c r="O191" s="86">
        <v>240</v>
      </c>
      <c r="P191" s="86">
        <v>40</v>
      </c>
      <c r="Q191" s="86">
        <f t="shared" si="23"/>
        <v>315</v>
      </c>
      <c r="R191" s="86">
        <f t="shared" si="24"/>
        <v>100</v>
      </c>
      <c r="S191" s="83">
        <f t="shared" si="25"/>
        <v>695</v>
      </c>
      <c r="T191" s="83">
        <f>50</f>
        <v>50</v>
      </c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</row>
    <row r="192" spans="1:30" ht="15.75" x14ac:dyDescent="0.25">
      <c r="A192" s="13">
        <v>46753</v>
      </c>
      <c r="B192" s="97">
        <v>31</v>
      </c>
      <c r="C192" s="83">
        <f>122.58</f>
        <v>122.58</v>
      </c>
      <c r="D192" s="83">
        <f>297.941</f>
        <v>297.94099999999997</v>
      </c>
      <c r="E192" s="92">
        <f>89.177</f>
        <v>89.177000000000007</v>
      </c>
      <c r="F192" s="83">
        <f>240.302-40-60-100</f>
        <v>40.301999999999992</v>
      </c>
      <c r="G192" s="86">
        <v>40</v>
      </c>
      <c r="H192" s="83">
        <f>60+100</f>
        <v>160</v>
      </c>
      <c r="I192" s="83">
        <f t="shared" si="28"/>
        <v>0</v>
      </c>
      <c r="J192" s="86">
        <v>100</v>
      </c>
      <c r="K192" s="86">
        <v>300</v>
      </c>
      <c r="L192" s="83">
        <f t="shared" si="22"/>
        <v>1150</v>
      </c>
      <c r="M192" s="94">
        <v>600</v>
      </c>
      <c r="N192" s="83">
        <f>100</f>
        <v>100</v>
      </c>
      <c r="O192" s="86">
        <v>240</v>
      </c>
      <c r="P192" s="86">
        <v>40</v>
      </c>
      <c r="Q192" s="86">
        <f t="shared" si="23"/>
        <v>315</v>
      </c>
      <c r="R192" s="86">
        <f t="shared" si="24"/>
        <v>100</v>
      </c>
      <c r="S192" s="83">
        <f t="shared" si="25"/>
        <v>695</v>
      </c>
      <c r="T192" s="83">
        <f>50</f>
        <v>50</v>
      </c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</row>
    <row r="193" spans="1:30" ht="15.75" x14ac:dyDescent="0.25">
      <c r="A193" s="13">
        <v>46784</v>
      </c>
      <c r="B193" s="97">
        <v>29</v>
      </c>
      <c r="C193" s="83">
        <f>122.58</f>
        <v>122.58</v>
      </c>
      <c r="D193" s="83">
        <f>297.941</f>
        <v>297.94099999999997</v>
      </c>
      <c r="E193" s="92">
        <f>89.177</f>
        <v>89.177000000000007</v>
      </c>
      <c r="F193" s="83">
        <f>240.302-40-60-100</f>
        <v>40.301999999999992</v>
      </c>
      <c r="G193" s="86">
        <v>40</v>
      </c>
      <c r="H193" s="83">
        <f>60+100</f>
        <v>160</v>
      </c>
      <c r="I193" s="83">
        <f t="shared" si="28"/>
        <v>0</v>
      </c>
      <c r="J193" s="86">
        <v>100</v>
      </c>
      <c r="K193" s="86">
        <v>300</v>
      </c>
      <c r="L193" s="83">
        <f t="shared" si="22"/>
        <v>1150</v>
      </c>
      <c r="M193" s="94">
        <v>600</v>
      </c>
      <c r="N193" s="83">
        <f>100</f>
        <v>100</v>
      </c>
      <c r="O193" s="86">
        <v>240</v>
      </c>
      <c r="P193" s="86">
        <v>40</v>
      </c>
      <c r="Q193" s="86">
        <f t="shared" si="23"/>
        <v>315</v>
      </c>
      <c r="R193" s="86">
        <f t="shared" si="24"/>
        <v>100</v>
      </c>
      <c r="S193" s="83">
        <f t="shared" si="25"/>
        <v>695</v>
      </c>
      <c r="T193" s="83">
        <f>50</f>
        <v>50</v>
      </c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</row>
    <row r="194" spans="1:30" ht="15.75" x14ac:dyDescent="0.25">
      <c r="A194" s="13">
        <v>46813</v>
      </c>
      <c r="B194" s="97">
        <v>31</v>
      </c>
      <c r="C194" s="83">
        <f>122.58</f>
        <v>122.58</v>
      </c>
      <c r="D194" s="83">
        <f>297.941</f>
        <v>297.94099999999997</v>
      </c>
      <c r="E194" s="92">
        <f>89.177</f>
        <v>89.177000000000007</v>
      </c>
      <c r="F194" s="83">
        <f>240.302-40-60-100</f>
        <v>40.301999999999992</v>
      </c>
      <c r="G194" s="86">
        <v>40</v>
      </c>
      <c r="H194" s="83">
        <f>60+100</f>
        <v>160</v>
      </c>
      <c r="I194" s="83">
        <f t="shared" si="28"/>
        <v>0</v>
      </c>
      <c r="J194" s="86">
        <v>100</v>
      </c>
      <c r="K194" s="86">
        <v>300</v>
      </c>
      <c r="L194" s="83">
        <f t="shared" si="22"/>
        <v>1150</v>
      </c>
      <c r="M194" s="94">
        <v>600</v>
      </c>
      <c r="N194" s="83">
        <f>100</f>
        <v>100</v>
      </c>
      <c r="O194" s="86">
        <v>240</v>
      </c>
      <c r="P194" s="86">
        <v>40</v>
      </c>
      <c r="Q194" s="86">
        <f t="shared" si="23"/>
        <v>315</v>
      </c>
      <c r="R194" s="86">
        <f t="shared" si="24"/>
        <v>100</v>
      </c>
      <c r="S194" s="83">
        <f t="shared" si="25"/>
        <v>695</v>
      </c>
      <c r="T194" s="83">
        <f>50</f>
        <v>50</v>
      </c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</row>
    <row r="195" spans="1:30" ht="15.75" x14ac:dyDescent="0.25">
      <c r="A195" s="13">
        <v>46844</v>
      </c>
      <c r="B195" s="97">
        <v>30</v>
      </c>
      <c r="C195" s="83">
        <f>141.293</f>
        <v>141.29300000000001</v>
      </c>
      <c r="D195" s="83">
        <f>267.993</f>
        <v>267.99299999999999</v>
      </c>
      <c r="E195" s="92">
        <f>115.016</f>
        <v>115.01600000000001</v>
      </c>
      <c r="F195" s="83">
        <f>314.698-40-25-60-100</f>
        <v>89.697999999999979</v>
      </c>
      <c r="G195" s="86">
        <v>40</v>
      </c>
      <c r="H195" s="83">
        <f t="shared" ref="H195:H201" si="30">25+60+100</f>
        <v>185</v>
      </c>
      <c r="I195" s="83">
        <f t="shared" si="28"/>
        <v>0</v>
      </c>
      <c r="J195" s="86">
        <v>100</v>
      </c>
      <c r="K195" s="86">
        <v>300</v>
      </c>
      <c r="L195" s="83">
        <f t="shared" si="22"/>
        <v>1239</v>
      </c>
      <c r="M195" s="94">
        <v>600</v>
      </c>
      <c r="N195" s="83">
        <f>100</f>
        <v>100</v>
      </c>
      <c r="O195" s="86">
        <v>240</v>
      </c>
      <c r="P195" s="86">
        <v>160</v>
      </c>
      <c r="Q195" s="86">
        <f t="shared" si="23"/>
        <v>195</v>
      </c>
      <c r="R195" s="86">
        <f t="shared" si="24"/>
        <v>100</v>
      </c>
      <c r="S195" s="83">
        <f t="shared" si="25"/>
        <v>695</v>
      </c>
      <c r="T195" s="83">
        <f>50</f>
        <v>50</v>
      </c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</row>
    <row r="196" spans="1:30" ht="15.75" x14ac:dyDescent="0.25">
      <c r="A196" s="13">
        <v>46874</v>
      </c>
      <c r="B196" s="97">
        <v>31</v>
      </c>
      <c r="C196" s="83">
        <f>194.205</f>
        <v>194.20500000000001</v>
      </c>
      <c r="D196" s="83">
        <f>267.466</f>
        <v>267.46600000000001</v>
      </c>
      <c r="E196" s="92">
        <f>133.845</f>
        <v>133.845</v>
      </c>
      <c r="F196" s="83">
        <f>278.484-40-25-60-100</f>
        <v>53.48399999999998</v>
      </c>
      <c r="G196" s="86">
        <v>40</v>
      </c>
      <c r="H196" s="83">
        <f t="shared" si="30"/>
        <v>185</v>
      </c>
      <c r="I196" s="83">
        <f t="shared" si="28"/>
        <v>0</v>
      </c>
      <c r="J196" s="86">
        <v>100</v>
      </c>
      <c r="K196" s="86">
        <v>300</v>
      </c>
      <c r="L196" s="83">
        <f t="shared" si="22"/>
        <v>1274</v>
      </c>
      <c r="M196" s="94">
        <v>600</v>
      </c>
      <c r="N196" s="83">
        <f>75</f>
        <v>75</v>
      </c>
      <c r="O196" s="86">
        <v>240</v>
      </c>
      <c r="P196" s="86">
        <v>160</v>
      </c>
      <c r="Q196" s="86">
        <f t="shared" si="23"/>
        <v>195</v>
      </c>
      <c r="R196" s="86">
        <f t="shared" si="24"/>
        <v>100</v>
      </c>
      <c r="S196" s="83">
        <f t="shared" si="25"/>
        <v>695</v>
      </c>
      <c r="T196" s="83">
        <f>50</f>
        <v>50</v>
      </c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</row>
    <row r="197" spans="1:30" ht="15.75" x14ac:dyDescent="0.25">
      <c r="A197" s="13">
        <v>46905</v>
      </c>
      <c r="B197" s="97">
        <v>30</v>
      </c>
      <c r="C197" s="83">
        <f>194.205</f>
        <v>194.20500000000001</v>
      </c>
      <c r="D197" s="83">
        <f>267.466</f>
        <v>267.46600000000001</v>
      </c>
      <c r="E197" s="92">
        <f>133.845</f>
        <v>133.845</v>
      </c>
      <c r="F197" s="83">
        <f>278.484-40-25-60-100</f>
        <v>53.48399999999998</v>
      </c>
      <c r="G197" s="86">
        <v>40</v>
      </c>
      <c r="H197" s="83">
        <f t="shared" si="30"/>
        <v>185</v>
      </c>
      <c r="I197" s="83">
        <f t="shared" si="28"/>
        <v>0</v>
      </c>
      <c r="J197" s="86">
        <v>100</v>
      </c>
      <c r="K197" s="86">
        <v>300</v>
      </c>
      <c r="L197" s="83">
        <f t="shared" si="22"/>
        <v>1274</v>
      </c>
      <c r="M197" s="94">
        <v>600</v>
      </c>
      <c r="N197" s="83">
        <f>30</f>
        <v>30</v>
      </c>
      <c r="O197" s="86">
        <v>240</v>
      </c>
      <c r="P197" s="86">
        <v>160</v>
      </c>
      <c r="Q197" s="86">
        <f t="shared" si="23"/>
        <v>195</v>
      </c>
      <c r="R197" s="86">
        <f t="shared" si="24"/>
        <v>100</v>
      </c>
      <c r="S197" s="83">
        <f t="shared" si="25"/>
        <v>695</v>
      </c>
      <c r="T197" s="83">
        <f>50</f>
        <v>50</v>
      </c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</row>
    <row r="198" spans="1:30" ht="15.75" x14ac:dyDescent="0.25">
      <c r="A198" s="13">
        <v>46935</v>
      </c>
      <c r="B198" s="97">
        <v>31</v>
      </c>
      <c r="C198" s="83">
        <f>194.205</f>
        <v>194.20500000000001</v>
      </c>
      <c r="D198" s="83">
        <f>267.466</f>
        <v>267.46600000000001</v>
      </c>
      <c r="E198" s="92">
        <f>133.845</f>
        <v>133.845</v>
      </c>
      <c r="F198" s="83">
        <f>278.484-40-25-60-100</f>
        <v>53.48399999999998</v>
      </c>
      <c r="G198" s="86">
        <v>40</v>
      </c>
      <c r="H198" s="83">
        <f t="shared" si="30"/>
        <v>185</v>
      </c>
      <c r="I198" s="83">
        <f t="shared" si="28"/>
        <v>0</v>
      </c>
      <c r="J198" s="86">
        <v>100</v>
      </c>
      <c r="K198" s="86">
        <v>300</v>
      </c>
      <c r="L198" s="83">
        <f t="shared" si="22"/>
        <v>1274</v>
      </c>
      <c r="M198" s="94">
        <v>600</v>
      </c>
      <c r="N198" s="83">
        <f>30</f>
        <v>30</v>
      </c>
      <c r="O198" s="86">
        <v>240</v>
      </c>
      <c r="P198" s="86">
        <v>160</v>
      </c>
      <c r="Q198" s="86">
        <f t="shared" si="23"/>
        <v>195</v>
      </c>
      <c r="R198" s="86">
        <f t="shared" si="24"/>
        <v>100</v>
      </c>
      <c r="S198" s="83">
        <f t="shared" si="25"/>
        <v>695</v>
      </c>
      <c r="T198" s="83">
        <f>0</f>
        <v>0</v>
      </c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</row>
    <row r="199" spans="1:30" ht="15.75" x14ac:dyDescent="0.25">
      <c r="A199" s="13">
        <v>46966</v>
      </c>
      <c r="B199" s="97">
        <v>31</v>
      </c>
      <c r="C199" s="83">
        <f>194.205</f>
        <v>194.20500000000001</v>
      </c>
      <c r="D199" s="83">
        <f>267.466</f>
        <v>267.46600000000001</v>
      </c>
      <c r="E199" s="92">
        <f>133.845</f>
        <v>133.845</v>
      </c>
      <c r="F199" s="83">
        <f>278.484-40-25-60-100</f>
        <v>53.48399999999998</v>
      </c>
      <c r="G199" s="86">
        <v>40</v>
      </c>
      <c r="H199" s="83">
        <f t="shared" si="30"/>
        <v>185</v>
      </c>
      <c r="I199" s="83">
        <f t="shared" si="28"/>
        <v>0</v>
      </c>
      <c r="J199" s="86">
        <v>100</v>
      </c>
      <c r="K199" s="86">
        <v>300</v>
      </c>
      <c r="L199" s="83">
        <f t="shared" si="22"/>
        <v>1274</v>
      </c>
      <c r="M199" s="94">
        <v>600</v>
      </c>
      <c r="N199" s="83">
        <f>30</f>
        <v>30</v>
      </c>
      <c r="O199" s="86">
        <v>240</v>
      </c>
      <c r="P199" s="86">
        <v>160</v>
      </c>
      <c r="Q199" s="86">
        <f t="shared" si="23"/>
        <v>195</v>
      </c>
      <c r="R199" s="86">
        <f t="shared" si="24"/>
        <v>100</v>
      </c>
      <c r="S199" s="83">
        <f t="shared" si="25"/>
        <v>695</v>
      </c>
      <c r="T199" s="83">
        <f>0</f>
        <v>0</v>
      </c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</row>
    <row r="200" spans="1:30" ht="15.75" x14ac:dyDescent="0.25">
      <c r="A200" s="13">
        <v>46997</v>
      </c>
      <c r="B200" s="97">
        <v>30</v>
      </c>
      <c r="C200" s="83">
        <f>194.205</f>
        <v>194.20500000000001</v>
      </c>
      <c r="D200" s="83">
        <f>267.466</f>
        <v>267.46600000000001</v>
      </c>
      <c r="E200" s="92">
        <f>133.845</f>
        <v>133.845</v>
      </c>
      <c r="F200" s="83">
        <f>278.484-40-25-60-100</f>
        <v>53.48399999999998</v>
      </c>
      <c r="G200" s="86">
        <v>40</v>
      </c>
      <c r="H200" s="83">
        <f t="shared" si="30"/>
        <v>185</v>
      </c>
      <c r="I200" s="83">
        <f t="shared" si="28"/>
        <v>0</v>
      </c>
      <c r="J200" s="86">
        <v>100</v>
      </c>
      <c r="K200" s="86">
        <v>300</v>
      </c>
      <c r="L200" s="83">
        <f t="shared" si="22"/>
        <v>1274</v>
      </c>
      <c r="M200" s="94">
        <v>600</v>
      </c>
      <c r="N200" s="83">
        <f>30</f>
        <v>30</v>
      </c>
      <c r="O200" s="86">
        <v>240</v>
      </c>
      <c r="P200" s="86">
        <v>160</v>
      </c>
      <c r="Q200" s="86">
        <f t="shared" si="23"/>
        <v>195</v>
      </c>
      <c r="R200" s="86">
        <f t="shared" si="24"/>
        <v>100</v>
      </c>
      <c r="S200" s="83">
        <f t="shared" si="25"/>
        <v>695</v>
      </c>
      <c r="T200" s="83">
        <f>0</f>
        <v>0</v>
      </c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</row>
    <row r="201" spans="1:30" ht="15.75" x14ac:dyDescent="0.25">
      <c r="A201" s="13">
        <v>47027</v>
      </c>
      <c r="B201" s="97">
        <v>31</v>
      </c>
      <c r="C201" s="83">
        <f>131.881</f>
        <v>131.881</v>
      </c>
      <c r="D201" s="83">
        <f>277.167</f>
        <v>277.16699999999997</v>
      </c>
      <c r="E201" s="92">
        <f>79.08</f>
        <v>79.08</v>
      </c>
      <c r="F201" s="83">
        <f>350.872-40-25-60-100</f>
        <v>125.87200000000001</v>
      </c>
      <c r="G201" s="86">
        <v>40</v>
      </c>
      <c r="H201" s="83">
        <f t="shared" si="30"/>
        <v>185</v>
      </c>
      <c r="I201" s="83">
        <f t="shared" si="28"/>
        <v>0</v>
      </c>
      <c r="J201" s="86">
        <v>100</v>
      </c>
      <c r="K201" s="86">
        <v>300</v>
      </c>
      <c r="L201" s="83">
        <f t="shared" si="22"/>
        <v>1239</v>
      </c>
      <c r="M201" s="94">
        <v>600</v>
      </c>
      <c r="N201" s="83">
        <f>75</f>
        <v>75</v>
      </c>
      <c r="O201" s="86">
        <v>240</v>
      </c>
      <c r="P201" s="86">
        <v>160</v>
      </c>
      <c r="Q201" s="86">
        <f t="shared" si="23"/>
        <v>195</v>
      </c>
      <c r="R201" s="86">
        <f t="shared" si="24"/>
        <v>100</v>
      </c>
      <c r="S201" s="83">
        <f t="shared" si="25"/>
        <v>695</v>
      </c>
      <c r="T201" s="83">
        <f>0</f>
        <v>0</v>
      </c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</row>
    <row r="202" spans="1:30" ht="15.75" x14ac:dyDescent="0.25">
      <c r="A202" s="13">
        <v>47058</v>
      </c>
      <c r="B202" s="97">
        <v>30</v>
      </c>
      <c r="C202" s="83">
        <f>122.58</f>
        <v>122.58</v>
      </c>
      <c r="D202" s="83">
        <f>297.941</f>
        <v>297.94099999999997</v>
      </c>
      <c r="E202" s="92">
        <f>89.177</f>
        <v>89.177000000000007</v>
      </c>
      <c r="F202" s="83">
        <f>240.302-40-60-100</f>
        <v>40.301999999999992</v>
      </c>
      <c r="G202" s="86">
        <v>40</v>
      </c>
      <c r="H202" s="83">
        <f>60+100</f>
        <v>160</v>
      </c>
      <c r="I202" s="83">
        <f t="shared" si="28"/>
        <v>0</v>
      </c>
      <c r="J202" s="86">
        <v>100</v>
      </c>
      <c r="K202" s="86">
        <v>300</v>
      </c>
      <c r="L202" s="83">
        <f t="shared" si="22"/>
        <v>1150</v>
      </c>
      <c r="M202" s="94">
        <v>600</v>
      </c>
      <c r="N202" s="83">
        <f>100</f>
        <v>100</v>
      </c>
      <c r="O202" s="86">
        <v>240</v>
      </c>
      <c r="P202" s="86">
        <v>40</v>
      </c>
      <c r="Q202" s="86">
        <f t="shared" si="23"/>
        <v>315</v>
      </c>
      <c r="R202" s="86">
        <f t="shared" si="24"/>
        <v>100</v>
      </c>
      <c r="S202" s="83">
        <f t="shared" si="25"/>
        <v>695</v>
      </c>
      <c r="T202" s="83">
        <f>50</f>
        <v>50</v>
      </c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</row>
    <row r="203" spans="1:30" ht="15.75" x14ac:dyDescent="0.25">
      <c r="A203" s="13">
        <v>47088</v>
      </c>
      <c r="B203" s="97">
        <v>31</v>
      </c>
      <c r="C203" s="83">
        <f>122.58</f>
        <v>122.58</v>
      </c>
      <c r="D203" s="83">
        <f>297.941</f>
        <v>297.94099999999997</v>
      </c>
      <c r="E203" s="92">
        <f>89.177</f>
        <v>89.177000000000007</v>
      </c>
      <c r="F203" s="83">
        <f>240.302-40-60-100</f>
        <v>40.301999999999992</v>
      </c>
      <c r="G203" s="86">
        <v>40</v>
      </c>
      <c r="H203" s="83">
        <f>60+100</f>
        <v>160</v>
      </c>
      <c r="I203" s="83">
        <f t="shared" si="28"/>
        <v>0</v>
      </c>
      <c r="J203" s="86">
        <v>100</v>
      </c>
      <c r="K203" s="86">
        <v>300</v>
      </c>
      <c r="L203" s="83">
        <f t="shared" si="22"/>
        <v>1150</v>
      </c>
      <c r="M203" s="94">
        <v>600</v>
      </c>
      <c r="N203" s="83">
        <f>100</f>
        <v>100</v>
      </c>
      <c r="O203" s="86">
        <v>240</v>
      </c>
      <c r="P203" s="86">
        <v>40</v>
      </c>
      <c r="Q203" s="86">
        <f t="shared" si="23"/>
        <v>315</v>
      </c>
      <c r="R203" s="86">
        <f t="shared" si="24"/>
        <v>100</v>
      </c>
      <c r="S203" s="83">
        <f t="shared" si="25"/>
        <v>695</v>
      </c>
      <c r="T203" s="83">
        <f>50</f>
        <v>50</v>
      </c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</row>
    <row r="204" spans="1:30" ht="15.75" x14ac:dyDescent="0.25">
      <c r="A204" s="13">
        <v>47119</v>
      </c>
      <c r="B204" s="97">
        <v>31</v>
      </c>
      <c r="C204" s="83">
        <f>122.58</f>
        <v>122.58</v>
      </c>
      <c r="D204" s="83">
        <f>297.941</f>
        <v>297.94099999999997</v>
      </c>
      <c r="E204" s="92">
        <f>89.177</f>
        <v>89.177000000000007</v>
      </c>
      <c r="F204" s="83">
        <f>240.302-40-60-100</f>
        <v>40.301999999999992</v>
      </c>
      <c r="G204" s="86">
        <v>40</v>
      </c>
      <c r="H204" s="83">
        <f>60+100</f>
        <v>160</v>
      </c>
      <c r="I204" s="83">
        <f t="shared" si="28"/>
        <v>0</v>
      </c>
      <c r="J204" s="86">
        <v>100</v>
      </c>
      <c r="K204" s="86">
        <v>300</v>
      </c>
      <c r="L204" s="83">
        <f t="shared" si="22"/>
        <v>1150</v>
      </c>
      <c r="M204" s="94">
        <v>600</v>
      </c>
      <c r="N204" s="83">
        <f>100</f>
        <v>100</v>
      </c>
      <c r="O204" s="86">
        <v>240</v>
      </c>
      <c r="P204" s="86">
        <v>40</v>
      </c>
      <c r="Q204" s="86">
        <f t="shared" si="23"/>
        <v>315</v>
      </c>
      <c r="R204" s="86">
        <f t="shared" si="24"/>
        <v>100</v>
      </c>
      <c r="S204" s="83">
        <f t="shared" si="25"/>
        <v>695</v>
      </c>
      <c r="T204" s="83">
        <f>50</f>
        <v>50</v>
      </c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</row>
    <row r="205" spans="1:30" ht="15.75" x14ac:dyDescent="0.25">
      <c r="A205" s="13">
        <v>47150</v>
      </c>
      <c r="B205" s="97">
        <v>28</v>
      </c>
      <c r="C205" s="83">
        <f>122.58</f>
        <v>122.58</v>
      </c>
      <c r="D205" s="83">
        <f>297.941</f>
        <v>297.94099999999997</v>
      </c>
      <c r="E205" s="92">
        <f>89.177</f>
        <v>89.177000000000007</v>
      </c>
      <c r="F205" s="83">
        <f>240.302-40-60-100</f>
        <v>40.301999999999992</v>
      </c>
      <c r="G205" s="86">
        <v>40</v>
      </c>
      <c r="H205" s="83">
        <f>60+100</f>
        <v>160</v>
      </c>
      <c r="I205" s="83">
        <f t="shared" si="28"/>
        <v>0</v>
      </c>
      <c r="J205" s="86">
        <v>100</v>
      </c>
      <c r="K205" s="86">
        <v>300</v>
      </c>
      <c r="L205" s="83">
        <f t="shared" si="22"/>
        <v>1150</v>
      </c>
      <c r="M205" s="94">
        <v>600</v>
      </c>
      <c r="N205" s="83">
        <f>100</f>
        <v>100</v>
      </c>
      <c r="O205" s="86">
        <v>240</v>
      </c>
      <c r="P205" s="86">
        <v>40</v>
      </c>
      <c r="Q205" s="86">
        <f t="shared" si="23"/>
        <v>315</v>
      </c>
      <c r="R205" s="86">
        <f t="shared" si="24"/>
        <v>100</v>
      </c>
      <c r="S205" s="83">
        <f t="shared" si="25"/>
        <v>695</v>
      </c>
      <c r="T205" s="83">
        <f>50</f>
        <v>50</v>
      </c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</row>
    <row r="206" spans="1:30" ht="15.75" x14ac:dyDescent="0.25">
      <c r="A206" s="13">
        <v>47178</v>
      </c>
      <c r="B206" s="97">
        <v>31</v>
      </c>
      <c r="C206" s="83">
        <f>122.58</f>
        <v>122.58</v>
      </c>
      <c r="D206" s="83">
        <f>297.941</f>
        <v>297.94099999999997</v>
      </c>
      <c r="E206" s="92">
        <f>89.177</f>
        <v>89.177000000000007</v>
      </c>
      <c r="F206" s="83">
        <f>240.302-40-60-100</f>
        <v>40.301999999999992</v>
      </c>
      <c r="G206" s="86">
        <v>40</v>
      </c>
      <c r="H206" s="83">
        <f>60+100</f>
        <v>160</v>
      </c>
      <c r="I206" s="83">
        <f t="shared" si="28"/>
        <v>0</v>
      </c>
      <c r="J206" s="86">
        <v>100</v>
      </c>
      <c r="K206" s="86">
        <v>300</v>
      </c>
      <c r="L206" s="83">
        <f t="shared" si="22"/>
        <v>1150</v>
      </c>
      <c r="M206" s="94">
        <v>600</v>
      </c>
      <c r="N206" s="83">
        <f>100</f>
        <v>100</v>
      </c>
      <c r="O206" s="86">
        <v>240</v>
      </c>
      <c r="P206" s="86">
        <v>40</v>
      </c>
      <c r="Q206" s="86">
        <f t="shared" si="23"/>
        <v>315</v>
      </c>
      <c r="R206" s="86">
        <f t="shared" si="24"/>
        <v>100</v>
      </c>
      <c r="S206" s="83">
        <f t="shared" si="25"/>
        <v>695</v>
      </c>
      <c r="T206" s="83">
        <f>50</f>
        <v>50</v>
      </c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</row>
    <row r="207" spans="1:30" ht="15.75" x14ac:dyDescent="0.25">
      <c r="A207" s="13">
        <v>47209</v>
      </c>
      <c r="B207" s="97">
        <v>30</v>
      </c>
      <c r="C207" s="83">
        <f>141.293</f>
        <v>141.29300000000001</v>
      </c>
      <c r="D207" s="83">
        <f>267.993</f>
        <v>267.99299999999999</v>
      </c>
      <c r="E207" s="92">
        <f>115.016</f>
        <v>115.01600000000001</v>
      </c>
      <c r="F207" s="83">
        <f>314.698-40-25-60-100</f>
        <v>89.697999999999979</v>
      </c>
      <c r="G207" s="86">
        <v>40</v>
      </c>
      <c r="H207" s="83">
        <f t="shared" ref="H207:H213" si="31">25+60+100</f>
        <v>185</v>
      </c>
      <c r="I207" s="83">
        <f t="shared" si="28"/>
        <v>0</v>
      </c>
      <c r="J207" s="86">
        <v>100</v>
      </c>
      <c r="K207" s="86">
        <v>300</v>
      </c>
      <c r="L207" s="83">
        <f t="shared" si="22"/>
        <v>1239</v>
      </c>
      <c r="M207" s="94">
        <v>600</v>
      </c>
      <c r="N207" s="83">
        <f>100</f>
        <v>100</v>
      </c>
      <c r="O207" s="86">
        <v>240</v>
      </c>
      <c r="P207" s="86">
        <v>160</v>
      </c>
      <c r="Q207" s="86">
        <f t="shared" si="23"/>
        <v>195</v>
      </c>
      <c r="R207" s="86">
        <f t="shared" si="24"/>
        <v>100</v>
      </c>
      <c r="S207" s="83">
        <f t="shared" si="25"/>
        <v>695</v>
      </c>
      <c r="T207" s="83">
        <f>50</f>
        <v>50</v>
      </c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</row>
    <row r="208" spans="1:30" ht="15.75" x14ac:dyDescent="0.25">
      <c r="A208" s="13">
        <v>47239</v>
      </c>
      <c r="B208" s="97">
        <v>31</v>
      </c>
      <c r="C208" s="83">
        <f>194.205</f>
        <v>194.20500000000001</v>
      </c>
      <c r="D208" s="83">
        <f>267.466</f>
        <v>267.46600000000001</v>
      </c>
      <c r="E208" s="92">
        <f>133.845</f>
        <v>133.845</v>
      </c>
      <c r="F208" s="83">
        <f>278.484-40-25-60-100</f>
        <v>53.48399999999998</v>
      </c>
      <c r="G208" s="86">
        <v>40</v>
      </c>
      <c r="H208" s="83">
        <f t="shared" si="31"/>
        <v>185</v>
      </c>
      <c r="I208" s="83">
        <f t="shared" si="28"/>
        <v>0</v>
      </c>
      <c r="J208" s="86">
        <v>100</v>
      </c>
      <c r="K208" s="86">
        <v>300</v>
      </c>
      <c r="L208" s="83">
        <f t="shared" si="22"/>
        <v>1274</v>
      </c>
      <c r="M208" s="94">
        <v>600</v>
      </c>
      <c r="N208" s="83">
        <f>75</f>
        <v>75</v>
      </c>
      <c r="O208" s="86">
        <v>240</v>
      </c>
      <c r="P208" s="86">
        <v>160</v>
      </c>
      <c r="Q208" s="86">
        <f t="shared" si="23"/>
        <v>195</v>
      </c>
      <c r="R208" s="86">
        <f t="shared" si="24"/>
        <v>100</v>
      </c>
      <c r="S208" s="83">
        <f t="shared" si="25"/>
        <v>695</v>
      </c>
      <c r="T208" s="83">
        <f>50</f>
        <v>50</v>
      </c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</row>
    <row r="209" spans="1:30" ht="15.75" x14ac:dyDescent="0.25">
      <c r="A209" s="13">
        <v>47270</v>
      </c>
      <c r="B209" s="97">
        <v>30</v>
      </c>
      <c r="C209" s="83">
        <f>194.205</f>
        <v>194.20500000000001</v>
      </c>
      <c r="D209" s="83">
        <f>267.466</f>
        <v>267.46600000000001</v>
      </c>
      <c r="E209" s="92">
        <f>133.845</f>
        <v>133.845</v>
      </c>
      <c r="F209" s="83">
        <f>278.484-40-25-60-100</f>
        <v>53.48399999999998</v>
      </c>
      <c r="G209" s="86">
        <v>40</v>
      </c>
      <c r="H209" s="83">
        <f t="shared" si="31"/>
        <v>185</v>
      </c>
      <c r="I209" s="83">
        <f t="shared" si="28"/>
        <v>0</v>
      </c>
      <c r="J209" s="86">
        <v>100</v>
      </c>
      <c r="K209" s="86">
        <v>300</v>
      </c>
      <c r="L209" s="83">
        <f t="shared" si="22"/>
        <v>1274</v>
      </c>
      <c r="M209" s="94">
        <v>600</v>
      </c>
      <c r="N209" s="83">
        <f>30</f>
        <v>30</v>
      </c>
      <c r="O209" s="86">
        <v>240</v>
      </c>
      <c r="P209" s="86">
        <v>160</v>
      </c>
      <c r="Q209" s="86">
        <f t="shared" si="23"/>
        <v>195</v>
      </c>
      <c r="R209" s="86">
        <f t="shared" si="24"/>
        <v>100</v>
      </c>
      <c r="S209" s="83">
        <f t="shared" si="25"/>
        <v>695</v>
      </c>
      <c r="T209" s="83">
        <f>50</f>
        <v>50</v>
      </c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</row>
    <row r="210" spans="1:30" ht="15.75" x14ac:dyDescent="0.25">
      <c r="A210" s="13">
        <v>47300</v>
      </c>
      <c r="B210" s="97">
        <v>31</v>
      </c>
      <c r="C210" s="83">
        <f>194.205</f>
        <v>194.20500000000001</v>
      </c>
      <c r="D210" s="83">
        <f>267.466</f>
        <v>267.46600000000001</v>
      </c>
      <c r="E210" s="92">
        <f>133.845</f>
        <v>133.845</v>
      </c>
      <c r="F210" s="83">
        <f>278.484-40-25-60-100</f>
        <v>53.48399999999998</v>
      </c>
      <c r="G210" s="86">
        <v>40</v>
      </c>
      <c r="H210" s="83">
        <f t="shared" si="31"/>
        <v>185</v>
      </c>
      <c r="I210" s="83">
        <f t="shared" si="28"/>
        <v>0</v>
      </c>
      <c r="J210" s="86">
        <v>100</v>
      </c>
      <c r="K210" s="86">
        <v>300</v>
      </c>
      <c r="L210" s="83">
        <f t="shared" si="22"/>
        <v>1274</v>
      </c>
      <c r="M210" s="94">
        <v>600</v>
      </c>
      <c r="N210" s="83">
        <f>30</f>
        <v>30</v>
      </c>
      <c r="O210" s="86">
        <v>240</v>
      </c>
      <c r="P210" s="86">
        <v>160</v>
      </c>
      <c r="Q210" s="86">
        <f t="shared" si="23"/>
        <v>195</v>
      </c>
      <c r="R210" s="86">
        <f t="shared" si="24"/>
        <v>100</v>
      </c>
      <c r="S210" s="83">
        <f t="shared" si="25"/>
        <v>695</v>
      </c>
      <c r="T210" s="83">
        <f>0</f>
        <v>0</v>
      </c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</row>
    <row r="211" spans="1:30" ht="15.75" x14ac:dyDescent="0.25">
      <c r="A211" s="13">
        <v>47331</v>
      </c>
      <c r="B211" s="97">
        <v>31</v>
      </c>
      <c r="C211" s="83">
        <f>194.205</f>
        <v>194.20500000000001</v>
      </c>
      <c r="D211" s="83">
        <f>267.466</f>
        <v>267.46600000000001</v>
      </c>
      <c r="E211" s="92">
        <f>133.845</f>
        <v>133.845</v>
      </c>
      <c r="F211" s="83">
        <f>278.484-40-25-60-100</f>
        <v>53.48399999999998</v>
      </c>
      <c r="G211" s="86">
        <v>40</v>
      </c>
      <c r="H211" s="83">
        <f t="shared" si="31"/>
        <v>185</v>
      </c>
      <c r="I211" s="83">
        <f t="shared" si="28"/>
        <v>0</v>
      </c>
      <c r="J211" s="86">
        <v>100</v>
      </c>
      <c r="K211" s="86">
        <v>300</v>
      </c>
      <c r="L211" s="83">
        <f t="shared" si="22"/>
        <v>1274</v>
      </c>
      <c r="M211" s="94">
        <v>600</v>
      </c>
      <c r="N211" s="83">
        <f>30</f>
        <v>30</v>
      </c>
      <c r="O211" s="86">
        <v>240</v>
      </c>
      <c r="P211" s="86">
        <v>160</v>
      </c>
      <c r="Q211" s="86">
        <f t="shared" si="23"/>
        <v>195</v>
      </c>
      <c r="R211" s="86">
        <f t="shared" si="24"/>
        <v>100</v>
      </c>
      <c r="S211" s="83">
        <f t="shared" si="25"/>
        <v>695</v>
      </c>
      <c r="T211" s="83">
        <f>0</f>
        <v>0</v>
      </c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</row>
    <row r="212" spans="1:30" ht="15.75" x14ac:dyDescent="0.25">
      <c r="A212" s="13">
        <v>47362</v>
      </c>
      <c r="B212" s="97">
        <v>30</v>
      </c>
      <c r="C212" s="83">
        <f>194.205</f>
        <v>194.20500000000001</v>
      </c>
      <c r="D212" s="83">
        <f>267.466</f>
        <v>267.46600000000001</v>
      </c>
      <c r="E212" s="92">
        <f>133.845</f>
        <v>133.845</v>
      </c>
      <c r="F212" s="83">
        <f>278.484-40-25-60-100</f>
        <v>53.48399999999998</v>
      </c>
      <c r="G212" s="86">
        <v>40</v>
      </c>
      <c r="H212" s="83">
        <f t="shared" si="31"/>
        <v>185</v>
      </c>
      <c r="I212" s="83">
        <f t="shared" si="28"/>
        <v>0</v>
      </c>
      <c r="J212" s="86">
        <v>100</v>
      </c>
      <c r="K212" s="86">
        <v>300</v>
      </c>
      <c r="L212" s="83">
        <f t="shared" si="22"/>
        <v>1274</v>
      </c>
      <c r="M212" s="94">
        <v>600</v>
      </c>
      <c r="N212" s="83">
        <f>30</f>
        <v>30</v>
      </c>
      <c r="O212" s="86">
        <v>240</v>
      </c>
      <c r="P212" s="86">
        <v>160</v>
      </c>
      <c r="Q212" s="86">
        <f t="shared" si="23"/>
        <v>195</v>
      </c>
      <c r="R212" s="86">
        <f t="shared" si="24"/>
        <v>100</v>
      </c>
      <c r="S212" s="83">
        <f t="shared" si="25"/>
        <v>695</v>
      </c>
      <c r="T212" s="83">
        <f>0</f>
        <v>0</v>
      </c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</row>
    <row r="213" spans="1:30" ht="15.75" x14ac:dyDescent="0.25">
      <c r="A213" s="13">
        <v>47392</v>
      </c>
      <c r="B213" s="97">
        <v>31</v>
      </c>
      <c r="C213" s="83">
        <f>131.881</f>
        <v>131.881</v>
      </c>
      <c r="D213" s="83">
        <f>277.167</f>
        <v>277.16699999999997</v>
      </c>
      <c r="E213" s="92">
        <f>79.08</f>
        <v>79.08</v>
      </c>
      <c r="F213" s="83">
        <f>350.872-40-25-60-100</f>
        <v>125.87200000000001</v>
      </c>
      <c r="G213" s="86">
        <v>40</v>
      </c>
      <c r="H213" s="83">
        <f t="shared" si="31"/>
        <v>185</v>
      </c>
      <c r="I213" s="83">
        <f t="shared" si="28"/>
        <v>0</v>
      </c>
      <c r="J213" s="86">
        <v>100</v>
      </c>
      <c r="K213" s="86">
        <v>300</v>
      </c>
      <c r="L213" s="83">
        <f t="shared" si="22"/>
        <v>1239</v>
      </c>
      <c r="M213" s="94">
        <v>600</v>
      </c>
      <c r="N213" s="83">
        <f>75</f>
        <v>75</v>
      </c>
      <c r="O213" s="86">
        <v>240</v>
      </c>
      <c r="P213" s="86">
        <v>160</v>
      </c>
      <c r="Q213" s="86">
        <f t="shared" si="23"/>
        <v>195</v>
      </c>
      <c r="R213" s="86">
        <f t="shared" si="24"/>
        <v>100</v>
      </c>
      <c r="S213" s="83">
        <f t="shared" si="25"/>
        <v>695</v>
      </c>
      <c r="T213" s="83">
        <f>0</f>
        <v>0</v>
      </c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</row>
    <row r="214" spans="1:30" ht="15.75" x14ac:dyDescent="0.25">
      <c r="A214" s="13">
        <v>47423</v>
      </c>
      <c r="B214" s="97">
        <v>30</v>
      </c>
      <c r="C214" s="83">
        <f>122.58</f>
        <v>122.58</v>
      </c>
      <c r="D214" s="83">
        <f>297.941</f>
        <v>297.94099999999997</v>
      </c>
      <c r="E214" s="92">
        <f>89.177</f>
        <v>89.177000000000007</v>
      </c>
      <c r="F214" s="83">
        <f>240.302-40-60-100</f>
        <v>40.301999999999992</v>
      </c>
      <c r="G214" s="86">
        <v>40</v>
      </c>
      <c r="H214" s="83">
        <f>60+100</f>
        <v>160</v>
      </c>
      <c r="I214" s="83">
        <f t="shared" si="28"/>
        <v>0</v>
      </c>
      <c r="J214" s="86">
        <v>100</v>
      </c>
      <c r="K214" s="86">
        <v>300</v>
      </c>
      <c r="L214" s="83">
        <f t="shared" ref="L214:L277" si="32">SUM(C214:K214)</f>
        <v>1150</v>
      </c>
      <c r="M214" s="94">
        <v>600</v>
      </c>
      <c r="N214" s="83">
        <f>100</f>
        <v>100</v>
      </c>
      <c r="O214" s="86">
        <v>240</v>
      </c>
      <c r="P214" s="86">
        <v>40</v>
      </c>
      <c r="Q214" s="86">
        <f t="shared" ref="Q214:Q277" si="33">695-R214-O214-P214</f>
        <v>315</v>
      </c>
      <c r="R214" s="86">
        <f t="shared" ref="R214:R277" si="34">200-J214</f>
        <v>100</v>
      </c>
      <c r="S214" s="83">
        <f t="shared" ref="S214:S277" si="35">SUM(O214:R214)</f>
        <v>695</v>
      </c>
      <c r="T214" s="83">
        <f>50</f>
        <v>50</v>
      </c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</row>
    <row r="215" spans="1:30" ht="15.75" x14ac:dyDescent="0.25">
      <c r="A215" s="13">
        <v>47453</v>
      </c>
      <c r="B215" s="97">
        <v>31</v>
      </c>
      <c r="C215" s="83">
        <f>122.58</f>
        <v>122.58</v>
      </c>
      <c r="D215" s="83">
        <f>297.941</f>
        <v>297.94099999999997</v>
      </c>
      <c r="E215" s="92">
        <f>89.177</f>
        <v>89.177000000000007</v>
      </c>
      <c r="F215" s="83">
        <f>240.302-40-60-100</f>
        <v>40.301999999999992</v>
      </c>
      <c r="G215" s="86">
        <v>40</v>
      </c>
      <c r="H215" s="83">
        <f>60+100</f>
        <v>160</v>
      </c>
      <c r="I215" s="83">
        <f t="shared" si="28"/>
        <v>0</v>
      </c>
      <c r="J215" s="86">
        <v>100</v>
      </c>
      <c r="K215" s="86">
        <v>300</v>
      </c>
      <c r="L215" s="83">
        <f t="shared" si="32"/>
        <v>1150</v>
      </c>
      <c r="M215" s="94">
        <v>600</v>
      </c>
      <c r="N215" s="83">
        <f>100</f>
        <v>100</v>
      </c>
      <c r="O215" s="86">
        <v>240</v>
      </c>
      <c r="P215" s="86">
        <v>40</v>
      </c>
      <c r="Q215" s="86">
        <f t="shared" si="33"/>
        <v>315</v>
      </c>
      <c r="R215" s="86">
        <f t="shared" si="34"/>
        <v>100</v>
      </c>
      <c r="S215" s="83">
        <f t="shared" si="35"/>
        <v>695</v>
      </c>
      <c r="T215" s="83">
        <f>50</f>
        <v>50</v>
      </c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</row>
    <row r="216" spans="1:30" ht="15.75" x14ac:dyDescent="0.25">
      <c r="A216" s="13">
        <v>47484</v>
      </c>
      <c r="B216" s="97">
        <v>31</v>
      </c>
      <c r="C216" s="83">
        <f>122.58</f>
        <v>122.58</v>
      </c>
      <c r="D216" s="83">
        <f>297.941</f>
        <v>297.94099999999997</v>
      </c>
      <c r="E216" s="92">
        <f>89.177</f>
        <v>89.177000000000007</v>
      </c>
      <c r="F216" s="83">
        <f>240.302-40-60-100</f>
        <v>40.301999999999992</v>
      </c>
      <c r="G216" s="86">
        <v>40</v>
      </c>
      <c r="H216" s="83">
        <f>60+100</f>
        <v>160</v>
      </c>
      <c r="I216" s="83">
        <f t="shared" si="28"/>
        <v>0</v>
      </c>
      <c r="J216" s="86">
        <v>100</v>
      </c>
      <c r="K216" s="86">
        <v>300</v>
      </c>
      <c r="L216" s="83">
        <f t="shared" si="32"/>
        <v>1150</v>
      </c>
      <c r="M216" s="94">
        <v>600</v>
      </c>
      <c r="N216" s="83">
        <f>100</f>
        <v>100</v>
      </c>
      <c r="O216" s="86">
        <v>240</v>
      </c>
      <c r="P216" s="86">
        <v>40</v>
      </c>
      <c r="Q216" s="86">
        <f t="shared" si="33"/>
        <v>315</v>
      </c>
      <c r="R216" s="86">
        <f t="shared" si="34"/>
        <v>100</v>
      </c>
      <c r="S216" s="83">
        <f t="shared" si="35"/>
        <v>695</v>
      </c>
      <c r="T216" s="83">
        <f>50</f>
        <v>50</v>
      </c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</row>
    <row r="217" spans="1:30" ht="15.75" x14ac:dyDescent="0.25">
      <c r="A217" s="13">
        <v>47515</v>
      </c>
      <c r="B217" s="97">
        <v>28</v>
      </c>
      <c r="C217" s="83">
        <f>122.58</f>
        <v>122.58</v>
      </c>
      <c r="D217" s="83">
        <f>297.941</f>
        <v>297.94099999999997</v>
      </c>
      <c r="E217" s="92">
        <f>89.177</f>
        <v>89.177000000000007</v>
      </c>
      <c r="F217" s="83">
        <f>240.302-40-60-100</f>
        <v>40.301999999999992</v>
      </c>
      <c r="G217" s="86">
        <v>40</v>
      </c>
      <c r="H217" s="83">
        <f>60+100</f>
        <v>160</v>
      </c>
      <c r="I217" s="83">
        <f t="shared" si="28"/>
        <v>0</v>
      </c>
      <c r="J217" s="86">
        <v>100</v>
      </c>
      <c r="K217" s="86">
        <v>300</v>
      </c>
      <c r="L217" s="83">
        <f t="shared" si="32"/>
        <v>1150</v>
      </c>
      <c r="M217" s="94">
        <v>600</v>
      </c>
      <c r="N217" s="83">
        <f>100</f>
        <v>100</v>
      </c>
      <c r="O217" s="86">
        <v>240</v>
      </c>
      <c r="P217" s="86">
        <v>40</v>
      </c>
      <c r="Q217" s="86">
        <f t="shared" si="33"/>
        <v>315</v>
      </c>
      <c r="R217" s="86">
        <f t="shared" si="34"/>
        <v>100</v>
      </c>
      <c r="S217" s="83">
        <f t="shared" si="35"/>
        <v>695</v>
      </c>
      <c r="T217" s="83">
        <f>50</f>
        <v>50</v>
      </c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</row>
    <row r="218" spans="1:30" ht="15.75" x14ac:dyDescent="0.25">
      <c r="A218" s="13">
        <v>47543</v>
      </c>
      <c r="B218" s="97">
        <v>31</v>
      </c>
      <c r="C218" s="83">
        <f>122.58</f>
        <v>122.58</v>
      </c>
      <c r="D218" s="83">
        <f>297.941</f>
        <v>297.94099999999997</v>
      </c>
      <c r="E218" s="92">
        <f>89.177</f>
        <v>89.177000000000007</v>
      </c>
      <c r="F218" s="83">
        <f>240.302-40-60-100</f>
        <v>40.301999999999992</v>
      </c>
      <c r="G218" s="86">
        <v>40</v>
      </c>
      <c r="H218" s="83">
        <f>60+100</f>
        <v>160</v>
      </c>
      <c r="I218" s="83">
        <f t="shared" si="28"/>
        <v>0</v>
      </c>
      <c r="J218" s="86">
        <v>100</v>
      </c>
      <c r="K218" s="86">
        <v>300</v>
      </c>
      <c r="L218" s="83">
        <f t="shared" si="32"/>
        <v>1150</v>
      </c>
      <c r="M218" s="94">
        <v>600</v>
      </c>
      <c r="N218" s="83">
        <f>100</f>
        <v>100</v>
      </c>
      <c r="O218" s="86">
        <v>240</v>
      </c>
      <c r="P218" s="86">
        <v>40</v>
      </c>
      <c r="Q218" s="86">
        <f t="shared" si="33"/>
        <v>315</v>
      </c>
      <c r="R218" s="86">
        <f t="shared" si="34"/>
        <v>100</v>
      </c>
      <c r="S218" s="83">
        <f t="shared" si="35"/>
        <v>695</v>
      </c>
      <c r="T218" s="83">
        <f>50</f>
        <v>50</v>
      </c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</row>
    <row r="219" spans="1:30" ht="15.75" x14ac:dyDescent="0.25">
      <c r="A219" s="13">
        <v>47574</v>
      </c>
      <c r="B219" s="97">
        <v>30</v>
      </c>
      <c r="C219" s="83">
        <f>141.293</f>
        <v>141.29300000000001</v>
      </c>
      <c r="D219" s="83">
        <f>267.993</f>
        <v>267.99299999999999</v>
      </c>
      <c r="E219" s="92">
        <f>115.016</f>
        <v>115.01600000000001</v>
      </c>
      <c r="F219" s="83">
        <f>314.698-40-25-60-100</f>
        <v>89.697999999999979</v>
      </c>
      <c r="G219" s="86">
        <v>40</v>
      </c>
      <c r="H219" s="83">
        <f t="shared" ref="H219:H225" si="36">25+60+100</f>
        <v>185</v>
      </c>
      <c r="I219" s="83">
        <f t="shared" si="28"/>
        <v>0</v>
      </c>
      <c r="J219" s="86">
        <v>100</v>
      </c>
      <c r="K219" s="86">
        <v>300</v>
      </c>
      <c r="L219" s="83">
        <f t="shared" si="32"/>
        <v>1239</v>
      </c>
      <c r="M219" s="94">
        <v>600</v>
      </c>
      <c r="N219" s="83">
        <f>100</f>
        <v>100</v>
      </c>
      <c r="O219" s="86">
        <v>240</v>
      </c>
      <c r="P219" s="86">
        <v>160</v>
      </c>
      <c r="Q219" s="86">
        <f t="shared" si="33"/>
        <v>195</v>
      </c>
      <c r="R219" s="86">
        <f t="shared" si="34"/>
        <v>100</v>
      </c>
      <c r="S219" s="83">
        <f t="shared" si="35"/>
        <v>695</v>
      </c>
      <c r="T219" s="83">
        <f>50</f>
        <v>50</v>
      </c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</row>
    <row r="220" spans="1:30" ht="15.75" x14ac:dyDescent="0.25">
      <c r="A220" s="13">
        <v>47604</v>
      </c>
      <c r="B220" s="97">
        <v>31</v>
      </c>
      <c r="C220" s="83">
        <f>194.205</f>
        <v>194.20500000000001</v>
      </c>
      <c r="D220" s="83">
        <f>267.466</f>
        <v>267.46600000000001</v>
      </c>
      <c r="E220" s="92">
        <f>133.845</f>
        <v>133.845</v>
      </c>
      <c r="F220" s="83">
        <f>278.484-40-25-60-100</f>
        <v>53.48399999999998</v>
      </c>
      <c r="G220" s="86">
        <v>40</v>
      </c>
      <c r="H220" s="83">
        <f t="shared" si="36"/>
        <v>185</v>
      </c>
      <c r="I220" s="83">
        <f t="shared" si="28"/>
        <v>0</v>
      </c>
      <c r="J220" s="86">
        <v>100</v>
      </c>
      <c r="K220" s="86">
        <v>300</v>
      </c>
      <c r="L220" s="83">
        <f t="shared" si="32"/>
        <v>1274</v>
      </c>
      <c r="M220" s="94">
        <v>600</v>
      </c>
      <c r="N220" s="83">
        <f>75</f>
        <v>75</v>
      </c>
      <c r="O220" s="86">
        <v>240</v>
      </c>
      <c r="P220" s="86">
        <v>160</v>
      </c>
      <c r="Q220" s="86">
        <f t="shared" si="33"/>
        <v>195</v>
      </c>
      <c r="R220" s="86">
        <f t="shared" si="34"/>
        <v>100</v>
      </c>
      <c r="S220" s="83">
        <f t="shared" si="35"/>
        <v>695</v>
      </c>
      <c r="T220" s="83">
        <f>50</f>
        <v>50</v>
      </c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</row>
    <row r="221" spans="1:30" ht="15.75" x14ac:dyDescent="0.25">
      <c r="A221" s="13">
        <v>47635</v>
      </c>
      <c r="B221" s="97">
        <v>30</v>
      </c>
      <c r="C221" s="83">
        <f>194.205</f>
        <v>194.20500000000001</v>
      </c>
      <c r="D221" s="83">
        <f>267.466</f>
        <v>267.46600000000001</v>
      </c>
      <c r="E221" s="92">
        <f>133.845</f>
        <v>133.845</v>
      </c>
      <c r="F221" s="83">
        <f>278.484-40-25-60-100</f>
        <v>53.48399999999998</v>
      </c>
      <c r="G221" s="86">
        <v>40</v>
      </c>
      <c r="H221" s="83">
        <f t="shared" si="36"/>
        <v>185</v>
      </c>
      <c r="I221" s="83">
        <f t="shared" si="28"/>
        <v>0</v>
      </c>
      <c r="J221" s="86">
        <v>100</v>
      </c>
      <c r="K221" s="86">
        <v>300</v>
      </c>
      <c r="L221" s="83">
        <f t="shared" si="32"/>
        <v>1274</v>
      </c>
      <c r="M221" s="94">
        <v>600</v>
      </c>
      <c r="N221" s="83">
        <f>30</f>
        <v>30</v>
      </c>
      <c r="O221" s="86">
        <v>240</v>
      </c>
      <c r="P221" s="86">
        <v>160</v>
      </c>
      <c r="Q221" s="86">
        <f t="shared" si="33"/>
        <v>195</v>
      </c>
      <c r="R221" s="86">
        <f t="shared" si="34"/>
        <v>100</v>
      </c>
      <c r="S221" s="83">
        <f t="shared" si="35"/>
        <v>695</v>
      </c>
      <c r="T221" s="83">
        <f>50</f>
        <v>50</v>
      </c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</row>
    <row r="222" spans="1:30" ht="15.75" x14ac:dyDescent="0.25">
      <c r="A222" s="13">
        <v>47665</v>
      </c>
      <c r="B222" s="97">
        <v>31</v>
      </c>
      <c r="C222" s="83">
        <f>194.205</f>
        <v>194.20500000000001</v>
      </c>
      <c r="D222" s="83">
        <f>267.466</f>
        <v>267.46600000000001</v>
      </c>
      <c r="E222" s="92">
        <f>133.845</f>
        <v>133.845</v>
      </c>
      <c r="F222" s="83">
        <f>278.484-40-25-60-100</f>
        <v>53.48399999999998</v>
      </c>
      <c r="G222" s="86">
        <v>40</v>
      </c>
      <c r="H222" s="83">
        <f t="shared" si="36"/>
        <v>185</v>
      </c>
      <c r="I222" s="83">
        <f t="shared" si="28"/>
        <v>0</v>
      </c>
      <c r="J222" s="86">
        <v>100</v>
      </c>
      <c r="K222" s="86">
        <v>300</v>
      </c>
      <c r="L222" s="83">
        <f t="shared" si="32"/>
        <v>1274</v>
      </c>
      <c r="M222" s="94">
        <v>600</v>
      </c>
      <c r="N222" s="83">
        <f>30</f>
        <v>30</v>
      </c>
      <c r="O222" s="86">
        <v>240</v>
      </c>
      <c r="P222" s="86">
        <v>160</v>
      </c>
      <c r="Q222" s="86">
        <f t="shared" si="33"/>
        <v>195</v>
      </c>
      <c r="R222" s="86">
        <f t="shared" si="34"/>
        <v>100</v>
      </c>
      <c r="S222" s="83">
        <f t="shared" si="35"/>
        <v>695</v>
      </c>
      <c r="T222" s="83">
        <f>0</f>
        <v>0</v>
      </c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</row>
    <row r="223" spans="1:30" ht="15.75" x14ac:dyDescent="0.25">
      <c r="A223" s="13">
        <v>47696</v>
      </c>
      <c r="B223" s="97">
        <v>31</v>
      </c>
      <c r="C223" s="83">
        <f>194.205</f>
        <v>194.20500000000001</v>
      </c>
      <c r="D223" s="83">
        <f>267.466</f>
        <v>267.46600000000001</v>
      </c>
      <c r="E223" s="92">
        <f>133.845</f>
        <v>133.845</v>
      </c>
      <c r="F223" s="83">
        <f>278.484-40-25-60-100</f>
        <v>53.48399999999998</v>
      </c>
      <c r="G223" s="86">
        <v>40</v>
      </c>
      <c r="H223" s="83">
        <f t="shared" si="36"/>
        <v>185</v>
      </c>
      <c r="I223" s="83">
        <f t="shared" si="28"/>
        <v>0</v>
      </c>
      <c r="J223" s="86">
        <v>100</v>
      </c>
      <c r="K223" s="86">
        <v>300</v>
      </c>
      <c r="L223" s="83">
        <f t="shared" si="32"/>
        <v>1274</v>
      </c>
      <c r="M223" s="94">
        <v>600</v>
      </c>
      <c r="N223" s="83">
        <f>30</f>
        <v>30</v>
      </c>
      <c r="O223" s="86">
        <v>240</v>
      </c>
      <c r="P223" s="86">
        <v>160</v>
      </c>
      <c r="Q223" s="86">
        <f t="shared" si="33"/>
        <v>195</v>
      </c>
      <c r="R223" s="86">
        <f t="shared" si="34"/>
        <v>100</v>
      </c>
      <c r="S223" s="83">
        <f t="shared" si="35"/>
        <v>695</v>
      </c>
      <c r="T223" s="83">
        <f>0</f>
        <v>0</v>
      </c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</row>
    <row r="224" spans="1:30" ht="15.75" x14ac:dyDescent="0.25">
      <c r="A224" s="13">
        <v>47727</v>
      </c>
      <c r="B224" s="97">
        <v>30</v>
      </c>
      <c r="C224" s="83">
        <f>194.205</f>
        <v>194.20500000000001</v>
      </c>
      <c r="D224" s="83">
        <f>267.466</f>
        <v>267.46600000000001</v>
      </c>
      <c r="E224" s="92">
        <f>133.845</f>
        <v>133.845</v>
      </c>
      <c r="F224" s="83">
        <f>278.484-40-25-60-100</f>
        <v>53.48399999999998</v>
      </c>
      <c r="G224" s="86">
        <v>40</v>
      </c>
      <c r="H224" s="83">
        <f t="shared" si="36"/>
        <v>185</v>
      </c>
      <c r="I224" s="83">
        <f t="shared" si="28"/>
        <v>0</v>
      </c>
      <c r="J224" s="86">
        <v>100</v>
      </c>
      <c r="K224" s="86">
        <v>300</v>
      </c>
      <c r="L224" s="83">
        <f t="shared" si="32"/>
        <v>1274</v>
      </c>
      <c r="M224" s="94">
        <v>600</v>
      </c>
      <c r="N224" s="83">
        <f>30</f>
        <v>30</v>
      </c>
      <c r="O224" s="86">
        <v>240</v>
      </c>
      <c r="P224" s="86">
        <v>160</v>
      </c>
      <c r="Q224" s="86">
        <f t="shared" si="33"/>
        <v>195</v>
      </c>
      <c r="R224" s="86">
        <f t="shared" si="34"/>
        <v>100</v>
      </c>
      <c r="S224" s="83">
        <f t="shared" si="35"/>
        <v>695</v>
      </c>
      <c r="T224" s="83">
        <f>0</f>
        <v>0</v>
      </c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</row>
    <row r="225" spans="1:30" ht="15.75" x14ac:dyDescent="0.25">
      <c r="A225" s="13">
        <v>47757</v>
      </c>
      <c r="B225" s="97">
        <v>31</v>
      </c>
      <c r="C225" s="83">
        <f>131.881</f>
        <v>131.881</v>
      </c>
      <c r="D225" s="83">
        <f>277.167</f>
        <v>277.16699999999997</v>
      </c>
      <c r="E225" s="92">
        <f>79.08</f>
        <v>79.08</v>
      </c>
      <c r="F225" s="83">
        <f>350.872-40-25-60-100</f>
        <v>125.87200000000001</v>
      </c>
      <c r="G225" s="86">
        <v>40</v>
      </c>
      <c r="H225" s="83">
        <f t="shared" si="36"/>
        <v>185</v>
      </c>
      <c r="I225" s="83">
        <f t="shared" si="28"/>
        <v>0</v>
      </c>
      <c r="J225" s="86">
        <v>100</v>
      </c>
      <c r="K225" s="86">
        <v>300</v>
      </c>
      <c r="L225" s="83">
        <f t="shared" si="32"/>
        <v>1239</v>
      </c>
      <c r="M225" s="94">
        <v>600</v>
      </c>
      <c r="N225" s="83">
        <f>75</f>
        <v>75</v>
      </c>
      <c r="O225" s="86">
        <v>240</v>
      </c>
      <c r="P225" s="86">
        <v>160</v>
      </c>
      <c r="Q225" s="86">
        <f t="shared" si="33"/>
        <v>195</v>
      </c>
      <c r="R225" s="86">
        <f t="shared" si="34"/>
        <v>100</v>
      </c>
      <c r="S225" s="83">
        <f t="shared" si="35"/>
        <v>695</v>
      </c>
      <c r="T225" s="83">
        <f>0</f>
        <v>0</v>
      </c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</row>
    <row r="226" spans="1:30" ht="15.75" x14ac:dyDescent="0.25">
      <c r="A226" s="13">
        <v>47788</v>
      </c>
      <c r="B226" s="97">
        <v>30</v>
      </c>
      <c r="C226" s="83">
        <f>122.58</f>
        <v>122.58</v>
      </c>
      <c r="D226" s="83">
        <f>297.941</f>
        <v>297.94099999999997</v>
      </c>
      <c r="E226" s="92">
        <f>89.177</f>
        <v>89.177000000000007</v>
      </c>
      <c r="F226" s="83">
        <f>240.302-40-60-100</f>
        <v>40.301999999999992</v>
      </c>
      <c r="G226" s="86">
        <v>40</v>
      </c>
      <c r="H226" s="83">
        <f>60+100</f>
        <v>160</v>
      </c>
      <c r="I226" s="83">
        <f t="shared" si="28"/>
        <v>0</v>
      </c>
      <c r="J226" s="86">
        <v>100</v>
      </c>
      <c r="K226" s="86">
        <v>300</v>
      </c>
      <c r="L226" s="83">
        <f t="shared" si="32"/>
        <v>1150</v>
      </c>
      <c r="M226" s="94">
        <v>600</v>
      </c>
      <c r="N226" s="83">
        <f>100</f>
        <v>100</v>
      </c>
      <c r="O226" s="86">
        <v>240</v>
      </c>
      <c r="P226" s="86">
        <v>40</v>
      </c>
      <c r="Q226" s="86">
        <f t="shared" si="33"/>
        <v>315</v>
      </c>
      <c r="R226" s="86">
        <f t="shared" si="34"/>
        <v>100</v>
      </c>
      <c r="S226" s="83">
        <f t="shared" si="35"/>
        <v>695</v>
      </c>
      <c r="T226" s="83">
        <f>50</f>
        <v>50</v>
      </c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</row>
    <row r="227" spans="1:30" ht="15.75" x14ac:dyDescent="0.25">
      <c r="A227" s="13">
        <v>47818</v>
      </c>
      <c r="B227" s="97">
        <v>31</v>
      </c>
      <c r="C227" s="83">
        <f>122.58</f>
        <v>122.58</v>
      </c>
      <c r="D227" s="83">
        <f>297.941</f>
        <v>297.94099999999997</v>
      </c>
      <c r="E227" s="92">
        <f>89.177</f>
        <v>89.177000000000007</v>
      </c>
      <c r="F227" s="83">
        <f>240.302-40-60-100</f>
        <v>40.301999999999992</v>
      </c>
      <c r="G227" s="86">
        <v>40</v>
      </c>
      <c r="H227" s="83">
        <f>60+100</f>
        <v>160</v>
      </c>
      <c r="I227" s="83">
        <f t="shared" si="28"/>
        <v>0</v>
      </c>
      <c r="J227" s="86">
        <v>100</v>
      </c>
      <c r="K227" s="86">
        <v>300</v>
      </c>
      <c r="L227" s="83">
        <f t="shared" si="32"/>
        <v>1150</v>
      </c>
      <c r="M227" s="94">
        <v>600</v>
      </c>
      <c r="N227" s="83">
        <f>100</f>
        <v>100</v>
      </c>
      <c r="O227" s="86">
        <v>240</v>
      </c>
      <c r="P227" s="86">
        <v>40</v>
      </c>
      <c r="Q227" s="86">
        <f t="shared" si="33"/>
        <v>315</v>
      </c>
      <c r="R227" s="86">
        <f t="shared" si="34"/>
        <v>100</v>
      </c>
      <c r="S227" s="83">
        <f t="shared" si="35"/>
        <v>695</v>
      </c>
      <c r="T227" s="83">
        <f>50</f>
        <v>50</v>
      </c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</row>
    <row r="228" spans="1:30" ht="15.75" x14ac:dyDescent="0.25">
      <c r="A228" s="13">
        <v>47849</v>
      </c>
      <c r="B228" s="97">
        <v>31</v>
      </c>
      <c r="C228" s="83">
        <f>122.58</f>
        <v>122.58</v>
      </c>
      <c r="D228" s="83">
        <f>297.941</f>
        <v>297.94099999999997</v>
      </c>
      <c r="E228" s="92">
        <f>89.177</f>
        <v>89.177000000000007</v>
      </c>
      <c r="F228" s="83">
        <f>240.302-40-60-100</f>
        <v>40.301999999999992</v>
      </c>
      <c r="G228" s="86">
        <v>40</v>
      </c>
      <c r="H228" s="83">
        <f>60+100</f>
        <v>160</v>
      </c>
      <c r="I228" s="83">
        <f t="shared" si="28"/>
        <v>0</v>
      </c>
      <c r="J228" s="86">
        <v>100</v>
      </c>
      <c r="K228" s="86">
        <v>300</v>
      </c>
      <c r="L228" s="83">
        <f t="shared" si="32"/>
        <v>1150</v>
      </c>
      <c r="M228" s="94">
        <v>600</v>
      </c>
      <c r="N228" s="83">
        <f>100</f>
        <v>100</v>
      </c>
      <c r="O228" s="86">
        <v>240</v>
      </c>
      <c r="P228" s="86">
        <v>40</v>
      </c>
      <c r="Q228" s="86">
        <f t="shared" si="33"/>
        <v>315</v>
      </c>
      <c r="R228" s="86">
        <f t="shared" si="34"/>
        <v>100</v>
      </c>
      <c r="S228" s="83">
        <f t="shared" si="35"/>
        <v>695</v>
      </c>
      <c r="T228" s="83">
        <f>50</f>
        <v>50</v>
      </c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</row>
    <row r="229" spans="1:30" ht="15.75" x14ac:dyDescent="0.25">
      <c r="A229" s="13">
        <v>47880</v>
      </c>
      <c r="B229" s="97">
        <v>28</v>
      </c>
      <c r="C229" s="83">
        <f>122.58</f>
        <v>122.58</v>
      </c>
      <c r="D229" s="83">
        <f>297.941</f>
        <v>297.94099999999997</v>
      </c>
      <c r="E229" s="92">
        <f>89.177</f>
        <v>89.177000000000007</v>
      </c>
      <c r="F229" s="83">
        <f>240.302-40-60-100</f>
        <v>40.301999999999992</v>
      </c>
      <c r="G229" s="86">
        <v>40</v>
      </c>
      <c r="H229" s="83">
        <f>60+100</f>
        <v>160</v>
      </c>
      <c r="I229" s="83">
        <f t="shared" si="28"/>
        <v>0</v>
      </c>
      <c r="J229" s="86">
        <v>100</v>
      </c>
      <c r="K229" s="86">
        <v>300</v>
      </c>
      <c r="L229" s="83">
        <f t="shared" si="32"/>
        <v>1150</v>
      </c>
      <c r="M229" s="94">
        <v>600</v>
      </c>
      <c r="N229" s="83">
        <f>100</f>
        <v>100</v>
      </c>
      <c r="O229" s="86">
        <v>240</v>
      </c>
      <c r="P229" s="86">
        <v>40</v>
      </c>
      <c r="Q229" s="86">
        <f t="shared" si="33"/>
        <v>315</v>
      </c>
      <c r="R229" s="86">
        <f t="shared" si="34"/>
        <v>100</v>
      </c>
      <c r="S229" s="83">
        <f t="shared" si="35"/>
        <v>695</v>
      </c>
      <c r="T229" s="83">
        <f>50</f>
        <v>50</v>
      </c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</row>
    <row r="230" spans="1:30" ht="15.75" x14ac:dyDescent="0.25">
      <c r="A230" s="13">
        <v>47908</v>
      </c>
      <c r="B230" s="97">
        <v>31</v>
      </c>
      <c r="C230" s="83">
        <f>122.58</f>
        <v>122.58</v>
      </c>
      <c r="D230" s="83">
        <f>297.941</f>
        <v>297.94099999999997</v>
      </c>
      <c r="E230" s="92">
        <f>89.177</f>
        <v>89.177000000000007</v>
      </c>
      <c r="F230" s="83">
        <f>240.302-40-60-100</f>
        <v>40.301999999999992</v>
      </c>
      <c r="G230" s="86">
        <v>40</v>
      </c>
      <c r="H230" s="83">
        <f>60+100</f>
        <v>160</v>
      </c>
      <c r="I230" s="83">
        <f t="shared" si="28"/>
        <v>0</v>
      </c>
      <c r="J230" s="86">
        <v>100</v>
      </c>
      <c r="K230" s="86">
        <v>300</v>
      </c>
      <c r="L230" s="83">
        <f t="shared" si="32"/>
        <v>1150</v>
      </c>
      <c r="M230" s="94">
        <v>600</v>
      </c>
      <c r="N230" s="83">
        <f>100</f>
        <v>100</v>
      </c>
      <c r="O230" s="86">
        <v>240</v>
      </c>
      <c r="P230" s="86">
        <v>40</v>
      </c>
      <c r="Q230" s="86">
        <f t="shared" si="33"/>
        <v>315</v>
      </c>
      <c r="R230" s="86">
        <f t="shared" si="34"/>
        <v>100</v>
      </c>
      <c r="S230" s="83">
        <f t="shared" si="35"/>
        <v>695</v>
      </c>
      <c r="T230" s="83">
        <f>50</f>
        <v>50</v>
      </c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</row>
    <row r="231" spans="1:30" ht="15.75" x14ac:dyDescent="0.25">
      <c r="A231" s="13">
        <v>47939</v>
      </c>
      <c r="B231" s="97">
        <v>30</v>
      </c>
      <c r="C231" s="83">
        <f>141.293</f>
        <v>141.29300000000001</v>
      </c>
      <c r="D231" s="83">
        <f>267.993</f>
        <v>267.99299999999999</v>
      </c>
      <c r="E231" s="92">
        <f>115.016</f>
        <v>115.01600000000001</v>
      </c>
      <c r="F231" s="83">
        <f>314.698-40-25-60-100</f>
        <v>89.697999999999979</v>
      </c>
      <c r="G231" s="86">
        <v>40</v>
      </c>
      <c r="H231" s="83">
        <f t="shared" ref="H231:H237" si="37">25+60+100</f>
        <v>185</v>
      </c>
      <c r="I231" s="83">
        <f t="shared" si="28"/>
        <v>0</v>
      </c>
      <c r="J231" s="86">
        <v>100</v>
      </c>
      <c r="K231" s="86">
        <v>300</v>
      </c>
      <c r="L231" s="83">
        <f t="shared" si="32"/>
        <v>1239</v>
      </c>
      <c r="M231" s="94">
        <v>600</v>
      </c>
      <c r="N231" s="83">
        <f>100</f>
        <v>100</v>
      </c>
      <c r="O231" s="86">
        <v>240</v>
      </c>
      <c r="P231" s="86">
        <v>160</v>
      </c>
      <c r="Q231" s="86">
        <f t="shared" si="33"/>
        <v>195</v>
      </c>
      <c r="R231" s="86">
        <f t="shared" si="34"/>
        <v>100</v>
      </c>
      <c r="S231" s="83">
        <f t="shared" si="35"/>
        <v>695</v>
      </c>
      <c r="T231" s="83">
        <f>50</f>
        <v>50</v>
      </c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</row>
    <row r="232" spans="1:30" ht="15.75" x14ac:dyDescent="0.25">
      <c r="A232" s="13">
        <v>47969</v>
      </c>
      <c r="B232" s="97">
        <v>31</v>
      </c>
      <c r="C232" s="83">
        <f>194.205</f>
        <v>194.20500000000001</v>
      </c>
      <c r="D232" s="83">
        <f>267.466</f>
        <v>267.46600000000001</v>
      </c>
      <c r="E232" s="92">
        <f>133.845</f>
        <v>133.845</v>
      </c>
      <c r="F232" s="83">
        <f>278.484-40-25-60-100</f>
        <v>53.48399999999998</v>
      </c>
      <c r="G232" s="86">
        <v>40</v>
      </c>
      <c r="H232" s="83">
        <f t="shared" si="37"/>
        <v>185</v>
      </c>
      <c r="I232" s="83">
        <f t="shared" si="28"/>
        <v>0</v>
      </c>
      <c r="J232" s="86">
        <v>100</v>
      </c>
      <c r="K232" s="86">
        <v>300</v>
      </c>
      <c r="L232" s="83">
        <f t="shared" si="32"/>
        <v>1274</v>
      </c>
      <c r="M232" s="94">
        <v>600</v>
      </c>
      <c r="N232" s="83">
        <f>75</f>
        <v>75</v>
      </c>
      <c r="O232" s="86">
        <v>240</v>
      </c>
      <c r="P232" s="86">
        <v>160</v>
      </c>
      <c r="Q232" s="86">
        <f t="shared" si="33"/>
        <v>195</v>
      </c>
      <c r="R232" s="86">
        <f t="shared" si="34"/>
        <v>100</v>
      </c>
      <c r="S232" s="83">
        <f t="shared" si="35"/>
        <v>695</v>
      </c>
      <c r="T232" s="83">
        <f>50</f>
        <v>50</v>
      </c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</row>
    <row r="233" spans="1:30" ht="15.75" x14ac:dyDescent="0.25">
      <c r="A233" s="13">
        <v>48000</v>
      </c>
      <c r="B233" s="97">
        <v>30</v>
      </c>
      <c r="C233" s="83">
        <f>194.205</f>
        <v>194.20500000000001</v>
      </c>
      <c r="D233" s="83">
        <f>267.466</f>
        <v>267.46600000000001</v>
      </c>
      <c r="E233" s="92">
        <f>133.845</f>
        <v>133.845</v>
      </c>
      <c r="F233" s="83">
        <f>278.484-40-25-60-100</f>
        <v>53.48399999999998</v>
      </c>
      <c r="G233" s="86">
        <v>40</v>
      </c>
      <c r="H233" s="83">
        <f t="shared" si="37"/>
        <v>185</v>
      </c>
      <c r="I233" s="83">
        <f t="shared" si="28"/>
        <v>0</v>
      </c>
      <c r="J233" s="86">
        <v>100</v>
      </c>
      <c r="K233" s="86">
        <v>300</v>
      </c>
      <c r="L233" s="83">
        <f t="shared" si="32"/>
        <v>1274</v>
      </c>
      <c r="M233" s="94">
        <v>600</v>
      </c>
      <c r="N233" s="83">
        <f>30</f>
        <v>30</v>
      </c>
      <c r="O233" s="86">
        <v>240</v>
      </c>
      <c r="P233" s="86">
        <v>160</v>
      </c>
      <c r="Q233" s="86">
        <f t="shared" si="33"/>
        <v>195</v>
      </c>
      <c r="R233" s="86">
        <f t="shared" si="34"/>
        <v>100</v>
      </c>
      <c r="S233" s="83">
        <f t="shared" si="35"/>
        <v>695</v>
      </c>
      <c r="T233" s="83">
        <f>50</f>
        <v>50</v>
      </c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</row>
    <row r="234" spans="1:30" ht="15.75" x14ac:dyDescent="0.25">
      <c r="A234" s="13">
        <v>48030</v>
      </c>
      <c r="B234" s="97">
        <v>31</v>
      </c>
      <c r="C234" s="83">
        <f>194.205</f>
        <v>194.20500000000001</v>
      </c>
      <c r="D234" s="83">
        <f>267.466</f>
        <v>267.46600000000001</v>
      </c>
      <c r="E234" s="92">
        <f>133.845</f>
        <v>133.845</v>
      </c>
      <c r="F234" s="83">
        <f>278.484-40-25-60-100</f>
        <v>53.48399999999998</v>
      </c>
      <c r="G234" s="86">
        <v>40</v>
      </c>
      <c r="H234" s="83">
        <f t="shared" si="37"/>
        <v>185</v>
      </c>
      <c r="I234" s="83">
        <f t="shared" si="28"/>
        <v>0</v>
      </c>
      <c r="J234" s="86">
        <v>100</v>
      </c>
      <c r="K234" s="86">
        <v>300</v>
      </c>
      <c r="L234" s="83">
        <f t="shared" si="32"/>
        <v>1274</v>
      </c>
      <c r="M234" s="94">
        <v>600</v>
      </c>
      <c r="N234" s="83">
        <f>30</f>
        <v>30</v>
      </c>
      <c r="O234" s="86">
        <v>240</v>
      </c>
      <c r="P234" s="86">
        <v>160</v>
      </c>
      <c r="Q234" s="86">
        <f t="shared" si="33"/>
        <v>195</v>
      </c>
      <c r="R234" s="86">
        <f t="shared" si="34"/>
        <v>100</v>
      </c>
      <c r="S234" s="83">
        <f t="shared" si="35"/>
        <v>695</v>
      </c>
      <c r="T234" s="83">
        <f>0</f>
        <v>0</v>
      </c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</row>
    <row r="235" spans="1:30" ht="15.75" x14ac:dyDescent="0.25">
      <c r="A235" s="13">
        <v>48061</v>
      </c>
      <c r="B235" s="97">
        <v>31</v>
      </c>
      <c r="C235" s="83">
        <f>194.205</f>
        <v>194.20500000000001</v>
      </c>
      <c r="D235" s="83">
        <f>267.466</f>
        <v>267.46600000000001</v>
      </c>
      <c r="E235" s="92">
        <f>133.845</f>
        <v>133.845</v>
      </c>
      <c r="F235" s="83">
        <f>278.484-40-25-60-100</f>
        <v>53.48399999999998</v>
      </c>
      <c r="G235" s="86">
        <v>40</v>
      </c>
      <c r="H235" s="83">
        <f t="shared" si="37"/>
        <v>185</v>
      </c>
      <c r="I235" s="83">
        <f t="shared" si="28"/>
        <v>0</v>
      </c>
      <c r="J235" s="86">
        <v>100</v>
      </c>
      <c r="K235" s="86">
        <v>300</v>
      </c>
      <c r="L235" s="83">
        <f t="shared" si="32"/>
        <v>1274</v>
      </c>
      <c r="M235" s="94">
        <v>600</v>
      </c>
      <c r="N235" s="83">
        <f>30</f>
        <v>30</v>
      </c>
      <c r="O235" s="86">
        <v>240</v>
      </c>
      <c r="P235" s="86">
        <v>160</v>
      </c>
      <c r="Q235" s="86">
        <f t="shared" si="33"/>
        <v>195</v>
      </c>
      <c r="R235" s="86">
        <f t="shared" si="34"/>
        <v>100</v>
      </c>
      <c r="S235" s="83">
        <f t="shared" si="35"/>
        <v>695</v>
      </c>
      <c r="T235" s="83">
        <f>0</f>
        <v>0</v>
      </c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</row>
    <row r="236" spans="1:30" ht="15.75" x14ac:dyDescent="0.25">
      <c r="A236" s="13">
        <v>48092</v>
      </c>
      <c r="B236" s="97">
        <v>30</v>
      </c>
      <c r="C236" s="83">
        <f>194.205</f>
        <v>194.20500000000001</v>
      </c>
      <c r="D236" s="83">
        <f>267.466</f>
        <v>267.46600000000001</v>
      </c>
      <c r="E236" s="92">
        <f>133.845</f>
        <v>133.845</v>
      </c>
      <c r="F236" s="83">
        <f>278.484-40-25-60-100</f>
        <v>53.48399999999998</v>
      </c>
      <c r="G236" s="86">
        <v>40</v>
      </c>
      <c r="H236" s="83">
        <f t="shared" si="37"/>
        <v>185</v>
      </c>
      <c r="I236" s="83">
        <f t="shared" si="28"/>
        <v>0</v>
      </c>
      <c r="J236" s="86">
        <v>100</v>
      </c>
      <c r="K236" s="86">
        <v>300</v>
      </c>
      <c r="L236" s="83">
        <f t="shared" si="32"/>
        <v>1274</v>
      </c>
      <c r="M236" s="94">
        <v>600</v>
      </c>
      <c r="N236" s="83">
        <f>30</f>
        <v>30</v>
      </c>
      <c r="O236" s="86">
        <v>240</v>
      </c>
      <c r="P236" s="86">
        <v>160</v>
      </c>
      <c r="Q236" s="86">
        <f t="shared" si="33"/>
        <v>195</v>
      </c>
      <c r="R236" s="86">
        <f t="shared" si="34"/>
        <v>100</v>
      </c>
      <c r="S236" s="83">
        <f t="shared" si="35"/>
        <v>695</v>
      </c>
      <c r="T236" s="83">
        <f>0</f>
        <v>0</v>
      </c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</row>
    <row r="237" spans="1:30" ht="15.75" x14ac:dyDescent="0.25">
      <c r="A237" s="13">
        <v>48122</v>
      </c>
      <c r="B237" s="97">
        <v>31</v>
      </c>
      <c r="C237" s="83">
        <f>131.881</f>
        <v>131.881</v>
      </c>
      <c r="D237" s="83">
        <f>277.167</f>
        <v>277.16699999999997</v>
      </c>
      <c r="E237" s="92">
        <f>79.08</f>
        <v>79.08</v>
      </c>
      <c r="F237" s="83">
        <f>350.872-40-25-60-100</f>
        <v>125.87200000000001</v>
      </c>
      <c r="G237" s="86">
        <v>40</v>
      </c>
      <c r="H237" s="83">
        <f t="shared" si="37"/>
        <v>185</v>
      </c>
      <c r="I237" s="83">
        <f t="shared" si="28"/>
        <v>0</v>
      </c>
      <c r="J237" s="86">
        <v>100</v>
      </c>
      <c r="K237" s="86">
        <v>300</v>
      </c>
      <c r="L237" s="83">
        <f t="shared" si="32"/>
        <v>1239</v>
      </c>
      <c r="M237" s="94">
        <v>600</v>
      </c>
      <c r="N237" s="83">
        <f>75</f>
        <v>75</v>
      </c>
      <c r="O237" s="86">
        <v>240</v>
      </c>
      <c r="P237" s="86">
        <v>160</v>
      </c>
      <c r="Q237" s="86">
        <f t="shared" si="33"/>
        <v>195</v>
      </c>
      <c r="R237" s="86">
        <f t="shared" si="34"/>
        <v>100</v>
      </c>
      <c r="S237" s="83">
        <f t="shared" si="35"/>
        <v>695</v>
      </c>
      <c r="T237" s="83">
        <f>0</f>
        <v>0</v>
      </c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</row>
    <row r="238" spans="1:30" ht="15.75" x14ac:dyDescent="0.25">
      <c r="A238" s="13">
        <v>48153</v>
      </c>
      <c r="B238" s="97">
        <v>30</v>
      </c>
      <c r="C238" s="83">
        <f>122.58</f>
        <v>122.58</v>
      </c>
      <c r="D238" s="83">
        <f>297.941</f>
        <v>297.94099999999997</v>
      </c>
      <c r="E238" s="92">
        <f>89.177</f>
        <v>89.177000000000007</v>
      </c>
      <c r="F238" s="83">
        <f>240.302-40-60-100</f>
        <v>40.301999999999992</v>
      </c>
      <c r="G238" s="86">
        <v>40</v>
      </c>
      <c r="H238" s="83">
        <f>60+100</f>
        <v>160</v>
      </c>
      <c r="I238" s="83">
        <f t="shared" si="28"/>
        <v>0</v>
      </c>
      <c r="J238" s="86">
        <v>100</v>
      </c>
      <c r="K238" s="86">
        <v>300</v>
      </c>
      <c r="L238" s="83">
        <f t="shared" si="32"/>
        <v>1150</v>
      </c>
      <c r="M238" s="94">
        <v>600</v>
      </c>
      <c r="N238" s="83">
        <f>100</f>
        <v>100</v>
      </c>
      <c r="O238" s="86">
        <v>240</v>
      </c>
      <c r="P238" s="86">
        <v>40</v>
      </c>
      <c r="Q238" s="86">
        <f t="shared" si="33"/>
        <v>315</v>
      </c>
      <c r="R238" s="86">
        <f t="shared" si="34"/>
        <v>100</v>
      </c>
      <c r="S238" s="83">
        <f t="shared" si="35"/>
        <v>695</v>
      </c>
      <c r="T238" s="83">
        <f>50</f>
        <v>50</v>
      </c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</row>
    <row r="239" spans="1:30" ht="15.75" x14ac:dyDescent="0.25">
      <c r="A239" s="13">
        <v>48183</v>
      </c>
      <c r="B239" s="97">
        <v>31</v>
      </c>
      <c r="C239" s="83">
        <f>122.58</f>
        <v>122.58</v>
      </c>
      <c r="D239" s="83">
        <f>297.941</f>
        <v>297.94099999999997</v>
      </c>
      <c r="E239" s="92">
        <f>89.177</f>
        <v>89.177000000000007</v>
      </c>
      <c r="F239" s="83">
        <f>240.302-40-60-100</f>
        <v>40.301999999999992</v>
      </c>
      <c r="G239" s="86">
        <v>40</v>
      </c>
      <c r="H239" s="83">
        <f>60+100</f>
        <v>160</v>
      </c>
      <c r="I239" s="83">
        <f t="shared" si="28"/>
        <v>0</v>
      </c>
      <c r="J239" s="86">
        <v>100</v>
      </c>
      <c r="K239" s="86">
        <v>300</v>
      </c>
      <c r="L239" s="83">
        <f t="shared" si="32"/>
        <v>1150</v>
      </c>
      <c r="M239" s="94">
        <v>600</v>
      </c>
      <c r="N239" s="83">
        <f>100</f>
        <v>100</v>
      </c>
      <c r="O239" s="86">
        <v>240</v>
      </c>
      <c r="P239" s="86">
        <v>40</v>
      </c>
      <c r="Q239" s="86">
        <f t="shared" si="33"/>
        <v>315</v>
      </c>
      <c r="R239" s="86">
        <f t="shared" si="34"/>
        <v>100</v>
      </c>
      <c r="S239" s="83">
        <f t="shared" si="35"/>
        <v>695</v>
      </c>
      <c r="T239" s="83">
        <f>50</f>
        <v>50</v>
      </c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</row>
    <row r="240" spans="1:30" ht="15.75" x14ac:dyDescent="0.25">
      <c r="A240" s="13">
        <v>48214</v>
      </c>
      <c r="B240" s="97">
        <v>31</v>
      </c>
      <c r="C240" s="83">
        <f>122.58</f>
        <v>122.58</v>
      </c>
      <c r="D240" s="83">
        <f>297.941</f>
        <v>297.94099999999997</v>
      </c>
      <c r="E240" s="92">
        <f>89.177</f>
        <v>89.177000000000007</v>
      </c>
      <c r="F240" s="83">
        <f>240.302-40-60-100</f>
        <v>40.301999999999992</v>
      </c>
      <c r="G240" s="86">
        <v>40</v>
      </c>
      <c r="H240" s="83">
        <f>60+100</f>
        <v>160</v>
      </c>
      <c r="I240" s="83">
        <f t="shared" si="28"/>
        <v>0</v>
      </c>
      <c r="J240" s="86">
        <v>100</v>
      </c>
      <c r="K240" s="86">
        <v>300</v>
      </c>
      <c r="L240" s="83">
        <f t="shared" si="32"/>
        <v>1150</v>
      </c>
      <c r="M240" s="94">
        <v>600</v>
      </c>
      <c r="N240" s="83">
        <f>100</f>
        <v>100</v>
      </c>
      <c r="O240" s="86">
        <v>240</v>
      </c>
      <c r="P240" s="86">
        <v>40</v>
      </c>
      <c r="Q240" s="86">
        <f t="shared" si="33"/>
        <v>315</v>
      </c>
      <c r="R240" s="86">
        <f t="shared" si="34"/>
        <v>100</v>
      </c>
      <c r="S240" s="83">
        <f t="shared" si="35"/>
        <v>695</v>
      </c>
      <c r="T240" s="83">
        <f>50</f>
        <v>50</v>
      </c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</row>
    <row r="241" spans="1:30" ht="15.75" x14ac:dyDescent="0.25">
      <c r="A241" s="13">
        <v>48245</v>
      </c>
      <c r="B241" s="97">
        <v>29</v>
      </c>
      <c r="C241" s="83">
        <f>122.58</f>
        <v>122.58</v>
      </c>
      <c r="D241" s="83">
        <f>297.941</f>
        <v>297.94099999999997</v>
      </c>
      <c r="E241" s="92">
        <f>89.177</f>
        <v>89.177000000000007</v>
      </c>
      <c r="F241" s="83">
        <f>240.302-40-60-100</f>
        <v>40.301999999999992</v>
      </c>
      <c r="G241" s="86">
        <v>40</v>
      </c>
      <c r="H241" s="83">
        <f>60+100</f>
        <v>160</v>
      </c>
      <c r="I241" s="83">
        <f t="shared" si="28"/>
        <v>0</v>
      </c>
      <c r="J241" s="86">
        <v>100</v>
      </c>
      <c r="K241" s="86">
        <v>300</v>
      </c>
      <c r="L241" s="83">
        <f t="shared" si="32"/>
        <v>1150</v>
      </c>
      <c r="M241" s="94">
        <v>600</v>
      </c>
      <c r="N241" s="83">
        <f>100</f>
        <v>100</v>
      </c>
      <c r="O241" s="86">
        <v>240</v>
      </c>
      <c r="P241" s="86">
        <v>40</v>
      </c>
      <c r="Q241" s="86">
        <f t="shared" si="33"/>
        <v>315</v>
      </c>
      <c r="R241" s="86">
        <f t="shared" si="34"/>
        <v>100</v>
      </c>
      <c r="S241" s="83">
        <f t="shared" si="35"/>
        <v>695</v>
      </c>
      <c r="T241" s="83">
        <f>50</f>
        <v>50</v>
      </c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</row>
    <row r="242" spans="1:30" ht="15.75" x14ac:dyDescent="0.25">
      <c r="A242" s="13">
        <v>48274</v>
      </c>
      <c r="B242" s="97">
        <v>31</v>
      </c>
      <c r="C242" s="83">
        <f>122.58</f>
        <v>122.58</v>
      </c>
      <c r="D242" s="83">
        <f>297.941</f>
        <v>297.94099999999997</v>
      </c>
      <c r="E242" s="92">
        <f>89.177</f>
        <v>89.177000000000007</v>
      </c>
      <c r="F242" s="83">
        <f>240.302-40-60-100</f>
        <v>40.301999999999992</v>
      </c>
      <c r="G242" s="86">
        <v>40</v>
      </c>
      <c r="H242" s="83">
        <f>60+100</f>
        <v>160</v>
      </c>
      <c r="I242" s="83">
        <f t="shared" si="28"/>
        <v>0</v>
      </c>
      <c r="J242" s="86">
        <v>100</v>
      </c>
      <c r="K242" s="86">
        <v>300</v>
      </c>
      <c r="L242" s="83">
        <f t="shared" si="32"/>
        <v>1150</v>
      </c>
      <c r="M242" s="94">
        <v>600</v>
      </c>
      <c r="N242" s="83">
        <f>100</f>
        <v>100</v>
      </c>
      <c r="O242" s="86">
        <v>240</v>
      </c>
      <c r="P242" s="86">
        <v>40</v>
      </c>
      <c r="Q242" s="86">
        <f t="shared" si="33"/>
        <v>315</v>
      </c>
      <c r="R242" s="86">
        <f t="shared" si="34"/>
        <v>100</v>
      </c>
      <c r="S242" s="83">
        <f t="shared" si="35"/>
        <v>695</v>
      </c>
      <c r="T242" s="83">
        <f>50</f>
        <v>50</v>
      </c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</row>
    <row r="243" spans="1:30" ht="15.75" x14ac:dyDescent="0.25">
      <c r="A243" s="13">
        <v>48305</v>
      </c>
      <c r="B243" s="97">
        <v>30</v>
      </c>
      <c r="C243" s="83">
        <f>141.293</f>
        <v>141.29300000000001</v>
      </c>
      <c r="D243" s="83">
        <f>267.993</f>
        <v>267.99299999999999</v>
      </c>
      <c r="E243" s="92">
        <f>115.016</f>
        <v>115.01600000000001</v>
      </c>
      <c r="F243" s="83">
        <f>314.698-40-25-60-100</f>
        <v>89.697999999999979</v>
      </c>
      <c r="G243" s="86">
        <v>40</v>
      </c>
      <c r="H243" s="83">
        <f t="shared" ref="H243:H249" si="38">25+60+100</f>
        <v>185</v>
      </c>
      <c r="I243" s="83">
        <f t="shared" si="28"/>
        <v>0</v>
      </c>
      <c r="J243" s="86">
        <v>100</v>
      </c>
      <c r="K243" s="86">
        <v>300</v>
      </c>
      <c r="L243" s="83">
        <f t="shared" si="32"/>
        <v>1239</v>
      </c>
      <c r="M243" s="94">
        <v>600</v>
      </c>
      <c r="N243" s="83">
        <f>100</f>
        <v>100</v>
      </c>
      <c r="O243" s="86">
        <v>240</v>
      </c>
      <c r="P243" s="86">
        <v>160</v>
      </c>
      <c r="Q243" s="86">
        <f t="shared" si="33"/>
        <v>195</v>
      </c>
      <c r="R243" s="86">
        <f t="shared" si="34"/>
        <v>100</v>
      </c>
      <c r="S243" s="83">
        <f t="shared" si="35"/>
        <v>695</v>
      </c>
      <c r="T243" s="83">
        <f>50</f>
        <v>50</v>
      </c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</row>
    <row r="244" spans="1:30" ht="15.75" x14ac:dyDescent="0.25">
      <c r="A244" s="13">
        <v>48335</v>
      </c>
      <c r="B244" s="97">
        <v>31</v>
      </c>
      <c r="C244" s="83">
        <f>194.205</f>
        <v>194.20500000000001</v>
      </c>
      <c r="D244" s="83">
        <f>267.466</f>
        <v>267.46600000000001</v>
      </c>
      <c r="E244" s="92">
        <f>133.845</f>
        <v>133.845</v>
      </c>
      <c r="F244" s="83">
        <f>278.484-40-25-60-100</f>
        <v>53.48399999999998</v>
      </c>
      <c r="G244" s="86">
        <v>40</v>
      </c>
      <c r="H244" s="83">
        <f t="shared" si="38"/>
        <v>185</v>
      </c>
      <c r="I244" s="83">
        <f t="shared" ref="I244:I307" si="39">400-J244-K244</f>
        <v>0</v>
      </c>
      <c r="J244" s="86">
        <v>100</v>
      </c>
      <c r="K244" s="86">
        <v>300</v>
      </c>
      <c r="L244" s="83">
        <f t="shared" si="32"/>
        <v>1274</v>
      </c>
      <c r="M244" s="94">
        <v>600</v>
      </c>
      <c r="N244" s="83">
        <f>75</f>
        <v>75</v>
      </c>
      <c r="O244" s="86">
        <v>240</v>
      </c>
      <c r="P244" s="86">
        <v>160</v>
      </c>
      <c r="Q244" s="86">
        <f t="shared" si="33"/>
        <v>195</v>
      </c>
      <c r="R244" s="86">
        <f t="shared" si="34"/>
        <v>100</v>
      </c>
      <c r="S244" s="83">
        <f t="shared" si="35"/>
        <v>695</v>
      </c>
      <c r="T244" s="83">
        <f>50</f>
        <v>50</v>
      </c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</row>
    <row r="245" spans="1:30" ht="15.75" x14ac:dyDescent="0.25">
      <c r="A245" s="13">
        <v>48366</v>
      </c>
      <c r="B245" s="97">
        <v>30</v>
      </c>
      <c r="C245" s="83">
        <f>194.205</f>
        <v>194.20500000000001</v>
      </c>
      <c r="D245" s="83">
        <f>267.466</f>
        <v>267.46600000000001</v>
      </c>
      <c r="E245" s="92">
        <f>133.845</f>
        <v>133.845</v>
      </c>
      <c r="F245" s="83">
        <f>278.484-40-25-60-100</f>
        <v>53.48399999999998</v>
      </c>
      <c r="G245" s="86">
        <v>40</v>
      </c>
      <c r="H245" s="83">
        <f t="shared" si="38"/>
        <v>185</v>
      </c>
      <c r="I245" s="83">
        <f t="shared" si="39"/>
        <v>0</v>
      </c>
      <c r="J245" s="86">
        <v>100</v>
      </c>
      <c r="K245" s="86">
        <v>300</v>
      </c>
      <c r="L245" s="83">
        <f t="shared" si="32"/>
        <v>1274</v>
      </c>
      <c r="M245" s="94">
        <v>600</v>
      </c>
      <c r="N245" s="83">
        <f>30</f>
        <v>30</v>
      </c>
      <c r="O245" s="86">
        <v>240</v>
      </c>
      <c r="P245" s="86">
        <v>160</v>
      </c>
      <c r="Q245" s="86">
        <f t="shared" si="33"/>
        <v>195</v>
      </c>
      <c r="R245" s="86">
        <f t="shared" si="34"/>
        <v>100</v>
      </c>
      <c r="S245" s="83">
        <f t="shared" si="35"/>
        <v>695</v>
      </c>
      <c r="T245" s="83">
        <f>50</f>
        <v>50</v>
      </c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</row>
    <row r="246" spans="1:30" ht="15.75" x14ac:dyDescent="0.25">
      <c r="A246" s="13">
        <v>48396</v>
      </c>
      <c r="B246" s="97">
        <v>31</v>
      </c>
      <c r="C246" s="83">
        <f>194.205</f>
        <v>194.20500000000001</v>
      </c>
      <c r="D246" s="83">
        <f>267.466</f>
        <v>267.46600000000001</v>
      </c>
      <c r="E246" s="92">
        <f>133.845</f>
        <v>133.845</v>
      </c>
      <c r="F246" s="83">
        <f>278.484-40-25-60-100</f>
        <v>53.48399999999998</v>
      </c>
      <c r="G246" s="86">
        <v>40</v>
      </c>
      <c r="H246" s="83">
        <f t="shared" si="38"/>
        <v>185</v>
      </c>
      <c r="I246" s="83">
        <f t="shared" si="39"/>
        <v>0</v>
      </c>
      <c r="J246" s="86">
        <v>100</v>
      </c>
      <c r="K246" s="86">
        <v>300</v>
      </c>
      <c r="L246" s="83">
        <f t="shared" si="32"/>
        <v>1274</v>
      </c>
      <c r="M246" s="94">
        <v>600</v>
      </c>
      <c r="N246" s="83">
        <f>30</f>
        <v>30</v>
      </c>
      <c r="O246" s="86">
        <v>240</v>
      </c>
      <c r="P246" s="86">
        <v>160</v>
      </c>
      <c r="Q246" s="86">
        <f t="shared" si="33"/>
        <v>195</v>
      </c>
      <c r="R246" s="86">
        <f t="shared" si="34"/>
        <v>100</v>
      </c>
      <c r="S246" s="83">
        <f t="shared" si="35"/>
        <v>695</v>
      </c>
      <c r="T246" s="83">
        <f>0</f>
        <v>0</v>
      </c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</row>
    <row r="247" spans="1:30" ht="15.75" x14ac:dyDescent="0.25">
      <c r="A247" s="13">
        <v>48427</v>
      </c>
      <c r="B247" s="97">
        <v>31</v>
      </c>
      <c r="C247" s="83">
        <f>194.205</f>
        <v>194.20500000000001</v>
      </c>
      <c r="D247" s="83">
        <f>267.466</f>
        <v>267.46600000000001</v>
      </c>
      <c r="E247" s="92">
        <f>133.845</f>
        <v>133.845</v>
      </c>
      <c r="F247" s="83">
        <f>278.484-40-25-60-100</f>
        <v>53.48399999999998</v>
      </c>
      <c r="G247" s="86">
        <v>40</v>
      </c>
      <c r="H247" s="83">
        <f t="shared" si="38"/>
        <v>185</v>
      </c>
      <c r="I247" s="83">
        <f t="shared" si="39"/>
        <v>0</v>
      </c>
      <c r="J247" s="86">
        <v>100</v>
      </c>
      <c r="K247" s="86">
        <v>300</v>
      </c>
      <c r="L247" s="83">
        <f t="shared" si="32"/>
        <v>1274</v>
      </c>
      <c r="M247" s="94">
        <v>600</v>
      </c>
      <c r="N247" s="83">
        <f>30</f>
        <v>30</v>
      </c>
      <c r="O247" s="86">
        <v>240</v>
      </c>
      <c r="P247" s="86">
        <v>160</v>
      </c>
      <c r="Q247" s="86">
        <f t="shared" si="33"/>
        <v>195</v>
      </c>
      <c r="R247" s="86">
        <f t="shared" si="34"/>
        <v>100</v>
      </c>
      <c r="S247" s="83">
        <f t="shared" si="35"/>
        <v>695</v>
      </c>
      <c r="T247" s="83">
        <f>0</f>
        <v>0</v>
      </c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</row>
    <row r="248" spans="1:30" ht="15.75" x14ac:dyDescent="0.25">
      <c r="A248" s="13">
        <v>48458</v>
      </c>
      <c r="B248" s="97">
        <v>30</v>
      </c>
      <c r="C248" s="83">
        <f>194.205</f>
        <v>194.20500000000001</v>
      </c>
      <c r="D248" s="83">
        <f>267.466</f>
        <v>267.46600000000001</v>
      </c>
      <c r="E248" s="92">
        <f>133.845</f>
        <v>133.845</v>
      </c>
      <c r="F248" s="83">
        <f>278.484-40-25-60-100</f>
        <v>53.48399999999998</v>
      </c>
      <c r="G248" s="86">
        <v>40</v>
      </c>
      <c r="H248" s="83">
        <f t="shared" si="38"/>
        <v>185</v>
      </c>
      <c r="I248" s="83">
        <f t="shared" si="39"/>
        <v>0</v>
      </c>
      <c r="J248" s="86">
        <v>100</v>
      </c>
      <c r="K248" s="86">
        <v>300</v>
      </c>
      <c r="L248" s="83">
        <f t="shared" si="32"/>
        <v>1274</v>
      </c>
      <c r="M248" s="94">
        <v>600</v>
      </c>
      <c r="N248" s="83">
        <f>30</f>
        <v>30</v>
      </c>
      <c r="O248" s="86">
        <v>240</v>
      </c>
      <c r="P248" s="86">
        <v>160</v>
      </c>
      <c r="Q248" s="86">
        <f t="shared" si="33"/>
        <v>195</v>
      </c>
      <c r="R248" s="86">
        <f t="shared" si="34"/>
        <v>100</v>
      </c>
      <c r="S248" s="83">
        <f t="shared" si="35"/>
        <v>695</v>
      </c>
      <c r="T248" s="83">
        <f>0</f>
        <v>0</v>
      </c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</row>
    <row r="249" spans="1:30" ht="15.75" x14ac:dyDescent="0.25">
      <c r="A249" s="13">
        <v>48488</v>
      </c>
      <c r="B249" s="97">
        <v>31</v>
      </c>
      <c r="C249" s="83">
        <f>131.881</f>
        <v>131.881</v>
      </c>
      <c r="D249" s="83">
        <f>277.167</f>
        <v>277.16699999999997</v>
      </c>
      <c r="E249" s="92">
        <f>79.08</f>
        <v>79.08</v>
      </c>
      <c r="F249" s="83">
        <f>350.872-40-25-60-100</f>
        <v>125.87200000000001</v>
      </c>
      <c r="G249" s="86">
        <v>40</v>
      </c>
      <c r="H249" s="83">
        <f t="shared" si="38"/>
        <v>185</v>
      </c>
      <c r="I249" s="83">
        <f t="shared" si="39"/>
        <v>0</v>
      </c>
      <c r="J249" s="86">
        <v>100</v>
      </c>
      <c r="K249" s="86">
        <v>300</v>
      </c>
      <c r="L249" s="83">
        <f t="shared" si="32"/>
        <v>1239</v>
      </c>
      <c r="M249" s="94">
        <v>600</v>
      </c>
      <c r="N249" s="83">
        <f>75</f>
        <v>75</v>
      </c>
      <c r="O249" s="86">
        <v>240</v>
      </c>
      <c r="P249" s="86">
        <v>160</v>
      </c>
      <c r="Q249" s="86">
        <f t="shared" si="33"/>
        <v>195</v>
      </c>
      <c r="R249" s="86">
        <f t="shared" si="34"/>
        <v>100</v>
      </c>
      <c r="S249" s="83">
        <f t="shared" si="35"/>
        <v>695</v>
      </c>
      <c r="T249" s="83">
        <f>0</f>
        <v>0</v>
      </c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</row>
    <row r="250" spans="1:30" ht="15.75" x14ac:dyDescent="0.25">
      <c r="A250" s="13">
        <v>48519</v>
      </c>
      <c r="B250" s="97">
        <v>30</v>
      </c>
      <c r="C250" s="83">
        <f>122.58</f>
        <v>122.58</v>
      </c>
      <c r="D250" s="83">
        <f>297.941</f>
        <v>297.94099999999997</v>
      </c>
      <c r="E250" s="92">
        <f>89.177</f>
        <v>89.177000000000007</v>
      </c>
      <c r="F250" s="83">
        <f>240.302-40-60-100</f>
        <v>40.301999999999992</v>
      </c>
      <c r="G250" s="86">
        <v>40</v>
      </c>
      <c r="H250" s="83">
        <f>60+100</f>
        <v>160</v>
      </c>
      <c r="I250" s="83">
        <f t="shared" si="39"/>
        <v>0</v>
      </c>
      <c r="J250" s="86">
        <v>100</v>
      </c>
      <c r="K250" s="86">
        <v>300</v>
      </c>
      <c r="L250" s="83">
        <f t="shared" si="32"/>
        <v>1150</v>
      </c>
      <c r="M250" s="94">
        <v>600</v>
      </c>
      <c r="N250" s="83">
        <f>100</f>
        <v>100</v>
      </c>
      <c r="O250" s="86">
        <v>240</v>
      </c>
      <c r="P250" s="86">
        <v>40</v>
      </c>
      <c r="Q250" s="86">
        <f t="shared" si="33"/>
        <v>315</v>
      </c>
      <c r="R250" s="86">
        <f t="shared" si="34"/>
        <v>100</v>
      </c>
      <c r="S250" s="83">
        <f t="shared" si="35"/>
        <v>695</v>
      </c>
      <c r="T250" s="83">
        <f>50</f>
        <v>50</v>
      </c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</row>
    <row r="251" spans="1:30" ht="15.75" x14ac:dyDescent="0.25">
      <c r="A251" s="13">
        <v>48549</v>
      </c>
      <c r="B251" s="97">
        <v>31</v>
      </c>
      <c r="C251" s="83">
        <f>122.58</f>
        <v>122.58</v>
      </c>
      <c r="D251" s="83">
        <f>297.941</f>
        <v>297.94099999999997</v>
      </c>
      <c r="E251" s="92">
        <f>89.177</f>
        <v>89.177000000000007</v>
      </c>
      <c r="F251" s="83">
        <f>240.302-40-60-100</f>
        <v>40.301999999999992</v>
      </c>
      <c r="G251" s="86">
        <v>40</v>
      </c>
      <c r="H251" s="83">
        <f>60+100</f>
        <v>160</v>
      </c>
      <c r="I251" s="83">
        <f t="shared" si="39"/>
        <v>0</v>
      </c>
      <c r="J251" s="86">
        <v>100</v>
      </c>
      <c r="K251" s="86">
        <v>300</v>
      </c>
      <c r="L251" s="83">
        <f t="shared" si="32"/>
        <v>1150</v>
      </c>
      <c r="M251" s="94">
        <v>600</v>
      </c>
      <c r="N251" s="83">
        <f>100</f>
        <v>100</v>
      </c>
      <c r="O251" s="86">
        <v>240</v>
      </c>
      <c r="P251" s="86">
        <v>40</v>
      </c>
      <c r="Q251" s="86">
        <f t="shared" si="33"/>
        <v>315</v>
      </c>
      <c r="R251" s="86">
        <f t="shared" si="34"/>
        <v>100</v>
      </c>
      <c r="S251" s="83">
        <f t="shared" si="35"/>
        <v>695</v>
      </c>
      <c r="T251" s="83">
        <f>50</f>
        <v>50</v>
      </c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</row>
    <row r="252" spans="1:30" ht="15.75" x14ac:dyDescent="0.25">
      <c r="A252" s="13">
        <v>48580</v>
      </c>
      <c r="B252" s="97">
        <v>31</v>
      </c>
      <c r="C252" s="83">
        <f>122.58</f>
        <v>122.58</v>
      </c>
      <c r="D252" s="83">
        <f>297.941</f>
        <v>297.94099999999997</v>
      </c>
      <c r="E252" s="92">
        <f>89.177</f>
        <v>89.177000000000007</v>
      </c>
      <c r="F252" s="83">
        <f>240.302-40-60-100</f>
        <v>40.301999999999992</v>
      </c>
      <c r="G252" s="86">
        <v>40</v>
      </c>
      <c r="H252" s="83">
        <f>60+100</f>
        <v>160</v>
      </c>
      <c r="I252" s="83">
        <f t="shared" si="39"/>
        <v>0</v>
      </c>
      <c r="J252" s="86">
        <v>100</v>
      </c>
      <c r="K252" s="86">
        <v>300</v>
      </c>
      <c r="L252" s="83">
        <f t="shared" si="32"/>
        <v>1150</v>
      </c>
      <c r="M252" s="94">
        <v>600</v>
      </c>
      <c r="N252" s="83">
        <f>100</f>
        <v>100</v>
      </c>
      <c r="O252" s="86">
        <v>240</v>
      </c>
      <c r="P252" s="86">
        <v>40</v>
      </c>
      <c r="Q252" s="86">
        <f t="shared" si="33"/>
        <v>315</v>
      </c>
      <c r="R252" s="86">
        <f t="shared" si="34"/>
        <v>100</v>
      </c>
      <c r="S252" s="83">
        <f t="shared" si="35"/>
        <v>695</v>
      </c>
      <c r="T252" s="83">
        <f>50</f>
        <v>50</v>
      </c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</row>
    <row r="253" spans="1:30" ht="15.75" x14ac:dyDescent="0.25">
      <c r="A253" s="13">
        <v>48611</v>
      </c>
      <c r="B253" s="97">
        <v>28</v>
      </c>
      <c r="C253" s="83">
        <f>122.58</f>
        <v>122.58</v>
      </c>
      <c r="D253" s="83">
        <f>297.941</f>
        <v>297.94099999999997</v>
      </c>
      <c r="E253" s="92">
        <f>89.177</f>
        <v>89.177000000000007</v>
      </c>
      <c r="F253" s="83">
        <f>240.302-40-60-100</f>
        <v>40.301999999999992</v>
      </c>
      <c r="G253" s="86">
        <v>40</v>
      </c>
      <c r="H253" s="83">
        <f>60+100</f>
        <v>160</v>
      </c>
      <c r="I253" s="83">
        <f t="shared" si="39"/>
        <v>0</v>
      </c>
      <c r="J253" s="86">
        <v>100</v>
      </c>
      <c r="K253" s="86">
        <v>300</v>
      </c>
      <c r="L253" s="83">
        <f t="shared" si="32"/>
        <v>1150</v>
      </c>
      <c r="M253" s="94">
        <v>600</v>
      </c>
      <c r="N253" s="83">
        <f>100</f>
        <v>100</v>
      </c>
      <c r="O253" s="86">
        <v>240</v>
      </c>
      <c r="P253" s="86">
        <v>40</v>
      </c>
      <c r="Q253" s="86">
        <f t="shared" si="33"/>
        <v>315</v>
      </c>
      <c r="R253" s="86">
        <f t="shared" si="34"/>
        <v>100</v>
      </c>
      <c r="S253" s="83">
        <f t="shared" si="35"/>
        <v>695</v>
      </c>
      <c r="T253" s="83">
        <f>50</f>
        <v>50</v>
      </c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</row>
    <row r="254" spans="1:30" ht="15.75" x14ac:dyDescent="0.25">
      <c r="A254" s="13">
        <v>48639</v>
      </c>
      <c r="B254" s="97">
        <v>31</v>
      </c>
      <c r="C254" s="83">
        <f>122.58</f>
        <v>122.58</v>
      </c>
      <c r="D254" s="83">
        <f>297.941</f>
        <v>297.94099999999997</v>
      </c>
      <c r="E254" s="92">
        <f>89.177</f>
        <v>89.177000000000007</v>
      </c>
      <c r="F254" s="83">
        <f>240.302-40-60-100</f>
        <v>40.301999999999992</v>
      </c>
      <c r="G254" s="86">
        <v>40</v>
      </c>
      <c r="H254" s="83">
        <f>60+100</f>
        <v>160</v>
      </c>
      <c r="I254" s="83">
        <f t="shared" si="39"/>
        <v>0</v>
      </c>
      <c r="J254" s="86">
        <v>100</v>
      </c>
      <c r="K254" s="86">
        <v>300</v>
      </c>
      <c r="L254" s="83">
        <f t="shared" si="32"/>
        <v>1150</v>
      </c>
      <c r="M254" s="94">
        <v>600</v>
      </c>
      <c r="N254" s="83">
        <f>100</f>
        <v>100</v>
      </c>
      <c r="O254" s="86">
        <v>240</v>
      </c>
      <c r="P254" s="86">
        <v>40</v>
      </c>
      <c r="Q254" s="86">
        <f t="shared" si="33"/>
        <v>315</v>
      </c>
      <c r="R254" s="86">
        <f t="shared" si="34"/>
        <v>100</v>
      </c>
      <c r="S254" s="83">
        <f t="shared" si="35"/>
        <v>695</v>
      </c>
      <c r="T254" s="83">
        <f>50</f>
        <v>50</v>
      </c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</row>
    <row r="255" spans="1:30" ht="15.75" x14ac:dyDescent="0.25">
      <c r="A255" s="13">
        <v>48670</v>
      </c>
      <c r="B255" s="97">
        <v>30</v>
      </c>
      <c r="C255" s="83">
        <f>141.293</f>
        <v>141.29300000000001</v>
      </c>
      <c r="D255" s="83">
        <f>267.993</f>
        <v>267.99299999999999</v>
      </c>
      <c r="E255" s="92">
        <f>115.016</f>
        <v>115.01600000000001</v>
      </c>
      <c r="F255" s="83">
        <f>314.698-40-25-60-100</f>
        <v>89.697999999999979</v>
      </c>
      <c r="G255" s="86">
        <v>40</v>
      </c>
      <c r="H255" s="83">
        <f t="shared" ref="H255:H261" si="40">25+60+100</f>
        <v>185</v>
      </c>
      <c r="I255" s="83">
        <f t="shared" si="39"/>
        <v>0</v>
      </c>
      <c r="J255" s="86">
        <v>100</v>
      </c>
      <c r="K255" s="86">
        <v>300</v>
      </c>
      <c r="L255" s="83">
        <f t="shared" si="32"/>
        <v>1239</v>
      </c>
      <c r="M255" s="94">
        <v>600</v>
      </c>
      <c r="N255" s="83">
        <f>100</f>
        <v>100</v>
      </c>
      <c r="O255" s="86">
        <v>240</v>
      </c>
      <c r="P255" s="86">
        <v>160</v>
      </c>
      <c r="Q255" s="86">
        <f t="shared" si="33"/>
        <v>195</v>
      </c>
      <c r="R255" s="86">
        <f t="shared" si="34"/>
        <v>100</v>
      </c>
      <c r="S255" s="83">
        <f t="shared" si="35"/>
        <v>695</v>
      </c>
      <c r="T255" s="83">
        <f>50</f>
        <v>50</v>
      </c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</row>
    <row r="256" spans="1:30" ht="15.75" x14ac:dyDescent="0.25">
      <c r="A256" s="13">
        <v>48700</v>
      </c>
      <c r="B256" s="97">
        <v>31</v>
      </c>
      <c r="C256" s="83">
        <f>194.205</f>
        <v>194.20500000000001</v>
      </c>
      <c r="D256" s="83">
        <f>267.466</f>
        <v>267.46600000000001</v>
      </c>
      <c r="E256" s="92">
        <f>133.845</f>
        <v>133.845</v>
      </c>
      <c r="F256" s="83">
        <f>278.484-40-25-60-100</f>
        <v>53.48399999999998</v>
      </c>
      <c r="G256" s="86">
        <v>40</v>
      </c>
      <c r="H256" s="83">
        <f t="shared" si="40"/>
        <v>185</v>
      </c>
      <c r="I256" s="83">
        <f t="shared" si="39"/>
        <v>0</v>
      </c>
      <c r="J256" s="86">
        <v>100</v>
      </c>
      <c r="K256" s="86">
        <v>300</v>
      </c>
      <c r="L256" s="83">
        <f t="shared" si="32"/>
        <v>1274</v>
      </c>
      <c r="M256" s="94">
        <v>600</v>
      </c>
      <c r="N256" s="83">
        <f>75</f>
        <v>75</v>
      </c>
      <c r="O256" s="86">
        <v>240</v>
      </c>
      <c r="P256" s="86">
        <v>160</v>
      </c>
      <c r="Q256" s="86">
        <f t="shared" si="33"/>
        <v>195</v>
      </c>
      <c r="R256" s="86">
        <f t="shared" si="34"/>
        <v>100</v>
      </c>
      <c r="S256" s="83">
        <f t="shared" si="35"/>
        <v>695</v>
      </c>
      <c r="T256" s="83">
        <f>50</f>
        <v>50</v>
      </c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</row>
    <row r="257" spans="1:30" ht="15.75" x14ac:dyDescent="0.25">
      <c r="A257" s="13">
        <v>48731</v>
      </c>
      <c r="B257" s="97">
        <v>30</v>
      </c>
      <c r="C257" s="83">
        <f>194.205</f>
        <v>194.20500000000001</v>
      </c>
      <c r="D257" s="83">
        <f>267.466</f>
        <v>267.46600000000001</v>
      </c>
      <c r="E257" s="92">
        <f>133.845</f>
        <v>133.845</v>
      </c>
      <c r="F257" s="83">
        <f>278.484-40-25-60-100</f>
        <v>53.48399999999998</v>
      </c>
      <c r="G257" s="86">
        <v>40</v>
      </c>
      <c r="H257" s="83">
        <f t="shared" si="40"/>
        <v>185</v>
      </c>
      <c r="I257" s="83">
        <f t="shared" si="39"/>
        <v>0</v>
      </c>
      <c r="J257" s="86">
        <v>100</v>
      </c>
      <c r="K257" s="86">
        <v>300</v>
      </c>
      <c r="L257" s="83">
        <f t="shared" si="32"/>
        <v>1274</v>
      </c>
      <c r="M257" s="94">
        <v>600</v>
      </c>
      <c r="N257" s="83">
        <f>30</f>
        <v>30</v>
      </c>
      <c r="O257" s="86">
        <v>240</v>
      </c>
      <c r="P257" s="86">
        <v>160</v>
      </c>
      <c r="Q257" s="86">
        <f t="shared" si="33"/>
        <v>195</v>
      </c>
      <c r="R257" s="86">
        <f t="shared" si="34"/>
        <v>100</v>
      </c>
      <c r="S257" s="83">
        <f t="shared" si="35"/>
        <v>695</v>
      </c>
      <c r="T257" s="83">
        <f>50</f>
        <v>50</v>
      </c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</row>
    <row r="258" spans="1:30" ht="15.75" x14ac:dyDescent="0.25">
      <c r="A258" s="13">
        <v>48761</v>
      </c>
      <c r="B258" s="97">
        <v>31</v>
      </c>
      <c r="C258" s="83">
        <f>194.205</f>
        <v>194.20500000000001</v>
      </c>
      <c r="D258" s="83">
        <f>267.466</f>
        <v>267.46600000000001</v>
      </c>
      <c r="E258" s="92">
        <f>133.845</f>
        <v>133.845</v>
      </c>
      <c r="F258" s="83">
        <f>278.484-40-25-60-100</f>
        <v>53.48399999999998</v>
      </c>
      <c r="G258" s="86">
        <v>40</v>
      </c>
      <c r="H258" s="83">
        <f t="shared" si="40"/>
        <v>185</v>
      </c>
      <c r="I258" s="83">
        <f t="shared" si="39"/>
        <v>0</v>
      </c>
      <c r="J258" s="86">
        <v>100</v>
      </c>
      <c r="K258" s="86">
        <v>300</v>
      </c>
      <c r="L258" s="83">
        <f t="shared" si="32"/>
        <v>1274</v>
      </c>
      <c r="M258" s="94">
        <v>600</v>
      </c>
      <c r="N258" s="83">
        <f>30</f>
        <v>30</v>
      </c>
      <c r="O258" s="86">
        <v>240</v>
      </c>
      <c r="P258" s="86">
        <v>160</v>
      </c>
      <c r="Q258" s="86">
        <f t="shared" si="33"/>
        <v>195</v>
      </c>
      <c r="R258" s="86">
        <f t="shared" si="34"/>
        <v>100</v>
      </c>
      <c r="S258" s="83">
        <f t="shared" si="35"/>
        <v>695</v>
      </c>
      <c r="T258" s="83">
        <f>0</f>
        <v>0</v>
      </c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</row>
    <row r="259" spans="1:30" ht="15.75" x14ac:dyDescent="0.25">
      <c r="A259" s="13">
        <v>48792</v>
      </c>
      <c r="B259" s="97">
        <v>31</v>
      </c>
      <c r="C259" s="83">
        <f>194.205</f>
        <v>194.20500000000001</v>
      </c>
      <c r="D259" s="83">
        <f>267.466</f>
        <v>267.46600000000001</v>
      </c>
      <c r="E259" s="92">
        <f>133.845</f>
        <v>133.845</v>
      </c>
      <c r="F259" s="83">
        <f>278.484-40-25-60-100</f>
        <v>53.48399999999998</v>
      </c>
      <c r="G259" s="86">
        <v>40</v>
      </c>
      <c r="H259" s="83">
        <f t="shared" si="40"/>
        <v>185</v>
      </c>
      <c r="I259" s="83">
        <f t="shared" si="39"/>
        <v>0</v>
      </c>
      <c r="J259" s="86">
        <v>100</v>
      </c>
      <c r="K259" s="86">
        <v>300</v>
      </c>
      <c r="L259" s="83">
        <f t="shared" si="32"/>
        <v>1274</v>
      </c>
      <c r="M259" s="94">
        <v>600</v>
      </c>
      <c r="N259" s="83">
        <f>30</f>
        <v>30</v>
      </c>
      <c r="O259" s="86">
        <v>240</v>
      </c>
      <c r="P259" s="86">
        <v>160</v>
      </c>
      <c r="Q259" s="86">
        <f t="shared" si="33"/>
        <v>195</v>
      </c>
      <c r="R259" s="86">
        <f t="shared" si="34"/>
        <v>100</v>
      </c>
      <c r="S259" s="83">
        <f t="shared" si="35"/>
        <v>695</v>
      </c>
      <c r="T259" s="83">
        <f>0</f>
        <v>0</v>
      </c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</row>
    <row r="260" spans="1:30" ht="15.75" x14ac:dyDescent="0.25">
      <c r="A260" s="13">
        <v>48823</v>
      </c>
      <c r="B260" s="97">
        <v>30</v>
      </c>
      <c r="C260" s="83">
        <f>194.205</f>
        <v>194.20500000000001</v>
      </c>
      <c r="D260" s="83">
        <f>267.466</f>
        <v>267.46600000000001</v>
      </c>
      <c r="E260" s="92">
        <f>133.845</f>
        <v>133.845</v>
      </c>
      <c r="F260" s="83">
        <f>278.484-40-25-60-100</f>
        <v>53.48399999999998</v>
      </c>
      <c r="G260" s="86">
        <v>40</v>
      </c>
      <c r="H260" s="83">
        <f t="shared" si="40"/>
        <v>185</v>
      </c>
      <c r="I260" s="83">
        <f t="shared" si="39"/>
        <v>0</v>
      </c>
      <c r="J260" s="86">
        <v>100</v>
      </c>
      <c r="K260" s="86">
        <v>300</v>
      </c>
      <c r="L260" s="83">
        <f t="shared" si="32"/>
        <v>1274</v>
      </c>
      <c r="M260" s="94">
        <v>600</v>
      </c>
      <c r="N260" s="83">
        <f>30</f>
        <v>30</v>
      </c>
      <c r="O260" s="86">
        <v>240</v>
      </c>
      <c r="P260" s="86">
        <v>160</v>
      </c>
      <c r="Q260" s="86">
        <f t="shared" si="33"/>
        <v>195</v>
      </c>
      <c r="R260" s="86">
        <f t="shared" si="34"/>
        <v>100</v>
      </c>
      <c r="S260" s="83">
        <f t="shared" si="35"/>
        <v>695</v>
      </c>
      <c r="T260" s="83">
        <f>0</f>
        <v>0</v>
      </c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</row>
    <row r="261" spans="1:30" ht="15.75" x14ac:dyDescent="0.25">
      <c r="A261" s="13">
        <v>48853</v>
      </c>
      <c r="B261" s="97">
        <v>31</v>
      </c>
      <c r="C261" s="83">
        <f>131.881</f>
        <v>131.881</v>
      </c>
      <c r="D261" s="83">
        <f>277.167</f>
        <v>277.16699999999997</v>
      </c>
      <c r="E261" s="92">
        <f>79.08</f>
        <v>79.08</v>
      </c>
      <c r="F261" s="83">
        <f>350.872-40-25-60-100</f>
        <v>125.87200000000001</v>
      </c>
      <c r="G261" s="86">
        <v>40</v>
      </c>
      <c r="H261" s="83">
        <f t="shared" si="40"/>
        <v>185</v>
      </c>
      <c r="I261" s="83">
        <f t="shared" si="39"/>
        <v>0</v>
      </c>
      <c r="J261" s="86">
        <v>100</v>
      </c>
      <c r="K261" s="86">
        <v>300</v>
      </c>
      <c r="L261" s="83">
        <f t="shared" si="32"/>
        <v>1239</v>
      </c>
      <c r="M261" s="94">
        <v>600</v>
      </c>
      <c r="N261" s="83">
        <f>75</f>
        <v>75</v>
      </c>
      <c r="O261" s="86">
        <v>240</v>
      </c>
      <c r="P261" s="86">
        <v>160</v>
      </c>
      <c r="Q261" s="86">
        <f t="shared" si="33"/>
        <v>195</v>
      </c>
      <c r="R261" s="86">
        <f t="shared" si="34"/>
        <v>100</v>
      </c>
      <c r="S261" s="83">
        <f t="shared" si="35"/>
        <v>695</v>
      </c>
      <c r="T261" s="83">
        <f>0</f>
        <v>0</v>
      </c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</row>
    <row r="262" spans="1:30" ht="15.75" x14ac:dyDescent="0.25">
      <c r="A262" s="13">
        <v>48884</v>
      </c>
      <c r="B262" s="97">
        <v>30</v>
      </c>
      <c r="C262" s="83">
        <f>122.58</f>
        <v>122.58</v>
      </c>
      <c r="D262" s="83">
        <f>297.941</f>
        <v>297.94099999999997</v>
      </c>
      <c r="E262" s="92">
        <f>89.177</f>
        <v>89.177000000000007</v>
      </c>
      <c r="F262" s="83">
        <f>240.302-40-60-100</f>
        <v>40.301999999999992</v>
      </c>
      <c r="G262" s="86">
        <v>40</v>
      </c>
      <c r="H262" s="83">
        <f>60+100</f>
        <v>160</v>
      </c>
      <c r="I262" s="83">
        <f t="shared" si="39"/>
        <v>0</v>
      </c>
      <c r="J262" s="86">
        <v>100</v>
      </c>
      <c r="K262" s="86">
        <v>300</v>
      </c>
      <c r="L262" s="83">
        <f t="shared" si="32"/>
        <v>1150</v>
      </c>
      <c r="M262" s="94">
        <v>600</v>
      </c>
      <c r="N262" s="83">
        <f>100</f>
        <v>100</v>
      </c>
      <c r="O262" s="86">
        <v>240</v>
      </c>
      <c r="P262" s="86">
        <v>40</v>
      </c>
      <c r="Q262" s="86">
        <f t="shared" si="33"/>
        <v>315</v>
      </c>
      <c r="R262" s="86">
        <f t="shared" si="34"/>
        <v>100</v>
      </c>
      <c r="S262" s="83">
        <f t="shared" si="35"/>
        <v>695</v>
      </c>
      <c r="T262" s="83">
        <f>50</f>
        <v>50</v>
      </c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</row>
    <row r="263" spans="1:30" ht="15.75" x14ac:dyDescent="0.25">
      <c r="A263" s="13">
        <v>48914</v>
      </c>
      <c r="B263" s="97">
        <v>31</v>
      </c>
      <c r="C263" s="83">
        <f>122.58</f>
        <v>122.58</v>
      </c>
      <c r="D263" s="83">
        <f>297.941</f>
        <v>297.94099999999997</v>
      </c>
      <c r="E263" s="92">
        <f>89.177</f>
        <v>89.177000000000007</v>
      </c>
      <c r="F263" s="83">
        <f>240.302-40-60-100</f>
        <v>40.301999999999992</v>
      </c>
      <c r="G263" s="86">
        <v>40</v>
      </c>
      <c r="H263" s="83">
        <f>60+100</f>
        <v>160</v>
      </c>
      <c r="I263" s="83">
        <f t="shared" si="39"/>
        <v>0</v>
      </c>
      <c r="J263" s="86">
        <v>100</v>
      </c>
      <c r="K263" s="86">
        <v>300</v>
      </c>
      <c r="L263" s="83">
        <f t="shared" si="32"/>
        <v>1150</v>
      </c>
      <c r="M263" s="94">
        <v>600</v>
      </c>
      <c r="N263" s="83">
        <f>100</f>
        <v>100</v>
      </c>
      <c r="O263" s="86">
        <v>240</v>
      </c>
      <c r="P263" s="86">
        <v>40</v>
      </c>
      <c r="Q263" s="86">
        <f t="shared" si="33"/>
        <v>315</v>
      </c>
      <c r="R263" s="86">
        <f t="shared" si="34"/>
        <v>100</v>
      </c>
      <c r="S263" s="83">
        <f t="shared" si="35"/>
        <v>695</v>
      </c>
      <c r="T263" s="83">
        <f>50</f>
        <v>50</v>
      </c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</row>
    <row r="264" spans="1:30" ht="15.75" x14ac:dyDescent="0.25">
      <c r="A264" s="13">
        <v>48945</v>
      </c>
      <c r="B264" s="97">
        <v>31</v>
      </c>
      <c r="C264" s="83">
        <f>122.58</f>
        <v>122.58</v>
      </c>
      <c r="D264" s="83">
        <f>297.941</f>
        <v>297.94099999999997</v>
      </c>
      <c r="E264" s="92">
        <f>89.177</f>
        <v>89.177000000000007</v>
      </c>
      <c r="F264" s="83">
        <f>240.302-40-60-100</f>
        <v>40.301999999999992</v>
      </c>
      <c r="G264" s="86">
        <v>40</v>
      </c>
      <c r="H264" s="83">
        <f>60+100</f>
        <v>160</v>
      </c>
      <c r="I264" s="83">
        <f t="shared" si="39"/>
        <v>0</v>
      </c>
      <c r="J264" s="86">
        <v>100</v>
      </c>
      <c r="K264" s="86">
        <v>300</v>
      </c>
      <c r="L264" s="83">
        <f t="shared" si="32"/>
        <v>1150</v>
      </c>
      <c r="M264" s="94">
        <v>600</v>
      </c>
      <c r="N264" s="83">
        <f>100</f>
        <v>100</v>
      </c>
      <c r="O264" s="86">
        <v>240</v>
      </c>
      <c r="P264" s="86">
        <v>40</v>
      </c>
      <c r="Q264" s="86">
        <f t="shared" si="33"/>
        <v>315</v>
      </c>
      <c r="R264" s="86">
        <f t="shared" si="34"/>
        <v>100</v>
      </c>
      <c r="S264" s="83">
        <f t="shared" si="35"/>
        <v>695</v>
      </c>
      <c r="T264" s="83">
        <f>50</f>
        <v>50</v>
      </c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</row>
    <row r="265" spans="1:30" ht="15.75" x14ac:dyDescent="0.25">
      <c r="A265" s="13">
        <v>48976</v>
      </c>
      <c r="B265" s="97">
        <v>28</v>
      </c>
      <c r="C265" s="83">
        <f>122.58</f>
        <v>122.58</v>
      </c>
      <c r="D265" s="83">
        <f>297.941</f>
        <v>297.94099999999997</v>
      </c>
      <c r="E265" s="92">
        <f>89.177</f>
        <v>89.177000000000007</v>
      </c>
      <c r="F265" s="83">
        <f>240.302-40-60-100</f>
        <v>40.301999999999992</v>
      </c>
      <c r="G265" s="86">
        <v>40</v>
      </c>
      <c r="H265" s="83">
        <f>60+100</f>
        <v>160</v>
      </c>
      <c r="I265" s="83">
        <f t="shared" si="39"/>
        <v>0</v>
      </c>
      <c r="J265" s="86">
        <v>100</v>
      </c>
      <c r="K265" s="86">
        <v>300</v>
      </c>
      <c r="L265" s="83">
        <f t="shared" si="32"/>
        <v>1150</v>
      </c>
      <c r="M265" s="94">
        <v>600</v>
      </c>
      <c r="N265" s="83">
        <f>100</f>
        <v>100</v>
      </c>
      <c r="O265" s="86">
        <v>240</v>
      </c>
      <c r="P265" s="86">
        <v>40</v>
      </c>
      <c r="Q265" s="86">
        <f t="shared" si="33"/>
        <v>315</v>
      </c>
      <c r="R265" s="86">
        <f t="shared" si="34"/>
        <v>100</v>
      </c>
      <c r="S265" s="83">
        <f t="shared" si="35"/>
        <v>695</v>
      </c>
      <c r="T265" s="83">
        <f>50</f>
        <v>50</v>
      </c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</row>
    <row r="266" spans="1:30" ht="15.75" x14ac:dyDescent="0.25">
      <c r="A266" s="13">
        <v>49004</v>
      </c>
      <c r="B266" s="97">
        <v>31</v>
      </c>
      <c r="C266" s="83">
        <f>122.58</f>
        <v>122.58</v>
      </c>
      <c r="D266" s="83">
        <f>297.941</f>
        <v>297.94099999999997</v>
      </c>
      <c r="E266" s="92">
        <f>89.177</f>
        <v>89.177000000000007</v>
      </c>
      <c r="F266" s="83">
        <f>240.302-40-60-100</f>
        <v>40.301999999999992</v>
      </c>
      <c r="G266" s="86">
        <v>40</v>
      </c>
      <c r="H266" s="83">
        <f>60+100</f>
        <v>160</v>
      </c>
      <c r="I266" s="83">
        <f t="shared" si="39"/>
        <v>0</v>
      </c>
      <c r="J266" s="86">
        <v>100</v>
      </c>
      <c r="K266" s="86">
        <v>300</v>
      </c>
      <c r="L266" s="83">
        <f t="shared" si="32"/>
        <v>1150</v>
      </c>
      <c r="M266" s="94">
        <v>600</v>
      </c>
      <c r="N266" s="83">
        <f>100</f>
        <v>100</v>
      </c>
      <c r="O266" s="86">
        <v>240</v>
      </c>
      <c r="P266" s="86">
        <v>40</v>
      </c>
      <c r="Q266" s="86">
        <f t="shared" si="33"/>
        <v>315</v>
      </c>
      <c r="R266" s="86">
        <f t="shared" si="34"/>
        <v>100</v>
      </c>
      <c r="S266" s="83">
        <f t="shared" si="35"/>
        <v>695</v>
      </c>
      <c r="T266" s="83">
        <f>50</f>
        <v>50</v>
      </c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</row>
    <row r="267" spans="1:30" ht="15.75" x14ac:dyDescent="0.25">
      <c r="A267" s="13">
        <v>49035</v>
      </c>
      <c r="B267" s="97">
        <v>30</v>
      </c>
      <c r="C267" s="83">
        <f>141.293</f>
        <v>141.29300000000001</v>
      </c>
      <c r="D267" s="83">
        <f>267.993</f>
        <v>267.99299999999999</v>
      </c>
      <c r="E267" s="92">
        <f>115.016</f>
        <v>115.01600000000001</v>
      </c>
      <c r="F267" s="83">
        <f>314.698-40-25-60-100</f>
        <v>89.697999999999979</v>
      </c>
      <c r="G267" s="86">
        <v>40</v>
      </c>
      <c r="H267" s="83">
        <f t="shared" ref="H267:H273" si="41">25+60+100</f>
        <v>185</v>
      </c>
      <c r="I267" s="83">
        <f t="shared" si="39"/>
        <v>0</v>
      </c>
      <c r="J267" s="86">
        <v>100</v>
      </c>
      <c r="K267" s="86">
        <v>300</v>
      </c>
      <c r="L267" s="83">
        <f t="shared" si="32"/>
        <v>1239</v>
      </c>
      <c r="M267" s="94">
        <v>600</v>
      </c>
      <c r="N267" s="83">
        <f>100</f>
        <v>100</v>
      </c>
      <c r="O267" s="86">
        <v>240</v>
      </c>
      <c r="P267" s="86">
        <v>160</v>
      </c>
      <c r="Q267" s="86">
        <f t="shared" si="33"/>
        <v>195</v>
      </c>
      <c r="R267" s="86">
        <f t="shared" si="34"/>
        <v>100</v>
      </c>
      <c r="S267" s="83">
        <f t="shared" si="35"/>
        <v>695</v>
      </c>
      <c r="T267" s="83">
        <f>50</f>
        <v>50</v>
      </c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</row>
    <row r="268" spans="1:30" ht="15.75" x14ac:dyDescent="0.25">
      <c r="A268" s="13">
        <v>49065</v>
      </c>
      <c r="B268" s="97">
        <v>31</v>
      </c>
      <c r="C268" s="83">
        <f>194.205</f>
        <v>194.20500000000001</v>
      </c>
      <c r="D268" s="83">
        <f>267.466</f>
        <v>267.46600000000001</v>
      </c>
      <c r="E268" s="92">
        <f>133.845</f>
        <v>133.845</v>
      </c>
      <c r="F268" s="83">
        <f>278.484-40-25-60-100</f>
        <v>53.48399999999998</v>
      </c>
      <c r="G268" s="86">
        <v>40</v>
      </c>
      <c r="H268" s="83">
        <f t="shared" si="41"/>
        <v>185</v>
      </c>
      <c r="I268" s="83">
        <f t="shared" si="39"/>
        <v>0</v>
      </c>
      <c r="J268" s="86">
        <v>100</v>
      </c>
      <c r="K268" s="86">
        <v>300</v>
      </c>
      <c r="L268" s="83">
        <f t="shared" si="32"/>
        <v>1274</v>
      </c>
      <c r="M268" s="94">
        <v>600</v>
      </c>
      <c r="N268" s="83">
        <f>75</f>
        <v>75</v>
      </c>
      <c r="O268" s="86">
        <v>240</v>
      </c>
      <c r="P268" s="86">
        <v>160</v>
      </c>
      <c r="Q268" s="86">
        <f t="shared" si="33"/>
        <v>195</v>
      </c>
      <c r="R268" s="86">
        <f t="shared" si="34"/>
        <v>100</v>
      </c>
      <c r="S268" s="83">
        <f t="shared" si="35"/>
        <v>695</v>
      </c>
      <c r="T268" s="83">
        <f>50</f>
        <v>50</v>
      </c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</row>
    <row r="269" spans="1:30" ht="15.75" x14ac:dyDescent="0.25">
      <c r="A269" s="13">
        <v>49096</v>
      </c>
      <c r="B269" s="97">
        <v>30</v>
      </c>
      <c r="C269" s="83">
        <f>194.205</f>
        <v>194.20500000000001</v>
      </c>
      <c r="D269" s="83">
        <f>267.466</f>
        <v>267.46600000000001</v>
      </c>
      <c r="E269" s="92">
        <f>133.845</f>
        <v>133.845</v>
      </c>
      <c r="F269" s="83">
        <f>278.484-40-25-60-100</f>
        <v>53.48399999999998</v>
      </c>
      <c r="G269" s="86">
        <v>40</v>
      </c>
      <c r="H269" s="83">
        <f t="shared" si="41"/>
        <v>185</v>
      </c>
      <c r="I269" s="83">
        <f t="shared" si="39"/>
        <v>0</v>
      </c>
      <c r="J269" s="86">
        <v>100</v>
      </c>
      <c r="K269" s="86">
        <v>300</v>
      </c>
      <c r="L269" s="83">
        <f t="shared" si="32"/>
        <v>1274</v>
      </c>
      <c r="M269" s="94">
        <v>600</v>
      </c>
      <c r="N269" s="83">
        <f>30</f>
        <v>30</v>
      </c>
      <c r="O269" s="86">
        <v>240</v>
      </c>
      <c r="P269" s="86">
        <v>160</v>
      </c>
      <c r="Q269" s="86">
        <f t="shared" si="33"/>
        <v>195</v>
      </c>
      <c r="R269" s="86">
        <f t="shared" si="34"/>
        <v>100</v>
      </c>
      <c r="S269" s="83">
        <f t="shared" si="35"/>
        <v>695</v>
      </c>
      <c r="T269" s="83">
        <f>50</f>
        <v>50</v>
      </c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</row>
    <row r="270" spans="1:30" ht="15.75" x14ac:dyDescent="0.25">
      <c r="A270" s="13">
        <v>49126</v>
      </c>
      <c r="B270" s="97">
        <v>31</v>
      </c>
      <c r="C270" s="83">
        <f>194.205</f>
        <v>194.20500000000001</v>
      </c>
      <c r="D270" s="83">
        <f>267.466</f>
        <v>267.46600000000001</v>
      </c>
      <c r="E270" s="92">
        <f>133.845</f>
        <v>133.845</v>
      </c>
      <c r="F270" s="83">
        <f>278.484-40-25-60-100</f>
        <v>53.48399999999998</v>
      </c>
      <c r="G270" s="86">
        <v>40</v>
      </c>
      <c r="H270" s="83">
        <f t="shared" si="41"/>
        <v>185</v>
      </c>
      <c r="I270" s="83">
        <f t="shared" si="39"/>
        <v>0</v>
      </c>
      <c r="J270" s="86">
        <v>100</v>
      </c>
      <c r="K270" s="86">
        <v>300</v>
      </c>
      <c r="L270" s="83">
        <f t="shared" si="32"/>
        <v>1274</v>
      </c>
      <c r="M270" s="94">
        <v>600</v>
      </c>
      <c r="N270" s="83">
        <f>30</f>
        <v>30</v>
      </c>
      <c r="O270" s="86">
        <v>240</v>
      </c>
      <c r="P270" s="86">
        <v>160</v>
      </c>
      <c r="Q270" s="86">
        <f t="shared" si="33"/>
        <v>195</v>
      </c>
      <c r="R270" s="86">
        <f t="shared" si="34"/>
        <v>100</v>
      </c>
      <c r="S270" s="83">
        <f t="shared" si="35"/>
        <v>695</v>
      </c>
      <c r="T270" s="83">
        <f>0</f>
        <v>0</v>
      </c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</row>
    <row r="271" spans="1:30" ht="15.75" x14ac:dyDescent="0.25">
      <c r="A271" s="13">
        <v>49157</v>
      </c>
      <c r="B271" s="97">
        <v>31</v>
      </c>
      <c r="C271" s="83">
        <f>194.205</f>
        <v>194.20500000000001</v>
      </c>
      <c r="D271" s="83">
        <f>267.466</f>
        <v>267.46600000000001</v>
      </c>
      <c r="E271" s="92">
        <f>133.845</f>
        <v>133.845</v>
      </c>
      <c r="F271" s="83">
        <f>278.484-40-25-60-100</f>
        <v>53.48399999999998</v>
      </c>
      <c r="G271" s="86">
        <v>40</v>
      </c>
      <c r="H271" s="83">
        <f t="shared" si="41"/>
        <v>185</v>
      </c>
      <c r="I271" s="83">
        <f t="shared" si="39"/>
        <v>0</v>
      </c>
      <c r="J271" s="86">
        <v>100</v>
      </c>
      <c r="K271" s="86">
        <v>300</v>
      </c>
      <c r="L271" s="83">
        <f t="shared" si="32"/>
        <v>1274</v>
      </c>
      <c r="M271" s="94">
        <v>600</v>
      </c>
      <c r="N271" s="83">
        <f>30</f>
        <v>30</v>
      </c>
      <c r="O271" s="86">
        <v>240</v>
      </c>
      <c r="P271" s="86">
        <v>160</v>
      </c>
      <c r="Q271" s="86">
        <f t="shared" si="33"/>
        <v>195</v>
      </c>
      <c r="R271" s="86">
        <f t="shared" si="34"/>
        <v>100</v>
      </c>
      <c r="S271" s="83">
        <f t="shared" si="35"/>
        <v>695</v>
      </c>
      <c r="T271" s="83">
        <f>0</f>
        <v>0</v>
      </c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</row>
    <row r="272" spans="1:30" ht="15.75" x14ac:dyDescent="0.25">
      <c r="A272" s="13">
        <v>49188</v>
      </c>
      <c r="B272" s="97">
        <v>30</v>
      </c>
      <c r="C272" s="83">
        <f>194.205</f>
        <v>194.20500000000001</v>
      </c>
      <c r="D272" s="83">
        <f>267.466</f>
        <v>267.46600000000001</v>
      </c>
      <c r="E272" s="92">
        <f>133.845</f>
        <v>133.845</v>
      </c>
      <c r="F272" s="83">
        <f>278.484-40-25-60-100</f>
        <v>53.48399999999998</v>
      </c>
      <c r="G272" s="86">
        <v>40</v>
      </c>
      <c r="H272" s="83">
        <f t="shared" si="41"/>
        <v>185</v>
      </c>
      <c r="I272" s="83">
        <f t="shared" si="39"/>
        <v>0</v>
      </c>
      <c r="J272" s="86">
        <v>100</v>
      </c>
      <c r="K272" s="86">
        <v>300</v>
      </c>
      <c r="L272" s="83">
        <f t="shared" si="32"/>
        <v>1274</v>
      </c>
      <c r="M272" s="94">
        <v>600</v>
      </c>
      <c r="N272" s="83">
        <f>30</f>
        <v>30</v>
      </c>
      <c r="O272" s="86">
        <v>240</v>
      </c>
      <c r="P272" s="86">
        <v>160</v>
      </c>
      <c r="Q272" s="86">
        <f t="shared" si="33"/>
        <v>195</v>
      </c>
      <c r="R272" s="86">
        <f t="shared" si="34"/>
        <v>100</v>
      </c>
      <c r="S272" s="83">
        <f t="shared" si="35"/>
        <v>695</v>
      </c>
      <c r="T272" s="83">
        <f>0</f>
        <v>0</v>
      </c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</row>
    <row r="273" spans="1:30" ht="15.75" x14ac:dyDescent="0.25">
      <c r="A273" s="13">
        <v>49218</v>
      </c>
      <c r="B273" s="97">
        <v>31</v>
      </c>
      <c r="C273" s="83">
        <f>131.881</f>
        <v>131.881</v>
      </c>
      <c r="D273" s="83">
        <f>277.167</f>
        <v>277.16699999999997</v>
      </c>
      <c r="E273" s="92">
        <f>79.08</f>
        <v>79.08</v>
      </c>
      <c r="F273" s="83">
        <f>350.872-40-25-60-100</f>
        <v>125.87200000000001</v>
      </c>
      <c r="G273" s="86">
        <v>40</v>
      </c>
      <c r="H273" s="83">
        <f t="shared" si="41"/>
        <v>185</v>
      </c>
      <c r="I273" s="83">
        <f t="shared" si="39"/>
        <v>0</v>
      </c>
      <c r="J273" s="86">
        <v>100</v>
      </c>
      <c r="K273" s="86">
        <v>300</v>
      </c>
      <c r="L273" s="83">
        <f t="shared" si="32"/>
        <v>1239</v>
      </c>
      <c r="M273" s="94">
        <v>600</v>
      </c>
      <c r="N273" s="83">
        <f>75</f>
        <v>75</v>
      </c>
      <c r="O273" s="86">
        <v>240</v>
      </c>
      <c r="P273" s="86">
        <v>160</v>
      </c>
      <c r="Q273" s="86">
        <f t="shared" si="33"/>
        <v>195</v>
      </c>
      <c r="R273" s="86">
        <f t="shared" si="34"/>
        <v>100</v>
      </c>
      <c r="S273" s="83">
        <f t="shared" si="35"/>
        <v>695</v>
      </c>
      <c r="T273" s="83">
        <f>0</f>
        <v>0</v>
      </c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</row>
    <row r="274" spans="1:30" ht="15.75" x14ac:dyDescent="0.25">
      <c r="A274" s="13">
        <v>49249</v>
      </c>
      <c r="B274" s="97">
        <v>30</v>
      </c>
      <c r="C274" s="83">
        <f>122.58</f>
        <v>122.58</v>
      </c>
      <c r="D274" s="83">
        <f>297.941</f>
        <v>297.94099999999997</v>
      </c>
      <c r="E274" s="92">
        <f>89.177</f>
        <v>89.177000000000007</v>
      </c>
      <c r="F274" s="83">
        <f>240.302-40-60-100</f>
        <v>40.301999999999992</v>
      </c>
      <c r="G274" s="86">
        <v>40</v>
      </c>
      <c r="H274" s="83">
        <f>60+100</f>
        <v>160</v>
      </c>
      <c r="I274" s="83">
        <f t="shared" si="39"/>
        <v>0</v>
      </c>
      <c r="J274" s="86">
        <v>100</v>
      </c>
      <c r="K274" s="86">
        <v>300</v>
      </c>
      <c r="L274" s="83">
        <f t="shared" si="32"/>
        <v>1150</v>
      </c>
      <c r="M274" s="94">
        <v>600</v>
      </c>
      <c r="N274" s="83">
        <f>100</f>
        <v>100</v>
      </c>
      <c r="O274" s="86">
        <v>240</v>
      </c>
      <c r="P274" s="86">
        <v>40</v>
      </c>
      <c r="Q274" s="86">
        <f t="shared" si="33"/>
        <v>315</v>
      </c>
      <c r="R274" s="86">
        <f t="shared" si="34"/>
        <v>100</v>
      </c>
      <c r="S274" s="83">
        <f t="shared" si="35"/>
        <v>695</v>
      </c>
      <c r="T274" s="83">
        <f>50</f>
        <v>50</v>
      </c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</row>
    <row r="275" spans="1:30" ht="15.75" x14ac:dyDescent="0.25">
      <c r="A275" s="13">
        <v>49279</v>
      </c>
      <c r="B275" s="97">
        <v>31</v>
      </c>
      <c r="C275" s="83">
        <f>122.58</f>
        <v>122.58</v>
      </c>
      <c r="D275" s="83">
        <f>297.941</f>
        <v>297.94099999999997</v>
      </c>
      <c r="E275" s="92">
        <f>89.177</f>
        <v>89.177000000000007</v>
      </c>
      <c r="F275" s="83">
        <f>240.302-40-60-100</f>
        <v>40.301999999999992</v>
      </c>
      <c r="G275" s="86">
        <v>40</v>
      </c>
      <c r="H275" s="83">
        <f>60+100</f>
        <v>160</v>
      </c>
      <c r="I275" s="83">
        <f t="shared" si="39"/>
        <v>0</v>
      </c>
      <c r="J275" s="86">
        <v>100</v>
      </c>
      <c r="K275" s="86">
        <v>300</v>
      </c>
      <c r="L275" s="83">
        <f t="shared" si="32"/>
        <v>1150</v>
      </c>
      <c r="M275" s="94">
        <v>600</v>
      </c>
      <c r="N275" s="83">
        <f>100</f>
        <v>100</v>
      </c>
      <c r="O275" s="86">
        <v>240</v>
      </c>
      <c r="P275" s="86">
        <v>40</v>
      </c>
      <c r="Q275" s="86">
        <f t="shared" si="33"/>
        <v>315</v>
      </c>
      <c r="R275" s="86">
        <f t="shared" si="34"/>
        <v>100</v>
      </c>
      <c r="S275" s="83">
        <f t="shared" si="35"/>
        <v>695</v>
      </c>
      <c r="T275" s="83">
        <f>50</f>
        <v>50</v>
      </c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</row>
    <row r="276" spans="1:30" ht="15.75" x14ac:dyDescent="0.25">
      <c r="A276" s="13">
        <v>49310</v>
      </c>
      <c r="B276" s="97">
        <v>31</v>
      </c>
      <c r="C276" s="83">
        <f>122.58</f>
        <v>122.58</v>
      </c>
      <c r="D276" s="83">
        <f>297.941</f>
        <v>297.94099999999997</v>
      </c>
      <c r="E276" s="92">
        <f>89.177</f>
        <v>89.177000000000007</v>
      </c>
      <c r="F276" s="83">
        <f>240.302-40-60-100</f>
        <v>40.301999999999992</v>
      </c>
      <c r="G276" s="86">
        <v>40</v>
      </c>
      <c r="H276" s="83">
        <f>60+100</f>
        <v>160</v>
      </c>
      <c r="I276" s="83">
        <f t="shared" si="39"/>
        <v>0</v>
      </c>
      <c r="J276" s="86">
        <v>100</v>
      </c>
      <c r="K276" s="86">
        <v>300</v>
      </c>
      <c r="L276" s="83">
        <f t="shared" si="32"/>
        <v>1150</v>
      </c>
      <c r="M276" s="94">
        <v>600</v>
      </c>
      <c r="N276" s="83">
        <f>100</f>
        <v>100</v>
      </c>
      <c r="O276" s="86">
        <v>240</v>
      </c>
      <c r="P276" s="86">
        <v>40</v>
      </c>
      <c r="Q276" s="86">
        <f t="shared" si="33"/>
        <v>315</v>
      </c>
      <c r="R276" s="86">
        <f t="shared" si="34"/>
        <v>100</v>
      </c>
      <c r="S276" s="83">
        <f t="shared" si="35"/>
        <v>695</v>
      </c>
      <c r="T276" s="83">
        <f>50</f>
        <v>50</v>
      </c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</row>
    <row r="277" spans="1:30" ht="15.75" x14ac:dyDescent="0.25">
      <c r="A277" s="13">
        <v>49341</v>
      </c>
      <c r="B277" s="97">
        <v>28</v>
      </c>
      <c r="C277" s="83">
        <f>122.58</f>
        <v>122.58</v>
      </c>
      <c r="D277" s="83">
        <f>297.941</f>
        <v>297.94099999999997</v>
      </c>
      <c r="E277" s="92">
        <f>89.177</f>
        <v>89.177000000000007</v>
      </c>
      <c r="F277" s="83">
        <f>240.302-40-60-100</f>
        <v>40.301999999999992</v>
      </c>
      <c r="G277" s="86">
        <v>40</v>
      </c>
      <c r="H277" s="83">
        <f>60+100</f>
        <v>160</v>
      </c>
      <c r="I277" s="83">
        <f t="shared" si="39"/>
        <v>0</v>
      </c>
      <c r="J277" s="86">
        <v>100</v>
      </c>
      <c r="K277" s="86">
        <v>300</v>
      </c>
      <c r="L277" s="83">
        <f t="shared" si="32"/>
        <v>1150</v>
      </c>
      <c r="M277" s="94">
        <v>600</v>
      </c>
      <c r="N277" s="83">
        <f>100</f>
        <v>100</v>
      </c>
      <c r="O277" s="86">
        <v>240</v>
      </c>
      <c r="P277" s="86">
        <v>40</v>
      </c>
      <c r="Q277" s="86">
        <f t="shared" si="33"/>
        <v>315</v>
      </c>
      <c r="R277" s="86">
        <f t="shared" si="34"/>
        <v>100</v>
      </c>
      <c r="S277" s="83">
        <f t="shared" si="35"/>
        <v>695</v>
      </c>
      <c r="T277" s="83">
        <f>50</f>
        <v>50</v>
      </c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</row>
    <row r="278" spans="1:30" ht="15.75" x14ac:dyDescent="0.25">
      <c r="A278" s="13">
        <v>49369</v>
      </c>
      <c r="B278" s="97">
        <v>31</v>
      </c>
      <c r="C278" s="83">
        <f>122.58</f>
        <v>122.58</v>
      </c>
      <c r="D278" s="83">
        <f>297.941</f>
        <v>297.94099999999997</v>
      </c>
      <c r="E278" s="92">
        <f>89.177</f>
        <v>89.177000000000007</v>
      </c>
      <c r="F278" s="83">
        <f>240.302-40-60-100</f>
        <v>40.301999999999992</v>
      </c>
      <c r="G278" s="86">
        <v>40</v>
      </c>
      <c r="H278" s="83">
        <f>60+100</f>
        <v>160</v>
      </c>
      <c r="I278" s="83">
        <f t="shared" si="39"/>
        <v>0</v>
      </c>
      <c r="J278" s="86">
        <v>100</v>
      </c>
      <c r="K278" s="86">
        <v>300</v>
      </c>
      <c r="L278" s="83">
        <f t="shared" ref="L278:L341" si="42">SUM(C278:K278)</f>
        <v>1150</v>
      </c>
      <c r="M278" s="94">
        <v>600</v>
      </c>
      <c r="N278" s="83">
        <f>100</f>
        <v>100</v>
      </c>
      <c r="O278" s="86">
        <v>240</v>
      </c>
      <c r="P278" s="86">
        <v>40</v>
      </c>
      <c r="Q278" s="86">
        <f t="shared" ref="Q278:Q341" si="43">695-R278-O278-P278</f>
        <v>315</v>
      </c>
      <c r="R278" s="86">
        <f t="shared" ref="R278:R341" si="44">200-J278</f>
        <v>100</v>
      </c>
      <c r="S278" s="83">
        <f t="shared" ref="S278:S341" si="45">SUM(O278:R278)</f>
        <v>695</v>
      </c>
      <c r="T278" s="83">
        <f>50</f>
        <v>50</v>
      </c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</row>
    <row r="279" spans="1:30" ht="15.75" x14ac:dyDescent="0.25">
      <c r="A279" s="13">
        <v>49400</v>
      </c>
      <c r="B279" s="97">
        <v>30</v>
      </c>
      <c r="C279" s="83">
        <f>141.293</f>
        <v>141.29300000000001</v>
      </c>
      <c r="D279" s="83">
        <f>267.993</f>
        <v>267.99299999999999</v>
      </c>
      <c r="E279" s="92">
        <f>115.016</f>
        <v>115.01600000000001</v>
      </c>
      <c r="F279" s="83">
        <f>314.698-40-25-60-100</f>
        <v>89.697999999999979</v>
      </c>
      <c r="G279" s="86">
        <v>40</v>
      </c>
      <c r="H279" s="83">
        <f t="shared" ref="H279:H285" si="46">25+60+100</f>
        <v>185</v>
      </c>
      <c r="I279" s="83">
        <f t="shared" si="39"/>
        <v>0</v>
      </c>
      <c r="J279" s="86">
        <v>100</v>
      </c>
      <c r="K279" s="86">
        <v>300</v>
      </c>
      <c r="L279" s="83">
        <f t="shared" si="42"/>
        <v>1239</v>
      </c>
      <c r="M279" s="94">
        <v>600</v>
      </c>
      <c r="N279" s="83">
        <f>100</f>
        <v>100</v>
      </c>
      <c r="O279" s="86">
        <v>240</v>
      </c>
      <c r="P279" s="86">
        <v>160</v>
      </c>
      <c r="Q279" s="86">
        <f t="shared" si="43"/>
        <v>195</v>
      </c>
      <c r="R279" s="86">
        <f t="shared" si="44"/>
        <v>100</v>
      </c>
      <c r="S279" s="83">
        <f t="shared" si="45"/>
        <v>695</v>
      </c>
      <c r="T279" s="83">
        <f>50</f>
        <v>50</v>
      </c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</row>
    <row r="280" spans="1:30" ht="15.75" x14ac:dyDescent="0.25">
      <c r="A280" s="13">
        <v>49430</v>
      </c>
      <c r="B280" s="97">
        <v>31</v>
      </c>
      <c r="C280" s="83">
        <f>194.205</f>
        <v>194.20500000000001</v>
      </c>
      <c r="D280" s="83">
        <f>267.466</f>
        <v>267.46600000000001</v>
      </c>
      <c r="E280" s="92">
        <f>133.845</f>
        <v>133.845</v>
      </c>
      <c r="F280" s="83">
        <f>278.484-40-25-60-100</f>
        <v>53.48399999999998</v>
      </c>
      <c r="G280" s="86">
        <v>40</v>
      </c>
      <c r="H280" s="83">
        <f t="shared" si="46"/>
        <v>185</v>
      </c>
      <c r="I280" s="83">
        <f t="shared" si="39"/>
        <v>0</v>
      </c>
      <c r="J280" s="86">
        <v>100</v>
      </c>
      <c r="K280" s="86">
        <v>300</v>
      </c>
      <c r="L280" s="83">
        <f t="shared" si="42"/>
        <v>1274</v>
      </c>
      <c r="M280" s="94">
        <v>600</v>
      </c>
      <c r="N280" s="83">
        <f>75</f>
        <v>75</v>
      </c>
      <c r="O280" s="86">
        <v>240</v>
      </c>
      <c r="P280" s="86">
        <v>160</v>
      </c>
      <c r="Q280" s="86">
        <f t="shared" si="43"/>
        <v>195</v>
      </c>
      <c r="R280" s="86">
        <f t="shared" si="44"/>
        <v>100</v>
      </c>
      <c r="S280" s="83">
        <f t="shared" si="45"/>
        <v>695</v>
      </c>
      <c r="T280" s="83">
        <f>50</f>
        <v>50</v>
      </c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</row>
    <row r="281" spans="1:30" ht="15.75" x14ac:dyDescent="0.25">
      <c r="A281" s="34">
        <v>49461</v>
      </c>
      <c r="B281" s="97">
        <v>30</v>
      </c>
      <c r="C281" s="83">
        <f>194.205</f>
        <v>194.20500000000001</v>
      </c>
      <c r="D281" s="83">
        <f>267.466</f>
        <v>267.46600000000001</v>
      </c>
      <c r="E281" s="92">
        <f>133.845</f>
        <v>133.845</v>
      </c>
      <c r="F281" s="83">
        <f>278.484-40-25-60-100</f>
        <v>53.48399999999998</v>
      </c>
      <c r="G281" s="86">
        <v>40</v>
      </c>
      <c r="H281" s="83">
        <f t="shared" si="46"/>
        <v>185</v>
      </c>
      <c r="I281" s="83">
        <f t="shared" si="39"/>
        <v>0</v>
      </c>
      <c r="J281" s="86">
        <v>100</v>
      </c>
      <c r="K281" s="86">
        <v>300</v>
      </c>
      <c r="L281" s="83">
        <f t="shared" si="42"/>
        <v>1274</v>
      </c>
      <c r="M281" s="94">
        <v>600</v>
      </c>
      <c r="N281" s="83">
        <f>30</f>
        <v>30</v>
      </c>
      <c r="O281" s="86">
        <v>240</v>
      </c>
      <c r="P281" s="86">
        <v>160</v>
      </c>
      <c r="Q281" s="86">
        <f t="shared" si="43"/>
        <v>195</v>
      </c>
      <c r="R281" s="86">
        <f t="shared" si="44"/>
        <v>100</v>
      </c>
      <c r="S281" s="83">
        <f t="shared" si="45"/>
        <v>695</v>
      </c>
      <c r="T281" s="83">
        <f>50</f>
        <v>50</v>
      </c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</row>
    <row r="282" spans="1:30" ht="15.75" x14ac:dyDescent="0.25">
      <c r="A282" s="34">
        <v>49491</v>
      </c>
      <c r="B282" s="97">
        <v>31</v>
      </c>
      <c r="C282" s="83">
        <f>194.205</f>
        <v>194.20500000000001</v>
      </c>
      <c r="D282" s="83">
        <f>267.466</f>
        <v>267.46600000000001</v>
      </c>
      <c r="E282" s="92">
        <f>133.845</f>
        <v>133.845</v>
      </c>
      <c r="F282" s="83">
        <f>278.484-40-25-60-100</f>
        <v>53.48399999999998</v>
      </c>
      <c r="G282" s="86">
        <v>40</v>
      </c>
      <c r="H282" s="83">
        <f t="shared" si="46"/>
        <v>185</v>
      </c>
      <c r="I282" s="83">
        <f t="shared" si="39"/>
        <v>0</v>
      </c>
      <c r="J282" s="86">
        <v>100</v>
      </c>
      <c r="K282" s="86">
        <v>300</v>
      </c>
      <c r="L282" s="83">
        <f t="shared" si="42"/>
        <v>1274</v>
      </c>
      <c r="M282" s="94">
        <v>600</v>
      </c>
      <c r="N282" s="83">
        <f>30</f>
        <v>30</v>
      </c>
      <c r="O282" s="86">
        <v>240</v>
      </c>
      <c r="P282" s="86">
        <v>160</v>
      </c>
      <c r="Q282" s="86">
        <f t="shared" si="43"/>
        <v>195</v>
      </c>
      <c r="R282" s="86">
        <f t="shared" si="44"/>
        <v>100</v>
      </c>
      <c r="S282" s="83">
        <f t="shared" si="45"/>
        <v>695</v>
      </c>
      <c r="T282" s="83">
        <f>0</f>
        <v>0</v>
      </c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</row>
    <row r="283" spans="1:30" ht="15.75" x14ac:dyDescent="0.25">
      <c r="A283" s="34">
        <v>49522</v>
      </c>
      <c r="B283" s="97">
        <v>31</v>
      </c>
      <c r="C283" s="83">
        <f>194.205</f>
        <v>194.20500000000001</v>
      </c>
      <c r="D283" s="83">
        <f>267.466</f>
        <v>267.46600000000001</v>
      </c>
      <c r="E283" s="92">
        <f>133.845</f>
        <v>133.845</v>
      </c>
      <c r="F283" s="83">
        <f>278.484-40-25-60-100</f>
        <v>53.48399999999998</v>
      </c>
      <c r="G283" s="86">
        <v>40</v>
      </c>
      <c r="H283" s="83">
        <f t="shared" si="46"/>
        <v>185</v>
      </c>
      <c r="I283" s="83">
        <f t="shared" si="39"/>
        <v>0</v>
      </c>
      <c r="J283" s="86">
        <v>100</v>
      </c>
      <c r="K283" s="86">
        <v>300</v>
      </c>
      <c r="L283" s="83">
        <f t="shared" si="42"/>
        <v>1274</v>
      </c>
      <c r="M283" s="94">
        <v>600</v>
      </c>
      <c r="N283" s="83">
        <f>30</f>
        <v>30</v>
      </c>
      <c r="O283" s="86">
        <v>240</v>
      </c>
      <c r="P283" s="86">
        <v>160</v>
      </c>
      <c r="Q283" s="86">
        <f t="shared" si="43"/>
        <v>195</v>
      </c>
      <c r="R283" s="86">
        <f t="shared" si="44"/>
        <v>100</v>
      </c>
      <c r="S283" s="83">
        <f t="shared" si="45"/>
        <v>695</v>
      </c>
      <c r="T283" s="83">
        <f>0</f>
        <v>0</v>
      </c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</row>
    <row r="284" spans="1:30" ht="15.75" x14ac:dyDescent="0.25">
      <c r="A284" s="34">
        <v>49553</v>
      </c>
      <c r="B284" s="97">
        <v>30</v>
      </c>
      <c r="C284" s="83">
        <f>194.205</f>
        <v>194.20500000000001</v>
      </c>
      <c r="D284" s="83">
        <f>267.466</f>
        <v>267.46600000000001</v>
      </c>
      <c r="E284" s="92">
        <f>133.845</f>
        <v>133.845</v>
      </c>
      <c r="F284" s="83">
        <f>278.484-40-25-60-100</f>
        <v>53.48399999999998</v>
      </c>
      <c r="G284" s="86">
        <v>40</v>
      </c>
      <c r="H284" s="83">
        <f t="shared" si="46"/>
        <v>185</v>
      </c>
      <c r="I284" s="83">
        <f t="shared" si="39"/>
        <v>0</v>
      </c>
      <c r="J284" s="86">
        <v>100</v>
      </c>
      <c r="K284" s="86">
        <v>300</v>
      </c>
      <c r="L284" s="83">
        <f t="shared" si="42"/>
        <v>1274</v>
      </c>
      <c r="M284" s="94">
        <v>600</v>
      </c>
      <c r="N284" s="83">
        <f>30</f>
        <v>30</v>
      </c>
      <c r="O284" s="86">
        <v>240</v>
      </c>
      <c r="P284" s="86">
        <v>160</v>
      </c>
      <c r="Q284" s="86">
        <f t="shared" si="43"/>
        <v>195</v>
      </c>
      <c r="R284" s="86">
        <f t="shared" si="44"/>
        <v>100</v>
      </c>
      <c r="S284" s="83">
        <f t="shared" si="45"/>
        <v>695</v>
      </c>
      <c r="T284" s="83">
        <f>0</f>
        <v>0</v>
      </c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</row>
    <row r="285" spans="1:30" ht="15.75" x14ac:dyDescent="0.25">
      <c r="A285" s="34">
        <v>49583</v>
      </c>
      <c r="B285" s="97">
        <v>31</v>
      </c>
      <c r="C285" s="83">
        <f>131.881</f>
        <v>131.881</v>
      </c>
      <c r="D285" s="83">
        <f>277.167</f>
        <v>277.16699999999997</v>
      </c>
      <c r="E285" s="92">
        <f>79.08</f>
        <v>79.08</v>
      </c>
      <c r="F285" s="83">
        <f>350.872-40-25-60-100</f>
        <v>125.87200000000001</v>
      </c>
      <c r="G285" s="86">
        <v>40</v>
      </c>
      <c r="H285" s="83">
        <f t="shared" si="46"/>
        <v>185</v>
      </c>
      <c r="I285" s="83">
        <f t="shared" si="39"/>
        <v>0</v>
      </c>
      <c r="J285" s="86">
        <v>100</v>
      </c>
      <c r="K285" s="86">
        <v>300</v>
      </c>
      <c r="L285" s="83">
        <f t="shared" si="42"/>
        <v>1239</v>
      </c>
      <c r="M285" s="94">
        <v>600</v>
      </c>
      <c r="N285" s="83">
        <f>75</f>
        <v>75</v>
      </c>
      <c r="O285" s="86">
        <v>240</v>
      </c>
      <c r="P285" s="86">
        <v>160</v>
      </c>
      <c r="Q285" s="86">
        <f t="shared" si="43"/>
        <v>195</v>
      </c>
      <c r="R285" s="86">
        <f t="shared" si="44"/>
        <v>100</v>
      </c>
      <c r="S285" s="83">
        <f t="shared" si="45"/>
        <v>695</v>
      </c>
      <c r="T285" s="83">
        <f>0</f>
        <v>0</v>
      </c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</row>
    <row r="286" spans="1:30" ht="15.75" x14ac:dyDescent="0.25">
      <c r="A286" s="34">
        <v>49614</v>
      </c>
      <c r="B286" s="97">
        <v>30</v>
      </c>
      <c r="C286" s="83">
        <f>122.58</f>
        <v>122.58</v>
      </c>
      <c r="D286" s="83">
        <f>297.941</f>
        <v>297.94099999999997</v>
      </c>
      <c r="E286" s="92">
        <f>89.177</f>
        <v>89.177000000000007</v>
      </c>
      <c r="F286" s="83">
        <f>240.302-40-60-100</f>
        <v>40.301999999999992</v>
      </c>
      <c r="G286" s="86">
        <v>40</v>
      </c>
      <c r="H286" s="83">
        <f>60+100</f>
        <v>160</v>
      </c>
      <c r="I286" s="83">
        <f t="shared" si="39"/>
        <v>0</v>
      </c>
      <c r="J286" s="86">
        <v>100</v>
      </c>
      <c r="K286" s="86">
        <v>300</v>
      </c>
      <c r="L286" s="83">
        <f t="shared" si="42"/>
        <v>1150</v>
      </c>
      <c r="M286" s="94">
        <v>600</v>
      </c>
      <c r="N286" s="83">
        <f>100</f>
        <v>100</v>
      </c>
      <c r="O286" s="86">
        <v>240</v>
      </c>
      <c r="P286" s="86">
        <v>40</v>
      </c>
      <c r="Q286" s="86">
        <f t="shared" si="43"/>
        <v>315</v>
      </c>
      <c r="R286" s="86">
        <f t="shared" si="44"/>
        <v>100</v>
      </c>
      <c r="S286" s="83">
        <f t="shared" si="45"/>
        <v>695</v>
      </c>
      <c r="T286" s="83">
        <f>50</f>
        <v>50</v>
      </c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</row>
    <row r="287" spans="1:30" ht="15.75" x14ac:dyDescent="0.25">
      <c r="A287" s="34">
        <v>49644</v>
      </c>
      <c r="B287" s="97">
        <v>31</v>
      </c>
      <c r="C287" s="83">
        <f>122.58</f>
        <v>122.58</v>
      </c>
      <c r="D287" s="83">
        <f>297.941</f>
        <v>297.94099999999997</v>
      </c>
      <c r="E287" s="92">
        <f>89.177</f>
        <v>89.177000000000007</v>
      </c>
      <c r="F287" s="83">
        <f>240.302-40-60-100</f>
        <v>40.301999999999992</v>
      </c>
      <c r="G287" s="86">
        <v>40</v>
      </c>
      <c r="H287" s="83">
        <f>60+100</f>
        <v>160</v>
      </c>
      <c r="I287" s="83">
        <f t="shared" si="39"/>
        <v>0</v>
      </c>
      <c r="J287" s="86">
        <v>100</v>
      </c>
      <c r="K287" s="86">
        <v>300</v>
      </c>
      <c r="L287" s="83">
        <f t="shared" si="42"/>
        <v>1150</v>
      </c>
      <c r="M287" s="94">
        <v>600</v>
      </c>
      <c r="N287" s="83">
        <f>100</f>
        <v>100</v>
      </c>
      <c r="O287" s="86">
        <v>240</v>
      </c>
      <c r="P287" s="86">
        <v>40</v>
      </c>
      <c r="Q287" s="86">
        <f t="shared" si="43"/>
        <v>315</v>
      </c>
      <c r="R287" s="86">
        <f t="shared" si="44"/>
        <v>100</v>
      </c>
      <c r="S287" s="83">
        <f t="shared" si="45"/>
        <v>695</v>
      </c>
      <c r="T287" s="83">
        <f>50</f>
        <v>50</v>
      </c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</row>
    <row r="288" spans="1:30" ht="15.75" x14ac:dyDescent="0.25">
      <c r="A288" s="34">
        <v>49675</v>
      </c>
      <c r="B288" s="97">
        <v>31</v>
      </c>
      <c r="C288" s="83">
        <f>122.58</f>
        <v>122.58</v>
      </c>
      <c r="D288" s="83">
        <f>297.941</f>
        <v>297.94099999999997</v>
      </c>
      <c r="E288" s="92">
        <f>89.177</f>
        <v>89.177000000000007</v>
      </c>
      <c r="F288" s="83">
        <f>240.302-40-60-100</f>
        <v>40.301999999999992</v>
      </c>
      <c r="G288" s="86">
        <v>40</v>
      </c>
      <c r="H288" s="83">
        <f>60+100</f>
        <v>160</v>
      </c>
      <c r="I288" s="83">
        <f t="shared" si="39"/>
        <v>0</v>
      </c>
      <c r="J288" s="86">
        <v>100</v>
      </c>
      <c r="K288" s="86">
        <v>300</v>
      </c>
      <c r="L288" s="83">
        <f t="shared" si="42"/>
        <v>1150</v>
      </c>
      <c r="M288" s="94">
        <v>600</v>
      </c>
      <c r="N288" s="83">
        <f>100</f>
        <v>100</v>
      </c>
      <c r="O288" s="86">
        <v>240</v>
      </c>
      <c r="P288" s="86">
        <v>40</v>
      </c>
      <c r="Q288" s="86">
        <f t="shared" si="43"/>
        <v>315</v>
      </c>
      <c r="R288" s="86">
        <f t="shared" si="44"/>
        <v>100</v>
      </c>
      <c r="S288" s="83">
        <f t="shared" si="45"/>
        <v>695</v>
      </c>
      <c r="T288" s="83">
        <f>50</f>
        <v>50</v>
      </c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</row>
    <row r="289" spans="1:30" ht="15.75" x14ac:dyDescent="0.25">
      <c r="A289" s="34">
        <v>49706</v>
      </c>
      <c r="B289" s="97">
        <v>29</v>
      </c>
      <c r="C289" s="83">
        <f>122.58</f>
        <v>122.58</v>
      </c>
      <c r="D289" s="83">
        <f>297.941</f>
        <v>297.94099999999997</v>
      </c>
      <c r="E289" s="92">
        <f>89.177</f>
        <v>89.177000000000007</v>
      </c>
      <c r="F289" s="83">
        <f>240.302-40-60-100</f>
        <v>40.301999999999992</v>
      </c>
      <c r="G289" s="86">
        <v>40</v>
      </c>
      <c r="H289" s="83">
        <f>60+100</f>
        <v>160</v>
      </c>
      <c r="I289" s="83">
        <f t="shared" si="39"/>
        <v>0</v>
      </c>
      <c r="J289" s="86">
        <v>100</v>
      </c>
      <c r="K289" s="86">
        <v>300</v>
      </c>
      <c r="L289" s="83">
        <f t="shared" si="42"/>
        <v>1150</v>
      </c>
      <c r="M289" s="94">
        <v>600</v>
      </c>
      <c r="N289" s="83">
        <f>100</f>
        <v>100</v>
      </c>
      <c r="O289" s="86">
        <v>240</v>
      </c>
      <c r="P289" s="86">
        <v>40</v>
      </c>
      <c r="Q289" s="86">
        <f t="shared" si="43"/>
        <v>315</v>
      </c>
      <c r="R289" s="86">
        <f t="shared" si="44"/>
        <v>100</v>
      </c>
      <c r="S289" s="83">
        <f t="shared" si="45"/>
        <v>695</v>
      </c>
      <c r="T289" s="83">
        <f>50</f>
        <v>50</v>
      </c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</row>
    <row r="290" spans="1:30" ht="15.75" x14ac:dyDescent="0.25">
      <c r="A290" s="34">
        <v>49735</v>
      </c>
      <c r="B290" s="97">
        <v>31</v>
      </c>
      <c r="C290" s="83">
        <f>122.58</f>
        <v>122.58</v>
      </c>
      <c r="D290" s="83">
        <f>297.941</f>
        <v>297.94099999999997</v>
      </c>
      <c r="E290" s="92">
        <f>89.177</f>
        <v>89.177000000000007</v>
      </c>
      <c r="F290" s="83">
        <f>240.302-40-60-100</f>
        <v>40.301999999999992</v>
      </c>
      <c r="G290" s="86">
        <v>40</v>
      </c>
      <c r="H290" s="83">
        <f>60+100</f>
        <v>160</v>
      </c>
      <c r="I290" s="83">
        <f t="shared" si="39"/>
        <v>0</v>
      </c>
      <c r="J290" s="86">
        <v>100</v>
      </c>
      <c r="K290" s="86">
        <v>300</v>
      </c>
      <c r="L290" s="83">
        <f t="shared" si="42"/>
        <v>1150</v>
      </c>
      <c r="M290" s="94">
        <v>600</v>
      </c>
      <c r="N290" s="83">
        <f>100</f>
        <v>100</v>
      </c>
      <c r="O290" s="86">
        <v>240</v>
      </c>
      <c r="P290" s="86">
        <v>40</v>
      </c>
      <c r="Q290" s="86">
        <f t="shared" si="43"/>
        <v>315</v>
      </c>
      <c r="R290" s="86">
        <f t="shared" si="44"/>
        <v>100</v>
      </c>
      <c r="S290" s="83">
        <f t="shared" si="45"/>
        <v>695</v>
      </c>
      <c r="T290" s="83">
        <f>50</f>
        <v>50</v>
      </c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</row>
    <row r="291" spans="1:30" ht="15.75" x14ac:dyDescent="0.25">
      <c r="A291" s="34">
        <v>49766</v>
      </c>
      <c r="B291" s="97">
        <v>30</v>
      </c>
      <c r="C291" s="83">
        <f>141.293</f>
        <v>141.29300000000001</v>
      </c>
      <c r="D291" s="83">
        <f>267.993</f>
        <v>267.99299999999999</v>
      </c>
      <c r="E291" s="92">
        <f>115.016</f>
        <v>115.01600000000001</v>
      </c>
      <c r="F291" s="83">
        <f>314.698-40-25-60-100</f>
        <v>89.697999999999979</v>
      </c>
      <c r="G291" s="86">
        <v>40</v>
      </c>
      <c r="H291" s="83">
        <f t="shared" ref="H291:H297" si="47">25+60+100</f>
        <v>185</v>
      </c>
      <c r="I291" s="83">
        <f t="shared" si="39"/>
        <v>0</v>
      </c>
      <c r="J291" s="86">
        <v>100</v>
      </c>
      <c r="K291" s="86">
        <v>300</v>
      </c>
      <c r="L291" s="83">
        <f t="shared" si="42"/>
        <v>1239</v>
      </c>
      <c r="M291" s="94">
        <v>600</v>
      </c>
      <c r="N291" s="83">
        <f>100</f>
        <v>100</v>
      </c>
      <c r="O291" s="86">
        <v>240</v>
      </c>
      <c r="P291" s="86">
        <v>160</v>
      </c>
      <c r="Q291" s="86">
        <f t="shared" si="43"/>
        <v>195</v>
      </c>
      <c r="R291" s="86">
        <f t="shared" si="44"/>
        <v>100</v>
      </c>
      <c r="S291" s="83">
        <f t="shared" si="45"/>
        <v>695</v>
      </c>
      <c r="T291" s="83">
        <f>50</f>
        <v>50</v>
      </c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</row>
    <row r="292" spans="1:30" ht="15.75" x14ac:dyDescent="0.25">
      <c r="A292" s="34">
        <v>49796</v>
      </c>
      <c r="B292" s="97">
        <v>31</v>
      </c>
      <c r="C292" s="83">
        <f>194.205</f>
        <v>194.20500000000001</v>
      </c>
      <c r="D292" s="83">
        <f>267.466</f>
        <v>267.46600000000001</v>
      </c>
      <c r="E292" s="92">
        <f>133.845</f>
        <v>133.845</v>
      </c>
      <c r="F292" s="83">
        <f>278.484-40-25-60-100</f>
        <v>53.48399999999998</v>
      </c>
      <c r="G292" s="86">
        <v>40</v>
      </c>
      <c r="H292" s="83">
        <f t="shared" si="47"/>
        <v>185</v>
      </c>
      <c r="I292" s="83">
        <f t="shared" si="39"/>
        <v>0</v>
      </c>
      <c r="J292" s="86">
        <v>100</v>
      </c>
      <c r="K292" s="86">
        <v>300</v>
      </c>
      <c r="L292" s="83">
        <f t="shared" si="42"/>
        <v>1274</v>
      </c>
      <c r="M292" s="94">
        <v>600</v>
      </c>
      <c r="N292" s="83">
        <f>75</f>
        <v>75</v>
      </c>
      <c r="O292" s="86">
        <v>240</v>
      </c>
      <c r="P292" s="86">
        <v>160</v>
      </c>
      <c r="Q292" s="86">
        <f t="shared" si="43"/>
        <v>195</v>
      </c>
      <c r="R292" s="86">
        <f t="shared" si="44"/>
        <v>100</v>
      </c>
      <c r="S292" s="83">
        <f t="shared" si="45"/>
        <v>695</v>
      </c>
      <c r="T292" s="83">
        <f>50</f>
        <v>50</v>
      </c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</row>
    <row r="293" spans="1:30" ht="15.75" x14ac:dyDescent="0.25">
      <c r="A293" s="34">
        <v>49827</v>
      </c>
      <c r="B293" s="97">
        <v>30</v>
      </c>
      <c r="C293" s="83">
        <f>194.205</f>
        <v>194.20500000000001</v>
      </c>
      <c r="D293" s="83">
        <f>267.466</f>
        <v>267.46600000000001</v>
      </c>
      <c r="E293" s="92">
        <f>133.845</f>
        <v>133.845</v>
      </c>
      <c r="F293" s="83">
        <f>278.484-40-25-60-100</f>
        <v>53.48399999999998</v>
      </c>
      <c r="G293" s="86">
        <v>40</v>
      </c>
      <c r="H293" s="83">
        <f t="shared" si="47"/>
        <v>185</v>
      </c>
      <c r="I293" s="83">
        <f t="shared" si="39"/>
        <v>0</v>
      </c>
      <c r="J293" s="86">
        <v>100</v>
      </c>
      <c r="K293" s="86">
        <v>300</v>
      </c>
      <c r="L293" s="83">
        <f t="shared" si="42"/>
        <v>1274</v>
      </c>
      <c r="M293" s="94">
        <v>600</v>
      </c>
      <c r="N293" s="83">
        <f>30</f>
        <v>30</v>
      </c>
      <c r="O293" s="86">
        <v>240</v>
      </c>
      <c r="P293" s="86">
        <v>160</v>
      </c>
      <c r="Q293" s="86">
        <f t="shared" si="43"/>
        <v>195</v>
      </c>
      <c r="R293" s="86">
        <f t="shared" si="44"/>
        <v>100</v>
      </c>
      <c r="S293" s="83">
        <f t="shared" si="45"/>
        <v>695</v>
      </c>
      <c r="T293" s="83">
        <f>50</f>
        <v>50</v>
      </c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</row>
    <row r="294" spans="1:30" ht="15.75" x14ac:dyDescent="0.25">
      <c r="A294" s="34">
        <v>49857</v>
      </c>
      <c r="B294" s="97">
        <v>31</v>
      </c>
      <c r="C294" s="83">
        <f>194.205</f>
        <v>194.20500000000001</v>
      </c>
      <c r="D294" s="83">
        <f>267.466</f>
        <v>267.46600000000001</v>
      </c>
      <c r="E294" s="92">
        <f>133.845</f>
        <v>133.845</v>
      </c>
      <c r="F294" s="83">
        <f>278.484-40-25-60-100</f>
        <v>53.48399999999998</v>
      </c>
      <c r="G294" s="86">
        <v>40</v>
      </c>
      <c r="H294" s="83">
        <f t="shared" si="47"/>
        <v>185</v>
      </c>
      <c r="I294" s="83">
        <f t="shared" si="39"/>
        <v>0</v>
      </c>
      <c r="J294" s="86">
        <v>100</v>
      </c>
      <c r="K294" s="86">
        <v>300</v>
      </c>
      <c r="L294" s="83">
        <f t="shared" si="42"/>
        <v>1274</v>
      </c>
      <c r="M294" s="94">
        <v>600</v>
      </c>
      <c r="N294" s="83">
        <f>30</f>
        <v>30</v>
      </c>
      <c r="O294" s="86">
        <v>240</v>
      </c>
      <c r="P294" s="86">
        <v>160</v>
      </c>
      <c r="Q294" s="86">
        <f t="shared" si="43"/>
        <v>195</v>
      </c>
      <c r="R294" s="86">
        <f t="shared" si="44"/>
        <v>100</v>
      </c>
      <c r="S294" s="83">
        <f t="shared" si="45"/>
        <v>695</v>
      </c>
      <c r="T294" s="83">
        <f>0</f>
        <v>0</v>
      </c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</row>
    <row r="295" spans="1:30" ht="15.75" x14ac:dyDescent="0.25">
      <c r="A295" s="34">
        <v>49888</v>
      </c>
      <c r="B295" s="97">
        <v>31</v>
      </c>
      <c r="C295" s="83">
        <f>194.205</f>
        <v>194.20500000000001</v>
      </c>
      <c r="D295" s="83">
        <f>267.466</f>
        <v>267.46600000000001</v>
      </c>
      <c r="E295" s="92">
        <f>133.845</f>
        <v>133.845</v>
      </c>
      <c r="F295" s="83">
        <f>278.484-40-25-60-100</f>
        <v>53.48399999999998</v>
      </c>
      <c r="G295" s="86">
        <v>40</v>
      </c>
      <c r="H295" s="83">
        <f t="shared" si="47"/>
        <v>185</v>
      </c>
      <c r="I295" s="83">
        <f t="shared" si="39"/>
        <v>0</v>
      </c>
      <c r="J295" s="86">
        <v>100</v>
      </c>
      <c r="K295" s="86">
        <v>300</v>
      </c>
      <c r="L295" s="83">
        <f t="shared" si="42"/>
        <v>1274</v>
      </c>
      <c r="M295" s="94">
        <v>600</v>
      </c>
      <c r="N295" s="83">
        <f>30</f>
        <v>30</v>
      </c>
      <c r="O295" s="86">
        <v>240</v>
      </c>
      <c r="P295" s="86">
        <v>160</v>
      </c>
      <c r="Q295" s="86">
        <f t="shared" si="43"/>
        <v>195</v>
      </c>
      <c r="R295" s="86">
        <f t="shared" si="44"/>
        <v>100</v>
      </c>
      <c r="S295" s="83">
        <f t="shared" si="45"/>
        <v>695</v>
      </c>
      <c r="T295" s="83">
        <f>0</f>
        <v>0</v>
      </c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</row>
    <row r="296" spans="1:30" ht="15.75" x14ac:dyDescent="0.25">
      <c r="A296" s="34">
        <v>49919</v>
      </c>
      <c r="B296" s="97">
        <v>30</v>
      </c>
      <c r="C296" s="83">
        <f>194.205</f>
        <v>194.20500000000001</v>
      </c>
      <c r="D296" s="83">
        <f>267.466</f>
        <v>267.46600000000001</v>
      </c>
      <c r="E296" s="92">
        <f>133.845</f>
        <v>133.845</v>
      </c>
      <c r="F296" s="83">
        <f>278.484-40-25-60-100</f>
        <v>53.48399999999998</v>
      </c>
      <c r="G296" s="86">
        <v>40</v>
      </c>
      <c r="H296" s="83">
        <f t="shared" si="47"/>
        <v>185</v>
      </c>
      <c r="I296" s="83">
        <f t="shared" si="39"/>
        <v>0</v>
      </c>
      <c r="J296" s="86">
        <v>100</v>
      </c>
      <c r="K296" s="86">
        <v>300</v>
      </c>
      <c r="L296" s="83">
        <f t="shared" si="42"/>
        <v>1274</v>
      </c>
      <c r="M296" s="94">
        <v>600</v>
      </c>
      <c r="N296" s="83">
        <f>30</f>
        <v>30</v>
      </c>
      <c r="O296" s="86">
        <v>240</v>
      </c>
      <c r="P296" s="86">
        <v>160</v>
      </c>
      <c r="Q296" s="86">
        <f t="shared" si="43"/>
        <v>195</v>
      </c>
      <c r="R296" s="86">
        <f t="shared" si="44"/>
        <v>100</v>
      </c>
      <c r="S296" s="83">
        <f t="shared" si="45"/>
        <v>695</v>
      </c>
      <c r="T296" s="83">
        <f>0</f>
        <v>0</v>
      </c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</row>
    <row r="297" spans="1:30" ht="15.75" x14ac:dyDescent="0.25">
      <c r="A297" s="34">
        <v>49949</v>
      </c>
      <c r="B297" s="97">
        <v>31</v>
      </c>
      <c r="C297" s="83">
        <f>131.881</f>
        <v>131.881</v>
      </c>
      <c r="D297" s="83">
        <f>277.167</f>
        <v>277.16699999999997</v>
      </c>
      <c r="E297" s="92">
        <f>79.08</f>
        <v>79.08</v>
      </c>
      <c r="F297" s="83">
        <f>350.872-40-25-60-100</f>
        <v>125.87200000000001</v>
      </c>
      <c r="G297" s="86">
        <v>40</v>
      </c>
      <c r="H297" s="83">
        <f t="shared" si="47"/>
        <v>185</v>
      </c>
      <c r="I297" s="83">
        <f t="shared" si="39"/>
        <v>0</v>
      </c>
      <c r="J297" s="86">
        <v>100</v>
      </c>
      <c r="K297" s="86">
        <v>300</v>
      </c>
      <c r="L297" s="83">
        <f t="shared" si="42"/>
        <v>1239</v>
      </c>
      <c r="M297" s="94">
        <v>600</v>
      </c>
      <c r="N297" s="83">
        <f>75</f>
        <v>75</v>
      </c>
      <c r="O297" s="86">
        <v>240</v>
      </c>
      <c r="P297" s="86">
        <v>160</v>
      </c>
      <c r="Q297" s="86">
        <f t="shared" si="43"/>
        <v>195</v>
      </c>
      <c r="R297" s="86">
        <f t="shared" si="44"/>
        <v>100</v>
      </c>
      <c r="S297" s="83">
        <f t="shared" si="45"/>
        <v>695</v>
      </c>
      <c r="T297" s="83">
        <f>0</f>
        <v>0</v>
      </c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</row>
    <row r="298" spans="1:30" ht="15.75" x14ac:dyDescent="0.25">
      <c r="A298" s="34">
        <v>49980</v>
      </c>
      <c r="B298" s="97">
        <v>30</v>
      </c>
      <c r="C298" s="83">
        <f>122.58</f>
        <v>122.58</v>
      </c>
      <c r="D298" s="83">
        <f>297.941</f>
        <v>297.94099999999997</v>
      </c>
      <c r="E298" s="92">
        <f>89.177</f>
        <v>89.177000000000007</v>
      </c>
      <c r="F298" s="83">
        <f>240.302-40-60-100</f>
        <v>40.301999999999992</v>
      </c>
      <c r="G298" s="86">
        <v>40</v>
      </c>
      <c r="H298" s="83">
        <f>60+100</f>
        <v>160</v>
      </c>
      <c r="I298" s="83">
        <f t="shared" si="39"/>
        <v>0</v>
      </c>
      <c r="J298" s="86">
        <v>100</v>
      </c>
      <c r="K298" s="86">
        <v>300</v>
      </c>
      <c r="L298" s="83">
        <f t="shared" si="42"/>
        <v>1150</v>
      </c>
      <c r="M298" s="94">
        <v>600</v>
      </c>
      <c r="N298" s="83">
        <f>100</f>
        <v>100</v>
      </c>
      <c r="O298" s="86">
        <v>240</v>
      </c>
      <c r="P298" s="86">
        <v>40</v>
      </c>
      <c r="Q298" s="86">
        <f t="shared" si="43"/>
        <v>315</v>
      </c>
      <c r="R298" s="86">
        <f t="shared" si="44"/>
        <v>100</v>
      </c>
      <c r="S298" s="83">
        <f t="shared" si="45"/>
        <v>695</v>
      </c>
      <c r="T298" s="83">
        <f>50</f>
        <v>50</v>
      </c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</row>
    <row r="299" spans="1:30" ht="15.75" x14ac:dyDescent="0.25">
      <c r="A299" s="34">
        <v>50010</v>
      </c>
      <c r="B299" s="97">
        <v>31</v>
      </c>
      <c r="C299" s="83">
        <f>122.58</f>
        <v>122.58</v>
      </c>
      <c r="D299" s="83">
        <f>297.941</f>
        <v>297.94099999999997</v>
      </c>
      <c r="E299" s="92">
        <f>89.177</f>
        <v>89.177000000000007</v>
      </c>
      <c r="F299" s="83">
        <f>240.302-40-60-100</f>
        <v>40.301999999999992</v>
      </c>
      <c r="G299" s="86">
        <v>40</v>
      </c>
      <c r="H299" s="83">
        <f>60+100</f>
        <v>160</v>
      </c>
      <c r="I299" s="83">
        <f t="shared" si="39"/>
        <v>0</v>
      </c>
      <c r="J299" s="86">
        <v>100</v>
      </c>
      <c r="K299" s="86">
        <v>300</v>
      </c>
      <c r="L299" s="83">
        <f t="shared" si="42"/>
        <v>1150</v>
      </c>
      <c r="M299" s="94">
        <v>600</v>
      </c>
      <c r="N299" s="83">
        <f>100</f>
        <v>100</v>
      </c>
      <c r="O299" s="86">
        <v>240</v>
      </c>
      <c r="P299" s="86">
        <v>40</v>
      </c>
      <c r="Q299" s="86">
        <f t="shared" si="43"/>
        <v>315</v>
      </c>
      <c r="R299" s="86">
        <f t="shared" si="44"/>
        <v>100</v>
      </c>
      <c r="S299" s="83">
        <f t="shared" si="45"/>
        <v>695</v>
      </c>
      <c r="T299" s="83">
        <f>50</f>
        <v>50</v>
      </c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</row>
    <row r="300" spans="1:30" ht="15.75" x14ac:dyDescent="0.25">
      <c r="A300" s="34">
        <v>50041</v>
      </c>
      <c r="B300" s="97">
        <v>31</v>
      </c>
      <c r="C300" s="83">
        <f>122.58</f>
        <v>122.58</v>
      </c>
      <c r="D300" s="83">
        <f>297.941</f>
        <v>297.94099999999997</v>
      </c>
      <c r="E300" s="92">
        <f>89.177</f>
        <v>89.177000000000007</v>
      </c>
      <c r="F300" s="83">
        <f>240.302-40-60-100</f>
        <v>40.301999999999992</v>
      </c>
      <c r="G300" s="86">
        <v>40</v>
      </c>
      <c r="H300" s="83">
        <f>60+100</f>
        <v>160</v>
      </c>
      <c r="I300" s="83">
        <f t="shared" si="39"/>
        <v>0</v>
      </c>
      <c r="J300" s="86">
        <v>100</v>
      </c>
      <c r="K300" s="86">
        <v>300</v>
      </c>
      <c r="L300" s="83">
        <f t="shared" si="42"/>
        <v>1150</v>
      </c>
      <c r="M300" s="94">
        <v>600</v>
      </c>
      <c r="N300" s="83">
        <f>100</f>
        <v>100</v>
      </c>
      <c r="O300" s="86">
        <v>240</v>
      </c>
      <c r="P300" s="86">
        <v>40</v>
      </c>
      <c r="Q300" s="86">
        <f t="shared" si="43"/>
        <v>315</v>
      </c>
      <c r="R300" s="86">
        <f t="shared" si="44"/>
        <v>100</v>
      </c>
      <c r="S300" s="83">
        <f t="shared" si="45"/>
        <v>695</v>
      </c>
      <c r="T300" s="83">
        <f>50</f>
        <v>50</v>
      </c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</row>
    <row r="301" spans="1:30" ht="15.75" x14ac:dyDescent="0.25">
      <c r="A301" s="34">
        <v>50072</v>
      </c>
      <c r="B301" s="97">
        <v>28</v>
      </c>
      <c r="C301" s="83">
        <f>122.58</f>
        <v>122.58</v>
      </c>
      <c r="D301" s="83">
        <f>297.941</f>
        <v>297.94099999999997</v>
      </c>
      <c r="E301" s="92">
        <f>89.177</f>
        <v>89.177000000000007</v>
      </c>
      <c r="F301" s="83">
        <f>240.302-40-60-100</f>
        <v>40.301999999999992</v>
      </c>
      <c r="G301" s="86">
        <v>40</v>
      </c>
      <c r="H301" s="83">
        <f>60+100</f>
        <v>160</v>
      </c>
      <c r="I301" s="83">
        <f t="shared" si="39"/>
        <v>0</v>
      </c>
      <c r="J301" s="86">
        <v>100</v>
      </c>
      <c r="K301" s="86">
        <v>300</v>
      </c>
      <c r="L301" s="83">
        <f t="shared" si="42"/>
        <v>1150</v>
      </c>
      <c r="M301" s="94">
        <v>600</v>
      </c>
      <c r="N301" s="83">
        <f>100</f>
        <v>100</v>
      </c>
      <c r="O301" s="86">
        <v>240</v>
      </c>
      <c r="P301" s="86">
        <v>40</v>
      </c>
      <c r="Q301" s="86">
        <f t="shared" si="43"/>
        <v>315</v>
      </c>
      <c r="R301" s="86">
        <f t="shared" si="44"/>
        <v>100</v>
      </c>
      <c r="S301" s="83">
        <f t="shared" si="45"/>
        <v>695</v>
      </c>
      <c r="T301" s="83">
        <f>50</f>
        <v>50</v>
      </c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</row>
    <row r="302" spans="1:30" ht="15.75" x14ac:dyDescent="0.25">
      <c r="A302" s="34">
        <v>50100</v>
      </c>
      <c r="B302" s="97">
        <v>31</v>
      </c>
      <c r="C302" s="83">
        <f>122.58</f>
        <v>122.58</v>
      </c>
      <c r="D302" s="83">
        <f>297.941</f>
        <v>297.94099999999997</v>
      </c>
      <c r="E302" s="92">
        <f>89.177</f>
        <v>89.177000000000007</v>
      </c>
      <c r="F302" s="83">
        <f>240.302-40-60-100</f>
        <v>40.301999999999992</v>
      </c>
      <c r="G302" s="86">
        <v>40</v>
      </c>
      <c r="H302" s="83">
        <f>60+100</f>
        <v>160</v>
      </c>
      <c r="I302" s="83">
        <f t="shared" si="39"/>
        <v>0</v>
      </c>
      <c r="J302" s="86">
        <v>100</v>
      </c>
      <c r="K302" s="86">
        <v>300</v>
      </c>
      <c r="L302" s="83">
        <f t="shared" si="42"/>
        <v>1150</v>
      </c>
      <c r="M302" s="94">
        <v>600</v>
      </c>
      <c r="N302" s="83">
        <f>100</f>
        <v>100</v>
      </c>
      <c r="O302" s="86">
        <v>240</v>
      </c>
      <c r="P302" s="86">
        <v>40</v>
      </c>
      <c r="Q302" s="86">
        <f t="shared" si="43"/>
        <v>315</v>
      </c>
      <c r="R302" s="86">
        <f t="shared" si="44"/>
        <v>100</v>
      </c>
      <c r="S302" s="83">
        <f t="shared" si="45"/>
        <v>695</v>
      </c>
      <c r="T302" s="83">
        <f>50</f>
        <v>50</v>
      </c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</row>
    <row r="303" spans="1:30" ht="15.75" x14ac:dyDescent="0.25">
      <c r="A303" s="34">
        <v>50131</v>
      </c>
      <c r="B303" s="97">
        <v>30</v>
      </c>
      <c r="C303" s="83">
        <f>141.293</f>
        <v>141.29300000000001</v>
      </c>
      <c r="D303" s="83">
        <f>267.993</f>
        <v>267.99299999999999</v>
      </c>
      <c r="E303" s="92">
        <f>115.016</f>
        <v>115.01600000000001</v>
      </c>
      <c r="F303" s="83">
        <f>314.698-40-25-60-100</f>
        <v>89.697999999999979</v>
      </c>
      <c r="G303" s="86">
        <v>40</v>
      </c>
      <c r="H303" s="83">
        <f t="shared" ref="H303:H309" si="48">25+60+100</f>
        <v>185</v>
      </c>
      <c r="I303" s="83">
        <f t="shared" si="39"/>
        <v>0</v>
      </c>
      <c r="J303" s="86">
        <v>100</v>
      </c>
      <c r="K303" s="86">
        <v>300</v>
      </c>
      <c r="L303" s="83">
        <f t="shared" si="42"/>
        <v>1239</v>
      </c>
      <c r="M303" s="94">
        <v>600</v>
      </c>
      <c r="N303" s="83">
        <f>100</f>
        <v>100</v>
      </c>
      <c r="O303" s="86">
        <v>240</v>
      </c>
      <c r="P303" s="86">
        <v>160</v>
      </c>
      <c r="Q303" s="86">
        <f t="shared" si="43"/>
        <v>195</v>
      </c>
      <c r="R303" s="86">
        <f t="shared" si="44"/>
        <v>100</v>
      </c>
      <c r="S303" s="83">
        <f t="shared" si="45"/>
        <v>695</v>
      </c>
      <c r="T303" s="83">
        <f>50</f>
        <v>50</v>
      </c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</row>
    <row r="304" spans="1:30" ht="15.75" x14ac:dyDescent="0.25">
      <c r="A304" s="34">
        <v>50161</v>
      </c>
      <c r="B304" s="97">
        <v>31</v>
      </c>
      <c r="C304" s="83">
        <f>194.205</f>
        <v>194.20500000000001</v>
      </c>
      <c r="D304" s="83">
        <f>267.466</f>
        <v>267.46600000000001</v>
      </c>
      <c r="E304" s="92">
        <f>133.845</f>
        <v>133.845</v>
      </c>
      <c r="F304" s="83">
        <f>278.484-40-25-60-100</f>
        <v>53.48399999999998</v>
      </c>
      <c r="G304" s="86">
        <v>40</v>
      </c>
      <c r="H304" s="83">
        <f t="shared" si="48"/>
        <v>185</v>
      </c>
      <c r="I304" s="83">
        <f t="shared" si="39"/>
        <v>0</v>
      </c>
      <c r="J304" s="86">
        <v>100</v>
      </c>
      <c r="K304" s="86">
        <v>300</v>
      </c>
      <c r="L304" s="83">
        <f t="shared" si="42"/>
        <v>1274</v>
      </c>
      <c r="M304" s="94">
        <v>600</v>
      </c>
      <c r="N304" s="83">
        <f>75</f>
        <v>75</v>
      </c>
      <c r="O304" s="86">
        <v>240</v>
      </c>
      <c r="P304" s="86">
        <v>160</v>
      </c>
      <c r="Q304" s="86">
        <f t="shared" si="43"/>
        <v>195</v>
      </c>
      <c r="R304" s="86">
        <f t="shared" si="44"/>
        <v>100</v>
      </c>
      <c r="S304" s="83">
        <f t="shared" si="45"/>
        <v>695</v>
      </c>
      <c r="T304" s="83">
        <f>50</f>
        <v>50</v>
      </c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</row>
    <row r="305" spans="1:30" ht="15.75" x14ac:dyDescent="0.25">
      <c r="A305" s="34">
        <v>50192</v>
      </c>
      <c r="B305" s="97">
        <v>30</v>
      </c>
      <c r="C305" s="83">
        <f>194.205</f>
        <v>194.20500000000001</v>
      </c>
      <c r="D305" s="83">
        <f>267.466</f>
        <v>267.46600000000001</v>
      </c>
      <c r="E305" s="92">
        <f>133.845</f>
        <v>133.845</v>
      </c>
      <c r="F305" s="83">
        <f>278.484-40-25-60-100</f>
        <v>53.48399999999998</v>
      </c>
      <c r="G305" s="86">
        <v>40</v>
      </c>
      <c r="H305" s="83">
        <f t="shared" si="48"/>
        <v>185</v>
      </c>
      <c r="I305" s="83">
        <f t="shared" si="39"/>
        <v>0</v>
      </c>
      <c r="J305" s="86">
        <v>100</v>
      </c>
      <c r="K305" s="86">
        <v>300</v>
      </c>
      <c r="L305" s="83">
        <f t="shared" si="42"/>
        <v>1274</v>
      </c>
      <c r="M305" s="94">
        <v>600</v>
      </c>
      <c r="N305" s="83">
        <f>30</f>
        <v>30</v>
      </c>
      <c r="O305" s="86">
        <v>240</v>
      </c>
      <c r="P305" s="86">
        <v>160</v>
      </c>
      <c r="Q305" s="86">
        <f t="shared" si="43"/>
        <v>195</v>
      </c>
      <c r="R305" s="86">
        <f t="shared" si="44"/>
        <v>100</v>
      </c>
      <c r="S305" s="83">
        <f t="shared" si="45"/>
        <v>695</v>
      </c>
      <c r="T305" s="83">
        <f>50</f>
        <v>50</v>
      </c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</row>
    <row r="306" spans="1:30" ht="15.75" x14ac:dyDescent="0.25">
      <c r="A306" s="34">
        <v>50222</v>
      </c>
      <c r="B306" s="97">
        <v>31</v>
      </c>
      <c r="C306" s="83">
        <f>194.205</f>
        <v>194.20500000000001</v>
      </c>
      <c r="D306" s="83">
        <f>267.466</f>
        <v>267.46600000000001</v>
      </c>
      <c r="E306" s="92">
        <f>133.845</f>
        <v>133.845</v>
      </c>
      <c r="F306" s="83">
        <f>278.484-40-25-60-100</f>
        <v>53.48399999999998</v>
      </c>
      <c r="G306" s="86">
        <v>40</v>
      </c>
      <c r="H306" s="83">
        <f t="shared" si="48"/>
        <v>185</v>
      </c>
      <c r="I306" s="83">
        <f t="shared" si="39"/>
        <v>0</v>
      </c>
      <c r="J306" s="86">
        <v>100</v>
      </c>
      <c r="K306" s="86">
        <v>300</v>
      </c>
      <c r="L306" s="83">
        <f t="shared" si="42"/>
        <v>1274</v>
      </c>
      <c r="M306" s="94">
        <v>600</v>
      </c>
      <c r="N306" s="83">
        <f>30</f>
        <v>30</v>
      </c>
      <c r="O306" s="86">
        <v>240</v>
      </c>
      <c r="P306" s="86">
        <v>160</v>
      </c>
      <c r="Q306" s="86">
        <f t="shared" si="43"/>
        <v>195</v>
      </c>
      <c r="R306" s="86">
        <f t="shared" si="44"/>
        <v>100</v>
      </c>
      <c r="S306" s="83">
        <f t="shared" si="45"/>
        <v>695</v>
      </c>
      <c r="T306" s="83">
        <f>0</f>
        <v>0</v>
      </c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</row>
    <row r="307" spans="1:30" ht="15.75" x14ac:dyDescent="0.25">
      <c r="A307" s="34">
        <v>50253</v>
      </c>
      <c r="B307" s="97">
        <v>31</v>
      </c>
      <c r="C307" s="83">
        <f>194.205</f>
        <v>194.20500000000001</v>
      </c>
      <c r="D307" s="83">
        <f>267.466</f>
        <v>267.46600000000001</v>
      </c>
      <c r="E307" s="92">
        <f>133.845</f>
        <v>133.845</v>
      </c>
      <c r="F307" s="83">
        <f>278.484-40-25-60-100</f>
        <v>53.48399999999998</v>
      </c>
      <c r="G307" s="86">
        <v>40</v>
      </c>
      <c r="H307" s="83">
        <f t="shared" si="48"/>
        <v>185</v>
      </c>
      <c r="I307" s="83">
        <f t="shared" si="39"/>
        <v>0</v>
      </c>
      <c r="J307" s="86">
        <v>100</v>
      </c>
      <c r="K307" s="86">
        <v>300</v>
      </c>
      <c r="L307" s="83">
        <f t="shared" si="42"/>
        <v>1274</v>
      </c>
      <c r="M307" s="94">
        <v>600</v>
      </c>
      <c r="N307" s="83">
        <f>30</f>
        <v>30</v>
      </c>
      <c r="O307" s="86">
        <v>240</v>
      </c>
      <c r="P307" s="86">
        <v>160</v>
      </c>
      <c r="Q307" s="86">
        <f t="shared" si="43"/>
        <v>195</v>
      </c>
      <c r="R307" s="86">
        <f t="shared" si="44"/>
        <v>100</v>
      </c>
      <c r="S307" s="83">
        <f t="shared" si="45"/>
        <v>695</v>
      </c>
      <c r="T307" s="83">
        <f>0</f>
        <v>0</v>
      </c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</row>
    <row r="308" spans="1:30" ht="15.75" x14ac:dyDescent="0.25">
      <c r="A308" s="34">
        <v>50284</v>
      </c>
      <c r="B308" s="97">
        <v>30</v>
      </c>
      <c r="C308" s="83">
        <f>194.205</f>
        <v>194.20500000000001</v>
      </c>
      <c r="D308" s="83">
        <f>267.466</f>
        <v>267.46600000000001</v>
      </c>
      <c r="E308" s="92">
        <f>133.845</f>
        <v>133.845</v>
      </c>
      <c r="F308" s="83">
        <f>278.484-40-25-60-100</f>
        <v>53.48399999999998</v>
      </c>
      <c r="G308" s="86">
        <v>40</v>
      </c>
      <c r="H308" s="83">
        <f t="shared" si="48"/>
        <v>185</v>
      </c>
      <c r="I308" s="83">
        <f t="shared" ref="I308:I371" si="49">400-J308-K308</f>
        <v>0</v>
      </c>
      <c r="J308" s="86">
        <v>100</v>
      </c>
      <c r="K308" s="86">
        <v>300</v>
      </c>
      <c r="L308" s="83">
        <f t="shared" si="42"/>
        <v>1274</v>
      </c>
      <c r="M308" s="94">
        <v>600</v>
      </c>
      <c r="N308" s="83">
        <f>30</f>
        <v>30</v>
      </c>
      <c r="O308" s="86">
        <v>240</v>
      </c>
      <c r="P308" s="86">
        <v>160</v>
      </c>
      <c r="Q308" s="86">
        <f t="shared" si="43"/>
        <v>195</v>
      </c>
      <c r="R308" s="86">
        <f t="shared" si="44"/>
        <v>100</v>
      </c>
      <c r="S308" s="83">
        <f t="shared" si="45"/>
        <v>695</v>
      </c>
      <c r="T308" s="83">
        <f>0</f>
        <v>0</v>
      </c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</row>
    <row r="309" spans="1:30" ht="15.75" x14ac:dyDescent="0.25">
      <c r="A309" s="34">
        <v>50314</v>
      </c>
      <c r="B309" s="97">
        <v>31</v>
      </c>
      <c r="C309" s="83">
        <f>131.881</f>
        <v>131.881</v>
      </c>
      <c r="D309" s="83">
        <f>277.167</f>
        <v>277.16699999999997</v>
      </c>
      <c r="E309" s="92">
        <f>79.08</f>
        <v>79.08</v>
      </c>
      <c r="F309" s="83">
        <f>350.872-40-25-60-100</f>
        <v>125.87200000000001</v>
      </c>
      <c r="G309" s="86">
        <v>40</v>
      </c>
      <c r="H309" s="83">
        <f t="shared" si="48"/>
        <v>185</v>
      </c>
      <c r="I309" s="83">
        <f t="shared" si="49"/>
        <v>0</v>
      </c>
      <c r="J309" s="86">
        <v>100</v>
      </c>
      <c r="K309" s="86">
        <v>300</v>
      </c>
      <c r="L309" s="83">
        <f t="shared" si="42"/>
        <v>1239</v>
      </c>
      <c r="M309" s="94">
        <v>600</v>
      </c>
      <c r="N309" s="83">
        <f>75</f>
        <v>75</v>
      </c>
      <c r="O309" s="86">
        <v>240</v>
      </c>
      <c r="P309" s="86">
        <v>160</v>
      </c>
      <c r="Q309" s="86">
        <f t="shared" si="43"/>
        <v>195</v>
      </c>
      <c r="R309" s="86">
        <f t="shared" si="44"/>
        <v>100</v>
      </c>
      <c r="S309" s="83">
        <f t="shared" si="45"/>
        <v>695</v>
      </c>
      <c r="T309" s="83">
        <f>0</f>
        <v>0</v>
      </c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</row>
    <row r="310" spans="1:30" ht="15.75" x14ac:dyDescent="0.25">
      <c r="A310" s="34">
        <v>50345</v>
      </c>
      <c r="B310" s="97">
        <v>30</v>
      </c>
      <c r="C310" s="83">
        <f>122.58</f>
        <v>122.58</v>
      </c>
      <c r="D310" s="83">
        <f>297.941</f>
        <v>297.94099999999997</v>
      </c>
      <c r="E310" s="92">
        <f>89.177</f>
        <v>89.177000000000007</v>
      </c>
      <c r="F310" s="83">
        <f>240.302-40-60-100</f>
        <v>40.301999999999992</v>
      </c>
      <c r="G310" s="86">
        <v>40</v>
      </c>
      <c r="H310" s="83">
        <f>60+100</f>
        <v>160</v>
      </c>
      <c r="I310" s="83">
        <f t="shared" si="49"/>
        <v>0</v>
      </c>
      <c r="J310" s="86">
        <v>100</v>
      </c>
      <c r="K310" s="86">
        <v>300</v>
      </c>
      <c r="L310" s="83">
        <f t="shared" si="42"/>
        <v>1150</v>
      </c>
      <c r="M310" s="94">
        <v>600</v>
      </c>
      <c r="N310" s="83">
        <f>100</f>
        <v>100</v>
      </c>
      <c r="O310" s="86">
        <v>240</v>
      </c>
      <c r="P310" s="86">
        <v>40</v>
      </c>
      <c r="Q310" s="86">
        <f t="shared" si="43"/>
        <v>315</v>
      </c>
      <c r="R310" s="86">
        <f t="shared" si="44"/>
        <v>100</v>
      </c>
      <c r="S310" s="83">
        <f t="shared" si="45"/>
        <v>695</v>
      </c>
      <c r="T310" s="83">
        <f>50</f>
        <v>50</v>
      </c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</row>
    <row r="311" spans="1:30" ht="15.75" x14ac:dyDescent="0.25">
      <c r="A311" s="34">
        <v>50375</v>
      </c>
      <c r="B311" s="97">
        <v>31</v>
      </c>
      <c r="C311" s="83">
        <f>122.58</f>
        <v>122.58</v>
      </c>
      <c r="D311" s="83">
        <f>297.941</f>
        <v>297.94099999999997</v>
      </c>
      <c r="E311" s="92">
        <f>89.177</f>
        <v>89.177000000000007</v>
      </c>
      <c r="F311" s="83">
        <f>240.302-40-60-100</f>
        <v>40.301999999999992</v>
      </c>
      <c r="G311" s="86">
        <v>40</v>
      </c>
      <c r="H311" s="83">
        <f>60+100</f>
        <v>160</v>
      </c>
      <c r="I311" s="83">
        <f t="shared" si="49"/>
        <v>0</v>
      </c>
      <c r="J311" s="86">
        <v>100</v>
      </c>
      <c r="K311" s="86">
        <v>300</v>
      </c>
      <c r="L311" s="83">
        <f t="shared" si="42"/>
        <v>1150</v>
      </c>
      <c r="M311" s="94">
        <v>600</v>
      </c>
      <c r="N311" s="83">
        <f>100</f>
        <v>100</v>
      </c>
      <c r="O311" s="86">
        <v>240</v>
      </c>
      <c r="P311" s="86">
        <v>40</v>
      </c>
      <c r="Q311" s="86">
        <f t="shared" si="43"/>
        <v>315</v>
      </c>
      <c r="R311" s="86">
        <f t="shared" si="44"/>
        <v>100</v>
      </c>
      <c r="S311" s="83">
        <f t="shared" si="45"/>
        <v>695</v>
      </c>
      <c r="T311" s="83">
        <f>50</f>
        <v>50</v>
      </c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</row>
    <row r="312" spans="1:30" ht="15.75" x14ac:dyDescent="0.25">
      <c r="A312" s="33">
        <v>50436</v>
      </c>
      <c r="B312" s="96">
        <v>31</v>
      </c>
      <c r="C312" s="83">
        <f>122.58</f>
        <v>122.58</v>
      </c>
      <c r="D312" s="83">
        <f>297.941</f>
        <v>297.94099999999997</v>
      </c>
      <c r="E312" s="92">
        <f>89.177</f>
        <v>89.177000000000007</v>
      </c>
      <c r="F312" s="83">
        <f>240.302-40-60-100</f>
        <v>40.301999999999992</v>
      </c>
      <c r="G312" s="86">
        <v>40</v>
      </c>
      <c r="H312" s="83">
        <f>60+100</f>
        <v>160</v>
      </c>
      <c r="I312" s="83">
        <f t="shared" si="49"/>
        <v>0</v>
      </c>
      <c r="J312" s="86">
        <v>100</v>
      </c>
      <c r="K312" s="86">
        <v>300</v>
      </c>
      <c r="L312" s="83">
        <f t="shared" si="42"/>
        <v>1150</v>
      </c>
      <c r="M312" s="94">
        <v>600</v>
      </c>
      <c r="N312" s="83">
        <f>100</f>
        <v>100</v>
      </c>
      <c r="O312" s="86">
        <v>240</v>
      </c>
      <c r="P312" s="86">
        <v>40</v>
      </c>
      <c r="Q312" s="86">
        <f t="shared" si="43"/>
        <v>315</v>
      </c>
      <c r="R312" s="86">
        <f t="shared" si="44"/>
        <v>100</v>
      </c>
      <c r="S312" s="83">
        <f t="shared" si="45"/>
        <v>695</v>
      </c>
      <c r="T312" s="83">
        <f>50</f>
        <v>50</v>
      </c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</row>
    <row r="313" spans="1:30" ht="15.75" x14ac:dyDescent="0.25">
      <c r="A313" s="33">
        <v>50464</v>
      </c>
      <c r="B313" s="96">
        <v>28</v>
      </c>
      <c r="C313" s="83">
        <f>122.58</f>
        <v>122.58</v>
      </c>
      <c r="D313" s="83">
        <f>297.941</f>
        <v>297.94099999999997</v>
      </c>
      <c r="E313" s="92">
        <f>89.177</f>
        <v>89.177000000000007</v>
      </c>
      <c r="F313" s="83">
        <f>240.302-40-60-100</f>
        <v>40.301999999999992</v>
      </c>
      <c r="G313" s="86">
        <v>40</v>
      </c>
      <c r="H313" s="83">
        <f>60+100</f>
        <v>160</v>
      </c>
      <c r="I313" s="83">
        <f t="shared" si="49"/>
        <v>0</v>
      </c>
      <c r="J313" s="86">
        <v>100</v>
      </c>
      <c r="K313" s="86">
        <v>300</v>
      </c>
      <c r="L313" s="83">
        <f t="shared" si="42"/>
        <v>1150</v>
      </c>
      <c r="M313" s="94">
        <v>600</v>
      </c>
      <c r="N313" s="83">
        <f>100</f>
        <v>100</v>
      </c>
      <c r="O313" s="86">
        <v>240</v>
      </c>
      <c r="P313" s="86">
        <v>40</v>
      </c>
      <c r="Q313" s="86">
        <f t="shared" si="43"/>
        <v>315</v>
      </c>
      <c r="R313" s="86">
        <f t="shared" si="44"/>
        <v>100</v>
      </c>
      <c r="S313" s="83">
        <f t="shared" si="45"/>
        <v>695</v>
      </c>
      <c r="T313" s="83">
        <f>50</f>
        <v>50</v>
      </c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</row>
    <row r="314" spans="1:30" ht="15.75" x14ac:dyDescent="0.25">
      <c r="A314" s="33">
        <v>50495</v>
      </c>
      <c r="B314" s="96">
        <v>31</v>
      </c>
      <c r="C314" s="83">
        <f>122.58</f>
        <v>122.58</v>
      </c>
      <c r="D314" s="83">
        <f>297.941</f>
        <v>297.94099999999997</v>
      </c>
      <c r="E314" s="92">
        <f>89.177</f>
        <v>89.177000000000007</v>
      </c>
      <c r="F314" s="83">
        <f>240.302-40-60-100</f>
        <v>40.301999999999992</v>
      </c>
      <c r="G314" s="86">
        <v>40</v>
      </c>
      <c r="H314" s="83">
        <f>60+100</f>
        <v>160</v>
      </c>
      <c r="I314" s="83">
        <f t="shared" si="49"/>
        <v>0</v>
      </c>
      <c r="J314" s="86">
        <v>100</v>
      </c>
      <c r="K314" s="86">
        <v>300</v>
      </c>
      <c r="L314" s="83">
        <f t="shared" si="42"/>
        <v>1150</v>
      </c>
      <c r="M314" s="94">
        <v>600</v>
      </c>
      <c r="N314" s="83">
        <f>100</f>
        <v>100</v>
      </c>
      <c r="O314" s="86">
        <v>240</v>
      </c>
      <c r="P314" s="86">
        <v>40</v>
      </c>
      <c r="Q314" s="86">
        <f t="shared" si="43"/>
        <v>315</v>
      </c>
      <c r="R314" s="86">
        <f t="shared" si="44"/>
        <v>100</v>
      </c>
      <c r="S314" s="83">
        <f t="shared" si="45"/>
        <v>695</v>
      </c>
      <c r="T314" s="83">
        <f>50</f>
        <v>50</v>
      </c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</row>
    <row r="315" spans="1:30" ht="15.75" x14ac:dyDescent="0.25">
      <c r="A315" s="33">
        <v>50525</v>
      </c>
      <c r="B315" s="96">
        <v>30</v>
      </c>
      <c r="C315" s="83">
        <f>141.293</f>
        <v>141.29300000000001</v>
      </c>
      <c r="D315" s="83">
        <f>267.993</f>
        <v>267.99299999999999</v>
      </c>
      <c r="E315" s="92">
        <f>115.016</f>
        <v>115.01600000000001</v>
      </c>
      <c r="F315" s="83">
        <f>314.698-40-25-60-100</f>
        <v>89.697999999999979</v>
      </c>
      <c r="G315" s="86">
        <v>40</v>
      </c>
      <c r="H315" s="83">
        <f t="shared" ref="H315:H321" si="50">25+60+100</f>
        <v>185</v>
      </c>
      <c r="I315" s="83">
        <f t="shared" si="49"/>
        <v>0</v>
      </c>
      <c r="J315" s="86">
        <v>100</v>
      </c>
      <c r="K315" s="86">
        <v>300</v>
      </c>
      <c r="L315" s="83">
        <f t="shared" si="42"/>
        <v>1239</v>
      </c>
      <c r="M315" s="94">
        <v>600</v>
      </c>
      <c r="N315" s="83">
        <f>100</f>
        <v>100</v>
      </c>
      <c r="O315" s="86">
        <v>240</v>
      </c>
      <c r="P315" s="86">
        <v>160</v>
      </c>
      <c r="Q315" s="86">
        <f t="shared" si="43"/>
        <v>195</v>
      </c>
      <c r="R315" s="86">
        <f t="shared" si="44"/>
        <v>100</v>
      </c>
      <c r="S315" s="83">
        <f t="shared" si="45"/>
        <v>695</v>
      </c>
      <c r="T315" s="83">
        <f>50</f>
        <v>50</v>
      </c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</row>
    <row r="316" spans="1:30" ht="15.75" x14ac:dyDescent="0.25">
      <c r="A316" s="33">
        <v>50556</v>
      </c>
      <c r="B316" s="96">
        <v>31</v>
      </c>
      <c r="C316" s="83">
        <f>194.205</f>
        <v>194.20500000000001</v>
      </c>
      <c r="D316" s="83">
        <f>267.466</f>
        <v>267.46600000000001</v>
      </c>
      <c r="E316" s="92">
        <f>133.845</f>
        <v>133.845</v>
      </c>
      <c r="F316" s="83">
        <f>278.484-40-25-60-100</f>
        <v>53.48399999999998</v>
      </c>
      <c r="G316" s="86">
        <v>40</v>
      </c>
      <c r="H316" s="83">
        <f t="shared" si="50"/>
        <v>185</v>
      </c>
      <c r="I316" s="83">
        <f t="shared" si="49"/>
        <v>0</v>
      </c>
      <c r="J316" s="86">
        <v>100</v>
      </c>
      <c r="K316" s="86">
        <v>300</v>
      </c>
      <c r="L316" s="83">
        <f t="shared" si="42"/>
        <v>1274</v>
      </c>
      <c r="M316" s="94">
        <v>600</v>
      </c>
      <c r="N316" s="83">
        <f>75</f>
        <v>75</v>
      </c>
      <c r="O316" s="86">
        <v>240</v>
      </c>
      <c r="P316" s="86">
        <v>160</v>
      </c>
      <c r="Q316" s="86">
        <f t="shared" si="43"/>
        <v>195</v>
      </c>
      <c r="R316" s="86">
        <f t="shared" si="44"/>
        <v>100</v>
      </c>
      <c r="S316" s="83">
        <f t="shared" si="45"/>
        <v>695</v>
      </c>
      <c r="T316" s="83">
        <f>50</f>
        <v>50</v>
      </c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</row>
    <row r="317" spans="1:30" ht="15.75" x14ac:dyDescent="0.25">
      <c r="A317" s="33">
        <v>50586</v>
      </c>
      <c r="B317" s="96">
        <v>30</v>
      </c>
      <c r="C317" s="83">
        <f>194.205</f>
        <v>194.20500000000001</v>
      </c>
      <c r="D317" s="83">
        <f>267.466</f>
        <v>267.46600000000001</v>
      </c>
      <c r="E317" s="92">
        <f>133.845</f>
        <v>133.845</v>
      </c>
      <c r="F317" s="83">
        <f>278.484-40-25-60-100</f>
        <v>53.48399999999998</v>
      </c>
      <c r="G317" s="86">
        <v>40</v>
      </c>
      <c r="H317" s="83">
        <f t="shared" si="50"/>
        <v>185</v>
      </c>
      <c r="I317" s="83">
        <f t="shared" si="49"/>
        <v>0</v>
      </c>
      <c r="J317" s="86">
        <v>100</v>
      </c>
      <c r="K317" s="86">
        <v>300</v>
      </c>
      <c r="L317" s="83">
        <f t="shared" si="42"/>
        <v>1274</v>
      </c>
      <c r="M317" s="94">
        <v>600</v>
      </c>
      <c r="N317" s="83">
        <f>30</f>
        <v>30</v>
      </c>
      <c r="O317" s="86">
        <v>240</v>
      </c>
      <c r="P317" s="86">
        <v>160</v>
      </c>
      <c r="Q317" s="86">
        <f t="shared" si="43"/>
        <v>195</v>
      </c>
      <c r="R317" s="86">
        <f t="shared" si="44"/>
        <v>100</v>
      </c>
      <c r="S317" s="83">
        <f t="shared" si="45"/>
        <v>695</v>
      </c>
      <c r="T317" s="83">
        <f>50</f>
        <v>50</v>
      </c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</row>
    <row r="318" spans="1:30" ht="15.75" x14ac:dyDescent="0.25">
      <c r="A318" s="33">
        <v>50617</v>
      </c>
      <c r="B318" s="96">
        <v>31</v>
      </c>
      <c r="C318" s="83">
        <f>194.205</f>
        <v>194.20500000000001</v>
      </c>
      <c r="D318" s="83">
        <f>267.466</f>
        <v>267.46600000000001</v>
      </c>
      <c r="E318" s="92">
        <f>133.845</f>
        <v>133.845</v>
      </c>
      <c r="F318" s="83">
        <f>278.484-40-25-60-100</f>
        <v>53.48399999999998</v>
      </c>
      <c r="G318" s="86">
        <v>40</v>
      </c>
      <c r="H318" s="83">
        <f t="shared" si="50"/>
        <v>185</v>
      </c>
      <c r="I318" s="83">
        <f t="shared" si="49"/>
        <v>0</v>
      </c>
      <c r="J318" s="86">
        <v>100</v>
      </c>
      <c r="K318" s="86">
        <v>300</v>
      </c>
      <c r="L318" s="83">
        <f t="shared" si="42"/>
        <v>1274</v>
      </c>
      <c r="M318" s="94">
        <v>600</v>
      </c>
      <c r="N318" s="83">
        <f>30</f>
        <v>30</v>
      </c>
      <c r="O318" s="86">
        <v>240</v>
      </c>
      <c r="P318" s="86">
        <v>160</v>
      </c>
      <c r="Q318" s="86">
        <f t="shared" si="43"/>
        <v>195</v>
      </c>
      <c r="R318" s="86">
        <f t="shared" si="44"/>
        <v>100</v>
      </c>
      <c r="S318" s="83">
        <f t="shared" si="45"/>
        <v>695</v>
      </c>
      <c r="T318" s="83">
        <f>0</f>
        <v>0</v>
      </c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</row>
    <row r="319" spans="1:30" ht="15.75" x14ac:dyDescent="0.25">
      <c r="A319" s="33">
        <v>50648</v>
      </c>
      <c r="B319" s="96">
        <v>31</v>
      </c>
      <c r="C319" s="83">
        <f>194.205</f>
        <v>194.20500000000001</v>
      </c>
      <c r="D319" s="83">
        <f>267.466</f>
        <v>267.46600000000001</v>
      </c>
      <c r="E319" s="92">
        <f>133.845</f>
        <v>133.845</v>
      </c>
      <c r="F319" s="83">
        <f>278.484-40-25-60-100</f>
        <v>53.48399999999998</v>
      </c>
      <c r="G319" s="86">
        <v>40</v>
      </c>
      <c r="H319" s="83">
        <f t="shared" si="50"/>
        <v>185</v>
      </c>
      <c r="I319" s="83">
        <f t="shared" si="49"/>
        <v>0</v>
      </c>
      <c r="J319" s="86">
        <v>100</v>
      </c>
      <c r="K319" s="86">
        <v>300</v>
      </c>
      <c r="L319" s="83">
        <f t="shared" si="42"/>
        <v>1274</v>
      </c>
      <c r="M319" s="94">
        <v>600</v>
      </c>
      <c r="N319" s="83">
        <f>30</f>
        <v>30</v>
      </c>
      <c r="O319" s="86">
        <v>240</v>
      </c>
      <c r="P319" s="86">
        <v>160</v>
      </c>
      <c r="Q319" s="86">
        <f t="shared" si="43"/>
        <v>195</v>
      </c>
      <c r="R319" s="86">
        <f t="shared" si="44"/>
        <v>100</v>
      </c>
      <c r="S319" s="83">
        <f t="shared" si="45"/>
        <v>695</v>
      </c>
      <c r="T319" s="83">
        <f>0</f>
        <v>0</v>
      </c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</row>
    <row r="320" spans="1:30" ht="15.75" x14ac:dyDescent="0.25">
      <c r="A320" s="33">
        <v>50678</v>
      </c>
      <c r="B320" s="96">
        <v>30</v>
      </c>
      <c r="C320" s="83">
        <f>194.205</f>
        <v>194.20500000000001</v>
      </c>
      <c r="D320" s="83">
        <f>267.466</f>
        <v>267.46600000000001</v>
      </c>
      <c r="E320" s="92">
        <f>133.845</f>
        <v>133.845</v>
      </c>
      <c r="F320" s="83">
        <f>278.484-40-25-60-100</f>
        <v>53.48399999999998</v>
      </c>
      <c r="G320" s="86">
        <v>40</v>
      </c>
      <c r="H320" s="83">
        <f t="shared" si="50"/>
        <v>185</v>
      </c>
      <c r="I320" s="83">
        <f t="shared" si="49"/>
        <v>0</v>
      </c>
      <c r="J320" s="86">
        <v>100</v>
      </c>
      <c r="K320" s="86">
        <v>300</v>
      </c>
      <c r="L320" s="83">
        <f t="shared" si="42"/>
        <v>1274</v>
      </c>
      <c r="M320" s="94">
        <v>600</v>
      </c>
      <c r="N320" s="83">
        <f>30</f>
        <v>30</v>
      </c>
      <c r="O320" s="86">
        <v>240</v>
      </c>
      <c r="P320" s="86">
        <v>160</v>
      </c>
      <c r="Q320" s="86">
        <f t="shared" si="43"/>
        <v>195</v>
      </c>
      <c r="R320" s="86">
        <f t="shared" si="44"/>
        <v>100</v>
      </c>
      <c r="S320" s="83">
        <f t="shared" si="45"/>
        <v>695</v>
      </c>
      <c r="T320" s="83">
        <f>0</f>
        <v>0</v>
      </c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</row>
    <row r="321" spans="1:30" ht="15.75" x14ac:dyDescent="0.25">
      <c r="A321" s="33">
        <v>50709</v>
      </c>
      <c r="B321" s="96">
        <v>31</v>
      </c>
      <c r="C321" s="83">
        <f>131.881</f>
        <v>131.881</v>
      </c>
      <c r="D321" s="83">
        <f>277.167</f>
        <v>277.16699999999997</v>
      </c>
      <c r="E321" s="92">
        <f>79.08</f>
        <v>79.08</v>
      </c>
      <c r="F321" s="83">
        <f>350.872-40-25-60-100</f>
        <v>125.87200000000001</v>
      </c>
      <c r="G321" s="86">
        <v>40</v>
      </c>
      <c r="H321" s="83">
        <f t="shared" si="50"/>
        <v>185</v>
      </c>
      <c r="I321" s="83">
        <f t="shared" si="49"/>
        <v>0</v>
      </c>
      <c r="J321" s="86">
        <v>100</v>
      </c>
      <c r="K321" s="86">
        <v>300</v>
      </c>
      <c r="L321" s="83">
        <f t="shared" si="42"/>
        <v>1239</v>
      </c>
      <c r="M321" s="94">
        <v>600</v>
      </c>
      <c r="N321" s="83">
        <f>75</f>
        <v>75</v>
      </c>
      <c r="O321" s="86">
        <v>240</v>
      </c>
      <c r="P321" s="86">
        <v>160</v>
      </c>
      <c r="Q321" s="86">
        <f t="shared" si="43"/>
        <v>195</v>
      </c>
      <c r="R321" s="86">
        <f t="shared" si="44"/>
        <v>100</v>
      </c>
      <c r="S321" s="83">
        <f t="shared" si="45"/>
        <v>695</v>
      </c>
      <c r="T321" s="83">
        <f>0</f>
        <v>0</v>
      </c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</row>
    <row r="322" spans="1:30" ht="15.75" x14ac:dyDescent="0.25">
      <c r="A322" s="33">
        <v>50739</v>
      </c>
      <c r="B322" s="96">
        <v>30</v>
      </c>
      <c r="C322" s="83">
        <f>122.58</f>
        <v>122.58</v>
      </c>
      <c r="D322" s="83">
        <f>297.941</f>
        <v>297.94099999999997</v>
      </c>
      <c r="E322" s="92">
        <f>89.177</f>
        <v>89.177000000000007</v>
      </c>
      <c r="F322" s="83">
        <f>240.302-40-60-100</f>
        <v>40.301999999999992</v>
      </c>
      <c r="G322" s="86">
        <v>40</v>
      </c>
      <c r="H322" s="83">
        <f>60+100</f>
        <v>160</v>
      </c>
      <c r="I322" s="83">
        <f t="shared" si="49"/>
        <v>0</v>
      </c>
      <c r="J322" s="86">
        <v>100</v>
      </c>
      <c r="K322" s="86">
        <v>300</v>
      </c>
      <c r="L322" s="83">
        <f t="shared" si="42"/>
        <v>1150</v>
      </c>
      <c r="M322" s="94">
        <v>600</v>
      </c>
      <c r="N322" s="83">
        <f>100</f>
        <v>100</v>
      </c>
      <c r="O322" s="86">
        <v>240</v>
      </c>
      <c r="P322" s="86">
        <v>40</v>
      </c>
      <c r="Q322" s="86">
        <f t="shared" si="43"/>
        <v>315</v>
      </c>
      <c r="R322" s="86">
        <f t="shared" si="44"/>
        <v>100</v>
      </c>
      <c r="S322" s="83">
        <f t="shared" si="45"/>
        <v>695</v>
      </c>
      <c r="T322" s="83">
        <f>50</f>
        <v>50</v>
      </c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</row>
    <row r="323" spans="1:30" ht="15.75" x14ac:dyDescent="0.25">
      <c r="A323" s="33">
        <v>50770</v>
      </c>
      <c r="B323" s="96">
        <v>31</v>
      </c>
      <c r="C323" s="83">
        <f>122.58</f>
        <v>122.58</v>
      </c>
      <c r="D323" s="83">
        <f>297.941</f>
        <v>297.94099999999997</v>
      </c>
      <c r="E323" s="92">
        <f>89.177</f>
        <v>89.177000000000007</v>
      </c>
      <c r="F323" s="83">
        <f>240.302-40-60-100</f>
        <v>40.301999999999992</v>
      </c>
      <c r="G323" s="86">
        <v>40</v>
      </c>
      <c r="H323" s="83">
        <f>60+100</f>
        <v>160</v>
      </c>
      <c r="I323" s="83">
        <f t="shared" si="49"/>
        <v>0</v>
      </c>
      <c r="J323" s="86">
        <v>100</v>
      </c>
      <c r="K323" s="86">
        <v>300</v>
      </c>
      <c r="L323" s="83">
        <f t="shared" si="42"/>
        <v>1150</v>
      </c>
      <c r="M323" s="94">
        <v>600</v>
      </c>
      <c r="N323" s="83">
        <f>100</f>
        <v>100</v>
      </c>
      <c r="O323" s="86">
        <v>240</v>
      </c>
      <c r="P323" s="86">
        <v>40</v>
      </c>
      <c r="Q323" s="86">
        <f t="shared" si="43"/>
        <v>315</v>
      </c>
      <c r="R323" s="86">
        <f t="shared" si="44"/>
        <v>100</v>
      </c>
      <c r="S323" s="83">
        <f t="shared" si="45"/>
        <v>695</v>
      </c>
      <c r="T323" s="83">
        <f>50</f>
        <v>50</v>
      </c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</row>
    <row r="324" spans="1:30" ht="15.75" x14ac:dyDescent="0.25">
      <c r="A324" s="33">
        <v>50801</v>
      </c>
      <c r="B324" s="96">
        <v>31</v>
      </c>
      <c r="C324" s="83">
        <f>122.58</f>
        <v>122.58</v>
      </c>
      <c r="D324" s="83">
        <f>297.941</f>
        <v>297.94099999999997</v>
      </c>
      <c r="E324" s="92">
        <f>89.177</f>
        <v>89.177000000000007</v>
      </c>
      <c r="F324" s="83">
        <f>240.302-40-60-100</f>
        <v>40.301999999999992</v>
      </c>
      <c r="G324" s="86">
        <v>40</v>
      </c>
      <c r="H324" s="83">
        <f>60+100</f>
        <v>160</v>
      </c>
      <c r="I324" s="83">
        <f t="shared" si="49"/>
        <v>0</v>
      </c>
      <c r="J324" s="86">
        <v>100</v>
      </c>
      <c r="K324" s="86">
        <v>300</v>
      </c>
      <c r="L324" s="83">
        <f t="shared" si="42"/>
        <v>1150</v>
      </c>
      <c r="M324" s="94">
        <v>600</v>
      </c>
      <c r="N324" s="83">
        <f>100</f>
        <v>100</v>
      </c>
      <c r="O324" s="86">
        <v>240</v>
      </c>
      <c r="P324" s="86">
        <v>40</v>
      </c>
      <c r="Q324" s="86">
        <f t="shared" si="43"/>
        <v>315</v>
      </c>
      <c r="R324" s="86">
        <f t="shared" si="44"/>
        <v>100</v>
      </c>
      <c r="S324" s="83">
        <f t="shared" si="45"/>
        <v>695</v>
      </c>
      <c r="T324" s="83">
        <f>50</f>
        <v>50</v>
      </c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</row>
    <row r="325" spans="1:30" ht="15.75" x14ac:dyDescent="0.25">
      <c r="A325" s="33">
        <v>50829</v>
      </c>
      <c r="B325" s="96">
        <v>28</v>
      </c>
      <c r="C325" s="83">
        <f>122.58</f>
        <v>122.58</v>
      </c>
      <c r="D325" s="83">
        <f>297.941</f>
        <v>297.94099999999997</v>
      </c>
      <c r="E325" s="92">
        <f>89.177</f>
        <v>89.177000000000007</v>
      </c>
      <c r="F325" s="83">
        <f>240.302-40-60-100</f>
        <v>40.301999999999992</v>
      </c>
      <c r="G325" s="86">
        <v>40</v>
      </c>
      <c r="H325" s="83">
        <f>60+100</f>
        <v>160</v>
      </c>
      <c r="I325" s="83">
        <f t="shared" si="49"/>
        <v>0</v>
      </c>
      <c r="J325" s="86">
        <v>100</v>
      </c>
      <c r="K325" s="86">
        <v>300</v>
      </c>
      <c r="L325" s="83">
        <f t="shared" si="42"/>
        <v>1150</v>
      </c>
      <c r="M325" s="94">
        <v>600</v>
      </c>
      <c r="N325" s="83">
        <f>100</f>
        <v>100</v>
      </c>
      <c r="O325" s="86">
        <v>240</v>
      </c>
      <c r="P325" s="86">
        <v>40</v>
      </c>
      <c r="Q325" s="86">
        <f t="shared" si="43"/>
        <v>315</v>
      </c>
      <c r="R325" s="86">
        <f t="shared" si="44"/>
        <v>100</v>
      </c>
      <c r="S325" s="83">
        <f t="shared" si="45"/>
        <v>695</v>
      </c>
      <c r="T325" s="83">
        <f>50</f>
        <v>50</v>
      </c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</row>
    <row r="326" spans="1:30" ht="15.75" x14ac:dyDescent="0.25">
      <c r="A326" s="33">
        <v>50860</v>
      </c>
      <c r="B326" s="96">
        <v>31</v>
      </c>
      <c r="C326" s="83">
        <f>122.58</f>
        <v>122.58</v>
      </c>
      <c r="D326" s="83">
        <f>297.941</f>
        <v>297.94099999999997</v>
      </c>
      <c r="E326" s="92">
        <f>89.177</f>
        <v>89.177000000000007</v>
      </c>
      <c r="F326" s="83">
        <f>240.302-40-60-100</f>
        <v>40.301999999999992</v>
      </c>
      <c r="G326" s="86">
        <v>40</v>
      </c>
      <c r="H326" s="83">
        <f>60+100</f>
        <v>160</v>
      </c>
      <c r="I326" s="83">
        <f t="shared" si="49"/>
        <v>0</v>
      </c>
      <c r="J326" s="86">
        <v>100</v>
      </c>
      <c r="K326" s="86">
        <v>300</v>
      </c>
      <c r="L326" s="83">
        <f t="shared" si="42"/>
        <v>1150</v>
      </c>
      <c r="M326" s="94">
        <v>600</v>
      </c>
      <c r="N326" s="83">
        <f>100</f>
        <v>100</v>
      </c>
      <c r="O326" s="86">
        <v>240</v>
      </c>
      <c r="P326" s="86">
        <v>40</v>
      </c>
      <c r="Q326" s="86">
        <f t="shared" si="43"/>
        <v>315</v>
      </c>
      <c r="R326" s="86">
        <f t="shared" si="44"/>
        <v>100</v>
      </c>
      <c r="S326" s="83">
        <f t="shared" si="45"/>
        <v>695</v>
      </c>
      <c r="T326" s="83">
        <f>50</f>
        <v>50</v>
      </c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</row>
    <row r="327" spans="1:30" ht="15.75" x14ac:dyDescent="0.25">
      <c r="A327" s="33">
        <v>50890</v>
      </c>
      <c r="B327" s="96">
        <v>30</v>
      </c>
      <c r="C327" s="83">
        <f>141.293</f>
        <v>141.29300000000001</v>
      </c>
      <c r="D327" s="83">
        <f>267.993</f>
        <v>267.99299999999999</v>
      </c>
      <c r="E327" s="92">
        <f>115.016</f>
        <v>115.01600000000001</v>
      </c>
      <c r="F327" s="83">
        <f>314.698-40-25-60-100</f>
        <v>89.697999999999979</v>
      </c>
      <c r="G327" s="86">
        <v>40</v>
      </c>
      <c r="H327" s="83">
        <f t="shared" ref="H327:H333" si="51">25+60+100</f>
        <v>185</v>
      </c>
      <c r="I327" s="83">
        <f t="shared" si="49"/>
        <v>0</v>
      </c>
      <c r="J327" s="86">
        <v>100</v>
      </c>
      <c r="K327" s="86">
        <v>300</v>
      </c>
      <c r="L327" s="83">
        <f t="shared" si="42"/>
        <v>1239</v>
      </c>
      <c r="M327" s="94">
        <v>600</v>
      </c>
      <c r="N327" s="83">
        <f>100</f>
        <v>100</v>
      </c>
      <c r="O327" s="86">
        <v>240</v>
      </c>
      <c r="P327" s="86">
        <v>160</v>
      </c>
      <c r="Q327" s="86">
        <f t="shared" si="43"/>
        <v>195</v>
      </c>
      <c r="R327" s="86">
        <f t="shared" si="44"/>
        <v>100</v>
      </c>
      <c r="S327" s="83">
        <f t="shared" si="45"/>
        <v>695</v>
      </c>
      <c r="T327" s="83">
        <f>50</f>
        <v>50</v>
      </c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</row>
    <row r="328" spans="1:30" ht="15.75" x14ac:dyDescent="0.25">
      <c r="A328" s="33">
        <v>50921</v>
      </c>
      <c r="B328" s="96">
        <v>31</v>
      </c>
      <c r="C328" s="83">
        <f>194.205</f>
        <v>194.20500000000001</v>
      </c>
      <c r="D328" s="83">
        <f>267.466</f>
        <v>267.46600000000001</v>
      </c>
      <c r="E328" s="92">
        <f>133.845</f>
        <v>133.845</v>
      </c>
      <c r="F328" s="83">
        <f>278.484-40-25-60-100</f>
        <v>53.48399999999998</v>
      </c>
      <c r="G328" s="86">
        <v>40</v>
      </c>
      <c r="H328" s="83">
        <f t="shared" si="51"/>
        <v>185</v>
      </c>
      <c r="I328" s="83">
        <f t="shared" si="49"/>
        <v>0</v>
      </c>
      <c r="J328" s="86">
        <v>100</v>
      </c>
      <c r="K328" s="86">
        <v>300</v>
      </c>
      <c r="L328" s="83">
        <f t="shared" si="42"/>
        <v>1274</v>
      </c>
      <c r="M328" s="94">
        <v>600</v>
      </c>
      <c r="N328" s="83">
        <f>75</f>
        <v>75</v>
      </c>
      <c r="O328" s="86">
        <v>240</v>
      </c>
      <c r="P328" s="86">
        <v>160</v>
      </c>
      <c r="Q328" s="86">
        <f t="shared" si="43"/>
        <v>195</v>
      </c>
      <c r="R328" s="86">
        <f t="shared" si="44"/>
        <v>100</v>
      </c>
      <c r="S328" s="83">
        <f t="shared" si="45"/>
        <v>695</v>
      </c>
      <c r="T328" s="83">
        <f>50</f>
        <v>50</v>
      </c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</row>
    <row r="329" spans="1:30" ht="15.75" x14ac:dyDescent="0.25">
      <c r="A329" s="33">
        <v>50951</v>
      </c>
      <c r="B329" s="96">
        <v>30</v>
      </c>
      <c r="C329" s="83">
        <f>194.205</f>
        <v>194.20500000000001</v>
      </c>
      <c r="D329" s="83">
        <f>267.466</f>
        <v>267.46600000000001</v>
      </c>
      <c r="E329" s="92">
        <f>133.845</f>
        <v>133.845</v>
      </c>
      <c r="F329" s="83">
        <f>278.484-40-25-60-100</f>
        <v>53.48399999999998</v>
      </c>
      <c r="G329" s="86">
        <v>40</v>
      </c>
      <c r="H329" s="83">
        <f t="shared" si="51"/>
        <v>185</v>
      </c>
      <c r="I329" s="83">
        <f t="shared" si="49"/>
        <v>0</v>
      </c>
      <c r="J329" s="86">
        <v>100</v>
      </c>
      <c r="K329" s="86">
        <v>300</v>
      </c>
      <c r="L329" s="83">
        <f t="shared" si="42"/>
        <v>1274</v>
      </c>
      <c r="M329" s="94">
        <v>600</v>
      </c>
      <c r="N329" s="83">
        <f>30</f>
        <v>30</v>
      </c>
      <c r="O329" s="86">
        <v>240</v>
      </c>
      <c r="P329" s="86">
        <v>160</v>
      </c>
      <c r="Q329" s="86">
        <f t="shared" si="43"/>
        <v>195</v>
      </c>
      <c r="R329" s="86">
        <f t="shared" si="44"/>
        <v>100</v>
      </c>
      <c r="S329" s="83">
        <f t="shared" si="45"/>
        <v>695</v>
      </c>
      <c r="T329" s="83">
        <f>50</f>
        <v>50</v>
      </c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</row>
    <row r="330" spans="1:30" ht="15.75" x14ac:dyDescent="0.25">
      <c r="A330" s="33">
        <v>50982</v>
      </c>
      <c r="B330" s="96">
        <v>31</v>
      </c>
      <c r="C330" s="83">
        <f>194.205</f>
        <v>194.20500000000001</v>
      </c>
      <c r="D330" s="83">
        <f>267.466</f>
        <v>267.46600000000001</v>
      </c>
      <c r="E330" s="92">
        <f>133.845</f>
        <v>133.845</v>
      </c>
      <c r="F330" s="83">
        <f>278.484-40-25-60-100</f>
        <v>53.48399999999998</v>
      </c>
      <c r="G330" s="86">
        <v>40</v>
      </c>
      <c r="H330" s="83">
        <f t="shared" si="51"/>
        <v>185</v>
      </c>
      <c r="I330" s="83">
        <f t="shared" si="49"/>
        <v>0</v>
      </c>
      <c r="J330" s="86">
        <v>100</v>
      </c>
      <c r="K330" s="86">
        <v>300</v>
      </c>
      <c r="L330" s="83">
        <f t="shared" si="42"/>
        <v>1274</v>
      </c>
      <c r="M330" s="94">
        <v>600</v>
      </c>
      <c r="N330" s="83">
        <f>30</f>
        <v>30</v>
      </c>
      <c r="O330" s="86">
        <v>240</v>
      </c>
      <c r="P330" s="86">
        <v>160</v>
      </c>
      <c r="Q330" s="86">
        <f t="shared" si="43"/>
        <v>195</v>
      </c>
      <c r="R330" s="86">
        <f t="shared" si="44"/>
        <v>100</v>
      </c>
      <c r="S330" s="83">
        <f t="shared" si="45"/>
        <v>695</v>
      </c>
      <c r="T330" s="83">
        <f>0</f>
        <v>0</v>
      </c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</row>
    <row r="331" spans="1:30" ht="15.75" x14ac:dyDescent="0.25">
      <c r="A331" s="33">
        <v>51013</v>
      </c>
      <c r="B331" s="96">
        <v>31</v>
      </c>
      <c r="C331" s="83">
        <f>194.205</f>
        <v>194.20500000000001</v>
      </c>
      <c r="D331" s="83">
        <f>267.466</f>
        <v>267.46600000000001</v>
      </c>
      <c r="E331" s="92">
        <f>133.845</f>
        <v>133.845</v>
      </c>
      <c r="F331" s="83">
        <f>278.484-40-25-60-100</f>
        <v>53.48399999999998</v>
      </c>
      <c r="G331" s="86">
        <v>40</v>
      </c>
      <c r="H331" s="83">
        <f t="shared" si="51"/>
        <v>185</v>
      </c>
      <c r="I331" s="83">
        <f t="shared" si="49"/>
        <v>0</v>
      </c>
      <c r="J331" s="86">
        <v>100</v>
      </c>
      <c r="K331" s="86">
        <v>300</v>
      </c>
      <c r="L331" s="83">
        <f t="shared" si="42"/>
        <v>1274</v>
      </c>
      <c r="M331" s="94">
        <v>600</v>
      </c>
      <c r="N331" s="83">
        <f>30</f>
        <v>30</v>
      </c>
      <c r="O331" s="86">
        <v>240</v>
      </c>
      <c r="P331" s="86">
        <v>160</v>
      </c>
      <c r="Q331" s="86">
        <f t="shared" si="43"/>
        <v>195</v>
      </c>
      <c r="R331" s="86">
        <f t="shared" si="44"/>
        <v>100</v>
      </c>
      <c r="S331" s="83">
        <f t="shared" si="45"/>
        <v>695</v>
      </c>
      <c r="T331" s="83">
        <f>0</f>
        <v>0</v>
      </c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</row>
    <row r="332" spans="1:30" ht="15.75" x14ac:dyDescent="0.25">
      <c r="A332" s="33">
        <v>51043</v>
      </c>
      <c r="B332" s="96">
        <v>30</v>
      </c>
      <c r="C332" s="83">
        <f>194.205</f>
        <v>194.20500000000001</v>
      </c>
      <c r="D332" s="83">
        <f>267.466</f>
        <v>267.46600000000001</v>
      </c>
      <c r="E332" s="92">
        <f>133.845</f>
        <v>133.845</v>
      </c>
      <c r="F332" s="83">
        <f>278.484-40-25-60-100</f>
        <v>53.48399999999998</v>
      </c>
      <c r="G332" s="86">
        <v>40</v>
      </c>
      <c r="H332" s="83">
        <f t="shared" si="51"/>
        <v>185</v>
      </c>
      <c r="I332" s="83">
        <f t="shared" si="49"/>
        <v>0</v>
      </c>
      <c r="J332" s="86">
        <v>100</v>
      </c>
      <c r="K332" s="86">
        <v>300</v>
      </c>
      <c r="L332" s="83">
        <f t="shared" si="42"/>
        <v>1274</v>
      </c>
      <c r="M332" s="94">
        <v>600</v>
      </c>
      <c r="N332" s="83">
        <f>30</f>
        <v>30</v>
      </c>
      <c r="O332" s="86">
        <v>240</v>
      </c>
      <c r="P332" s="86">
        <v>160</v>
      </c>
      <c r="Q332" s="86">
        <f t="shared" si="43"/>
        <v>195</v>
      </c>
      <c r="R332" s="86">
        <f t="shared" si="44"/>
        <v>100</v>
      </c>
      <c r="S332" s="83">
        <f t="shared" si="45"/>
        <v>695</v>
      </c>
      <c r="T332" s="83">
        <f>0</f>
        <v>0</v>
      </c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</row>
    <row r="333" spans="1:30" ht="15.75" x14ac:dyDescent="0.25">
      <c r="A333" s="33">
        <v>51074</v>
      </c>
      <c r="B333" s="96">
        <v>31</v>
      </c>
      <c r="C333" s="83">
        <f>131.881</f>
        <v>131.881</v>
      </c>
      <c r="D333" s="83">
        <f>277.167</f>
        <v>277.16699999999997</v>
      </c>
      <c r="E333" s="92">
        <f>79.08</f>
        <v>79.08</v>
      </c>
      <c r="F333" s="83">
        <f>350.872-40-25-60-100</f>
        <v>125.87200000000001</v>
      </c>
      <c r="G333" s="86">
        <v>40</v>
      </c>
      <c r="H333" s="83">
        <f t="shared" si="51"/>
        <v>185</v>
      </c>
      <c r="I333" s="83">
        <f t="shared" si="49"/>
        <v>0</v>
      </c>
      <c r="J333" s="86">
        <v>100</v>
      </c>
      <c r="K333" s="86">
        <v>300</v>
      </c>
      <c r="L333" s="83">
        <f t="shared" si="42"/>
        <v>1239</v>
      </c>
      <c r="M333" s="94">
        <v>600</v>
      </c>
      <c r="N333" s="83">
        <f>75</f>
        <v>75</v>
      </c>
      <c r="O333" s="86">
        <v>240</v>
      </c>
      <c r="P333" s="86">
        <v>160</v>
      </c>
      <c r="Q333" s="86">
        <f t="shared" si="43"/>
        <v>195</v>
      </c>
      <c r="R333" s="86">
        <f t="shared" si="44"/>
        <v>100</v>
      </c>
      <c r="S333" s="83">
        <f t="shared" si="45"/>
        <v>695</v>
      </c>
      <c r="T333" s="83">
        <f>0</f>
        <v>0</v>
      </c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</row>
    <row r="334" spans="1:30" ht="15.75" x14ac:dyDescent="0.25">
      <c r="A334" s="33">
        <v>51104</v>
      </c>
      <c r="B334" s="96">
        <v>30</v>
      </c>
      <c r="C334" s="83">
        <f>122.58</f>
        <v>122.58</v>
      </c>
      <c r="D334" s="83">
        <f>297.941</f>
        <v>297.94099999999997</v>
      </c>
      <c r="E334" s="92">
        <f>89.177</f>
        <v>89.177000000000007</v>
      </c>
      <c r="F334" s="83">
        <f>240.302-40-60-100</f>
        <v>40.301999999999992</v>
      </c>
      <c r="G334" s="86">
        <v>40</v>
      </c>
      <c r="H334" s="83">
        <f>60+100</f>
        <v>160</v>
      </c>
      <c r="I334" s="83">
        <f t="shared" si="49"/>
        <v>0</v>
      </c>
      <c r="J334" s="86">
        <v>100</v>
      </c>
      <c r="K334" s="86">
        <v>300</v>
      </c>
      <c r="L334" s="83">
        <f t="shared" si="42"/>
        <v>1150</v>
      </c>
      <c r="M334" s="94">
        <v>600</v>
      </c>
      <c r="N334" s="83">
        <f>100</f>
        <v>100</v>
      </c>
      <c r="O334" s="86">
        <v>240</v>
      </c>
      <c r="P334" s="86">
        <v>40</v>
      </c>
      <c r="Q334" s="86">
        <f t="shared" si="43"/>
        <v>315</v>
      </c>
      <c r="R334" s="86">
        <f t="shared" si="44"/>
        <v>100</v>
      </c>
      <c r="S334" s="83">
        <f t="shared" si="45"/>
        <v>695</v>
      </c>
      <c r="T334" s="83">
        <f>50</f>
        <v>50</v>
      </c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</row>
    <row r="335" spans="1:30" ht="15.75" x14ac:dyDescent="0.25">
      <c r="A335" s="33">
        <v>51135</v>
      </c>
      <c r="B335" s="96">
        <v>31</v>
      </c>
      <c r="C335" s="83">
        <f>122.58</f>
        <v>122.58</v>
      </c>
      <c r="D335" s="83">
        <f>297.941</f>
        <v>297.94099999999997</v>
      </c>
      <c r="E335" s="92">
        <f>89.177</f>
        <v>89.177000000000007</v>
      </c>
      <c r="F335" s="83">
        <f>240.302-40-60-100</f>
        <v>40.301999999999992</v>
      </c>
      <c r="G335" s="86">
        <v>40</v>
      </c>
      <c r="H335" s="83">
        <f>60+100</f>
        <v>160</v>
      </c>
      <c r="I335" s="83">
        <f t="shared" si="49"/>
        <v>0</v>
      </c>
      <c r="J335" s="86">
        <v>100</v>
      </c>
      <c r="K335" s="86">
        <v>300</v>
      </c>
      <c r="L335" s="83">
        <f t="shared" si="42"/>
        <v>1150</v>
      </c>
      <c r="M335" s="94">
        <v>600</v>
      </c>
      <c r="N335" s="83">
        <f>100</f>
        <v>100</v>
      </c>
      <c r="O335" s="86">
        <v>240</v>
      </c>
      <c r="P335" s="86">
        <v>40</v>
      </c>
      <c r="Q335" s="86">
        <f t="shared" si="43"/>
        <v>315</v>
      </c>
      <c r="R335" s="86">
        <f t="shared" si="44"/>
        <v>100</v>
      </c>
      <c r="S335" s="83">
        <f t="shared" si="45"/>
        <v>695</v>
      </c>
      <c r="T335" s="83">
        <f>50</f>
        <v>50</v>
      </c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</row>
    <row r="336" spans="1:30" ht="15.75" x14ac:dyDescent="0.25">
      <c r="A336" s="33">
        <v>51166</v>
      </c>
      <c r="B336" s="96">
        <v>31</v>
      </c>
      <c r="C336" s="83">
        <f>122.58</f>
        <v>122.58</v>
      </c>
      <c r="D336" s="83">
        <f>297.941</f>
        <v>297.94099999999997</v>
      </c>
      <c r="E336" s="92">
        <f>89.177</f>
        <v>89.177000000000007</v>
      </c>
      <c r="F336" s="83">
        <f>240.302-40-60-100</f>
        <v>40.301999999999992</v>
      </c>
      <c r="G336" s="86">
        <v>40</v>
      </c>
      <c r="H336" s="83">
        <f>60+100</f>
        <v>160</v>
      </c>
      <c r="I336" s="83">
        <f t="shared" si="49"/>
        <v>0</v>
      </c>
      <c r="J336" s="86">
        <v>100</v>
      </c>
      <c r="K336" s="86">
        <v>300</v>
      </c>
      <c r="L336" s="83">
        <f t="shared" si="42"/>
        <v>1150</v>
      </c>
      <c r="M336" s="94">
        <v>600</v>
      </c>
      <c r="N336" s="83">
        <f>100</f>
        <v>100</v>
      </c>
      <c r="O336" s="86">
        <v>240</v>
      </c>
      <c r="P336" s="86">
        <v>40</v>
      </c>
      <c r="Q336" s="86">
        <f t="shared" si="43"/>
        <v>315</v>
      </c>
      <c r="R336" s="86">
        <f t="shared" si="44"/>
        <v>100</v>
      </c>
      <c r="S336" s="83">
        <f t="shared" si="45"/>
        <v>695</v>
      </c>
      <c r="T336" s="83">
        <f>50</f>
        <v>50</v>
      </c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</row>
    <row r="337" spans="1:30" ht="15.75" x14ac:dyDescent="0.25">
      <c r="A337" s="33">
        <v>51194</v>
      </c>
      <c r="B337" s="96">
        <v>29</v>
      </c>
      <c r="C337" s="83">
        <f>122.58</f>
        <v>122.58</v>
      </c>
      <c r="D337" s="83">
        <f>297.941</f>
        <v>297.94099999999997</v>
      </c>
      <c r="E337" s="92">
        <f>89.177</f>
        <v>89.177000000000007</v>
      </c>
      <c r="F337" s="83">
        <f>240.302-40-60-100</f>
        <v>40.301999999999992</v>
      </c>
      <c r="G337" s="86">
        <v>40</v>
      </c>
      <c r="H337" s="83">
        <f>60+100</f>
        <v>160</v>
      </c>
      <c r="I337" s="83">
        <f t="shared" si="49"/>
        <v>0</v>
      </c>
      <c r="J337" s="86">
        <v>100</v>
      </c>
      <c r="K337" s="86">
        <v>300</v>
      </c>
      <c r="L337" s="83">
        <f t="shared" si="42"/>
        <v>1150</v>
      </c>
      <c r="M337" s="94">
        <v>600</v>
      </c>
      <c r="N337" s="83">
        <f>100</f>
        <v>100</v>
      </c>
      <c r="O337" s="86">
        <v>240</v>
      </c>
      <c r="P337" s="86">
        <v>40</v>
      </c>
      <c r="Q337" s="86">
        <f t="shared" si="43"/>
        <v>315</v>
      </c>
      <c r="R337" s="86">
        <f t="shared" si="44"/>
        <v>100</v>
      </c>
      <c r="S337" s="83">
        <f t="shared" si="45"/>
        <v>695</v>
      </c>
      <c r="T337" s="83">
        <f>50</f>
        <v>50</v>
      </c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</row>
    <row r="338" spans="1:30" ht="15.75" x14ac:dyDescent="0.25">
      <c r="A338" s="33">
        <v>51226</v>
      </c>
      <c r="B338" s="96">
        <v>31</v>
      </c>
      <c r="C338" s="83">
        <f>122.58</f>
        <v>122.58</v>
      </c>
      <c r="D338" s="83">
        <f>297.941</f>
        <v>297.94099999999997</v>
      </c>
      <c r="E338" s="92">
        <f>89.177</f>
        <v>89.177000000000007</v>
      </c>
      <c r="F338" s="83">
        <f>240.302-40-60-100</f>
        <v>40.301999999999992</v>
      </c>
      <c r="G338" s="86">
        <v>40</v>
      </c>
      <c r="H338" s="83">
        <f>60+100</f>
        <v>160</v>
      </c>
      <c r="I338" s="83">
        <f t="shared" si="49"/>
        <v>0</v>
      </c>
      <c r="J338" s="86">
        <v>100</v>
      </c>
      <c r="K338" s="86">
        <v>300</v>
      </c>
      <c r="L338" s="83">
        <f t="shared" si="42"/>
        <v>1150</v>
      </c>
      <c r="M338" s="94">
        <v>600</v>
      </c>
      <c r="N338" s="83">
        <f>100</f>
        <v>100</v>
      </c>
      <c r="O338" s="86">
        <v>240</v>
      </c>
      <c r="P338" s="86">
        <v>40</v>
      </c>
      <c r="Q338" s="86">
        <f t="shared" si="43"/>
        <v>315</v>
      </c>
      <c r="R338" s="86">
        <f t="shared" si="44"/>
        <v>100</v>
      </c>
      <c r="S338" s="83">
        <f t="shared" si="45"/>
        <v>695</v>
      </c>
      <c r="T338" s="83">
        <f>50</f>
        <v>50</v>
      </c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</row>
    <row r="339" spans="1:30" ht="15.75" x14ac:dyDescent="0.25">
      <c r="A339" s="33">
        <v>51256</v>
      </c>
      <c r="B339" s="96">
        <v>30</v>
      </c>
      <c r="C339" s="83">
        <f>141.293</f>
        <v>141.29300000000001</v>
      </c>
      <c r="D339" s="83">
        <f>267.993</f>
        <v>267.99299999999999</v>
      </c>
      <c r="E339" s="92">
        <f>115.016</f>
        <v>115.01600000000001</v>
      </c>
      <c r="F339" s="83">
        <f>314.698-40-25-60-100</f>
        <v>89.697999999999979</v>
      </c>
      <c r="G339" s="86">
        <v>40</v>
      </c>
      <c r="H339" s="83">
        <f t="shared" ref="H339:H345" si="52">25+60+100</f>
        <v>185</v>
      </c>
      <c r="I339" s="83">
        <f t="shared" si="49"/>
        <v>0</v>
      </c>
      <c r="J339" s="86">
        <v>100</v>
      </c>
      <c r="K339" s="86">
        <v>300</v>
      </c>
      <c r="L339" s="83">
        <f t="shared" si="42"/>
        <v>1239</v>
      </c>
      <c r="M339" s="94">
        <v>600</v>
      </c>
      <c r="N339" s="83">
        <f>100</f>
        <v>100</v>
      </c>
      <c r="O339" s="86">
        <v>240</v>
      </c>
      <c r="P339" s="86">
        <v>160</v>
      </c>
      <c r="Q339" s="86">
        <f t="shared" si="43"/>
        <v>195</v>
      </c>
      <c r="R339" s="86">
        <f t="shared" si="44"/>
        <v>100</v>
      </c>
      <c r="S339" s="83">
        <f t="shared" si="45"/>
        <v>695</v>
      </c>
      <c r="T339" s="83">
        <f>50</f>
        <v>50</v>
      </c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</row>
    <row r="340" spans="1:30" ht="15.75" x14ac:dyDescent="0.25">
      <c r="A340" s="33">
        <v>51287</v>
      </c>
      <c r="B340" s="96">
        <v>31</v>
      </c>
      <c r="C340" s="83">
        <f>194.205</f>
        <v>194.20500000000001</v>
      </c>
      <c r="D340" s="83">
        <f>267.466</f>
        <v>267.46600000000001</v>
      </c>
      <c r="E340" s="92">
        <f>133.845</f>
        <v>133.845</v>
      </c>
      <c r="F340" s="83">
        <f>278.484-40-25-60-100</f>
        <v>53.48399999999998</v>
      </c>
      <c r="G340" s="86">
        <v>40</v>
      </c>
      <c r="H340" s="83">
        <f t="shared" si="52"/>
        <v>185</v>
      </c>
      <c r="I340" s="83">
        <f t="shared" si="49"/>
        <v>0</v>
      </c>
      <c r="J340" s="86">
        <v>100</v>
      </c>
      <c r="K340" s="86">
        <v>300</v>
      </c>
      <c r="L340" s="83">
        <f t="shared" si="42"/>
        <v>1274</v>
      </c>
      <c r="M340" s="94">
        <v>600</v>
      </c>
      <c r="N340" s="83">
        <f>75</f>
        <v>75</v>
      </c>
      <c r="O340" s="86">
        <v>240</v>
      </c>
      <c r="P340" s="86">
        <v>160</v>
      </c>
      <c r="Q340" s="86">
        <f t="shared" si="43"/>
        <v>195</v>
      </c>
      <c r="R340" s="86">
        <f t="shared" si="44"/>
        <v>100</v>
      </c>
      <c r="S340" s="83">
        <f t="shared" si="45"/>
        <v>695</v>
      </c>
      <c r="T340" s="83">
        <f>50</f>
        <v>50</v>
      </c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</row>
    <row r="341" spans="1:30" ht="15.75" x14ac:dyDescent="0.25">
      <c r="A341" s="33">
        <v>51317</v>
      </c>
      <c r="B341" s="96">
        <v>30</v>
      </c>
      <c r="C341" s="83">
        <f>194.205</f>
        <v>194.20500000000001</v>
      </c>
      <c r="D341" s="83">
        <f>267.466</f>
        <v>267.46600000000001</v>
      </c>
      <c r="E341" s="92">
        <f>133.845</f>
        <v>133.845</v>
      </c>
      <c r="F341" s="83">
        <f>278.484-40-25-60-100</f>
        <v>53.48399999999998</v>
      </c>
      <c r="G341" s="86">
        <v>40</v>
      </c>
      <c r="H341" s="83">
        <f t="shared" si="52"/>
        <v>185</v>
      </c>
      <c r="I341" s="83">
        <f t="shared" si="49"/>
        <v>0</v>
      </c>
      <c r="J341" s="86">
        <v>100</v>
      </c>
      <c r="K341" s="86">
        <v>300</v>
      </c>
      <c r="L341" s="83">
        <f t="shared" si="42"/>
        <v>1274</v>
      </c>
      <c r="M341" s="94">
        <v>600</v>
      </c>
      <c r="N341" s="83">
        <f>30</f>
        <v>30</v>
      </c>
      <c r="O341" s="86">
        <v>240</v>
      </c>
      <c r="P341" s="86">
        <v>160</v>
      </c>
      <c r="Q341" s="86">
        <f t="shared" si="43"/>
        <v>195</v>
      </c>
      <c r="R341" s="86">
        <f t="shared" si="44"/>
        <v>100</v>
      </c>
      <c r="S341" s="83">
        <f t="shared" si="45"/>
        <v>695</v>
      </c>
      <c r="T341" s="83">
        <f>50</f>
        <v>50</v>
      </c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</row>
    <row r="342" spans="1:30" ht="15.75" x14ac:dyDescent="0.25">
      <c r="A342" s="33">
        <v>51348</v>
      </c>
      <c r="B342" s="96">
        <v>31</v>
      </c>
      <c r="C342" s="83">
        <f>194.205</f>
        <v>194.20500000000001</v>
      </c>
      <c r="D342" s="83">
        <f>267.466</f>
        <v>267.46600000000001</v>
      </c>
      <c r="E342" s="92">
        <f>133.845</f>
        <v>133.845</v>
      </c>
      <c r="F342" s="83">
        <f>278.484-40-25-60-100</f>
        <v>53.48399999999998</v>
      </c>
      <c r="G342" s="86">
        <v>40</v>
      </c>
      <c r="H342" s="83">
        <f t="shared" si="52"/>
        <v>185</v>
      </c>
      <c r="I342" s="83">
        <f t="shared" si="49"/>
        <v>0</v>
      </c>
      <c r="J342" s="86">
        <v>100</v>
      </c>
      <c r="K342" s="86">
        <v>300</v>
      </c>
      <c r="L342" s="83">
        <f t="shared" ref="L342:L405" si="53">SUM(C342:K342)</f>
        <v>1274</v>
      </c>
      <c r="M342" s="94">
        <v>600</v>
      </c>
      <c r="N342" s="83">
        <f>30</f>
        <v>30</v>
      </c>
      <c r="O342" s="86">
        <v>240</v>
      </c>
      <c r="P342" s="86">
        <v>160</v>
      </c>
      <c r="Q342" s="86">
        <f t="shared" ref="Q342:Q405" si="54">695-R342-O342-P342</f>
        <v>195</v>
      </c>
      <c r="R342" s="86">
        <f t="shared" ref="R342:R405" si="55">200-J342</f>
        <v>100</v>
      </c>
      <c r="S342" s="83">
        <f t="shared" ref="S342:S405" si="56">SUM(O342:R342)</f>
        <v>695</v>
      </c>
      <c r="T342" s="83">
        <f>0</f>
        <v>0</v>
      </c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</row>
    <row r="343" spans="1:30" ht="15.75" x14ac:dyDescent="0.25">
      <c r="A343" s="33">
        <v>51379</v>
      </c>
      <c r="B343" s="96">
        <v>31</v>
      </c>
      <c r="C343" s="83">
        <f>194.205</f>
        <v>194.20500000000001</v>
      </c>
      <c r="D343" s="83">
        <f>267.466</f>
        <v>267.46600000000001</v>
      </c>
      <c r="E343" s="92">
        <f>133.845</f>
        <v>133.845</v>
      </c>
      <c r="F343" s="83">
        <f>278.484-40-25-60-100</f>
        <v>53.48399999999998</v>
      </c>
      <c r="G343" s="86">
        <v>40</v>
      </c>
      <c r="H343" s="83">
        <f t="shared" si="52"/>
        <v>185</v>
      </c>
      <c r="I343" s="83">
        <f t="shared" si="49"/>
        <v>0</v>
      </c>
      <c r="J343" s="86">
        <v>100</v>
      </c>
      <c r="K343" s="86">
        <v>300</v>
      </c>
      <c r="L343" s="83">
        <f t="shared" si="53"/>
        <v>1274</v>
      </c>
      <c r="M343" s="94">
        <v>600</v>
      </c>
      <c r="N343" s="83">
        <f>30</f>
        <v>30</v>
      </c>
      <c r="O343" s="86">
        <v>240</v>
      </c>
      <c r="P343" s="86">
        <v>160</v>
      </c>
      <c r="Q343" s="86">
        <f t="shared" si="54"/>
        <v>195</v>
      </c>
      <c r="R343" s="86">
        <f t="shared" si="55"/>
        <v>100</v>
      </c>
      <c r="S343" s="83">
        <f t="shared" si="56"/>
        <v>695</v>
      </c>
      <c r="T343" s="83">
        <f>0</f>
        <v>0</v>
      </c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</row>
    <row r="344" spans="1:30" ht="15.75" x14ac:dyDescent="0.25">
      <c r="A344" s="33">
        <v>51409</v>
      </c>
      <c r="B344" s="96">
        <v>30</v>
      </c>
      <c r="C344" s="83">
        <f>194.205</f>
        <v>194.20500000000001</v>
      </c>
      <c r="D344" s="83">
        <f>267.466</f>
        <v>267.46600000000001</v>
      </c>
      <c r="E344" s="92">
        <f>133.845</f>
        <v>133.845</v>
      </c>
      <c r="F344" s="83">
        <f>278.484-40-25-60-100</f>
        <v>53.48399999999998</v>
      </c>
      <c r="G344" s="86">
        <v>40</v>
      </c>
      <c r="H344" s="83">
        <f t="shared" si="52"/>
        <v>185</v>
      </c>
      <c r="I344" s="83">
        <f t="shared" si="49"/>
        <v>0</v>
      </c>
      <c r="J344" s="86">
        <v>100</v>
      </c>
      <c r="K344" s="86">
        <v>300</v>
      </c>
      <c r="L344" s="83">
        <f t="shared" si="53"/>
        <v>1274</v>
      </c>
      <c r="M344" s="94">
        <v>600</v>
      </c>
      <c r="N344" s="83">
        <f>30</f>
        <v>30</v>
      </c>
      <c r="O344" s="86">
        <v>240</v>
      </c>
      <c r="P344" s="86">
        <v>160</v>
      </c>
      <c r="Q344" s="86">
        <f t="shared" si="54"/>
        <v>195</v>
      </c>
      <c r="R344" s="86">
        <f t="shared" si="55"/>
        <v>100</v>
      </c>
      <c r="S344" s="83">
        <f t="shared" si="56"/>
        <v>695</v>
      </c>
      <c r="T344" s="83">
        <f>0</f>
        <v>0</v>
      </c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</row>
    <row r="345" spans="1:30" ht="15.75" x14ac:dyDescent="0.25">
      <c r="A345" s="33">
        <v>51440</v>
      </c>
      <c r="B345" s="96">
        <v>31</v>
      </c>
      <c r="C345" s="83">
        <f>131.881</f>
        <v>131.881</v>
      </c>
      <c r="D345" s="83">
        <f>277.167</f>
        <v>277.16699999999997</v>
      </c>
      <c r="E345" s="92">
        <f>79.08</f>
        <v>79.08</v>
      </c>
      <c r="F345" s="83">
        <f>350.872-40-25-60-100</f>
        <v>125.87200000000001</v>
      </c>
      <c r="G345" s="86">
        <v>40</v>
      </c>
      <c r="H345" s="83">
        <f t="shared" si="52"/>
        <v>185</v>
      </c>
      <c r="I345" s="83">
        <f t="shared" si="49"/>
        <v>0</v>
      </c>
      <c r="J345" s="86">
        <v>100</v>
      </c>
      <c r="K345" s="86">
        <v>300</v>
      </c>
      <c r="L345" s="83">
        <f t="shared" si="53"/>
        <v>1239</v>
      </c>
      <c r="M345" s="94">
        <v>600</v>
      </c>
      <c r="N345" s="83">
        <f>75</f>
        <v>75</v>
      </c>
      <c r="O345" s="86">
        <v>240</v>
      </c>
      <c r="P345" s="86">
        <v>160</v>
      </c>
      <c r="Q345" s="86">
        <f t="shared" si="54"/>
        <v>195</v>
      </c>
      <c r="R345" s="86">
        <f t="shared" si="55"/>
        <v>100</v>
      </c>
      <c r="S345" s="83">
        <f t="shared" si="56"/>
        <v>695</v>
      </c>
      <c r="T345" s="83">
        <f>0</f>
        <v>0</v>
      </c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</row>
    <row r="346" spans="1:30" ht="15.75" x14ac:dyDescent="0.25">
      <c r="A346" s="33">
        <v>51470</v>
      </c>
      <c r="B346" s="96">
        <v>30</v>
      </c>
      <c r="C346" s="83">
        <f>122.58</f>
        <v>122.58</v>
      </c>
      <c r="D346" s="83">
        <f>297.941</f>
        <v>297.94099999999997</v>
      </c>
      <c r="E346" s="92">
        <f>89.177</f>
        <v>89.177000000000007</v>
      </c>
      <c r="F346" s="83">
        <f>240.302-40-60-100</f>
        <v>40.301999999999992</v>
      </c>
      <c r="G346" s="86">
        <v>40</v>
      </c>
      <c r="H346" s="83">
        <f>60+100</f>
        <v>160</v>
      </c>
      <c r="I346" s="83">
        <f t="shared" si="49"/>
        <v>0</v>
      </c>
      <c r="J346" s="86">
        <v>100</v>
      </c>
      <c r="K346" s="86">
        <v>300</v>
      </c>
      <c r="L346" s="83">
        <f t="shared" si="53"/>
        <v>1150</v>
      </c>
      <c r="M346" s="94">
        <v>600</v>
      </c>
      <c r="N346" s="83">
        <f>100</f>
        <v>100</v>
      </c>
      <c r="O346" s="86">
        <v>240</v>
      </c>
      <c r="P346" s="86">
        <v>40</v>
      </c>
      <c r="Q346" s="86">
        <f t="shared" si="54"/>
        <v>315</v>
      </c>
      <c r="R346" s="86">
        <f t="shared" si="55"/>
        <v>100</v>
      </c>
      <c r="S346" s="83">
        <f t="shared" si="56"/>
        <v>695</v>
      </c>
      <c r="T346" s="83">
        <f>50</f>
        <v>50</v>
      </c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</row>
    <row r="347" spans="1:30" ht="15.75" x14ac:dyDescent="0.25">
      <c r="A347" s="33">
        <v>51501</v>
      </c>
      <c r="B347" s="96">
        <v>31</v>
      </c>
      <c r="C347" s="83">
        <f>122.58</f>
        <v>122.58</v>
      </c>
      <c r="D347" s="83">
        <f>297.941</f>
        <v>297.94099999999997</v>
      </c>
      <c r="E347" s="92">
        <f>89.177</f>
        <v>89.177000000000007</v>
      </c>
      <c r="F347" s="83">
        <f>240.302-40-60-100</f>
        <v>40.301999999999992</v>
      </c>
      <c r="G347" s="86">
        <v>40</v>
      </c>
      <c r="H347" s="83">
        <f>60+100</f>
        <v>160</v>
      </c>
      <c r="I347" s="83">
        <f t="shared" si="49"/>
        <v>0</v>
      </c>
      <c r="J347" s="86">
        <v>100</v>
      </c>
      <c r="K347" s="86">
        <v>300</v>
      </c>
      <c r="L347" s="83">
        <f t="shared" si="53"/>
        <v>1150</v>
      </c>
      <c r="M347" s="94">
        <v>600</v>
      </c>
      <c r="N347" s="83">
        <f>100</f>
        <v>100</v>
      </c>
      <c r="O347" s="86">
        <v>240</v>
      </c>
      <c r="P347" s="86">
        <v>40</v>
      </c>
      <c r="Q347" s="86">
        <f t="shared" si="54"/>
        <v>315</v>
      </c>
      <c r="R347" s="86">
        <f t="shared" si="55"/>
        <v>100</v>
      </c>
      <c r="S347" s="83">
        <f t="shared" si="56"/>
        <v>695</v>
      </c>
      <c r="T347" s="83">
        <f>50</f>
        <v>50</v>
      </c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</row>
    <row r="348" spans="1:30" ht="15.75" x14ac:dyDescent="0.25">
      <c r="A348" s="33">
        <v>51532</v>
      </c>
      <c r="B348" s="96">
        <v>31</v>
      </c>
      <c r="C348" s="83">
        <f>122.58</f>
        <v>122.58</v>
      </c>
      <c r="D348" s="83">
        <f>297.941</f>
        <v>297.94099999999997</v>
      </c>
      <c r="E348" s="92">
        <f>89.177</f>
        <v>89.177000000000007</v>
      </c>
      <c r="F348" s="83">
        <f>240.302-40-60-100</f>
        <v>40.301999999999992</v>
      </c>
      <c r="G348" s="86">
        <v>40</v>
      </c>
      <c r="H348" s="83">
        <f>60+100</f>
        <v>160</v>
      </c>
      <c r="I348" s="83">
        <f t="shared" si="49"/>
        <v>0</v>
      </c>
      <c r="J348" s="86">
        <v>100</v>
      </c>
      <c r="K348" s="86">
        <v>300</v>
      </c>
      <c r="L348" s="83">
        <f t="shared" si="53"/>
        <v>1150</v>
      </c>
      <c r="M348" s="94">
        <v>600</v>
      </c>
      <c r="N348" s="83">
        <f>100</f>
        <v>100</v>
      </c>
      <c r="O348" s="86">
        <v>240</v>
      </c>
      <c r="P348" s="86">
        <v>40</v>
      </c>
      <c r="Q348" s="86">
        <f t="shared" si="54"/>
        <v>315</v>
      </c>
      <c r="R348" s="86">
        <f t="shared" si="55"/>
        <v>100</v>
      </c>
      <c r="S348" s="83">
        <f t="shared" si="56"/>
        <v>695</v>
      </c>
      <c r="T348" s="83">
        <f>50</f>
        <v>50</v>
      </c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</row>
    <row r="349" spans="1:30" ht="15.75" x14ac:dyDescent="0.25">
      <c r="A349" s="33">
        <v>51560</v>
      </c>
      <c r="B349" s="96">
        <v>28</v>
      </c>
      <c r="C349" s="83">
        <f>122.58</f>
        <v>122.58</v>
      </c>
      <c r="D349" s="83">
        <f>297.941</f>
        <v>297.94099999999997</v>
      </c>
      <c r="E349" s="92">
        <f>89.177</f>
        <v>89.177000000000007</v>
      </c>
      <c r="F349" s="83">
        <f>240.302-40-60-100</f>
        <v>40.301999999999992</v>
      </c>
      <c r="G349" s="86">
        <v>40</v>
      </c>
      <c r="H349" s="83">
        <f>60+100</f>
        <v>160</v>
      </c>
      <c r="I349" s="83">
        <f t="shared" si="49"/>
        <v>0</v>
      </c>
      <c r="J349" s="86">
        <v>100</v>
      </c>
      <c r="K349" s="86">
        <v>300</v>
      </c>
      <c r="L349" s="83">
        <f t="shared" si="53"/>
        <v>1150</v>
      </c>
      <c r="M349" s="94">
        <v>600</v>
      </c>
      <c r="N349" s="83">
        <f>100</f>
        <v>100</v>
      </c>
      <c r="O349" s="86">
        <v>240</v>
      </c>
      <c r="P349" s="86">
        <v>40</v>
      </c>
      <c r="Q349" s="86">
        <f t="shared" si="54"/>
        <v>315</v>
      </c>
      <c r="R349" s="86">
        <f t="shared" si="55"/>
        <v>100</v>
      </c>
      <c r="S349" s="83">
        <f t="shared" si="56"/>
        <v>695</v>
      </c>
      <c r="T349" s="83">
        <f>50</f>
        <v>50</v>
      </c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</row>
    <row r="350" spans="1:30" ht="15.75" x14ac:dyDescent="0.25">
      <c r="A350" s="33">
        <v>51591</v>
      </c>
      <c r="B350" s="96">
        <v>31</v>
      </c>
      <c r="C350" s="83">
        <f>122.58</f>
        <v>122.58</v>
      </c>
      <c r="D350" s="83">
        <f>297.941</f>
        <v>297.94099999999997</v>
      </c>
      <c r="E350" s="92">
        <f>89.177</f>
        <v>89.177000000000007</v>
      </c>
      <c r="F350" s="83">
        <f>240.302-40-60-100</f>
        <v>40.301999999999992</v>
      </c>
      <c r="G350" s="86">
        <v>40</v>
      </c>
      <c r="H350" s="83">
        <f>60+100</f>
        <v>160</v>
      </c>
      <c r="I350" s="83">
        <f t="shared" si="49"/>
        <v>0</v>
      </c>
      <c r="J350" s="86">
        <v>100</v>
      </c>
      <c r="K350" s="86">
        <v>300</v>
      </c>
      <c r="L350" s="83">
        <f t="shared" si="53"/>
        <v>1150</v>
      </c>
      <c r="M350" s="94">
        <v>600</v>
      </c>
      <c r="N350" s="83">
        <f>100</f>
        <v>100</v>
      </c>
      <c r="O350" s="86">
        <v>240</v>
      </c>
      <c r="P350" s="86">
        <v>40</v>
      </c>
      <c r="Q350" s="86">
        <f t="shared" si="54"/>
        <v>315</v>
      </c>
      <c r="R350" s="86">
        <f t="shared" si="55"/>
        <v>100</v>
      </c>
      <c r="S350" s="83">
        <f t="shared" si="56"/>
        <v>695</v>
      </c>
      <c r="T350" s="83">
        <f>50</f>
        <v>50</v>
      </c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</row>
    <row r="351" spans="1:30" ht="15.75" x14ac:dyDescent="0.25">
      <c r="A351" s="33">
        <v>51621</v>
      </c>
      <c r="B351" s="96">
        <v>30</v>
      </c>
      <c r="C351" s="83">
        <f>141.293</f>
        <v>141.29300000000001</v>
      </c>
      <c r="D351" s="83">
        <f>267.993</f>
        <v>267.99299999999999</v>
      </c>
      <c r="E351" s="92">
        <f>115.016</f>
        <v>115.01600000000001</v>
      </c>
      <c r="F351" s="83">
        <f>314.698-40-25-60-100</f>
        <v>89.697999999999979</v>
      </c>
      <c r="G351" s="86">
        <v>40</v>
      </c>
      <c r="H351" s="83">
        <f t="shared" ref="H351:H357" si="57">25+60+100</f>
        <v>185</v>
      </c>
      <c r="I351" s="83">
        <f t="shared" si="49"/>
        <v>0</v>
      </c>
      <c r="J351" s="86">
        <v>100</v>
      </c>
      <c r="K351" s="86">
        <v>300</v>
      </c>
      <c r="L351" s="83">
        <f t="shared" si="53"/>
        <v>1239</v>
      </c>
      <c r="M351" s="94">
        <v>600</v>
      </c>
      <c r="N351" s="83">
        <f>100</f>
        <v>100</v>
      </c>
      <c r="O351" s="86">
        <v>240</v>
      </c>
      <c r="P351" s="86">
        <v>160</v>
      </c>
      <c r="Q351" s="86">
        <f t="shared" si="54"/>
        <v>195</v>
      </c>
      <c r="R351" s="86">
        <f t="shared" si="55"/>
        <v>100</v>
      </c>
      <c r="S351" s="83">
        <f t="shared" si="56"/>
        <v>695</v>
      </c>
      <c r="T351" s="83">
        <f>50</f>
        <v>50</v>
      </c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</row>
    <row r="352" spans="1:30" ht="15.75" x14ac:dyDescent="0.25">
      <c r="A352" s="33">
        <v>51652</v>
      </c>
      <c r="B352" s="96">
        <v>31</v>
      </c>
      <c r="C352" s="83">
        <f>194.205</f>
        <v>194.20500000000001</v>
      </c>
      <c r="D352" s="83">
        <f>267.466</f>
        <v>267.46600000000001</v>
      </c>
      <c r="E352" s="92">
        <f>133.845</f>
        <v>133.845</v>
      </c>
      <c r="F352" s="83">
        <f>278.484-40-25-60-100</f>
        <v>53.48399999999998</v>
      </c>
      <c r="G352" s="86">
        <v>40</v>
      </c>
      <c r="H352" s="83">
        <f t="shared" si="57"/>
        <v>185</v>
      </c>
      <c r="I352" s="83">
        <f t="shared" si="49"/>
        <v>0</v>
      </c>
      <c r="J352" s="86">
        <v>100</v>
      </c>
      <c r="K352" s="86">
        <v>300</v>
      </c>
      <c r="L352" s="83">
        <f t="shared" si="53"/>
        <v>1274</v>
      </c>
      <c r="M352" s="94">
        <v>600</v>
      </c>
      <c r="N352" s="83">
        <f>75</f>
        <v>75</v>
      </c>
      <c r="O352" s="86">
        <v>240</v>
      </c>
      <c r="P352" s="86">
        <v>160</v>
      </c>
      <c r="Q352" s="86">
        <f t="shared" si="54"/>
        <v>195</v>
      </c>
      <c r="R352" s="86">
        <f t="shared" si="55"/>
        <v>100</v>
      </c>
      <c r="S352" s="83">
        <f t="shared" si="56"/>
        <v>695</v>
      </c>
      <c r="T352" s="83">
        <f>50</f>
        <v>50</v>
      </c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</row>
    <row r="353" spans="1:30" ht="15.75" x14ac:dyDescent="0.25">
      <c r="A353" s="33">
        <v>51682</v>
      </c>
      <c r="B353" s="96">
        <v>30</v>
      </c>
      <c r="C353" s="83">
        <f>194.205</f>
        <v>194.20500000000001</v>
      </c>
      <c r="D353" s="83">
        <f>267.466</f>
        <v>267.46600000000001</v>
      </c>
      <c r="E353" s="92">
        <f>133.845</f>
        <v>133.845</v>
      </c>
      <c r="F353" s="83">
        <f>278.484-40-25-60-100</f>
        <v>53.48399999999998</v>
      </c>
      <c r="G353" s="86">
        <v>40</v>
      </c>
      <c r="H353" s="83">
        <f t="shared" si="57"/>
        <v>185</v>
      </c>
      <c r="I353" s="83">
        <f t="shared" si="49"/>
        <v>0</v>
      </c>
      <c r="J353" s="86">
        <v>100</v>
      </c>
      <c r="K353" s="86">
        <v>300</v>
      </c>
      <c r="L353" s="83">
        <f t="shared" si="53"/>
        <v>1274</v>
      </c>
      <c r="M353" s="94">
        <v>600</v>
      </c>
      <c r="N353" s="83">
        <f>30</f>
        <v>30</v>
      </c>
      <c r="O353" s="86">
        <v>240</v>
      </c>
      <c r="P353" s="86">
        <v>160</v>
      </c>
      <c r="Q353" s="86">
        <f t="shared" si="54"/>
        <v>195</v>
      </c>
      <c r="R353" s="86">
        <f t="shared" si="55"/>
        <v>100</v>
      </c>
      <c r="S353" s="83">
        <f t="shared" si="56"/>
        <v>695</v>
      </c>
      <c r="T353" s="83">
        <f>50</f>
        <v>50</v>
      </c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</row>
    <row r="354" spans="1:30" ht="15.75" x14ac:dyDescent="0.25">
      <c r="A354" s="33">
        <v>51713</v>
      </c>
      <c r="B354" s="96">
        <v>31</v>
      </c>
      <c r="C354" s="83">
        <f>194.205</f>
        <v>194.20500000000001</v>
      </c>
      <c r="D354" s="83">
        <f>267.466</f>
        <v>267.46600000000001</v>
      </c>
      <c r="E354" s="92">
        <f>133.845</f>
        <v>133.845</v>
      </c>
      <c r="F354" s="83">
        <f>278.484-40-25-60-100</f>
        <v>53.48399999999998</v>
      </c>
      <c r="G354" s="86">
        <v>40</v>
      </c>
      <c r="H354" s="83">
        <f t="shared" si="57"/>
        <v>185</v>
      </c>
      <c r="I354" s="83">
        <f t="shared" si="49"/>
        <v>0</v>
      </c>
      <c r="J354" s="86">
        <v>100</v>
      </c>
      <c r="K354" s="86">
        <v>300</v>
      </c>
      <c r="L354" s="83">
        <f t="shared" si="53"/>
        <v>1274</v>
      </c>
      <c r="M354" s="94">
        <v>600</v>
      </c>
      <c r="N354" s="83">
        <f>30</f>
        <v>30</v>
      </c>
      <c r="O354" s="86">
        <v>240</v>
      </c>
      <c r="P354" s="86">
        <v>160</v>
      </c>
      <c r="Q354" s="86">
        <f t="shared" si="54"/>
        <v>195</v>
      </c>
      <c r="R354" s="86">
        <f t="shared" si="55"/>
        <v>100</v>
      </c>
      <c r="S354" s="83">
        <f t="shared" si="56"/>
        <v>695</v>
      </c>
      <c r="T354" s="83">
        <f>0</f>
        <v>0</v>
      </c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</row>
    <row r="355" spans="1:30" ht="15.75" x14ac:dyDescent="0.25">
      <c r="A355" s="33">
        <v>51744</v>
      </c>
      <c r="B355" s="96">
        <v>31</v>
      </c>
      <c r="C355" s="83">
        <f>194.205</f>
        <v>194.20500000000001</v>
      </c>
      <c r="D355" s="83">
        <f>267.466</f>
        <v>267.46600000000001</v>
      </c>
      <c r="E355" s="92">
        <f>133.845</f>
        <v>133.845</v>
      </c>
      <c r="F355" s="83">
        <f>278.484-40-25-60-100</f>
        <v>53.48399999999998</v>
      </c>
      <c r="G355" s="86">
        <v>40</v>
      </c>
      <c r="H355" s="83">
        <f t="shared" si="57"/>
        <v>185</v>
      </c>
      <c r="I355" s="83">
        <f t="shared" si="49"/>
        <v>0</v>
      </c>
      <c r="J355" s="86">
        <v>100</v>
      </c>
      <c r="K355" s="86">
        <v>300</v>
      </c>
      <c r="L355" s="83">
        <f t="shared" si="53"/>
        <v>1274</v>
      </c>
      <c r="M355" s="94">
        <v>600</v>
      </c>
      <c r="N355" s="83">
        <f>30</f>
        <v>30</v>
      </c>
      <c r="O355" s="86">
        <v>240</v>
      </c>
      <c r="P355" s="86">
        <v>160</v>
      </c>
      <c r="Q355" s="86">
        <f t="shared" si="54"/>
        <v>195</v>
      </c>
      <c r="R355" s="86">
        <f t="shared" si="55"/>
        <v>100</v>
      </c>
      <c r="S355" s="83">
        <f t="shared" si="56"/>
        <v>695</v>
      </c>
      <c r="T355" s="83">
        <f>0</f>
        <v>0</v>
      </c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</row>
    <row r="356" spans="1:30" ht="15.75" x14ac:dyDescent="0.25">
      <c r="A356" s="33">
        <v>51774</v>
      </c>
      <c r="B356" s="96">
        <v>30</v>
      </c>
      <c r="C356" s="83">
        <f>194.205</f>
        <v>194.20500000000001</v>
      </c>
      <c r="D356" s="83">
        <f>267.466</f>
        <v>267.46600000000001</v>
      </c>
      <c r="E356" s="92">
        <f>133.845</f>
        <v>133.845</v>
      </c>
      <c r="F356" s="83">
        <f>278.484-40-25-60-100</f>
        <v>53.48399999999998</v>
      </c>
      <c r="G356" s="86">
        <v>40</v>
      </c>
      <c r="H356" s="83">
        <f t="shared" si="57"/>
        <v>185</v>
      </c>
      <c r="I356" s="83">
        <f t="shared" si="49"/>
        <v>0</v>
      </c>
      <c r="J356" s="86">
        <v>100</v>
      </c>
      <c r="K356" s="86">
        <v>300</v>
      </c>
      <c r="L356" s="83">
        <f t="shared" si="53"/>
        <v>1274</v>
      </c>
      <c r="M356" s="94">
        <v>600</v>
      </c>
      <c r="N356" s="83">
        <f>30</f>
        <v>30</v>
      </c>
      <c r="O356" s="86">
        <v>240</v>
      </c>
      <c r="P356" s="86">
        <v>160</v>
      </c>
      <c r="Q356" s="86">
        <f t="shared" si="54"/>
        <v>195</v>
      </c>
      <c r="R356" s="86">
        <f t="shared" si="55"/>
        <v>100</v>
      </c>
      <c r="S356" s="83">
        <f t="shared" si="56"/>
        <v>695</v>
      </c>
      <c r="T356" s="83">
        <f>0</f>
        <v>0</v>
      </c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</row>
    <row r="357" spans="1:30" ht="15.75" x14ac:dyDescent="0.25">
      <c r="A357" s="33">
        <v>51805</v>
      </c>
      <c r="B357" s="96">
        <v>31</v>
      </c>
      <c r="C357" s="83">
        <f>131.881</f>
        <v>131.881</v>
      </c>
      <c r="D357" s="83">
        <f>277.167</f>
        <v>277.16699999999997</v>
      </c>
      <c r="E357" s="92">
        <f>79.08</f>
        <v>79.08</v>
      </c>
      <c r="F357" s="83">
        <f>350.872-40-25-60-100</f>
        <v>125.87200000000001</v>
      </c>
      <c r="G357" s="86">
        <v>40</v>
      </c>
      <c r="H357" s="83">
        <f t="shared" si="57"/>
        <v>185</v>
      </c>
      <c r="I357" s="83">
        <f t="shared" si="49"/>
        <v>0</v>
      </c>
      <c r="J357" s="86">
        <v>100</v>
      </c>
      <c r="K357" s="86">
        <v>300</v>
      </c>
      <c r="L357" s="83">
        <f t="shared" si="53"/>
        <v>1239</v>
      </c>
      <c r="M357" s="94">
        <v>600</v>
      </c>
      <c r="N357" s="83">
        <f>75</f>
        <v>75</v>
      </c>
      <c r="O357" s="86">
        <v>240</v>
      </c>
      <c r="P357" s="86">
        <v>160</v>
      </c>
      <c r="Q357" s="86">
        <f t="shared" si="54"/>
        <v>195</v>
      </c>
      <c r="R357" s="86">
        <f t="shared" si="55"/>
        <v>100</v>
      </c>
      <c r="S357" s="83">
        <f t="shared" si="56"/>
        <v>695</v>
      </c>
      <c r="T357" s="83">
        <f>0</f>
        <v>0</v>
      </c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</row>
    <row r="358" spans="1:30" ht="15.75" x14ac:dyDescent="0.25">
      <c r="A358" s="33">
        <v>51835</v>
      </c>
      <c r="B358" s="96">
        <v>30</v>
      </c>
      <c r="C358" s="83">
        <f>122.58</f>
        <v>122.58</v>
      </c>
      <c r="D358" s="83">
        <f>297.941</f>
        <v>297.94099999999997</v>
      </c>
      <c r="E358" s="92">
        <f>89.177</f>
        <v>89.177000000000007</v>
      </c>
      <c r="F358" s="83">
        <f>240.302-40-60-100</f>
        <v>40.301999999999992</v>
      </c>
      <c r="G358" s="86">
        <v>40</v>
      </c>
      <c r="H358" s="83">
        <f>60+100</f>
        <v>160</v>
      </c>
      <c r="I358" s="83">
        <f t="shared" si="49"/>
        <v>0</v>
      </c>
      <c r="J358" s="86">
        <v>100</v>
      </c>
      <c r="K358" s="86">
        <v>300</v>
      </c>
      <c r="L358" s="83">
        <f t="shared" si="53"/>
        <v>1150</v>
      </c>
      <c r="M358" s="94">
        <v>600</v>
      </c>
      <c r="N358" s="83">
        <f>100</f>
        <v>100</v>
      </c>
      <c r="O358" s="86">
        <v>240</v>
      </c>
      <c r="P358" s="86">
        <v>40</v>
      </c>
      <c r="Q358" s="86">
        <f t="shared" si="54"/>
        <v>315</v>
      </c>
      <c r="R358" s="86">
        <f t="shared" si="55"/>
        <v>100</v>
      </c>
      <c r="S358" s="83">
        <f t="shared" si="56"/>
        <v>695</v>
      </c>
      <c r="T358" s="83">
        <f>50</f>
        <v>50</v>
      </c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</row>
    <row r="359" spans="1:30" ht="15.75" x14ac:dyDescent="0.25">
      <c r="A359" s="33">
        <v>51866</v>
      </c>
      <c r="B359" s="96">
        <v>31</v>
      </c>
      <c r="C359" s="83">
        <f>122.58</f>
        <v>122.58</v>
      </c>
      <c r="D359" s="83">
        <f>297.941</f>
        <v>297.94099999999997</v>
      </c>
      <c r="E359" s="92">
        <f>89.177</f>
        <v>89.177000000000007</v>
      </c>
      <c r="F359" s="83">
        <f>240.302-40-60-100</f>
        <v>40.301999999999992</v>
      </c>
      <c r="G359" s="86">
        <v>40</v>
      </c>
      <c r="H359" s="83">
        <f>60+100</f>
        <v>160</v>
      </c>
      <c r="I359" s="83">
        <f t="shared" si="49"/>
        <v>0</v>
      </c>
      <c r="J359" s="86">
        <v>100</v>
      </c>
      <c r="K359" s="86">
        <v>300</v>
      </c>
      <c r="L359" s="83">
        <f t="shared" si="53"/>
        <v>1150</v>
      </c>
      <c r="M359" s="94">
        <v>600</v>
      </c>
      <c r="N359" s="83">
        <f>100</f>
        <v>100</v>
      </c>
      <c r="O359" s="86">
        <v>240</v>
      </c>
      <c r="P359" s="86">
        <v>40</v>
      </c>
      <c r="Q359" s="86">
        <f t="shared" si="54"/>
        <v>315</v>
      </c>
      <c r="R359" s="86">
        <f t="shared" si="55"/>
        <v>100</v>
      </c>
      <c r="S359" s="83">
        <f t="shared" si="56"/>
        <v>695</v>
      </c>
      <c r="T359" s="83">
        <f>50</f>
        <v>50</v>
      </c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</row>
    <row r="360" spans="1:30" ht="15.75" x14ac:dyDescent="0.25">
      <c r="A360" s="33">
        <v>51897</v>
      </c>
      <c r="B360" s="96">
        <v>31</v>
      </c>
      <c r="C360" s="83">
        <f>122.58</f>
        <v>122.58</v>
      </c>
      <c r="D360" s="83">
        <f>297.941</f>
        <v>297.94099999999997</v>
      </c>
      <c r="E360" s="92">
        <f>89.177</f>
        <v>89.177000000000007</v>
      </c>
      <c r="F360" s="83">
        <f>240.302-40-60-100</f>
        <v>40.301999999999992</v>
      </c>
      <c r="G360" s="86">
        <v>40</v>
      </c>
      <c r="H360" s="83">
        <f>60+100</f>
        <v>160</v>
      </c>
      <c r="I360" s="83">
        <f t="shared" si="49"/>
        <v>0</v>
      </c>
      <c r="J360" s="86">
        <v>100</v>
      </c>
      <c r="K360" s="86">
        <v>300</v>
      </c>
      <c r="L360" s="83">
        <f t="shared" si="53"/>
        <v>1150</v>
      </c>
      <c r="M360" s="94">
        <v>600</v>
      </c>
      <c r="N360" s="83">
        <f>100</f>
        <v>100</v>
      </c>
      <c r="O360" s="86">
        <v>240</v>
      </c>
      <c r="P360" s="86">
        <v>40</v>
      </c>
      <c r="Q360" s="86">
        <f t="shared" si="54"/>
        <v>315</v>
      </c>
      <c r="R360" s="86">
        <f t="shared" si="55"/>
        <v>100</v>
      </c>
      <c r="S360" s="83">
        <f t="shared" si="56"/>
        <v>695</v>
      </c>
      <c r="T360" s="83">
        <f>50</f>
        <v>50</v>
      </c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</row>
    <row r="361" spans="1:30" ht="15.75" x14ac:dyDescent="0.25">
      <c r="A361" s="33">
        <v>51925</v>
      </c>
      <c r="B361" s="96">
        <v>28</v>
      </c>
      <c r="C361" s="83">
        <f>122.58</f>
        <v>122.58</v>
      </c>
      <c r="D361" s="83">
        <f>297.941</f>
        <v>297.94099999999997</v>
      </c>
      <c r="E361" s="92">
        <f>89.177</f>
        <v>89.177000000000007</v>
      </c>
      <c r="F361" s="83">
        <f>240.302-40-60-100</f>
        <v>40.301999999999992</v>
      </c>
      <c r="G361" s="86">
        <v>40</v>
      </c>
      <c r="H361" s="83">
        <f>60+100</f>
        <v>160</v>
      </c>
      <c r="I361" s="83">
        <f t="shared" si="49"/>
        <v>0</v>
      </c>
      <c r="J361" s="86">
        <v>100</v>
      </c>
      <c r="K361" s="86">
        <v>300</v>
      </c>
      <c r="L361" s="83">
        <f t="shared" si="53"/>
        <v>1150</v>
      </c>
      <c r="M361" s="94">
        <v>600</v>
      </c>
      <c r="N361" s="83">
        <f>100</f>
        <v>100</v>
      </c>
      <c r="O361" s="86">
        <v>240</v>
      </c>
      <c r="P361" s="86">
        <v>40</v>
      </c>
      <c r="Q361" s="86">
        <f t="shared" si="54"/>
        <v>315</v>
      </c>
      <c r="R361" s="86">
        <f t="shared" si="55"/>
        <v>100</v>
      </c>
      <c r="S361" s="83">
        <f t="shared" si="56"/>
        <v>695</v>
      </c>
      <c r="T361" s="83">
        <f>50</f>
        <v>50</v>
      </c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</row>
    <row r="362" spans="1:30" ht="15.75" x14ac:dyDescent="0.25">
      <c r="A362" s="33">
        <v>51956</v>
      </c>
      <c r="B362" s="96">
        <v>31</v>
      </c>
      <c r="C362" s="83">
        <f>122.58</f>
        <v>122.58</v>
      </c>
      <c r="D362" s="83">
        <f>297.941</f>
        <v>297.94099999999997</v>
      </c>
      <c r="E362" s="92">
        <f>89.177</f>
        <v>89.177000000000007</v>
      </c>
      <c r="F362" s="83">
        <f>240.302-40-60-100</f>
        <v>40.301999999999992</v>
      </c>
      <c r="G362" s="86">
        <v>40</v>
      </c>
      <c r="H362" s="83">
        <f>60+100</f>
        <v>160</v>
      </c>
      <c r="I362" s="83">
        <f t="shared" si="49"/>
        <v>0</v>
      </c>
      <c r="J362" s="86">
        <v>100</v>
      </c>
      <c r="K362" s="86">
        <v>300</v>
      </c>
      <c r="L362" s="83">
        <f t="shared" si="53"/>
        <v>1150</v>
      </c>
      <c r="M362" s="94">
        <v>600</v>
      </c>
      <c r="N362" s="83">
        <f>100</f>
        <v>100</v>
      </c>
      <c r="O362" s="86">
        <v>240</v>
      </c>
      <c r="P362" s="86">
        <v>40</v>
      </c>
      <c r="Q362" s="86">
        <f t="shared" si="54"/>
        <v>315</v>
      </c>
      <c r="R362" s="86">
        <f t="shared" si="55"/>
        <v>100</v>
      </c>
      <c r="S362" s="83">
        <f t="shared" si="56"/>
        <v>695</v>
      </c>
      <c r="T362" s="83">
        <f>50</f>
        <v>50</v>
      </c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</row>
    <row r="363" spans="1:30" ht="15.75" x14ac:dyDescent="0.25">
      <c r="A363" s="33">
        <v>51986</v>
      </c>
      <c r="B363" s="96">
        <v>30</v>
      </c>
      <c r="C363" s="83">
        <f>141.293</f>
        <v>141.29300000000001</v>
      </c>
      <c r="D363" s="83">
        <f>267.993</f>
        <v>267.99299999999999</v>
      </c>
      <c r="E363" s="92">
        <f>115.016</f>
        <v>115.01600000000001</v>
      </c>
      <c r="F363" s="83">
        <f>314.698-40-25-60-100</f>
        <v>89.697999999999979</v>
      </c>
      <c r="G363" s="86">
        <v>40</v>
      </c>
      <c r="H363" s="83">
        <f t="shared" ref="H363:H369" si="58">25+60+100</f>
        <v>185</v>
      </c>
      <c r="I363" s="83">
        <f t="shared" si="49"/>
        <v>0</v>
      </c>
      <c r="J363" s="86">
        <v>100</v>
      </c>
      <c r="K363" s="86">
        <v>300</v>
      </c>
      <c r="L363" s="83">
        <f t="shared" si="53"/>
        <v>1239</v>
      </c>
      <c r="M363" s="94">
        <v>600</v>
      </c>
      <c r="N363" s="83">
        <f>100</f>
        <v>100</v>
      </c>
      <c r="O363" s="86">
        <v>240</v>
      </c>
      <c r="P363" s="86">
        <v>160</v>
      </c>
      <c r="Q363" s="86">
        <f t="shared" si="54"/>
        <v>195</v>
      </c>
      <c r="R363" s="86">
        <f t="shared" si="55"/>
        <v>100</v>
      </c>
      <c r="S363" s="83">
        <f t="shared" si="56"/>
        <v>695</v>
      </c>
      <c r="T363" s="83">
        <f>50</f>
        <v>50</v>
      </c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</row>
    <row r="364" spans="1:30" ht="15.75" x14ac:dyDescent="0.25">
      <c r="A364" s="33">
        <v>52017</v>
      </c>
      <c r="B364" s="96">
        <v>31</v>
      </c>
      <c r="C364" s="83">
        <f>194.205</f>
        <v>194.20500000000001</v>
      </c>
      <c r="D364" s="83">
        <f>267.466</f>
        <v>267.46600000000001</v>
      </c>
      <c r="E364" s="92">
        <f>133.845</f>
        <v>133.845</v>
      </c>
      <c r="F364" s="83">
        <f>278.484-40-25-60-100</f>
        <v>53.48399999999998</v>
      </c>
      <c r="G364" s="86">
        <v>40</v>
      </c>
      <c r="H364" s="83">
        <f t="shared" si="58"/>
        <v>185</v>
      </c>
      <c r="I364" s="83">
        <f t="shared" si="49"/>
        <v>0</v>
      </c>
      <c r="J364" s="86">
        <v>100</v>
      </c>
      <c r="K364" s="86">
        <v>300</v>
      </c>
      <c r="L364" s="83">
        <f t="shared" si="53"/>
        <v>1274</v>
      </c>
      <c r="M364" s="94">
        <v>600</v>
      </c>
      <c r="N364" s="83">
        <f>75</f>
        <v>75</v>
      </c>
      <c r="O364" s="86">
        <v>240</v>
      </c>
      <c r="P364" s="86">
        <v>160</v>
      </c>
      <c r="Q364" s="86">
        <f t="shared" si="54"/>
        <v>195</v>
      </c>
      <c r="R364" s="86">
        <f t="shared" si="55"/>
        <v>100</v>
      </c>
      <c r="S364" s="83">
        <f t="shared" si="56"/>
        <v>695</v>
      </c>
      <c r="T364" s="83">
        <f>50</f>
        <v>50</v>
      </c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</row>
    <row r="365" spans="1:30" ht="15.75" x14ac:dyDescent="0.25">
      <c r="A365" s="33">
        <v>52047</v>
      </c>
      <c r="B365" s="96">
        <v>30</v>
      </c>
      <c r="C365" s="83">
        <f>194.205</f>
        <v>194.20500000000001</v>
      </c>
      <c r="D365" s="83">
        <f>267.466</f>
        <v>267.46600000000001</v>
      </c>
      <c r="E365" s="92">
        <f>133.845</f>
        <v>133.845</v>
      </c>
      <c r="F365" s="83">
        <f>278.484-40-25-60-100</f>
        <v>53.48399999999998</v>
      </c>
      <c r="G365" s="86">
        <v>40</v>
      </c>
      <c r="H365" s="83">
        <f t="shared" si="58"/>
        <v>185</v>
      </c>
      <c r="I365" s="83">
        <f t="shared" si="49"/>
        <v>0</v>
      </c>
      <c r="J365" s="86">
        <v>100</v>
      </c>
      <c r="K365" s="86">
        <v>300</v>
      </c>
      <c r="L365" s="83">
        <f t="shared" si="53"/>
        <v>1274</v>
      </c>
      <c r="M365" s="94">
        <v>600</v>
      </c>
      <c r="N365" s="83">
        <f>30</f>
        <v>30</v>
      </c>
      <c r="O365" s="86">
        <v>240</v>
      </c>
      <c r="P365" s="86">
        <v>160</v>
      </c>
      <c r="Q365" s="86">
        <f t="shared" si="54"/>
        <v>195</v>
      </c>
      <c r="R365" s="86">
        <f t="shared" si="55"/>
        <v>100</v>
      </c>
      <c r="S365" s="83">
        <f t="shared" si="56"/>
        <v>695</v>
      </c>
      <c r="T365" s="83">
        <f>50</f>
        <v>50</v>
      </c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</row>
    <row r="366" spans="1:30" ht="15.75" x14ac:dyDescent="0.25">
      <c r="A366" s="33">
        <v>52078</v>
      </c>
      <c r="B366" s="96">
        <v>31</v>
      </c>
      <c r="C366" s="83">
        <f>194.205</f>
        <v>194.20500000000001</v>
      </c>
      <c r="D366" s="83">
        <f>267.466</f>
        <v>267.46600000000001</v>
      </c>
      <c r="E366" s="92">
        <f>133.845</f>
        <v>133.845</v>
      </c>
      <c r="F366" s="83">
        <f>278.484-40-25-60-100</f>
        <v>53.48399999999998</v>
      </c>
      <c r="G366" s="86">
        <v>40</v>
      </c>
      <c r="H366" s="83">
        <f t="shared" si="58"/>
        <v>185</v>
      </c>
      <c r="I366" s="83">
        <f t="shared" si="49"/>
        <v>0</v>
      </c>
      <c r="J366" s="86">
        <v>100</v>
      </c>
      <c r="K366" s="86">
        <v>300</v>
      </c>
      <c r="L366" s="83">
        <f t="shared" si="53"/>
        <v>1274</v>
      </c>
      <c r="M366" s="94">
        <v>600</v>
      </c>
      <c r="N366" s="83">
        <f>30</f>
        <v>30</v>
      </c>
      <c r="O366" s="86">
        <v>240</v>
      </c>
      <c r="P366" s="86">
        <v>160</v>
      </c>
      <c r="Q366" s="86">
        <f t="shared" si="54"/>
        <v>195</v>
      </c>
      <c r="R366" s="86">
        <f t="shared" si="55"/>
        <v>100</v>
      </c>
      <c r="S366" s="83">
        <f t="shared" si="56"/>
        <v>695</v>
      </c>
      <c r="T366" s="83">
        <f>0</f>
        <v>0</v>
      </c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</row>
    <row r="367" spans="1:30" ht="15.75" x14ac:dyDescent="0.25">
      <c r="A367" s="33">
        <v>52109</v>
      </c>
      <c r="B367" s="96">
        <v>31</v>
      </c>
      <c r="C367" s="83">
        <f>194.205</f>
        <v>194.20500000000001</v>
      </c>
      <c r="D367" s="83">
        <f>267.466</f>
        <v>267.46600000000001</v>
      </c>
      <c r="E367" s="92">
        <f>133.845</f>
        <v>133.845</v>
      </c>
      <c r="F367" s="83">
        <f>278.484-40-25-60-100</f>
        <v>53.48399999999998</v>
      </c>
      <c r="G367" s="86">
        <v>40</v>
      </c>
      <c r="H367" s="83">
        <f t="shared" si="58"/>
        <v>185</v>
      </c>
      <c r="I367" s="83">
        <f t="shared" si="49"/>
        <v>0</v>
      </c>
      <c r="J367" s="86">
        <v>100</v>
      </c>
      <c r="K367" s="86">
        <v>300</v>
      </c>
      <c r="L367" s="83">
        <f t="shared" si="53"/>
        <v>1274</v>
      </c>
      <c r="M367" s="94">
        <v>600</v>
      </c>
      <c r="N367" s="83">
        <f>30</f>
        <v>30</v>
      </c>
      <c r="O367" s="86">
        <v>240</v>
      </c>
      <c r="P367" s="86">
        <v>160</v>
      </c>
      <c r="Q367" s="86">
        <f t="shared" si="54"/>
        <v>195</v>
      </c>
      <c r="R367" s="86">
        <f t="shared" si="55"/>
        <v>100</v>
      </c>
      <c r="S367" s="83">
        <f t="shared" si="56"/>
        <v>695</v>
      </c>
      <c r="T367" s="83">
        <f>0</f>
        <v>0</v>
      </c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</row>
    <row r="368" spans="1:30" ht="15.75" x14ac:dyDescent="0.25">
      <c r="A368" s="33">
        <v>52139</v>
      </c>
      <c r="B368" s="96">
        <v>30</v>
      </c>
      <c r="C368" s="83">
        <f>194.205</f>
        <v>194.20500000000001</v>
      </c>
      <c r="D368" s="83">
        <f>267.466</f>
        <v>267.46600000000001</v>
      </c>
      <c r="E368" s="92">
        <f>133.845</f>
        <v>133.845</v>
      </c>
      <c r="F368" s="83">
        <f>278.484-40-25-60-100</f>
        <v>53.48399999999998</v>
      </c>
      <c r="G368" s="86">
        <v>40</v>
      </c>
      <c r="H368" s="83">
        <f t="shared" si="58"/>
        <v>185</v>
      </c>
      <c r="I368" s="83">
        <f t="shared" si="49"/>
        <v>0</v>
      </c>
      <c r="J368" s="86">
        <v>100</v>
      </c>
      <c r="K368" s="86">
        <v>300</v>
      </c>
      <c r="L368" s="83">
        <f t="shared" si="53"/>
        <v>1274</v>
      </c>
      <c r="M368" s="94">
        <v>600</v>
      </c>
      <c r="N368" s="83">
        <f>30</f>
        <v>30</v>
      </c>
      <c r="O368" s="86">
        <v>240</v>
      </c>
      <c r="P368" s="86">
        <v>160</v>
      </c>
      <c r="Q368" s="86">
        <f t="shared" si="54"/>
        <v>195</v>
      </c>
      <c r="R368" s="86">
        <f t="shared" si="55"/>
        <v>100</v>
      </c>
      <c r="S368" s="83">
        <f t="shared" si="56"/>
        <v>695</v>
      </c>
      <c r="T368" s="83">
        <f>0</f>
        <v>0</v>
      </c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</row>
    <row r="369" spans="1:30" ht="15.75" x14ac:dyDescent="0.25">
      <c r="A369" s="33">
        <v>52170</v>
      </c>
      <c r="B369" s="96">
        <v>31</v>
      </c>
      <c r="C369" s="83">
        <f>131.881</f>
        <v>131.881</v>
      </c>
      <c r="D369" s="83">
        <f>277.167</f>
        <v>277.16699999999997</v>
      </c>
      <c r="E369" s="92">
        <f>79.08</f>
        <v>79.08</v>
      </c>
      <c r="F369" s="83">
        <f>350.872-40-25-60-100</f>
        <v>125.87200000000001</v>
      </c>
      <c r="G369" s="86">
        <v>40</v>
      </c>
      <c r="H369" s="83">
        <f t="shared" si="58"/>
        <v>185</v>
      </c>
      <c r="I369" s="83">
        <f t="shared" si="49"/>
        <v>0</v>
      </c>
      <c r="J369" s="86">
        <v>100</v>
      </c>
      <c r="K369" s="86">
        <v>300</v>
      </c>
      <c r="L369" s="83">
        <f t="shared" si="53"/>
        <v>1239</v>
      </c>
      <c r="M369" s="94">
        <v>600</v>
      </c>
      <c r="N369" s="83">
        <f>75</f>
        <v>75</v>
      </c>
      <c r="O369" s="86">
        <v>240</v>
      </c>
      <c r="P369" s="86">
        <v>160</v>
      </c>
      <c r="Q369" s="86">
        <f t="shared" si="54"/>
        <v>195</v>
      </c>
      <c r="R369" s="86">
        <f t="shared" si="55"/>
        <v>100</v>
      </c>
      <c r="S369" s="83">
        <f t="shared" si="56"/>
        <v>695</v>
      </c>
      <c r="T369" s="83">
        <f>0</f>
        <v>0</v>
      </c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</row>
    <row r="370" spans="1:30" ht="15.75" x14ac:dyDescent="0.25">
      <c r="A370" s="33">
        <v>52200</v>
      </c>
      <c r="B370" s="96">
        <v>30</v>
      </c>
      <c r="C370" s="83">
        <f>122.58</f>
        <v>122.58</v>
      </c>
      <c r="D370" s="83">
        <f>297.941</f>
        <v>297.94099999999997</v>
      </c>
      <c r="E370" s="92">
        <f>89.177</f>
        <v>89.177000000000007</v>
      </c>
      <c r="F370" s="83">
        <f>240.302-40-60-100</f>
        <v>40.301999999999992</v>
      </c>
      <c r="G370" s="86">
        <v>40</v>
      </c>
      <c r="H370" s="83">
        <f>60+100</f>
        <v>160</v>
      </c>
      <c r="I370" s="83">
        <f t="shared" si="49"/>
        <v>0</v>
      </c>
      <c r="J370" s="86">
        <v>100</v>
      </c>
      <c r="K370" s="86">
        <v>300</v>
      </c>
      <c r="L370" s="83">
        <f t="shared" si="53"/>
        <v>1150</v>
      </c>
      <c r="M370" s="94">
        <v>600</v>
      </c>
      <c r="N370" s="83">
        <f>100</f>
        <v>100</v>
      </c>
      <c r="O370" s="86">
        <v>240</v>
      </c>
      <c r="P370" s="86">
        <v>40</v>
      </c>
      <c r="Q370" s="86">
        <f t="shared" si="54"/>
        <v>315</v>
      </c>
      <c r="R370" s="86">
        <f t="shared" si="55"/>
        <v>100</v>
      </c>
      <c r="S370" s="83">
        <f t="shared" si="56"/>
        <v>695</v>
      </c>
      <c r="T370" s="83">
        <f>50</f>
        <v>50</v>
      </c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</row>
    <row r="371" spans="1:30" ht="15.75" x14ac:dyDescent="0.25">
      <c r="A371" s="33">
        <v>52231</v>
      </c>
      <c r="B371" s="96">
        <v>31</v>
      </c>
      <c r="C371" s="83">
        <f>122.58</f>
        <v>122.58</v>
      </c>
      <c r="D371" s="83">
        <f>297.941</f>
        <v>297.94099999999997</v>
      </c>
      <c r="E371" s="92">
        <f>89.177</f>
        <v>89.177000000000007</v>
      </c>
      <c r="F371" s="83">
        <f>240.302-40-60-100</f>
        <v>40.301999999999992</v>
      </c>
      <c r="G371" s="86">
        <v>40</v>
      </c>
      <c r="H371" s="83">
        <f>60+100</f>
        <v>160</v>
      </c>
      <c r="I371" s="83">
        <f t="shared" si="49"/>
        <v>0</v>
      </c>
      <c r="J371" s="86">
        <v>100</v>
      </c>
      <c r="K371" s="86">
        <v>300</v>
      </c>
      <c r="L371" s="83">
        <f t="shared" si="53"/>
        <v>1150</v>
      </c>
      <c r="M371" s="94">
        <v>600</v>
      </c>
      <c r="N371" s="83">
        <f>100</f>
        <v>100</v>
      </c>
      <c r="O371" s="86">
        <v>240</v>
      </c>
      <c r="P371" s="86">
        <v>40</v>
      </c>
      <c r="Q371" s="86">
        <f t="shared" si="54"/>
        <v>315</v>
      </c>
      <c r="R371" s="86">
        <f t="shared" si="55"/>
        <v>100</v>
      </c>
      <c r="S371" s="83">
        <f t="shared" si="56"/>
        <v>695</v>
      </c>
      <c r="T371" s="83">
        <f>50</f>
        <v>50</v>
      </c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</row>
    <row r="372" spans="1:30" ht="15.75" x14ac:dyDescent="0.25">
      <c r="A372" s="33">
        <v>52262</v>
      </c>
      <c r="B372" s="96">
        <v>31</v>
      </c>
      <c r="C372" s="83">
        <f>122.58</f>
        <v>122.58</v>
      </c>
      <c r="D372" s="83">
        <f>297.941</f>
        <v>297.94099999999997</v>
      </c>
      <c r="E372" s="92">
        <f>89.177</f>
        <v>89.177000000000007</v>
      </c>
      <c r="F372" s="83">
        <f>240.302-40-60-100</f>
        <v>40.301999999999992</v>
      </c>
      <c r="G372" s="86">
        <v>40</v>
      </c>
      <c r="H372" s="83">
        <f>60+100</f>
        <v>160</v>
      </c>
      <c r="I372" s="83">
        <f t="shared" ref="I372:I435" si="59">400-J372-K372</f>
        <v>0</v>
      </c>
      <c r="J372" s="86">
        <v>100</v>
      </c>
      <c r="K372" s="86">
        <v>300</v>
      </c>
      <c r="L372" s="83">
        <f t="shared" si="53"/>
        <v>1150</v>
      </c>
      <c r="M372" s="94">
        <v>600</v>
      </c>
      <c r="N372" s="83">
        <f>100</f>
        <v>100</v>
      </c>
      <c r="O372" s="86">
        <v>240</v>
      </c>
      <c r="P372" s="86">
        <v>40</v>
      </c>
      <c r="Q372" s="86">
        <f t="shared" si="54"/>
        <v>315</v>
      </c>
      <c r="R372" s="86">
        <f t="shared" si="55"/>
        <v>100</v>
      </c>
      <c r="S372" s="83">
        <f t="shared" si="56"/>
        <v>695</v>
      </c>
      <c r="T372" s="83">
        <f>50</f>
        <v>50</v>
      </c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</row>
    <row r="373" spans="1:30" ht="15.75" x14ac:dyDescent="0.25">
      <c r="A373" s="33">
        <v>52290</v>
      </c>
      <c r="B373" s="96">
        <v>28</v>
      </c>
      <c r="C373" s="83">
        <f>122.58</f>
        <v>122.58</v>
      </c>
      <c r="D373" s="83">
        <f>297.941</f>
        <v>297.94099999999997</v>
      </c>
      <c r="E373" s="92">
        <f>89.177</f>
        <v>89.177000000000007</v>
      </c>
      <c r="F373" s="83">
        <f>240.302-40-60-100</f>
        <v>40.301999999999992</v>
      </c>
      <c r="G373" s="86">
        <v>40</v>
      </c>
      <c r="H373" s="83">
        <f>60+100</f>
        <v>160</v>
      </c>
      <c r="I373" s="83">
        <f t="shared" si="59"/>
        <v>0</v>
      </c>
      <c r="J373" s="86">
        <v>100</v>
      </c>
      <c r="K373" s="86">
        <v>300</v>
      </c>
      <c r="L373" s="83">
        <f t="shared" si="53"/>
        <v>1150</v>
      </c>
      <c r="M373" s="94">
        <v>600</v>
      </c>
      <c r="N373" s="83">
        <f>100</f>
        <v>100</v>
      </c>
      <c r="O373" s="86">
        <v>240</v>
      </c>
      <c r="P373" s="86">
        <v>40</v>
      </c>
      <c r="Q373" s="86">
        <f t="shared" si="54"/>
        <v>315</v>
      </c>
      <c r="R373" s="86">
        <f t="shared" si="55"/>
        <v>100</v>
      </c>
      <c r="S373" s="83">
        <f t="shared" si="56"/>
        <v>695</v>
      </c>
      <c r="T373" s="83">
        <f>50</f>
        <v>50</v>
      </c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</row>
    <row r="374" spans="1:30" ht="15.75" x14ac:dyDescent="0.25">
      <c r="A374" s="33">
        <v>52321</v>
      </c>
      <c r="B374" s="96">
        <v>31</v>
      </c>
      <c r="C374" s="83">
        <f>122.58</f>
        <v>122.58</v>
      </c>
      <c r="D374" s="83">
        <f>297.941</f>
        <v>297.94099999999997</v>
      </c>
      <c r="E374" s="92">
        <f>89.177</f>
        <v>89.177000000000007</v>
      </c>
      <c r="F374" s="83">
        <f>240.302-40-60-100</f>
        <v>40.301999999999992</v>
      </c>
      <c r="G374" s="86">
        <v>40</v>
      </c>
      <c r="H374" s="83">
        <f>60+100</f>
        <v>160</v>
      </c>
      <c r="I374" s="83">
        <f t="shared" si="59"/>
        <v>0</v>
      </c>
      <c r="J374" s="86">
        <v>100</v>
      </c>
      <c r="K374" s="86">
        <v>300</v>
      </c>
      <c r="L374" s="83">
        <f t="shared" si="53"/>
        <v>1150</v>
      </c>
      <c r="M374" s="94">
        <v>600</v>
      </c>
      <c r="N374" s="83">
        <f>100</f>
        <v>100</v>
      </c>
      <c r="O374" s="86">
        <v>240</v>
      </c>
      <c r="P374" s="86">
        <v>40</v>
      </c>
      <c r="Q374" s="86">
        <f t="shared" si="54"/>
        <v>315</v>
      </c>
      <c r="R374" s="86">
        <f t="shared" si="55"/>
        <v>100</v>
      </c>
      <c r="S374" s="83">
        <f t="shared" si="56"/>
        <v>695</v>
      </c>
      <c r="T374" s="83">
        <f>50</f>
        <v>50</v>
      </c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</row>
    <row r="375" spans="1:30" ht="15.75" x14ac:dyDescent="0.25">
      <c r="A375" s="33">
        <v>52351</v>
      </c>
      <c r="B375" s="96">
        <v>30</v>
      </c>
      <c r="C375" s="83">
        <f>141.293</f>
        <v>141.29300000000001</v>
      </c>
      <c r="D375" s="83">
        <f>267.993</f>
        <v>267.99299999999999</v>
      </c>
      <c r="E375" s="92">
        <f>115.016</f>
        <v>115.01600000000001</v>
      </c>
      <c r="F375" s="83">
        <f>314.698-40-25-60-100</f>
        <v>89.697999999999979</v>
      </c>
      <c r="G375" s="86">
        <v>40</v>
      </c>
      <c r="H375" s="83">
        <f t="shared" ref="H375:H381" si="60">25+60+100</f>
        <v>185</v>
      </c>
      <c r="I375" s="83">
        <f t="shared" si="59"/>
        <v>0</v>
      </c>
      <c r="J375" s="86">
        <v>100</v>
      </c>
      <c r="K375" s="86">
        <v>300</v>
      </c>
      <c r="L375" s="83">
        <f t="shared" si="53"/>
        <v>1239</v>
      </c>
      <c r="M375" s="94">
        <v>600</v>
      </c>
      <c r="N375" s="83">
        <f>100</f>
        <v>100</v>
      </c>
      <c r="O375" s="86">
        <v>240</v>
      </c>
      <c r="P375" s="86">
        <v>160</v>
      </c>
      <c r="Q375" s="86">
        <f t="shared" si="54"/>
        <v>195</v>
      </c>
      <c r="R375" s="86">
        <f t="shared" si="55"/>
        <v>100</v>
      </c>
      <c r="S375" s="83">
        <f t="shared" si="56"/>
        <v>695</v>
      </c>
      <c r="T375" s="83">
        <f>50</f>
        <v>50</v>
      </c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</row>
    <row r="376" spans="1:30" ht="15.75" x14ac:dyDescent="0.25">
      <c r="A376" s="33">
        <v>52382</v>
      </c>
      <c r="B376" s="96">
        <v>31</v>
      </c>
      <c r="C376" s="83">
        <f>194.205</f>
        <v>194.20500000000001</v>
      </c>
      <c r="D376" s="83">
        <f>267.466</f>
        <v>267.46600000000001</v>
      </c>
      <c r="E376" s="92">
        <f>133.845</f>
        <v>133.845</v>
      </c>
      <c r="F376" s="83">
        <f>278.484-40-25-60-100</f>
        <v>53.48399999999998</v>
      </c>
      <c r="G376" s="86">
        <v>40</v>
      </c>
      <c r="H376" s="83">
        <f t="shared" si="60"/>
        <v>185</v>
      </c>
      <c r="I376" s="83">
        <f t="shared" si="59"/>
        <v>0</v>
      </c>
      <c r="J376" s="86">
        <v>100</v>
      </c>
      <c r="K376" s="86">
        <v>300</v>
      </c>
      <c r="L376" s="83">
        <f t="shared" si="53"/>
        <v>1274</v>
      </c>
      <c r="M376" s="94">
        <v>600</v>
      </c>
      <c r="N376" s="83">
        <f>75</f>
        <v>75</v>
      </c>
      <c r="O376" s="86">
        <v>240</v>
      </c>
      <c r="P376" s="86">
        <v>160</v>
      </c>
      <c r="Q376" s="86">
        <f t="shared" si="54"/>
        <v>195</v>
      </c>
      <c r="R376" s="86">
        <f t="shared" si="55"/>
        <v>100</v>
      </c>
      <c r="S376" s="83">
        <f t="shared" si="56"/>
        <v>695</v>
      </c>
      <c r="T376" s="83">
        <f>50</f>
        <v>50</v>
      </c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</row>
    <row r="377" spans="1:30" ht="15.75" x14ac:dyDescent="0.25">
      <c r="A377" s="33">
        <v>52412</v>
      </c>
      <c r="B377" s="96">
        <v>30</v>
      </c>
      <c r="C377" s="83">
        <f>194.205</f>
        <v>194.20500000000001</v>
      </c>
      <c r="D377" s="83">
        <f>267.466</f>
        <v>267.46600000000001</v>
      </c>
      <c r="E377" s="92">
        <f>133.845</f>
        <v>133.845</v>
      </c>
      <c r="F377" s="83">
        <f>278.484-40-25-60-100</f>
        <v>53.48399999999998</v>
      </c>
      <c r="G377" s="86">
        <v>40</v>
      </c>
      <c r="H377" s="83">
        <f t="shared" si="60"/>
        <v>185</v>
      </c>
      <c r="I377" s="83">
        <f t="shared" si="59"/>
        <v>0</v>
      </c>
      <c r="J377" s="86">
        <v>100</v>
      </c>
      <c r="K377" s="86">
        <v>300</v>
      </c>
      <c r="L377" s="83">
        <f t="shared" si="53"/>
        <v>1274</v>
      </c>
      <c r="M377" s="94">
        <v>600</v>
      </c>
      <c r="N377" s="83">
        <f>30</f>
        <v>30</v>
      </c>
      <c r="O377" s="86">
        <v>240</v>
      </c>
      <c r="P377" s="86">
        <v>160</v>
      </c>
      <c r="Q377" s="86">
        <f t="shared" si="54"/>
        <v>195</v>
      </c>
      <c r="R377" s="86">
        <f t="shared" si="55"/>
        <v>100</v>
      </c>
      <c r="S377" s="83">
        <f t="shared" si="56"/>
        <v>695</v>
      </c>
      <c r="T377" s="83">
        <f>50</f>
        <v>50</v>
      </c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</row>
    <row r="378" spans="1:30" ht="15.75" x14ac:dyDescent="0.25">
      <c r="A378" s="33">
        <v>52443</v>
      </c>
      <c r="B378" s="96">
        <v>31</v>
      </c>
      <c r="C378" s="83">
        <f>194.205</f>
        <v>194.20500000000001</v>
      </c>
      <c r="D378" s="83">
        <f>267.466</f>
        <v>267.46600000000001</v>
      </c>
      <c r="E378" s="92">
        <f>133.845</f>
        <v>133.845</v>
      </c>
      <c r="F378" s="83">
        <f>278.484-40-25-60-100</f>
        <v>53.48399999999998</v>
      </c>
      <c r="G378" s="86">
        <v>40</v>
      </c>
      <c r="H378" s="83">
        <f t="shared" si="60"/>
        <v>185</v>
      </c>
      <c r="I378" s="83">
        <f t="shared" si="59"/>
        <v>0</v>
      </c>
      <c r="J378" s="86">
        <v>100</v>
      </c>
      <c r="K378" s="86">
        <v>300</v>
      </c>
      <c r="L378" s="83">
        <f t="shared" si="53"/>
        <v>1274</v>
      </c>
      <c r="M378" s="94">
        <v>600</v>
      </c>
      <c r="N378" s="83">
        <f>30</f>
        <v>30</v>
      </c>
      <c r="O378" s="86">
        <v>240</v>
      </c>
      <c r="P378" s="86">
        <v>160</v>
      </c>
      <c r="Q378" s="86">
        <f t="shared" si="54"/>
        <v>195</v>
      </c>
      <c r="R378" s="86">
        <f t="shared" si="55"/>
        <v>100</v>
      </c>
      <c r="S378" s="83">
        <f t="shared" si="56"/>
        <v>695</v>
      </c>
      <c r="T378" s="83">
        <f>0</f>
        <v>0</v>
      </c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</row>
    <row r="379" spans="1:30" ht="15.75" x14ac:dyDescent="0.25">
      <c r="A379" s="33">
        <v>52474</v>
      </c>
      <c r="B379" s="96">
        <v>31</v>
      </c>
      <c r="C379" s="83">
        <f>194.205</f>
        <v>194.20500000000001</v>
      </c>
      <c r="D379" s="83">
        <f>267.466</f>
        <v>267.46600000000001</v>
      </c>
      <c r="E379" s="92">
        <f>133.845</f>
        <v>133.845</v>
      </c>
      <c r="F379" s="83">
        <f>278.484-40-25-60-100</f>
        <v>53.48399999999998</v>
      </c>
      <c r="G379" s="86">
        <v>40</v>
      </c>
      <c r="H379" s="83">
        <f t="shared" si="60"/>
        <v>185</v>
      </c>
      <c r="I379" s="83">
        <f t="shared" si="59"/>
        <v>0</v>
      </c>
      <c r="J379" s="86">
        <v>100</v>
      </c>
      <c r="K379" s="86">
        <v>300</v>
      </c>
      <c r="L379" s="83">
        <f t="shared" si="53"/>
        <v>1274</v>
      </c>
      <c r="M379" s="94">
        <v>600</v>
      </c>
      <c r="N379" s="83">
        <f>30</f>
        <v>30</v>
      </c>
      <c r="O379" s="86">
        <v>240</v>
      </c>
      <c r="P379" s="86">
        <v>160</v>
      </c>
      <c r="Q379" s="86">
        <f t="shared" si="54"/>
        <v>195</v>
      </c>
      <c r="R379" s="86">
        <f t="shared" si="55"/>
        <v>100</v>
      </c>
      <c r="S379" s="83">
        <f t="shared" si="56"/>
        <v>695</v>
      </c>
      <c r="T379" s="83">
        <f>0</f>
        <v>0</v>
      </c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</row>
    <row r="380" spans="1:30" ht="15.75" x14ac:dyDescent="0.25">
      <c r="A380" s="33">
        <v>52504</v>
      </c>
      <c r="B380" s="96">
        <v>30</v>
      </c>
      <c r="C380" s="83">
        <f>194.205</f>
        <v>194.20500000000001</v>
      </c>
      <c r="D380" s="83">
        <f>267.466</f>
        <v>267.46600000000001</v>
      </c>
      <c r="E380" s="92">
        <f>133.845</f>
        <v>133.845</v>
      </c>
      <c r="F380" s="83">
        <f>278.484-40-25-60-100</f>
        <v>53.48399999999998</v>
      </c>
      <c r="G380" s="86">
        <v>40</v>
      </c>
      <c r="H380" s="83">
        <f t="shared" si="60"/>
        <v>185</v>
      </c>
      <c r="I380" s="83">
        <f t="shared" si="59"/>
        <v>0</v>
      </c>
      <c r="J380" s="86">
        <v>100</v>
      </c>
      <c r="K380" s="86">
        <v>300</v>
      </c>
      <c r="L380" s="83">
        <f t="shared" si="53"/>
        <v>1274</v>
      </c>
      <c r="M380" s="94">
        <v>600</v>
      </c>
      <c r="N380" s="83">
        <f>30</f>
        <v>30</v>
      </c>
      <c r="O380" s="86">
        <v>240</v>
      </c>
      <c r="P380" s="86">
        <v>160</v>
      </c>
      <c r="Q380" s="86">
        <f t="shared" si="54"/>
        <v>195</v>
      </c>
      <c r="R380" s="86">
        <f t="shared" si="55"/>
        <v>100</v>
      </c>
      <c r="S380" s="83">
        <f t="shared" si="56"/>
        <v>695</v>
      </c>
      <c r="T380" s="83">
        <f>0</f>
        <v>0</v>
      </c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</row>
    <row r="381" spans="1:30" ht="15.75" x14ac:dyDescent="0.25">
      <c r="A381" s="33">
        <v>52535</v>
      </c>
      <c r="B381" s="96">
        <v>31</v>
      </c>
      <c r="C381" s="83">
        <f>131.881</f>
        <v>131.881</v>
      </c>
      <c r="D381" s="83">
        <f>277.167</f>
        <v>277.16699999999997</v>
      </c>
      <c r="E381" s="92">
        <f>79.08</f>
        <v>79.08</v>
      </c>
      <c r="F381" s="83">
        <f>350.872-40-25-60-100</f>
        <v>125.87200000000001</v>
      </c>
      <c r="G381" s="86">
        <v>40</v>
      </c>
      <c r="H381" s="83">
        <f t="shared" si="60"/>
        <v>185</v>
      </c>
      <c r="I381" s="83">
        <f t="shared" si="59"/>
        <v>0</v>
      </c>
      <c r="J381" s="86">
        <v>100</v>
      </c>
      <c r="K381" s="86">
        <v>300</v>
      </c>
      <c r="L381" s="83">
        <f t="shared" si="53"/>
        <v>1239</v>
      </c>
      <c r="M381" s="94">
        <v>600</v>
      </c>
      <c r="N381" s="83">
        <f>75</f>
        <v>75</v>
      </c>
      <c r="O381" s="86">
        <v>240</v>
      </c>
      <c r="P381" s="86">
        <v>160</v>
      </c>
      <c r="Q381" s="86">
        <f t="shared" si="54"/>
        <v>195</v>
      </c>
      <c r="R381" s="86">
        <f t="shared" si="55"/>
        <v>100</v>
      </c>
      <c r="S381" s="83">
        <f t="shared" si="56"/>
        <v>695</v>
      </c>
      <c r="T381" s="83">
        <f>0</f>
        <v>0</v>
      </c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</row>
    <row r="382" spans="1:30" ht="15.75" x14ac:dyDescent="0.25">
      <c r="A382" s="33">
        <v>52565</v>
      </c>
      <c r="B382" s="96">
        <v>30</v>
      </c>
      <c r="C382" s="83">
        <f>122.58</f>
        <v>122.58</v>
      </c>
      <c r="D382" s="83">
        <f>297.941</f>
        <v>297.94099999999997</v>
      </c>
      <c r="E382" s="92">
        <f>89.177</f>
        <v>89.177000000000007</v>
      </c>
      <c r="F382" s="83">
        <f>240.302-40-60-100</f>
        <v>40.301999999999992</v>
      </c>
      <c r="G382" s="86">
        <v>40</v>
      </c>
      <c r="H382" s="83">
        <f>60+100</f>
        <v>160</v>
      </c>
      <c r="I382" s="83">
        <f t="shared" si="59"/>
        <v>0</v>
      </c>
      <c r="J382" s="86">
        <v>100</v>
      </c>
      <c r="K382" s="86">
        <v>300</v>
      </c>
      <c r="L382" s="83">
        <f t="shared" si="53"/>
        <v>1150</v>
      </c>
      <c r="M382" s="94">
        <v>600</v>
      </c>
      <c r="N382" s="83">
        <f>100</f>
        <v>100</v>
      </c>
      <c r="O382" s="86">
        <v>240</v>
      </c>
      <c r="P382" s="86">
        <v>40</v>
      </c>
      <c r="Q382" s="86">
        <f t="shared" si="54"/>
        <v>315</v>
      </c>
      <c r="R382" s="86">
        <f t="shared" si="55"/>
        <v>100</v>
      </c>
      <c r="S382" s="83">
        <f t="shared" si="56"/>
        <v>695</v>
      </c>
      <c r="T382" s="83">
        <f>50</f>
        <v>50</v>
      </c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</row>
    <row r="383" spans="1:30" ht="15.75" x14ac:dyDescent="0.25">
      <c r="A383" s="33">
        <v>52596</v>
      </c>
      <c r="B383" s="96">
        <v>31</v>
      </c>
      <c r="C383" s="83">
        <f>122.58</f>
        <v>122.58</v>
      </c>
      <c r="D383" s="83">
        <f>297.941</f>
        <v>297.94099999999997</v>
      </c>
      <c r="E383" s="92">
        <f>89.177</f>
        <v>89.177000000000007</v>
      </c>
      <c r="F383" s="83">
        <f>240.302-40-60-100</f>
        <v>40.301999999999992</v>
      </c>
      <c r="G383" s="86">
        <v>40</v>
      </c>
      <c r="H383" s="83">
        <f>60+100</f>
        <v>160</v>
      </c>
      <c r="I383" s="83">
        <f t="shared" si="59"/>
        <v>0</v>
      </c>
      <c r="J383" s="86">
        <v>100</v>
      </c>
      <c r="K383" s="86">
        <v>300</v>
      </c>
      <c r="L383" s="83">
        <f t="shared" si="53"/>
        <v>1150</v>
      </c>
      <c r="M383" s="94">
        <v>600</v>
      </c>
      <c r="N383" s="83">
        <f>100</f>
        <v>100</v>
      </c>
      <c r="O383" s="86">
        <v>240</v>
      </c>
      <c r="P383" s="86">
        <v>40</v>
      </c>
      <c r="Q383" s="86">
        <f t="shared" si="54"/>
        <v>315</v>
      </c>
      <c r="R383" s="86">
        <f t="shared" si="55"/>
        <v>100</v>
      </c>
      <c r="S383" s="83">
        <f t="shared" si="56"/>
        <v>695</v>
      </c>
      <c r="T383" s="83">
        <f>50</f>
        <v>50</v>
      </c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</row>
    <row r="384" spans="1:30" ht="15.75" x14ac:dyDescent="0.25">
      <c r="A384" s="33">
        <v>52627</v>
      </c>
      <c r="B384" s="96">
        <v>31</v>
      </c>
      <c r="C384" s="83">
        <f>122.58</f>
        <v>122.58</v>
      </c>
      <c r="D384" s="83">
        <f>297.941</f>
        <v>297.94099999999997</v>
      </c>
      <c r="E384" s="92">
        <f>89.177</f>
        <v>89.177000000000007</v>
      </c>
      <c r="F384" s="83">
        <f>240.302-40-60-100</f>
        <v>40.301999999999992</v>
      </c>
      <c r="G384" s="86">
        <v>40</v>
      </c>
      <c r="H384" s="83">
        <f>60+100</f>
        <v>160</v>
      </c>
      <c r="I384" s="83">
        <f t="shared" si="59"/>
        <v>0</v>
      </c>
      <c r="J384" s="86">
        <v>100</v>
      </c>
      <c r="K384" s="86">
        <v>300</v>
      </c>
      <c r="L384" s="83">
        <f t="shared" si="53"/>
        <v>1150</v>
      </c>
      <c r="M384" s="94">
        <v>600</v>
      </c>
      <c r="N384" s="83">
        <f>100</f>
        <v>100</v>
      </c>
      <c r="O384" s="86">
        <v>240</v>
      </c>
      <c r="P384" s="86">
        <v>40</v>
      </c>
      <c r="Q384" s="86">
        <f t="shared" si="54"/>
        <v>315</v>
      </c>
      <c r="R384" s="86">
        <f t="shared" si="55"/>
        <v>100</v>
      </c>
      <c r="S384" s="83">
        <f t="shared" si="56"/>
        <v>695</v>
      </c>
      <c r="T384" s="83">
        <f>50</f>
        <v>50</v>
      </c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</row>
    <row r="385" spans="1:30" ht="15.75" x14ac:dyDescent="0.25">
      <c r="A385" s="33">
        <v>52655</v>
      </c>
      <c r="B385" s="96">
        <v>29</v>
      </c>
      <c r="C385" s="83">
        <f>122.58</f>
        <v>122.58</v>
      </c>
      <c r="D385" s="83">
        <f>297.941</f>
        <v>297.94099999999997</v>
      </c>
      <c r="E385" s="92">
        <f>89.177</f>
        <v>89.177000000000007</v>
      </c>
      <c r="F385" s="83">
        <f>240.302-40-60-100</f>
        <v>40.301999999999992</v>
      </c>
      <c r="G385" s="86">
        <v>40</v>
      </c>
      <c r="H385" s="83">
        <f>60+100</f>
        <v>160</v>
      </c>
      <c r="I385" s="83">
        <f t="shared" si="59"/>
        <v>0</v>
      </c>
      <c r="J385" s="86">
        <v>100</v>
      </c>
      <c r="K385" s="86">
        <v>300</v>
      </c>
      <c r="L385" s="83">
        <f t="shared" si="53"/>
        <v>1150</v>
      </c>
      <c r="M385" s="94">
        <v>600</v>
      </c>
      <c r="N385" s="83">
        <f>100</f>
        <v>100</v>
      </c>
      <c r="O385" s="86">
        <v>240</v>
      </c>
      <c r="P385" s="86">
        <v>40</v>
      </c>
      <c r="Q385" s="86">
        <f t="shared" si="54"/>
        <v>315</v>
      </c>
      <c r="R385" s="86">
        <f t="shared" si="55"/>
        <v>100</v>
      </c>
      <c r="S385" s="83">
        <f t="shared" si="56"/>
        <v>695</v>
      </c>
      <c r="T385" s="83">
        <f>50</f>
        <v>50</v>
      </c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</row>
    <row r="386" spans="1:30" ht="15.75" x14ac:dyDescent="0.25">
      <c r="A386" s="33">
        <v>52687</v>
      </c>
      <c r="B386" s="96">
        <v>31</v>
      </c>
      <c r="C386" s="83">
        <f>122.58</f>
        <v>122.58</v>
      </c>
      <c r="D386" s="83">
        <f>297.941</f>
        <v>297.94099999999997</v>
      </c>
      <c r="E386" s="92">
        <f>89.177</f>
        <v>89.177000000000007</v>
      </c>
      <c r="F386" s="83">
        <f>240.302-40-60-100</f>
        <v>40.301999999999992</v>
      </c>
      <c r="G386" s="86">
        <v>40</v>
      </c>
      <c r="H386" s="83">
        <f>60+100</f>
        <v>160</v>
      </c>
      <c r="I386" s="83">
        <f t="shared" si="59"/>
        <v>0</v>
      </c>
      <c r="J386" s="86">
        <v>100</v>
      </c>
      <c r="K386" s="86">
        <v>300</v>
      </c>
      <c r="L386" s="83">
        <f t="shared" si="53"/>
        <v>1150</v>
      </c>
      <c r="M386" s="94">
        <v>600</v>
      </c>
      <c r="N386" s="83">
        <f>100</f>
        <v>100</v>
      </c>
      <c r="O386" s="86">
        <v>240</v>
      </c>
      <c r="P386" s="86">
        <v>40</v>
      </c>
      <c r="Q386" s="86">
        <f t="shared" si="54"/>
        <v>315</v>
      </c>
      <c r="R386" s="86">
        <f t="shared" si="55"/>
        <v>100</v>
      </c>
      <c r="S386" s="83">
        <f t="shared" si="56"/>
        <v>695</v>
      </c>
      <c r="T386" s="83">
        <f>50</f>
        <v>50</v>
      </c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</row>
    <row r="387" spans="1:30" ht="15.75" x14ac:dyDescent="0.25">
      <c r="A387" s="33">
        <v>52717</v>
      </c>
      <c r="B387" s="96">
        <v>30</v>
      </c>
      <c r="C387" s="83">
        <f>141.293</f>
        <v>141.29300000000001</v>
      </c>
      <c r="D387" s="83">
        <f>267.993</f>
        <v>267.99299999999999</v>
      </c>
      <c r="E387" s="92">
        <f>115.016</f>
        <v>115.01600000000001</v>
      </c>
      <c r="F387" s="83">
        <f>314.698-40-25-60-100</f>
        <v>89.697999999999979</v>
      </c>
      <c r="G387" s="86">
        <v>40</v>
      </c>
      <c r="H387" s="83">
        <f t="shared" ref="H387:H393" si="61">25+60+100</f>
        <v>185</v>
      </c>
      <c r="I387" s="83">
        <f t="shared" si="59"/>
        <v>0</v>
      </c>
      <c r="J387" s="86">
        <v>100</v>
      </c>
      <c r="K387" s="86">
        <v>300</v>
      </c>
      <c r="L387" s="83">
        <f t="shared" si="53"/>
        <v>1239</v>
      </c>
      <c r="M387" s="94">
        <v>600</v>
      </c>
      <c r="N387" s="83">
        <f>100</f>
        <v>100</v>
      </c>
      <c r="O387" s="86">
        <v>240</v>
      </c>
      <c r="P387" s="86">
        <v>160</v>
      </c>
      <c r="Q387" s="86">
        <f t="shared" si="54"/>
        <v>195</v>
      </c>
      <c r="R387" s="86">
        <f t="shared" si="55"/>
        <v>100</v>
      </c>
      <c r="S387" s="83">
        <f t="shared" si="56"/>
        <v>695</v>
      </c>
      <c r="T387" s="83">
        <f>50</f>
        <v>50</v>
      </c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</row>
    <row r="388" spans="1:30" ht="15.75" x14ac:dyDescent="0.25">
      <c r="A388" s="33">
        <v>52748</v>
      </c>
      <c r="B388" s="96">
        <v>31</v>
      </c>
      <c r="C388" s="83">
        <f>194.205</f>
        <v>194.20500000000001</v>
      </c>
      <c r="D388" s="83">
        <f>267.466</f>
        <v>267.46600000000001</v>
      </c>
      <c r="E388" s="92">
        <f>133.845</f>
        <v>133.845</v>
      </c>
      <c r="F388" s="83">
        <f>278.484-40-25-60-100</f>
        <v>53.48399999999998</v>
      </c>
      <c r="G388" s="86">
        <v>40</v>
      </c>
      <c r="H388" s="83">
        <f t="shared" si="61"/>
        <v>185</v>
      </c>
      <c r="I388" s="83">
        <f t="shared" si="59"/>
        <v>0</v>
      </c>
      <c r="J388" s="86">
        <v>100</v>
      </c>
      <c r="K388" s="86">
        <v>300</v>
      </c>
      <c r="L388" s="83">
        <f t="shared" si="53"/>
        <v>1274</v>
      </c>
      <c r="M388" s="94">
        <v>600</v>
      </c>
      <c r="N388" s="83">
        <f>75</f>
        <v>75</v>
      </c>
      <c r="O388" s="86">
        <v>240</v>
      </c>
      <c r="P388" s="86">
        <v>160</v>
      </c>
      <c r="Q388" s="86">
        <f t="shared" si="54"/>
        <v>195</v>
      </c>
      <c r="R388" s="86">
        <f t="shared" si="55"/>
        <v>100</v>
      </c>
      <c r="S388" s="83">
        <f t="shared" si="56"/>
        <v>695</v>
      </c>
      <c r="T388" s="83">
        <f>50</f>
        <v>50</v>
      </c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</row>
    <row r="389" spans="1:30" ht="15.75" x14ac:dyDescent="0.25">
      <c r="A389" s="33">
        <v>52778</v>
      </c>
      <c r="B389" s="96">
        <v>30</v>
      </c>
      <c r="C389" s="83">
        <f>194.205</f>
        <v>194.20500000000001</v>
      </c>
      <c r="D389" s="83">
        <f>267.466</f>
        <v>267.46600000000001</v>
      </c>
      <c r="E389" s="92">
        <f>133.845</f>
        <v>133.845</v>
      </c>
      <c r="F389" s="83">
        <f>278.484-40-25-60-100</f>
        <v>53.48399999999998</v>
      </c>
      <c r="G389" s="86">
        <v>40</v>
      </c>
      <c r="H389" s="83">
        <f t="shared" si="61"/>
        <v>185</v>
      </c>
      <c r="I389" s="83">
        <f t="shared" si="59"/>
        <v>0</v>
      </c>
      <c r="J389" s="86">
        <v>100</v>
      </c>
      <c r="K389" s="86">
        <v>300</v>
      </c>
      <c r="L389" s="83">
        <f t="shared" si="53"/>
        <v>1274</v>
      </c>
      <c r="M389" s="94">
        <v>600</v>
      </c>
      <c r="N389" s="83">
        <f>30</f>
        <v>30</v>
      </c>
      <c r="O389" s="86">
        <v>240</v>
      </c>
      <c r="P389" s="86">
        <v>160</v>
      </c>
      <c r="Q389" s="86">
        <f t="shared" si="54"/>
        <v>195</v>
      </c>
      <c r="R389" s="86">
        <f t="shared" si="55"/>
        <v>100</v>
      </c>
      <c r="S389" s="83">
        <f t="shared" si="56"/>
        <v>695</v>
      </c>
      <c r="T389" s="83">
        <f>50</f>
        <v>50</v>
      </c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</row>
    <row r="390" spans="1:30" ht="15.75" x14ac:dyDescent="0.25">
      <c r="A390" s="33">
        <v>52809</v>
      </c>
      <c r="B390" s="96">
        <v>31</v>
      </c>
      <c r="C390" s="83">
        <f>194.205</f>
        <v>194.20500000000001</v>
      </c>
      <c r="D390" s="83">
        <f>267.466</f>
        <v>267.46600000000001</v>
      </c>
      <c r="E390" s="92">
        <f>133.845</f>
        <v>133.845</v>
      </c>
      <c r="F390" s="83">
        <f>278.484-40-25-60-100</f>
        <v>53.48399999999998</v>
      </c>
      <c r="G390" s="86">
        <v>40</v>
      </c>
      <c r="H390" s="83">
        <f t="shared" si="61"/>
        <v>185</v>
      </c>
      <c r="I390" s="83">
        <f t="shared" si="59"/>
        <v>0</v>
      </c>
      <c r="J390" s="86">
        <v>100</v>
      </c>
      <c r="K390" s="86">
        <v>300</v>
      </c>
      <c r="L390" s="83">
        <f t="shared" si="53"/>
        <v>1274</v>
      </c>
      <c r="M390" s="94">
        <v>600</v>
      </c>
      <c r="N390" s="83">
        <f>30</f>
        <v>30</v>
      </c>
      <c r="O390" s="86">
        <v>240</v>
      </c>
      <c r="P390" s="86">
        <v>160</v>
      </c>
      <c r="Q390" s="86">
        <f t="shared" si="54"/>
        <v>195</v>
      </c>
      <c r="R390" s="86">
        <f t="shared" si="55"/>
        <v>100</v>
      </c>
      <c r="S390" s="83">
        <f t="shared" si="56"/>
        <v>695</v>
      </c>
      <c r="T390" s="83">
        <f>0</f>
        <v>0</v>
      </c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</row>
    <row r="391" spans="1:30" ht="15.75" x14ac:dyDescent="0.25">
      <c r="A391" s="33">
        <v>52840</v>
      </c>
      <c r="B391" s="96">
        <v>31</v>
      </c>
      <c r="C391" s="83">
        <f>194.205</f>
        <v>194.20500000000001</v>
      </c>
      <c r="D391" s="83">
        <f>267.466</f>
        <v>267.46600000000001</v>
      </c>
      <c r="E391" s="92">
        <f>133.845</f>
        <v>133.845</v>
      </c>
      <c r="F391" s="83">
        <f>278.484-40-25-60-100</f>
        <v>53.48399999999998</v>
      </c>
      <c r="G391" s="86">
        <v>40</v>
      </c>
      <c r="H391" s="83">
        <f t="shared" si="61"/>
        <v>185</v>
      </c>
      <c r="I391" s="83">
        <f t="shared" si="59"/>
        <v>0</v>
      </c>
      <c r="J391" s="86">
        <v>100</v>
      </c>
      <c r="K391" s="86">
        <v>300</v>
      </c>
      <c r="L391" s="83">
        <f t="shared" si="53"/>
        <v>1274</v>
      </c>
      <c r="M391" s="94">
        <v>600</v>
      </c>
      <c r="N391" s="83">
        <f>30</f>
        <v>30</v>
      </c>
      <c r="O391" s="86">
        <v>240</v>
      </c>
      <c r="P391" s="86">
        <v>160</v>
      </c>
      <c r="Q391" s="86">
        <f t="shared" si="54"/>
        <v>195</v>
      </c>
      <c r="R391" s="86">
        <f t="shared" si="55"/>
        <v>100</v>
      </c>
      <c r="S391" s="83">
        <f t="shared" si="56"/>
        <v>695</v>
      </c>
      <c r="T391" s="83">
        <f>0</f>
        <v>0</v>
      </c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</row>
    <row r="392" spans="1:30" ht="15.75" x14ac:dyDescent="0.25">
      <c r="A392" s="33">
        <v>52870</v>
      </c>
      <c r="B392" s="96">
        <v>30</v>
      </c>
      <c r="C392" s="83">
        <f>194.205</f>
        <v>194.20500000000001</v>
      </c>
      <c r="D392" s="83">
        <f>267.466</f>
        <v>267.46600000000001</v>
      </c>
      <c r="E392" s="92">
        <f>133.845</f>
        <v>133.845</v>
      </c>
      <c r="F392" s="83">
        <f>278.484-40-25-60-100</f>
        <v>53.48399999999998</v>
      </c>
      <c r="G392" s="86">
        <v>40</v>
      </c>
      <c r="H392" s="83">
        <f t="shared" si="61"/>
        <v>185</v>
      </c>
      <c r="I392" s="83">
        <f t="shared" si="59"/>
        <v>0</v>
      </c>
      <c r="J392" s="86">
        <v>100</v>
      </c>
      <c r="K392" s="86">
        <v>300</v>
      </c>
      <c r="L392" s="83">
        <f t="shared" si="53"/>
        <v>1274</v>
      </c>
      <c r="M392" s="94">
        <v>600</v>
      </c>
      <c r="N392" s="83">
        <f>30</f>
        <v>30</v>
      </c>
      <c r="O392" s="86">
        <v>240</v>
      </c>
      <c r="P392" s="86">
        <v>160</v>
      </c>
      <c r="Q392" s="86">
        <f t="shared" si="54"/>
        <v>195</v>
      </c>
      <c r="R392" s="86">
        <f t="shared" si="55"/>
        <v>100</v>
      </c>
      <c r="S392" s="83">
        <f t="shared" si="56"/>
        <v>695</v>
      </c>
      <c r="T392" s="83">
        <f>0</f>
        <v>0</v>
      </c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</row>
    <row r="393" spans="1:30" ht="15.75" x14ac:dyDescent="0.25">
      <c r="A393" s="33">
        <v>52901</v>
      </c>
      <c r="B393" s="96">
        <v>31</v>
      </c>
      <c r="C393" s="83">
        <f>131.881</f>
        <v>131.881</v>
      </c>
      <c r="D393" s="83">
        <f>277.167</f>
        <v>277.16699999999997</v>
      </c>
      <c r="E393" s="92">
        <f>79.08</f>
        <v>79.08</v>
      </c>
      <c r="F393" s="83">
        <f>350.872-40-25-60-100</f>
        <v>125.87200000000001</v>
      </c>
      <c r="G393" s="86">
        <v>40</v>
      </c>
      <c r="H393" s="83">
        <f t="shared" si="61"/>
        <v>185</v>
      </c>
      <c r="I393" s="83">
        <f t="shared" si="59"/>
        <v>0</v>
      </c>
      <c r="J393" s="86">
        <v>100</v>
      </c>
      <c r="K393" s="86">
        <v>300</v>
      </c>
      <c r="L393" s="83">
        <f t="shared" si="53"/>
        <v>1239</v>
      </c>
      <c r="M393" s="94">
        <v>600</v>
      </c>
      <c r="N393" s="83">
        <f>75</f>
        <v>75</v>
      </c>
      <c r="O393" s="86">
        <v>240</v>
      </c>
      <c r="P393" s="86">
        <v>160</v>
      </c>
      <c r="Q393" s="86">
        <f t="shared" si="54"/>
        <v>195</v>
      </c>
      <c r="R393" s="86">
        <f t="shared" si="55"/>
        <v>100</v>
      </c>
      <c r="S393" s="83">
        <f t="shared" si="56"/>
        <v>695</v>
      </c>
      <c r="T393" s="83">
        <f>0</f>
        <v>0</v>
      </c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</row>
    <row r="394" spans="1:30" ht="15.75" x14ac:dyDescent="0.25">
      <c r="A394" s="33">
        <v>52931</v>
      </c>
      <c r="B394" s="96">
        <v>30</v>
      </c>
      <c r="C394" s="83">
        <f>122.58</f>
        <v>122.58</v>
      </c>
      <c r="D394" s="83">
        <f>297.941</f>
        <v>297.94099999999997</v>
      </c>
      <c r="E394" s="92">
        <f>89.177</f>
        <v>89.177000000000007</v>
      </c>
      <c r="F394" s="83">
        <f>240.302-40-60-100</f>
        <v>40.301999999999992</v>
      </c>
      <c r="G394" s="86">
        <v>40</v>
      </c>
      <c r="H394" s="83">
        <f>60+100</f>
        <v>160</v>
      </c>
      <c r="I394" s="83">
        <f t="shared" si="59"/>
        <v>0</v>
      </c>
      <c r="J394" s="86">
        <v>100</v>
      </c>
      <c r="K394" s="86">
        <v>300</v>
      </c>
      <c r="L394" s="83">
        <f t="shared" si="53"/>
        <v>1150</v>
      </c>
      <c r="M394" s="94">
        <v>600</v>
      </c>
      <c r="N394" s="83">
        <f>100</f>
        <v>100</v>
      </c>
      <c r="O394" s="86">
        <v>240</v>
      </c>
      <c r="P394" s="86">
        <v>40</v>
      </c>
      <c r="Q394" s="86">
        <f t="shared" si="54"/>
        <v>315</v>
      </c>
      <c r="R394" s="86">
        <f t="shared" si="55"/>
        <v>100</v>
      </c>
      <c r="S394" s="83">
        <f t="shared" si="56"/>
        <v>695</v>
      </c>
      <c r="T394" s="83">
        <f>50</f>
        <v>50</v>
      </c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</row>
    <row r="395" spans="1:30" ht="15.75" x14ac:dyDescent="0.25">
      <c r="A395" s="33">
        <v>52962</v>
      </c>
      <c r="B395" s="96">
        <v>31</v>
      </c>
      <c r="C395" s="83">
        <f>122.58</f>
        <v>122.58</v>
      </c>
      <c r="D395" s="83">
        <f>297.941</f>
        <v>297.94099999999997</v>
      </c>
      <c r="E395" s="92">
        <f>89.177</f>
        <v>89.177000000000007</v>
      </c>
      <c r="F395" s="83">
        <f>240.302-40-60-100</f>
        <v>40.301999999999992</v>
      </c>
      <c r="G395" s="86">
        <v>40</v>
      </c>
      <c r="H395" s="83">
        <f>60+100</f>
        <v>160</v>
      </c>
      <c r="I395" s="83">
        <f t="shared" si="59"/>
        <v>0</v>
      </c>
      <c r="J395" s="86">
        <v>100</v>
      </c>
      <c r="K395" s="86">
        <v>300</v>
      </c>
      <c r="L395" s="83">
        <f t="shared" si="53"/>
        <v>1150</v>
      </c>
      <c r="M395" s="94">
        <v>600</v>
      </c>
      <c r="N395" s="83">
        <f>100</f>
        <v>100</v>
      </c>
      <c r="O395" s="86">
        <v>240</v>
      </c>
      <c r="P395" s="86">
        <v>40</v>
      </c>
      <c r="Q395" s="86">
        <f t="shared" si="54"/>
        <v>315</v>
      </c>
      <c r="R395" s="86">
        <f t="shared" si="55"/>
        <v>100</v>
      </c>
      <c r="S395" s="83">
        <f t="shared" si="56"/>
        <v>695</v>
      </c>
      <c r="T395" s="83">
        <f>50</f>
        <v>50</v>
      </c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</row>
    <row r="396" spans="1:30" ht="15.75" x14ac:dyDescent="0.25">
      <c r="A396" s="33">
        <v>52993</v>
      </c>
      <c r="B396" s="96">
        <v>31</v>
      </c>
      <c r="C396" s="83">
        <f>122.58</f>
        <v>122.58</v>
      </c>
      <c r="D396" s="83">
        <f>297.941</f>
        <v>297.94099999999997</v>
      </c>
      <c r="E396" s="92">
        <f>89.177</f>
        <v>89.177000000000007</v>
      </c>
      <c r="F396" s="83">
        <f>240.302-40-60-100</f>
        <v>40.301999999999992</v>
      </c>
      <c r="G396" s="86">
        <v>40</v>
      </c>
      <c r="H396" s="83">
        <f>60+100</f>
        <v>160</v>
      </c>
      <c r="I396" s="83">
        <f t="shared" si="59"/>
        <v>0</v>
      </c>
      <c r="J396" s="86">
        <v>100</v>
      </c>
      <c r="K396" s="86">
        <v>300</v>
      </c>
      <c r="L396" s="83">
        <f t="shared" si="53"/>
        <v>1150</v>
      </c>
      <c r="M396" s="94">
        <v>600</v>
      </c>
      <c r="N396" s="83">
        <f>100</f>
        <v>100</v>
      </c>
      <c r="O396" s="86">
        <v>240</v>
      </c>
      <c r="P396" s="86">
        <v>40</v>
      </c>
      <c r="Q396" s="86">
        <f t="shared" si="54"/>
        <v>315</v>
      </c>
      <c r="R396" s="86">
        <f t="shared" si="55"/>
        <v>100</v>
      </c>
      <c r="S396" s="83">
        <f t="shared" si="56"/>
        <v>695</v>
      </c>
      <c r="T396" s="83">
        <f>50</f>
        <v>50</v>
      </c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</row>
    <row r="397" spans="1:30" ht="15.75" x14ac:dyDescent="0.25">
      <c r="A397" s="33">
        <v>53021</v>
      </c>
      <c r="B397" s="96">
        <v>28</v>
      </c>
      <c r="C397" s="83">
        <f>122.58</f>
        <v>122.58</v>
      </c>
      <c r="D397" s="83">
        <f>297.941</f>
        <v>297.94099999999997</v>
      </c>
      <c r="E397" s="92">
        <f>89.177</f>
        <v>89.177000000000007</v>
      </c>
      <c r="F397" s="83">
        <f>240.302-40-60-100</f>
        <v>40.301999999999992</v>
      </c>
      <c r="G397" s="86">
        <v>40</v>
      </c>
      <c r="H397" s="83">
        <f>60+100</f>
        <v>160</v>
      </c>
      <c r="I397" s="83">
        <f t="shared" si="59"/>
        <v>0</v>
      </c>
      <c r="J397" s="86">
        <v>100</v>
      </c>
      <c r="K397" s="86">
        <v>300</v>
      </c>
      <c r="L397" s="83">
        <f t="shared" si="53"/>
        <v>1150</v>
      </c>
      <c r="M397" s="94">
        <v>600</v>
      </c>
      <c r="N397" s="83">
        <f>100</f>
        <v>100</v>
      </c>
      <c r="O397" s="86">
        <v>240</v>
      </c>
      <c r="P397" s="86">
        <v>40</v>
      </c>
      <c r="Q397" s="86">
        <f t="shared" si="54"/>
        <v>315</v>
      </c>
      <c r="R397" s="86">
        <f t="shared" si="55"/>
        <v>100</v>
      </c>
      <c r="S397" s="83">
        <f t="shared" si="56"/>
        <v>695</v>
      </c>
      <c r="T397" s="83">
        <f>50</f>
        <v>50</v>
      </c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</row>
    <row r="398" spans="1:30" ht="15.75" x14ac:dyDescent="0.25">
      <c r="A398" s="33">
        <v>53052</v>
      </c>
      <c r="B398" s="96">
        <v>31</v>
      </c>
      <c r="C398" s="83">
        <f>122.58</f>
        <v>122.58</v>
      </c>
      <c r="D398" s="83">
        <f>297.941</f>
        <v>297.94099999999997</v>
      </c>
      <c r="E398" s="92">
        <f>89.177</f>
        <v>89.177000000000007</v>
      </c>
      <c r="F398" s="83">
        <f>240.302-40-60-100</f>
        <v>40.301999999999992</v>
      </c>
      <c r="G398" s="86">
        <v>40</v>
      </c>
      <c r="H398" s="83">
        <f>60+100</f>
        <v>160</v>
      </c>
      <c r="I398" s="83">
        <f t="shared" si="59"/>
        <v>0</v>
      </c>
      <c r="J398" s="86">
        <v>100</v>
      </c>
      <c r="K398" s="86">
        <v>300</v>
      </c>
      <c r="L398" s="83">
        <f t="shared" si="53"/>
        <v>1150</v>
      </c>
      <c r="M398" s="94">
        <v>600</v>
      </c>
      <c r="N398" s="83">
        <f>100</f>
        <v>100</v>
      </c>
      <c r="O398" s="86">
        <v>240</v>
      </c>
      <c r="P398" s="86">
        <v>40</v>
      </c>
      <c r="Q398" s="86">
        <f t="shared" si="54"/>
        <v>315</v>
      </c>
      <c r="R398" s="86">
        <f t="shared" si="55"/>
        <v>100</v>
      </c>
      <c r="S398" s="83">
        <f t="shared" si="56"/>
        <v>695</v>
      </c>
      <c r="T398" s="83">
        <f>50</f>
        <v>50</v>
      </c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</row>
    <row r="399" spans="1:30" ht="15.75" x14ac:dyDescent="0.25">
      <c r="A399" s="33">
        <v>53082</v>
      </c>
      <c r="B399" s="96">
        <v>30</v>
      </c>
      <c r="C399" s="83">
        <f>141.293</f>
        <v>141.29300000000001</v>
      </c>
      <c r="D399" s="83">
        <f>267.993</f>
        <v>267.99299999999999</v>
      </c>
      <c r="E399" s="92">
        <f>115.016</f>
        <v>115.01600000000001</v>
      </c>
      <c r="F399" s="83">
        <f>314.698-40-25-60-100</f>
        <v>89.697999999999979</v>
      </c>
      <c r="G399" s="86">
        <v>40</v>
      </c>
      <c r="H399" s="83">
        <f t="shared" ref="H399:H405" si="62">25+60+100</f>
        <v>185</v>
      </c>
      <c r="I399" s="83">
        <f t="shared" si="59"/>
        <v>0</v>
      </c>
      <c r="J399" s="86">
        <v>100</v>
      </c>
      <c r="K399" s="86">
        <v>300</v>
      </c>
      <c r="L399" s="83">
        <f t="shared" si="53"/>
        <v>1239</v>
      </c>
      <c r="M399" s="94">
        <v>600</v>
      </c>
      <c r="N399" s="83">
        <f>100</f>
        <v>100</v>
      </c>
      <c r="O399" s="86">
        <v>240</v>
      </c>
      <c r="P399" s="86">
        <v>160</v>
      </c>
      <c r="Q399" s="86">
        <f t="shared" si="54"/>
        <v>195</v>
      </c>
      <c r="R399" s="86">
        <f t="shared" si="55"/>
        <v>100</v>
      </c>
      <c r="S399" s="83">
        <f t="shared" si="56"/>
        <v>695</v>
      </c>
      <c r="T399" s="83">
        <f>50</f>
        <v>50</v>
      </c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</row>
    <row r="400" spans="1:30" ht="15.75" x14ac:dyDescent="0.25">
      <c r="A400" s="33">
        <v>53113</v>
      </c>
      <c r="B400" s="96">
        <v>31</v>
      </c>
      <c r="C400" s="83">
        <f>194.205</f>
        <v>194.20500000000001</v>
      </c>
      <c r="D400" s="83">
        <f>267.466</f>
        <v>267.46600000000001</v>
      </c>
      <c r="E400" s="92">
        <f>133.845</f>
        <v>133.845</v>
      </c>
      <c r="F400" s="83">
        <f>278.484-40-25-60-100</f>
        <v>53.48399999999998</v>
      </c>
      <c r="G400" s="86">
        <v>40</v>
      </c>
      <c r="H400" s="83">
        <f t="shared" si="62"/>
        <v>185</v>
      </c>
      <c r="I400" s="83">
        <f t="shared" si="59"/>
        <v>0</v>
      </c>
      <c r="J400" s="86">
        <v>100</v>
      </c>
      <c r="K400" s="86">
        <v>300</v>
      </c>
      <c r="L400" s="83">
        <f t="shared" si="53"/>
        <v>1274</v>
      </c>
      <c r="M400" s="94">
        <v>600</v>
      </c>
      <c r="N400" s="83">
        <f>75</f>
        <v>75</v>
      </c>
      <c r="O400" s="86">
        <v>240</v>
      </c>
      <c r="P400" s="86">
        <v>160</v>
      </c>
      <c r="Q400" s="86">
        <f t="shared" si="54"/>
        <v>195</v>
      </c>
      <c r="R400" s="86">
        <f t="shared" si="55"/>
        <v>100</v>
      </c>
      <c r="S400" s="83">
        <f t="shared" si="56"/>
        <v>695</v>
      </c>
      <c r="T400" s="83">
        <f>50</f>
        <v>50</v>
      </c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</row>
    <row r="401" spans="1:30" ht="15.75" x14ac:dyDescent="0.25">
      <c r="A401" s="33">
        <v>53143</v>
      </c>
      <c r="B401" s="96">
        <v>30</v>
      </c>
      <c r="C401" s="83">
        <f>194.205</f>
        <v>194.20500000000001</v>
      </c>
      <c r="D401" s="83">
        <f>267.466</f>
        <v>267.46600000000001</v>
      </c>
      <c r="E401" s="92">
        <f>133.845</f>
        <v>133.845</v>
      </c>
      <c r="F401" s="83">
        <f>278.484-40-25-60-100</f>
        <v>53.48399999999998</v>
      </c>
      <c r="G401" s="86">
        <v>40</v>
      </c>
      <c r="H401" s="83">
        <f t="shared" si="62"/>
        <v>185</v>
      </c>
      <c r="I401" s="83">
        <f t="shared" si="59"/>
        <v>0</v>
      </c>
      <c r="J401" s="86">
        <v>100</v>
      </c>
      <c r="K401" s="86">
        <v>300</v>
      </c>
      <c r="L401" s="83">
        <f t="shared" si="53"/>
        <v>1274</v>
      </c>
      <c r="M401" s="94">
        <v>600</v>
      </c>
      <c r="N401" s="83">
        <f>30</f>
        <v>30</v>
      </c>
      <c r="O401" s="86">
        <v>240</v>
      </c>
      <c r="P401" s="86">
        <v>160</v>
      </c>
      <c r="Q401" s="86">
        <f t="shared" si="54"/>
        <v>195</v>
      </c>
      <c r="R401" s="86">
        <f t="shared" si="55"/>
        <v>100</v>
      </c>
      <c r="S401" s="83">
        <f t="shared" si="56"/>
        <v>695</v>
      </c>
      <c r="T401" s="83">
        <f>50</f>
        <v>50</v>
      </c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</row>
    <row r="402" spans="1:30" ht="15.75" x14ac:dyDescent="0.25">
      <c r="A402" s="33">
        <v>53174</v>
      </c>
      <c r="B402" s="96">
        <v>31</v>
      </c>
      <c r="C402" s="83">
        <f>194.205</f>
        <v>194.20500000000001</v>
      </c>
      <c r="D402" s="83">
        <f>267.466</f>
        <v>267.46600000000001</v>
      </c>
      <c r="E402" s="92">
        <f>133.845</f>
        <v>133.845</v>
      </c>
      <c r="F402" s="83">
        <f>278.484-40-25-60-100</f>
        <v>53.48399999999998</v>
      </c>
      <c r="G402" s="86">
        <v>40</v>
      </c>
      <c r="H402" s="83">
        <f t="shared" si="62"/>
        <v>185</v>
      </c>
      <c r="I402" s="83">
        <f t="shared" si="59"/>
        <v>0</v>
      </c>
      <c r="J402" s="86">
        <v>100</v>
      </c>
      <c r="K402" s="86">
        <v>300</v>
      </c>
      <c r="L402" s="83">
        <f t="shared" si="53"/>
        <v>1274</v>
      </c>
      <c r="M402" s="94">
        <v>600</v>
      </c>
      <c r="N402" s="83">
        <f>30</f>
        <v>30</v>
      </c>
      <c r="O402" s="86">
        <v>240</v>
      </c>
      <c r="P402" s="86">
        <v>160</v>
      </c>
      <c r="Q402" s="86">
        <f t="shared" si="54"/>
        <v>195</v>
      </c>
      <c r="R402" s="86">
        <f t="shared" si="55"/>
        <v>100</v>
      </c>
      <c r="S402" s="83">
        <f t="shared" si="56"/>
        <v>695</v>
      </c>
      <c r="T402" s="83">
        <f>0</f>
        <v>0</v>
      </c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</row>
    <row r="403" spans="1:30" ht="15.75" x14ac:dyDescent="0.25">
      <c r="A403" s="33">
        <v>53205</v>
      </c>
      <c r="B403" s="96">
        <v>31</v>
      </c>
      <c r="C403" s="83">
        <f>194.205</f>
        <v>194.20500000000001</v>
      </c>
      <c r="D403" s="83">
        <f>267.466</f>
        <v>267.46600000000001</v>
      </c>
      <c r="E403" s="92">
        <f>133.845</f>
        <v>133.845</v>
      </c>
      <c r="F403" s="83">
        <f>278.484-40-25-60-100</f>
        <v>53.48399999999998</v>
      </c>
      <c r="G403" s="86">
        <v>40</v>
      </c>
      <c r="H403" s="83">
        <f t="shared" si="62"/>
        <v>185</v>
      </c>
      <c r="I403" s="83">
        <f t="shared" si="59"/>
        <v>0</v>
      </c>
      <c r="J403" s="86">
        <v>100</v>
      </c>
      <c r="K403" s="86">
        <v>300</v>
      </c>
      <c r="L403" s="83">
        <f t="shared" si="53"/>
        <v>1274</v>
      </c>
      <c r="M403" s="94">
        <v>600</v>
      </c>
      <c r="N403" s="83">
        <f>30</f>
        <v>30</v>
      </c>
      <c r="O403" s="86">
        <v>240</v>
      </c>
      <c r="P403" s="86">
        <v>160</v>
      </c>
      <c r="Q403" s="86">
        <f t="shared" si="54"/>
        <v>195</v>
      </c>
      <c r="R403" s="86">
        <f t="shared" si="55"/>
        <v>100</v>
      </c>
      <c r="S403" s="83">
        <f t="shared" si="56"/>
        <v>695</v>
      </c>
      <c r="T403" s="83">
        <f>0</f>
        <v>0</v>
      </c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</row>
    <row r="404" spans="1:30" ht="15.75" x14ac:dyDescent="0.25">
      <c r="A404" s="33">
        <v>53235</v>
      </c>
      <c r="B404" s="96">
        <v>30</v>
      </c>
      <c r="C404" s="83">
        <f>194.205</f>
        <v>194.20500000000001</v>
      </c>
      <c r="D404" s="83">
        <f>267.466</f>
        <v>267.46600000000001</v>
      </c>
      <c r="E404" s="92">
        <f>133.845</f>
        <v>133.845</v>
      </c>
      <c r="F404" s="83">
        <f>278.484-40-25-60-100</f>
        <v>53.48399999999998</v>
      </c>
      <c r="G404" s="86">
        <v>40</v>
      </c>
      <c r="H404" s="83">
        <f t="shared" si="62"/>
        <v>185</v>
      </c>
      <c r="I404" s="83">
        <f t="shared" si="59"/>
        <v>0</v>
      </c>
      <c r="J404" s="86">
        <v>100</v>
      </c>
      <c r="K404" s="86">
        <v>300</v>
      </c>
      <c r="L404" s="83">
        <f t="shared" si="53"/>
        <v>1274</v>
      </c>
      <c r="M404" s="94">
        <v>600</v>
      </c>
      <c r="N404" s="83">
        <f>30</f>
        <v>30</v>
      </c>
      <c r="O404" s="86">
        <v>240</v>
      </c>
      <c r="P404" s="86">
        <v>160</v>
      </c>
      <c r="Q404" s="86">
        <f t="shared" si="54"/>
        <v>195</v>
      </c>
      <c r="R404" s="86">
        <f t="shared" si="55"/>
        <v>100</v>
      </c>
      <c r="S404" s="83">
        <f t="shared" si="56"/>
        <v>695</v>
      </c>
      <c r="T404" s="83">
        <f>0</f>
        <v>0</v>
      </c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</row>
    <row r="405" spans="1:30" ht="15.75" x14ac:dyDescent="0.25">
      <c r="A405" s="33">
        <v>53266</v>
      </c>
      <c r="B405" s="96">
        <v>31</v>
      </c>
      <c r="C405" s="83">
        <f>131.881</f>
        <v>131.881</v>
      </c>
      <c r="D405" s="83">
        <f>277.167</f>
        <v>277.16699999999997</v>
      </c>
      <c r="E405" s="92">
        <f>79.08</f>
        <v>79.08</v>
      </c>
      <c r="F405" s="83">
        <f>350.872-40-25-60-100</f>
        <v>125.87200000000001</v>
      </c>
      <c r="G405" s="86">
        <v>40</v>
      </c>
      <c r="H405" s="83">
        <f t="shared" si="62"/>
        <v>185</v>
      </c>
      <c r="I405" s="83">
        <f t="shared" si="59"/>
        <v>0</v>
      </c>
      <c r="J405" s="86">
        <v>100</v>
      </c>
      <c r="K405" s="86">
        <v>300</v>
      </c>
      <c r="L405" s="83">
        <f t="shared" si="53"/>
        <v>1239</v>
      </c>
      <c r="M405" s="94">
        <v>600</v>
      </c>
      <c r="N405" s="83">
        <f>75</f>
        <v>75</v>
      </c>
      <c r="O405" s="86">
        <v>240</v>
      </c>
      <c r="P405" s="86">
        <v>160</v>
      </c>
      <c r="Q405" s="86">
        <f t="shared" si="54"/>
        <v>195</v>
      </c>
      <c r="R405" s="86">
        <f t="shared" si="55"/>
        <v>100</v>
      </c>
      <c r="S405" s="83">
        <f t="shared" si="56"/>
        <v>695</v>
      </c>
      <c r="T405" s="83">
        <f>0</f>
        <v>0</v>
      </c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</row>
    <row r="406" spans="1:30" ht="15.75" x14ac:dyDescent="0.25">
      <c r="A406" s="33">
        <v>53296</v>
      </c>
      <c r="B406" s="96">
        <v>30</v>
      </c>
      <c r="C406" s="83">
        <f>122.58</f>
        <v>122.58</v>
      </c>
      <c r="D406" s="83">
        <f>297.941</f>
        <v>297.94099999999997</v>
      </c>
      <c r="E406" s="92">
        <f>89.177</f>
        <v>89.177000000000007</v>
      </c>
      <c r="F406" s="83">
        <f>240.302-40-60-100</f>
        <v>40.301999999999992</v>
      </c>
      <c r="G406" s="86">
        <v>40</v>
      </c>
      <c r="H406" s="83">
        <f>60+100</f>
        <v>160</v>
      </c>
      <c r="I406" s="83">
        <f t="shared" si="59"/>
        <v>0</v>
      </c>
      <c r="J406" s="86">
        <v>100</v>
      </c>
      <c r="K406" s="86">
        <v>300</v>
      </c>
      <c r="L406" s="83">
        <f t="shared" ref="L406:L469" si="63">SUM(C406:K406)</f>
        <v>1150</v>
      </c>
      <c r="M406" s="94">
        <v>600</v>
      </c>
      <c r="N406" s="83">
        <f>100</f>
        <v>100</v>
      </c>
      <c r="O406" s="86">
        <v>240</v>
      </c>
      <c r="P406" s="86">
        <v>40</v>
      </c>
      <c r="Q406" s="86">
        <f t="shared" ref="Q406:Q469" si="64">695-R406-O406-P406</f>
        <v>315</v>
      </c>
      <c r="R406" s="86">
        <f t="shared" ref="R406:R469" si="65">200-J406</f>
        <v>100</v>
      </c>
      <c r="S406" s="83">
        <f t="shared" ref="S406:S469" si="66">SUM(O406:R406)</f>
        <v>695</v>
      </c>
      <c r="T406" s="83">
        <f>50</f>
        <v>50</v>
      </c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</row>
    <row r="407" spans="1:30" ht="15.75" x14ac:dyDescent="0.25">
      <c r="A407" s="33">
        <v>53327</v>
      </c>
      <c r="B407" s="96">
        <v>31</v>
      </c>
      <c r="C407" s="83">
        <f>122.58</f>
        <v>122.58</v>
      </c>
      <c r="D407" s="83">
        <f>297.941</f>
        <v>297.94099999999997</v>
      </c>
      <c r="E407" s="92">
        <f>89.177</f>
        <v>89.177000000000007</v>
      </c>
      <c r="F407" s="83">
        <f>240.302-40-60-100</f>
        <v>40.301999999999992</v>
      </c>
      <c r="G407" s="86">
        <v>40</v>
      </c>
      <c r="H407" s="83">
        <f>60+100</f>
        <v>160</v>
      </c>
      <c r="I407" s="83">
        <f t="shared" si="59"/>
        <v>0</v>
      </c>
      <c r="J407" s="86">
        <v>100</v>
      </c>
      <c r="K407" s="86">
        <v>300</v>
      </c>
      <c r="L407" s="83">
        <f t="shared" si="63"/>
        <v>1150</v>
      </c>
      <c r="M407" s="94">
        <v>600</v>
      </c>
      <c r="N407" s="83">
        <f>100</f>
        <v>100</v>
      </c>
      <c r="O407" s="86">
        <v>240</v>
      </c>
      <c r="P407" s="86">
        <v>40</v>
      </c>
      <c r="Q407" s="86">
        <f t="shared" si="64"/>
        <v>315</v>
      </c>
      <c r="R407" s="86">
        <f t="shared" si="65"/>
        <v>100</v>
      </c>
      <c r="S407" s="83">
        <f t="shared" si="66"/>
        <v>695</v>
      </c>
      <c r="T407" s="83">
        <f>50</f>
        <v>50</v>
      </c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</row>
    <row r="408" spans="1:30" ht="15.75" x14ac:dyDescent="0.25">
      <c r="A408" s="33">
        <v>53358</v>
      </c>
      <c r="B408" s="96">
        <v>31</v>
      </c>
      <c r="C408" s="83">
        <f>122.58</f>
        <v>122.58</v>
      </c>
      <c r="D408" s="83">
        <f>297.941</f>
        <v>297.94099999999997</v>
      </c>
      <c r="E408" s="92">
        <f>89.177</f>
        <v>89.177000000000007</v>
      </c>
      <c r="F408" s="83">
        <f>240.302-40-60-100</f>
        <v>40.301999999999992</v>
      </c>
      <c r="G408" s="86">
        <v>40</v>
      </c>
      <c r="H408" s="83">
        <f>60+100</f>
        <v>160</v>
      </c>
      <c r="I408" s="83">
        <f t="shared" si="59"/>
        <v>0</v>
      </c>
      <c r="J408" s="86">
        <v>100</v>
      </c>
      <c r="K408" s="86">
        <v>300</v>
      </c>
      <c r="L408" s="83">
        <f t="shared" si="63"/>
        <v>1150</v>
      </c>
      <c r="M408" s="94">
        <v>600</v>
      </c>
      <c r="N408" s="83">
        <f>100</f>
        <v>100</v>
      </c>
      <c r="O408" s="86">
        <v>240</v>
      </c>
      <c r="P408" s="86">
        <v>40</v>
      </c>
      <c r="Q408" s="86">
        <f t="shared" si="64"/>
        <v>315</v>
      </c>
      <c r="R408" s="86">
        <f t="shared" si="65"/>
        <v>100</v>
      </c>
      <c r="S408" s="83">
        <f t="shared" si="66"/>
        <v>695</v>
      </c>
      <c r="T408" s="83">
        <f>50</f>
        <v>50</v>
      </c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</row>
    <row r="409" spans="1:30" ht="15.75" x14ac:dyDescent="0.25">
      <c r="A409" s="33">
        <v>53386</v>
      </c>
      <c r="B409" s="96">
        <v>28</v>
      </c>
      <c r="C409" s="83">
        <f>122.58</f>
        <v>122.58</v>
      </c>
      <c r="D409" s="83">
        <f>297.941</f>
        <v>297.94099999999997</v>
      </c>
      <c r="E409" s="92">
        <f>89.177</f>
        <v>89.177000000000007</v>
      </c>
      <c r="F409" s="83">
        <f>240.302-40-60-100</f>
        <v>40.301999999999992</v>
      </c>
      <c r="G409" s="86">
        <v>40</v>
      </c>
      <c r="H409" s="83">
        <f>60+100</f>
        <v>160</v>
      </c>
      <c r="I409" s="83">
        <f t="shared" si="59"/>
        <v>0</v>
      </c>
      <c r="J409" s="86">
        <v>100</v>
      </c>
      <c r="K409" s="86">
        <v>300</v>
      </c>
      <c r="L409" s="83">
        <f t="shared" si="63"/>
        <v>1150</v>
      </c>
      <c r="M409" s="94">
        <v>600</v>
      </c>
      <c r="N409" s="83">
        <f>100</f>
        <v>100</v>
      </c>
      <c r="O409" s="86">
        <v>240</v>
      </c>
      <c r="P409" s="86">
        <v>40</v>
      </c>
      <c r="Q409" s="86">
        <f t="shared" si="64"/>
        <v>315</v>
      </c>
      <c r="R409" s="86">
        <f t="shared" si="65"/>
        <v>100</v>
      </c>
      <c r="S409" s="83">
        <f t="shared" si="66"/>
        <v>695</v>
      </c>
      <c r="T409" s="83">
        <f>50</f>
        <v>50</v>
      </c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</row>
    <row r="410" spans="1:30" ht="15.75" x14ac:dyDescent="0.25">
      <c r="A410" s="33">
        <v>53417</v>
      </c>
      <c r="B410" s="96">
        <v>31</v>
      </c>
      <c r="C410" s="83">
        <f>122.58</f>
        <v>122.58</v>
      </c>
      <c r="D410" s="83">
        <f>297.941</f>
        <v>297.94099999999997</v>
      </c>
      <c r="E410" s="92">
        <f>89.177</f>
        <v>89.177000000000007</v>
      </c>
      <c r="F410" s="83">
        <f>240.302-40-60-100</f>
        <v>40.301999999999992</v>
      </c>
      <c r="G410" s="86">
        <v>40</v>
      </c>
      <c r="H410" s="83">
        <f>60+100</f>
        <v>160</v>
      </c>
      <c r="I410" s="83">
        <f t="shared" si="59"/>
        <v>0</v>
      </c>
      <c r="J410" s="86">
        <v>100</v>
      </c>
      <c r="K410" s="86">
        <v>300</v>
      </c>
      <c r="L410" s="83">
        <f t="shared" si="63"/>
        <v>1150</v>
      </c>
      <c r="M410" s="94">
        <v>600</v>
      </c>
      <c r="N410" s="83">
        <f>100</f>
        <v>100</v>
      </c>
      <c r="O410" s="86">
        <v>240</v>
      </c>
      <c r="P410" s="86">
        <v>40</v>
      </c>
      <c r="Q410" s="86">
        <f t="shared" si="64"/>
        <v>315</v>
      </c>
      <c r="R410" s="86">
        <f t="shared" si="65"/>
        <v>100</v>
      </c>
      <c r="S410" s="83">
        <f t="shared" si="66"/>
        <v>695</v>
      </c>
      <c r="T410" s="83">
        <f>50</f>
        <v>50</v>
      </c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</row>
    <row r="411" spans="1:30" ht="15.75" x14ac:dyDescent="0.25">
      <c r="A411" s="33">
        <v>53447</v>
      </c>
      <c r="B411" s="96">
        <v>30</v>
      </c>
      <c r="C411" s="83">
        <f>141.293</f>
        <v>141.29300000000001</v>
      </c>
      <c r="D411" s="83">
        <f>267.993</f>
        <v>267.99299999999999</v>
      </c>
      <c r="E411" s="92">
        <f>115.016</f>
        <v>115.01600000000001</v>
      </c>
      <c r="F411" s="83">
        <f>314.698-40-25-60-100</f>
        <v>89.697999999999979</v>
      </c>
      <c r="G411" s="86">
        <v>40</v>
      </c>
      <c r="H411" s="83">
        <f t="shared" ref="H411:H417" si="67">25+60+100</f>
        <v>185</v>
      </c>
      <c r="I411" s="83">
        <f t="shared" si="59"/>
        <v>0</v>
      </c>
      <c r="J411" s="86">
        <v>100</v>
      </c>
      <c r="K411" s="86">
        <v>300</v>
      </c>
      <c r="L411" s="83">
        <f t="shared" si="63"/>
        <v>1239</v>
      </c>
      <c r="M411" s="94">
        <v>600</v>
      </c>
      <c r="N411" s="83">
        <f>100</f>
        <v>100</v>
      </c>
      <c r="O411" s="86">
        <v>240</v>
      </c>
      <c r="P411" s="86">
        <v>160</v>
      </c>
      <c r="Q411" s="86">
        <f t="shared" si="64"/>
        <v>195</v>
      </c>
      <c r="R411" s="86">
        <f t="shared" si="65"/>
        <v>100</v>
      </c>
      <c r="S411" s="83">
        <f t="shared" si="66"/>
        <v>695</v>
      </c>
      <c r="T411" s="83">
        <f>50</f>
        <v>50</v>
      </c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</row>
    <row r="412" spans="1:30" ht="15.75" x14ac:dyDescent="0.25">
      <c r="A412" s="33">
        <v>53478</v>
      </c>
      <c r="B412" s="96">
        <v>31</v>
      </c>
      <c r="C412" s="83">
        <f>194.205</f>
        <v>194.20500000000001</v>
      </c>
      <c r="D412" s="83">
        <f>267.466</f>
        <v>267.46600000000001</v>
      </c>
      <c r="E412" s="92">
        <f>133.845</f>
        <v>133.845</v>
      </c>
      <c r="F412" s="83">
        <f>278.484-40-25-60-100</f>
        <v>53.48399999999998</v>
      </c>
      <c r="G412" s="86">
        <v>40</v>
      </c>
      <c r="H412" s="83">
        <f t="shared" si="67"/>
        <v>185</v>
      </c>
      <c r="I412" s="83">
        <f t="shared" si="59"/>
        <v>0</v>
      </c>
      <c r="J412" s="86">
        <v>100</v>
      </c>
      <c r="K412" s="86">
        <v>300</v>
      </c>
      <c r="L412" s="83">
        <f t="shared" si="63"/>
        <v>1274</v>
      </c>
      <c r="M412" s="94">
        <v>600</v>
      </c>
      <c r="N412" s="83">
        <f>75</f>
        <v>75</v>
      </c>
      <c r="O412" s="86">
        <v>240</v>
      </c>
      <c r="P412" s="86">
        <v>160</v>
      </c>
      <c r="Q412" s="86">
        <f t="shared" si="64"/>
        <v>195</v>
      </c>
      <c r="R412" s="86">
        <f t="shared" si="65"/>
        <v>100</v>
      </c>
      <c r="S412" s="83">
        <f t="shared" si="66"/>
        <v>695</v>
      </c>
      <c r="T412" s="83">
        <f>50</f>
        <v>50</v>
      </c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</row>
    <row r="413" spans="1:30" ht="15.75" x14ac:dyDescent="0.25">
      <c r="A413" s="33">
        <v>53508</v>
      </c>
      <c r="B413" s="96">
        <v>30</v>
      </c>
      <c r="C413" s="83">
        <f>194.205</f>
        <v>194.20500000000001</v>
      </c>
      <c r="D413" s="83">
        <f>267.466</f>
        <v>267.46600000000001</v>
      </c>
      <c r="E413" s="92">
        <f>133.845</f>
        <v>133.845</v>
      </c>
      <c r="F413" s="83">
        <f>278.484-40-25-60-100</f>
        <v>53.48399999999998</v>
      </c>
      <c r="G413" s="86">
        <v>40</v>
      </c>
      <c r="H413" s="83">
        <f t="shared" si="67"/>
        <v>185</v>
      </c>
      <c r="I413" s="83">
        <f t="shared" si="59"/>
        <v>0</v>
      </c>
      <c r="J413" s="86">
        <v>100</v>
      </c>
      <c r="K413" s="86">
        <v>300</v>
      </c>
      <c r="L413" s="83">
        <f t="shared" si="63"/>
        <v>1274</v>
      </c>
      <c r="M413" s="94">
        <v>600</v>
      </c>
      <c r="N413" s="83">
        <f>30</f>
        <v>30</v>
      </c>
      <c r="O413" s="86">
        <v>240</v>
      </c>
      <c r="P413" s="86">
        <v>160</v>
      </c>
      <c r="Q413" s="86">
        <f t="shared" si="64"/>
        <v>195</v>
      </c>
      <c r="R413" s="86">
        <f t="shared" si="65"/>
        <v>100</v>
      </c>
      <c r="S413" s="83">
        <f t="shared" si="66"/>
        <v>695</v>
      </c>
      <c r="T413" s="83">
        <f>50</f>
        <v>50</v>
      </c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</row>
    <row r="414" spans="1:30" ht="15.75" x14ac:dyDescent="0.25">
      <c r="A414" s="33">
        <v>53539</v>
      </c>
      <c r="B414" s="96">
        <v>31</v>
      </c>
      <c r="C414" s="83">
        <f>194.205</f>
        <v>194.20500000000001</v>
      </c>
      <c r="D414" s="83">
        <f>267.466</f>
        <v>267.46600000000001</v>
      </c>
      <c r="E414" s="92">
        <f>133.845</f>
        <v>133.845</v>
      </c>
      <c r="F414" s="83">
        <f>278.484-40-25-60-100</f>
        <v>53.48399999999998</v>
      </c>
      <c r="G414" s="86">
        <v>40</v>
      </c>
      <c r="H414" s="83">
        <f t="shared" si="67"/>
        <v>185</v>
      </c>
      <c r="I414" s="83">
        <f t="shared" si="59"/>
        <v>0</v>
      </c>
      <c r="J414" s="86">
        <v>100</v>
      </c>
      <c r="K414" s="86">
        <v>300</v>
      </c>
      <c r="L414" s="83">
        <f t="shared" si="63"/>
        <v>1274</v>
      </c>
      <c r="M414" s="94">
        <v>600</v>
      </c>
      <c r="N414" s="83">
        <f>30</f>
        <v>30</v>
      </c>
      <c r="O414" s="86">
        <v>240</v>
      </c>
      <c r="P414" s="86">
        <v>160</v>
      </c>
      <c r="Q414" s="86">
        <f t="shared" si="64"/>
        <v>195</v>
      </c>
      <c r="R414" s="86">
        <f t="shared" si="65"/>
        <v>100</v>
      </c>
      <c r="S414" s="83">
        <f t="shared" si="66"/>
        <v>695</v>
      </c>
      <c r="T414" s="83">
        <f>0</f>
        <v>0</v>
      </c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</row>
    <row r="415" spans="1:30" ht="15.75" x14ac:dyDescent="0.25">
      <c r="A415" s="33">
        <v>53570</v>
      </c>
      <c r="B415" s="96">
        <v>31</v>
      </c>
      <c r="C415" s="83">
        <f>194.205</f>
        <v>194.20500000000001</v>
      </c>
      <c r="D415" s="83">
        <f>267.466</f>
        <v>267.46600000000001</v>
      </c>
      <c r="E415" s="92">
        <f>133.845</f>
        <v>133.845</v>
      </c>
      <c r="F415" s="83">
        <f>278.484-40-25-60-100</f>
        <v>53.48399999999998</v>
      </c>
      <c r="G415" s="86">
        <v>40</v>
      </c>
      <c r="H415" s="83">
        <f t="shared" si="67"/>
        <v>185</v>
      </c>
      <c r="I415" s="83">
        <f t="shared" si="59"/>
        <v>0</v>
      </c>
      <c r="J415" s="86">
        <v>100</v>
      </c>
      <c r="K415" s="86">
        <v>300</v>
      </c>
      <c r="L415" s="83">
        <f t="shared" si="63"/>
        <v>1274</v>
      </c>
      <c r="M415" s="94">
        <v>600</v>
      </c>
      <c r="N415" s="83">
        <f>30</f>
        <v>30</v>
      </c>
      <c r="O415" s="86">
        <v>240</v>
      </c>
      <c r="P415" s="86">
        <v>160</v>
      </c>
      <c r="Q415" s="86">
        <f t="shared" si="64"/>
        <v>195</v>
      </c>
      <c r="R415" s="86">
        <f t="shared" si="65"/>
        <v>100</v>
      </c>
      <c r="S415" s="83">
        <f t="shared" si="66"/>
        <v>695</v>
      </c>
      <c r="T415" s="83">
        <f>0</f>
        <v>0</v>
      </c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</row>
    <row r="416" spans="1:30" ht="15.75" x14ac:dyDescent="0.25">
      <c r="A416" s="33">
        <v>53600</v>
      </c>
      <c r="B416" s="96">
        <v>30</v>
      </c>
      <c r="C416" s="83">
        <f>194.205</f>
        <v>194.20500000000001</v>
      </c>
      <c r="D416" s="83">
        <f>267.466</f>
        <v>267.46600000000001</v>
      </c>
      <c r="E416" s="92">
        <f>133.845</f>
        <v>133.845</v>
      </c>
      <c r="F416" s="83">
        <f>278.484-40-25-60-100</f>
        <v>53.48399999999998</v>
      </c>
      <c r="G416" s="86">
        <v>40</v>
      </c>
      <c r="H416" s="83">
        <f t="shared" si="67"/>
        <v>185</v>
      </c>
      <c r="I416" s="83">
        <f t="shared" si="59"/>
        <v>0</v>
      </c>
      <c r="J416" s="86">
        <v>100</v>
      </c>
      <c r="K416" s="86">
        <v>300</v>
      </c>
      <c r="L416" s="83">
        <f t="shared" si="63"/>
        <v>1274</v>
      </c>
      <c r="M416" s="94">
        <v>600</v>
      </c>
      <c r="N416" s="83">
        <f>30</f>
        <v>30</v>
      </c>
      <c r="O416" s="86">
        <v>240</v>
      </c>
      <c r="P416" s="86">
        <v>160</v>
      </c>
      <c r="Q416" s="86">
        <f t="shared" si="64"/>
        <v>195</v>
      </c>
      <c r="R416" s="86">
        <f t="shared" si="65"/>
        <v>100</v>
      </c>
      <c r="S416" s="83">
        <f t="shared" si="66"/>
        <v>695</v>
      </c>
      <c r="T416" s="83">
        <f>0</f>
        <v>0</v>
      </c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</row>
    <row r="417" spans="1:30" ht="15.75" x14ac:dyDescent="0.25">
      <c r="A417" s="33">
        <v>53631</v>
      </c>
      <c r="B417" s="96">
        <v>31</v>
      </c>
      <c r="C417" s="83">
        <f>131.881</f>
        <v>131.881</v>
      </c>
      <c r="D417" s="83">
        <f>277.167</f>
        <v>277.16699999999997</v>
      </c>
      <c r="E417" s="92">
        <f>79.08</f>
        <v>79.08</v>
      </c>
      <c r="F417" s="83">
        <f>350.872-40-25-60-100</f>
        <v>125.87200000000001</v>
      </c>
      <c r="G417" s="86">
        <v>40</v>
      </c>
      <c r="H417" s="83">
        <f t="shared" si="67"/>
        <v>185</v>
      </c>
      <c r="I417" s="83">
        <f t="shared" si="59"/>
        <v>0</v>
      </c>
      <c r="J417" s="86">
        <v>100</v>
      </c>
      <c r="K417" s="86">
        <v>300</v>
      </c>
      <c r="L417" s="83">
        <f t="shared" si="63"/>
        <v>1239</v>
      </c>
      <c r="M417" s="94">
        <v>600</v>
      </c>
      <c r="N417" s="83">
        <f>75</f>
        <v>75</v>
      </c>
      <c r="O417" s="86">
        <v>240</v>
      </c>
      <c r="P417" s="86">
        <v>160</v>
      </c>
      <c r="Q417" s="86">
        <f t="shared" si="64"/>
        <v>195</v>
      </c>
      <c r="R417" s="86">
        <f t="shared" si="65"/>
        <v>100</v>
      </c>
      <c r="S417" s="83">
        <f t="shared" si="66"/>
        <v>695</v>
      </c>
      <c r="T417" s="83">
        <f>0</f>
        <v>0</v>
      </c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</row>
    <row r="418" spans="1:30" ht="15.75" x14ac:dyDescent="0.25">
      <c r="A418" s="33">
        <v>53661</v>
      </c>
      <c r="B418" s="96">
        <v>30</v>
      </c>
      <c r="C418" s="83">
        <f>122.58</f>
        <v>122.58</v>
      </c>
      <c r="D418" s="83">
        <f>297.941</f>
        <v>297.94099999999997</v>
      </c>
      <c r="E418" s="92">
        <f>89.177</f>
        <v>89.177000000000007</v>
      </c>
      <c r="F418" s="83">
        <f>240.302-40-60-100</f>
        <v>40.301999999999992</v>
      </c>
      <c r="G418" s="86">
        <v>40</v>
      </c>
      <c r="H418" s="83">
        <f>60+100</f>
        <v>160</v>
      </c>
      <c r="I418" s="83">
        <f t="shared" si="59"/>
        <v>0</v>
      </c>
      <c r="J418" s="86">
        <v>100</v>
      </c>
      <c r="K418" s="86">
        <v>300</v>
      </c>
      <c r="L418" s="83">
        <f t="shared" si="63"/>
        <v>1150</v>
      </c>
      <c r="M418" s="94">
        <v>600</v>
      </c>
      <c r="N418" s="83">
        <f>100</f>
        <v>100</v>
      </c>
      <c r="O418" s="86">
        <v>240</v>
      </c>
      <c r="P418" s="86">
        <v>40</v>
      </c>
      <c r="Q418" s="86">
        <f t="shared" si="64"/>
        <v>315</v>
      </c>
      <c r="R418" s="86">
        <f t="shared" si="65"/>
        <v>100</v>
      </c>
      <c r="S418" s="83">
        <f t="shared" si="66"/>
        <v>695</v>
      </c>
      <c r="T418" s="83">
        <f>50</f>
        <v>50</v>
      </c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</row>
    <row r="419" spans="1:30" ht="15.75" x14ac:dyDescent="0.25">
      <c r="A419" s="33">
        <v>53692</v>
      </c>
      <c r="B419" s="96">
        <v>31</v>
      </c>
      <c r="C419" s="83">
        <f>122.58</f>
        <v>122.58</v>
      </c>
      <c r="D419" s="83">
        <f>297.941</f>
        <v>297.94099999999997</v>
      </c>
      <c r="E419" s="92">
        <f>89.177</f>
        <v>89.177000000000007</v>
      </c>
      <c r="F419" s="83">
        <f>240.302-40-60-100</f>
        <v>40.301999999999992</v>
      </c>
      <c r="G419" s="86">
        <v>40</v>
      </c>
      <c r="H419" s="83">
        <f>60+100</f>
        <v>160</v>
      </c>
      <c r="I419" s="83">
        <f t="shared" si="59"/>
        <v>0</v>
      </c>
      <c r="J419" s="86">
        <v>100</v>
      </c>
      <c r="K419" s="86">
        <v>300</v>
      </c>
      <c r="L419" s="83">
        <f t="shared" si="63"/>
        <v>1150</v>
      </c>
      <c r="M419" s="94">
        <v>600</v>
      </c>
      <c r="N419" s="83">
        <f>100</f>
        <v>100</v>
      </c>
      <c r="O419" s="86">
        <v>240</v>
      </c>
      <c r="P419" s="86">
        <v>40</v>
      </c>
      <c r="Q419" s="86">
        <f t="shared" si="64"/>
        <v>315</v>
      </c>
      <c r="R419" s="86">
        <f t="shared" si="65"/>
        <v>100</v>
      </c>
      <c r="S419" s="83">
        <f t="shared" si="66"/>
        <v>695</v>
      </c>
      <c r="T419" s="83">
        <f>50</f>
        <v>50</v>
      </c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</row>
    <row r="420" spans="1:30" ht="15.75" x14ac:dyDescent="0.25">
      <c r="A420" s="33">
        <v>53723</v>
      </c>
      <c r="B420" s="96">
        <v>31</v>
      </c>
      <c r="C420" s="83">
        <f>122.58</f>
        <v>122.58</v>
      </c>
      <c r="D420" s="83">
        <f>297.941</f>
        <v>297.94099999999997</v>
      </c>
      <c r="E420" s="92">
        <f>89.177</f>
        <v>89.177000000000007</v>
      </c>
      <c r="F420" s="83">
        <f>240.302-40-60-100</f>
        <v>40.301999999999992</v>
      </c>
      <c r="G420" s="86">
        <v>40</v>
      </c>
      <c r="H420" s="83">
        <f>60+100</f>
        <v>160</v>
      </c>
      <c r="I420" s="83">
        <f t="shared" si="59"/>
        <v>0</v>
      </c>
      <c r="J420" s="86">
        <v>100</v>
      </c>
      <c r="K420" s="86">
        <v>300</v>
      </c>
      <c r="L420" s="83">
        <f t="shared" si="63"/>
        <v>1150</v>
      </c>
      <c r="M420" s="94">
        <v>600</v>
      </c>
      <c r="N420" s="83">
        <f>100</f>
        <v>100</v>
      </c>
      <c r="O420" s="86">
        <v>240</v>
      </c>
      <c r="P420" s="86">
        <v>40</v>
      </c>
      <c r="Q420" s="86">
        <f t="shared" si="64"/>
        <v>315</v>
      </c>
      <c r="R420" s="86">
        <f t="shared" si="65"/>
        <v>100</v>
      </c>
      <c r="S420" s="83">
        <f t="shared" si="66"/>
        <v>695</v>
      </c>
      <c r="T420" s="83">
        <f>50</f>
        <v>50</v>
      </c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</row>
    <row r="421" spans="1:30" ht="15.75" x14ac:dyDescent="0.25">
      <c r="A421" s="33">
        <v>53751</v>
      </c>
      <c r="B421" s="96">
        <v>28</v>
      </c>
      <c r="C421" s="83">
        <f>122.58</f>
        <v>122.58</v>
      </c>
      <c r="D421" s="83">
        <f>297.941</f>
        <v>297.94099999999997</v>
      </c>
      <c r="E421" s="92">
        <f>89.177</f>
        <v>89.177000000000007</v>
      </c>
      <c r="F421" s="83">
        <f>240.302-40-60-100</f>
        <v>40.301999999999992</v>
      </c>
      <c r="G421" s="86">
        <v>40</v>
      </c>
      <c r="H421" s="83">
        <f>60+100</f>
        <v>160</v>
      </c>
      <c r="I421" s="83">
        <f t="shared" si="59"/>
        <v>0</v>
      </c>
      <c r="J421" s="86">
        <v>100</v>
      </c>
      <c r="K421" s="86">
        <v>300</v>
      </c>
      <c r="L421" s="83">
        <f t="shared" si="63"/>
        <v>1150</v>
      </c>
      <c r="M421" s="94">
        <v>600</v>
      </c>
      <c r="N421" s="83">
        <f>100</f>
        <v>100</v>
      </c>
      <c r="O421" s="86">
        <v>240</v>
      </c>
      <c r="P421" s="86">
        <v>40</v>
      </c>
      <c r="Q421" s="86">
        <f t="shared" si="64"/>
        <v>315</v>
      </c>
      <c r="R421" s="86">
        <f t="shared" si="65"/>
        <v>100</v>
      </c>
      <c r="S421" s="83">
        <f t="shared" si="66"/>
        <v>695</v>
      </c>
      <c r="T421" s="83">
        <f>50</f>
        <v>50</v>
      </c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</row>
    <row r="422" spans="1:30" ht="15.75" x14ac:dyDescent="0.25">
      <c r="A422" s="33">
        <v>53782</v>
      </c>
      <c r="B422" s="96">
        <v>31</v>
      </c>
      <c r="C422" s="83">
        <f>122.58</f>
        <v>122.58</v>
      </c>
      <c r="D422" s="83">
        <f>297.941</f>
        <v>297.94099999999997</v>
      </c>
      <c r="E422" s="92">
        <f>89.177</f>
        <v>89.177000000000007</v>
      </c>
      <c r="F422" s="83">
        <f>240.302-40-60-100</f>
        <v>40.301999999999992</v>
      </c>
      <c r="G422" s="86">
        <v>40</v>
      </c>
      <c r="H422" s="83">
        <f>60+100</f>
        <v>160</v>
      </c>
      <c r="I422" s="83">
        <f t="shared" si="59"/>
        <v>0</v>
      </c>
      <c r="J422" s="86">
        <v>100</v>
      </c>
      <c r="K422" s="86">
        <v>300</v>
      </c>
      <c r="L422" s="83">
        <f t="shared" si="63"/>
        <v>1150</v>
      </c>
      <c r="M422" s="94">
        <v>600</v>
      </c>
      <c r="N422" s="83">
        <f>100</f>
        <v>100</v>
      </c>
      <c r="O422" s="86">
        <v>240</v>
      </c>
      <c r="P422" s="86">
        <v>40</v>
      </c>
      <c r="Q422" s="86">
        <f t="shared" si="64"/>
        <v>315</v>
      </c>
      <c r="R422" s="86">
        <f t="shared" si="65"/>
        <v>100</v>
      </c>
      <c r="S422" s="83">
        <f t="shared" si="66"/>
        <v>695</v>
      </c>
      <c r="T422" s="83">
        <f>50</f>
        <v>50</v>
      </c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</row>
    <row r="423" spans="1:30" ht="15.75" x14ac:dyDescent="0.25">
      <c r="A423" s="33">
        <v>53812</v>
      </c>
      <c r="B423" s="96">
        <v>30</v>
      </c>
      <c r="C423" s="83">
        <f>141.293</f>
        <v>141.29300000000001</v>
      </c>
      <c r="D423" s="83">
        <f>267.993</f>
        <v>267.99299999999999</v>
      </c>
      <c r="E423" s="92">
        <f>115.016</f>
        <v>115.01600000000001</v>
      </c>
      <c r="F423" s="83">
        <f>314.698-40-25-60-100</f>
        <v>89.697999999999979</v>
      </c>
      <c r="G423" s="86">
        <v>40</v>
      </c>
      <c r="H423" s="83">
        <f t="shared" ref="H423:H429" si="68">25+60+100</f>
        <v>185</v>
      </c>
      <c r="I423" s="83">
        <f t="shared" si="59"/>
        <v>0</v>
      </c>
      <c r="J423" s="86">
        <v>100</v>
      </c>
      <c r="K423" s="86">
        <v>300</v>
      </c>
      <c r="L423" s="83">
        <f t="shared" si="63"/>
        <v>1239</v>
      </c>
      <c r="M423" s="94">
        <v>600</v>
      </c>
      <c r="N423" s="83">
        <f>100</f>
        <v>100</v>
      </c>
      <c r="O423" s="86">
        <v>240</v>
      </c>
      <c r="P423" s="86">
        <v>160</v>
      </c>
      <c r="Q423" s="86">
        <f t="shared" si="64"/>
        <v>195</v>
      </c>
      <c r="R423" s="86">
        <f t="shared" si="65"/>
        <v>100</v>
      </c>
      <c r="S423" s="83">
        <f t="shared" si="66"/>
        <v>695</v>
      </c>
      <c r="T423" s="83">
        <f>50</f>
        <v>50</v>
      </c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</row>
    <row r="424" spans="1:30" ht="15.75" x14ac:dyDescent="0.25">
      <c r="A424" s="33">
        <v>53843</v>
      </c>
      <c r="B424" s="96">
        <v>31</v>
      </c>
      <c r="C424" s="83">
        <f>194.205</f>
        <v>194.20500000000001</v>
      </c>
      <c r="D424" s="83">
        <f>267.466</f>
        <v>267.46600000000001</v>
      </c>
      <c r="E424" s="92">
        <f>133.845</f>
        <v>133.845</v>
      </c>
      <c r="F424" s="83">
        <f>278.484-40-25-60-100</f>
        <v>53.48399999999998</v>
      </c>
      <c r="G424" s="86">
        <v>40</v>
      </c>
      <c r="H424" s="83">
        <f t="shared" si="68"/>
        <v>185</v>
      </c>
      <c r="I424" s="83">
        <f t="shared" si="59"/>
        <v>0</v>
      </c>
      <c r="J424" s="86">
        <v>100</v>
      </c>
      <c r="K424" s="86">
        <v>300</v>
      </c>
      <c r="L424" s="83">
        <f t="shared" si="63"/>
        <v>1274</v>
      </c>
      <c r="M424" s="94">
        <v>600</v>
      </c>
      <c r="N424" s="83">
        <f>75</f>
        <v>75</v>
      </c>
      <c r="O424" s="86">
        <v>240</v>
      </c>
      <c r="P424" s="86">
        <v>160</v>
      </c>
      <c r="Q424" s="86">
        <f t="shared" si="64"/>
        <v>195</v>
      </c>
      <c r="R424" s="86">
        <f t="shared" si="65"/>
        <v>100</v>
      </c>
      <c r="S424" s="83">
        <f t="shared" si="66"/>
        <v>695</v>
      </c>
      <c r="T424" s="83">
        <f>50</f>
        <v>50</v>
      </c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</row>
    <row r="425" spans="1:30" ht="15.75" x14ac:dyDescent="0.25">
      <c r="A425" s="33">
        <v>53873</v>
      </c>
      <c r="B425" s="96">
        <v>30</v>
      </c>
      <c r="C425" s="83">
        <f>194.205</f>
        <v>194.20500000000001</v>
      </c>
      <c r="D425" s="83">
        <f>267.466</f>
        <v>267.46600000000001</v>
      </c>
      <c r="E425" s="92">
        <f>133.845</f>
        <v>133.845</v>
      </c>
      <c r="F425" s="83">
        <f>278.484-40-25-60-100</f>
        <v>53.48399999999998</v>
      </c>
      <c r="G425" s="86">
        <v>40</v>
      </c>
      <c r="H425" s="83">
        <f t="shared" si="68"/>
        <v>185</v>
      </c>
      <c r="I425" s="83">
        <f t="shared" si="59"/>
        <v>0</v>
      </c>
      <c r="J425" s="86">
        <v>100</v>
      </c>
      <c r="K425" s="86">
        <v>300</v>
      </c>
      <c r="L425" s="83">
        <f t="shared" si="63"/>
        <v>1274</v>
      </c>
      <c r="M425" s="94">
        <v>600</v>
      </c>
      <c r="N425" s="83">
        <f>30</f>
        <v>30</v>
      </c>
      <c r="O425" s="86">
        <v>240</v>
      </c>
      <c r="P425" s="86">
        <v>160</v>
      </c>
      <c r="Q425" s="86">
        <f t="shared" si="64"/>
        <v>195</v>
      </c>
      <c r="R425" s="86">
        <f t="shared" si="65"/>
        <v>100</v>
      </c>
      <c r="S425" s="83">
        <f t="shared" si="66"/>
        <v>695</v>
      </c>
      <c r="T425" s="83">
        <f>50</f>
        <v>50</v>
      </c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</row>
    <row r="426" spans="1:30" ht="15.75" x14ac:dyDescent="0.25">
      <c r="A426" s="33">
        <v>53904</v>
      </c>
      <c r="B426" s="96">
        <v>31</v>
      </c>
      <c r="C426" s="83">
        <f>194.205</f>
        <v>194.20500000000001</v>
      </c>
      <c r="D426" s="83">
        <f>267.466</f>
        <v>267.46600000000001</v>
      </c>
      <c r="E426" s="92">
        <f>133.845</f>
        <v>133.845</v>
      </c>
      <c r="F426" s="83">
        <f>278.484-40-25-60-100</f>
        <v>53.48399999999998</v>
      </c>
      <c r="G426" s="86">
        <v>40</v>
      </c>
      <c r="H426" s="83">
        <f t="shared" si="68"/>
        <v>185</v>
      </c>
      <c r="I426" s="83">
        <f t="shared" si="59"/>
        <v>0</v>
      </c>
      <c r="J426" s="86">
        <v>100</v>
      </c>
      <c r="K426" s="86">
        <v>300</v>
      </c>
      <c r="L426" s="83">
        <f t="shared" si="63"/>
        <v>1274</v>
      </c>
      <c r="M426" s="94">
        <v>600</v>
      </c>
      <c r="N426" s="83">
        <f>30</f>
        <v>30</v>
      </c>
      <c r="O426" s="86">
        <v>240</v>
      </c>
      <c r="P426" s="86">
        <v>160</v>
      </c>
      <c r="Q426" s="86">
        <f t="shared" si="64"/>
        <v>195</v>
      </c>
      <c r="R426" s="86">
        <f t="shared" si="65"/>
        <v>100</v>
      </c>
      <c r="S426" s="83">
        <f t="shared" si="66"/>
        <v>695</v>
      </c>
      <c r="T426" s="83">
        <f>0</f>
        <v>0</v>
      </c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</row>
    <row r="427" spans="1:30" ht="15.75" x14ac:dyDescent="0.25">
      <c r="A427" s="33">
        <v>53935</v>
      </c>
      <c r="B427" s="96">
        <v>31</v>
      </c>
      <c r="C427" s="83">
        <f>194.205</f>
        <v>194.20500000000001</v>
      </c>
      <c r="D427" s="83">
        <f>267.466</f>
        <v>267.46600000000001</v>
      </c>
      <c r="E427" s="92">
        <f>133.845</f>
        <v>133.845</v>
      </c>
      <c r="F427" s="83">
        <f>278.484-40-25-60-100</f>
        <v>53.48399999999998</v>
      </c>
      <c r="G427" s="86">
        <v>40</v>
      </c>
      <c r="H427" s="83">
        <f t="shared" si="68"/>
        <v>185</v>
      </c>
      <c r="I427" s="83">
        <f t="shared" si="59"/>
        <v>0</v>
      </c>
      <c r="J427" s="86">
        <v>100</v>
      </c>
      <c r="K427" s="86">
        <v>300</v>
      </c>
      <c r="L427" s="83">
        <f t="shared" si="63"/>
        <v>1274</v>
      </c>
      <c r="M427" s="94">
        <v>600</v>
      </c>
      <c r="N427" s="83">
        <f>30</f>
        <v>30</v>
      </c>
      <c r="O427" s="86">
        <v>240</v>
      </c>
      <c r="P427" s="86">
        <v>160</v>
      </c>
      <c r="Q427" s="86">
        <f t="shared" si="64"/>
        <v>195</v>
      </c>
      <c r="R427" s="86">
        <f t="shared" si="65"/>
        <v>100</v>
      </c>
      <c r="S427" s="83">
        <f t="shared" si="66"/>
        <v>695</v>
      </c>
      <c r="T427" s="83">
        <f>0</f>
        <v>0</v>
      </c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</row>
    <row r="428" spans="1:30" ht="15.75" x14ac:dyDescent="0.25">
      <c r="A428" s="33">
        <v>53965</v>
      </c>
      <c r="B428" s="96">
        <v>30</v>
      </c>
      <c r="C428" s="83">
        <f>194.205</f>
        <v>194.20500000000001</v>
      </c>
      <c r="D428" s="83">
        <f>267.466</f>
        <v>267.46600000000001</v>
      </c>
      <c r="E428" s="92">
        <f>133.845</f>
        <v>133.845</v>
      </c>
      <c r="F428" s="83">
        <f>278.484-40-25-60-100</f>
        <v>53.48399999999998</v>
      </c>
      <c r="G428" s="86">
        <v>40</v>
      </c>
      <c r="H428" s="83">
        <f t="shared" si="68"/>
        <v>185</v>
      </c>
      <c r="I428" s="83">
        <f t="shared" si="59"/>
        <v>0</v>
      </c>
      <c r="J428" s="86">
        <v>100</v>
      </c>
      <c r="K428" s="86">
        <v>300</v>
      </c>
      <c r="L428" s="83">
        <f t="shared" si="63"/>
        <v>1274</v>
      </c>
      <c r="M428" s="94">
        <v>600</v>
      </c>
      <c r="N428" s="83">
        <f>30</f>
        <v>30</v>
      </c>
      <c r="O428" s="86">
        <v>240</v>
      </c>
      <c r="P428" s="86">
        <v>160</v>
      </c>
      <c r="Q428" s="86">
        <f t="shared" si="64"/>
        <v>195</v>
      </c>
      <c r="R428" s="86">
        <f t="shared" si="65"/>
        <v>100</v>
      </c>
      <c r="S428" s="83">
        <f t="shared" si="66"/>
        <v>695</v>
      </c>
      <c r="T428" s="83">
        <f>0</f>
        <v>0</v>
      </c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</row>
    <row r="429" spans="1:30" ht="15.75" x14ac:dyDescent="0.25">
      <c r="A429" s="33">
        <v>53996</v>
      </c>
      <c r="B429" s="96">
        <v>31</v>
      </c>
      <c r="C429" s="83">
        <f>131.881</f>
        <v>131.881</v>
      </c>
      <c r="D429" s="83">
        <f>277.167</f>
        <v>277.16699999999997</v>
      </c>
      <c r="E429" s="92">
        <f>79.08</f>
        <v>79.08</v>
      </c>
      <c r="F429" s="83">
        <f>350.872-40-25-60-100</f>
        <v>125.87200000000001</v>
      </c>
      <c r="G429" s="86">
        <v>40</v>
      </c>
      <c r="H429" s="83">
        <f t="shared" si="68"/>
        <v>185</v>
      </c>
      <c r="I429" s="83">
        <f t="shared" si="59"/>
        <v>0</v>
      </c>
      <c r="J429" s="86">
        <v>100</v>
      </c>
      <c r="K429" s="86">
        <v>300</v>
      </c>
      <c r="L429" s="83">
        <f t="shared" si="63"/>
        <v>1239</v>
      </c>
      <c r="M429" s="94">
        <v>600</v>
      </c>
      <c r="N429" s="83">
        <f>75</f>
        <v>75</v>
      </c>
      <c r="O429" s="86">
        <v>240</v>
      </c>
      <c r="P429" s="86">
        <v>160</v>
      </c>
      <c r="Q429" s="86">
        <f t="shared" si="64"/>
        <v>195</v>
      </c>
      <c r="R429" s="86">
        <f t="shared" si="65"/>
        <v>100</v>
      </c>
      <c r="S429" s="83">
        <f t="shared" si="66"/>
        <v>695</v>
      </c>
      <c r="T429" s="83">
        <f>0</f>
        <v>0</v>
      </c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</row>
    <row r="430" spans="1:30" ht="15.75" x14ac:dyDescent="0.25">
      <c r="A430" s="33">
        <v>54026</v>
      </c>
      <c r="B430" s="96">
        <v>30</v>
      </c>
      <c r="C430" s="83">
        <f>122.58</f>
        <v>122.58</v>
      </c>
      <c r="D430" s="83">
        <f>297.941</f>
        <v>297.94099999999997</v>
      </c>
      <c r="E430" s="92">
        <f>89.177</f>
        <v>89.177000000000007</v>
      </c>
      <c r="F430" s="83">
        <f>240.302-40-60-100</f>
        <v>40.301999999999992</v>
      </c>
      <c r="G430" s="86">
        <v>40</v>
      </c>
      <c r="H430" s="83">
        <f>60+100</f>
        <v>160</v>
      </c>
      <c r="I430" s="83">
        <f t="shared" si="59"/>
        <v>0</v>
      </c>
      <c r="J430" s="86">
        <v>100</v>
      </c>
      <c r="K430" s="86">
        <v>300</v>
      </c>
      <c r="L430" s="83">
        <f t="shared" si="63"/>
        <v>1150</v>
      </c>
      <c r="M430" s="94">
        <v>600</v>
      </c>
      <c r="N430" s="83">
        <f>100</f>
        <v>100</v>
      </c>
      <c r="O430" s="86">
        <v>240</v>
      </c>
      <c r="P430" s="86">
        <v>40</v>
      </c>
      <c r="Q430" s="86">
        <f t="shared" si="64"/>
        <v>315</v>
      </c>
      <c r="R430" s="86">
        <f t="shared" si="65"/>
        <v>100</v>
      </c>
      <c r="S430" s="83">
        <f t="shared" si="66"/>
        <v>695</v>
      </c>
      <c r="T430" s="83">
        <f>50</f>
        <v>50</v>
      </c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</row>
    <row r="431" spans="1:30" ht="15.75" x14ac:dyDescent="0.25">
      <c r="A431" s="33">
        <v>54057</v>
      </c>
      <c r="B431" s="96">
        <v>31</v>
      </c>
      <c r="C431" s="83">
        <f>122.58</f>
        <v>122.58</v>
      </c>
      <c r="D431" s="83">
        <f>297.941</f>
        <v>297.94099999999997</v>
      </c>
      <c r="E431" s="92">
        <f>89.177</f>
        <v>89.177000000000007</v>
      </c>
      <c r="F431" s="83">
        <f>240.302-40-60-100</f>
        <v>40.301999999999992</v>
      </c>
      <c r="G431" s="86">
        <v>40</v>
      </c>
      <c r="H431" s="83">
        <f>60+100</f>
        <v>160</v>
      </c>
      <c r="I431" s="83">
        <f t="shared" si="59"/>
        <v>0</v>
      </c>
      <c r="J431" s="86">
        <v>100</v>
      </c>
      <c r="K431" s="86">
        <v>300</v>
      </c>
      <c r="L431" s="83">
        <f t="shared" si="63"/>
        <v>1150</v>
      </c>
      <c r="M431" s="94">
        <v>600</v>
      </c>
      <c r="N431" s="83">
        <f>100</f>
        <v>100</v>
      </c>
      <c r="O431" s="86">
        <v>240</v>
      </c>
      <c r="P431" s="86">
        <v>40</v>
      </c>
      <c r="Q431" s="86">
        <f t="shared" si="64"/>
        <v>315</v>
      </c>
      <c r="R431" s="86">
        <f t="shared" si="65"/>
        <v>100</v>
      </c>
      <c r="S431" s="83">
        <f t="shared" si="66"/>
        <v>695</v>
      </c>
      <c r="T431" s="83">
        <f>50</f>
        <v>50</v>
      </c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</row>
    <row r="432" spans="1:30" ht="15.75" x14ac:dyDescent="0.25">
      <c r="A432" s="33">
        <v>54088</v>
      </c>
      <c r="B432" s="96">
        <v>31</v>
      </c>
      <c r="C432" s="83">
        <f>122.58</f>
        <v>122.58</v>
      </c>
      <c r="D432" s="83">
        <f>297.941</f>
        <v>297.94099999999997</v>
      </c>
      <c r="E432" s="92">
        <f>89.177</f>
        <v>89.177000000000007</v>
      </c>
      <c r="F432" s="83">
        <f>240.302-40-60-100</f>
        <v>40.301999999999992</v>
      </c>
      <c r="G432" s="86">
        <v>40</v>
      </c>
      <c r="H432" s="83">
        <f>60+100</f>
        <v>160</v>
      </c>
      <c r="I432" s="83">
        <f t="shared" si="59"/>
        <v>0</v>
      </c>
      <c r="J432" s="86">
        <v>100</v>
      </c>
      <c r="K432" s="86">
        <v>300</v>
      </c>
      <c r="L432" s="83">
        <f t="shared" si="63"/>
        <v>1150</v>
      </c>
      <c r="M432" s="94">
        <v>600</v>
      </c>
      <c r="N432" s="83">
        <f>100</f>
        <v>100</v>
      </c>
      <c r="O432" s="86">
        <v>240</v>
      </c>
      <c r="P432" s="86">
        <v>40</v>
      </c>
      <c r="Q432" s="86">
        <f t="shared" si="64"/>
        <v>315</v>
      </c>
      <c r="R432" s="86">
        <f t="shared" si="65"/>
        <v>100</v>
      </c>
      <c r="S432" s="83">
        <f t="shared" si="66"/>
        <v>695</v>
      </c>
      <c r="T432" s="83">
        <f>50</f>
        <v>50</v>
      </c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</row>
    <row r="433" spans="1:30" ht="15.75" x14ac:dyDescent="0.25">
      <c r="A433" s="33">
        <v>54116</v>
      </c>
      <c r="B433" s="96">
        <v>29</v>
      </c>
      <c r="C433" s="83">
        <f>122.58</f>
        <v>122.58</v>
      </c>
      <c r="D433" s="83">
        <f>297.941</f>
        <v>297.94099999999997</v>
      </c>
      <c r="E433" s="92">
        <f>89.177</f>
        <v>89.177000000000007</v>
      </c>
      <c r="F433" s="83">
        <f>240.302-40-60-100</f>
        <v>40.301999999999992</v>
      </c>
      <c r="G433" s="86">
        <v>40</v>
      </c>
      <c r="H433" s="83">
        <f>60+100</f>
        <v>160</v>
      </c>
      <c r="I433" s="83">
        <f t="shared" si="59"/>
        <v>0</v>
      </c>
      <c r="J433" s="86">
        <v>100</v>
      </c>
      <c r="K433" s="86">
        <v>300</v>
      </c>
      <c r="L433" s="83">
        <f t="shared" si="63"/>
        <v>1150</v>
      </c>
      <c r="M433" s="94">
        <v>600</v>
      </c>
      <c r="N433" s="83">
        <f>100</f>
        <v>100</v>
      </c>
      <c r="O433" s="86">
        <v>240</v>
      </c>
      <c r="P433" s="86">
        <v>40</v>
      </c>
      <c r="Q433" s="86">
        <f t="shared" si="64"/>
        <v>315</v>
      </c>
      <c r="R433" s="86">
        <f t="shared" si="65"/>
        <v>100</v>
      </c>
      <c r="S433" s="83">
        <f t="shared" si="66"/>
        <v>695</v>
      </c>
      <c r="T433" s="83">
        <f>50</f>
        <v>50</v>
      </c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</row>
    <row r="434" spans="1:30" ht="15.75" x14ac:dyDescent="0.25">
      <c r="A434" s="33">
        <v>54148</v>
      </c>
      <c r="B434" s="96">
        <v>31</v>
      </c>
      <c r="C434" s="83">
        <f>122.58</f>
        <v>122.58</v>
      </c>
      <c r="D434" s="83">
        <f>297.941</f>
        <v>297.94099999999997</v>
      </c>
      <c r="E434" s="92">
        <f>89.177</f>
        <v>89.177000000000007</v>
      </c>
      <c r="F434" s="83">
        <f>240.302-40-60-100</f>
        <v>40.301999999999992</v>
      </c>
      <c r="G434" s="86">
        <v>40</v>
      </c>
      <c r="H434" s="83">
        <f>60+100</f>
        <v>160</v>
      </c>
      <c r="I434" s="83">
        <f t="shared" si="59"/>
        <v>0</v>
      </c>
      <c r="J434" s="86">
        <v>100</v>
      </c>
      <c r="K434" s="86">
        <v>300</v>
      </c>
      <c r="L434" s="83">
        <f t="shared" si="63"/>
        <v>1150</v>
      </c>
      <c r="M434" s="94">
        <v>600</v>
      </c>
      <c r="N434" s="83">
        <f>100</f>
        <v>100</v>
      </c>
      <c r="O434" s="86">
        <v>240</v>
      </c>
      <c r="P434" s="86">
        <v>40</v>
      </c>
      <c r="Q434" s="86">
        <f t="shared" si="64"/>
        <v>315</v>
      </c>
      <c r="R434" s="86">
        <f t="shared" si="65"/>
        <v>100</v>
      </c>
      <c r="S434" s="83">
        <f t="shared" si="66"/>
        <v>695</v>
      </c>
      <c r="T434" s="83">
        <f>50</f>
        <v>50</v>
      </c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</row>
    <row r="435" spans="1:30" ht="15.75" x14ac:dyDescent="0.25">
      <c r="A435" s="33">
        <v>54178</v>
      </c>
      <c r="B435" s="96">
        <v>30</v>
      </c>
      <c r="C435" s="83">
        <f>141.293</f>
        <v>141.29300000000001</v>
      </c>
      <c r="D435" s="83">
        <f>267.993</f>
        <v>267.99299999999999</v>
      </c>
      <c r="E435" s="92">
        <f>115.016</f>
        <v>115.01600000000001</v>
      </c>
      <c r="F435" s="83">
        <f>314.698-40-25-60-100</f>
        <v>89.697999999999979</v>
      </c>
      <c r="G435" s="86">
        <v>40</v>
      </c>
      <c r="H435" s="83">
        <f t="shared" ref="H435:H441" si="69">25+60+100</f>
        <v>185</v>
      </c>
      <c r="I435" s="83">
        <f t="shared" si="59"/>
        <v>0</v>
      </c>
      <c r="J435" s="86">
        <v>100</v>
      </c>
      <c r="K435" s="86">
        <v>300</v>
      </c>
      <c r="L435" s="83">
        <f t="shared" si="63"/>
        <v>1239</v>
      </c>
      <c r="M435" s="94">
        <v>600</v>
      </c>
      <c r="N435" s="83">
        <f>100</f>
        <v>100</v>
      </c>
      <c r="O435" s="86">
        <v>240</v>
      </c>
      <c r="P435" s="86">
        <v>160</v>
      </c>
      <c r="Q435" s="86">
        <f t="shared" si="64"/>
        <v>195</v>
      </c>
      <c r="R435" s="86">
        <f t="shared" si="65"/>
        <v>100</v>
      </c>
      <c r="S435" s="83">
        <f t="shared" si="66"/>
        <v>695</v>
      </c>
      <c r="T435" s="83">
        <f>50</f>
        <v>50</v>
      </c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</row>
    <row r="436" spans="1:30" ht="15.75" x14ac:dyDescent="0.25">
      <c r="A436" s="33">
        <v>54209</v>
      </c>
      <c r="B436" s="96">
        <v>31</v>
      </c>
      <c r="C436" s="83">
        <f>194.205</f>
        <v>194.20500000000001</v>
      </c>
      <c r="D436" s="83">
        <f>267.466</f>
        <v>267.46600000000001</v>
      </c>
      <c r="E436" s="92">
        <f>133.845</f>
        <v>133.845</v>
      </c>
      <c r="F436" s="83">
        <f>278.484-40-25-60-100</f>
        <v>53.48399999999998</v>
      </c>
      <c r="G436" s="86">
        <v>40</v>
      </c>
      <c r="H436" s="83">
        <f t="shared" si="69"/>
        <v>185</v>
      </c>
      <c r="I436" s="83">
        <f t="shared" ref="I436:I499" si="70">400-J436-K436</f>
        <v>0</v>
      </c>
      <c r="J436" s="86">
        <v>100</v>
      </c>
      <c r="K436" s="86">
        <v>300</v>
      </c>
      <c r="L436" s="83">
        <f t="shared" si="63"/>
        <v>1274</v>
      </c>
      <c r="M436" s="94">
        <v>600</v>
      </c>
      <c r="N436" s="83">
        <f>75</f>
        <v>75</v>
      </c>
      <c r="O436" s="86">
        <v>240</v>
      </c>
      <c r="P436" s="86">
        <v>160</v>
      </c>
      <c r="Q436" s="86">
        <f t="shared" si="64"/>
        <v>195</v>
      </c>
      <c r="R436" s="86">
        <f t="shared" si="65"/>
        <v>100</v>
      </c>
      <c r="S436" s="83">
        <f t="shared" si="66"/>
        <v>695</v>
      </c>
      <c r="T436" s="83">
        <f>50</f>
        <v>50</v>
      </c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</row>
    <row r="437" spans="1:30" ht="15.75" x14ac:dyDescent="0.25">
      <c r="A437" s="33">
        <v>54239</v>
      </c>
      <c r="B437" s="96">
        <v>30</v>
      </c>
      <c r="C437" s="83">
        <f>194.205</f>
        <v>194.20500000000001</v>
      </c>
      <c r="D437" s="83">
        <f>267.466</f>
        <v>267.46600000000001</v>
      </c>
      <c r="E437" s="92">
        <f>133.845</f>
        <v>133.845</v>
      </c>
      <c r="F437" s="83">
        <f>278.484-40-25-60-100</f>
        <v>53.48399999999998</v>
      </c>
      <c r="G437" s="86">
        <v>40</v>
      </c>
      <c r="H437" s="83">
        <f t="shared" si="69"/>
        <v>185</v>
      </c>
      <c r="I437" s="83">
        <f t="shared" si="70"/>
        <v>0</v>
      </c>
      <c r="J437" s="86">
        <v>100</v>
      </c>
      <c r="K437" s="86">
        <v>300</v>
      </c>
      <c r="L437" s="83">
        <f t="shared" si="63"/>
        <v>1274</v>
      </c>
      <c r="M437" s="94">
        <v>600</v>
      </c>
      <c r="N437" s="83">
        <f>30</f>
        <v>30</v>
      </c>
      <c r="O437" s="86">
        <v>240</v>
      </c>
      <c r="P437" s="86">
        <v>160</v>
      </c>
      <c r="Q437" s="86">
        <f t="shared" si="64"/>
        <v>195</v>
      </c>
      <c r="R437" s="86">
        <f t="shared" si="65"/>
        <v>100</v>
      </c>
      <c r="S437" s="83">
        <f t="shared" si="66"/>
        <v>695</v>
      </c>
      <c r="T437" s="83">
        <f>50</f>
        <v>50</v>
      </c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</row>
    <row r="438" spans="1:30" ht="15.75" x14ac:dyDescent="0.25">
      <c r="A438" s="33">
        <v>54270</v>
      </c>
      <c r="B438" s="96">
        <v>31</v>
      </c>
      <c r="C438" s="83">
        <f>194.205</f>
        <v>194.20500000000001</v>
      </c>
      <c r="D438" s="83">
        <f>267.466</f>
        <v>267.46600000000001</v>
      </c>
      <c r="E438" s="92">
        <f>133.845</f>
        <v>133.845</v>
      </c>
      <c r="F438" s="83">
        <f>278.484-40-25-60-100</f>
        <v>53.48399999999998</v>
      </c>
      <c r="G438" s="86">
        <v>40</v>
      </c>
      <c r="H438" s="83">
        <f t="shared" si="69"/>
        <v>185</v>
      </c>
      <c r="I438" s="83">
        <f t="shared" si="70"/>
        <v>0</v>
      </c>
      <c r="J438" s="86">
        <v>100</v>
      </c>
      <c r="K438" s="86">
        <v>300</v>
      </c>
      <c r="L438" s="83">
        <f t="shared" si="63"/>
        <v>1274</v>
      </c>
      <c r="M438" s="94">
        <v>600</v>
      </c>
      <c r="N438" s="83">
        <f>30</f>
        <v>30</v>
      </c>
      <c r="O438" s="86">
        <v>240</v>
      </c>
      <c r="P438" s="86">
        <v>160</v>
      </c>
      <c r="Q438" s="86">
        <f t="shared" si="64"/>
        <v>195</v>
      </c>
      <c r="R438" s="86">
        <f t="shared" si="65"/>
        <v>100</v>
      </c>
      <c r="S438" s="83">
        <f t="shared" si="66"/>
        <v>695</v>
      </c>
      <c r="T438" s="83">
        <f>0</f>
        <v>0</v>
      </c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</row>
    <row r="439" spans="1:30" ht="15.75" x14ac:dyDescent="0.25">
      <c r="A439" s="33">
        <v>54301</v>
      </c>
      <c r="B439" s="96">
        <v>31</v>
      </c>
      <c r="C439" s="83">
        <f>194.205</f>
        <v>194.20500000000001</v>
      </c>
      <c r="D439" s="83">
        <f>267.466</f>
        <v>267.46600000000001</v>
      </c>
      <c r="E439" s="92">
        <f>133.845</f>
        <v>133.845</v>
      </c>
      <c r="F439" s="83">
        <f>278.484-40-25-60-100</f>
        <v>53.48399999999998</v>
      </c>
      <c r="G439" s="86">
        <v>40</v>
      </c>
      <c r="H439" s="83">
        <f t="shared" si="69"/>
        <v>185</v>
      </c>
      <c r="I439" s="83">
        <f t="shared" si="70"/>
        <v>0</v>
      </c>
      <c r="J439" s="86">
        <v>100</v>
      </c>
      <c r="K439" s="86">
        <v>300</v>
      </c>
      <c r="L439" s="83">
        <f t="shared" si="63"/>
        <v>1274</v>
      </c>
      <c r="M439" s="94">
        <v>600</v>
      </c>
      <c r="N439" s="83">
        <f>30</f>
        <v>30</v>
      </c>
      <c r="O439" s="86">
        <v>240</v>
      </c>
      <c r="P439" s="86">
        <v>160</v>
      </c>
      <c r="Q439" s="86">
        <f t="shared" si="64"/>
        <v>195</v>
      </c>
      <c r="R439" s="86">
        <f t="shared" si="65"/>
        <v>100</v>
      </c>
      <c r="S439" s="83">
        <f t="shared" si="66"/>
        <v>695</v>
      </c>
      <c r="T439" s="83">
        <f>0</f>
        <v>0</v>
      </c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</row>
    <row r="440" spans="1:30" ht="15.75" x14ac:dyDescent="0.25">
      <c r="A440" s="33">
        <v>54331</v>
      </c>
      <c r="B440" s="96">
        <v>30</v>
      </c>
      <c r="C440" s="83">
        <f>194.205</f>
        <v>194.20500000000001</v>
      </c>
      <c r="D440" s="83">
        <f>267.466</f>
        <v>267.46600000000001</v>
      </c>
      <c r="E440" s="92">
        <f>133.845</f>
        <v>133.845</v>
      </c>
      <c r="F440" s="83">
        <f>278.484-40-25-60-100</f>
        <v>53.48399999999998</v>
      </c>
      <c r="G440" s="86">
        <v>40</v>
      </c>
      <c r="H440" s="83">
        <f t="shared" si="69"/>
        <v>185</v>
      </c>
      <c r="I440" s="83">
        <f t="shared" si="70"/>
        <v>0</v>
      </c>
      <c r="J440" s="86">
        <v>100</v>
      </c>
      <c r="K440" s="86">
        <v>300</v>
      </c>
      <c r="L440" s="83">
        <f t="shared" si="63"/>
        <v>1274</v>
      </c>
      <c r="M440" s="94">
        <v>600</v>
      </c>
      <c r="N440" s="83">
        <f>30</f>
        <v>30</v>
      </c>
      <c r="O440" s="86">
        <v>240</v>
      </c>
      <c r="P440" s="86">
        <v>160</v>
      </c>
      <c r="Q440" s="86">
        <f t="shared" si="64"/>
        <v>195</v>
      </c>
      <c r="R440" s="86">
        <f t="shared" si="65"/>
        <v>100</v>
      </c>
      <c r="S440" s="83">
        <f t="shared" si="66"/>
        <v>695</v>
      </c>
      <c r="T440" s="83">
        <f>0</f>
        <v>0</v>
      </c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</row>
    <row r="441" spans="1:30" ht="15.75" x14ac:dyDescent="0.25">
      <c r="A441" s="33">
        <v>54362</v>
      </c>
      <c r="B441" s="96">
        <v>31</v>
      </c>
      <c r="C441" s="83">
        <f>131.881</f>
        <v>131.881</v>
      </c>
      <c r="D441" s="83">
        <f>277.167</f>
        <v>277.16699999999997</v>
      </c>
      <c r="E441" s="92">
        <f>79.08</f>
        <v>79.08</v>
      </c>
      <c r="F441" s="83">
        <f>350.872-40-25-60-100</f>
        <v>125.87200000000001</v>
      </c>
      <c r="G441" s="86">
        <v>40</v>
      </c>
      <c r="H441" s="83">
        <f t="shared" si="69"/>
        <v>185</v>
      </c>
      <c r="I441" s="83">
        <f t="shared" si="70"/>
        <v>0</v>
      </c>
      <c r="J441" s="86">
        <v>100</v>
      </c>
      <c r="K441" s="86">
        <v>300</v>
      </c>
      <c r="L441" s="83">
        <f t="shared" si="63"/>
        <v>1239</v>
      </c>
      <c r="M441" s="94">
        <v>600</v>
      </c>
      <c r="N441" s="83">
        <f>75</f>
        <v>75</v>
      </c>
      <c r="O441" s="86">
        <v>240</v>
      </c>
      <c r="P441" s="86">
        <v>160</v>
      </c>
      <c r="Q441" s="86">
        <f t="shared" si="64"/>
        <v>195</v>
      </c>
      <c r="R441" s="86">
        <f t="shared" si="65"/>
        <v>100</v>
      </c>
      <c r="S441" s="83">
        <f t="shared" si="66"/>
        <v>695</v>
      </c>
      <c r="T441" s="83">
        <f>0</f>
        <v>0</v>
      </c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</row>
    <row r="442" spans="1:30" ht="15.75" x14ac:dyDescent="0.25">
      <c r="A442" s="33">
        <v>54392</v>
      </c>
      <c r="B442" s="96">
        <v>30</v>
      </c>
      <c r="C442" s="83">
        <f>122.58</f>
        <v>122.58</v>
      </c>
      <c r="D442" s="83">
        <f>297.941</f>
        <v>297.94099999999997</v>
      </c>
      <c r="E442" s="92">
        <f>89.177</f>
        <v>89.177000000000007</v>
      </c>
      <c r="F442" s="83">
        <f>240.302-40-60-100</f>
        <v>40.301999999999992</v>
      </c>
      <c r="G442" s="86">
        <v>40</v>
      </c>
      <c r="H442" s="83">
        <f>60+100</f>
        <v>160</v>
      </c>
      <c r="I442" s="83">
        <f t="shared" si="70"/>
        <v>0</v>
      </c>
      <c r="J442" s="86">
        <v>100</v>
      </c>
      <c r="K442" s="86">
        <v>300</v>
      </c>
      <c r="L442" s="83">
        <f t="shared" si="63"/>
        <v>1150</v>
      </c>
      <c r="M442" s="94">
        <v>600</v>
      </c>
      <c r="N442" s="83">
        <f>100</f>
        <v>100</v>
      </c>
      <c r="O442" s="86">
        <v>240</v>
      </c>
      <c r="P442" s="86">
        <v>40</v>
      </c>
      <c r="Q442" s="86">
        <f t="shared" si="64"/>
        <v>315</v>
      </c>
      <c r="R442" s="86">
        <f t="shared" si="65"/>
        <v>100</v>
      </c>
      <c r="S442" s="83">
        <f t="shared" si="66"/>
        <v>695</v>
      </c>
      <c r="T442" s="83">
        <f>50</f>
        <v>50</v>
      </c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</row>
    <row r="443" spans="1:30" ht="15.75" x14ac:dyDescent="0.25">
      <c r="A443" s="33">
        <v>54423</v>
      </c>
      <c r="B443" s="96">
        <v>31</v>
      </c>
      <c r="C443" s="83">
        <f>122.58</f>
        <v>122.58</v>
      </c>
      <c r="D443" s="83">
        <f>297.941</f>
        <v>297.94099999999997</v>
      </c>
      <c r="E443" s="92">
        <f>89.177</f>
        <v>89.177000000000007</v>
      </c>
      <c r="F443" s="83">
        <f>240.302-40-60-100</f>
        <v>40.301999999999992</v>
      </c>
      <c r="G443" s="86">
        <v>40</v>
      </c>
      <c r="H443" s="83">
        <f>60+100</f>
        <v>160</v>
      </c>
      <c r="I443" s="83">
        <f t="shared" si="70"/>
        <v>0</v>
      </c>
      <c r="J443" s="86">
        <v>100</v>
      </c>
      <c r="K443" s="86">
        <v>300</v>
      </c>
      <c r="L443" s="83">
        <f t="shared" si="63"/>
        <v>1150</v>
      </c>
      <c r="M443" s="94">
        <v>600</v>
      </c>
      <c r="N443" s="83">
        <f>100</f>
        <v>100</v>
      </c>
      <c r="O443" s="86">
        <v>240</v>
      </c>
      <c r="P443" s="86">
        <v>40</v>
      </c>
      <c r="Q443" s="86">
        <f t="shared" si="64"/>
        <v>315</v>
      </c>
      <c r="R443" s="86">
        <f t="shared" si="65"/>
        <v>100</v>
      </c>
      <c r="S443" s="83">
        <f t="shared" si="66"/>
        <v>695</v>
      </c>
      <c r="T443" s="83">
        <f>50</f>
        <v>50</v>
      </c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</row>
    <row r="444" spans="1:30" ht="15.75" x14ac:dyDescent="0.25">
      <c r="A444" s="33">
        <v>54454</v>
      </c>
      <c r="B444" s="96">
        <v>31</v>
      </c>
      <c r="C444" s="83">
        <f>122.58</f>
        <v>122.58</v>
      </c>
      <c r="D444" s="83">
        <f>297.941</f>
        <v>297.94099999999997</v>
      </c>
      <c r="E444" s="92">
        <f>89.177</f>
        <v>89.177000000000007</v>
      </c>
      <c r="F444" s="83">
        <f>240.302-40-60-100</f>
        <v>40.301999999999992</v>
      </c>
      <c r="G444" s="86">
        <v>40</v>
      </c>
      <c r="H444" s="83">
        <f>60+100</f>
        <v>160</v>
      </c>
      <c r="I444" s="83">
        <f t="shared" si="70"/>
        <v>0</v>
      </c>
      <c r="J444" s="86">
        <v>100</v>
      </c>
      <c r="K444" s="86">
        <v>300</v>
      </c>
      <c r="L444" s="83">
        <f t="shared" si="63"/>
        <v>1150</v>
      </c>
      <c r="M444" s="94">
        <v>600</v>
      </c>
      <c r="N444" s="83">
        <f>100</f>
        <v>100</v>
      </c>
      <c r="O444" s="86">
        <v>240</v>
      </c>
      <c r="P444" s="86">
        <v>40</v>
      </c>
      <c r="Q444" s="86">
        <f t="shared" si="64"/>
        <v>315</v>
      </c>
      <c r="R444" s="86">
        <f t="shared" si="65"/>
        <v>100</v>
      </c>
      <c r="S444" s="83">
        <f t="shared" si="66"/>
        <v>695</v>
      </c>
      <c r="T444" s="83">
        <f>50</f>
        <v>50</v>
      </c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</row>
    <row r="445" spans="1:30" ht="15.75" x14ac:dyDescent="0.25">
      <c r="A445" s="33">
        <v>54482</v>
      </c>
      <c r="B445" s="96">
        <v>28</v>
      </c>
      <c r="C445" s="83">
        <f>122.58</f>
        <v>122.58</v>
      </c>
      <c r="D445" s="83">
        <f>297.941</f>
        <v>297.94099999999997</v>
      </c>
      <c r="E445" s="92">
        <f>89.177</f>
        <v>89.177000000000007</v>
      </c>
      <c r="F445" s="83">
        <f>240.302-40-60-100</f>
        <v>40.301999999999992</v>
      </c>
      <c r="G445" s="86">
        <v>40</v>
      </c>
      <c r="H445" s="83">
        <f>60+100</f>
        <v>160</v>
      </c>
      <c r="I445" s="83">
        <f t="shared" si="70"/>
        <v>0</v>
      </c>
      <c r="J445" s="86">
        <v>100</v>
      </c>
      <c r="K445" s="86">
        <v>300</v>
      </c>
      <c r="L445" s="83">
        <f t="shared" si="63"/>
        <v>1150</v>
      </c>
      <c r="M445" s="94">
        <v>600</v>
      </c>
      <c r="N445" s="83">
        <f>100</f>
        <v>100</v>
      </c>
      <c r="O445" s="86">
        <v>240</v>
      </c>
      <c r="P445" s="86">
        <v>40</v>
      </c>
      <c r="Q445" s="86">
        <f t="shared" si="64"/>
        <v>315</v>
      </c>
      <c r="R445" s="86">
        <f t="shared" si="65"/>
        <v>100</v>
      </c>
      <c r="S445" s="83">
        <f t="shared" si="66"/>
        <v>695</v>
      </c>
      <c r="T445" s="83">
        <f>50</f>
        <v>50</v>
      </c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</row>
    <row r="446" spans="1:30" ht="15.75" x14ac:dyDescent="0.25">
      <c r="A446" s="33">
        <v>54513</v>
      </c>
      <c r="B446" s="96">
        <v>31</v>
      </c>
      <c r="C446" s="83">
        <f>122.58</f>
        <v>122.58</v>
      </c>
      <c r="D446" s="83">
        <f>297.941</f>
        <v>297.94099999999997</v>
      </c>
      <c r="E446" s="92">
        <f>89.177</f>
        <v>89.177000000000007</v>
      </c>
      <c r="F446" s="83">
        <f>240.302-40-60-100</f>
        <v>40.301999999999992</v>
      </c>
      <c r="G446" s="86">
        <v>40</v>
      </c>
      <c r="H446" s="83">
        <f>60+100</f>
        <v>160</v>
      </c>
      <c r="I446" s="83">
        <f t="shared" si="70"/>
        <v>0</v>
      </c>
      <c r="J446" s="86">
        <v>100</v>
      </c>
      <c r="K446" s="86">
        <v>300</v>
      </c>
      <c r="L446" s="83">
        <f t="shared" si="63"/>
        <v>1150</v>
      </c>
      <c r="M446" s="94">
        <v>600</v>
      </c>
      <c r="N446" s="83">
        <f>100</f>
        <v>100</v>
      </c>
      <c r="O446" s="86">
        <v>240</v>
      </c>
      <c r="P446" s="86">
        <v>40</v>
      </c>
      <c r="Q446" s="86">
        <f t="shared" si="64"/>
        <v>315</v>
      </c>
      <c r="R446" s="86">
        <f t="shared" si="65"/>
        <v>100</v>
      </c>
      <c r="S446" s="83">
        <f t="shared" si="66"/>
        <v>695</v>
      </c>
      <c r="T446" s="83">
        <f>50</f>
        <v>50</v>
      </c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</row>
    <row r="447" spans="1:30" ht="15.75" x14ac:dyDescent="0.25">
      <c r="A447" s="33">
        <v>54543</v>
      </c>
      <c r="B447" s="96">
        <v>30</v>
      </c>
      <c r="C447" s="83">
        <f>141.293</f>
        <v>141.29300000000001</v>
      </c>
      <c r="D447" s="83">
        <f>267.993</f>
        <v>267.99299999999999</v>
      </c>
      <c r="E447" s="92">
        <f>115.016</f>
        <v>115.01600000000001</v>
      </c>
      <c r="F447" s="83">
        <f>314.698-40-25-60-100</f>
        <v>89.697999999999979</v>
      </c>
      <c r="G447" s="86">
        <v>40</v>
      </c>
      <c r="H447" s="83">
        <f t="shared" ref="H447:H453" si="71">25+60+100</f>
        <v>185</v>
      </c>
      <c r="I447" s="83">
        <f t="shared" si="70"/>
        <v>0</v>
      </c>
      <c r="J447" s="86">
        <v>100</v>
      </c>
      <c r="K447" s="86">
        <v>300</v>
      </c>
      <c r="L447" s="83">
        <f t="shared" si="63"/>
        <v>1239</v>
      </c>
      <c r="M447" s="94">
        <v>600</v>
      </c>
      <c r="N447" s="83">
        <f>100</f>
        <v>100</v>
      </c>
      <c r="O447" s="86">
        <v>240</v>
      </c>
      <c r="P447" s="86">
        <v>160</v>
      </c>
      <c r="Q447" s="86">
        <f t="shared" si="64"/>
        <v>195</v>
      </c>
      <c r="R447" s="86">
        <f t="shared" si="65"/>
        <v>100</v>
      </c>
      <c r="S447" s="83">
        <f t="shared" si="66"/>
        <v>695</v>
      </c>
      <c r="T447" s="83">
        <f>50</f>
        <v>50</v>
      </c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</row>
    <row r="448" spans="1:30" ht="15.75" x14ac:dyDescent="0.25">
      <c r="A448" s="33">
        <v>54574</v>
      </c>
      <c r="B448" s="96">
        <v>31</v>
      </c>
      <c r="C448" s="83">
        <f>194.205</f>
        <v>194.20500000000001</v>
      </c>
      <c r="D448" s="83">
        <f>267.466</f>
        <v>267.46600000000001</v>
      </c>
      <c r="E448" s="92">
        <f>133.845</f>
        <v>133.845</v>
      </c>
      <c r="F448" s="83">
        <f>278.484-40-25-60-100</f>
        <v>53.48399999999998</v>
      </c>
      <c r="G448" s="86">
        <v>40</v>
      </c>
      <c r="H448" s="83">
        <f t="shared" si="71"/>
        <v>185</v>
      </c>
      <c r="I448" s="83">
        <f t="shared" si="70"/>
        <v>0</v>
      </c>
      <c r="J448" s="86">
        <v>100</v>
      </c>
      <c r="K448" s="86">
        <v>300</v>
      </c>
      <c r="L448" s="83">
        <f t="shared" si="63"/>
        <v>1274</v>
      </c>
      <c r="M448" s="94">
        <v>600</v>
      </c>
      <c r="N448" s="83">
        <f>75</f>
        <v>75</v>
      </c>
      <c r="O448" s="86">
        <v>240</v>
      </c>
      <c r="P448" s="86">
        <v>160</v>
      </c>
      <c r="Q448" s="86">
        <f t="shared" si="64"/>
        <v>195</v>
      </c>
      <c r="R448" s="86">
        <f t="shared" si="65"/>
        <v>100</v>
      </c>
      <c r="S448" s="83">
        <f t="shared" si="66"/>
        <v>695</v>
      </c>
      <c r="T448" s="83">
        <f>50</f>
        <v>50</v>
      </c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</row>
    <row r="449" spans="1:30" ht="15.75" x14ac:dyDescent="0.25">
      <c r="A449" s="33">
        <v>54604</v>
      </c>
      <c r="B449" s="96">
        <v>30</v>
      </c>
      <c r="C449" s="83">
        <f>194.205</f>
        <v>194.20500000000001</v>
      </c>
      <c r="D449" s="83">
        <f>267.466</f>
        <v>267.46600000000001</v>
      </c>
      <c r="E449" s="92">
        <f>133.845</f>
        <v>133.845</v>
      </c>
      <c r="F449" s="83">
        <f>278.484-40-25-60-100</f>
        <v>53.48399999999998</v>
      </c>
      <c r="G449" s="86">
        <v>40</v>
      </c>
      <c r="H449" s="83">
        <f t="shared" si="71"/>
        <v>185</v>
      </c>
      <c r="I449" s="83">
        <f t="shared" si="70"/>
        <v>0</v>
      </c>
      <c r="J449" s="86">
        <v>100</v>
      </c>
      <c r="K449" s="86">
        <v>300</v>
      </c>
      <c r="L449" s="83">
        <f t="shared" si="63"/>
        <v>1274</v>
      </c>
      <c r="M449" s="94">
        <v>600</v>
      </c>
      <c r="N449" s="83">
        <f>30</f>
        <v>30</v>
      </c>
      <c r="O449" s="86">
        <v>240</v>
      </c>
      <c r="P449" s="86">
        <v>160</v>
      </c>
      <c r="Q449" s="86">
        <f t="shared" si="64"/>
        <v>195</v>
      </c>
      <c r="R449" s="86">
        <f t="shared" si="65"/>
        <v>100</v>
      </c>
      <c r="S449" s="83">
        <f t="shared" si="66"/>
        <v>695</v>
      </c>
      <c r="T449" s="83">
        <f>50</f>
        <v>50</v>
      </c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</row>
    <row r="450" spans="1:30" ht="15.75" x14ac:dyDescent="0.25">
      <c r="A450" s="33">
        <v>54635</v>
      </c>
      <c r="B450" s="96">
        <v>31</v>
      </c>
      <c r="C450" s="83">
        <f>194.205</f>
        <v>194.20500000000001</v>
      </c>
      <c r="D450" s="83">
        <f>267.466</f>
        <v>267.46600000000001</v>
      </c>
      <c r="E450" s="92">
        <f>133.845</f>
        <v>133.845</v>
      </c>
      <c r="F450" s="83">
        <f>278.484-40-25-60-100</f>
        <v>53.48399999999998</v>
      </c>
      <c r="G450" s="86">
        <v>40</v>
      </c>
      <c r="H450" s="83">
        <f t="shared" si="71"/>
        <v>185</v>
      </c>
      <c r="I450" s="83">
        <f t="shared" si="70"/>
        <v>0</v>
      </c>
      <c r="J450" s="86">
        <v>100</v>
      </c>
      <c r="K450" s="86">
        <v>300</v>
      </c>
      <c r="L450" s="83">
        <f t="shared" si="63"/>
        <v>1274</v>
      </c>
      <c r="M450" s="94">
        <v>600</v>
      </c>
      <c r="N450" s="83">
        <f>30</f>
        <v>30</v>
      </c>
      <c r="O450" s="86">
        <v>240</v>
      </c>
      <c r="P450" s="86">
        <v>160</v>
      </c>
      <c r="Q450" s="86">
        <f t="shared" si="64"/>
        <v>195</v>
      </c>
      <c r="R450" s="86">
        <f t="shared" si="65"/>
        <v>100</v>
      </c>
      <c r="S450" s="83">
        <f t="shared" si="66"/>
        <v>695</v>
      </c>
      <c r="T450" s="83">
        <f>0</f>
        <v>0</v>
      </c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</row>
    <row r="451" spans="1:30" ht="15.75" x14ac:dyDescent="0.25">
      <c r="A451" s="33">
        <v>54666</v>
      </c>
      <c r="B451" s="96">
        <v>31</v>
      </c>
      <c r="C451" s="83">
        <f>194.205</f>
        <v>194.20500000000001</v>
      </c>
      <c r="D451" s="83">
        <f>267.466</f>
        <v>267.46600000000001</v>
      </c>
      <c r="E451" s="92">
        <f>133.845</f>
        <v>133.845</v>
      </c>
      <c r="F451" s="83">
        <f>278.484-40-25-60-100</f>
        <v>53.48399999999998</v>
      </c>
      <c r="G451" s="86">
        <v>40</v>
      </c>
      <c r="H451" s="83">
        <f t="shared" si="71"/>
        <v>185</v>
      </c>
      <c r="I451" s="83">
        <f t="shared" si="70"/>
        <v>0</v>
      </c>
      <c r="J451" s="86">
        <v>100</v>
      </c>
      <c r="K451" s="86">
        <v>300</v>
      </c>
      <c r="L451" s="83">
        <f t="shared" si="63"/>
        <v>1274</v>
      </c>
      <c r="M451" s="94">
        <v>600</v>
      </c>
      <c r="N451" s="83">
        <f>30</f>
        <v>30</v>
      </c>
      <c r="O451" s="86">
        <v>240</v>
      </c>
      <c r="P451" s="86">
        <v>160</v>
      </c>
      <c r="Q451" s="86">
        <f t="shared" si="64"/>
        <v>195</v>
      </c>
      <c r="R451" s="86">
        <f t="shared" si="65"/>
        <v>100</v>
      </c>
      <c r="S451" s="83">
        <f t="shared" si="66"/>
        <v>695</v>
      </c>
      <c r="T451" s="83">
        <f>0</f>
        <v>0</v>
      </c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</row>
    <row r="452" spans="1:30" ht="15.75" x14ac:dyDescent="0.25">
      <c r="A452" s="33">
        <v>54696</v>
      </c>
      <c r="B452" s="96">
        <v>30</v>
      </c>
      <c r="C452" s="83">
        <f>194.205</f>
        <v>194.20500000000001</v>
      </c>
      <c r="D452" s="83">
        <f>267.466</f>
        <v>267.46600000000001</v>
      </c>
      <c r="E452" s="92">
        <f>133.845</f>
        <v>133.845</v>
      </c>
      <c r="F452" s="83">
        <f>278.484-40-25-60-100</f>
        <v>53.48399999999998</v>
      </c>
      <c r="G452" s="86">
        <v>40</v>
      </c>
      <c r="H452" s="83">
        <f t="shared" si="71"/>
        <v>185</v>
      </c>
      <c r="I452" s="83">
        <f t="shared" si="70"/>
        <v>0</v>
      </c>
      <c r="J452" s="86">
        <v>100</v>
      </c>
      <c r="K452" s="86">
        <v>300</v>
      </c>
      <c r="L452" s="83">
        <f t="shared" si="63"/>
        <v>1274</v>
      </c>
      <c r="M452" s="94">
        <v>600</v>
      </c>
      <c r="N452" s="83">
        <f>30</f>
        <v>30</v>
      </c>
      <c r="O452" s="86">
        <v>240</v>
      </c>
      <c r="P452" s="86">
        <v>160</v>
      </c>
      <c r="Q452" s="86">
        <f t="shared" si="64"/>
        <v>195</v>
      </c>
      <c r="R452" s="86">
        <f t="shared" si="65"/>
        <v>100</v>
      </c>
      <c r="S452" s="83">
        <f t="shared" si="66"/>
        <v>695</v>
      </c>
      <c r="T452" s="83">
        <f>0</f>
        <v>0</v>
      </c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</row>
    <row r="453" spans="1:30" ht="15.75" x14ac:dyDescent="0.25">
      <c r="A453" s="33">
        <v>54727</v>
      </c>
      <c r="B453" s="96">
        <v>31</v>
      </c>
      <c r="C453" s="83">
        <f>131.881</f>
        <v>131.881</v>
      </c>
      <c r="D453" s="83">
        <f>277.167</f>
        <v>277.16699999999997</v>
      </c>
      <c r="E453" s="92">
        <f>79.08</f>
        <v>79.08</v>
      </c>
      <c r="F453" s="83">
        <f>350.872-40-25-60-100</f>
        <v>125.87200000000001</v>
      </c>
      <c r="G453" s="86">
        <v>40</v>
      </c>
      <c r="H453" s="83">
        <f t="shared" si="71"/>
        <v>185</v>
      </c>
      <c r="I453" s="83">
        <f t="shared" si="70"/>
        <v>0</v>
      </c>
      <c r="J453" s="86">
        <v>100</v>
      </c>
      <c r="K453" s="86">
        <v>300</v>
      </c>
      <c r="L453" s="83">
        <f t="shared" si="63"/>
        <v>1239</v>
      </c>
      <c r="M453" s="94">
        <v>600</v>
      </c>
      <c r="N453" s="83">
        <f>75</f>
        <v>75</v>
      </c>
      <c r="O453" s="86">
        <v>240</v>
      </c>
      <c r="P453" s="86">
        <v>160</v>
      </c>
      <c r="Q453" s="86">
        <f t="shared" si="64"/>
        <v>195</v>
      </c>
      <c r="R453" s="86">
        <f t="shared" si="65"/>
        <v>100</v>
      </c>
      <c r="S453" s="83">
        <f t="shared" si="66"/>
        <v>695</v>
      </c>
      <c r="T453" s="83">
        <f>0</f>
        <v>0</v>
      </c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</row>
    <row r="454" spans="1:30" ht="15.75" x14ac:dyDescent="0.25">
      <c r="A454" s="33">
        <v>54757</v>
      </c>
      <c r="B454" s="96">
        <v>30</v>
      </c>
      <c r="C454" s="83">
        <f>122.58</f>
        <v>122.58</v>
      </c>
      <c r="D454" s="83">
        <f>297.941</f>
        <v>297.94099999999997</v>
      </c>
      <c r="E454" s="92">
        <f>89.177</f>
        <v>89.177000000000007</v>
      </c>
      <c r="F454" s="83">
        <f>240.302-40-60-100</f>
        <v>40.301999999999992</v>
      </c>
      <c r="G454" s="86">
        <v>40</v>
      </c>
      <c r="H454" s="83">
        <f>60+100</f>
        <v>160</v>
      </c>
      <c r="I454" s="83">
        <f t="shared" si="70"/>
        <v>0</v>
      </c>
      <c r="J454" s="86">
        <v>100</v>
      </c>
      <c r="K454" s="86">
        <v>300</v>
      </c>
      <c r="L454" s="83">
        <f t="shared" si="63"/>
        <v>1150</v>
      </c>
      <c r="M454" s="94">
        <v>600</v>
      </c>
      <c r="N454" s="83">
        <f>100</f>
        <v>100</v>
      </c>
      <c r="O454" s="86">
        <v>240</v>
      </c>
      <c r="P454" s="86">
        <v>40</v>
      </c>
      <c r="Q454" s="86">
        <f t="shared" si="64"/>
        <v>315</v>
      </c>
      <c r="R454" s="86">
        <f t="shared" si="65"/>
        <v>100</v>
      </c>
      <c r="S454" s="83">
        <f t="shared" si="66"/>
        <v>695</v>
      </c>
      <c r="T454" s="83">
        <f>50</f>
        <v>50</v>
      </c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</row>
    <row r="455" spans="1:30" ht="15.75" x14ac:dyDescent="0.25">
      <c r="A455" s="33">
        <v>54788</v>
      </c>
      <c r="B455" s="96">
        <v>31</v>
      </c>
      <c r="C455" s="83">
        <f>122.58</f>
        <v>122.58</v>
      </c>
      <c r="D455" s="83">
        <f>297.941</f>
        <v>297.94099999999997</v>
      </c>
      <c r="E455" s="92">
        <f>89.177</f>
        <v>89.177000000000007</v>
      </c>
      <c r="F455" s="83">
        <f>240.302-40-60-100</f>
        <v>40.301999999999992</v>
      </c>
      <c r="G455" s="86">
        <v>40</v>
      </c>
      <c r="H455" s="83">
        <f>60+100</f>
        <v>160</v>
      </c>
      <c r="I455" s="83">
        <f t="shared" si="70"/>
        <v>0</v>
      </c>
      <c r="J455" s="86">
        <v>100</v>
      </c>
      <c r="K455" s="86">
        <v>300</v>
      </c>
      <c r="L455" s="83">
        <f t="shared" si="63"/>
        <v>1150</v>
      </c>
      <c r="M455" s="94">
        <v>600</v>
      </c>
      <c r="N455" s="83">
        <f>100</f>
        <v>100</v>
      </c>
      <c r="O455" s="86">
        <v>240</v>
      </c>
      <c r="P455" s="86">
        <v>40</v>
      </c>
      <c r="Q455" s="86">
        <f t="shared" si="64"/>
        <v>315</v>
      </c>
      <c r="R455" s="86">
        <f t="shared" si="65"/>
        <v>100</v>
      </c>
      <c r="S455" s="83">
        <f t="shared" si="66"/>
        <v>695</v>
      </c>
      <c r="T455" s="83">
        <f>50</f>
        <v>50</v>
      </c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</row>
    <row r="456" spans="1:30" ht="15.75" x14ac:dyDescent="0.25">
      <c r="A456" s="33">
        <v>54819</v>
      </c>
      <c r="B456" s="96">
        <v>31</v>
      </c>
      <c r="C456" s="83">
        <f>122.58</f>
        <v>122.58</v>
      </c>
      <c r="D456" s="83">
        <f>297.941</f>
        <v>297.94099999999997</v>
      </c>
      <c r="E456" s="92">
        <f>89.177</f>
        <v>89.177000000000007</v>
      </c>
      <c r="F456" s="83">
        <f>240.302-40-60-100</f>
        <v>40.301999999999992</v>
      </c>
      <c r="G456" s="86">
        <v>40</v>
      </c>
      <c r="H456" s="83">
        <f>60+100</f>
        <v>160</v>
      </c>
      <c r="I456" s="83">
        <f t="shared" si="70"/>
        <v>0</v>
      </c>
      <c r="J456" s="86">
        <v>100</v>
      </c>
      <c r="K456" s="86">
        <v>300</v>
      </c>
      <c r="L456" s="83">
        <f t="shared" si="63"/>
        <v>1150</v>
      </c>
      <c r="M456" s="94">
        <v>600</v>
      </c>
      <c r="N456" s="83">
        <f>100</f>
        <v>100</v>
      </c>
      <c r="O456" s="86">
        <v>240</v>
      </c>
      <c r="P456" s="86">
        <v>40</v>
      </c>
      <c r="Q456" s="86">
        <f t="shared" si="64"/>
        <v>315</v>
      </c>
      <c r="R456" s="86">
        <f t="shared" si="65"/>
        <v>100</v>
      </c>
      <c r="S456" s="83">
        <f t="shared" si="66"/>
        <v>695</v>
      </c>
      <c r="T456" s="83">
        <f>50</f>
        <v>50</v>
      </c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</row>
    <row r="457" spans="1:30" ht="15.75" x14ac:dyDescent="0.25">
      <c r="A457" s="33">
        <v>54847</v>
      </c>
      <c r="B457" s="96">
        <v>28</v>
      </c>
      <c r="C457" s="83">
        <f>122.58</f>
        <v>122.58</v>
      </c>
      <c r="D457" s="83">
        <f>297.941</f>
        <v>297.94099999999997</v>
      </c>
      <c r="E457" s="92">
        <f>89.177</f>
        <v>89.177000000000007</v>
      </c>
      <c r="F457" s="83">
        <f>240.302-40-60-100</f>
        <v>40.301999999999992</v>
      </c>
      <c r="G457" s="86">
        <v>40</v>
      </c>
      <c r="H457" s="83">
        <f>60+100</f>
        <v>160</v>
      </c>
      <c r="I457" s="83">
        <f t="shared" si="70"/>
        <v>0</v>
      </c>
      <c r="J457" s="86">
        <v>100</v>
      </c>
      <c r="K457" s="86">
        <v>300</v>
      </c>
      <c r="L457" s="83">
        <f t="shared" si="63"/>
        <v>1150</v>
      </c>
      <c r="M457" s="94">
        <v>600</v>
      </c>
      <c r="N457" s="83">
        <f>100</f>
        <v>100</v>
      </c>
      <c r="O457" s="86">
        <v>240</v>
      </c>
      <c r="P457" s="86">
        <v>40</v>
      </c>
      <c r="Q457" s="86">
        <f t="shared" si="64"/>
        <v>315</v>
      </c>
      <c r="R457" s="86">
        <f t="shared" si="65"/>
        <v>100</v>
      </c>
      <c r="S457" s="83">
        <f t="shared" si="66"/>
        <v>695</v>
      </c>
      <c r="T457" s="83">
        <f>50</f>
        <v>50</v>
      </c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</row>
    <row r="458" spans="1:30" ht="15.75" x14ac:dyDescent="0.25">
      <c r="A458" s="33">
        <v>54878</v>
      </c>
      <c r="B458" s="96">
        <v>31</v>
      </c>
      <c r="C458" s="83">
        <f>122.58</f>
        <v>122.58</v>
      </c>
      <c r="D458" s="83">
        <f>297.941</f>
        <v>297.94099999999997</v>
      </c>
      <c r="E458" s="92">
        <f>89.177</f>
        <v>89.177000000000007</v>
      </c>
      <c r="F458" s="83">
        <f>240.302-40-60-100</f>
        <v>40.301999999999992</v>
      </c>
      <c r="G458" s="86">
        <v>40</v>
      </c>
      <c r="H458" s="83">
        <f>60+100</f>
        <v>160</v>
      </c>
      <c r="I458" s="83">
        <f t="shared" si="70"/>
        <v>0</v>
      </c>
      <c r="J458" s="86">
        <v>100</v>
      </c>
      <c r="K458" s="86">
        <v>300</v>
      </c>
      <c r="L458" s="83">
        <f t="shared" si="63"/>
        <v>1150</v>
      </c>
      <c r="M458" s="94">
        <v>600</v>
      </c>
      <c r="N458" s="83">
        <f>100</f>
        <v>100</v>
      </c>
      <c r="O458" s="86">
        <v>240</v>
      </c>
      <c r="P458" s="86">
        <v>40</v>
      </c>
      <c r="Q458" s="86">
        <f t="shared" si="64"/>
        <v>315</v>
      </c>
      <c r="R458" s="86">
        <f t="shared" si="65"/>
        <v>100</v>
      </c>
      <c r="S458" s="83">
        <f t="shared" si="66"/>
        <v>695</v>
      </c>
      <c r="T458" s="83">
        <f>50</f>
        <v>50</v>
      </c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</row>
    <row r="459" spans="1:30" ht="15.75" x14ac:dyDescent="0.25">
      <c r="A459" s="33">
        <v>54908</v>
      </c>
      <c r="B459" s="96">
        <v>30</v>
      </c>
      <c r="C459" s="83">
        <f>141.293</f>
        <v>141.29300000000001</v>
      </c>
      <c r="D459" s="83">
        <f>267.993</f>
        <v>267.99299999999999</v>
      </c>
      <c r="E459" s="92">
        <f>115.016</f>
        <v>115.01600000000001</v>
      </c>
      <c r="F459" s="83">
        <f>314.698-40-25-60-100</f>
        <v>89.697999999999979</v>
      </c>
      <c r="G459" s="86">
        <v>40</v>
      </c>
      <c r="H459" s="83">
        <f t="shared" ref="H459:H465" si="72">25+60+100</f>
        <v>185</v>
      </c>
      <c r="I459" s="83">
        <f t="shared" si="70"/>
        <v>0</v>
      </c>
      <c r="J459" s="86">
        <v>100</v>
      </c>
      <c r="K459" s="86">
        <v>300</v>
      </c>
      <c r="L459" s="83">
        <f t="shared" si="63"/>
        <v>1239</v>
      </c>
      <c r="M459" s="94">
        <v>600</v>
      </c>
      <c r="N459" s="83">
        <f>100</f>
        <v>100</v>
      </c>
      <c r="O459" s="86">
        <v>240</v>
      </c>
      <c r="P459" s="86">
        <v>160</v>
      </c>
      <c r="Q459" s="86">
        <f t="shared" si="64"/>
        <v>195</v>
      </c>
      <c r="R459" s="86">
        <f t="shared" si="65"/>
        <v>100</v>
      </c>
      <c r="S459" s="83">
        <f t="shared" si="66"/>
        <v>695</v>
      </c>
      <c r="T459" s="83">
        <f>50</f>
        <v>50</v>
      </c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</row>
    <row r="460" spans="1:30" ht="15.75" x14ac:dyDescent="0.25">
      <c r="A460" s="33">
        <v>54939</v>
      </c>
      <c r="B460" s="96">
        <v>31</v>
      </c>
      <c r="C460" s="83">
        <f>194.205</f>
        <v>194.20500000000001</v>
      </c>
      <c r="D460" s="83">
        <f>267.466</f>
        <v>267.46600000000001</v>
      </c>
      <c r="E460" s="92">
        <f>133.845</f>
        <v>133.845</v>
      </c>
      <c r="F460" s="83">
        <f>278.484-40-25-60-100</f>
        <v>53.48399999999998</v>
      </c>
      <c r="G460" s="86">
        <v>40</v>
      </c>
      <c r="H460" s="83">
        <f t="shared" si="72"/>
        <v>185</v>
      </c>
      <c r="I460" s="83">
        <f t="shared" si="70"/>
        <v>0</v>
      </c>
      <c r="J460" s="86">
        <v>100</v>
      </c>
      <c r="K460" s="86">
        <v>300</v>
      </c>
      <c r="L460" s="83">
        <f t="shared" si="63"/>
        <v>1274</v>
      </c>
      <c r="M460" s="94">
        <v>600</v>
      </c>
      <c r="N460" s="83">
        <f>75</f>
        <v>75</v>
      </c>
      <c r="O460" s="86">
        <v>240</v>
      </c>
      <c r="P460" s="86">
        <v>160</v>
      </c>
      <c r="Q460" s="86">
        <f t="shared" si="64"/>
        <v>195</v>
      </c>
      <c r="R460" s="86">
        <f t="shared" si="65"/>
        <v>100</v>
      </c>
      <c r="S460" s="83">
        <f t="shared" si="66"/>
        <v>695</v>
      </c>
      <c r="T460" s="83">
        <f>50</f>
        <v>50</v>
      </c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</row>
    <row r="461" spans="1:30" ht="15.75" x14ac:dyDescent="0.25">
      <c r="A461" s="33">
        <v>54969</v>
      </c>
      <c r="B461" s="96">
        <v>30</v>
      </c>
      <c r="C461" s="83">
        <f>194.205</f>
        <v>194.20500000000001</v>
      </c>
      <c r="D461" s="83">
        <f>267.466</f>
        <v>267.46600000000001</v>
      </c>
      <c r="E461" s="92">
        <f>133.845</f>
        <v>133.845</v>
      </c>
      <c r="F461" s="83">
        <f>278.484-40-25-60-100</f>
        <v>53.48399999999998</v>
      </c>
      <c r="G461" s="86">
        <v>40</v>
      </c>
      <c r="H461" s="83">
        <f t="shared" si="72"/>
        <v>185</v>
      </c>
      <c r="I461" s="83">
        <f t="shared" si="70"/>
        <v>0</v>
      </c>
      <c r="J461" s="86">
        <v>100</v>
      </c>
      <c r="K461" s="86">
        <v>300</v>
      </c>
      <c r="L461" s="83">
        <f t="shared" si="63"/>
        <v>1274</v>
      </c>
      <c r="M461" s="94">
        <v>600</v>
      </c>
      <c r="N461" s="83">
        <f>30</f>
        <v>30</v>
      </c>
      <c r="O461" s="86">
        <v>240</v>
      </c>
      <c r="P461" s="86">
        <v>160</v>
      </c>
      <c r="Q461" s="86">
        <f t="shared" si="64"/>
        <v>195</v>
      </c>
      <c r="R461" s="86">
        <f t="shared" si="65"/>
        <v>100</v>
      </c>
      <c r="S461" s="83">
        <f t="shared" si="66"/>
        <v>695</v>
      </c>
      <c r="T461" s="83">
        <f>50</f>
        <v>50</v>
      </c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</row>
    <row r="462" spans="1:30" ht="15.75" x14ac:dyDescent="0.25">
      <c r="A462" s="33">
        <v>55000</v>
      </c>
      <c r="B462" s="96">
        <v>31</v>
      </c>
      <c r="C462" s="83">
        <f>194.205</f>
        <v>194.20500000000001</v>
      </c>
      <c r="D462" s="83">
        <f>267.466</f>
        <v>267.46600000000001</v>
      </c>
      <c r="E462" s="92">
        <f>133.845</f>
        <v>133.845</v>
      </c>
      <c r="F462" s="83">
        <f>278.484-40-25-60-100</f>
        <v>53.48399999999998</v>
      </c>
      <c r="G462" s="86">
        <v>40</v>
      </c>
      <c r="H462" s="83">
        <f t="shared" si="72"/>
        <v>185</v>
      </c>
      <c r="I462" s="83">
        <f t="shared" si="70"/>
        <v>0</v>
      </c>
      <c r="J462" s="86">
        <v>100</v>
      </c>
      <c r="K462" s="86">
        <v>300</v>
      </c>
      <c r="L462" s="83">
        <f t="shared" si="63"/>
        <v>1274</v>
      </c>
      <c r="M462" s="94">
        <v>600</v>
      </c>
      <c r="N462" s="83">
        <f>30</f>
        <v>30</v>
      </c>
      <c r="O462" s="86">
        <v>240</v>
      </c>
      <c r="P462" s="86">
        <v>160</v>
      </c>
      <c r="Q462" s="86">
        <f t="shared" si="64"/>
        <v>195</v>
      </c>
      <c r="R462" s="86">
        <f t="shared" si="65"/>
        <v>100</v>
      </c>
      <c r="S462" s="83">
        <f t="shared" si="66"/>
        <v>695</v>
      </c>
      <c r="T462" s="83">
        <f>0</f>
        <v>0</v>
      </c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</row>
    <row r="463" spans="1:30" ht="15.75" x14ac:dyDescent="0.25">
      <c r="A463" s="33">
        <v>55031</v>
      </c>
      <c r="B463" s="96">
        <v>31</v>
      </c>
      <c r="C463" s="83">
        <f>194.205</f>
        <v>194.20500000000001</v>
      </c>
      <c r="D463" s="83">
        <f>267.466</f>
        <v>267.46600000000001</v>
      </c>
      <c r="E463" s="92">
        <f>133.845</f>
        <v>133.845</v>
      </c>
      <c r="F463" s="83">
        <f>278.484-40-25-60-100</f>
        <v>53.48399999999998</v>
      </c>
      <c r="G463" s="86">
        <v>40</v>
      </c>
      <c r="H463" s="83">
        <f t="shared" si="72"/>
        <v>185</v>
      </c>
      <c r="I463" s="83">
        <f t="shared" si="70"/>
        <v>0</v>
      </c>
      <c r="J463" s="86">
        <v>100</v>
      </c>
      <c r="K463" s="86">
        <v>300</v>
      </c>
      <c r="L463" s="83">
        <f t="shared" si="63"/>
        <v>1274</v>
      </c>
      <c r="M463" s="94">
        <v>600</v>
      </c>
      <c r="N463" s="83">
        <f>30</f>
        <v>30</v>
      </c>
      <c r="O463" s="86">
        <v>240</v>
      </c>
      <c r="P463" s="86">
        <v>160</v>
      </c>
      <c r="Q463" s="86">
        <f t="shared" si="64"/>
        <v>195</v>
      </c>
      <c r="R463" s="86">
        <f t="shared" si="65"/>
        <v>100</v>
      </c>
      <c r="S463" s="83">
        <f t="shared" si="66"/>
        <v>695</v>
      </c>
      <c r="T463" s="83">
        <f>0</f>
        <v>0</v>
      </c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</row>
    <row r="464" spans="1:30" ht="15.75" x14ac:dyDescent="0.25">
      <c r="A464" s="33">
        <v>55061</v>
      </c>
      <c r="B464" s="96">
        <v>30</v>
      </c>
      <c r="C464" s="83">
        <f>194.205</f>
        <v>194.20500000000001</v>
      </c>
      <c r="D464" s="83">
        <f>267.466</f>
        <v>267.46600000000001</v>
      </c>
      <c r="E464" s="92">
        <f>133.845</f>
        <v>133.845</v>
      </c>
      <c r="F464" s="83">
        <f>278.484-40-25-60-100</f>
        <v>53.48399999999998</v>
      </c>
      <c r="G464" s="86">
        <v>40</v>
      </c>
      <c r="H464" s="83">
        <f t="shared" si="72"/>
        <v>185</v>
      </c>
      <c r="I464" s="83">
        <f t="shared" si="70"/>
        <v>0</v>
      </c>
      <c r="J464" s="86">
        <v>100</v>
      </c>
      <c r="K464" s="86">
        <v>300</v>
      </c>
      <c r="L464" s="83">
        <f t="shared" si="63"/>
        <v>1274</v>
      </c>
      <c r="M464" s="94">
        <v>600</v>
      </c>
      <c r="N464" s="83">
        <f>30</f>
        <v>30</v>
      </c>
      <c r="O464" s="86">
        <v>240</v>
      </c>
      <c r="P464" s="86">
        <v>160</v>
      </c>
      <c r="Q464" s="86">
        <f t="shared" si="64"/>
        <v>195</v>
      </c>
      <c r="R464" s="86">
        <f t="shared" si="65"/>
        <v>100</v>
      </c>
      <c r="S464" s="83">
        <f t="shared" si="66"/>
        <v>695</v>
      </c>
      <c r="T464" s="83">
        <f>0</f>
        <v>0</v>
      </c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</row>
    <row r="465" spans="1:30" ht="15.75" x14ac:dyDescent="0.25">
      <c r="A465" s="33">
        <v>55092</v>
      </c>
      <c r="B465" s="96">
        <v>31</v>
      </c>
      <c r="C465" s="83">
        <f>131.881</f>
        <v>131.881</v>
      </c>
      <c r="D465" s="83">
        <f>277.167</f>
        <v>277.16699999999997</v>
      </c>
      <c r="E465" s="92">
        <f>79.08</f>
        <v>79.08</v>
      </c>
      <c r="F465" s="83">
        <f>350.872-40-25-60-100</f>
        <v>125.87200000000001</v>
      </c>
      <c r="G465" s="86">
        <v>40</v>
      </c>
      <c r="H465" s="83">
        <f t="shared" si="72"/>
        <v>185</v>
      </c>
      <c r="I465" s="83">
        <f t="shared" si="70"/>
        <v>0</v>
      </c>
      <c r="J465" s="86">
        <v>100</v>
      </c>
      <c r="K465" s="86">
        <v>300</v>
      </c>
      <c r="L465" s="83">
        <f t="shared" si="63"/>
        <v>1239</v>
      </c>
      <c r="M465" s="94">
        <v>600</v>
      </c>
      <c r="N465" s="83">
        <f>75</f>
        <v>75</v>
      </c>
      <c r="O465" s="86">
        <v>240</v>
      </c>
      <c r="P465" s="86">
        <v>160</v>
      </c>
      <c r="Q465" s="86">
        <f t="shared" si="64"/>
        <v>195</v>
      </c>
      <c r="R465" s="86">
        <f t="shared" si="65"/>
        <v>100</v>
      </c>
      <c r="S465" s="83">
        <f t="shared" si="66"/>
        <v>695</v>
      </c>
      <c r="T465" s="83">
        <f>0</f>
        <v>0</v>
      </c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</row>
    <row r="466" spans="1:30" ht="15.75" x14ac:dyDescent="0.25">
      <c r="A466" s="33">
        <v>55122</v>
      </c>
      <c r="B466" s="96">
        <v>30</v>
      </c>
      <c r="C466" s="83">
        <f>122.58</f>
        <v>122.58</v>
      </c>
      <c r="D466" s="83">
        <f>297.941</f>
        <v>297.94099999999997</v>
      </c>
      <c r="E466" s="92">
        <f>89.177</f>
        <v>89.177000000000007</v>
      </c>
      <c r="F466" s="83">
        <f>240.302-40-60-100</f>
        <v>40.301999999999992</v>
      </c>
      <c r="G466" s="86">
        <v>40</v>
      </c>
      <c r="H466" s="83">
        <f>60+100</f>
        <v>160</v>
      </c>
      <c r="I466" s="83">
        <f t="shared" si="70"/>
        <v>0</v>
      </c>
      <c r="J466" s="86">
        <v>100</v>
      </c>
      <c r="K466" s="86">
        <v>300</v>
      </c>
      <c r="L466" s="83">
        <f t="shared" si="63"/>
        <v>1150</v>
      </c>
      <c r="M466" s="94">
        <v>600</v>
      </c>
      <c r="N466" s="83">
        <f>100</f>
        <v>100</v>
      </c>
      <c r="O466" s="86">
        <v>240</v>
      </c>
      <c r="P466" s="86">
        <v>40</v>
      </c>
      <c r="Q466" s="86">
        <f t="shared" si="64"/>
        <v>315</v>
      </c>
      <c r="R466" s="86">
        <f t="shared" si="65"/>
        <v>100</v>
      </c>
      <c r="S466" s="83">
        <f t="shared" si="66"/>
        <v>695</v>
      </c>
      <c r="T466" s="83">
        <f>50</f>
        <v>50</v>
      </c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</row>
    <row r="467" spans="1:30" ht="15.75" x14ac:dyDescent="0.25">
      <c r="A467" s="33">
        <v>55153</v>
      </c>
      <c r="B467" s="96">
        <v>31</v>
      </c>
      <c r="C467" s="83">
        <f>122.58</f>
        <v>122.58</v>
      </c>
      <c r="D467" s="83">
        <f>297.941</f>
        <v>297.94099999999997</v>
      </c>
      <c r="E467" s="92">
        <f>89.177</f>
        <v>89.177000000000007</v>
      </c>
      <c r="F467" s="83">
        <f>240.302-40-60-100</f>
        <v>40.301999999999992</v>
      </c>
      <c r="G467" s="86">
        <v>40</v>
      </c>
      <c r="H467" s="83">
        <f>60+100</f>
        <v>160</v>
      </c>
      <c r="I467" s="83">
        <f t="shared" si="70"/>
        <v>0</v>
      </c>
      <c r="J467" s="86">
        <v>100</v>
      </c>
      <c r="K467" s="86">
        <v>300</v>
      </c>
      <c r="L467" s="83">
        <f t="shared" si="63"/>
        <v>1150</v>
      </c>
      <c r="M467" s="94">
        <v>600</v>
      </c>
      <c r="N467" s="83">
        <f>100</f>
        <v>100</v>
      </c>
      <c r="O467" s="86">
        <v>240</v>
      </c>
      <c r="P467" s="86">
        <v>40</v>
      </c>
      <c r="Q467" s="86">
        <f t="shared" si="64"/>
        <v>315</v>
      </c>
      <c r="R467" s="86">
        <f t="shared" si="65"/>
        <v>100</v>
      </c>
      <c r="S467" s="83">
        <f t="shared" si="66"/>
        <v>695</v>
      </c>
      <c r="T467" s="83">
        <f>50</f>
        <v>50</v>
      </c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</row>
    <row r="468" spans="1:30" ht="15.75" x14ac:dyDescent="0.25">
      <c r="A468" s="33">
        <v>55184</v>
      </c>
      <c r="B468" s="96">
        <v>31</v>
      </c>
      <c r="C468" s="83">
        <f>122.58</f>
        <v>122.58</v>
      </c>
      <c r="D468" s="83">
        <f>297.941</f>
        <v>297.94099999999997</v>
      </c>
      <c r="E468" s="92">
        <f>89.177</f>
        <v>89.177000000000007</v>
      </c>
      <c r="F468" s="83">
        <f>240.302-40-60-100</f>
        <v>40.301999999999992</v>
      </c>
      <c r="G468" s="86">
        <v>40</v>
      </c>
      <c r="H468" s="83">
        <f>60+100</f>
        <v>160</v>
      </c>
      <c r="I468" s="83">
        <f t="shared" si="70"/>
        <v>0</v>
      </c>
      <c r="J468" s="86">
        <v>100</v>
      </c>
      <c r="K468" s="86">
        <v>300</v>
      </c>
      <c r="L468" s="83">
        <f t="shared" si="63"/>
        <v>1150</v>
      </c>
      <c r="M468" s="94">
        <v>600</v>
      </c>
      <c r="N468" s="83">
        <f>100</f>
        <v>100</v>
      </c>
      <c r="O468" s="86">
        <v>240</v>
      </c>
      <c r="P468" s="86">
        <v>40</v>
      </c>
      <c r="Q468" s="86">
        <f t="shared" si="64"/>
        <v>315</v>
      </c>
      <c r="R468" s="86">
        <f t="shared" si="65"/>
        <v>100</v>
      </c>
      <c r="S468" s="83">
        <f t="shared" si="66"/>
        <v>695</v>
      </c>
      <c r="T468" s="83">
        <f>50</f>
        <v>50</v>
      </c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</row>
    <row r="469" spans="1:30" ht="15.75" x14ac:dyDescent="0.25">
      <c r="A469" s="33">
        <v>55212</v>
      </c>
      <c r="B469" s="96">
        <v>28</v>
      </c>
      <c r="C469" s="83">
        <f>122.58</f>
        <v>122.58</v>
      </c>
      <c r="D469" s="83">
        <f>297.941</f>
        <v>297.94099999999997</v>
      </c>
      <c r="E469" s="92">
        <f>89.177</f>
        <v>89.177000000000007</v>
      </c>
      <c r="F469" s="83">
        <f>240.302-40-60-100</f>
        <v>40.301999999999992</v>
      </c>
      <c r="G469" s="86">
        <v>40</v>
      </c>
      <c r="H469" s="83">
        <f>60+100</f>
        <v>160</v>
      </c>
      <c r="I469" s="83">
        <f t="shared" si="70"/>
        <v>0</v>
      </c>
      <c r="J469" s="86">
        <v>100</v>
      </c>
      <c r="K469" s="86">
        <v>300</v>
      </c>
      <c r="L469" s="83">
        <f t="shared" si="63"/>
        <v>1150</v>
      </c>
      <c r="M469" s="94">
        <v>600</v>
      </c>
      <c r="N469" s="83">
        <f>100</f>
        <v>100</v>
      </c>
      <c r="O469" s="86">
        <v>240</v>
      </c>
      <c r="P469" s="86">
        <v>40</v>
      </c>
      <c r="Q469" s="86">
        <f t="shared" si="64"/>
        <v>315</v>
      </c>
      <c r="R469" s="86">
        <f t="shared" si="65"/>
        <v>100</v>
      </c>
      <c r="S469" s="83">
        <f t="shared" si="66"/>
        <v>695</v>
      </c>
      <c r="T469" s="83">
        <f>50</f>
        <v>50</v>
      </c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</row>
    <row r="470" spans="1:30" ht="15.75" x14ac:dyDescent="0.25">
      <c r="A470" s="33">
        <v>55243</v>
      </c>
      <c r="B470" s="96">
        <v>31</v>
      </c>
      <c r="C470" s="83">
        <f>122.58</f>
        <v>122.58</v>
      </c>
      <c r="D470" s="83">
        <f>297.941</f>
        <v>297.94099999999997</v>
      </c>
      <c r="E470" s="92">
        <f>89.177</f>
        <v>89.177000000000007</v>
      </c>
      <c r="F470" s="83">
        <f>240.302-40-60-100</f>
        <v>40.301999999999992</v>
      </c>
      <c r="G470" s="86">
        <v>40</v>
      </c>
      <c r="H470" s="83">
        <f>60+100</f>
        <v>160</v>
      </c>
      <c r="I470" s="83">
        <f t="shared" si="70"/>
        <v>0</v>
      </c>
      <c r="J470" s="86">
        <v>100</v>
      </c>
      <c r="K470" s="86">
        <v>300</v>
      </c>
      <c r="L470" s="83">
        <f t="shared" ref="L470:L533" si="73">SUM(C470:K470)</f>
        <v>1150</v>
      </c>
      <c r="M470" s="94">
        <v>600</v>
      </c>
      <c r="N470" s="83">
        <f>100</f>
        <v>100</v>
      </c>
      <c r="O470" s="86">
        <v>240</v>
      </c>
      <c r="P470" s="86">
        <v>40</v>
      </c>
      <c r="Q470" s="86">
        <f t="shared" ref="Q470:Q533" si="74">695-R470-O470-P470</f>
        <v>315</v>
      </c>
      <c r="R470" s="86">
        <f t="shared" ref="R470:R533" si="75">200-J470</f>
        <v>100</v>
      </c>
      <c r="S470" s="83">
        <f t="shared" ref="S470:S533" si="76">SUM(O470:R470)</f>
        <v>695</v>
      </c>
      <c r="T470" s="83">
        <f>50</f>
        <v>50</v>
      </c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</row>
    <row r="471" spans="1:30" ht="15.75" x14ac:dyDescent="0.25">
      <c r="A471" s="33">
        <v>55273</v>
      </c>
      <c r="B471" s="96">
        <v>30</v>
      </c>
      <c r="C471" s="83">
        <f>141.293</f>
        <v>141.29300000000001</v>
      </c>
      <c r="D471" s="83">
        <f>267.993</f>
        <v>267.99299999999999</v>
      </c>
      <c r="E471" s="92">
        <f>115.016</f>
        <v>115.01600000000001</v>
      </c>
      <c r="F471" s="83">
        <f>314.698-40-25-60-100</f>
        <v>89.697999999999979</v>
      </c>
      <c r="G471" s="86">
        <v>40</v>
      </c>
      <c r="H471" s="83">
        <f t="shared" ref="H471:H477" si="77">25+60+100</f>
        <v>185</v>
      </c>
      <c r="I471" s="83">
        <f t="shared" si="70"/>
        <v>0</v>
      </c>
      <c r="J471" s="86">
        <v>100</v>
      </c>
      <c r="K471" s="86">
        <v>300</v>
      </c>
      <c r="L471" s="83">
        <f t="shared" si="73"/>
        <v>1239</v>
      </c>
      <c r="M471" s="94">
        <v>600</v>
      </c>
      <c r="N471" s="83">
        <f>100</f>
        <v>100</v>
      </c>
      <c r="O471" s="86">
        <v>240</v>
      </c>
      <c r="P471" s="86">
        <v>160</v>
      </c>
      <c r="Q471" s="86">
        <f t="shared" si="74"/>
        <v>195</v>
      </c>
      <c r="R471" s="86">
        <f t="shared" si="75"/>
        <v>100</v>
      </c>
      <c r="S471" s="83">
        <f t="shared" si="76"/>
        <v>695</v>
      </c>
      <c r="T471" s="83">
        <f>50</f>
        <v>50</v>
      </c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</row>
    <row r="472" spans="1:30" ht="15.75" x14ac:dyDescent="0.25">
      <c r="A472" s="33">
        <v>55304</v>
      </c>
      <c r="B472" s="96">
        <v>31</v>
      </c>
      <c r="C472" s="83">
        <f>194.205</f>
        <v>194.20500000000001</v>
      </c>
      <c r="D472" s="83">
        <f>267.466</f>
        <v>267.46600000000001</v>
      </c>
      <c r="E472" s="92">
        <f>133.845</f>
        <v>133.845</v>
      </c>
      <c r="F472" s="83">
        <f>278.484-40-25-60-100</f>
        <v>53.48399999999998</v>
      </c>
      <c r="G472" s="86">
        <v>40</v>
      </c>
      <c r="H472" s="83">
        <f t="shared" si="77"/>
        <v>185</v>
      </c>
      <c r="I472" s="83">
        <f t="shared" si="70"/>
        <v>0</v>
      </c>
      <c r="J472" s="86">
        <v>100</v>
      </c>
      <c r="K472" s="86">
        <v>300</v>
      </c>
      <c r="L472" s="83">
        <f t="shared" si="73"/>
        <v>1274</v>
      </c>
      <c r="M472" s="94">
        <v>600</v>
      </c>
      <c r="N472" s="83">
        <f>75</f>
        <v>75</v>
      </c>
      <c r="O472" s="86">
        <v>240</v>
      </c>
      <c r="P472" s="86">
        <v>160</v>
      </c>
      <c r="Q472" s="86">
        <f t="shared" si="74"/>
        <v>195</v>
      </c>
      <c r="R472" s="86">
        <f t="shared" si="75"/>
        <v>100</v>
      </c>
      <c r="S472" s="83">
        <f t="shared" si="76"/>
        <v>695</v>
      </c>
      <c r="T472" s="83">
        <f>50</f>
        <v>50</v>
      </c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</row>
    <row r="473" spans="1:30" ht="15.75" x14ac:dyDescent="0.25">
      <c r="A473" s="33">
        <v>55334</v>
      </c>
      <c r="B473" s="96">
        <v>30</v>
      </c>
      <c r="C473" s="83">
        <f>194.205</f>
        <v>194.20500000000001</v>
      </c>
      <c r="D473" s="83">
        <f>267.466</f>
        <v>267.46600000000001</v>
      </c>
      <c r="E473" s="92">
        <f>133.845</f>
        <v>133.845</v>
      </c>
      <c r="F473" s="83">
        <f>278.484-40-25-60-100</f>
        <v>53.48399999999998</v>
      </c>
      <c r="G473" s="86">
        <v>40</v>
      </c>
      <c r="H473" s="83">
        <f t="shared" si="77"/>
        <v>185</v>
      </c>
      <c r="I473" s="83">
        <f t="shared" si="70"/>
        <v>0</v>
      </c>
      <c r="J473" s="86">
        <v>100</v>
      </c>
      <c r="K473" s="86">
        <v>300</v>
      </c>
      <c r="L473" s="83">
        <f t="shared" si="73"/>
        <v>1274</v>
      </c>
      <c r="M473" s="94">
        <v>600</v>
      </c>
      <c r="N473" s="83">
        <f>30</f>
        <v>30</v>
      </c>
      <c r="O473" s="86">
        <v>240</v>
      </c>
      <c r="P473" s="86">
        <v>160</v>
      </c>
      <c r="Q473" s="86">
        <f t="shared" si="74"/>
        <v>195</v>
      </c>
      <c r="R473" s="86">
        <f t="shared" si="75"/>
        <v>100</v>
      </c>
      <c r="S473" s="83">
        <f t="shared" si="76"/>
        <v>695</v>
      </c>
      <c r="T473" s="83">
        <f>50</f>
        <v>50</v>
      </c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</row>
    <row r="474" spans="1:30" ht="15.75" x14ac:dyDescent="0.25">
      <c r="A474" s="33">
        <v>55365</v>
      </c>
      <c r="B474" s="96">
        <v>31</v>
      </c>
      <c r="C474" s="83">
        <f>194.205</f>
        <v>194.20500000000001</v>
      </c>
      <c r="D474" s="83">
        <f>267.466</f>
        <v>267.46600000000001</v>
      </c>
      <c r="E474" s="92">
        <f>133.845</f>
        <v>133.845</v>
      </c>
      <c r="F474" s="83">
        <f>278.484-40-25-60-100</f>
        <v>53.48399999999998</v>
      </c>
      <c r="G474" s="86">
        <v>40</v>
      </c>
      <c r="H474" s="83">
        <f t="shared" si="77"/>
        <v>185</v>
      </c>
      <c r="I474" s="83">
        <f t="shared" si="70"/>
        <v>0</v>
      </c>
      <c r="J474" s="86">
        <v>100</v>
      </c>
      <c r="K474" s="86">
        <v>300</v>
      </c>
      <c r="L474" s="83">
        <f t="shared" si="73"/>
        <v>1274</v>
      </c>
      <c r="M474" s="94">
        <v>600</v>
      </c>
      <c r="N474" s="83">
        <f>30</f>
        <v>30</v>
      </c>
      <c r="O474" s="86">
        <v>240</v>
      </c>
      <c r="P474" s="86">
        <v>160</v>
      </c>
      <c r="Q474" s="86">
        <f t="shared" si="74"/>
        <v>195</v>
      </c>
      <c r="R474" s="86">
        <f t="shared" si="75"/>
        <v>100</v>
      </c>
      <c r="S474" s="83">
        <f t="shared" si="76"/>
        <v>695</v>
      </c>
      <c r="T474" s="83">
        <f>0</f>
        <v>0</v>
      </c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</row>
    <row r="475" spans="1:30" ht="15.75" x14ac:dyDescent="0.25">
      <c r="A475" s="33">
        <v>55396</v>
      </c>
      <c r="B475" s="96">
        <v>31</v>
      </c>
      <c r="C475" s="83">
        <f>194.205</f>
        <v>194.20500000000001</v>
      </c>
      <c r="D475" s="83">
        <f>267.466</f>
        <v>267.46600000000001</v>
      </c>
      <c r="E475" s="92">
        <f>133.845</f>
        <v>133.845</v>
      </c>
      <c r="F475" s="83">
        <f>278.484-40-25-60-100</f>
        <v>53.48399999999998</v>
      </c>
      <c r="G475" s="86">
        <v>40</v>
      </c>
      <c r="H475" s="83">
        <f t="shared" si="77"/>
        <v>185</v>
      </c>
      <c r="I475" s="83">
        <f t="shared" si="70"/>
        <v>0</v>
      </c>
      <c r="J475" s="86">
        <v>100</v>
      </c>
      <c r="K475" s="86">
        <v>300</v>
      </c>
      <c r="L475" s="83">
        <f t="shared" si="73"/>
        <v>1274</v>
      </c>
      <c r="M475" s="94">
        <v>600</v>
      </c>
      <c r="N475" s="83">
        <f>30</f>
        <v>30</v>
      </c>
      <c r="O475" s="86">
        <v>240</v>
      </c>
      <c r="P475" s="86">
        <v>160</v>
      </c>
      <c r="Q475" s="86">
        <f t="shared" si="74"/>
        <v>195</v>
      </c>
      <c r="R475" s="86">
        <f t="shared" si="75"/>
        <v>100</v>
      </c>
      <c r="S475" s="83">
        <f t="shared" si="76"/>
        <v>695</v>
      </c>
      <c r="T475" s="83">
        <f>0</f>
        <v>0</v>
      </c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</row>
    <row r="476" spans="1:30" ht="15.75" x14ac:dyDescent="0.25">
      <c r="A476" s="33">
        <v>55426</v>
      </c>
      <c r="B476" s="96">
        <v>30</v>
      </c>
      <c r="C476" s="83">
        <f>194.205</f>
        <v>194.20500000000001</v>
      </c>
      <c r="D476" s="83">
        <f>267.466</f>
        <v>267.46600000000001</v>
      </c>
      <c r="E476" s="92">
        <f>133.845</f>
        <v>133.845</v>
      </c>
      <c r="F476" s="83">
        <f>278.484-40-25-60-100</f>
        <v>53.48399999999998</v>
      </c>
      <c r="G476" s="86">
        <v>40</v>
      </c>
      <c r="H476" s="83">
        <f t="shared" si="77"/>
        <v>185</v>
      </c>
      <c r="I476" s="83">
        <f t="shared" si="70"/>
        <v>0</v>
      </c>
      <c r="J476" s="86">
        <v>100</v>
      </c>
      <c r="K476" s="86">
        <v>300</v>
      </c>
      <c r="L476" s="83">
        <f t="shared" si="73"/>
        <v>1274</v>
      </c>
      <c r="M476" s="94">
        <v>600</v>
      </c>
      <c r="N476" s="83">
        <f>30</f>
        <v>30</v>
      </c>
      <c r="O476" s="86">
        <v>240</v>
      </c>
      <c r="P476" s="86">
        <v>160</v>
      </c>
      <c r="Q476" s="86">
        <f t="shared" si="74"/>
        <v>195</v>
      </c>
      <c r="R476" s="86">
        <f t="shared" si="75"/>
        <v>100</v>
      </c>
      <c r="S476" s="83">
        <f t="shared" si="76"/>
        <v>695</v>
      </c>
      <c r="T476" s="83">
        <f>0</f>
        <v>0</v>
      </c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</row>
    <row r="477" spans="1:30" ht="15.75" x14ac:dyDescent="0.25">
      <c r="A477" s="33">
        <v>55457</v>
      </c>
      <c r="B477" s="96">
        <v>31</v>
      </c>
      <c r="C477" s="83">
        <f>131.881</f>
        <v>131.881</v>
      </c>
      <c r="D477" s="83">
        <f>277.167</f>
        <v>277.16699999999997</v>
      </c>
      <c r="E477" s="92">
        <f>79.08</f>
        <v>79.08</v>
      </c>
      <c r="F477" s="83">
        <f>350.872-40-25-60-100</f>
        <v>125.87200000000001</v>
      </c>
      <c r="G477" s="86">
        <v>40</v>
      </c>
      <c r="H477" s="83">
        <f t="shared" si="77"/>
        <v>185</v>
      </c>
      <c r="I477" s="83">
        <f t="shared" si="70"/>
        <v>0</v>
      </c>
      <c r="J477" s="86">
        <v>100</v>
      </c>
      <c r="K477" s="86">
        <v>300</v>
      </c>
      <c r="L477" s="83">
        <f t="shared" si="73"/>
        <v>1239</v>
      </c>
      <c r="M477" s="94">
        <v>600</v>
      </c>
      <c r="N477" s="83">
        <f>75</f>
        <v>75</v>
      </c>
      <c r="O477" s="86">
        <v>240</v>
      </c>
      <c r="P477" s="86">
        <v>160</v>
      </c>
      <c r="Q477" s="86">
        <f t="shared" si="74"/>
        <v>195</v>
      </c>
      <c r="R477" s="86">
        <f t="shared" si="75"/>
        <v>100</v>
      </c>
      <c r="S477" s="83">
        <f t="shared" si="76"/>
        <v>695</v>
      </c>
      <c r="T477" s="83">
        <f>0</f>
        <v>0</v>
      </c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</row>
    <row r="478" spans="1:30" ht="15.75" x14ac:dyDescent="0.25">
      <c r="A478" s="33">
        <v>55487</v>
      </c>
      <c r="B478" s="96">
        <v>30</v>
      </c>
      <c r="C478" s="83">
        <f>122.58</f>
        <v>122.58</v>
      </c>
      <c r="D478" s="83">
        <f>297.941</f>
        <v>297.94099999999997</v>
      </c>
      <c r="E478" s="92">
        <f>89.177</f>
        <v>89.177000000000007</v>
      </c>
      <c r="F478" s="83">
        <f>240.302-40-60-100</f>
        <v>40.301999999999992</v>
      </c>
      <c r="G478" s="86">
        <v>40</v>
      </c>
      <c r="H478" s="83">
        <f>60+100</f>
        <v>160</v>
      </c>
      <c r="I478" s="83">
        <f t="shared" si="70"/>
        <v>0</v>
      </c>
      <c r="J478" s="86">
        <v>100</v>
      </c>
      <c r="K478" s="86">
        <v>300</v>
      </c>
      <c r="L478" s="83">
        <f t="shared" si="73"/>
        <v>1150</v>
      </c>
      <c r="M478" s="94">
        <v>600</v>
      </c>
      <c r="N478" s="83">
        <f>100</f>
        <v>100</v>
      </c>
      <c r="O478" s="86">
        <v>240</v>
      </c>
      <c r="P478" s="86">
        <v>40</v>
      </c>
      <c r="Q478" s="86">
        <f t="shared" si="74"/>
        <v>315</v>
      </c>
      <c r="R478" s="86">
        <f t="shared" si="75"/>
        <v>100</v>
      </c>
      <c r="S478" s="83">
        <f t="shared" si="76"/>
        <v>695</v>
      </c>
      <c r="T478" s="83">
        <f>50</f>
        <v>50</v>
      </c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</row>
    <row r="479" spans="1:30" ht="15.75" x14ac:dyDescent="0.25">
      <c r="A479" s="33">
        <v>55518</v>
      </c>
      <c r="B479" s="96">
        <v>31</v>
      </c>
      <c r="C479" s="83">
        <f>122.58</f>
        <v>122.58</v>
      </c>
      <c r="D479" s="83">
        <f>297.941</f>
        <v>297.94099999999997</v>
      </c>
      <c r="E479" s="92">
        <f>89.177</f>
        <v>89.177000000000007</v>
      </c>
      <c r="F479" s="83">
        <f>240.302-40-60-100</f>
        <v>40.301999999999992</v>
      </c>
      <c r="G479" s="86">
        <v>40</v>
      </c>
      <c r="H479" s="83">
        <f>60+100</f>
        <v>160</v>
      </c>
      <c r="I479" s="83">
        <f t="shared" si="70"/>
        <v>0</v>
      </c>
      <c r="J479" s="86">
        <v>100</v>
      </c>
      <c r="K479" s="86">
        <v>300</v>
      </c>
      <c r="L479" s="83">
        <f t="shared" si="73"/>
        <v>1150</v>
      </c>
      <c r="M479" s="94">
        <v>600</v>
      </c>
      <c r="N479" s="83">
        <f>100</f>
        <v>100</v>
      </c>
      <c r="O479" s="86">
        <v>240</v>
      </c>
      <c r="P479" s="86">
        <v>40</v>
      </c>
      <c r="Q479" s="86">
        <f t="shared" si="74"/>
        <v>315</v>
      </c>
      <c r="R479" s="86">
        <f t="shared" si="75"/>
        <v>100</v>
      </c>
      <c r="S479" s="83">
        <f t="shared" si="76"/>
        <v>695</v>
      </c>
      <c r="T479" s="83">
        <f>50</f>
        <v>50</v>
      </c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</row>
    <row r="480" spans="1:30" ht="15.75" x14ac:dyDescent="0.25">
      <c r="A480" s="33">
        <v>55549</v>
      </c>
      <c r="B480" s="96">
        <v>31</v>
      </c>
      <c r="C480" s="83">
        <f>122.58</f>
        <v>122.58</v>
      </c>
      <c r="D480" s="83">
        <f>297.941</f>
        <v>297.94099999999997</v>
      </c>
      <c r="E480" s="92">
        <f>89.177</f>
        <v>89.177000000000007</v>
      </c>
      <c r="F480" s="83">
        <f>240.302-40-60-100</f>
        <v>40.301999999999992</v>
      </c>
      <c r="G480" s="86">
        <v>40</v>
      </c>
      <c r="H480" s="83">
        <f>60+100</f>
        <v>160</v>
      </c>
      <c r="I480" s="83">
        <f t="shared" si="70"/>
        <v>0</v>
      </c>
      <c r="J480" s="86">
        <v>100</v>
      </c>
      <c r="K480" s="86">
        <v>300</v>
      </c>
      <c r="L480" s="83">
        <f t="shared" si="73"/>
        <v>1150</v>
      </c>
      <c r="M480" s="94">
        <v>600</v>
      </c>
      <c r="N480" s="83">
        <f>100</f>
        <v>100</v>
      </c>
      <c r="O480" s="86">
        <v>240</v>
      </c>
      <c r="P480" s="86">
        <v>40</v>
      </c>
      <c r="Q480" s="86">
        <f t="shared" si="74"/>
        <v>315</v>
      </c>
      <c r="R480" s="86">
        <f t="shared" si="75"/>
        <v>100</v>
      </c>
      <c r="S480" s="83">
        <f t="shared" si="76"/>
        <v>695</v>
      </c>
      <c r="T480" s="83">
        <f>50</f>
        <v>50</v>
      </c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</row>
    <row r="481" spans="1:30" ht="15.75" x14ac:dyDescent="0.25">
      <c r="A481" s="33">
        <v>55577</v>
      </c>
      <c r="B481" s="96">
        <v>29</v>
      </c>
      <c r="C481" s="83">
        <f>122.58</f>
        <v>122.58</v>
      </c>
      <c r="D481" s="83">
        <f>297.941</f>
        <v>297.94099999999997</v>
      </c>
      <c r="E481" s="92">
        <f>89.177</f>
        <v>89.177000000000007</v>
      </c>
      <c r="F481" s="83">
        <f>240.302-40-60-100</f>
        <v>40.301999999999992</v>
      </c>
      <c r="G481" s="86">
        <v>40</v>
      </c>
      <c r="H481" s="83">
        <f>60+100</f>
        <v>160</v>
      </c>
      <c r="I481" s="83">
        <f t="shared" si="70"/>
        <v>0</v>
      </c>
      <c r="J481" s="86">
        <v>100</v>
      </c>
      <c r="K481" s="86">
        <v>300</v>
      </c>
      <c r="L481" s="83">
        <f t="shared" si="73"/>
        <v>1150</v>
      </c>
      <c r="M481" s="94">
        <v>600</v>
      </c>
      <c r="N481" s="83">
        <f>100</f>
        <v>100</v>
      </c>
      <c r="O481" s="86">
        <v>240</v>
      </c>
      <c r="P481" s="86">
        <v>40</v>
      </c>
      <c r="Q481" s="86">
        <f t="shared" si="74"/>
        <v>315</v>
      </c>
      <c r="R481" s="86">
        <f t="shared" si="75"/>
        <v>100</v>
      </c>
      <c r="S481" s="83">
        <f t="shared" si="76"/>
        <v>695</v>
      </c>
      <c r="T481" s="83">
        <f>50</f>
        <v>50</v>
      </c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</row>
    <row r="482" spans="1:30" ht="15.75" x14ac:dyDescent="0.25">
      <c r="A482" s="33">
        <v>55609</v>
      </c>
      <c r="B482" s="96">
        <v>31</v>
      </c>
      <c r="C482" s="83">
        <f>122.58</f>
        <v>122.58</v>
      </c>
      <c r="D482" s="83">
        <f>297.941</f>
        <v>297.94099999999997</v>
      </c>
      <c r="E482" s="92">
        <f>89.177</f>
        <v>89.177000000000007</v>
      </c>
      <c r="F482" s="83">
        <f>240.302-40-60-100</f>
        <v>40.301999999999992</v>
      </c>
      <c r="G482" s="86">
        <v>40</v>
      </c>
      <c r="H482" s="83">
        <f>60+100</f>
        <v>160</v>
      </c>
      <c r="I482" s="83">
        <f t="shared" si="70"/>
        <v>0</v>
      </c>
      <c r="J482" s="86">
        <v>100</v>
      </c>
      <c r="K482" s="86">
        <v>300</v>
      </c>
      <c r="L482" s="83">
        <f t="shared" si="73"/>
        <v>1150</v>
      </c>
      <c r="M482" s="94">
        <v>600</v>
      </c>
      <c r="N482" s="83">
        <f>100</f>
        <v>100</v>
      </c>
      <c r="O482" s="86">
        <v>240</v>
      </c>
      <c r="P482" s="86">
        <v>40</v>
      </c>
      <c r="Q482" s="86">
        <f t="shared" si="74"/>
        <v>315</v>
      </c>
      <c r="R482" s="86">
        <f t="shared" si="75"/>
        <v>100</v>
      </c>
      <c r="S482" s="83">
        <f t="shared" si="76"/>
        <v>695</v>
      </c>
      <c r="T482" s="83">
        <f>50</f>
        <v>50</v>
      </c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</row>
    <row r="483" spans="1:30" ht="15.75" x14ac:dyDescent="0.25">
      <c r="A483" s="33">
        <v>55639</v>
      </c>
      <c r="B483" s="96">
        <v>30</v>
      </c>
      <c r="C483" s="83">
        <f>141.293</f>
        <v>141.29300000000001</v>
      </c>
      <c r="D483" s="83">
        <f>267.993</f>
        <v>267.99299999999999</v>
      </c>
      <c r="E483" s="92">
        <f>115.016</f>
        <v>115.01600000000001</v>
      </c>
      <c r="F483" s="83">
        <f>314.698-40-25-60-100</f>
        <v>89.697999999999979</v>
      </c>
      <c r="G483" s="86">
        <v>40</v>
      </c>
      <c r="H483" s="83">
        <f t="shared" ref="H483:H489" si="78">25+60+100</f>
        <v>185</v>
      </c>
      <c r="I483" s="83">
        <f t="shared" si="70"/>
        <v>0</v>
      </c>
      <c r="J483" s="86">
        <v>100</v>
      </c>
      <c r="K483" s="86">
        <v>300</v>
      </c>
      <c r="L483" s="83">
        <f t="shared" si="73"/>
        <v>1239</v>
      </c>
      <c r="M483" s="94">
        <v>600</v>
      </c>
      <c r="N483" s="83">
        <f>100</f>
        <v>100</v>
      </c>
      <c r="O483" s="86">
        <v>240</v>
      </c>
      <c r="P483" s="86">
        <v>160</v>
      </c>
      <c r="Q483" s="86">
        <f t="shared" si="74"/>
        <v>195</v>
      </c>
      <c r="R483" s="86">
        <f t="shared" si="75"/>
        <v>100</v>
      </c>
      <c r="S483" s="83">
        <f t="shared" si="76"/>
        <v>695</v>
      </c>
      <c r="T483" s="83">
        <f>50</f>
        <v>50</v>
      </c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</row>
    <row r="484" spans="1:30" ht="15.75" x14ac:dyDescent="0.25">
      <c r="A484" s="33">
        <v>55670</v>
      </c>
      <c r="B484" s="96">
        <v>31</v>
      </c>
      <c r="C484" s="83">
        <f>194.205</f>
        <v>194.20500000000001</v>
      </c>
      <c r="D484" s="83">
        <f>267.466</f>
        <v>267.46600000000001</v>
      </c>
      <c r="E484" s="92">
        <f>133.845</f>
        <v>133.845</v>
      </c>
      <c r="F484" s="83">
        <f>278.484-40-25-60-100</f>
        <v>53.48399999999998</v>
      </c>
      <c r="G484" s="86">
        <v>40</v>
      </c>
      <c r="H484" s="83">
        <f t="shared" si="78"/>
        <v>185</v>
      </c>
      <c r="I484" s="83">
        <f t="shared" si="70"/>
        <v>0</v>
      </c>
      <c r="J484" s="86">
        <v>100</v>
      </c>
      <c r="K484" s="86">
        <v>300</v>
      </c>
      <c r="L484" s="83">
        <f t="shared" si="73"/>
        <v>1274</v>
      </c>
      <c r="M484" s="94">
        <v>600</v>
      </c>
      <c r="N484" s="83">
        <f>75</f>
        <v>75</v>
      </c>
      <c r="O484" s="86">
        <v>240</v>
      </c>
      <c r="P484" s="86">
        <v>160</v>
      </c>
      <c r="Q484" s="86">
        <f t="shared" si="74"/>
        <v>195</v>
      </c>
      <c r="R484" s="86">
        <f t="shared" si="75"/>
        <v>100</v>
      </c>
      <c r="S484" s="83">
        <f t="shared" si="76"/>
        <v>695</v>
      </c>
      <c r="T484" s="83">
        <f>50</f>
        <v>50</v>
      </c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</row>
    <row r="485" spans="1:30" ht="15.75" x14ac:dyDescent="0.25">
      <c r="A485" s="33">
        <v>55700</v>
      </c>
      <c r="B485" s="96">
        <v>30</v>
      </c>
      <c r="C485" s="83">
        <f>194.205</f>
        <v>194.20500000000001</v>
      </c>
      <c r="D485" s="83">
        <f>267.466</f>
        <v>267.46600000000001</v>
      </c>
      <c r="E485" s="92">
        <f>133.845</f>
        <v>133.845</v>
      </c>
      <c r="F485" s="83">
        <f>278.484-40-25-60-100</f>
        <v>53.48399999999998</v>
      </c>
      <c r="G485" s="86">
        <v>40</v>
      </c>
      <c r="H485" s="83">
        <f t="shared" si="78"/>
        <v>185</v>
      </c>
      <c r="I485" s="83">
        <f t="shared" si="70"/>
        <v>0</v>
      </c>
      <c r="J485" s="86">
        <v>100</v>
      </c>
      <c r="K485" s="86">
        <v>300</v>
      </c>
      <c r="L485" s="83">
        <f t="shared" si="73"/>
        <v>1274</v>
      </c>
      <c r="M485" s="94">
        <v>600</v>
      </c>
      <c r="N485" s="83">
        <f>30</f>
        <v>30</v>
      </c>
      <c r="O485" s="86">
        <v>240</v>
      </c>
      <c r="P485" s="86">
        <v>160</v>
      </c>
      <c r="Q485" s="86">
        <f t="shared" si="74"/>
        <v>195</v>
      </c>
      <c r="R485" s="86">
        <f t="shared" si="75"/>
        <v>100</v>
      </c>
      <c r="S485" s="83">
        <f t="shared" si="76"/>
        <v>695</v>
      </c>
      <c r="T485" s="83">
        <f>50</f>
        <v>50</v>
      </c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</row>
    <row r="486" spans="1:30" ht="15.75" x14ac:dyDescent="0.25">
      <c r="A486" s="33">
        <v>55731</v>
      </c>
      <c r="B486" s="96">
        <v>31</v>
      </c>
      <c r="C486" s="83">
        <f>194.205</f>
        <v>194.20500000000001</v>
      </c>
      <c r="D486" s="83">
        <f>267.466</f>
        <v>267.46600000000001</v>
      </c>
      <c r="E486" s="92">
        <f>133.845</f>
        <v>133.845</v>
      </c>
      <c r="F486" s="83">
        <f>278.484-40-25-60-100</f>
        <v>53.48399999999998</v>
      </c>
      <c r="G486" s="86">
        <v>40</v>
      </c>
      <c r="H486" s="83">
        <f t="shared" si="78"/>
        <v>185</v>
      </c>
      <c r="I486" s="83">
        <f t="shared" si="70"/>
        <v>0</v>
      </c>
      <c r="J486" s="86">
        <v>100</v>
      </c>
      <c r="K486" s="86">
        <v>300</v>
      </c>
      <c r="L486" s="83">
        <f t="shared" si="73"/>
        <v>1274</v>
      </c>
      <c r="M486" s="94">
        <v>600</v>
      </c>
      <c r="N486" s="83">
        <f>30</f>
        <v>30</v>
      </c>
      <c r="O486" s="86">
        <v>240</v>
      </c>
      <c r="P486" s="86">
        <v>160</v>
      </c>
      <c r="Q486" s="86">
        <f t="shared" si="74"/>
        <v>195</v>
      </c>
      <c r="R486" s="86">
        <f t="shared" si="75"/>
        <v>100</v>
      </c>
      <c r="S486" s="83">
        <f t="shared" si="76"/>
        <v>695</v>
      </c>
      <c r="T486" s="83">
        <f>0</f>
        <v>0</v>
      </c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</row>
    <row r="487" spans="1:30" ht="15.75" x14ac:dyDescent="0.25">
      <c r="A487" s="33">
        <v>55762</v>
      </c>
      <c r="B487" s="96">
        <v>31</v>
      </c>
      <c r="C487" s="83">
        <f>194.205</f>
        <v>194.20500000000001</v>
      </c>
      <c r="D487" s="83">
        <f>267.466</f>
        <v>267.46600000000001</v>
      </c>
      <c r="E487" s="92">
        <f>133.845</f>
        <v>133.845</v>
      </c>
      <c r="F487" s="83">
        <f>278.484-40-25-60-100</f>
        <v>53.48399999999998</v>
      </c>
      <c r="G487" s="86">
        <v>40</v>
      </c>
      <c r="H487" s="83">
        <f t="shared" si="78"/>
        <v>185</v>
      </c>
      <c r="I487" s="83">
        <f t="shared" si="70"/>
        <v>0</v>
      </c>
      <c r="J487" s="86">
        <v>100</v>
      </c>
      <c r="K487" s="86">
        <v>300</v>
      </c>
      <c r="L487" s="83">
        <f t="shared" si="73"/>
        <v>1274</v>
      </c>
      <c r="M487" s="94">
        <v>600</v>
      </c>
      <c r="N487" s="83">
        <f>30</f>
        <v>30</v>
      </c>
      <c r="O487" s="86">
        <v>240</v>
      </c>
      <c r="P487" s="86">
        <v>160</v>
      </c>
      <c r="Q487" s="86">
        <f t="shared" si="74"/>
        <v>195</v>
      </c>
      <c r="R487" s="86">
        <f t="shared" si="75"/>
        <v>100</v>
      </c>
      <c r="S487" s="83">
        <f t="shared" si="76"/>
        <v>695</v>
      </c>
      <c r="T487" s="83">
        <f>0</f>
        <v>0</v>
      </c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</row>
    <row r="488" spans="1:30" ht="15.75" x14ac:dyDescent="0.25">
      <c r="A488" s="33">
        <v>55792</v>
      </c>
      <c r="B488" s="96">
        <v>30</v>
      </c>
      <c r="C488" s="83">
        <f>194.205</f>
        <v>194.20500000000001</v>
      </c>
      <c r="D488" s="83">
        <f>267.466</f>
        <v>267.46600000000001</v>
      </c>
      <c r="E488" s="92">
        <f>133.845</f>
        <v>133.845</v>
      </c>
      <c r="F488" s="83">
        <f>278.484-40-25-60-100</f>
        <v>53.48399999999998</v>
      </c>
      <c r="G488" s="86">
        <v>40</v>
      </c>
      <c r="H488" s="83">
        <f t="shared" si="78"/>
        <v>185</v>
      </c>
      <c r="I488" s="83">
        <f t="shared" si="70"/>
        <v>0</v>
      </c>
      <c r="J488" s="86">
        <v>100</v>
      </c>
      <c r="K488" s="86">
        <v>300</v>
      </c>
      <c r="L488" s="83">
        <f t="shared" si="73"/>
        <v>1274</v>
      </c>
      <c r="M488" s="94">
        <v>600</v>
      </c>
      <c r="N488" s="83">
        <f>30</f>
        <v>30</v>
      </c>
      <c r="O488" s="86">
        <v>240</v>
      </c>
      <c r="P488" s="86">
        <v>160</v>
      </c>
      <c r="Q488" s="86">
        <f t="shared" si="74"/>
        <v>195</v>
      </c>
      <c r="R488" s="86">
        <f t="shared" si="75"/>
        <v>100</v>
      </c>
      <c r="S488" s="83">
        <f t="shared" si="76"/>
        <v>695</v>
      </c>
      <c r="T488" s="83">
        <f>0</f>
        <v>0</v>
      </c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</row>
    <row r="489" spans="1:30" ht="15.75" x14ac:dyDescent="0.25">
      <c r="A489" s="33">
        <v>55823</v>
      </c>
      <c r="B489" s="96">
        <v>31</v>
      </c>
      <c r="C489" s="83">
        <f>131.881</f>
        <v>131.881</v>
      </c>
      <c r="D489" s="83">
        <f>277.167</f>
        <v>277.16699999999997</v>
      </c>
      <c r="E489" s="92">
        <f>79.08</f>
        <v>79.08</v>
      </c>
      <c r="F489" s="83">
        <f>350.872-40-25-60-100</f>
        <v>125.87200000000001</v>
      </c>
      <c r="G489" s="86">
        <v>40</v>
      </c>
      <c r="H489" s="83">
        <f t="shared" si="78"/>
        <v>185</v>
      </c>
      <c r="I489" s="83">
        <f t="shared" si="70"/>
        <v>0</v>
      </c>
      <c r="J489" s="86">
        <v>100</v>
      </c>
      <c r="K489" s="86">
        <v>300</v>
      </c>
      <c r="L489" s="83">
        <f t="shared" si="73"/>
        <v>1239</v>
      </c>
      <c r="M489" s="94">
        <v>600</v>
      </c>
      <c r="N489" s="83">
        <f>75</f>
        <v>75</v>
      </c>
      <c r="O489" s="86">
        <v>240</v>
      </c>
      <c r="P489" s="86">
        <v>160</v>
      </c>
      <c r="Q489" s="86">
        <f t="shared" si="74"/>
        <v>195</v>
      </c>
      <c r="R489" s="86">
        <f t="shared" si="75"/>
        <v>100</v>
      </c>
      <c r="S489" s="83">
        <f t="shared" si="76"/>
        <v>695</v>
      </c>
      <c r="T489" s="83">
        <f>0</f>
        <v>0</v>
      </c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</row>
    <row r="490" spans="1:30" ht="15.75" x14ac:dyDescent="0.25">
      <c r="A490" s="33">
        <v>55853</v>
      </c>
      <c r="B490" s="96">
        <v>30</v>
      </c>
      <c r="C490" s="83">
        <f>122.58</f>
        <v>122.58</v>
      </c>
      <c r="D490" s="83">
        <f>297.941</f>
        <v>297.94099999999997</v>
      </c>
      <c r="E490" s="92">
        <f>89.177</f>
        <v>89.177000000000007</v>
      </c>
      <c r="F490" s="83">
        <f>240.302-40-60-100</f>
        <v>40.301999999999992</v>
      </c>
      <c r="G490" s="86">
        <v>40</v>
      </c>
      <c r="H490" s="83">
        <f>60+100</f>
        <v>160</v>
      </c>
      <c r="I490" s="83">
        <f t="shared" si="70"/>
        <v>0</v>
      </c>
      <c r="J490" s="86">
        <v>100</v>
      </c>
      <c r="K490" s="86">
        <v>300</v>
      </c>
      <c r="L490" s="83">
        <f t="shared" si="73"/>
        <v>1150</v>
      </c>
      <c r="M490" s="94">
        <v>600</v>
      </c>
      <c r="N490" s="83">
        <f>100</f>
        <v>100</v>
      </c>
      <c r="O490" s="86">
        <v>240</v>
      </c>
      <c r="P490" s="86">
        <v>40</v>
      </c>
      <c r="Q490" s="86">
        <f t="shared" si="74"/>
        <v>315</v>
      </c>
      <c r="R490" s="86">
        <f t="shared" si="75"/>
        <v>100</v>
      </c>
      <c r="S490" s="83">
        <f t="shared" si="76"/>
        <v>695</v>
      </c>
      <c r="T490" s="83">
        <f>50</f>
        <v>50</v>
      </c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</row>
    <row r="491" spans="1:30" ht="15.75" x14ac:dyDescent="0.25">
      <c r="A491" s="33">
        <v>55884</v>
      </c>
      <c r="B491" s="96">
        <v>31</v>
      </c>
      <c r="C491" s="83">
        <f>122.58</f>
        <v>122.58</v>
      </c>
      <c r="D491" s="83">
        <f>297.941</f>
        <v>297.94099999999997</v>
      </c>
      <c r="E491" s="92">
        <f>89.177</f>
        <v>89.177000000000007</v>
      </c>
      <c r="F491" s="83">
        <f>240.302-40-60-100</f>
        <v>40.301999999999992</v>
      </c>
      <c r="G491" s="86">
        <v>40</v>
      </c>
      <c r="H491" s="83">
        <f>60+100</f>
        <v>160</v>
      </c>
      <c r="I491" s="83">
        <f t="shared" si="70"/>
        <v>0</v>
      </c>
      <c r="J491" s="86">
        <v>100</v>
      </c>
      <c r="K491" s="86">
        <v>300</v>
      </c>
      <c r="L491" s="83">
        <f t="shared" si="73"/>
        <v>1150</v>
      </c>
      <c r="M491" s="94">
        <v>600</v>
      </c>
      <c r="N491" s="83">
        <f>100</f>
        <v>100</v>
      </c>
      <c r="O491" s="86">
        <v>240</v>
      </c>
      <c r="P491" s="86">
        <v>40</v>
      </c>
      <c r="Q491" s="86">
        <f t="shared" si="74"/>
        <v>315</v>
      </c>
      <c r="R491" s="86">
        <f t="shared" si="75"/>
        <v>100</v>
      </c>
      <c r="S491" s="83">
        <f t="shared" si="76"/>
        <v>695</v>
      </c>
      <c r="T491" s="83">
        <f>50</f>
        <v>50</v>
      </c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</row>
    <row r="492" spans="1:30" ht="15.75" x14ac:dyDescent="0.25">
      <c r="A492" s="33">
        <v>55915</v>
      </c>
      <c r="B492" s="96">
        <v>31</v>
      </c>
      <c r="C492" s="83">
        <f>122.58</f>
        <v>122.58</v>
      </c>
      <c r="D492" s="83">
        <f>297.941</f>
        <v>297.94099999999997</v>
      </c>
      <c r="E492" s="92">
        <f>89.177</f>
        <v>89.177000000000007</v>
      </c>
      <c r="F492" s="83">
        <f>240.302-40-60-100</f>
        <v>40.301999999999992</v>
      </c>
      <c r="G492" s="86">
        <v>40</v>
      </c>
      <c r="H492" s="83">
        <f>60+100</f>
        <v>160</v>
      </c>
      <c r="I492" s="83">
        <f t="shared" si="70"/>
        <v>0</v>
      </c>
      <c r="J492" s="86">
        <v>100</v>
      </c>
      <c r="K492" s="86">
        <v>300</v>
      </c>
      <c r="L492" s="83">
        <f t="shared" si="73"/>
        <v>1150</v>
      </c>
      <c r="M492" s="94">
        <v>600</v>
      </c>
      <c r="N492" s="83">
        <f>100</f>
        <v>100</v>
      </c>
      <c r="O492" s="86">
        <v>240</v>
      </c>
      <c r="P492" s="86">
        <v>40</v>
      </c>
      <c r="Q492" s="86">
        <f t="shared" si="74"/>
        <v>315</v>
      </c>
      <c r="R492" s="86">
        <f t="shared" si="75"/>
        <v>100</v>
      </c>
      <c r="S492" s="83">
        <f t="shared" si="76"/>
        <v>695</v>
      </c>
      <c r="T492" s="83">
        <f>50</f>
        <v>50</v>
      </c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</row>
    <row r="493" spans="1:30" ht="15.75" x14ac:dyDescent="0.25">
      <c r="A493" s="33">
        <v>55943</v>
      </c>
      <c r="B493" s="96">
        <v>28</v>
      </c>
      <c r="C493" s="83">
        <f>122.58</f>
        <v>122.58</v>
      </c>
      <c r="D493" s="83">
        <f>297.941</f>
        <v>297.94099999999997</v>
      </c>
      <c r="E493" s="92">
        <f>89.177</f>
        <v>89.177000000000007</v>
      </c>
      <c r="F493" s="83">
        <f>240.302-40-60-100</f>
        <v>40.301999999999992</v>
      </c>
      <c r="G493" s="86">
        <v>40</v>
      </c>
      <c r="H493" s="83">
        <f>60+100</f>
        <v>160</v>
      </c>
      <c r="I493" s="83">
        <f t="shared" si="70"/>
        <v>0</v>
      </c>
      <c r="J493" s="86">
        <v>100</v>
      </c>
      <c r="K493" s="86">
        <v>300</v>
      </c>
      <c r="L493" s="83">
        <f t="shared" si="73"/>
        <v>1150</v>
      </c>
      <c r="M493" s="94">
        <v>600</v>
      </c>
      <c r="N493" s="83">
        <f>100</f>
        <v>100</v>
      </c>
      <c r="O493" s="86">
        <v>240</v>
      </c>
      <c r="P493" s="86">
        <v>40</v>
      </c>
      <c r="Q493" s="86">
        <f t="shared" si="74"/>
        <v>315</v>
      </c>
      <c r="R493" s="86">
        <f t="shared" si="75"/>
        <v>100</v>
      </c>
      <c r="S493" s="83">
        <f t="shared" si="76"/>
        <v>695</v>
      </c>
      <c r="T493" s="83">
        <f>50</f>
        <v>50</v>
      </c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</row>
    <row r="494" spans="1:30" ht="15.75" x14ac:dyDescent="0.25">
      <c r="A494" s="33">
        <v>55974</v>
      </c>
      <c r="B494" s="96">
        <v>31</v>
      </c>
      <c r="C494" s="83">
        <f>122.58</f>
        <v>122.58</v>
      </c>
      <c r="D494" s="83">
        <f>297.941</f>
        <v>297.94099999999997</v>
      </c>
      <c r="E494" s="92">
        <f>89.177</f>
        <v>89.177000000000007</v>
      </c>
      <c r="F494" s="83">
        <f>240.302-40-60-100</f>
        <v>40.301999999999992</v>
      </c>
      <c r="G494" s="86">
        <v>40</v>
      </c>
      <c r="H494" s="83">
        <f>60+100</f>
        <v>160</v>
      </c>
      <c r="I494" s="83">
        <f t="shared" si="70"/>
        <v>0</v>
      </c>
      <c r="J494" s="86">
        <v>100</v>
      </c>
      <c r="K494" s="86">
        <v>300</v>
      </c>
      <c r="L494" s="83">
        <f t="shared" si="73"/>
        <v>1150</v>
      </c>
      <c r="M494" s="94">
        <v>600</v>
      </c>
      <c r="N494" s="83">
        <f>100</f>
        <v>100</v>
      </c>
      <c r="O494" s="86">
        <v>240</v>
      </c>
      <c r="P494" s="86">
        <v>40</v>
      </c>
      <c r="Q494" s="86">
        <f t="shared" si="74"/>
        <v>315</v>
      </c>
      <c r="R494" s="86">
        <f t="shared" si="75"/>
        <v>100</v>
      </c>
      <c r="S494" s="83">
        <f t="shared" si="76"/>
        <v>695</v>
      </c>
      <c r="T494" s="83">
        <f>50</f>
        <v>50</v>
      </c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</row>
    <row r="495" spans="1:30" ht="15.75" x14ac:dyDescent="0.25">
      <c r="A495" s="33">
        <v>56004</v>
      </c>
      <c r="B495" s="96">
        <v>30</v>
      </c>
      <c r="C495" s="83">
        <f>141.293</f>
        <v>141.29300000000001</v>
      </c>
      <c r="D495" s="83">
        <f>267.993</f>
        <v>267.99299999999999</v>
      </c>
      <c r="E495" s="92">
        <f>115.016</f>
        <v>115.01600000000001</v>
      </c>
      <c r="F495" s="83">
        <f>314.698-40-25-60-100</f>
        <v>89.697999999999979</v>
      </c>
      <c r="G495" s="86">
        <v>40</v>
      </c>
      <c r="H495" s="83">
        <f t="shared" ref="H495:H501" si="79">25+60+100</f>
        <v>185</v>
      </c>
      <c r="I495" s="83">
        <f t="shared" si="70"/>
        <v>0</v>
      </c>
      <c r="J495" s="86">
        <v>100</v>
      </c>
      <c r="K495" s="86">
        <v>300</v>
      </c>
      <c r="L495" s="83">
        <f t="shared" si="73"/>
        <v>1239</v>
      </c>
      <c r="M495" s="94">
        <v>600</v>
      </c>
      <c r="N495" s="83">
        <f>100</f>
        <v>100</v>
      </c>
      <c r="O495" s="86">
        <v>240</v>
      </c>
      <c r="P495" s="86">
        <v>160</v>
      </c>
      <c r="Q495" s="86">
        <f t="shared" si="74"/>
        <v>195</v>
      </c>
      <c r="R495" s="86">
        <f t="shared" si="75"/>
        <v>100</v>
      </c>
      <c r="S495" s="83">
        <f t="shared" si="76"/>
        <v>695</v>
      </c>
      <c r="T495" s="83">
        <f>50</f>
        <v>50</v>
      </c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</row>
    <row r="496" spans="1:30" ht="15.75" x14ac:dyDescent="0.25">
      <c r="A496" s="33">
        <v>56035</v>
      </c>
      <c r="B496" s="96">
        <v>31</v>
      </c>
      <c r="C496" s="83">
        <f>194.205</f>
        <v>194.20500000000001</v>
      </c>
      <c r="D496" s="83">
        <f>267.466</f>
        <v>267.46600000000001</v>
      </c>
      <c r="E496" s="92">
        <f>133.845</f>
        <v>133.845</v>
      </c>
      <c r="F496" s="83">
        <f>278.484-40-25-60-100</f>
        <v>53.48399999999998</v>
      </c>
      <c r="G496" s="86">
        <v>40</v>
      </c>
      <c r="H496" s="83">
        <f t="shared" si="79"/>
        <v>185</v>
      </c>
      <c r="I496" s="83">
        <f t="shared" si="70"/>
        <v>0</v>
      </c>
      <c r="J496" s="86">
        <v>100</v>
      </c>
      <c r="K496" s="86">
        <v>300</v>
      </c>
      <c r="L496" s="83">
        <f t="shared" si="73"/>
        <v>1274</v>
      </c>
      <c r="M496" s="94">
        <v>600</v>
      </c>
      <c r="N496" s="83">
        <f>75</f>
        <v>75</v>
      </c>
      <c r="O496" s="86">
        <v>240</v>
      </c>
      <c r="P496" s="86">
        <v>160</v>
      </c>
      <c r="Q496" s="86">
        <f t="shared" si="74"/>
        <v>195</v>
      </c>
      <c r="R496" s="86">
        <f t="shared" si="75"/>
        <v>100</v>
      </c>
      <c r="S496" s="83">
        <f t="shared" si="76"/>
        <v>695</v>
      </c>
      <c r="T496" s="83">
        <f>50</f>
        <v>50</v>
      </c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</row>
    <row r="497" spans="1:30" ht="15.75" x14ac:dyDescent="0.25">
      <c r="A497" s="33">
        <v>56065</v>
      </c>
      <c r="B497" s="96">
        <v>30</v>
      </c>
      <c r="C497" s="83">
        <f>194.205</f>
        <v>194.20500000000001</v>
      </c>
      <c r="D497" s="83">
        <f>267.466</f>
        <v>267.46600000000001</v>
      </c>
      <c r="E497" s="92">
        <f>133.845</f>
        <v>133.845</v>
      </c>
      <c r="F497" s="83">
        <f>278.484-40-25-60-100</f>
        <v>53.48399999999998</v>
      </c>
      <c r="G497" s="86">
        <v>40</v>
      </c>
      <c r="H497" s="83">
        <f t="shared" si="79"/>
        <v>185</v>
      </c>
      <c r="I497" s="83">
        <f t="shared" si="70"/>
        <v>0</v>
      </c>
      <c r="J497" s="86">
        <v>100</v>
      </c>
      <c r="K497" s="86">
        <v>300</v>
      </c>
      <c r="L497" s="83">
        <f t="shared" si="73"/>
        <v>1274</v>
      </c>
      <c r="M497" s="94">
        <v>600</v>
      </c>
      <c r="N497" s="83">
        <f>30</f>
        <v>30</v>
      </c>
      <c r="O497" s="86">
        <v>240</v>
      </c>
      <c r="P497" s="86">
        <v>160</v>
      </c>
      <c r="Q497" s="86">
        <f t="shared" si="74"/>
        <v>195</v>
      </c>
      <c r="R497" s="86">
        <f t="shared" si="75"/>
        <v>100</v>
      </c>
      <c r="S497" s="83">
        <f t="shared" si="76"/>
        <v>695</v>
      </c>
      <c r="T497" s="83">
        <f>50</f>
        <v>50</v>
      </c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</row>
    <row r="498" spans="1:30" ht="15.75" x14ac:dyDescent="0.25">
      <c r="A498" s="33">
        <v>56096</v>
      </c>
      <c r="B498" s="96">
        <v>31</v>
      </c>
      <c r="C498" s="83">
        <f>194.205</f>
        <v>194.20500000000001</v>
      </c>
      <c r="D498" s="83">
        <f>267.466</f>
        <v>267.46600000000001</v>
      </c>
      <c r="E498" s="92">
        <f>133.845</f>
        <v>133.845</v>
      </c>
      <c r="F498" s="83">
        <f>278.484-40-25-60-100</f>
        <v>53.48399999999998</v>
      </c>
      <c r="G498" s="86">
        <v>40</v>
      </c>
      <c r="H498" s="83">
        <f t="shared" si="79"/>
        <v>185</v>
      </c>
      <c r="I498" s="83">
        <f t="shared" si="70"/>
        <v>0</v>
      </c>
      <c r="J498" s="86">
        <v>100</v>
      </c>
      <c r="K498" s="86">
        <v>300</v>
      </c>
      <c r="L498" s="83">
        <f t="shared" si="73"/>
        <v>1274</v>
      </c>
      <c r="M498" s="94">
        <v>600</v>
      </c>
      <c r="N498" s="83">
        <f>30</f>
        <v>30</v>
      </c>
      <c r="O498" s="86">
        <v>240</v>
      </c>
      <c r="P498" s="86">
        <v>160</v>
      </c>
      <c r="Q498" s="86">
        <f t="shared" si="74"/>
        <v>195</v>
      </c>
      <c r="R498" s="86">
        <f t="shared" si="75"/>
        <v>100</v>
      </c>
      <c r="S498" s="83">
        <f t="shared" si="76"/>
        <v>695</v>
      </c>
      <c r="T498" s="83">
        <f>0</f>
        <v>0</v>
      </c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</row>
    <row r="499" spans="1:30" ht="15.75" x14ac:dyDescent="0.25">
      <c r="A499" s="33">
        <v>56127</v>
      </c>
      <c r="B499" s="96">
        <v>31</v>
      </c>
      <c r="C499" s="83">
        <f>194.205</f>
        <v>194.20500000000001</v>
      </c>
      <c r="D499" s="83">
        <f>267.466</f>
        <v>267.46600000000001</v>
      </c>
      <c r="E499" s="92">
        <f>133.845</f>
        <v>133.845</v>
      </c>
      <c r="F499" s="83">
        <f>278.484-40-25-60-100</f>
        <v>53.48399999999998</v>
      </c>
      <c r="G499" s="86">
        <v>40</v>
      </c>
      <c r="H499" s="83">
        <f t="shared" si="79"/>
        <v>185</v>
      </c>
      <c r="I499" s="83">
        <f t="shared" si="70"/>
        <v>0</v>
      </c>
      <c r="J499" s="86">
        <v>100</v>
      </c>
      <c r="K499" s="86">
        <v>300</v>
      </c>
      <c r="L499" s="83">
        <f t="shared" si="73"/>
        <v>1274</v>
      </c>
      <c r="M499" s="94">
        <v>600</v>
      </c>
      <c r="N499" s="83">
        <f>30</f>
        <v>30</v>
      </c>
      <c r="O499" s="86">
        <v>240</v>
      </c>
      <c r="P499" s="86">
        <v>160</v>
      </c>
      <c r="Q499" s="86">
        <f t="shared" si="74"/>
        <v>195</v>
      </c>
      <c r="R499" s="86">
        <f t="shared" si="75"/>
        <v>100</v>
      </c>
      <c r="S499" s="83">
        <f t="shared" si="76"/>
        <v>695</v>
      </c>
      <c r="T499" s="83">
        <f>0</f>
        <v>0</v>
      </c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</row>
    <row r="500" spans="1:30" ht="15.75" x14ac:dyDescent="0.25">
      <c r="A500" s="33">
        <v>56157</v>
      </c>
      <c r="B500" s="96">
        <v>30</v>
      </c>
      <c r="C500" s="83">
        <f>194.205</f>
        <v>194.20500000000001</v>
      </c>
      <c r="D500" s="83">
        <f>267.466</f>
        <v>267.46600000000001</v>
      </c>
      <c r="E500" s="92">
        <f>133.845</f>
        <v>133.845</v>
      </c>
      <c r="F500" s="83">
        <f>278.484-40-25-60-100</f>
        <v>53.48399999999998</v>
      </c>
      <c r="G500" s="86">
        <v>40</v>
      </c>
      <c r="H500" s="83">
        <f t="shared" si="79"/>
        <v>185</v>
      </c>
      <c r="I500" s="83">
        <f t="shared" ref="I500:I563" si="80">400-J500-K500</f>
        <v>0</v>
      </c>
      <c r="J500" s="86">
        <v>100</v>
      </c>
      <c r="K500" s="86">
        <v>300</v>
      </c>
      <c r="L500" s="83">
        <f t="shared" si="73"/>
        <v>1274</v>
      </c>
      <c r="M500" s="94">
        <v>600</v>
      </c>
      <c r="N500" s="83">
        <f>30</f>
        <v>30</v>
      </c>
      <c r="O500" s="86">
        <v>240</v>
      </c>
      <c r="P500" s="86">
        <v>160</v>
      </c>
      <c r="Q500" s="86">
        <f t="shared" si="74"/>
        <v>195</v>
      </c>
      <c r="R500" s="86">
        <f t="shared" si="75"/>
        <v>100</v>
      </c>
      <c r="S500" s="83">
        <f t="shared" si="76"/>
        <v>695</v>
      </c>
      <c r="T500" s="83">
        <f>0</f>
        <v>0</v>
      </c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</row>
    <row r="501" spans="1:30" ht="15.75" x14ac:dyDescent="0.25">
      <c r="A501" s="33">
        <v>56188</v>
      </c>
      <c r="B501" s="96">
        <v>31</v>
      </c>
      <c r="C501" s="83">
        <f>131.881</f>
        <v>131.881</v>
      </c>
      <c r="D501" s="83">
        <f>277.167</f>
        <v>277.16699999999997</v>
      </c>
      <c r="E501" s="92">
        <f>79.08</f>
        <v>79.08</v>
      </c>
      <c r="F501" s="83">
        <f>350.872-40-25-60-100</f>
        <v>125.87200000000001</v>
      </c>
      <c r="G501" s="86">
        <v>40</v>
      </c>
      <c r="H501" s="83">
        <f t="shared" si="79"/>
        <v>185</v>
      </c>
      <c r="I501" s="83">
        <f t="shared" si="80"/>
        <v>0</v>
      </c>
      <c r="J501" s="86">
        <v>100</v>
      </c>
      <c r="K501" s="86">
        <v>300</v>
      </c>
      <c r="L501" s="83">
        <f t="shared" si="73"/>
        <v>1239</v>
      </c>
      <c r="M501" s="94">
        <v>600</v>
      </c>
      <c r="N501" s="83">
        <f>75</f>
        <v>75</v>
      </c>
      <c r="O501" s="86">
        <v>240</v>
      </c>
      <c r="P501" s="86">
        <v>160</v>
      </c>
      <c r="Q501" s="86">
        <f t="shared" si="74"/>
        <v>195</v>
      </c>
      <c r="R501" s="86">
        <f t="shared" si="75"/>
        <v>100</v>
      </c>
      <c r="S501" s="83">
        <f t="shared" si="76"/>
        <v>695</v>
      </c>
      <c r="T501" s="83">
        <f>0</f>
        <v>0</v>
      </c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</row>
    <row r="502" spans="1:30" ht="15.75" x14ac:dyDescent="0.25">
      <c r="A502" s="33">
        <v>56218</v>
      </c>
      <c r="B502" s="96">
        <v>30</v>
      </c>
      <c r="C502" s="83">
        <f>122.58</f>
        <v>122.58</v>
      </c>
      <c r="D502" s="83">
        <f>297.941</f>
        <v>297.94099999999997</v>
      </c>
      <c r="E502" s="92">
        <f>89.177</f>
        <v>89.177000000000007</v>
      </c>
      <c r="F502" s="83">
        <f>240.302-40-60-100</f>
        <v>40.301999999999992</v>
      </c>
      <c r="G502" s="86">
        <v>40</v>
      </c>
      <c r="H502" s="83">
        <f>60+100</f>
        <v>160</v>
      </c>
      <c r="I502" s="83">
        <f t="shared" si="80"/>
        <v>0</v>
      </c>
      <c r="J502" s="86">
        <v>100</v>
      </c>
      <c r="K502" s="86">
        <v>300</v>
      </c>
      <c r="L502" s="83">
        <f t="shared" si="73"/>
        <v>1150</v>
      </c>
      <c r="M502" s="94">
        <v>600</v>
      </c>
      <c r="N502" s="83">
        <f>100</f>
        <v>100</v>
      </c>
      <c r="O502" s="86">
        <v>240</v>
      </c>
      <c r="P502" s="86">
        <v>40</v>
      </c>
      <c r="Q502" s="86">
        <f t="shared" si="74"/>
        <v>315</v>
      </c>
      <c r="R502" s="86">
        <f t="shared" si="75"/>
        <v>100</v>
      </c>
      <c r="S502" s="83">
        <f t="shared" si="76"/>
        <v>695</v>
      </c>
      <c r="T502" s="83">
        <f>50</f>
        <v>50</v>
      </c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</row>
    <row r="503" spans="1:30" ht="15.75" x14ac:dyDescent="0.25">
      <c r="A503" s="33">
        <v>56249</v>
      </c>
      <c r="B503" s="96">
        <v>31</v>
      </c>
      <c r="C503" s="83">
        <f>122.58</f>
        <v>122.58</v>
      </c>
      <c r="D503" s="83">
        <f>297.941</f>
        <v>297.94099999999997</v>
      </c>
      <c r="E503" s="92">
        <f>89.177</f>
        <v>89.177000000000007</v>
      </c>
      <c r="F503" s="83">
        <f>240.302-40-60-100</f>
        <v>40.301999999999992</v>
      </c>
      <c r="G503" s="86">
        <v>40</v>
      </c>
      <c r="H503" s="83">
        <f>60+100</f>
        <v>160</v>
      </c>
      <c r="I503" s="83">
        <f t="shared" si="80"/>
        <v>0</v>
      </c>
      <c r="J503" s="86">
        <v>100</v>
      </c>
      <c r="K503" s="86">
        <v>300</v>
      </c>
      <c r="L503" s="83">
        <f t="shared" si="73"/>
        <v>1150</v>
      </c>
      <c r="M503" s="94">
        <v>600</v>
      </c>
      <c r="N503" s="83">
        <f>100</f>
        <v>100</v>
      </c>
      <c r="O503" s="86">
        <v>240</v>
      </c>
      <c r="P503" s="86">
        <v>40</v>
      </c>
      <c r="Q503" s="86">
        <f t="shared" si="74"/>
        <v>315</v>
      </c>
      <c r="R503" s="86">
        <f t="shared" si="75"/>
        <v>100</v>
      </c>
      <c r="S503" s="83">
        <f t="shared" si="76"/>
        <v>695</v>
      </c>
      <c r="T503" s="83">
        <f>50</f>
        <v>50</v>
      </c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</row>
    <row r="504" spans="1:30" ht="15.75" x14ac:dyDescent="0.25">
      <c r="A504" s="33">
        <v>56280</v>
      </c>
      <c r="B504" s="96">
        <v>31</v>
      </c>
      <c r="C504" s="83">
        <f>122.58</f>
        <v>122.58</v>
      </c>
      <c r="D504" s="83">
        <f>297.941</f>
        <v>297.94099999999997</v>
      </c>
      <c r="E504" s="92">
        <f>89.177</f>
        <v>89.177000000000007</v>
      </c>
      <c r="F504" s="83">
        <f>240.302-40-60-100</f>
        <v>40.301999999999992</v>
      </c>
      <c r="G504" s="86">
        <v>40</v>
      </c>
      <c r="H504" s="83">
        <f>60+100</f>
        <v>160</v>
      </c>
      <c r="I504" s="83">
        <f t="shared" si="80"/>
        <v>0</v>
      </c>
      <c r="J504" s="86">
        <v>100</v>
      </c>
      <c r="K504" s="86">
        <v>300</v>
      </c>
      <c r="L504" s="83">
        <f t="shared" si="73"/>
        <v>1150</v>
      </c>
      <c r="M504" s="94">
        <v>600</v>
      </c>
      <c r="N504" s="83">
        <f>100</f>
        <v>100</v>
      </c>
      <c r="O504" s="86">
        <v>240</v>
      </c>
      <c r="P504" s="86">
        <v>40</v>
      </c>
      <c r="Q504" s="86">
        <f t="shared" si="74"/>
        <v>315</v>
      </c>
      <c r="R504" s="86">
        <f t="shared" si="75"/>
        <v>100</v>
      </c>
      <c r="S504" s="83">
        <f t="shared" si="76"/>
        <v>695</v>
      </c>
      <c r="T504" s="83">
        <f>50</f>
        <v>50</v>
      </c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</row>
    <row r="505" spans="1:30" ht="15.75" x14ac:dyDescent="0.25">
      <c r="A505" s="33">
        <v>56308</v>
      </c>
      <c r="B505" s="96">
        <v>28</v>
      </c>
      <c r="C505" s="83">
        <f>122.58</f>
        <v>122.58</v>
      </c>
      <c r="D505" s="83">
        <f>297.941</f>
        <v>297.94099999999997</v>
      </c>
      <c r="E505" s="92">
        <f>89.177</f>
        <v>89.177000000000007</v>
      </c>
      <c r="F505" s="83">
        <f>240.302-40-60-100</f>
        <v>40.301999999999992</v>
      </c>
      <c r="G505" s="86">
        <v>40</v>
      </c>
      <c r="H505" s="83">
        <f>60+100</f>
        <v>160</v>
      </c>
      <c r="I505" s="83">
        <f t="shared" si="80"/>
        <v>0</v>
      </c>
      <c r="J505" s="86">
        <v>100</v>
      </c>
      <c r="K505" s="86">
        <v>300</v>
      </c>
      <c r="L505" s="83">
        <f t="shared" si="73"/>
        <v>1150</v>
      </c>
      <c r="M505" s="94">
        <v>600</v>
      </c>
      <c r="N505" s="83">
        <f>100</f>
        <v>100</v>
      </c>
      <c r="O505" s="86">
        <v>240</v>
      </c>
      <c r="P505" s="86">
        <v>40</v>
      </c>
      <c r="Q505" s="86">
        <f t="shared" si="74"/>
        <v>315</v>
      </c>
      <c r="R505" s="86">
        <f t="shared" si="75"/>
        <v>100</v>
      </c>
      <c r="S505" s="83">
        <f t="shared" si="76"/>
        <v>695</v>
      </c>
      <c r="T505" s="83">
        <f>50</f>
        <v>50</v>
      </c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</row>
    <row r="506" spans="1:30" ht="15.75" x14ac:dyDescent="0.25">
      <c r="A506" s="33">
        <v>56339</v>
      </c>
      <c r="B506" s="96">
        <v>31</v>
      </c>
      <c r="C506" s="83">
        <f>122.58</f>
        <v>122.58</v>
      </c>
      <c r="D506" s="83">
        <f>297.941</f>
        <v>297.94099999999997</v>
      </c>
      <c r="E506" s="92">
        <f>89.177</f>
        <v>89.177000000000007</v>
      </c>
      <c r="F506" s="83">
        <f>240.302-40-60-100</f>
        <v>40.301999999999992</v>
      </c>
      <c r="G506" s="86">
        <v>40</v>
      </c>
      <c r="H506" s="83">
        <f>60+100</f>
        <v>160</v>
      </c>
      <c r="I506" s="83">
        <f t="shared" si="80"/>
        <v>0</v>
      </c>
      <c r="J506" s="86">
        <v>100</v>
      </c>
      <c r="K506" s="86">
        <v>300</v>
      </c>
      <c r="L506" s="83">
        <f t="shared" si="73"/>
        <v>1150</v>
      </c>
      <c r="M506" s="94">
        <v>600</v>
      </c>
      <c r="N506" s="83">
        <f>100</f>
        <v>100</v>
      </c>
      <c r="O506" s="86">
        <v>240</v>
      </c>
      <c r="P506" s="86">
        <v>40</v>
      </c>
      <c r="Q506" s="86">
        <f t="shared" si="74"/>
        <v>315</v>
      </c>
      <c r="R506" s="86">
        <f t="shared" si="75"/>
        <v>100</v>
      </c>
      <c r="S506" s="83">
        <f t="shared" si="76"/>
        <v>695</v>
      </c>
      <c r="T506" s="83">
        <f>50</f>
        <v>50</v>
      </c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</row>
    <row r="507" spans="1:30" ht="15.75" x14ac:dyDescent="0.25">
      <c r="A507" s="33">
        <v>56369</v>
      </c>
      <c r="B507" s="96">
        <v>30</v>
      </c>
      <c r="C507" s="83">
        <f>141.293</f>
        <v>141.29300000000001</v>
      </c>
      <c r="D507" s="83">
        <f>267.993</f>
        <v>267.99299999999999</v>
      </c>
      <c r="E507" s="92">
        <f>115.016</f>
        <v>115.01600000000001</v>
      </c>
      <c r="F507" s="83">
        <f>314.698-40-25-60-100</f>
        <v>89.697999999999979</v>
      </c>
      <c r="G507" s="86">
        <v>40</v>
      </c>
      <c r="H507" s="83">
        <f t="shared" ref="H507:H513" si="81">25+60+100</f>
        <v>185</v>
      </c>
      <c r="I507" s="83">
        <f t="shared" si="80"/>
        <v>0</v>
      </c>
      <c r="J507" s="86">
        <v>100</v>
      </c>
      <c r="K507" s="86">
        <v>300</v>
      </c>
      <c r="L507" s="83">
        <f t="shared" si="73"/>
        <v>1239</v>
      </c>
      <c r="M507" s="94">
        <v>600</v>
      </c>
      <c r="N507" s="83">
        <f>100</f>
        <v>100</v>
      </c>
      <c r="O507" s="86">
        <v>240</v>
      </c>
      <c r="P507" s="86">
        <v>160</v>
      </c>
      <c r="Q507" s="86">
        <f t="shared" si="74"/>
        <v>195</v>
      </c>
      <c r="R507" s="86">
        <f t="shared" si="75"/>
        <v>100</v>
      </c>
      <c r="S507" s="83">
        <f t="shared" si="76"/>
        <v>695</v>
      </c>
      <c r="T507" s="83">
        <f>50</f>
        <v>50</v>
      </c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</row>
    <row r="508" spans="1:30" ht="15.75" x14ac:dyDescent="0.25">
      <c r="A508" s="33">
        <v>56400</v>
      </c>
      <c r="B508" s="96">
        <v>31</v>
      </c>
      <c r="C508" s="83">
        <f>194.205</f>
        <v>194.20500000000001</v>
      </c>
      <c r="D508" s="83">
        <f>267.466</f>
        <v>267.46600000000001</v>
      </c>
      <c r="E508" s="92">
        <f>133.845</f>
        <v>133.845</v>
      </c>
      <c r="F508" s="83">
        <f>278.484-40-25-60-100</f>
        <v>53.48399999999998</v>
      </c>
      <c r="G508" s="86">
        <v>40</v>
      </c>
      <c r="H508" s="83">
        <f t="shared" si="81"/>
        <v>185</v>
      </c>
      <c r="I508" s="83">
        <f t="shared" si="80"/>
        <v>0</v>
      </c>
      <c r="J508" s="86">
        <v>100</v>
      </c>
      <c r="K508" s="86">
        <v>300</v>
      </c>
      <c r="L508" s="83">
        <f t="shared" si="73"/>
        <v>1274</v>
      </c>
      <c r="M508" s="94">
        <v>600</v>
      </c>
      <c r="N508" s="83">
        <f>75</f>
        <v>75</v>
      </c>
      <c r="O508" s="86">
        <v>240</v>
      </c>
      <c r="P508" s="86">
        <v>160</v>
      </c>
      <c r="Q508" s="86">
        <f t="shared" si="74"/>
        <v>195</v>
      </c>
      <c r="R508" s="86">
        <f t="shared" si="75"/>
        <v>100</v>
      </c>
      <c r="S508" s="83">
        <f t="shared" si="76"/>
        <v>695</v>
      </c>
      <c r="T508" s="83">
        <f>50</f>
        <v>50</v>
      </c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</row>
    <row r="509" spans="1:30" ht="15.75" x14ac:dyDescent="0.25">
      <c r="A509" s="33">
        <v>56430</v>
      </c>
      <c r="B509" s="96">
        <v>30</v>
      </c>
      <c r="C509" s="83">
        <f>194.205</f>
        <v>194.20500000000001</v>
      </c>
      <c r="D509" s="83">
        <f>267.466</f>
        <v>267.46600000000001</v>
      </c>
      <c r="E509" s="92">
        <f>133.845</f>
        <v>133.845</v>
      </c>
      <c r="F509" s="83">
        <f>278.484-40-25-60-100</f>
        <v>53.48399999999998</v>
      </c>
      <c r="G509" s="86">
        <v>40</v>
      </c>
      <c r="H509" s="83">
        <f t="shared" si="81"/>
        <v>185</v>
      </c>
      <c r="I509" s="83">
        <f t="shared" si="80"/>
        <v>0</v>
      </c>
      <c r="J509" s="86">
        <v>100</v>
      </c>
      <c r="K509" s="86">
        <v>300</v>
      </c>
      <c r="L509" s="83">
        <f t="shared" si="73"/>
        <v>1274</v>
      </c>
      <c r="M509" s="94">
        <v>600</v>
      </c>
      <c r="N509" s="83">
        <f>30</f>
        <v>30</v>
      </c>
      <c r="O509" s="86">
        <v>240</v>
      </c>
      <c r="P509" s="86">
        <v>160</v>
      </c>
      <c r="Q509" s="86">
        <f t="shared" si="74"/>
        <v>195</v>
      </c>
      <c r="R509" s="86">
        <f t="shared" si="75"/>
        <v>100</v>
      </c>
      <c r="S509" s="83">
        <f t="shared" si="76"/>
        <v>695</v>
      </c>
      <c r="T509" s="83">
        <f>50</f>
        <v>50</v>
      </c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</row>
    <row r="510" spans="1:30" ht="15.75" x14ac:dyDescent="0.25">
      <c r="A510" s="33">
        <v>56461</v>
      </c>
      <c r="B510" s="96">
        <v>31</v>
      </c>
      <c r="C510" s="83">
        <f>194.205</f>
        <v>194.20500000000001</v>
      </c>
      <c r="D510" s="83">
        <f>267.466</f>
        <v>267.46600000000001</v>
      </c>
      <c r="E510" s="92">
        <f>133.845</f>
        <v>133.845</v>
      </c>
      <c r="F510" s="83">
        <f>278.484-40-25-60-100</f>
        <v>53.48399999999998</v>
      </c>
      <c r="G510" s="86">
        <v>40</v>
      </c>
      <c r="H510" s="83">
        <f t="shared" si="81"/>
        <v>185</v>
      </c>
      <c r="I510" s="83">
        <f t="shared" si="80"/>
        <v>0</v>
      </c>
      <c r="J510" s="86">
        <v>100</v>
      </c>
      <c r="K510" s="86">
        <v>300</v>
      </c>
      <c r="L510" s="83">
        <f t="shared" si="73"/>
        <v>1274</v>
      </c>
      <c r="M510" s="94">
        <v>600</v>
      </c>
      <c r="N510" s="83">
        <f>30</f>
        <v>30</v>
      </c>
      <c r="O510" s="86">
        <v>240</v>
      </c>
      <c r="P510" s="86">
        <v>160</v>
      </c>
      <c r="Q510" s="86">
        <f t="shared" si="74"/>
        <v>195</v>
      </c>
      <c r="R510" s="86">
        <f t="shared" si="75"/>
        <v>100</v>
      </c>
      <c r="S510" s="83">
        <f t="shared" si="76"/>
        <v>695</v>
      </c>
      <c r="T510" s="83">
        <f>0</f>
        <v>0</v>
      </c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</row>
    <row r="511" spans="1:30" ht="15.75" x14ac:dyDescent="0.25">
      <c r="A511" s="33">
        <v>56492</v>
      </c>
      <c r="B511" s="96">
        <v>31</v>
      </c>
      <c r="C511" s="83">
        <f>194.205</f>
        <v>194.20500000000001</v>
      </c>
      <c r="D511" s="83">
        <f>267.466</f>
        <v>267.46600000000001</v>
      </c>
      <c r="E511" s="92">
        <f>133.845</f>
        <v>133.845</v>
      </c>
      <c r="F511" s="83">
        <f>278.484-40-25-60-100</f>
        <v>53.48399999999998</v>
      </c>
      <c r="G511" s="86">
        <v>40</v>
      </c>
      <c r="H511" s="83">
        <f t="shared" si="81"/>
        <v>185</v>
      </c>
      <c r="I511" s="83">
        <f t="shared" si="80"/>
        <v>0</v>
      </c>
      <c r="J511" s="86">
        <v>100</v>
      </c>
      <c r="K511" s="86">
        <v>300</v>
      </c>
      <c r="L511" s="83">
        <f t="shared" si="73"/>
        <v>1274</v>
      </c>
      <c r="M511" s="94">
        <v>600</v>
      </c>
      <c r="N511" s="83">
        <f>30</f>
        <v>30</v>
      </c>
      <c r="O511" s="86">
        <v>240</v>
      </c>
      <c r="P511" s="86">
        <v>160</v>
      </c>
      <c r="Q511" s="86">
        <f t="shared" si="74"/>
        <v>195</v>
      </c>
      <c r="R511" s="86">
        <f t="shared" si="75"/>
        <v>100</v>
      </c>
      <c r="S511" s="83">
        <f t="shared" si="76"/>
        <v>695</v>
      </c>
      <c r="T511" s="83">
        <f>0</f>
        <v>0</v>
      </c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</row>
    <row r="512" spans="1:30" ht="15.75" x14ac:dyDescent="0.25">
      <c r="A512" s="33">
        <v>56522</v>
      </c>
      <c r="B512" s="96">
        <v>30</v>
      </c>
      <c r="C512" s="83">
        <f>194.205</f>
        <v>194.20500000000001</v>
      </c>
      <c r="D512" s="83">
        <f>267.466</f>
        <v>267.46600000000001</v>
      </c>
      <c r="E512" s="92">
        <f>133.845</f>
        <v>133.845</v>
      </c>
      <c r="F512" s="83">
        <f>278.484-40-25-60-100</f>
        <v>53.48399999999998</v>
      </c>
      <c r="G512" s="86">
        <v>40</v>
      </c>
      <c r="H512" s="83">
        <f t="shared" si="81"/>
        <v>185</v>
      </c>
      <c r="I512" s="83">
        <f t="shared" si="80"/>
        <v>0</v>
      </c>
      <c r="J512" s="86">
        <v>100</v>
      </c>
      <c r="K512" s="86">
        <v>300</v>
      </c>
      <c r="L512" s="83">
        <f t="shared" si="73"/>
        <v>1274</v>
      </c>
      <c r="M512" s="94">
        <v>600</v>
      </c>
      <c r="N512" s="83">
        <f>30</f>
        <v>30</v>
      </c>
      <c r="O512" s="86">
        <v>240</v>
      </c>
      <c r="P512" s="86">
        <v>160</v>
      </c>
      <c r="Q512" s="86">
        <f t="shared" si="74"/>
        <v>195</v>
      </c>
      <c r="R512" s="86">
        <f t="shared" si="75"/>
        <v>100</v>
      </c>
      <c r="S512" s="83">
        <f t="shared" si="76"/>
        <v>695</v>
      </c>
      <c r="T512" s="83">
        <f>0</f>
        <v>0</v>
      </c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</row>
    <row r="513" spans="1:30" ht="15.75" x14ac:dyDescent="0.25">
      <c r="A513" s="33">
        <v>56553</v>
      </c>
      <c r="B513" s="96">
        <v>31</v>
      </c>
      <c r="C513" s="83">
        <f>131.881</f>
        <v>131.881</v>
      </c>
      <c r="D513" s="83">
        <f>277.167</f>
        <v>277.16699999999997</v>
      </c>
      <c r="E513" s="92">
        <f>79.08</f>
        <v>79.08</v>
      </c>
      <c r="F513" s="83">
        <f>350.872-40-25-60-100</f>
        <v>125.87200000000001</v>
      </c>
      <c r="G513" s="86">
        <v>40</v>
      </c>
      <c r="H513" s="83">
        <f t="shared" si="81"/>
        <v>185</v>
      </c>
      <c r="I513" s="83">
        <f t="shared" si="80"/>
        <v>0</v>
      </c>
      <c r="J513" s="86">
        <v>100</v>
      </c>
      <c r="K513" s="86">
        <v>300</v>
      </c>
      <c r="L513" s="83">
        <f t="shared" si="73"/>
        <v>1239</v>
      </c>
      <c r="M513" s="94">
        <v>600</v>
      </c>
      <c r="N513" s="83">
        <f>75</f>
        <v>75</v>
      </c>
      <c r="O513" s="86">
        <v>240</v>
      </c>
      <c r="P513" s="86">
        <v>160</v>
      </c>
      <c r="Q513" s="86">
        <f t="shared" si="74"/>
        <v>195</v>
      </c>
      <c r="R513" s="86">
        <f t="shared" si="75"/>
        <v>100</v>
      </c>
      <c r="S513" s="83">
        <f t="shared" si="76"/>
        <v>695</v>
      </c>
      <c r="T513" s="83">
        <f>0</f>
        <v>0</v>
      </c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</row>
    <row r="514" spans="1:30" ht="15.75" x14ac:dyDescent="0.25">
      <c r="A514" s="33">
        <v>56583</v>
      </c>
      <c r="B514" s="96">
        <v>30</v>
      </c>
      <c r="C514" s="83">
        <f>122.58</f>
        <v>122.58</v>
      </c>
      <c r="D514" s="83">
        <f>297.941</f>
        <v>297.94099999999997</v>
      </c>
      <c r="E514" s="92">
        <f>89.177</f>
        <v>89.177000000000007</v>
      </c>
      <c r="F514" s="83">
        <f>240.302-40-60-100</f>
        <v>40.301999999999992</v>
      </c>
      <c r="G514" s="86">
        <v>40</v>
      </c>
      <c r="H514" s="83">
        <f>60+100</f>
        <v>160</v>
      </c>
      <c r="I514" s="83">
        <f t="shared" si="80"/>
        <v>0</v>
      </c>
      <c r="J514" s="86">
        <v>100</v>
      </c>
      <c r="K514" s="86">
        <v>300</v>
      </c>
      <c r="L514" s="83">
        <f t="shared" si="73"/>
        <v>1150</v>
      </c>
      <c r="M514" s="94">
        <v>600</v>
      </c>
      <c r="N514" s="83">
        <f>100</f>
        <v>100</v>
      </c>
      <c r="O514" s="86">
        <v>240</v>
      </c>
      <c r="P514" s="86">
        <v>40</v>
      </c>
      <c r="Q514" s="86">
        <f t="shared" si="74"/>
        <v>315</v>
      </c>
      <c r="R514" s="86">
        <f t="shared" si="75"/>
        <v>100</v>
      </c>
      <c r="S514" s="83">
        <f t="shared" si="76"/>
        <v>695</v>
      </c>
      <c r="T514" s="83">
        <f>50</f>
        <v>50</v>
      </c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</row>
    <row r="515" spans="1:30" ht="15.75" x14ac:dyDescent="0.25">
      <c r="A515" s="33">
        <v>56614</v>
      </c>
      <c r="B515" s="96">
        <v>31</v>
      </c>
      <c r="C515" s="83">
        <f>122.58</f>
        <v>122.58</v>
      </c>
      <c r="D515" s="83">
        <f>297.941</f>
        <v>297.94099999999997</v>
      </c>
      <c r="E515" s="92">
        <f>89.177</f>
        <v>89.177000000000007</v>
      </c>
      <c r="F515" s="83">
        <f>240.302-40-60-100</f>
        <v>40.301999999999992</v>
      </c>
      <c r="G515" s="86">
        <v>40</v>
      </c>
      <c r="H515" s="83">
        <f>60+100</f>
        <v>160</v>
      </c>
      <c r="I515" s="83">
        <f t="shared" si="80"/>
        <v>0</v>
      </c>
      <c r="J515" s="86">
        <v>100</v>
      </c>
      <c r="K515" s="86">
        <v>300</v>
      </c>
      <c r="L515" s="83">
        <f t="shared" si="73"/>
        <v>1150</v>
      </c>
      <c r="M515" s="94">
        <v>600</v>
      </c>
      <c r="N515" s="83">
        <f>100</f>
        <v>100</v>
      </c>
      <c r="O515" s="86">
        <v>240</v>
      </c>
      <c r="P515" s="86">
        <v>40</v>
      </c>
      <c r="Q515" s="86">
        <f t="shared" si="74"/>
        <v>315</v>
      </c>
      <c r="R515" s="86">
        <f t="shared" si="75"/>
        <v>100</v>
      </c>
      <c r="S515" s="83">
        <f t="shared" si="76"/>
        <v>695</v>
      </c>
      <c r="T515" s="83">
        <f>50</f>
        <v>50</v>
      </c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</row>
    <row r="516" spans="1:30" ht="15.75" x14ac:dyDescent="0.25">
      <c r="A516" s="32">
        <v>56645</v>
      </c>
      <c r="B516" s="95">
        <v>31</v>
      </c>
      <c r="C516" s="83">
        <f>122.58</f>
        <v>122.58</v>
      </c>
      <c r="D516" s="83">
        <f>297.941</f>
        <v>297.94099999999997</v>
      </c>
      <c r="E516" s="92">
        <f>89.177</f>
        <v>89.177000000000007</v>
      </c>
      <c r="F516" s="83">
        <f>240.302-40-60-100</f>
        <v>40.301999999999992</v>
      </c>
      <c r="G516" s="86">
        <v>40</v>
      </c>
      <c r="H516" s="83">
        <f>60+100</f>
        <v>160</v>
      </c>
      <c r="I516" s="83">
        <f t="shared" si="80"/>
        <v>0</v>
      </c>
      <c r="J516" s="86">
        <v>100</v>
      </c>
      <c r="K516" s="86">
        <v>300</v>
      </c>
      <c r="L516" s="83">
        <f t="shared" si="73"/>
        <v>1150</v>
      </c>
      <c r="M516" s="94">
        <v>600</v>
      </c>
      <c r="N516" s="83">
        <f>100</f>
        <v>100</v>
      </c>
      <c r="O516" s="86">
        <v>240</v>
      </c>
      <c r="P516" s="86">
        <v>40</v>
      </c>
      <c r="Q516" s="86">
        <f t="shared" si="74"/>
        <v>315</v>
      </c>
      <c r="R516" s="86">
        <f t="shared" si="75"/>
        <v>100</v>
      </c>
      <c r="S516" s="83">
        <f t="shared" si="76"/>
        <v>695</v>
      </c>
      <c r="T516" s="83">
        <f>50</f>
        <v>50</v>
      </c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</row>
    <row r="517" spans="1:30" ht="15.75" x14ac:dyDescent="0.25">
      <c r="A517" s="32">
        <v>56673</v>
      </c>
      <c r="B517" s="95">
        <v>28</v>
      </c>
      <c r="C517" s="83">
        <f>122.58</f>
        <v>122.58</v>
      </c>
      <c r="D517" s="83">
        <f>297.941</f>
        <v>297.94099999999997</v>
      </c>
      <c r="E517" s="92">
        <f>89.177</f>
        <v>89.177000000000007</v>
      </c>
      <c r="F517" s="83">
        <f>240.302-40-60-100</f>
        <v>40.301999999999992</v>
      </c>
      <c r="G517" s="86">
        <v>40</v>
      </c>
      <c r="H517" s="83">
        <f>60+100</f>
        <v>160</v>
      </c>
      <c r="I517" s="83">
        <f t="shared" si="80"/>
        <v>0</v>
      </c>
      <c r="J517" s="86">
        <v>100</v>
      </c>
      <c r="K517" s="86">
        <v>300</v>
      </c>
      <c r="L517" s="83">
        <f t="shared" si="73"/>
        <v>1150</v>
      </c>
      <c r="M517" s="94">
        <v>600</v>
      </c>
      <c r="N517" s="83">
        <f>100</f>
        <v>100</v>
      </c>
      <c r="O517" s="86">
        <v>240</v>
      </c>
      <c r="P517" s="86">
        <v>40</v>
      </c>
      <c r="Q517" s="86">
        <f t="shared" si="74"/>
        <v>315</v>
      </c>
      <c r="R517" s="86">
        <f t="shared" si="75"/>
        <v>100</v>
      </c>
      <c r="S517" s="83">
        <f t="shared" si="76"/>
        <v>695</v>
      </c>
      <c r="T517" s="83">
        <f>50</f>
        <v>50</v>
      </c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</row>
    <row r="518" spans="1:30" ht="15.75" x14ac:dyDescent="0.25">
      <c r="A518" s="32">
        <v>56704</v>
      </c>
      <c r="B518" s="95">
        <v>31</v>
      </c>
      <c r="C518" s="83">
        <f>122.58</f>
        <v>122.58</v>
      </c>
      <c r="D518" s="83">
        <f>297.941</f>
        <v>297.94099999999997</v>
      </c>
      <c r="E518" s="92">
        <f>89.177</f>
        <v>89.177000000000007</v>
      </c>
      <c r="F518" s="83">
        <f>240.302-40-60-100</f>
        <v>40.301999999999992</v>
      </c>
      <c r="G518" s="86">
        <v>40</v>
      </c>
      <c r="H518" s="83">
        <f>60+100</f>
        <v>160</v>
      </c>
      <c r="I518" s="83">
        <f t="shared" si="80"/>
        <v>0</v>
      </c>
      <c r="J518" s="86">
        <v>100</v>
      </c>
      <c r="K518" s="86">
        <v>300</v>
      </c>
      <c r="L518" s="83">
        <f t="shared" si="73"/>
        <v>1150</v>
      </c>
      <c r="M518" s="94">
        <v>600</v>
      </c>
      <c r="N518" s="83">
        <f>100</f>
        <v>100</v>
      </c>
      <c r="O518" s="86">
        <v>240</v>
      </c>
      <c r="P518" s="86">
        <v>40</v>
      </c>
      <c r="Q518" s="86">
        <f t="shared" si="74"/>
        <v>315</v>
      </c>
      <c r="R518" s="86">
        <f t="shared" si="75"/>
        <v>100</v>
      </c>
      <c r="S518" s="83">
        <f t="shared" si="76"/>
        <v>695</v>
      </c>
      <c r="T518" s="83">
        <f>50</f>
        <v>50</v>
      </c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</row>
    <row r="519" spans="1:30" ht="15.75" x14ac:dyDescent="0.25">
      <c r="A519" s="32">
        <v>56734</v>
      </c>
      <c r="B519" s="95">
        <v>30</v>
      </c>
      <c r="C519" s="83">
        <f>141.293</f>
        <v>141.29300000000001</v>
      </c>
      <c r="D519" s="83">
        <f>267.993</f>
        <v>267.99299999999999</v>
      </c>
      <c r="E519" s="92">
        <f>115.016</f>
        <v>115.01600000000001</v>
      </c>
      <c r="F519" s="83">
        <f>314.698-40-25-60-100</f>
        <v>89.697999999999979</v>
      </c>
      <c r="G519" s="86">
        <v>40</v>
      </c>
      <c r="H519" s="83">
        <f t="shared" ref="H519:H525" si="82">25+60+100</f>
        <v>185</v>
      </c>
      <c r="I519" s="83">
        <f t="shared" si="80"/>
        <v>0</v>
      </c>
      <c r="J519" s="86">
        <v>100</v>
      </c>
      <c r="K519" s="86">
        <v>300</v>
      </c>
      <c r="L519" s="83">
        <f t="shared" si="73"/>
        <v>1239</v>
      </c>
      <c r="M519" s="94">
        <v>600</v>
      </c>
      <c r="N519" s="83">
        <f>100</f>
        <v>100</v>
      </c>
      <c r="O519" s="86">
        <v>240</v>
      </c>
      <c r="P519" s="86">
        <v>160</v>
      </c>
      <c r="Q519" s="86">
        <f t="shared" si="74"/>
        <v>195</v>
      </c>
      <c r="R519" s="86">
        <f t="shared" si="75"/>
        <v>100</v>
      </c>
      <c r="S519" s="83">
        <f t="shared" si="76"/>
        <v>695</v>
      </c>
      <c r="T519" s="83">
        <f>50</f>
        <v>50</v>
      </c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</row>
    <row r="520" spans="1:30" ht="15.75" x14ac:dyDescent="0.25">
      <c r="A520" s="32">
        <v>56765</v>
      </c>
      <c r="B520" s="95">
        <v>31</v>
      </c>
      <c r="C520" s="83">
        <f>194.205</f>
        <v>194.20500000000001</v>
      </c>
      <c r="D520" s="83">
        <f>267.466</f>
        <v>267.46600000000001</v>
      </c>
      <c r="E520" s="92">
        <f>133.845</f>
        <v>133.845</v>
      </c>
      <c r="F520" s="83">
        <f>278.484-40-25-60-100</f>
        <v>53.48399999999998</v>
      </c>
      <c r="G520" s="86">
        <v>40</v>
      </c>
      <c r="H520" s="83">
        <f t="shared" si="82"/>
        <v>185</v>
      </c>
      <c r="I520" s="83">
        <f t="shared" si="80"/>
        <v>0</v>
      </c>
      <c r="J520" s="86">
        <v>100</v>
      </c>
      <c r="K520" s="86">
        <v>300</v>
      </c>
      <c r="L520" s="83">
        <f t="shared" si="73"/>
        <v>1274</v>
      </c>
      <c r="M520" s="94">
        <v>600</v>
      </c>
      <c r="N520" s="83">
        <f>75</f>
        <v>75</v>
      </c>
      <c r="O520" s="86">
        <v>240</v>
      </c>
      <c r="P520" s="86">
        <v>160</v>
      </c>
      <c r="Q520" s="86">
        <f t="shared" si="74"/>
        <v>195</v>
      </c>
      <c r="R520" s="86">
        <f t="shared" si="75"/>
        <v>100</v>
      </c>
      <c r="S520" s="83">
        <f t="shared" si="76"/>
        <v>695</v>
      </c>
      <c r="T520" s="83">
        <f>50</f>
        <v>50</v>
      </c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</row>
    <row r="521" spans="1:30" ht="15.75" x14ac:dyDescent="0.25">
      <c r="A521" s="32">
        <v>56795</v>
      </c>
      <c r="B521" s="95">
        <v>30</v>
      </c>
      <c r="C521" s="83">
        <f>194.205</f>
        <v>194.20500000000001</v>
      </c>
      <c r="D521" s="83">
        <f>267.466</f>
        <v>267.46600000000001</v>
      </c>
      <c r="E521" s="92">
        <f>133.845</f>
        <v>133.845</v>
      </c>
      <c r="F521" s="83">
        <f>278.484-40-25-60-100</f>
        <v>53.48399999999998</v>
      </c>
      <c r="G521" s="86">
        <v>40</v>
      </c>
      <c r="H521" s="83">
        <f t="shared" si="82"/>
        <v>185</v>
      </c>
      <c r="I521" s="83">
        <f t="shared" si="80"/>
        <v>0</v>
      </c>
      <c r="J521" s="86">
        <v>100</v>
      </c>
      <c r="K521" s="86">
        <v>300</v>
      </c>
      <c r="L521" s="83">
        <f t="shared" si="73"/>
        <v>1274</v>
      </c>
      <c r="M521" s="94">
        <v>600</v>
      </c>
      <c r="N521" s="83">
        <f>30</f>
        <v>30</v>
      </c>
      <c r="O521" s="86">
        <v>240</v>
      </c>
      <c r="P521" s="86">
        <v>160</v>
      </c>
      <c r="Q521" s="86">
        <f t="shared" si="74"/>
        <v>195</v>
      </c>
      <c r="R521" s="86">
        <f t="shared" si="75"/>
        <v>100</v>
      </c>
      <c r="S521" s="83">
        <f t="shared" si="76"/>
        <v>695</v>
      </c>
      <c r="T521" s="83">
        <f>50</f>
        <v>50</v>
      </c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</row>
    <row r="522" spans="1:30" ht="15.75" x14ac:dyDescent="0.25">
      <c r="A522" s="32">
        <v>56826</v>
      </c>
      <c r="B522" s="95">
        <v>31</v>
      </c>
      <c r="C522" s="83">
        <f>194.205</f>
        <v>194.20500000000001</v>
      </c>
      <c r="D522" s="83">
        <f>267.466</f>
        <v>267.46600000000001</v>
      </c>
      <c r="E522" s="92">
        <f>133.845</f>
        <v>133.845</v>
      </c>
      <c r="F522" s="83">
        <f>278.484-40-25-60-100</f>
        <v>53.48399999999998</v>
      </c>
      <c r="G522" s="86">
        <v>40</v>
      </c>
      <c r="H522" s="83">
        <f t="shared" si="82"/>
        <v>185</v>
      </c>
      <c r="I522" s="83">
        <f t="shared" si="80"/>
        <v>0</v>
      </c>
      <c r="J522" s="86">
        <v>100</v>
      </c>
      <c r="K522" s="86">
        <v>300</v>
      </c>
      <c r="L522" s="83">
        <f t="shared" si="73"/>
        <v>1274</v>
      </c>
      <c r="M522" s="94">
        <v>600</v>
      </c>
      <c r="N522" s="83">
        <f>30</f>
        <v>30</v>
      </c>
      <c r="O522" s="86">
        <v>240</v>
      </c>
      <c r="P522" s="86">
        <v>160</v>
      </c>
      <c r="Q522" s="86">
        <f t="shared" si="74"/>
        <v>195</v>
      </c>
      <c r="R522" s="86">
        <f t="shared" si="75"/>
        <v>100</v>
      </c>
      <c r="S522" s="83">
        <f t="shared" si="76"/>
        <v>695</v>
      </c>
      <c r="T522" s="83">
        <f>0</f>
        <v>0</v>
      </c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</row>
    <row r="523" spans="1:30" ht="15.75" x14ac:dyDescent="0.25">
      <c r="A523" s="32">
        <v>56857</v>
      </c>
      <c r="B523" s="95">
        <v>31</v>
      </c>
      <c r="C523" s="83">
        <f>194.205</f>
        <v>194.20500000000001</v>
      </c>
      <c r="D523" s="83">
        <f>267.466</f>
        <v>267.46600000000001</v>
      </c>
      <c r="E523" s="92">
        <f>133.845</f>
        <v>133.845</v>
      </c>
      <c r="F523" s="83">
        <f>278.484-40-25-60-100</f>
        <v>53.48399999999998</v>
      </c>
      <c r="G523" s="86">
        <v>40</v>
      </c>
      <c r="H523" s="83">
        <f t="shared" si="82"/>
        <v>185</v>
      </c>
      <c r="I523" s="83">
        <f t="shared" si="80"/>
        <v>0</v>
      </c>
      <c r="J523" s="86">
        <v>100</v>
      </c>
      <c r="K523" s="86">
        <v>300</v>
      </c>
      <c r="L523" s="83">
        <f t="shared" si="73"/>
        <v>1274</v>
      </c>
      <c r="M523" s="94">
        <v>600</v>
      </c>
      <c r="N523" s="83">
        <f>30</f>
        <v>30</v>
      </c>
      <c r="O523" s="86">
        <v>240</v>
      </c>
      <c r="P523" s="86">
        <v>160</v>
      </c>
      <c r="Q523" s="86">
        <f t="shared" si="74"/>
        <v>195</v>
      </c>
      <c r="R523" s="86">
        <f t="shared" si="75"/>
        <v>100</v>
      </c>
      <c r="S523" s="83">
        <f t="shared" si="76"/>
        <v>695</v>
      </c>
      <c r="T523" s="83">
        <f>0</f>
        <v>0</v>
      </c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</row>
    <row r="524" spans="1:30" ht="15.75" x14ac:dyDescent="0.25">
      <c r="A524" s="32">
        <v>56887</v>
      </c>
      <c r="B524" s="95">
        <v>30</v>
      </c>
      <c r="C524" s="83">
        <f>194.205</f>
        <v>194.20500000000001</v>
      </c>
      <c r="D524" s="83">
        <f>267.466</f>
        <v>267.46600000000001</v>
      </c>
      <c r="E524" s="92">
        <f>133.845</f>
        <v>133.845</v>
      </c>
      <c r="F524" s="83">
        <f>278.484-40-25-60-100</f>
        <v>53.48399999999998</v>
      </c>
      <c r="G524" s="86">
        <v>40</v>
      </c>
      <c r="H524" s="83">
        <f t="shared" si="82"/>
        <v>185</v>
      </c>
      <c r="I524" s="83">
        <f t="shared" si="80"/>
        <v>0</v>
      </c>
      <c r="J524" s="86">
        <v>100</v>
      </c>
      <c r="K524" s="86">
        <v>300</v>
      </c>
      <c r="L524" s="83">
        <f t="shared" si="73"/>
        <v>1274</v>
      </c>
      <c r="M524" s="94">
        <v>600</v>
      </c>
      <c r="N524" s="83">
        <f>30</f>
        <v>30</v>
      </c>
      <c r="O524" s="86">
        <v>240</v>
      </c>
      <c r="P524" s="86">
        <v>160</v>
      </c>
      <c r="Q524" s="86">
        <f t="shared" si="74"/>
        <v>195</v>
      </c>
      <c r="R524" s="86">
        <f t="shared" si="75"/>
        <v>100</v>
      </c>
      <c r="S524" s="83">
        <f t="shared" si="76"/>
        <v>695</v>
      </c>
      <c r="T524" s="83">
        <f>0</f>
        <v>0</v>
      </c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</row>
    <row r="525" spans="1:30" ht="15.75" x14ac:dyDescent="0.25">
      <c r="A525" s="32">
        <v>56918</v>
      </c>
      <c r="B525" s="95">
        <v>31</v>
      </c>
      <c r="C525" s="83">
        <f>131.881</f>
        <v>131.881</v>
      </c>
      <c r="D525" s="83">
        <f>277.167</f>
        <v>277.16699999999997</v>
      </c>
      <c r="E525" s="92">
        <f>79.08</f>
        <v>79.08</v>
      </c>
      <c r="F525" s="83">
        <f>350.872-40-25-60-100</f>
        <v>125.87200000000001</v>
      </c>
      <c r="G525" s="86">
        <v>40</v>
      </c>
      <c r="H525" s="83">
        <f t="shared" si="82"/>
        <v>185</v>
      </c>
      <c r="I525" s="83">
        <f t="shared" si="80"/>
        <v>0</v>
      </c>
      <c r="J525" s="86">
        <v>100</v>
      </c>
      <c r="K525" s="86">
        <v>300</v>
      </c>
      <c r="L525" s="83">
        <f t="shared" si="73"/>
        <v>1239</v>
      </c>
      <c r="M525" s="94">
        <v>600</v>
      </c>
      <c r="N525" s="83">
        <f>75</f>
        <v>75</v>
      </c>
      <c r="O525" s="86">
        <v>240</v>
      </c>
      <c r="P525" s="86">
        <v>160</v>
      </c>
      <c r="Q525" s="86">
        <f t="shared" si="74"/>
        <v>195</v>
      </c>
      <c r="R525" s="86">
        <f t="shared" si="75"/>
        <v>100</v>
      </c>
      <c r="S525" s="83">
        <f t="shared" si="76"/>
        <v>695</v>
      </c>
      <c r="T525" s="83">
        <f>0</f>
        <v>0</v>
      </c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</row>
    <row r="526" spans="1:30" ht="15.75" x14ac:dyDescent="0.25">
      <c r="A526" s="32">
        <v>56948</v>
      </c>
      <c r="B526" s="95">
        <v>30</v>
      </c>
      <c r="C526" s="83">
        <f>122.58</f>
        <v>122.58</v>
      </c>
      <c r="D526" s="83">
        <f>297.941</f>
        <v>297.94099999999997</v>
      </c>
      <c r="E526" s="92">
        <f>89.177</f>
        <v>89.177000000000007</v>
      </c>
      <c r="F526" s="83">
        <f>240.302-40-60-100</f>
        <v>40.301999999999992</v>
      </c>
      <c r="G526" s="86">
        <v>40</v>
      </c>
      <c r="H526" s="83">
        <f>60+100</f>
        <v>160</v>
      </c>
      <c r="I526" s="83">
        <f t="shared" si="80"/>
        <v>0</v>
      </c>
      <c r="J526" s="86">
        <v>100</v>
      </c>
      <c r="K526" s="86">
        <v>300</v>
      </c>
      <c r="L526" s="83">
        <f t="shared" si="73"/>
        <v>1150</v>
      </c>
      <c r="M526" s="94">
        <v>600</v>
      </c>
      <c r="N526" s="83">
        <f>100</f>
        <v>100</v>
      </c>
      <c r="O526" s="86">
        <v>240</v>
      </c>
      <c r="P526" s="86">
        <v>40</v>
      </c>
      <c r="Q526" s="86">
        <f t="shared" si="74"/>
        <v>315</v>
      </c>
      <c r="R526" s="86">
        <f t="shared" si="75"/>
        <v>100</v>
      </c>
      <c r="S526" s="83">
        <f t="shared" si="76"/>
        <v>695</v>
      </c>
      <c r="T526" s="83">
        <f>50</f>
        <v>50</v>
      </c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</row>
    <row r="527" spans="1:30" ht="15.75" x14ac:dyDescent="0.25">
      <c r="A527" s="32">
        <v>56979</v>
      </c>
      <c r="B527" s="95">
        <v>31</v>
      </c>
      <c r="C527" s="83">
        <f>122.58</f>
        <v>122.58</v>
      </c>
      <c r="D527" s="83">
        <f>297.941</f>
        <v>297.94099999999997</v>
      </c>
      <c r="E527" s="92">
        <f>89.177</f>
        <v>89.177000000000007</v>
      </c>
      <c r="F527" s="83">
        <f>240.302-40-60-100</f>
        <v>40.301999999999992</v>
      </c>
      <c r="G527" s="86">
        <v>40</v>
      </c>
      <c r="H527" s="83">
        <f>60+100</f>
        <v>160</v>
      </c>
      <c r="I527" s="83">
        <f t="shared" si="80"/>
        <v>0</v>
      </c>
      <c r="J527" s="86">
        <v>100</v>
      </c>
      <c r="K527" s="86">
        <v>300</v>
      </c>
      <c r="L527" s="83">
        <f t="shared" si="73"/>
        <v>1150</v>
      </c>
      <c r="M527" s="94">
        <v>600</v>
      </c>
      <c r="N527" s="83">
        <f>100</f>
        <v>100</v>
      </c>
      <c r="O527" s="86">
        <v>240</v>
      </c>
      <c r="P527" s="86">
        <v>40</v>
      </c>
      <c r="Q527" s="86">
        <f t="shared" si="74"/>
        <v>315</v>
      </c>
      <c r="R527" s="86">
        <f t="shared" si="75"/>
        <v>100</v>
      </c>
      <c r="S527" s="83">
        <f t="shared" si="76"/>
        <v>695</v>
      </c>
      <c r="T527" s="83">
        <f>50</f>
        <v>50</v>
      </c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</row>
    <row r="528" spans="1:30" ht="15.75" x14ac:dyDescent="0.25">
      <c r="A528" s="32">
        <v>57010</v>
      </c>
      <c r="B528" s="95">
        <v>31</v>
      </c>
      <c r="C528" s="83">
        <f>122.58</f>
        <v>122.58</v>
      </c>
      <c r="D528" s="83">
        <f>297.941</f>
        <v>297.94099999999997</v>
      </c>
      <c r="E528" s="92">
        <f>89.177</f>
        <v>89.177000000000007</v>
      </c>
      <c r="F528" s="83">
        <f>240.302-40-60-100</f>
        <v>40.301999999999992</v>
      </c>
      <c r="G528" s="86">
        <v>40</v>
      </c>
      <c r="H528" s="83">
        <f>60+100</f>
        <v>160</v>
      </c>
      <c r="I528" s="83">
        <f t="shared" si="80"/>
        <v>0</v>
      </c>
      <c r="J528" s="86">
        <v>100</v>
      </c>
      <c r="K528" s="86">
        <v>300</v>
      </c>
      <c r="L528" s="83">
        <f t="shared" si="73"/>
        <v>1150</v>
      </c>
      <c r="M528" s="94">
        <v>600</v>
      </c>
      <c r="N528" s="83">
        <f>100</f>
        <v>100</v>
      </c>
      <c r="O528" s="86">
        <v>240</v>
      </c>
      <c r="P528" s="86">
        <v>40</v>
      </c>
      <c r="Q528" s="86">
        <f t="shared" si="74"/>
        <v>315</v>
      </c>
      <c r="R528" s="86">
        <f t="shared" si="75"/>
        <v>100</v>
      </c>
      <c r="S528" s="83">
        <f t="shared" si="76"/>
        <v>695</v>
      </c>
      <c r="T528" s="83">
        <f>50</f>
        <v>50</v>
      </c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</row>
    <row r="529" spans="1:30" ht="15.75" x14ac:dyDescent="0.25">
      <c r="A529" s="32">
        <v>57038</v>
      </c>
      <c r="B529" s="95">
        <v>29</v>
      </c>
      <c r="C529" s="83">
        <f>122.58</f>
        <v>122.58</v>
      </c>
      <c r="D529" s="83">
        <f>297.941</f>
        <v>297.94099999999997</v>
      </c>
      <c r="E529" s="92">
        <f>89.177</f>
        <v>89.177000000000007</v>
      </c>
      <c r="F529" s="83">
        <f>240.302-40-60-100</f>
        <v>40.301999999999992</v>
      </c>
      <c r="G529" s="86">
        <v>40</v>
      </c>
      <c r="H529" s="83">
        <f>60+100</f>
        <v>160</v>
      </c>
      <c r="I529" s="83">
        <f t="shared" si="80"/>
        <v>0</v>
      </c>
      <c r="J529" s="86">
        <v>100</v>
      </c>
      <c r="K529" s="86">
        <v>300</v>
      </c>
      <c r="L529" s="83">
        <f t="shared" si="73"/>
        <v>1150</v>
      </c>
      <c r="M529" s="94">
        <v>600</v>
      </c>
      <c r="N529" s="83">
        <f>100</f>
        <v>100</v>
      </c>
      <c r="O529" s="86">
        <v>240</v>
      </c>
      <c r="P529" s="86">
        <v>40</v>
      </c>
      <c r="Q529" s="86">
        <f t="shared" si="74"/>
        <v>315</v>
      </c>
      <c r="R529" s="86">
        <f t="shared" si="75"/>
        <v>100</v>
      </c>
      <c r="S529" s="83">
        <f t="shared" si="76"/>
        <v>695</v>
      </c>
      <c r="T529" s="83">
        <f>50</f>
        <v>50</v>
      </c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</row>
    <row r="530" spans="1:30" ht="15.75" x14ac:dyDescent="0.25">
      <c r="A530" s="32">
        <v>57070</v>
      </c>
      <c r="B530" s="95">
        <v>31</v>
      </c>
      <c r="C530" s="83">
        <f>122.58</f>
        <v>122.58</v>
      </c>
      <c r="D530" s="83">
        <f>297.941</f>
        <v>297.94099999999997</v>
      </c>
      <c r="E530" s="92">
        <f>89.177</f>
        <v>89.177000000000007</v>
      </c>
      <c r="F530" s="83">
        <f>240.302-40-60-100</f>
        <v>40.301999999999992</v>
      </c>
      <c r="G530" s="86">
        <v>40</v>
      </c>
      <c r="H530" s="83">
        <f>60+100</f>
        <v>160</v>
      </c>
      <c r="I530" s="83">
        <f t="shared" si="80"/>
        <v>0</v>
      </c>
      <c r="J530" s="86">
        <v>100</v>
      </c>
      <c r="K530" s="86">
        <v>300</v>
      </c>
      <c r="L530" s="83">
        <f t="shared" si="73"/>
        <v>1150</v>
      </c>
      <c r="M530" s="94">
        <v>600</v>
      </c>
      <c r="N530" s="83">
        <f>100</f>
        <v>100</v>
      </c>
      <c r="O530" s="86">
        <v>240</v>
      </c>
      <c r="P530" s="86">
        <v>40</v>
      </c>
      <c r="Q530" s="86">
        <f t="shared" si="74"/>
        <v>315</v>
      </c>
      <c r="R530" s="86">
        <f t="shared" si="75"/>
        <v>100</v>
      </c>
      <c r="S530" s="83">
        <f t="shared" si="76"/>
        <v>695</v>
      </c>
      <c r="T530" s="83">
        <f>50</f>
        <v>50</v>
      </c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</row>
    <row r="531" spans="1:30" ht="15.75" x14ac:dyDescent="0.25">
      <c r="A531" s="32">
        <v>57100</v>
      </c>
      <c r="B531" s="95">
        <v>30</v>
      </c>
      <c r="C531" s="83">
        <f>141.293</f>
        <v>141.29300000000001</v>
      </c>
      <c r="D531" s="83">
        <f>267.993</f>
        <v>267.99299999999999</v>
      </c>
      <c r="E531" s="92">
        <f>115.016</f>
        <v>115.01600000000001</v>
      </c>
      <c r="F531" s="83">
        <f>314.698-40-25-60-100</f>
        <v>89.697999999999979</v>
      </c>
      <c r="G531" s="86">
        <v>40</v>
      </c>
      <c r="H531" s="83">
        <f t="shared" ref="H531:H537" si="83">25+60+100</f>
        <v>185</v>
      </c>
      <c r="I531" s="83">
        <f t="shared" si="80"/>
        <v>0</v>
      </c>
      <c r="J531" s="86">
        <v>100</v>
      </c>
      <c r="K531" s="86">
        <v>300</v>
      </c>
      <c r="L531" s="83">
        <f t="shared" si="73"/>
        <v>1239</v>
      </c>
      <c r="M531" s="94">
        <v>600</v>
      </c>
      <c r="N531" s="83">
        <f>100</f>
        <v>100</v>
      </c>
      <c r="O531" s="86">
        <v>240</v>
      </c>
      <c r="P531" s="86">
        <v>160</v>
      </c>
      <c r="Q531" s="86">
        <f t="shared" si="74"/>
        <v>195</v>
      </c>
      <c r="R531" s="86">
        <f t="shared" si="75"/>
        <v>100</v>
      </c>
      <c r="S531" s="83">
        <f t="shared" si="76"/>
        <v>695</v>
      </c>
      <c r="T531" s="83">
        <f>50</f>
        <v>50</v>
      </c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</row>
    <row r="532" spans="1:30" ht="15.75" x14ac:dyDescent="0.25">
      <c r="A532" s="32">
        <v>57131</v>
      </c>
      <c r="B532" s="95">
        <v>31</v>
      </c>
      <c r="C532" s="83">
        <f>194.205</f>
        <v>194.20500000000001</v>
      </c>
      <c r="D532" s="83">
        <f>267.466</f>
        <v>267.46600000000001</v>
      </c>
      <c r="E532" s="92">
        <f>133.845</f>
        <v>133.845</v>
      </c>
      <c r="F532" s="83">
        <f>278.484-40-25-60-100</f>
        <v>53.48399999999998</v>
      </c>
      <c r="G532" s="86">
        <v>40</v>
      </c>
      <c r="H532" s="83">
        <f t="shared" si="83"/>
        <v>185</v>
      </c>
      <c r="I532" s="83">
        <f t="shared" si="80"/>
        <v>0</v>
      </c>
      <c r="J532" s="86">
        <v>100</v>
      </c>
      <c r="K532" s="86">
        <v>300</v>
      </c>
      <c r="L532" s="83">
        <f t="shared" si="73"/>
        <v>1274</v>
      </c>
      <c r="M532" s="94">
        <v>600</v>
      </c>
      <c r="N532" s="83">
        <f>75</f>
        <v>75</v>
      </c>
      <c r="O532" s="86">
        <v>240</v>
      </c>
      <c r="P532" s="86">
        <v>160</v>
      </c>
      <c r="Q532" s="86">
        <f t="shared" si="74"/>
        <v>195</v>
      </c>
      <c r="R532" s="86">
        <f t="shared" si="75"/>
        <v>100</v>
      </c>
      <c r="S532" s="83">
        <f t="shared" si="76"/>
        <v>695</v>
      </c>
      <c r="T532" s="83">
        <f>50</f>
        <v>50</v>
      </c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</row>
    <row r="533" spans="1:30" ht="15.75" x14ac:dyDescent="0.25">
      <c r="A533" s="32">
        <v>57161</v>
      </c>
      <c r="B533" s="95">
        <v>30</v>
      </c>
      <c r="C533" s="83">
        <f>194.205</f>
        <v>194.20500000000001</v>
      </c>
      <c r="D533" s="83">
        <f>267.466</f>
        <v>267.46600000000001</v>
      </c>
      <c r="E533" s="92">
        <f>133.845</f>
        <v>133.845</v>
      </c>
      <c r="F533" s="83">
        <f>278.484-40-25-60-100</f>
        <v>53.48399999999998</v>
      </c>
      <c r="G533" s="86">
        <v>40</v>
      </c>
      <c r="H533" s="83">
        <f t="shared" si="83"/>
        <v>185</v>
      </c>
      <c r="I533" s="83">
        <f t="shared" si="80"/>
        <v>0</v>
      </c>
      <c r="J533" s="86">
        <v>100</v>
      </c>
      <c r="K533" s="86">
        <v>300</v>
      </c>
      <c r="L533" s="83">
        <f t="shared" si="73"/>
        <v>1274</v>
      </c>
      <c r="M533" s="94">
        <v>600</v>
      </c>
      <c r="N533" s="83">
        <f>30</f>
        <v>30</v>
      </c>
      <c r="O533" s="86">
        <v>240</v>
      </c>
      <c r="P533" s="86">
        <v>160</v>
      </c>
      <c r="Q533" s="86">
        <f t="shared" si="74"/>
        <v>195</v>
      </c>
      <c r="R533" s="86">
        <f t="shared" si="75"/>
        <v>100</v>
      </c>
      <c r="S533" s="83">
        <f t="shared" si="76"/>
        <v>695</v>
      </c>
      <c r="T533" s="83">
        <f>50</f>
        <v>50</v>
      </c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</row>
    <row r="534" spans="1:30" ht="15.75" x14ac:dyDescent="0.25">
      <c r="A534" s="32">
        <v>57192</v>
      </c>
      <c r="B534" s="95">
        <v>31</v>
      </c>
      <c r="C534" s="83">
        <f>194.205</f>
        <v>194.20500000000001</v>
      </c>
      <c r="D534" s="83">
        <f>267.466</f>
        <v>267.46600000000001</v>
      </c>
      <c r="E534" s="92">
        <f>133.845</f>
        <v>133.845</v>
      </c>
      <c r="F534" s="83">
        <f>278.484-40-25-60-100</f>
        <v>53.48399999999998</v>
      </c>
      <c r="G534" s="86">
        <v>40</v>
      </c>
      <c r="H534" s="83">
        <f t="shared" si="83"/>
        <v>185</v>
      </c>
      <c r="I534" s="83">
        <f t="shared" si="80"/>
        <v>0</v>
      </c>
      <c r="J534" s="86">
        <v>100</v>
      </c>
      <c r="K534" s="86">
        <v>300</v>
      </c>
      <c r="L534" s="83">
        <f t="shared" ref="L534:L597" si="84">SUM(C534:K534)</f>
        <v>1274</v>
      </c>
      <c r="M534" s="94">
        <v>600</v>
      </c>
      <c r="N534" s="83">
        <f>30</f>
        <v>30</v>
      </c>
      <c r="O534" s="86">
        <v>240</v>
      </c>
      <c r="P534" s="86">
        <v>160</v>
      </c>
      <c r="Q534" s="86">
        <f t="shared" ref="Q534:Q597" si="85">695-R534-O534-P534</f>
        <v>195</v>
      </c>
      <c r="R534" s="86">
        <f t="shared" ref="R534:R597" si="86">200-J534</f>
        <v>100</v>
      </c>
      <c r="S534" s="83">
        <f t="shared" ref="S534:S597" si="87">SUM(O534:R534)</f>
        <v>695</v>
      </c>
      <c r="T534" s="83">
        <f>0</f>
        <v>0</v>
      </c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</row>
    <row r="535" spans="1:30" ht="15.75" x14ac:dyDescent="0.25">
      <c r="A535" s="32">
        <v>57223</v>
      </c>
      <c r="B535" s="95">
        <v>31</v>
      </c>
      <c r="C535" s="83">
        <f>194.205</f>
        <v>194.20500000000001</v>
      </c>
      <c r="D535" s="83">
        <f>267.466</f>
        <v>267.46600000000001</v>
      </c>
      <c r="E535" s="92">
        <f>133.845</f>
        <v>133.845</v>
      </c>
      <c r="F535" s="83">
        <f>278.484-40-25-60-100</f>
        <v>53.48399999999998</v>
      </c>
      <c r="G535" s="86">
        <v>40</v>
      </c>
      <c r="H535" s="83">
        <f t="shared" si="83"/>
        <v>185</v>
      </c>
      <c r="I535" s="83">
        <f t="shared" si="80"/>
        <v>0</v>
      </c>
      <c r="J535" s="86">
        <v>100</v>
      </c>
      <c r="K535" s="86">
        <v>300</v>
      </c>
      <c r="L535" s="83">
        <f t="shared" si="84"/>
        <v>1274</v>
      </c>
      <c r="M535" s="94">
        <v>600</v>
      </c>
      <c r="N535" s="83">
        <f>30</f>
        <v>30</v>
      </c>
      <c r="O535" s="86">
        <v>240</v>
      </c>
      <c r="P535" s="86">
        <v>160</v>
      </c>
      <c r="Q535" s="86">
        <f t="shared" si="85"/>
        <v>195</v>
      </c>
      <c r="R535" s="86">
        <f t="shared" si="86"/>
        <v>100</v>
      </c>
      <c r="S535" s="83">
        <f t="shared" si="87"/>
        <v>695</v>
      </c>
      <c r="T535" s="83">
        <f>0</f>
        <v>0</v>
      </c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</row>
    <row r="536" spans="1:30" ht="15.75" x14ac:dyDescent="0.25">
      <c r="A536" s="32">
        <v>57253</v>
      </c>
      <c r="B536" s="95">
        <v>30</v>
      </c>
      <c r="C536" s="83">
        <f>194.205</f>
        <v>194.20500000000001</v>
      </c>
      <c r="D536" s="83">
        <f>267.466</f>
        <v>267.46600000000001</v>
      </c>
      <c r="E536" s="92">
        <f>133.845</f>
        <v>133.845</v>
      </c>
      <c r="F536" s="83">
        <f>278.484-40-25-60-100</f>
        <v>53.48399999999998</v>
      </c>
      <c r="G536" s="86">
        <v>40</v>
      </c>
      <c r="H536" s="83">
        <f t="shared" si="83"/>
        <v>185</v>
      </c>
      <c r="I536" s="83">
        <f t="shared" si="80"/>
        <v>0</v>
      </c>
      <c r="J536" s="86">
        <v>100</v>
      </c>
      <c r="K536" s="86">
        <v>300</v>
      </c>
      <c r="L536" s="83">
        <f t="shared" si="84"/>
        <v>1274</v>
      </c>
      <c r="M536" s="94">
        <v>600</v>
      </c>
      <c r="N536" s="83">
        <f>30</f>
        <v>30</v>
      </c>
      <c r="O536" s="86">
        <v>240</v>
      </c>
      <c r="P536" s="86">
        <v>160</v>
      </c>
      <c r="Q536" s="86">
        <f t="shared" si="85"/>
        <v>195</v>
      </c>
      <c r="R536" s="86">
        <f t="shared" si="86"/>
        <v>100</v>
      </c>
      <c r="S536" s="83">
        <f t="shared" si="87"/>
        <v>695</v>
      </c>
      <c r="T536" s="83">
        <f>0</f>
        <v>0</v>
      </c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</row>
    <row r="537" spans="1:30" ht="15.75" x14ac:dyDescent="0.25">
      <c r="A537" s="32">
        <v>57284</v>
      </c>
      <c r="B537" s="95">
        <v>31</v>
      </c>
      <c r="C537" s="83">
        <f>131.881</f>
        <v>131.881</v>
      </c>
      <c r="D537" s="83">
        <f>277.167</f>
        <v>277.16699999999997</v>
      </c>
      <c r="E537" s="92">
        <f>79.08</f>
        <v>79.08</v>
      </c>
      <c r="F537" s="83">
        <f>350.872-40-25-60-100</f>
        <v>125.87200000000001</v>
      </c>
      <c r="G537" s="86">
        <v>40</v>
      </c>
      <c r="H537" s="83">
        <f t="shared" si="83"/>
        <v>185</v>
      </c>
      <c r="I537" s="83">
        <f t="shared" si="80"/>
        <v>0</v>
      </c>
      <c r="J537" s="86">
        <v>100</v>
      </c>
      <c r="K537" s="86">
        <v>300</v>
      </c>
      <c r="L537" s="83">
        <f t="shared" si="84"/>
        <v>1239</v>
      </c>
      <c r="M537" s="94">
        <v>600</v>
      </c>
      <c r="N537" s="83">
        <f>75</f>
        <v>75</v>
      </c>
      <c r="O537" s="86">
        <v>240</v>
      </c>
      <c r="P537" s="86">
        <v>160</v>
      </c>
      <c r="Q537" s="86">
        <f t="shared" si="85"/>
        <v>195</v>
      </c>
      <c r="R537" s="86">
        <f t="shared" si="86"/>
        <v>100</v>
      </c>
      <c r="S537" s="83">
        <f t="shared" si="87"/>
        <v>695</v>
      </c>
      <c r="T537" s="83">
        <f>0</f>
        <v>0</v>
      </c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</row>
    <row r="538" spans="1:30" ht="15.75" x14ac:dyDescent="0.25">
      <c r="A538" s="32">
        <v>57314</v>
      </c>
      <c r="B538" s="95">
        <v>30</v>
      </c>
      <c r="C538" s="83">
        <f>122.58</f>
        <v>122.58</v>
      </c>
      <c r="D538" s="83">
        <f>297.941</f>
        <v>297.94099999999997</v>
      </c>
      <c r="E538" s="92">
        <f>89.177</f>
        <v>89.177000000000007</v>
      </c>
      <c r="F538" s="83">
        <f>240.302-40-60-100</f>
        <v>40.301999999999992</v>
      </c>
      <c r="G538" s="86">
        <v>40</v>
      </c>
      <c r="H538" s="83">
        <f>60+100</f>
        <v>160</v>
      </c>
      <c r="I538" s="83">
        <f t="shared" si="80"/>
        <v>0</v>
      </c>
      <c r="J538" s="86">
        <v>100</v>
      </c>
      <c r="K538" s="86">
        <v>300</v>
      </c>
      <c r="L538" s="83">
        <f t="shared" si="84"/>
        <v>1150</v>
      </c>
      <c r="M538" s="94">
        <v>600</v>
      </c>
      <c r="N538" s="83">
        <f>100</f>
        <v>100</v>
      </c>
      <c r="O538" s="86">
        <v>240</v>
      </c>
      <c r="P538" s="86">
        <v>40</v>
      </c>
      <c r="Q538" s="86">
        <f t="shared" si="85"/>
        <v>315</v>
      </c>
      <c r="R538" s="86">
        <f t="shared" si="86"/>
        <v>100</v>
      </c>
      <c r="S538" s="83">
        <f t="shared" si="87"/>
        <v>695</v>
      </c>
      <c r="T538" s="83">
        <f>50</f>
        <v>50</v>
      </c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</row>
    <row r="539" spans="1:30" ht="15.75" x14ac:dyDescent="0.25">
      <c r="A539" s="32">
        <v>57345</v>
      </c>
      <c r="B539" s="95">
        <v>31</v>
      </c>
      <c r="C539" s="83">
        <f>122.58</f>
        <v>122.58</v>
      </c>
      <c r="D539" s="83">
        <f>297.941</f>
        <v>297.94099999999997</v>
      </c>
      <c r="E539" s="92">
        <f>89.177</f>
        <v>89.177000000000007</v>
      </c>
      <c r="F539" s="83">
        <f>240.302-40-60-100</f>
        <v>40.301999999999992</v>
      </c>
      <c r="G539" s="86">
        <v>40</v>
      </c>
      <c r="H539" s="83">
        <f>60+100</f>
        <v>160</v>
      </c>
      <c r="I539" s="83">
        <f t="shared" si="80"/>
        <v>0</v>
      </c>
      <c r="J539" s="86">
        <v>100</v>
      </c>
      <c r="K539" s="86">
        <v>300</v>
      </c>
      <c r="L539" s="83">
        <f t="shared" si="84"/>
        <v>1150</v>
      </c>
      <c r="M539" s="94">
        <v>600</v>
      </c>
      <c r="N539" s="83">
        <f>100</f>
        <v>100</v>
      </c>
      <c r="O539" s="86">
        <v>240</v>
      </c>
      <c r="P539" s="86">
        <v>40</v>
      </c>
      <c r="Q539" s="86">
        <f t="shared" si="85"/>
        <v>315</v>
      </c>
      <c r="R539" s="86">
        <f t="shared" si="86"/>
        <v>100</v>
      </c>
      <c r="S539" s="83">
        <f t="shared" si="87"/>
        <v>695</v>
      </c>
      <c r="T539" s="83">
        <f>50</f>
        <v>50</v>
      </c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</row>
    <row r="540" spans="1:30" ht="15.75" x14ac:dyDescent="0.25">
      <c r="A540" s="32">
        <v>57376</v>
      </c>
      <c r="B540" s="95">
        <v>31</v>
      </c>
      <c r="C540" s="83">
        <f>122.58</f>
        <v>122.58</v>
      </c>
      <c r="D540" s="83">
        <f>297.941</f>
        <v>297.94099999999997</v>
      </c>
      <c r="E540" s="92">
        <f>89.177</f>
        <v>89.177000000000007</v>
      </c>
      <c r="F540" s="83">
        <f>240.302-40-60-100</f>
        <v>40.301999999999992</v>
      </c>
      <c r="G540" s="86">
        <v>40</v>
      </c>
      <c r="H540" s="83">
        <f>60+100</f>
        <v>160</v>
      </c>
      <c r="I540" s="83">
        <f t="shared" si="80"/>
        <v>0</v>
      </c>
      <c r="J540" s="86">
        <v>100</v>
      </c>
      <c r="K540" s="86">
        <v>300</v>
      </c>
      <c r="L540" s="83">
        <f t="shared" si="84"/>
        <v>1150</v>
      </c>
      <c r="M540" s="94">
        <v>600</v>
      </c>
      <c r="N540" s="83">
        <f>100</f>
        <v>100</v>
      </c>
      <c r="O540" s="86">
        <v>240</v>
      </c>
      <c r="P540" s="86">
        <v>40</v>
      </c>
      <c r="Q540" s="86">
        <f t="shared" si="85"/>
        <v>315</v>
      </c>
      <c r="R540" s="86">
        <f t="shared" si="86"/>
        <v>100</v>
      </c>
      <c r="S540" s="83">
        <f t="shared" si="87"/>
        <v>695</v>
      </c>
      <c r="T540" s="83">
        <f>50</f>
        <v>50</v>
      </c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</row>
    <row r="541" spans="1:30" ht="15.75" x14ac:dyDescent="0.25">
      <c r="A541" s="32">
        <v>57404</v>
      </c>
      <c r="B541" s="95">
        <v>28</v>
      </c>
      <c r="C541" s="83">
        <f>122.58</f>
        <v>122.58</v>
      </c>
      <c r="D541" s="83">
        <f>297.941</f>
        <v>297.94099999999997</v>
      </c>
      <c r="E541" s="92">
        <f>89.177</f>
        <v>89.177000000000007</v>
      </c>
      <c r="F541" s="83">
        <f>240.302-40-60-100</f>
        <v>40.301999999999992</v>
      </c>
      <c r="G541" s="86">
        <v>40</v>
      </c>
      <c r="H541" s="83">
        <f>60+100</f>
        <v>160</v>
      </c>
      <c r="I541" s="83">
        <f t="shared" si="80"/>
        <v>0</v>
      </c>
      <c r="J541" s="86">
        <v>100</v>
      </c>
      <c r="K541" s="86">
        <v>300</v>
      </c>
      <c r="L541" s="83">
        <f t="shared" si="84"/>
        <v>1150</v>
      </c>
      <c r="M541" s="94">
        <v>600</v>
      </c>
      <c r="N541" s="83">
        <f>100</f>
        <v>100</v>
      </c>
      <c r="O541" s="86">
        <v>240</v>
      </c>
      <c r="P541" s="86">
        <v>40</v>
      </c>
      <c r="Q541" s="86">
        <f t="shared" si="85"/>
        <v>315</v>
      </c>
      <c r="R541" s="86">
        <f t="shared" si="86"/>
        <v>100</v>
      </c>
      <c r="S541" s="83">
        <f t="shared" si="87"/>
        <v>695</v>
      </c>
      <c r="T541" s="83">
        <f>50</f>
        <v>50</v>
      </c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</row>
    <row r="542" spans="1:30" ht="15.75" x14ac:dyDescent="0.25">
      <c r="A542" s="32">
        <v>57435</v>
      </c>
      <c r="B542" s="95">
        <v>31</v>
      </c>
      <c r="C542" s="83">
        <f>122.58</f>
        <v>122.58</v>
      </c>
      <c r="D542" s="83">
        <f>297.941</f>
        <v>297.94099999999997</v>
      </c>
      <c r="E542" s="92">
        <f>89.177</f>
        <v>89.177000000000007</v>
      </c>
      <c r="F542" s="83">
        <f>240.302-40-60-100</f>
        <v>40.301999999999992</v>
      </c>
      <c r="G542" s="86">
        <v>40</v>
      </c>
      <c r="H542" s="83">
        <f>60+100</f>
        <v>160</v>
      </c>
      <c r="I542" s="83">
        <f t="shared" si="80"/>
        <v>0</v>
      </c>
      <c r="J542" s="86">
        <v>100</v>
      </c>
      <c r="K542" s="86">
        <v>300</v>
      </c>
      <c r="L542" s="83">
        <f t="shared" si="84"/>
        <v>1150</v>
      </c>
      <c r="M542" s="94">
        <v>600</v>
      </c>
      <c r="N542" s="83">
        <f>100</f>
        <v>100</v>
      </c>
      <c r="O542" s="86">
        <v>240</v>
      </c>
      <c r="P542" s="86">
        <v>40</v>
      </c>
      <c r="Q542" s="86">
        <f t="shared" si="85"/>
        <v>315</v>
      </c>
      <c r="R542" s="86">
        <f t="shared" si="86"/>
        <v>100</v>
      </c>
      <c r="S542" s="83">
        <f t="shared" si="87"/>
        <v>695</v>
      </c>
      <c r="T542" s="83">
        <f>50</f>
        <v>50</v>
      </c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</row>
    <row r="543" spans="1:30" ht="15.75" x14ac:dyDescent="0.25">
      <c r="A543" s="32">
        <v>57465</v>
      </c>
      <c r="B543" s="95">
        <v>30</v>
      </c>
      <c r="C543" s="83">
        <f>141.293</f>
        <v>141.29300000000001</v>
      </c>
      <c r="D543" s="83">
        <f>267.993</f>
        <v>267.99299999999999</v>
      </c>
      <c r="E543" s="92">
        <f>115.016</f>
        <v>115.01600000000001</v>
      </c>
      <c r="F543" s="83">
        <f>314.698-40-25-60-100</f>
        <v>89.697999999999979</v>
      </c>
      <c r="G543" s="86">
        <v>40</v>
      </c>
      <c r="H543" s="83">
        <f t="shared" ref="H543:H549" si="88">25+60+100</f>
        <v>185</v>
      </c>
      <c r="I543" s="83">
        <f t="shared" si="80"/>
        <v>0</v>
      </c>
      <c r="J543" s="86">
        <v>100</v>
      </c>
      <c r="K543" s="86">
        <v>300</v>
      </c>
      <c r="L543" s="83">
        <f t="shared" si="84"/>
        <v>1239</v>
      </c>
      <c r="M543" s="94">
        <v>600</v>
      </c>
      <c r="N543" s="83">
        <f>100</f>
        <v>100</v>
      </c>
      <c r="O543" s="86">
        <v>240</v>
      </c>
      <c r="P543" s="86">
        <v>160</v>
      </c>
      <c r="Q543" s="86">
        <f t="shared" si="85"/>
        <v>195</v>
      </c>
      <c r="R543" s="86">
        <f t="shared" si="86"/>
        <v>100</v>
      </c>
      <c r="S543" s="83">
        <f t="shared" si="87"/>
        <v>695</v>
      </c>
      <c r="T543" s="83">
        <f>50</f>
        <v>50</v>
      </c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</row>
    <row r="544" spans="1:30" ht="15.75" x14ac:dyDescent="0.25">
      <c r="A544" s="32">
        <v>57496</v>
      </c>
      <c r="B544" s="95">
        <v>31</v>
      </c>
      <c r="C544" s="83">
        <f>194.205</f>
        <v>194.20500000000001</v>
      </c>
      <c r="D544" s="83">
        <f>267.466</f>
        <v>267.46600000000001</v>
      </c>
      <c r="E544" s="92">
        <f>133.845</f>
        <v>133.845</v>
      </c>
      <c r="F544" s="83">
        <f>278.484-40-25-60-100</f>
        <v>53.48399999999998</v>
      </c>
      <c r="G544" s="86">
        <v>40</v>
      </c>
      <c r="H544" s="83">
        <f t="shared" si="88"/>
        <v>185</v>
      </c>
      <c r="I544" s="83">
        <f t="shared" si="80"/>
        <v>0</v>
      </c>
      <c r="J544" s="86">
        <v>100</v>
      </c>
      <c r="K544" s="86">
        <v>300</v>
      </c>
      <c r="L544" s="83">
        <f t="shared" si="84"/>
        <v>1274</v>
      </c>
      <c r="M544" s="94">
        <v>600</v>
      </c>
      <c r="N544" s="83">
        <f>75</f>
        <v>75</v>
      </c>
      <c r="O544" s="86">
        <v>240</v>
      </c>
      <c r="P544" s="86">
        <v>160</v>
      </c>
      <c r="Q544" s="86">
        <f t="shared" si="85"/>
        <v>195</v>
      </c>
      <c r="R544" s="86">
        <f t="shared" si="86"/>
        <v>100</v>
      </c>
      <c r="S544" s="83">
        <f t="shared" si="87"/>
        <v>695</v>
      </c>
      <c r="T544" s="83">
        <f>50</f>
        <v>50</v>
      </c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</row>
    <row r="545" spans="1:30" ht="15.75" x14ac:dyDescent="0.25">
      <c r="A545" s="32">
        <v>57526</v>
      </c>
      <c r="B545" s="95">
        <v>30</v>
      </c>
      <c r="C545" s="83">
        <f>194.205</f>
        <v>194.20500000000001</v>
      </c>
      <c r="D545" s="83">
        <f>267.466</f>
        <v>267.46600000000001</v>
      </c>
      <c r="E545" s="92">
        <f>133.845</f>
        <v>133.845</v>
      </c>
      <c r="F545" s="83">
        <f>278.484-40-25-60-100</f>
        <v>53.48399999999998</v>
      </c>
      <c r="G545" s="86">
        <v>40</v>
      </c>
      <c r="H545" s="83">
        <f t="shared" si="88"/>
        <v>185</v>
      </c>
      <c r="I545" s="83">
        <f t="shared" si="80"/>
        <v>0</v>
      </c>
      <c r="J545" s="86">
        <v>100</v>
      </c>
      <c r="K545" s="86">
        <v>300</v>
      </c>
      <c r="L545" s="83">
        <f t="shared" si="84"/>
        <v>1274</v>
      </c>
      <c r="M545" s="94">
        <v>600</v>
      </c>
      <c r="N545" s="83">
        <f>30</f>
        <v>30</v>
      </c>
      <c r="O545" s="86">
        <v>240</v>
      </c>
      <c r="P545" s="86">
        <v>160</v>
      </c>
      <c r="Q545" s="86">
        <f t="shared" si="85"/>
        <v>195</v>
      </c>
      <c r="R545" s="86">
        <f t="shared" si="86"/>
        <v>100</v>
      </c>
      <c r="S545" s="83">
        <f t="shared" si="87"/>
        <v>695</v>
      </c>
      <c r="T545" s="83">
        <f>50</f>
        <v>50</v>
      </c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</row>
    <row r="546" spans="1:30" ht="15.75" x14ac:dyDescent="0.25">
      <c r="A546" s="32">
        <v>57557</v>
      </c>
      <c r="B546" s="95">
        <v>31</v>
      </c>
      <c r="C546" s="83">
        <f>194.205</f>
        <v>194.20500000000001</v>
      </c>
      <c r="D546" s="83">
        <f>267.466</f>
        <v>267.46600000000001</v>
      </c>
      <c r="E546" s="92">
        <f>133.845</f>
        <v>133.845</v>
      </c>
      <c r="F546" s="83">
        <f>278.484-40-25-60-100</f>
        <v>53.48399999999998</v>
      </c>
      <c r="G546" s="86">
        <v>40</v>
      </c>
      <c r="H546" s="83">
        <f t="shared" si="88"/>
        <v>185</v>
      </c>
      <c r="I546" s="83">
        <f t="shared" si="80"/>
        <v>0</v>
      </c>
      <c r="J546" s="86">
        <v>100</v>
      </c>
      <c r="K546" s="86">
        <v>300</v>
      </c>
      <c r="L546" s="83">
        <f t="shared" si="84"/>
        <v>1274</v>
      </c>
      <c r="M546" s="94">
        <v>600</v>
      </c>
      <c r="N546" s="83">
        <f>30</f>
        <v>30</v>
      </c>
      <c r="O546" s="86">
        <v>240</v>
      </c>
      <c r="P546" s="86">
        <v>160</v>
      </c>
      <c r="Q546" s="86">
        <f t="shared" si="85"/>
        <v>195</v>
      </c>
      <c r="R546" s="86">
        <f t="shared" si="86"/>
        <v>100</v>
      </c>
      <c r="S546" s="83">
        <f t="shared" si="87"/>
        <v>695</v>
      </c>
      <c r="T546" s="83">
        <f>0</f>
        <v>0</v>
      </c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</row>
    <row r="547" spans="1:30" ht="15.75" x14ac:dyDescent="0.25">
      <c r="A547" s="32">
        <v>57588</v>
      </c>
      <c r="B547" s="95">
        <v>31</v>
      </c>
      <c r="C547" s="83">
        <f>194.205</f>
        <v>194.20500000000001</v>
      </c>
      <c r="D547" s="83">
        <f>267.466</f>
        <v>267.46600000000001</v>
      </c>
      <c r="E547" s="92">
        <f>133.845</f>
        <v>133.845</v>
      </c>
      <c r="F547" s="83">
        <f>278.484-40-25-60-100</f>
        <v>53.48399999999998</v>
      </c>
      <c r="G547" s="86">
        <v>40</v>
      </c>
      <c r="H547" s="83">
        <f t="shared" si="88"/>
        <v>185</v>
      </c>
      <c r="I547" s="83">
        <f t="shared" si="80"/>
        <v>0</v>
      </c>
      <c r="J547" s="86">
        <v>100</v>
      </c>
      <c r="K547" s="86">
        <v>300</v>
      </c>
      <c r="L547" s="83">
        <f t="shared" si="84"/>
        <v>1274</v>
      </c>
      <c r="M547" s="94">
        <v>600</v>
      </c>
      <c r="N547" s="83">
        <f>30</f>
        <v>30</v>
      </c>
      <c r="O547" s="86">
        <v>240</v>
      </c>
      <c r="P547" s="86">
        <v>160</v>
      </c>
      <c r="Q547" s="86">
        <f t="shared" si="85"/>
        <v>195</v>
      </c>
      <c r="R547" s="86">
        <f t="shared" si="86"/>
        <v>100</v>
      </c>
      <c r="S547" s="83">
        <f t="shared" si="87"/>
        <v>695</v>
      </c>
      <c r="T547" s="83">
        <f>0</f>
        <v>0</v>
      </c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</row>
    <row r="548" spans="1:30" ht="15.75" x14ac:dyDescent="0.25">
      <c r="A548" s="32">
        <v>57618</v>
      </c>
      <c r="B548" s="95">
        <v>30</v>
      </c>
      <c r="C548" s="83">
        <f>194.205</f>
        <v>194.20500000000001</v>
      </c>
      <c r="D548" s="83">
        <f>267.466</f>
        <v>267.46600000000001</v>
      </c>
      <c r="E548" s="92">
        <f>133.845</f>
        <v>133.845</v>
      </c>
      <c r="F548" s="83">
        <f>278.484-40-25-60-100</f>
        <v>53.48399999999998</v>
      </c>
      <c r="G548" s="86">
        <v>40</v>
      </c>
      <c r="H548" s="83">
        <f t="shared" si="88"/>
        <v>185</v>
      </c>
      <c r="I548" s="83">
        <f t="shared" si="80"/>
        <v>0</v>
      </c>
      <c r="J548" s="86">
        <v>100</v>
      </c>
      <c r="K548" s="86">
        <v>300</v>
      </c>
      <c r="L548" s="83">
        <f t="shared" si="84"/>
        <v>1274</v>
      </c>
      <c r="M548" s="94">
        <v>600</v>
      </c>
      <c r="N548" s="83">
        <f>30</f>
        <v>30</v>
      </c>
      <c r="O548" s="86">
        <v>240</v>
      </c>
      <c r="P548" s="86">
        <v>160</v>
      </c>
      <c r="Q548" s="86">
        <f t="shared" si="85"/>
        <v>195</v>
      </c>
      <c r="R548" s="86">
        <f t="shared" si="86"/>
        <v>100</v>
      </c>
      <c r="S548" s="83">
        <f t="shared" si="87"/>
        <v>695</v>
      </c>
      <c r="T548" s="83">
        <f>0</f>
        <v>0</v>
      </c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</row>
    <row r="549" spans="1:30" ht="15.75" x14ac:dyDescent="0.25">
      <c r="A549" s="32">
        <v>57649</v>
      </c>
      <c r="B549" s="95">
        <v>31</v>
      </c>
      <c r="C549" s="83">
        <f>131.881</f>
        <v>131.881</v>
      </c>
      <c r="D549" s="83">
        <f>277.167</f>
        <v>277.16699999999997</v>
      </c>
      <c r="E549" s="92">
        <f>79.08</f>
        <v>79.08</v>
      </c>
      <c r="F549" s="83">
        <f>350.872-40-25-60-100</f>
        <v>125.87200000000001</v>
      </c>
      <c r="G549" s="86">
        <v>40</v>
      </c>
      <c r="H549" s="83">
        <f t="shared" si="88"/>
        <v>185</v>
      </c>
      <c r="I549" s="83">
        <f t="shared" si="80"/>
        <v>0</v>
      </c>
      <c r="J549" s="86">
        <v>100</v>
      </c>
      <c r="K549" s="86">
        <v>300</v>
      </c>
      <c r="L549" s="83">
        <f t="shared" si="84"/>
        <v>1239</v>
      </c>
      <c r="M549" s="94">
        <v>600</v>
      </c>
      <c r="N549" s="83">
        <f>75</f>
        <v>75</v>
      </c>
      <c r="O549" s="86">
        <v>240</v>
      </c>
      <c r="P549" s="86">
        <v>160</v>
      </c>
      <c r="Q549" s="86">
        <f t="shared" si="85"/>
        <v>195</v>
      </c>
      <c r="R549" s="86">
        <f t="shared" si="86"/>
        <v>100</v>
      </c>
      <c r="S549" s="83">
        <f t="shared" si="87"/>
        <v>695</v>
      </c>
      <c r="T549" s="83">
        <f>0</f>
        <v>0</v>
      </c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</row>
    <row r="550" spans="1:30" ht="15.75" x14ac:dyDescent="0.25">
      <c r="A550" s="32">
        <v>57679</v>
      </c>
      <c r="B550" s="95">
        <v>30</v>
      </c>
      <c r="C550" s="83">
        <f>122.58</f>
        <v>122.58</v>
      </c>
      <c r="D550" s="83">
        <f>297.941</f>
        <v>297.94099999999997</v>
      </c>
      <c r="E550" s="92">
        <f>89.177</f>
        <v>89.177000000000007</v>
      </c>
      <c r="F550" s="83">
        <f>240.302-40-60-100</f>
        <v>40.301999999999992</v>
      </c>
      <c r="G550" s="86">
        <v>40</v>
      </c>
      <c r="H550" s="83">
        <f>60+100</f>
        <v>160</v>
      </c>
      <c r="I550" s="83">
        <f t="shared" si="80"/>
        <v>0</v>
      </c>
      <c r="J550" s="86">
        <v>100</v>
      </c>
      <c r="K550" s="86">
        <v>300</v>
      </c>
      <c r="L550" s="83">
        <f t="shared" si="84"/>
        <v>1150</v>
      </c>
      <c r="M550" s="94">
        <v>600</v>
      </c>
      <c r="N550" s="83">
        <f>100</f>
        <v>100</v>
      </c>
      <c r="O550" s="86">
        <v>240</v>
      </c>
      <c r="P550" s="86">
        <v>40</v>
      </c>
      <c r="Q550" s="86">
        <f t="shared" si="85"/>
        <v>315</v>
      </c>
      <c r="R550" s="86">
        <f t="shared" si="86"/>
        <v>100</v>
      </c>
      <c r="S550" s="83">
        <f t="shared" si="87"/>
        <v>695</v>
      </c>
      <c r="T550" s="83">
        <f>50</f>
        <v>50</v>
      </c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</row>
    <row r="551" spans="1:30" ht="15.75" x14ac:dyDescent="0.25">
      <c r="A551" s="32">
        <v>57710</v>
      </c>
      <c r="B551" s="95">
        <v>31</v>
      </c>
      <c r="C551" s="83">
        <f>122.58</f>
        <v>122.58</v>
      </c>
      <c r="D551" s="83">
        <f>297.941</f>
        <v>297.94099999999997</v>
      </c>
      <c r="E551" s="92">
        <f>89.177</f>
        <v>89.177000000000007</v>
      </c>
      <c r="F551" s="83">
        <f>240.302-40-60-100</f>
        <v>40.301999999999992</v>
      </c>
      <c r="G551" s="86">
        <v>40</v>
      </c>
      <c r="H551" s="83">
        <f>60+100</f>
        <v>160</v>
      </c>
      <c r="I551" s="83">
        <f t="shared" si="80"/>
        <v>0</v>
      </c>
      <c r="J551" s="86">
        <v>100</v>
      </c>
      <c r="K551" s="86">
        <v>300</v>
      </c>
      <c r="L551" s="83">
        <f t="shared" si="84"/>
        <v>1150</v>
      </c>
      <c r="M551" s="94">
        <v>600</v>
      </c>
      <c r="N551" s="83">
        <f>100</f>
        <v>100</v>
      </c>
      <c r="O551" s="86">
        <v>240</v>
      </c>
      <c r="P551" s="86">
        <v>40</v>
      </c>
      <c r="Q551" s="86">
        <f t="shared" si="85"/>
        <v>315</v>
      </c>
      <c r="R551" s="86">
        <f t="shared" si="86"/>
        <v>100</v>
      </c>
      <c r="S551" s="83">
        <f t="shared" si="87"/>
        <v>695</v>
      </c>
      <c r="T551" s="83">
        <f>50</f>
        <v>50</v>
      </c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</row>
    <row r="552" spans="1:30" ht="15.75" x14ac:dyDescent="0.25">
      <c r="A552" s="32">
        <v>57741</v>
      </c>
      <c r="B552" s="95">
        <v>31</v>
      </c>
      <c r="C552" s="83">
        <f>122.58</f>
        <v>122.58</v>
      </c>
      <c r="D552" s="83">
        <f>297.941</f>
        <v>297.94099999999997</v>
      </c>
      <c r="E552" s="92">
        <f>89.177</f>
        <v>89.177000000000007</v>
      </c>
      <c r="F552" s="83">
        <f>240.302-40-60-100</f>
        <v>40.301999999999992</v>
      </c>
      <c r="G552" s="86">
        <v>40</v>
      </c>
      <c r="H552" s="83">
        <f>60+100</f>
        <v>160</v>
      </c>
      <c r="I552" s="83">
        <f t="shared" si="80"/>
        <v>0</v>
      </c>
      <c r="J552" s="86">
        <v>100</v>
      </c>
      <c r="K552" s="86">
        <v>300</v>
      </c>
      <c r="L552" s="83">
        <f t="shared" si="84"/>
        <v>1150</v>
      </c>
      <c r="M552" s="94">
        <v>600</v>
      </c>
      <c r="N552" s="83">
        <f>100</f>
        <v>100</v>
      </c>
      <c r="O552" s="86">
        <v>240</v>
      </c>
      <c r="P552" s="86">
        <v>40</v>
      </c>
      <c r="Q552" s="86">
        <f t="shared" si="85"/>
        <v>315</v>
      </c>
      <c r="R552" s="86">
        <f t="shared" si="86"/>
        <v>100</v>
      </c>
      <c r="S552" s="83">
        <f t="shared" si="87"/>
        <v>695</v>
      </c>
      <c r="T552" s="83">
        <f>50</f>
        <v>50</v>
      </c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</row>
    <row r="553" spans="1:30" ht="15.75" x14ac:dyDescent="0.25">
      <c r="A553" s="32">
        <v>57769</v>
      </c>
      <c r="B553" s="95">
        <v>28</v>
      </c>
      <c r="C553" s="83">
        <f>122.58</f>
        <v>122.58</v>
      </c>
      <c r="D553" s="83">
        <f>297.941</f>
        <v>297.94099999999997</v>
      </c>
      <c r="E553" s="92">
        <f>89.177</f>
        <v>89.177000000000007</v>
      </c>
      <c r="F553" s="83">
        <f>240.302-40-60-100</f>
        <v>40.301999999999992</v>
      </c>
      <c r="G553" s="86">
        <v>40</v>
      </c>
      <c r="H553" s="83">
        <f>60+100</f>
        <v>160</v>
      </c>
      <c r="I553" s="83">
        <f t="shared" si="80"/>
        <v>0</v>
      </c>
      <c r="J553" s="86">
        <v>100</v>
      </c>
      <c r="K553" s="86">
        <v>300</v>
      </c>
      <c r="L553" s="83">
        <f t="shared" si="84"/>
        <v>1150</v>
      </c>
      <c r="M553" s="94">
        <v>600</v>
      </c>
      <c r="N553" s="83">
        <f>100</f>
        <v>100</v>
      </c>
      <c r="O553" s="86">
        <v>240</v>
      </c>
      <c r="P553" s="86">
        <v>40</v>
      </c>
      <c r="Q553" s="86">
        <f t="shared" si="85"/>
        <v>315</v>
      </c>
      <c r="R553" s="86">
        <f t="shared" si="86"/>
        <v>100</v>
      </c>
      <c r="S553" s="83">
        <f t="shared" si="87"/>
        <v>695</v>
      </c>
      <c r="T553" s="83">
        <f>50</f>
        <v>50</v>
      </c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</row>
    <row r="554" spans="1:30" ht="15.75" x14ac:dyDescent="0.25">
      <c r="A554" s="32">
        <v>57800</v>
      </c>
      <c r="B554" s="95">
        <v>31</v>
      </c>
      <c r="C554" s="83">
        <f>122.58</f>
        <v>122.58</v>
      </c>
      <c r="D554" s="83">
        <f>297.941</f>
        <v>297.94099999999997</v>
      </c>
      <c r="E554" s="92">
        <f>89.177</f>
        <v>89.177000000000007</v>
      </c>
      <c r="F554" s="83">
        <f>240.302-40-60-100</f>
        <v>40.301999999999992</v>
      </c>
      <c r="G554" s="86">
        <v>40</v>
      </c>
      <c r="H554" s="83">
        <f>60+100</f>
        <v>160</v>
      </c>
      <c r="I554" s="83">
        <f t="shared" si="80"/>
        <v>0</v>
      </c>
      <c r="J554" s="86">
        <v>100</v>
      </c>
      <c r="K554" s="86">
        <v>300</v>
      </c>
      <c r="L554" s="83">
        <f t="shared" si="84"/>
        <v>1150</v>
      </c>
      <c r="M554" s="94">
        <v>600</v>
      </c>
      <c r="N554" s="83">
        <f>100</f>
        <v>100</v>
      </c>
      <c r="O554" s="86">
        <v>240</v>
      </c>
      <c r="P554" s="86">
        <v>40</v>
      </c>
      <c r="Q554" s="86">
        <f t="shared" si="85"/>
        <v>315</v>
      </c>
      <c r="R554" s="86">
        <f t="shared" si="86"/>
        <v>100</v>
      </c>
      <c r="S554" s="83">
        <f t="shared" si="87"/>
        <v>695</v>
      </c>
      <c r="T554" s="83">
        <f>50</f>
        <v>50</v>
      </c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</row>
    <row r="555" spans="1:30" ht="15.75" x14ac:dyDescent="0.25">
      <c r="A555" s="32">
        <v>57830</v>
      </c>
      <c r="B555" s="95">
        <v>30</v>
      </c>
      <c r="C555" s="83">
        <f>141.293</f>
        <v>141.29300000000001</v>
      </c>
      <c r="D555" s="83">
        <f>267.993</f>
        <v>267.99299999999999</v>
      </c>
      <c r="E555" s="92">
        <f>115.016</f>
        <v>115.01600000000001</v>
      </c>
      <c r="F555" s="83">
        <f>314.698-40-25-60-100</f>
        <v>89.697999999999979</v>
      </c>
      <c r="G555" s="86">
        <v>40</v>
      </c>
      <c r="H555" s="83">
        <f t="shared" ref="H555:H561" si="89">25+60+100</f>
        <v>185</v>
      </c>
      <c r="I555" s="83">
        <f t="shared" si="80"/>
        <v>0</v>
      </c>
      <c r="J555" s="86">
        <v>100</v>
      </c>
      <c r="K555" s="86">
        <v>300</v>
      </c>
      <c r="L555" s="83">
        <f t="shared" si="84"/>
        <v>1239</v>
      </c>
      <c r="M555" s="94">
        <v>600</v>
      </c>
      <c r="N555" s="83">
        <f>100</f>
        <v>100</v>
      </c>
      <c r="O555" s="86">
        <v>240</v>
      </c>
      <c r="P555" s="86">
        <v>160</v>
      </c>
      <c r="Q555" s="86">
        <f t="shared" si="85"/>
        <v>195</v>
      </c>
      <c r="R555" s="86">
        <f t="shared" si="86"/>
        <v>100</v>
      </c>
      <c r="S555" s="83">
        <f t="shared" si="87"/>
        <v>695</v>
      </c>
      <c r="T555" s="83">
        <f>50</f>
        <v>50</v>
      </c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</row>
    <row r="556" spans="1:30" ht="15.75" x14ac:dyDescent="0.25">
      <c r="A556" s="32">
        <v>57861</v>
      </c>
      <c r="B556" s="95">
        <v>31</v>
      </c>
      <c r="C556" s="83">
        <f>194.205</f>
        <v>194.20500000000001</v>
      </c>
      <c r="D556" s="83">
        <f>267.466</f>
        <v>267.46600000000001</v>
      </c>
      <c r="E556" s="92">
        <f>133.845</f>
        <v>133.845</v>
      </c>
      <c r="F556" s="83">
        <f>278.484-40-25-60-100</f>
        <v>53.48399999999998</v>
      </c>
      <c r="G556" s="86">
        <v>40</v>
      </c>
      <c r="H556" s="83">
        <f t="shared" si="89"/>
        <v>185</v>
      </c>
      <c r="I556" s="83">
        <f t="shared" si="80"/>
        <v>0</v>
      </c>
      <c r="J556" s="86">
        <v>100</v>
      </c>
      <c r="K556" s="86">
        <v>300</v>
      </c>
      <c r="L556" s="83">
        <f t="shared" si="84"/>
        <v>1274</v>
      </c>
      <c r="M556" s="94">
        <v>600</v>
      </c>
      <c r="N556" s="83">
        <f>75</f>
        <v>75</v>
      </c>
      <c r="O556" s="86">
        <v>240</v>
      </c>
      <c r="P556" s="86">
        <v>160</v>
      </c>
      <c r="Q556" s="86">
        <f t="shared" si="85"/>
        <v>195</v>
      </c>
      <c r="R556" s="86">
        <f t="shared" si="86"/>
        <v>100</v>
      </c>
      <c r="S556" s="83">
        <f t="shared" si="87"/>
        <v>695</v>
      </c>
      <c r="T556" s="83">
        <f>50</f>
        <v>50</v>
      </c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</row>
    <row r="557" spans="1:30" ht="15.75" x14ac:dyDescent="0.25">
      <c r="A557" s="32">
        <v>57891</v>
      </c>
      <c r="B557" s="95">
        <v>30</v>
      </c>
      <c r="C557" s="83">
        <f>194.205</f>
        <v>194.20500000000001</v>
      </c>
      <c r="D557" s="83">
        <f>267.466</f>
        <v>267.46600000000001</v>
      </c>
      <c r="E557" s="92">
        <f>133.845</f>
        <v>133.845</v>
      </c>
      <c r="F557" s="83">
        <f>278.484-40-25-60-100</f>
        <v>53.48399999999998</v>
      </c>
      <c r="G557" s="86">
        <v>40</v>
      </c>
      <c r="H557" s="83">
        <f t="shared" si="89"/>
        <v>185</v>
      </c>
      <c r="I557" s="83">
        <f t="shared" si="80"/>
        <v>0</v>
      </c>
      <c r="J557" s="86">
        <v>100</v>
      </c>
      <c r="K557" s="86">
        <v>300</v>
      </c>
      <c r="L557" s="83">
        <f t="shared" si="84"/>
        <v>1274</v>
      </c>
      <c r="M557" s="94">
        <v>600</v>
      </c>
      <c r="N557" s="83">
        <f>30</f>
        <v>30</v>
      </c>
      <c r="O557" s="86">
        <v>240</v>
      </c>
      <c r="P557" s="86">
        <v>160</v>
      </c>
      <c r="Q557" s="86">
        <f t="shared" si="85"/>
        <v>195</v>
      </c>
      <c r="R557" s="86">
        <f t="shared" si="86"/>
        <v>100</v>
      </c>
      <c r="S557" s="83">
        <f t="shared" si="87"/>
        <v>695</v>
      </c>
      <c r="T557" s="83">
        <f>50</f>
        <v>50</v>
      </c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</row>
    <row r="558" spans="1:30" ht="15.75" x14ac:dyDescent="0.25">
      <c r="A558" s="32">
        <v>57922</v>
      </c>
      <c r="B558" s="95">
        <v>31</v>
      </c>
      <c r="C558" s="83">
        <f>194.205</f>
        <v>194.20500000000001</v>
      </c>
      <c r="D558" s="83">
        <f>267.466</f>
        <v>267.46600000000001</v>
      </c>
      <c r="E558" s="92">
        <f>133.845</f>
        <v>133.845</v>
      </c>
      <c r="F558" s="83">
        <f>278.484-40-25-60-100</f>
        <v>53.48399999999998</v>
      </c>
      <c r="G558" s="86">
        <v>40</v>
      </c>
      <c r="H558" s="83">
        <f t="shared" si="89"/>
        <v>185</v>
      </c>
      <c r="I558" s="83">
        <f t="shared" si="80"/>
        <v>0</v>
      </c>
      <c r="J558" s="86">
        <v>100</v>
      </c>
      <c r="K558" s="86">
        <v>300</v>
      </c>
      <c r="L558" s="83">
        <f t="shared" si="84"/>
        <v>1274</v>
      </c>
      <c r="M558" s="94">
        <v>600</v>
      </c>
      <c r="N558" s="83">
        <f>30</f>
        <v>30</v>
      </c>
      <c r="O558" s="86">
        <v>240</v>
      </c>
      <c r="P558" s="86">
        <v>160</v>
      </c>
      <c r="Q558" s="86">
        <f t="shared" si="85"/>
        <v>195</v>
      </c>
      <c r="R558" s="86">
        <f t="shared" si="86"/>
        <v>100</v>
      </c>
      <c r="S558" s="83">
        <f t="shared" si="87"/>
        <v>695</v>
      </c>
      <c r="T558" s="83">
        <f>0</f>
        <v>0</v>
      </c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</row>
    <row r="559" spans="1:30" ht="15.75" x14ac:dyDescent="0.25">
      <c r="A559" s="32">
        <v>57953</v>
      </c>
      <c r="B559" s="95">
        <v>31</v>
      </c>
      <c r="C559" s="83">
        <f>194.205</f>
        <v>194.20500000000001</v>
      </c>
      <c r="D559" s="83">
        <f>267.466</f>
        <v>267.46600000000001</v>
      </c>
      <c r="E559" s="92">
        <f>133.845</f>
        <v>133.845</v>
      </c>
      <c r="F559" s="83">
        <f>278.484-40-25-60-100</f>
        <v>53.48399999999998</v>
      </c>
      <c r="G559" s="86">
        <v>40</v>
      </c>
      <c r="H559" s="83">
        <f t="shared" si="89"/>
        <v>185</v>
      </c>
      <c r="I559" s="83">
        <f t="shared" si="80"/>
        <v>0</v>
      </c>
      <c r="J559" s="86">
        <v>100</v>
      </c>
      <c r="K559" s="86">
        <v>300</v>
      </c>
      <c r="L559" s="83">
        <f t="shared" si="84"/>
        <v>1274</v>
      </c>
      <c r="M559" s="94">
        <v>600</v>
      </c>
      <c r="N559" s="83">
        <f>30</f>
        <v>30</v>
      </c>
      <c r="O559" s="86">
        <v>240</v>
      </c>
      <c r="P559" s="86">
        <v>160</v>
      </c>
      <c r="Q559" s="86">
        <f t="shared" si="85"/>
        <v>195</v>
      </c>
      <c r="R559" s="86">
        <f t="shared" si="86"/>
        <v>100</v>
      </c>
      <c r="S559" s="83">
        <f t="shared" si="87"/>
        <v>695</v>
      </c>
      <c r="T559" s="83">
        <f>0</f>
        <v>0</v>
      </c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</row>
    <row r="560" spans="1:30" ht="15.75" x14ac:dyDescent="0.25">
      <c r="A560" s="32">
        <v>57983</v>
      </c>
      <c r="B560" s="95">
        <v>30</v>
      </c>
      <c r="C560" s="83">
        <f>194.205</f>
        <v>194.20500000000001</v>
      </c>
      <c r="D560" s="83">
        <f>267.466</f>
        <v>267.46600000000001</v>
      </c>
      <c r="E560" s="92">
        <f>133.845</f>
        <v>133.845</v>
      </c>
      <c r="F560" s="83">
        <f>278.484-40-25-60-100</f>
        <v>53.48399999999998</v>
      </c>
      <c r="G560" s="86">
        <v>40</v>
      </c>
      <c r="H560" s="83">
        <f t="shared" si="89"/>
        <v>185</v>
      </c>
      <c r="I560" s="83">
        <f t="shared" si="80"/>
        <v>0</v>
      </c>
      <c r="J560" s="86">
        <v>100</v>
      </c>
      <c r="K560" s="86">
        <v>300</v>
      </c>
      <c r="L560" s="83">
        <f t="shared" si="84"/>
        <v>1274</v>
      </c>
      <c r="M560" s="94">
        <v>600</v>
      </c>
      <c r="N560" s="83">
        <f>30</f>
        <v>30</v>
      </c>
      <c r="O560" s="86">
        <v>240</v>
      </c>
      <c r="P560" s="86">
        <v>160</v>
      </c>
      <c r="Q560" s="86">
        <f t="shared" si="85"/>
        <v>195</v>
      </c>
      <c r="R560" s="86">
        <f t="shared" si="86"/>
        <v>100</v>
      </c>
      <c r="S560" s="83">
        <f t="shared" si="87"/>
        <v>695</v>
      </c>
      <c r="T560" s="83">
        <f>0</f>
        <v>0</v>
      </c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</row>
    <row r="561" spans="1:30" ht="15.75" x14ac:dyDescent="0.25">
      <c r="A561" s="32">
        <v>58014</v>
      </c>
      <c r="B561" s="95">
        <v>31</v>
      </c>
      <c r="C561" s="83">
        <f>131.881</f>
        <v>131.881</v>
      </c>
      <c r="D561" s="83">
        <f>277.167</f>
        <v>277.16699999999997</v>
      </c>
      <c r="E561" s="92">
        <f>79.08</f>
        <v>79.08</v>
      </c>
      <c r="F561" s="83">
        <f>350.872-40-25-60-100</f>
        <v>125.87200000000001</v>
      </c>
      <c r="G561" s="86">
        <v>40</v>
      </c>
      <c r="H561" s="83">
        <f t="shared" si="89"/>
        <v>185</v>
      </c>
      <c r="I561" s="83">
        <f t="shared" si="80"/>
        <v>0</v>
      </c>
      <c r="J561" s="86">
        <v>100</v>
      </c>
      <c r="K561" s="86">
        <v>300</v>
      </c>
      <c r="L561" s="83">
        <f t="shared" si="84"/>
        <v>1239</v>
      </c>
      <c r="M561" s="94">
        <v>600</v>
      </c>
      <c r="N561" s="83">
        <f>75</f>
        <v>75</v>
      </c>
      <c r="O561" s="86">
        <v>240</v>
      </c>
      <c r="P561" s="86">
        <v>160</v>
      </c>
      <c r="Q561" s="86">
        <f t="shared" si="85"/>
        <v>195</v>
      </c>
      <c r="R561" s="86">
        <f t="shared" si="86"/>
        <v>100</v>
      </c>
      <c r="S561" s="83">
        <f t="shared" si="87"/>
        <v>695</v>
      </c>
      <c r="T561" s="83">
        <f>0</f>
        <v>0</v>
      </c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</row>
    <row r="562" spans="1:30" ht="15.75" x14ac:dyDescent="0.25">
      <c r="A562" s="32">
        <v>58044</v>
      </c>
      <c r="B562" s="95">
        <v>30</v>
      </c>
      <c r="C562" s="83">
        <f>122.58</f>
        <v>122.58</v>
      </c>
      <c r="D562" s="83">
        <f>297.941</f>
        <v>297.94099999999997</v>
      </c>
      <c r="E562" s="92">
        <f>89.177</f>
        <v>89.177000000000007</v>
      </c>
      <c r="F562" s="83">
        <f>240.302-40-60-100</f>
        <v>40.301999999999992</v>
      </c>
      <c r="G562" s="86">
        <v>40</v>
      </c>
      <c r="H562" s="83">
        <f>60+100</f>
        <v>160</v>
      </c>
      <c r="I562" s="83">
        <f t="shared" si="80"/>
        <v>0</v>
      </c>
      <c r="J562" s="86">
        <v>100</v>
      </c>
      <c r="K562" s="86">
        <v>300</v>
      </c>
      <c r="L562" s="83">
        <f t="shared" si="84"/>
        <v>1150</v>
      </c>
      <c r="M562" s="94">
        <v>600</v>
      </c>
      <c r="N562" s="83">
        <f>100</f>
        <v>100</v>
      </c>
      <c r="O562" s="86">
        <v>240</v>
      </c>
      <c r="P562" s="86">
        <v>40</v>
      </c>
      <c r="Q562" s="86">
        <f t="shared" si="85"/>
        <v>315</v>
      </c>
      <c r="R562" s="86">
        <f t="shared" si="86"/>
        <v>100</v>
      </c>
      <c r="S562" s="83">
        <f t="shared" si="87"/>
        <v>695</v>
      </c>
      <c r="T562" s="83">
        <f>50</f>
        <v>50</v>
      </c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</row>
    <row r="563" spans="1:30" ht="15.75" x14ac:dyDescent="0.25">
      <c r="A563" s="32">
        <v>58075</v>
      </c>
      <c r="B563" s="95">
        <v>31</v>
      </c>
      <c r="C563" s="83">
        <f>122.58</f>
        <v>122.58</v>
      </c>
      <c r="D563" s="83">
        <f>297.941</f>
        <v>297.94099999999997</v>
      </c>
      <c r="E563" s="92">
        <f>89.177</f>
        <v>89.177000000000007</v>
      </c>
      <c r="F563" s="83">
        <f>240.302-40-60-100</f>
        <v>40.301999999999992</v>
      </c>
      <c r="G563" s="86">
        <v>40</v>
      </c>
      <c r="H563" s="83">
        <f>60+100</f>
        <v>160</v>
      </c>
      <c r="I563" s="83">
        <f t="shared" si="80"/>
        <v>0</v>
      </c>
      <c r="J563" s="86">
        <v>100</v>
      </c>
      <c r="K563" s="86">
        <v>300</v>
      </c>
      <c r="L563" s="83">
        <f t="shared" si="84"/>
        <v>1150</v>
      </c>
      <c r="M563" s="94">
        <v>600</v>
      </c>
      <c r="N563" s="83">
        <f>100</f>
        <v>100</v>
      </c>
      <c r="O563" s="86">
        <v>240</v>
      </c>
      <c r="P563" s="86">
        <v>40</v>
      </c>
      <c r="Q563" s="86">
        <f t="shared" si="85"/>
        <v>315</v>
      </c>
      <c r="R563" s="86">
        <f t="shared" si="86"/>
        <v>100</v>
      </c>
      <c r="S563" s="83">
        <f t="shared" si="87"/>
        <v>695</v>
      </c>
      <c r="T563" s="83">
        <f>50</f>
        <v>50</v>
      </c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</row>
    <row r="564" spans="1:30" ht="15.75" x14ac:dyDescent="0.25">
      <c r="A564" s="32">
        <v>58106</v>
      </c>
      <c r="B564" s="95">
        <v>31</v>
      </c>
      <c r="C564" s="83">
        <f>122.58</f>
        <v>122.58</v>
      </c>
      <c r="D564" s="83">
        <f>297.941</f>
        <v>297.94099999999997</v>
      </c>
      <c r="E564" s="92">
        <f>89.177</f>
        <v>89.177000000000007</v>
      </c>
      <c r="F564" s="83">
        <f>240.302-40-60-100</f>
        <v>40.301999999999992</v>
      </c>
      <c r="G564" s="86">
        <v>40</v>
      </c>
      <c r="H564" s="83">
        <f>60+100</f>
        <v>160</v>
      </c>
      <c r="I564" s="83">
        <f t="shared" ref="I564:I627" si="90">400-J564-K564</f>
        <v>0</v>
      </c>
      <c r="J564" s="86">
        <v>100</v>
      </c>
      <c r="K564" s="86">
        <v>300</v>
      </c>
      <c r="L564" s="83">
        <f t="shared" si="84"/>
        <v>1150</v>
      </c>
      <c r="M564" s="94">
        <v>600</v>
      </c>
      <c r="N564" s="83">
        <f>100</f>
        <v>100</v>
      </c>
      <c r="O564" s="86">
        <v>240</v>
      </c>
      <c r="P564" s="86">
        <v>40</v>
      </c>
      <c r="Q564" s="86">
        <f t="shared" si="85"/>
        <v>315</v>
      </c>
      <c r="R564" s="86">
        <f t="shared" si="86"/>
        <v>100</v>
      </c>
      <c r="S564" s="83">
        <f t="shared" si="87"/>
        <v>695</v>
      </c>
      <c r="T564" s="83">
        <f>50</f>
        <v>50</v>
      </c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</row>
    <row r="565" spans="1:30" ht="15.75" x14ac:dyDescent="0.25">
      <c r="A565" s="32">
        <v>58134</v>
      </c>
      <c r="B565" s="95">
        <v>28</v>
      </c>
      <c r="C565" s="83">
        <f>122.58</f>
        <v>122.58</v>
      </c>
      <c r="D565" s="83">
        <f>297.941</f>
        <v>297.94099999999997</v>
      </c>
      <c r="E565" s="92">
        <f>89.177</f>
        <v>89.177000000000007</v>
      </c>
      <c r="F565" s="83">
        <f>240.302-40-60-100</f>
        <v>40.301999999999992</v>
      </c>
      <c r="G565" s="86">
        <v>40</v>
      </c>
      <c r="H565" s="83">
        <f>60+100</f>
        <v>160</v>
      </c>
      <c r="I565" s="83">
        <f t="shared" si="90"/>
        <v>0</v>
      </c>
      <c r="J565" s="86">
        <v>100</v>
      </c>
      <c r="K565" s="86">
        <v>300</v>
      </c>
      <c r="L565" s="83">
        <f t="shared" si="84"/>
        <v>1150</v>
      </c>
      <c r="M565" s="94">
        <v>600</v>
      </c>
      <c r="N565" s="83">
        <f>100</f>
        <v>100</v>
      </c>
      <c r="O565" s="86">
        <v>240</v>
      </c>
      <c r="P565" s="86">
        <v>40</v>
      </c>
      <c r="Q565" s="86">
        <f t="shared" si="85"/>
        <v>315</v>
      </c>
      <c r="R565" s="86">
        <f t="shared" si="86"/>
        <v>100</v>
      </c>
      <c r="S565" s="83">
        <f t="shared" si="87"/>
        <v>695</v>
      </c>
      <c r="T565" s="83">
        <f>50</f>
        <v>50</v>
      </c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</row>
    <row r="566" spans="1:30" ht="15.75" x14ac:dyDescent="0.25">
      <c r="A566" s="32">
        <v>58165</v>
      </c>
      <c r="B566" s="95">
        <v>31</v>
      </c>
      <c r="C566" s="83">
        <f>122.58</f>
        <v>122.58</v>
      </c>
      <c r="D566" s="83">
        <f>297.941</f>
        <v>297.94099999999997</v>
      </c>
      <c r="E566" s="92">
        <f>89.177</f>
        <v>89.177000000000007</v>
      </c>
      <c r="F566" s="83">
        <f>240.302-40-60-100</f>
        <v>40.301999999999992</v>
      </c>
      <c r="G566" s="86">
        <v>40</v>
      </c>
      <c r="H566" s="83">
        <f>60+100</f>
        <v>160</v>
      </c>
      <c r="I566" s="83">
        <f t="shared" si="90"/>
        <v>0</v>
      </c>
      <c r="J566" s="86">
        <v>100</v>
      </c>
      <c r="K566" s="86">
        <v>300</v>
      </c>
      <c r="L566" s="83">
        <f t="shared" si="84"/>
        <v>1150</v>
      </c>
      <c r="M566" s="94">
        <v>600</v>
      </c>
      <c r="N566" s="83">
        <f>100</f>
        <v>100</v>
      </c>
      <c r="O566" s="86">
        <v>240</v>
      </c>
      <c r="P566" s="86">
        <v>40</v>
      </c>
      <c r="Q566" s="86">
        <f t="shared" si="85"/>
        <v>315</v>
      </c>
      <c r="R566" s="86">
        <f t="shared" si="86"/>
        <v>100</v>
      </c>
      <c r="S566" s="83">
        <f t="shared" si="87"/>
        <v>695</v>
      </c>
      <c r="T566" s="83">
        <f>50</f>
        <v>50</v>
      </c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</row>
    <row r="567" spans="1:30" ht="15.75" x14ac:dyDescent="0.25">
      <c r="A567" s="32">
        <v>58195</v>
      </c>
      <c r="B567" s="95">
        <v>30</v>
      </c>
      <c r="C567" s="83">
        <f>141.293</f>
        <v>141.29300000000001</v>
      </c>
      <c r="D567" s="83">
        <f>267.993</f>
        <v>267.99299999999999</v>
      </c>
      <c r="E567" s="92">
        <f>115.016</f>
        <v>115.01600000000001</v>
      </c>
      <c r="F567" s="83">
        <f>314.698-40-25-60-100</f>
        <v>89.697999999999979</v>
      </c>
      <c r="G567" s="86">
        <v>40</v>
      </c>
      <c r="H567" s="83">
        <f t="shared" ref="H567:H573" si="91">25+60+100</f>
        <v>185</v>
      </c>
      <c r="I567" s="83">
        <f t="shared" si="90"/>
        <v>0</v>
      </c>
      <c r="J567" s="86">
        <v>100</v>
      </c>
      <c r="K567" s="86">
        <v>300</v>
      </c>
      <c r="L567" s="83">
        <f t="shared" si="84"/>
        <v>1239</v>
      </c>
      <c r="M567" s="94">
        <v>600</v>
      </c>
      <c r="N567" s="83">
        <f>100</f>
        <v>100</v>
      </c>
      <c r="O567" s="86">
        <v>240</v>
      </c>
      <c r="P567" s="86">
        <v>160</v>
      </c>
      <c r="Q567" s="86">
        <f t="shared" si="85"/>
        <v>195</v>
      </c>
      <c r="R567" s="86">
        <f t="shared" si="86"/>
        <v>100</v>
      </c>
      <c r="S567" s="83">
        <f t="shared" si="87"/>
        <v>695</v>
      </c>
      <c r="T567" s="83">
        <f>50</f>
        <v>50</v>
      </c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</row>
    <row r="568" spans="1:30" ht="15.75" x14ac:dyDescent="0.25">
      <c r="A568" s="32">
        <v>58226</v>
      </c>
      <c r="B568" s="95">
        <v>31</v>
      </c>
      <c r="C568" s="83">
        <f>194.205</f>
        <v>194.20500000000001</v>
      </c>
      <c r="D568" s="83">
        <f>267.466</f>
        <v>267.46600000000001</v>
      </c>
      <c r="E568" s="92">
        <f>133.845</f>
        <v>133.845</v>
      </c>
      <c r="F568" s="83">
        <f>278.484-40-25-60-100</f>
        <v>53.48399999999998</v>
      </c>
      <c r="G568" s="86">
        <v>40</v>
      </c>
      <c r="H568" s="83">
        <f t="shared" si="91"/>
        <v>185</v>
      </c>
      <c r="I568" s="83">
        <f t="shared" si="90"/>
        <v>0</v>
      </c>
      <c r="J568" s="86">
        <v>100</v>
      </c>
      <c r="K568" s="86">
        <v>300</v>
      </c>
      <c r="L568" s="83">
        <f t="shared" si="84"/>
        <v>1274</v>
      </c>
      <c r="M568" s="94">
        <v>600</v>
      </c>
      <c r="N568" s="83">
        <f>75</f>
        <v>75</v>
      </c>
      <c r="O568" s="86">
        <v>240</v>
      </c>
      <c r="P568" s="86">
        <v>160</v>
      </c>
      <c r="Q568" s="86">
        <f t="shared" si="85"/>
        <v>195</v>
      </c>
      <c r="R568" s="86">
        <f t="shared" si="86"/>
        <v>100</v>
      </c>
      <c r="S568" s="83">
        <f t="shared" si="87"/>
        <v>695</v>
      </c>
      <c r="T568" s="83">
        <f>50</f>
        <v>50</v>
      </c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</row>
    <row r="569" spans="1:30" ht="15.75" x14ac:dyDescent="0.25">
      <c r="A569" s="32">
        <v>58256</v>
      </c>
      <c r="B569" s="95">
        <v>30</v>
      </c>
      <c r="C569" s="83">
        <f>194.205</f>
        <v>194.20500000000001</v>
      </c>
      <c r="D569" s="83">
        <f>267.466</f>
        <v>267.46600000000001</v>
      </c>
      <c r="E569" s="92">
        <f>133.845</f>
        <v>133.845</v>
      </c>
      <c r="F569" s="83">
        <f>278.484-40-25-60-100</f>
        <v>53.48399999999998</v>
      </c>
      <c r="G569" s="86">
        <v>40</v>
      </c>
      <c r="H569" s="83">
        <f t="shared" si="91"/>
        <v>185</v>
      </c>
      <c r="I569" s="83">
        <f t="shared" si="90"/>
        <v>0</v>
      </c>
      <c r="J569" s="86">
        <v>100</v>
      </c>
      <c r="K569" s="86">
        <v>300</v>
      </c>
      <c r="L569" s="83">
        <f t="shared" si="84"/>
        <v>1274</v>
      </c>
      <c r="M569" s="94">
        <v>600</v>
      </c>
      <c r="N569" s="83">
        <f>30</f>
        <v>30</v>
      </c>
      <c r="O569" s="86">
        <v>240</v>
      </c>
      <c r="P569" s="86">
        <v>160</v>
      </c>
      <c r="Q569" s="86">
        <f t="shared" si="85"/>
        <v>195</v>
      </c>
      <c r="R569" s="86">
        <f t="shared" si="86"/>
        <v>100</v>
      </c>
      <c r="S569" s="83">
        <f t="shared" si="87"/>
        <v>695</v>
      </c>
      <c r="T569" s="83">
        <f>50</f>
        <v>50</v>
      </c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</row>
    <row r="570" spans="1:30" ht="15.75" x14ac:dyDescent="0.25">
      <c r="A570" s="32">
        <v>58287</v>
      </c>
      <c r="B570" s="95">
        <v>31</v>
      </c>
      <c r="C570" s="83">
        <f>194.205</f>
        <v>194.20500000000001</v>
      </c>
      <c r="D570" s="83">
        <f>267.466</f>
        <v>267.46600000000001</v>
      </c>
      <c r="E570" s="92">
        <f>133.845</f>
        <v>133.845</v>
      </c>
      <c r="F570" s="83">
        <f>278.484-40-25-60-100</f>
        <v>53.48399999999998</v>
      </c>
      <c r="G570" s="86">
        <v>40</v>
      </c>
      <c r="H570" s="83">
        <f t="shared" si="91"/>
        <v>185</v>
      </c>
      <c r="I570" s="83">
        <f t="shared" si="90"/>
        <v>0</v>
      </c>
      <c r="J570" s="86">
        <v>100</v>
      </c>
      <c r="K570" s="86">
        <v>300</v>
      </c>
      <c r="L570" s="83">
        <f t="shared" si="84"/>
        <v>1274</v>
      </c>
      <c r="M570" s="94">
        <v>600</v>
      </c>
      <c r="N570" s="83">
        <f>30</f>
        <v>30</v>
      </c>
      <c r="O570" s="86">
        <v>240</v>
      </c>
      <c r="P570" s="86">
        <v>160</v>
      </c>
      <c r="Q570" s="86">
        <f t="shared" si="85"/>
        <v>195</v>
      </c>
      <c r="R570" s="86">
        <f t="shared" si="86"/>
        <v>100</v>
      </c>
      <c r="S570" s="83">
        <f t="shared" si="87"/>
        <v>695</v>
      </c>
      <c r="T570" s="83">
        <f>0</f>
        <v>0</v>
      </c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</row>
    <row r="571" spans="1:30" ht="15.75" x14ac:dyDescent="0.25">
      <c r="A571" s="32">
        <v>58318</v>
      </c>
      <c r="B571" s="95">
        <v>31</v>
      </c>
      <c r="C571" s="83">
        <f>194.205</f>
        <v>194.20500000000001</v>
      </c>
      <c r="D571" s="83">
        <f>267.466</f>
        <v>267.46600000000001</v>
      </c>
      <c r="E571" s="92">
        <f>133.845</f>
        <v>133.845</v>
      </c>
      <c r="F571" s="83">
        <f>278.484-40-25-60-100</f>
        <v>53.48399999999998</v>
      </c>
      <c r="G571" s="86">
        <v>40</v>
      </c>
      <c r="H571" s="83">
        <f t="shared" si="91"/>
        <v>185</v>
      </c>
      <c r="I571" s="83">
        <f t="shared" si="90"/>
        <v>0</v>
      </c>
      <c r="J571" s="86">
        <v>100</v>
      </c>
      <c r="K571" s="86">
        <v>300</v>
      </c>
      <c r="L571" s="83">
        <f t="shared" si="84"/>
        <v>1274</v>
      </c>
      <c r="M571" s="94">
        <v>600</v>
      </c>
      <c r="N571" s="83">
        <f>30</f>
        <v>30</v>
      </c>
      <c r="O571" s="86">
        <v>240</v>
      </c>
      <c r="P571" s="86">
        <v>160</v>
      </c>
      <c r="Q571" s="86">
        <f t="shared" si="85"/>
        <v>195</v>
      </c>
      <c r="R571" s="86">
        <f t="shared" si="86"/>
        <v>100</v>
      </c>
      <c r="S571" s="83">
        <f t="shared" si="87"/>
        <v>695</v>
      </c>
      <c r="T571" s="83">
        <f>0</f>
        <v>0</v>
      </c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</row>
    <row r="572" spans="1:30" ht="15.75" x14ac:dyDescent="0.25">
      <c r="A572" s="32">
        <v>58348</v>
      </c>
      <c r="B572" s="95">
        <v>30</v>
      </c>
      <c r="C572" s="83">
        <f>194.205</f>
        <v>194.20500000000001</v>
      </c>
      <c r="D572" s="83">
        <f>267.466</f>
        <v>267.46600000000001</v>
      </c>
      <c r="E572" s="92">
        <f>133.845</f>
        <v>133.845</v>
      </c>
      <c r="F572" s="83">
        <f>278.484-40-25-60-100</f>
        <v>53.48399999999998</v>
      </c>
      <c r="G572" s="86">
        <v>40</v>
      </c>
      <c r="H572" s="83">
        <f t="shared" si="91"/>
        <v>185</v>
      </c>
      <c r="I572" s="83">
        <f t="shared" si="90"/>
        <v>0</v>
      </c>
      <c r="J572" s="86">
        <v>100</v>
      </c>
      <c r="K572" s="86">
        <v>300</v>
      </c>
      <c r="L572" s="83">
        <f t="shared" si="84"/>
        <v>1274</v>
      </c>
      <c r="M572" s="94">
        <v>600</v>
      </c>
      <c r="N572" s="83">
        <f>30</f>
        <v>30</v>
      </c>
      <c r="O572" s="86">
        <v>240</v>
      </c>
      <c r="P572" s="86">
        <v>160</v>
      </c>
      <c r="Q572" s="86">
        <f t="shared" si="85"/>
        <v>195</v>
      </c>
      <c r="R572" s="86">
        <f t="shared" si="86"/>
        <v>100</v>
      </c>
      <c r="S572" s="83">
        <f t="shared" si="87"/>
        <v>695</v>
      </c>
      <c r="T572" s="83">
        <f>0</f>
        <v>0</v>
      </c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</row>
    <row r="573" spans="1:30" ht="15.75" x14ac:dyDescent="0.25">
      <c r="A573" s="32">
        <v>58379</v>
      </c>
      <c r="B573" s="95">
        <v>31</v>
      </c>
      <c r="C573" s="83">
        <f>131.881</f>
        <v>131.881</v>
      </c>
      <c r="D573" s="83">
        <f>277.167</f>
        <v>277.16699999999997</v>
      </c>
      <c r="E573" s="92">
        <f>79.08</f>
        <v>79.08</v>
      </c>
      <c r="F573" s="83">
        <f>350.872-40-25-60-100</f>
        <v>125.87200000000001</v>
      </c>
      <c r="G573" s="86">
        <v>40</v>
      </c>
      <c r="H573" s="83">
        <f t="shared" si="91"/>
        <v>185</v>
      </c>
      <c r="I573" s="83">
        <f t="shared" si="90"/>
        <v>0</v>
      </c>
      <c r="J573" s="86">
        <v>100</v>
      </c>
      <c r="K573" s="86">
        <v>300</v>
      </c>
      <c r="L573" s="83">
        <f t="shared" si="84"/>
        <v>1239</v>
      </c>
      <c r="M573" s="94">
        <v>600</v>
      </c>
      <c r="N573" s="83">
        <f>75</f>
        <v>75</v>
      </c>
      <c r="O573" s="86">
        <v>240</v>
      </c>
      <c r="P573" s="86">
        <v>160</v>
      </c>
      <c r="Q573" s="86">
        <f t="shared" si="85"/>
        <v>195</v>
      </c>
      <c r="R573" s="86">
        <f t="shared" si="86"/>
        <v>100</v>
      </c>
      <c r="S573" s="83">
        <f t="shared" si="87"/>
        <v>695</v>
      </c>
      <c r="T573" s="83">
        <f>0</f>
        <v>0</v>
      </c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</row>
    <row r="574" spans="1:30" ht="15.75" x14ac:dyDescent="0.25">
      <c r="A574" s="32">
        <v>58409</v>
      </c>
      <c r="B574" s="95">
        <v>30</v>
      </c>
      <c r="C574" s="83">
        <f>122.58</f>
        <v>122.58</v>
      </c>
      <c r="D574" s="83">
        <f>297.941</f>
        <v>297.94099999999997</v>
      </c>
      <c r="E574" s="92">
        <f>89.177</f>
        <v>89.177000000000007</v>
      </c>
      <c r="F574" s="83">
        <f>240.302-40-60-100</f>
        <v>40.301999999999992</v>
      </c>
      <c r="G574" s="86">
        <v>40</v>
      </c>
      <c r="H574" s="83">
        <f>60+100</f>
        <v>160</v>
      </c>
      <c r="I574" s="83">
        <f t="shared" si="90"/>
        <v>0</v>
      </c>
      <c r="J574" s="86">
        <v>100</v>
      </c>
      <c r="K574" s="86">
        <v>300</v>
      </c>
      <c r="L574" s="83">
        <f t="shared" si="84"/>
        <v>1150</v>
      </c>
      <c r="M574" s="94">
        <v>600</v>
      </c>
      <c r="N574" s="83">
        <f>100</f>
        <v>100</v>
      </c>
      <c r="O574" s="86">
        <v>240</v>
      </c>
      <c r="P574" s="86">
        <v>40</v>
      </c>
      <c r="Q574" s="86">
        <f t="shared" si="85"/>
        <v>315</v>
      </c>
      <c r="R574" s="86">
        <f t="shared" si="86"/>
        <v>100</v>
      </c>
      <c r="S574" s="83">
        <f t="shared" si="87"/>
        <v>695</v>
      </c>
      <c r="T574" s="83">
        <f>50</f>
        <v>50</v>
      </c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</row>
    <row r="575" spans="1:30" ht="15.75" x14ac:dyDescent="0.25">
      <c r="A575" s="32">
        <v>58440</v>
      </c>
      <c r="B575" s="95">
        <v>31</v>
      </c>
      <c r="C575" s="83">
        <f>122.58</f>
        <v>122.58</v>
      </c>
      <c r="D575" s="83">
        <f>297.941</f>
        <v>297.94099999999997</v>
      </c>
      <c r="E575" s="92">
        <f>89.177</f>
        <v>89.177000000000007</v>
      </c>
      <c r="F575" s="83">
        <f>240.302-40-60-100</f>
        <v>40.301999999999992</v>
      </c>
      <c r="G575" s="86">
        <v>40</v>
      </c>
      <c r="H575" s="83">
        <f>60+100</f>
        <v>160</v>
      </c>
      <c r="I575" s="83">
        <f t="shared" si="90"/>
        <v>0</v>
      </c>
      <c r="J575" s="86">
        <v>100</v>
      </c>
      <c r="K575" s="86">
        <v>300</v>
      </c>
      <c r="L575" s="83">
        <f t="shared" si="84"/>
        <v>1150</v>
      </c>
      <c r="M575" s="94">
        <v>600</v>
      </c>
      <c r="N575" s="83">
        <f>100</f>
        <v>100</v>
      </c>
      <c r="O575" s="86">
        <v>240</v>
      </c>
      <c r="P575" s="86">
        <v>40</v>
      </c>
      <c r="Q575" s="86">
        <f t="shared" si="85"/>
        <v>315</v>
      </c>
      <c r="R575" s="86">
        <f t="shared" si="86"/>
        <v>100</v>
      </c>
      <c r="S575" s="83">
        <f t="shared" si="87"/>
        <v>695</v>
      </c>
      <c r="T575" s="83">
        <f>50</f>
        <v>50</v>
      </c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</row>
    <row r="576" spans="1:30" ht="15.75" x14ac:dyDescent="0.25">
      <c r="A576" s="32">
        <v>58471</v>
      </c>
      <c r="B576" s="95">
        <v>31</v>
      </c>
      <c r="C576" s="83">
        <f>122.58</f>
        <v>122.58</v>
      </c>
      <c r="D576" s="83">
        <f>297.941</f>
        <v>297.94099999999997</v>
      </c>
      <c r="E576" s="92">
        <f>89.177</f>
        <v>89.177000000000007</v>
      </c>
      <c r="F576" s="83">
        <f>240.302-40-60-100</f>
        <v>40.301999999999992</v>
      </c>
      <c r="G576" s="86">
        <v>40</v>
      </c>
      <c r="H576" s="83">
        <f>60+100</f>
        <v>160</v>
      </c>
      <c r="I576" s="83">
        <f t="shared" si="90"/>
        <v>0</v>
      </c>
      <c r="J576" s="86">
        <v>100</v>
      </c>
      <c r="K576" s="86">
        <v>300</v>
      </c>
      <c r="L576" s="83">
        <f t="shared" si="84"/>
        <v>1150</v>
      </c>
      <c r="M576" s="94">
        <v>600</v>
      </c>
      <c r="N576" s="83">
        <f>100</f>
        <v>100</v>
      </c>
      <c r="O576" s="86">
        <v>240</v>
      </c>
      <c r="P576" s="86">
        <v>40</v>
      </c>
      <c r="Q576" s="86">
        <f t="shared" si="85"/>
        <v>315</v>
      </c>
      <c r="R576" s="86">
        <f t="shared" si="86"/>
        <v>100</v>
      </c>
      <c r="S576" s="83">
        <f t="shared" si="87"/>
        <v>695</v>
      </c>
      <c r="T576" s="83">
        <f>50</f>
        <v>50</v>
      </c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</row>
    <row r="577" spans="1:30" ht="15.75" x14ac:dyDescent="0.25">
      <c r="A577" s="32">
        <v>58499</v>
      </c>
      <c r="B577" s="95">
        <v>29</v>
      </c>
      <c r="C577" s="83">
        <f>122.58</f>
        <v>122.58</v>
      </c>
      <c r="D577" s="83">
        <f>297.941</f>
        <v>297.94099999999997</v>
      </c>
      <c r="E577" s="92">
        <f>89.177</f>
        <v>89.177000000000007</v>
      </c>
      <c r="F577" s="83">
        <f>240.302-40-60-100</f>
        <v>40.301999999999992</v>
      </c>
      <c r="G577" s="86">
        <v>40</v>
      </c>
      <c r="H577" s="83">
        <f>60+100</f>
        <v>160</v>
      </c>
      <c r="I577" s="83">
        <f t="shared" si="90"/>
        <v>0</v>
      </c>
      <c r="J577" s="86">
        <v>100</v>
      </c>
      <c r="K577" s="86">
        <v>300</v>
      </c>
      <c r="L577" s="83">
        <f t="shared" si="84"/>
        <v>1150</v>
      </c>
      <c r="M577" s="94">
        <v>600</v>
      </c>
      <c r="N577" s="83">
        <f>100</f>
        <v>100</v>
      </c>
      <c r="O577" s="86">
        <v>240</v>
      </c>
      <c r="P577" s="86">
        <v>40</v>
      </c>
      <c r="Q577" s="86">
        <f t="shared" si="85"/>
        <v>315</v>
      </c>
      <c r="R577" s="86">
        <f t="shared" si="86"/>
        <v>100</v>
      </c>
      <c r="S577" s="83">
        <f t="shared" si="87"/>
        <v>695</v>
      </c>
      <c r="T577" s="83">
        <f>50</f>
        <v>50</v>
      </c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</row>
    <row r="578" spans="1:30" ht="15.75" x14ac:dyDescent="0.25">
      <c r="A578" s="32">
        <v>58531</v>
      </c>
      <c r="B578" s="95">
        <v>31</v>
      </c>
      <c r="C578" s="83">
        <f>122.58</f>
        <v>122.58</v>
      </c>
      <c r="D578" s="83">
        <f>297.941</f>
        <v>297.94099999999997</v>
      </c>
      <c r="E578" s="92">
        <f>89.177</f>
        <v>89.177000000000007</v>
      </c>
      <c r="F578" s="83">
        <f>240.302-40-60-100</f>
        <v>40.301999999999992</v>
      </c>
      <c r="G578" s="86">
        <v>40</v>
      </c>
      <c r="H578" s="83">
        <f>60+100</f>
        <v>160</v>
      </c>
      <c r="I578" s="83">
        <f t="shared" si="90"/>
        <v>0</v>
      </c>
      <c r="J578" s="86">
        <v>100</v>
      </c>
      <c r="K578" s="86">
        <v>300</v>
      </c>
      <c r="L578" s="83">
        <f t="shared" si="84"/>
        <v>1150</v>
      </c>
      <c r="M578" s="94">
        <v>600</v>
      </c>
      <c r="N578" s="83">
        <f>100</f>
        <v>100</v>
      </c>
      <c r="O578" s="86">
        <v>240</v>
      </c>
      <c r="P578" s="86">
        <v>40</v>
      </c>
      <c r="Q578" s="86">
        <f t="shared" si="85"/>
        <v>315</v>
      </c>
      <c r="R578" s="86">
        <f t="shared" si="86"/>
        <v>100</v>
      </c>
      <c r="S578" s="83">
        <f t="shared" si="87"/>
        <v>695</v>
      </c>
      <c r="T578" s="83">
        <f>50</f>
        <v>50</v>
      </c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</row>
    <row r="579" spans="1:30" ht="15.75" x14ac:dyDescent="0.25">
      <c r="A579" s="32">
        <v>58561</v>
      </c>
      <c r="B579" s="95">
        <v>30</v>
      </c>
      <c r="C579" s="83">
        <f>141.293</f>
        <v>141.29300000000001</v>
      </c>
      <c r="D579" s="83">
        <f>267.993</f>
        <v>267.99299999999999</v>
      </c>
      <c r="E579" s="92">
        <f>115.016</f>
        <v>115.01600000000001</v>
      </c>
      <c r="F579" s="83">
        <f>314.698-40-25-60-100</f>
        <v>89.697999999999979</v>
      </c>
      <c r="G579" s="86">
        <v>40</v>
      </c>
      <c r="H579" s="83">
        <f t="shared" ref="H579:H585" si="92">25+60+100</f>
        <v>185</v>
      </c>
      <c r="I579" s="83">
        <f t="shared" si="90"/>
        <v>0</v>
      </c>
      <c r="J579" s="86">
        <v>100</v>
      </c>
      <c r="K579" s="86">
        <v>300</v>
      </c>
      <c r="L579" s="83">
        <f t="shared" si="84"/>
        <v>1239</v>
      </c>
      <c r="M579" s="94">
        <v>600</v>
      </c>
      <c r="N579" s="83">
        <f>100</f>
        <v>100</v>
      </c>
      <c r="O579" s="86">
        <v>240</v>
      </c>
      <c r="P579" s="86">
        <v>160</v>
      </c>
      <c r="Q579" s="86">
        <f t="shared" si="85"/>
        <v>195</v>
      </c>
      <c r="R579" s="86">
        <f t="shared" si="86"/>
        <v>100</v>
      </c>
      <c r="S579" s="83">
        <f t="shared" si="87"/>
        <v>695</v>
      </c>
      <c r="T579" s="83">
        <f>50</f>
        <v>50</v>
      </c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</row>
    <row r="580" spans="1:30" ht="15.75" x14ac:dyDescent="0.25">
      <c r="A580" s="32">
        <v>58592</v>
      </c>
      <c r="B580" s="95">
        <v>31</v>
      </c>
      <c r="C580" s="83">
        <f>194.205</f>
        <v>194.20500000000001</v>
      </c>
      <c r="D580" s="83">
        <f>267.466</f>
        <v>267.46600000000001</v>
      </c>
      <c r="E580" s="92">
        <f>133.845</f>
        <v>133.845</v>
      </c>
      <c r="F580" s="83">
        <f>278.484-40-25-60-100</f>
        <v>53.48399999999998</v>
      </c>
      <c r="G580" s="86">
        <v>40</v>
      </c>
      <c r="H580" s="83">
        <f t="shared" si="92"/>
        <v>185</v>
      </c>
      <c r="I580" s="83">
        <f t="shared" si="90"/>
        <v>0</v>
      </c>
      <c r="J580" s="86">
        <v>100</v>
      </c>
      <c r="K580" s="86">
        <v>300</v>
      </c>
      <c r="L580" s="83">
        <f t="shared" si="84"/>
        <v>1274</v>
      </c>
      <c r="M580" s="94">
        <v>600</v>
      </c>
      <c r="N580" s="83">
        <f>75</f>
        <v>75</v>
      </c>
      <c r="O580" s="86">
        <v>240</v>
      </c>
      <c r="P580" s="86">
        <v>160</v>
      </c>
      <c r="Q580" s="86">
        <f t="shared" si="85"/>
        <v>195</v>
      </c>
      <c r="R580" s="86">
        <f t="shared" si="86"/>
        <v>100</v>
      </c>
      <c r="S580" s="83">
        <f t="shared" si="87"/>
        <v>695</v>
      </c>
      <c r="T580" s="83">
        <f>50</f>
        <v>50</v>
      </c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</row>
    <row r="581" spans="1:30" ht="15.75" x14ac:dyDescent="0.25">
      <c r="A581" s="32">
        <v>58622</v>
      </c>
      <c r="B581" s="95">
        <v>30</v>
      </c>
      <c r="C581" s="83">
        <f>194.205</f>
        <v>194.20500000000001</v>
      </c>
      <c r="D581" s="83">
        <f>267.466</f>
        <v>267.46600000000001</v>
      </c>
      <c r="E581" s="92">
        <f>133.845</f>
        <v>133.845</v>
      </c>
      <c r="F581" s="83">
        <f>278.484-40-25-60-100</f>
        <v>53.48399999999998</v>
      </c>
      <c r="G581" s="86">
        <v>40</v>
      </c>
      <c r="H581" s="83">
        <f t="shared" si="92"/>
        <v>185</v>
      </c>
      <c r="I581" s="83">
        <f t="shared" si="90"/>
        <v>0</v>
      </c>
      <c r="J581" s="86">
        <v>100</v>
      </c>
      <c r="K581" s="86">
        <v>300</v>
      </c>
      <c r="L581" s="83">
        <f t="shared" si="84"/>
        <v>1274</v>
      </c>
      <c r="M581" s="94">
        <v>600</v>
      </c>
      <c r="N581" s="83">
        <f>30</f>
        <v>30</v>
      </c>
      <c r="O581" s="86">
        <v>240</v>
      </c>
      <c r="P581" s="86">
        <v>160</v>
      </c>
      <c r="Q581" s="86">
        <f t="shared" si="85"/>
        <v>195</v>
      </c>
      <c r="R581" s="86">
        <f t="shared" si="86"/>
        <v>100</v>
      </c>
      <c r="S581" s="83">
        <f t="shared" si="87"/>
        <v>695</v>
      </c>
      <c r="T581" s="83">
        <f>50</f>
        <v>50</v>
      </c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</row>
    <row r="582" spans="1:30" ht="15.75" x14ac:dyDescent="0.25">
      <c r="A582" s="32">
        <v>58653</v>
      </c>
      <c r="B582" s="95">
        <v>31</v>
      </c>
      <c r="C582" s="83">
        <f>194.205</f>
        <v>194.20500000000001</v>
      </c>
      <c r="D582" s="83">
        <f>267.466</f>
        <v>267.46600000000001</v>
      </c>
      <c r="E582" s="92">
        <f>133.845</f>
        <v>133.845</v>
      </c>
      <c r="F582" s="83">
        <f>278.484-40-25-60-100</f>
        <v>53.48399999999998</v>
      </c>
      <c r="G582" s="86">
        <v>40</v>
      </c>
      <c r="H582" s="83">
        <f t="shared" si="92"/>
        <v>185</v>
      </c>
      <c r="I582" s="83">
        <f t="shared" si="90"/>
        <v>0</v>
      </c>
      <c r="J582" s="86">
        <v>100</v>
      </c>
      <c r="K582" s="86">
        <v>300</v>
      </c>
      <c r="L582" s="83">
        <f t="shared" si="84"/>
        <v>1274</v>
      </c>
      <c r="M582" s="94">
        <v>600</v>
      </c>
      <c r="N582" s="83">
        <f>30</f>
        <v>30</v>
      </c>
      <c r="O582" s="86">
        <v>240</v>
      </c>
      <c r="P582" s="86">
        <v>160</v>
      </c>
      <c r="Q582" s="86">
        <f t="shared" si="85"/>
        <v>195</v>
      </c>
      <c r="R582" s="86">
        <f t="shared" si="86"/>
        <v>100</v>
      </c>
      <c r="S582" s="83">
        <f t="shared" si="87"/>
        <v>695</v>
      </c>
      <c r="T582" s="83">
        <f>0</f>
        <v>0</v>
      </c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</row>
    <row r="583" spans="1:30" ht="15.75" x14ac:dyDescent="0.25">
      <c r="A583" s="32">
        <v>58684</v>
      </c>
      <c r="B583" s="95">
        <v>31</v>
      </c>
      <c r="C583" s="83">
        <f>194.205</f>
        <v>194.20500000000001</v>
      </c>
      <c r="D583" s="83">
        <f>267.466</f>
        <v>267.46600000000001</v>
      </c>
      <c r="E583" s="92">
        <f>133.845</f>
        <v>133.845</v>
      </c>
      <c r="F583" s="83">
        <f>278.484-40-25-60-100</f>
        <v>53.48399999999998</v>
      </c>
      <c r="G583" s="86">
        <v>40</v>
      </c>
      <c r="H583" s="83">
        <f t="shared" si="92"/>
        <v>185</v>
      </c>
      <c r="I583" s="83">
        <f t="shared" si="90"/>
        <v>0</v>
      </c>
      <c r="J583" s="86">
        <v>100</v>
      </c>
      <c r="K583" s="86">
        <v>300</v>
      </c>
      <c r="L583" s="83">
        <f t="shared" si="84"/>
        <v>1274</v>
      </c>
      <c r="M583" s="94">
        <v>600</v>
      </c>
      <c r="N583" s="83">
        <f>30</f>
        <v>30</v>
      </c>
      <c r="O583" s="86">
        <v>240</v>
      </c>
      <c r="P583" s="86">
        <v>160</v>
      </c>
      <c r="Q583" s="86">
        <f t="shared" si="85"/>
        <v>195</v>
      </c>
      <c r="R583" s="86">
        <f t="shared" si="86"/>
        <v>100</v>
      </c>
      <c r="S583" s="83">
        <f t="shared" si="87"/>
        <v>695</v>
      </c>
      <c r="T583" s="83">
        <f>0</f>
        <v>0</v>
      </c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</row>
    <row r="584" spans="1:30" ht="15.75" x14ac:dyDescent="0.25">
      <c r="A584" s="32">
        <v>58714</v>
      </c>
      <c r="B584" s="95">
        <v>30</v>
      </c>
      <c r="C584" s="83">
        <f>194.205</f>
        <v>194.20500000000001</v>
      </c>
      <c r="D584" s="83">
        <f>267.466</f>
        <v>267.46600000000001</v>
      </c>
      <c r="E584" s="92">
        <f>133.845</f>
        <v>133.845</v>
      </c>
      <c r="F584" s="83">
        <f>278.484-40-25-60-100</f>
        <v>53.48399999999998</v>
      </c>
      <c r="G584" s="86">
        <v>40</v>
      </c>
      <c r="H584" s="83">
        <f t="shared" si="92"/>
        <v>185</v>
      </c>
      <c r="I584" s="83">
        <f t="shared" si="90"/>
        <v>0</v>
      </c>
      <c r="J584" s="86">
        <v>100</v>
      </c>
      <c r="K584" s="86">
        <v>300</v>
      </c>
      <c r="L584" s="83">
        <f t="shared" si="84"/>
        <v>1274</v>
      </c>
      <c r="M584" s="94">
        <v>600</v>
      </c>
      <c r="N584" s="83">
        <f>30</f>
        <v>30</v>
      </c>
      <c r="O584" s="86">
        <v>240</v>
      </c>
      <c r="P584" s="86">
        <v>160</v>
      </c>
      <c r="Q584" s="86">
        <f t="shared" si="85"/>
        <v>195</v>
      </c>
      <c r="R584" s="86">
        <f t="shared" si="86"/>
        <v>100</v>
      </c>
      <c r="S584" s="83">
        <f t="shared" si="87"/>
        <v>695</v>
      </c>
      <c r="T584" s="83">
        <f>0</f>
        <v>0</v>
      </c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</row>
    <row r="585" spans="1:30" ht="15.75" x14ac:dyDescent="0.25">
      <c r="A585" s="32">
        <v>58745</v>
      </c>
      <c r="B585" s="95">
        <v>31</v>
      </c>
      <c r="C585" s="83">
        <f>131.881</f>
        <v>131.881</v>
      </c>
      <c r="D585" s="83">
        <f>277.167</f>
        <v>277.16699999999997</v>
      </c>
      <c r="E585" s="92">
        <f>79.08</f>
        <v>79.08</v>
      </c>
      <c r="F585" s="83">
        <f>350.872-40-25-60-100</f>
        <v>125.87200000000001</v>
      </c>
      <c r="G585" s="86">
        <v>40</v>
      </c>
      <c r="H585" s="83">
        <f t="shared" si="92"/>
        <v>185</v>
      </c>
      <c r="I585" s="83">
        <f t="shared" si="90"/>
        <v>0</v>
      </c>
      <c r="J585" s="86">
        <v>100</v>
      </c>
      <c r="K585" s="86">
        <v>300</v>
      </c>
      <c r="L585" s="83">
        <f t="shared" si="84"/>
        <v>1239</v>
      </c>
      <c r="M585" s="94">
        <v>600</v>
      </c>
      <c r="N585" s="83">
        <f>75</f>
        <v>75</v>
      </c>
      <c r="O585" s="86">
        <v>240</v>
      </c>
      <c r="P585" s="86">
        <v>160</v>
      </c>
      <c r="Q585" s="86">
        <f t="shared" si="85"/>
        <v>195</v>
      </c>
      <c r="R585" s="86">
        <f t="shared" si="86"/>
        <v>100</v>
      </c>
      <c r="S585" s="83">
        <f t="shared" si="87"/>
        <v>695</v>
      </c>
      <c r="T585" s="83">
        <f>0</f>
        <v>0</v>
      </c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</row>
    <row r="586" spans="1:30" ht="15.75" x14ac:dyDescent="0.25">
      <c r="A586" s="32">
        <v>58775</v>
      </c>
      <c r="B586" s="95">
        <v>30</v>
      </c>
      <c r="C586" s="83">
        <f>122.58</f>
        <v>122.58</v>
      </c>
      <c r="D586" s="83">
        <f>297.941</f>
        <v>297.94099999999997</v>
      </c>
      <c r="E586" s="92">
        <f>89.177</f>
        <v>89.177000000000007</v>
      </c>
      <c r="F586" s="83">
        <f>240.302-40-60-100</f>
        <v>40.301999999999992</v>
      </c>
      <c r="G586" s="86">
        <v>40</v>
      </c>
      <c r="H586" s="83">
        <f>60+100</f>
        <v>160</v>
      </c>
      <c r="I586" s="83">
        <f t="shared" si="90"/>
        <v>0</v>
      </c>
      <c r="J586" s="86">
        <v>100</v>
      </c>
      <c r="K586" s="86">
        <v>300</v>
      </c>
      <c r="L586" s="83">
        <f t="shared" si="84"/>
        <v>1150</v>
      </c>
      <c r="M586" s="94">
        <v>600</v>
      </c>
      <c r="N586" s="83">
        <f>100</f>
        <v>100</v>
      </c>
      <c r="O586" s="86">
        <v>240</v>
      </c>
      <c r="P586" s="86">
        <v>40</v>
      </c>
      <c r="Q586" s="86">
        <f t="shared" si="85"/>
        <v>315</v>
      </c>
      <c r="R586" s="86">
        <f t="shared" si="86"/>
        <v>100</v>
      </c>
      <c r="S586" s="83">
        <f t="shared" si="87"/>
        <v>695</v>
      </c>
      <c r="T586" s="83">
        <f>50</f>
        <v>50</v>
      </c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</row>
    <row r="587" spans="1:30" ht="15.75" x14ac:dyDescent="0.25">
      <c r="A587" s="32">
        <v>58806</v>
      </c>
      <c r="B587" s="95">
        <v>31</v>
      </c>
      <c r="C587" s="83">
        <f>122.58</f>
        <v>122.58</v>
      </c>
      <c r="D587" s="83">
        <f>297.941</f>
        <v>297.94099999999997</v>
      </c>
      <c r="E587" s="92">
        <f>89.177</f>
        <v>89.177000000000007</v>
      </c>
      <c r="F587" s="83">
        <f>240.302-40-60-100</f>
        <v>40.301999999999992</v>
      </c>
      <c r="G587" s="86">
        <v>40</v>
      </c>
      <c r="H587" s="83">
        <f>60+100</f>
        <v>160</v>
      </c>
      <c r="I587" s="83">
        <f t="shared" si="90"/>
        <v>0</v>
      </c>
      <c r="J587" s="86">
        <v>100</v>
      </c>
      <c r="K587" s="86">
        <v>300</v>
      </c>
      <c r="L587" s="83">
        <f t="shared" si="84"/>
        <v>1150</v>
      </c>
      <c r="M587" s="94">
        <v>600</v>
      </c>
      <c r="N587" s="83">
        <f>100</f>
        <v>100</v>
      </c>
      <c r="O587" s="86">
        <v>240</v>
      </c>
      <c r="P587" s="86">
        <v>40</v>
      </c>
      <c r="Q587" s="86">
        <f t="shared" si="85"/>
        <v>315</v>
      </c>
      <c r="R587" s="86">
        <f t="shared" si="86"/>
        <v>100</v>
      </c>
      <c r="S587" s="83">
        <f t="shared" si="87"/>
        <v>695</v>
      </c>
      <c r="T587" s="83">
        <f>50</f>
        <v>50</v>
      </c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</row>
    <row r="588" spans="1:30" ht="15.75" x14ac:dyDescent="0.25">
      <c r="A588" s="32">
        <v>58837</v>
      </c>
      <c r="B588" s="95">
        <v>31</v>
      </c>
      <c r="C588" s="83">
        <f>122.58</f>
        <v>122.58</v>
      </c>
      <c r="D588" s="83">
        <f>297.941</f>
        <v>297.94099999999997</v>
      </c>
      <c r="E588" s="92">
        <f>89.177</f>
        <v>89.177000000000007</v>
      </c>
      <c r="F588" s="83">
        <f>240.302-40-60-100</f>
        <v>40.301999999999992</v>
      </c>
      <c r="G588" s="86">
        <v>40</v>
      </c>
      <c r="H588" s="83">
        <f>60+100</f>
        <v>160</v>
      </c>
      <c r="I588" s="83">
        <f t="shared" si="90"/>
        <v>0</v>
      </c>
      <c r="J588" s="86">
        <v>100</v>
      </c>
      <c r="K588" s="86">
        <v>300</v>
      </c>
      <c r="L588" s="83">
        <f t="shared" si="84"/>
        <v>1150</v>
      </c>
      <c r="M588" s="94">
        <v>600</v>
      </c>
      <c r="N588" s="83">
        <f>100</f>
        <v>100</v>
      </c>
      <c r="O588" s="86">
        <v>240</v>
      </c>
      <c r="P588" s="86">
        <v>40</v>
      </c>
      <c r="Q588" s="86">
        <f t="shared" si="85"/>
        <v>315</v>
      </c>
      <c r="R588" s="86">
        <f t="shared" si="86"/>
        <v>100</v>
      </c>
      <c r="S588" s="83">
        <f t="shared" si="87"/>
        <v>695</v>
      </c>
      <c r="T588" s="83">
        <f>50</f>
        <v>50</v>
      </c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</row>
    <row r="589" spans="1:30" ht="15.75" x14ac:dyDescent="0.25">
      <c r="A589" s="32">
        <v>58865</v>
      </c>
      <c r="B589" s="95">
        <v>28</v>
      </c>
      <c r="C589" s="83">
        <f>122.58</f>
        <v>122.58</v>
      </c>
      <c r="D589" s="83">
        <f>297.941</f>
        <v>297.94099999999997</v>
      </c>
      <c r="E589" s="92">
        <f>89.177</f>
        <v>89.177000000000007</v>
      </c>
      <c r="F589" s="83">
        <f>240.302-40-60-100</f>
        <v>40.301999999999992</v>
      </c>
      <c r="G589" s="86">
        <v>40</v>
      </c>
      <c r="H589" s="83">
        <f>60+100</f>
        <v>160</v>
      </c>
      <c r="I589" s="83">
        <f t="shared" si="90"/>
        <v>0</v>
      </c>
      <c r="J589" s="86">
        <v>100</v>
      </c>
      <c r="K589" s="86">
        <v>300</v>
      </c>
      <c r="L589" s="83">
        <f t="shared" si="84"/>
        <v>1150</v>
      </c>
      <c r="M589" s="94">
        <v>600</v>
      </c>
      <c r="N589" s="83">
        <f>100</f>
        <v>100</v>
      </c>
      <c r="O589" s="86">
        <v>240</v>
      </c>
      <c r="P589" s="86">
        <v>40</v>
      </c>
      <c r="Q589" s="86">
        <f t="shared" si="85"/>
        <v>315</v>
      </c>
      <c r="R589" s="86">
        <f t="shared" si="86"/>
        <v>100</v>
      </c>
      <c r="S589" s="83">
        <f t="shared" si="87"/>
        <v>695</v>
      </c>
      <c r="T589" s="83">
        <f>50</f>
        <v>50</v>
      </c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</row>
    <row r="590" spans="1:30" ht="15.75" x14ac:dyDescent="0.25">
      <c r="A590" s="32">
        <v>58893</v>
      </c>
      <c r="B590" s="95">
        <v>31</v>
      </c>
      <c r="C590" s="83">
        <f>122.58</f>
        <v>122.58</v>
      </c>
      <c r="D590" s="83">
        <f>297.941</f>
        <v>297.94099999999997</v>
      </c>
      <c r="E590" s="92">
        <f>89.177</f>
        <v>89.177000000000007</v>
      </c>
      <c r="F590" s="83">
        <f>240.302-40-60-100</f>
        <v>40.301999999999992</v>
      </c>
      <c r="G590" s="86">
        <v>40</v>
      </c>
      <c r="H590" s="83">
        <f>60+100</f>
        <v>160</v>
      </c>
      <c r="I590" s="83">
        <f t="shared" si="90"/>
        <v>0</v>
      </c>
      <c r="J590" s="86">
        <v>100</v>
      </c>
      <c r="K590" s="86">
        <v>300</v>
      </c>
      <c r="L590" s="83">
        <f t="shared" si="84"/>
        <v>1150</v>
      </c>
      <c r="M590" s="94">
        <v>600</v>
      </c>
      <c r="N590" s="83">
        <f>100</f>
        <v>100</v>
      </c>
      <c r="O590" s="86">
        <v>240</v>
      </c>
      <c r="P590" s="86">
        <v>40</v>
      </c>
      <c r="Q590" s="86">
        <f t="shared" si="85"/>
        <v>315</v>
      </c>
      <c r="R590" s="86">
        <f t="shared" si="86"/>
        <v>100</v>
      </c>
      <c r="S590" s="83">
        <f t="shared" si="87"/>
        <v>695</v>
      </c>
      <c r="T590" s="83">
        <f>50</f>
        <v>50</v>
      </c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</row>
    <row r="591" spans="1:30" ht="15.75" x14ac:dyDescent="0.25">
      <c r="A591" s="32">
        <v>58926</v>
      </c>
      <c r="B591" s="95">
        <v>30</v>
      </c>
      <c r="C591" s="83">
        <f>141.293</f>
        <v>141.29300000000001</v>
      </c>
      <c r="D591" s="83">
        <f>267.993</f>
        <v>267.99299999999999</v>
      </c>
      <c r="E591" s="92">
        <f>115.016</f>
        <v>115.01600000000001</v>
      </c>
      <c r="F591" s="83">
        <f>314.698-40-25-60-100</f>
        <v>89.697999999999979</v>
      </c>
      <c r="G591" s="86">
        <v>40</v>
      </c>
      <c r="H591" s="83">
        <f t="shared" ref="H591:H597" si="93">25+60+100</f>
        <v>185</v>
      </c>
      <c r="I591" s="83">
        <f t="shared" si="90"/>
        <v>0</v>
      </c>
      <c r="J591" s="86">
        <v>100</v>
      </c>
      <c r="K591" s="86">
        <v>300</v>
      </c>
      <c r="L591" s="83">
        <f t="shared" si="84"/>
        <v>1239</v>
      </c>
      <c r="M591" s="94">
        <v>600</v>
      </c>
      <c r="N591" s="83">
        <f>100</f>
        <v>100</v>
      </c>
      <c r="O591" s="86">
        <v>240</v>
      </c>
      <c r="P591" s="86">
        <v>160</v>
      </c>
      <c r="Q591" s="86">
        <f t="shared" si="85"/>
        <v>195</v>
      </c>
      <c r="R591" s="86">
        <f t="shared" si="86"/>
        <v>100</v>
      </c>
      <c r="S591" s="83">
        <f t="shared" si="87"/>
        <v>695</v>
      </c>
      <c r="T591" s="83">
        <f>50</f>
        <v>50</v>
      </c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</row>
    <row r="592" spans="1:30" ht="15.75" x14ac:dyDescent="0.25">
      <c r="A592" s="32">
        <v>58957</v>
      </c>
      <c r="B592" s="95">
        <v>31</v>
      </c>
      <c r="C592" s="83">
        <f>194.205</f>
        <v>194.20500000000001</v>
      </c>
      <c r="D592" s="83">
        <f>267.466</f>
        <v>267.46600000000001</v>
      </c>
      <c r="E592" s="92">
        <f>133.845</f>
        <v>133.845</v>
      </c>
      <c r="F592" s="83">
        <f>278.484-40-25-60-100</f>
        <v>53.48399999999998</v>
      </c>
      <c r="G592" s="86">
        <v>40</v>
      </c>
      <c r="H592" s="83">
        <f t="shared" si="93"/>
        <v>185</v>
      </c>
      <c r="I592" s="83">
        <f t="shared" si="90"/>
        <v>0</v>
      </c>
      <c r="J592" s="86">
        <v>100</v>
      </c>
      <c r="K592" s="86">
        <v>300</v>
      </c>
      <c r="L592" s="83">
        <f t="shared" si="84"/>
        <v>1274</v>
      </c>
      <c r="M592" s="94">
        <v>600</v>
      </c>
      <c r="N592" s="83">
        <f>75</f>
        <v>75</v>
      </c>
      <c r="O592" s="86">
        <v>240</v>
      </c>
      <c r="P592" s="86">
        <v>160</v>
      </c>
      <c r="Q592" s="86">
        <f t="shared" si="85"/>
        <v>195</v>
      </c>
      <c r="R592" s="86">
        <f t="shared" si="86"/>
        <v>100</v>
      </c>
      <c r="S592" s="83">
        <f t="shared" si="87"/>
        <v>695</v>
      </c>
      <c r="T592" s="83">
        <f>50</f>
        <v>50</v>
      </c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</row>
    <row r="593" spans="1:30" ht="15.75" x14ac:dyDescent="0.25">
      <c r="A593" s="32">
        <v>58987</v>
      </c>
      <c r="B593" s="95">
        <v>30</v>
      </c>
      <c r="C593" s="83">
        <f>194.205</f>
        <v>194.20500000000001</v>
      </c>
      <c r="D593" s="83">
        <f>267.466</f>
        <v>267.46600000000001</v>
      </c>
      <c r="E593" s="92">
        <f>133.845</f>
        <v>133.845</v>
      </c>
      <c r="F593" s="83">
        <f>278.484-40-25-60-100</f>
        <v>53.48399999999998</v>
      </c>
      <c r="G593" s="86">
        <v>40</v>
      </c>
      <c r="H593" s="83">
        <f t="shared" si="93"/>
        <v>185</v>
      </c>
      <c r="I593" s="83">
        <f t="shared" si="90"/>
        <v>0</v>
      </c>
      <c r="J593" s="86">
        <v>100</v>
      </c>
      <c r="K593" s="86">
        <v>300</v>
      </c>
      <c r="L593" s="83">
        <f t="shared" si="84"/>
        <v>1274</v>
      </c>
      <c r="M593" s="94">
        <v>600</v>
      </c>
      <c r="N593" s="83">
        <f>30</f>
        <v>30</v>
      </c>
      <c r="O593" s="86">
        <v>240</v>
      </c>
      <c r="P593" s="86">
        <v>160</v>
      </c>
      <c r="Q593" s="86">
        <f t="shared" si="85"/>
        <v>195</v>
      </c>
      <c r="R593" s="86">
        <f t="shared" si="86"/>
        <v>100</v>
      </c>
      <c r="S593" s="83">
        <f t="shared" si="87"/>
        <v>695</v>
      </c>
      <c r="T593" s="83">
        <f>50</f>
        <v>50</v>
      </c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</row>
    <row r="594" spans="1:30" ht="15.75" x14ac:dyDescent="0.25">
      <c r="A594" s="32">
        <v>59018</v>
      </c>
      <c r="B594" s="95">
        <v>31</v>
      </c>
      <c r="C594" s="83">
        <f>194.205</f>
        <v>194.20500000000001</v>
      </c>
      <c r="D594" s="83">
        <f>267.466</f>
        <v>267.46600000000001</v>
      </c>
      <c r="E594" s="92">
        <f>133.845</f>
        <v>133.845</v>
      </c>
      <c r="F594" s="83">
        <f>278.484-40-25-60-100</f>
        <v>53.48399999999998</v>
      </c>
      <c r="G594" s="86">
        <v>40</v>
      </c>
      <c r="H594" s="83">
        <f t="shared" si="93"/>
        <v>185</v>
      </c>
      <c r="I594" s="83">
        <f t="shared" si="90"/>
        <v>0</v>
      </c>
      <c r="J594" s="86">
        <v>100</v>
      </c>
      <c r="K594" s="86">
        <v>300</v>
      </c>
      <c r="L594" s="83">
        <f t="shared" si="84"/>
        <v>1274</v>
      </c>
      <c r="M594" s="94">
        <v>600</v>
      </c>
      <c r="N594" s="83">
        <f>30</f>
        <v>30</v>
      </c>
      <c r="O594" s="86">
        <v>240</v>
      </c>
      <c r="P594" s="86">
        <v>160</v>
      </c>
      <c r="Q594" s="86">
        <f t="shared" si="85"/>
        <v>195</v>
      </c>
      <c r="R594" s="86">
        <f t="shared" si="86"/>
        <v>100</v>
      </c>
      <c r="S594" s="83">
        <f t="shared" si="87"/>
        <v>695</v>
      </c>
      <c r="T594" s="83">
        <f>0</f>
        <v>0</v>
      </c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</row>
    <row r="595" spans="1:30" ht="15.75" x14ac:dyDescent="0.25">
      <c r="A595" s="32">
        <v>59049</v>
      </c>
      <c r="B595" s="95">
        <v>31</v>
      </c>
      <c r="C595" s="83">
        <f>194.205</f>
        <v>194.20500000000001</v>
      </c>
      <c r="D595" s="83">
        <f>267.466</f>
        <v>267.46600000000001</v>
      </c>
      <c r="E595" s="92">
        <f>133.845</f>
        <v>133.845</v>
      </c>
      <c r="F595" s="83">
        <f>278.484-40-25-60-100</f>
        <v>53.48399999999998</v>
      </c>
      <c r="G595" s="86">
        <v>40</v>
      </c>
      <c r="H595" s="83">
        <f t="shared" si="93"/>
        <v>185</v>
      </c>
      <c r="I595" s="83">
        <f t="shared" si="90"/>
        <v>0</v>
      </c>
      <c r="J595" s="86">
        <v>100</v>
      </c>
      <c r="K595" s="86">
        <v>300</v>
      </c>
      <c r="L595" s="83">
        <f t="shared" si="84"/>
        <v>1274</v>
      </c>
      <c r="M595" s="94">
        <v>600</v>
      </c>
      <c r="N595" s="83">
        <f>30</f>
        <v>30</v>
      </c>
      <c r="O595" s="86">
        <v>240</v>
      </c>
      <c r="P595" s="86">
        <v>160</v>
      </c>
      <c r="Q595" s="86">
        <f t="shared" si="85"/>
        <v>195</v>
      </c>
      <c r="R595" s="86">
        <f t="shared" si="86"/>
        <v>100</v>
      </c>
      <c r="S595" s="83">
        <f t="shared" si="87"/>
        <v>695</v>
      </c>
      <c r="T595" s="83">
        <f>0</f>
        <v>0</v>
      </c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</row>
    <row r="596" spans="1:30" ht="15.75" x14ac:dyDescent="0.25">
      <c r="A596" s="32">
        <v>59079</v>
      </c>
      <c r="B596" s="95">
        <v>30</v>
      </c>
      <c r="C596" s="83">
        <f>194.205</f>
        <v>194.20500000000001</v>
      </c>
      <c r="D596" s="83">
        <f>267.466</f>
        <v>267.46600000000001</v>
      </c>
      <c r="E596" s="92">
        <f>133.845</f>
        <v>133.845</v>
      </c>
      <c r="F596" s="83">
        <f>278.484-40-25-60-100</f>
        <v>53.48399999999998</v>
      </c>
      <c r="G596" s="86">
        <v>40</v>
      </c>
      <c r="H596" s="83">
        <f t="shared" si="93"/>
        <v>185</v>
      </c>
      <c r="I596" s="83">
        <f t="shared" si="90"/>
        <v>0</v>
      </c>
      <c r="J596" s="86">
        <v>100</v>
      </c>
      <c r="K596" s="86">
        <v>300</v>
      </c>
      <c r="L596" s="83">
        <f t="shared" si="84"/>
        <v>1274</v>
      </c>
      <c r="M596" s="94">
        <v>600</v>
      </c>
      <c r="N596" s="83">
        <f>30</f>
        <v>30</v>
      </c>
      <c r="O596" s="86">
        <v>240</v>
      </c>
      <c r="P596" s="86">
        <v>160</v>
      </c>
      <c r="Q596" s="86">
        <f t="shared" si="85"/>
        <v>195</v>
      </c>
      <c r="R596" s="86">
        <f t="shared" si="86"/>
        <v>100</v>
      </c>
      <c r="S596" s="83">
        <f t="shared" si="87"/>
        <v>695</v>
      </c>
      <c r="T596" s="83">
        <f>0</f>
        <v>0</v>
      </c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</row>
    <row r="597" spans="1:30" ht="15.75" x14ac:dyDescent="0.25">
      <c r="A597" s="32">
        <v>59110</v>
      </c>
      <c r="B597" s="95">
        <v>31</v>
      </c>
      <c r="C597" s="83">
        <f>131.881</f>
        <v>131.881</v>
      </c>
      <c r="D597" s="83">
        <f>277.167</f>
        <v>277.16699999999997</v>
      </c>
      <c r="E597" s="92">
        <f>79.08</f>
        <v>79.08</v>
      </c>
      <c r="F597" s="83">
        <f>350.872-40-25-60-100</f>
        <v>125.87200000000001</v>
      </c>
      <c r="G597" s="86">
        <v>40</v>
      </c>
      <c r="H597" s="83">
        <f t="shared" si="93"/>
        <v>185</v>
      </c>
      <c r="I597" s="83">
        <f t="shared" si="90"/>
        <v>0</v>
      </c>
      <c r="J597" s="86">
        <v>100</v>
      </c>
      <c r="K597" s="86">
        <v>300</v>
      </c>
      <c r="L597" s="83">
        <f t="shared" si="84"/>
        <v>1239</v>
      </c>
      <c r="M597" s="94">
        <v>600</v>
      </c>
      <c r="N597" s="83">
        <f>75</f>
        <v>75</v>
      </c>
      <c r="O597" s="86">
        <v>240</v>
      </c>
      <c r="P597" s="86">
        <v>160</v>
      </c>
      <c r="Q597" s="86">
        <f t="shared" si="85"/>
        <v>195</v>
      </c>
      <c r="R597" s="86">
        <f t="shared" si="86"/>
        <v>100</v>
      </c>
      <c r="S597" s="83">
        <f t="shared" si="87"/>
        <v>695</v>
      </c>
      <c r="T597" s="83">
        <f>0</f>
        <v>0</v>
      </c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</row>
    <row r="598" spans="1:30" ht="15.75" x14ac:dyDescent="0.25">
      <c r="A598" s="32">
        <v>59140</v>
      </c>
      <c r="B598" s="95">
        <v>30</v>
      </c>
      <c r="C598" s="83">
        <f>122.58</f>
        <v>122.58</v>
      </c>
      <c r="D598" s="83">
        <f>297.941</f>
        <v>297.94099999999997</v>
      </c>
      <c r="E598" s="92">
        <f>89.177</f>
        <v>89.177000000000007</v>
      </c>
      <c r="F598" s="83">
        <f>240.302-40-60-100</f>
        <v>40.301999999999992</v>
      </c>
      <c r="G598" s="86">
        <v>40</v>
      </c>
      <c r="H598" s="83">
        <f>60+100</f>
        <v>160</v>
      </c>
      <c r="I598" s="83">
        <f t="shared" si="90"/>
        <v>0</v>
      </c>
      <c r="J598" s="86">
        <v>100</v>
      </c>
      <c r="K598" s="86">
        <v>300</v>
      </c>
      <c r="L598" s="83">
        <f t="shared" ref="L598:L661" si="94">SUM(C598:K598)</f>
        <v>1150</v>
      </c>
      <c r="M598" s="94">
        <v>600</v>
      </c>
      <c r="N598" s="83">
        <f>100</f>
        <v>100</v>
      </c>
      <c r="O598" s="86">
        <v>240</v>
      </c>
      <c r="P598" s="86">
        <v>40</v>
      </c>
      <c r="Q598" s="86">
        <f t="shared" ref="Q598:Q661" si="95">695-R598-O598-P598</f>
        <v>315</v>
      </c>
      <c r="R598" s="86">
        <f t="shared" ref="R598:R661" si="96">200-J598</f>
        <v>100</v>
      </c>
      <c r="S598" s="83">
        <f t="shared" ref="S598:S661" si="97">SUM(O598:R598)</f>
        <v>695</v>
      </c>
      <c r="T598" s="83">
        <f>50</f>
        <v>50</v>
      </c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</row>
    <row r="599" spans="1:30" ht="15.75" x14ac:dyDescent="0.25">
      <c r="A599" s="32">
        <v>59171</v>
      </c>
      <c r="B599" s="95">
        <v>31</v>
      </c>
      <c r="C599" s="83">
        <f>122.58</f>
        <v>122.58</v>
      </c>
      <c r="D599" s="83">
        <f>297.941</f>
        <v>297.94099999999997</v>
      </c>
      <c r="E599" s="92">
        <f>89.177</f>
        <v>89.177000000000007</v>
      </c>
      <c r="F599" s="83">
        <f>240.302-40-60-100</f>
        <v>40.301999999999992</v>
      </c>
      <c r="G599" s="86">
        <v>40</v>
      </c>
      <c r="H599" s="83">
        <f>60+100</f>
        <v>160</v>
      </c>
      <c r="I599" s="83">
        <f t="shared" si="90"/>
        <v>0</v>
      </c>
      <c r="J599" s="86">
        <v>100</v>
      </c>
      <c r="K599" s="86">
        <v>300</v>
      </c>
      <c r="L599" s="83">
        <f t="shared" si="94"/>
        <v>1150</v>
      </c>
      <c r="M599" s="94">
        <v>600</v>
      </c>
      <c r="N599" s="83">
        <f>100</f>
        <v>100</v>
      </c>
      <c r="O599" s="86">
        <v>240</v>
      </c>
      <c r="P599" s="86">
        <v>40</v>
      </c>
      <c r="Q599" s="86">
        <f t="shared" si="95"/>
        <v>315</v>
      </c>
      <c r="R599" s="86">
        <f t="shared" si="96"/>
        <v>100</v>
      </c>
      <c r="S599" s="83">
        <f t="shared" si="97"/>
        <v>695</v>
      </c>
      <c r="T599" s="83">
        <f>50</f>
        <v>50</v>
      </c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</row>
    <row r="600" spans="1:30" ht="15.75" x14ac:dyDescent="0.25">
      <c r="A600" s="32">
        <v>59202</v>
      </c>
      <c r="B600" s="95">
        <f t="shared" ref="B600:B663" si="98">EOMONTH(A600,0)-EOMONTH(A600,-1)</f>
        <v>31</v>
      </c>
      <c r="C600" s="83">
        <f>122.58</f>
        <v>122.58</v>
      </c>
      <c r="D600" s="83">
        <f>297.941</f>
        <v>297.94099999999997</v>
      </c>
      <c r="E600" s="92">
        <f>89.177</f>
        <v>89.177000000000007</v>
      </c>
      <c r="F600" s="83">
        <f>240.302-40-60-100</f>
        <v>40.301999999999992</v>
      </c>
      <c r="G600" s="86">
        <v>40</v>
      </c>
      <c r="H600" s="83">
        <f>60+100</f>
        <v>160</v>
      </c>
      <c r="I600" s="83">
        <f t="shared" si="90"/>
        <v>0</v>
      </c>
      <c r="J600" s="86">
        <v>100</v>
      </c>
      <c r="K600" s="86">
        <v>300</v>
      </c>
      <c r="L600" s="83">
        <f t="shared" si="94"/>
        <v>1150</v>
      </c>
      <c r="M600" s="94">
        <v>600</v>
      </c>
      <c r="N600" s="83">
        <f>100</f>
        <v>100</v>
      </c>
      <c r="O600" s="86">
        <v>240</v>
      </c>
      <c r="P600" s="86">
        <v>40</v>
      </c>
      <c r="Q600" s="86">
        <f t="shared" si="95"/>
        <v>315</v>
      </c>
      <c r="R600" s="86">
        <f t="shared" si="96"/>
        <v>100</v>
      </c>
      <c r="S600" s="83">
        <f t="shared" si="97"/>
        <v>695</v>
      </c>
      <c r="T600" s="83">
        <f>50</f>
        <v>50</v>
      </c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</row>
    <row r="601" spans="1:30" ht="15.75" x14ac:dyDescent="0.25">
      <c r="A601" s="32">
        <v>59230</v>
      </c>
      <c r="B601" s="95">
        <f t="shared" si="98"/>
        <v>28</v>
      </c>
      <c r="C601" s="83">
        <f>122.58</f>
        <v>122.58</v>
      </c>
      <c r="D601" s="83">
        <f>297.941</f>
        <v>297.94099999999997</v>
      </c>
      <c r="E601" s="92">
        <f>89.177</f>
        <v>89.177000000000007</v>
      </c>
      <c r="F601" s="83">
        <f>240.302-40-60-100</f>
        <v>40.301999999999992</v>
      </c>
      <c r="G601" s="86">
        <v>40</v>
      </c>
      <c r="H601" s="83">
        <f>60+100</f>
        <v>160</v>
      </c>
      <c r="I601" s="83">
        <f t="shared" si="90"/>
        <v>0</v>
      </c>
      <c r="J601" s="86">
        <v>100</v>
      </c>
      <c r="K601" s="86">
        <v>300</v>
      </c>
      <c r="L601" s="83">
        <f t="shared" si="94"/>
        <v>1150</v>
      </c>
      <c r="M601" s="94">
        <v>600</v>
      </c>
      <c r="N601" s="83">
        <f>100</f>
        <v>100</v>
      </c>
      <c r="O601" s="86">
        <v>240</v>
      </c>
      <c r="P601" s="86">
        <v>40</v>
      </c>
      <c r="Q601" s="86">
        <f t="shared" si="95"/>
        <v>315</v>
      </c>
      <c r="R601" s="86">
        <f t="shared" si="96"/>
        <v>100</v>
      </c>
      <c r="S601" s="83">
        <f t="shared" si="97"/>
        <v>695</v>
      </c>
      <c r="T601" s="83">
        <f>50</f>
        <v>50</v>
      </c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</row>
    <row r="602" spans="1:30" ht="15.75" x14ac:dyDescent="0.25">
      <c r="A602" s="32">
        <v>59261</v>
      </c>
      <c r="B602" s="95">
        <f t="shared" si="98"/>
        <v>31</v>
      </c>
      <c r="C602" s="83">
        <f>122.58</f>
        <v>122.58</v>
      </c>
      <c r="D602" s="83">
        <f>297.941</f>
        <v>297.94099999999997</v>
      </c>
      <c r="E602" s="92">
        <f>89.177</f>
        <v>89.177000000000007</v>
      </c>
      <c r="F602" s="83">
        <f>240.302-40-60-100</f>
        <v>40.301999999999992</v>
      </c>
      <c r="G602" s="86">
        <v>40</v>
      </c>
      <c r="H602" s="83">
        <f>60+100</f>
        <v>160</v>
      </c>
      <c r="I602" s="83">
        <f t="shared" si="90"/>
        <v>0</v>
      </c>
      <c r="J602" s="86">
        <v>100</v>
      </c>
      <c r="K602" s="86">
        <v>300</v>
      </c>
      <c r="L602" s="83">
        <f t="shared" si="94"/>
        <v>1150</v>
      </c>
      <c r="M602" s="94">
        <v>600</v>
      </c>
      <c r="N602" s="83">
        <f>100</f>
        <v>100</v>
      </c>
      <c r="O602" s="86">
        <v>240</v>
      </c>
      <c r="P602" s="86">
        <v>40</v>
      </c>
      <c r="Q602" s="86">
        <f t="shared" si="95"/>
        <v>315</v>
      </c>
      <c r="R602" s="86">
        <f t="shared" si="96"/>
        <v>100</v>
      </c>
      <c r="S602" s="83">
        <f t="shared" si="97"/>
        <v>695</v>
      </c>
      <c r="T602" s="83">
        <f>50</f>
        <v>50</v>
      </c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</row>
    <row r="603" spans="1:30" ht="15.75" x14ac:dyDescent="0.25">
      <c r="A603" s="32">
        <v>59291</v>
      </c>
      <c r="B603" s="95">
        <f t="shared" si="98"/>
        <v>30</v>
      </c>
      <c r="C603" s="83">
        <f>141.293</f>
        <v>141.29300000000001</v>
      </c>
      <c r="D603" s="83">
        <f>267.993</f>
        <v>267.99299999999999</v>
      </c>
      <c r="E603" s="92">
        <f>115.016</f>
        <v>115.01600000000001</v>
      </c>
      <c r="F603" s="83">
        <f>314.698-40-25-60-100</f>
        <v>89.697999999999979</v>
      </c>
      <c r="G603" s="86">
        <v>40</v>
      </c>
      <c r="H603" s="83">
        <f t="shared" ref="H603:H609" si="99">25+60+100</f>
        <v>185</v>
      </c>
      <c r="I603" s="83">
        <f t="shared" si="90"/>
        <v>0</v>
      </c>
      <c r="J603" s="86">
        <v>100</v>
      </c>
      <c r="K603" s="86">
        <v>300</v>
      </c>
      <c r="L603" s="83">
        <f t="shared" si="94"/>
        <v>1239</v>
      </c>
      <c r="M603" s="94">
        <v>600</v>
      </c>
      <c r="N603" s="83">
        <f>100</f>
        <v>100</v>
      </c>
      <c r="O603" s="86">
        <v>240</v>
      </c>
      <c r="P603" s="86">
        <v>40</v>
      </c>
      <c r="Q603" s="86">
        <f t="shared" si="95"/>
        <v>315</v>
      </c>
      <c r="R603" s="86">
        <f t="shared" si="96"/>
        <v>100</v>
      </c>
      <c r="S603" s="83">
        <f t="shared" si="97"/>
        <v>695</v>
      </c>
      <c r="T603" s="83">
        <f>50</f>
        <v>50</v>
      </c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</row>
    <row r="604" spans="1:30" ht="15.75" x14ac:dyDescent="0.25">
      <c r="A604" s="32">
        <v>59322</v>
      </c>
      <c r="B604" s="95">
        <f t="shared" si="98"/>
        <v>31</v>
      </c>
      <c r="C604" s="83">
        <f>194.205</f>
        <v>194.20500000000001</v>
      </c>
      <c r="D604" s="83">
        <f>267.466</f>
        <v>267.46600000000001</v>
      </c>
      <c r="E604" s="92">
        <f>133.845</f>
        <v>133.845</v>
      </c>
      <c r="F604" s="83">
        <f>278.484-40-25-60-100</f>
        <v>53.48399999999998</v>
      </c>
      <c r="G604" s="86">
        <v>40</v>
      </c>
      <c r="H604" s="83">
        <f t="shared" si="99"/>
        <v>185</v>
      </c>
      <c r="I604" s="83">
        <f t="shared" si="90"/>
        <v>0</v>
      </c>
      <c r="J604" s="86">
        <v>100</v>
      </c>
      <c r="K604" s="86">
        <v>300</v>
      </c>
      <c r="L604" s="83">
        <f t="shared" si="94"/>
        <v>1274</v>
      </c>
      <c r="M604" s="94">
        <v>600</v>
      </c>
      <c r="N604" s="83">
        <f>75</f>
        <v>75</v>
      </c>
      <c r="O604" s="86">
        <v>240</v>
      </c>
      <c r="P604" s="86">
        <v>40</v>
      </c>
      <c r="Q604" s="86">
        <f t="shared" si="95"/>
        <v>315</v>
      </c>
      <c r="R604" s="86">
        <f t="shared" si="96"/>
        <v>100</v>
      </c>
      <c r="S604" s="83">
        <f t="shared" si="97"/>
        <v>695</v>
      </c>
      <c r="T604" s="83">
        <f>50</f>
        <v>50</v>
      </c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</row>
    <row r="605" spans="1:30" ht="15.75" x14ac:dyDescent="0.25">
      <c r="A605" s="32">
        <v>59352</v>
      </c>
      <c r="B605" s="95">
        <f t="shared" si="98"/>
        <v>30</v>
      </c>
      <c r="C605" s="83">
        <f>194.205</f>
        <v>194.20500000000001</v>
      </c>
      <c r="D605" s="83">
        <f>267.466</f>
        <v>267.46600000000001</v>
      </c>
      <c r="E605" s="92">
        <f>133.845</f>
        <v>133.845</v>
      </c>
      <c r="F605" s="83">
        <f>278.484-40-25-60-100</f>
        <v>53.48399999999998</v>
      </c>
      <c r="G605" s="86">
        <v>40</v>
      </c>
      <c r="H605" s="83">
        <f t="shared" si="99"/>
        <v>185</v>
      </c>
      <c r="I605" s="83">
        <f t="shared" si="90"/>
        <v>0</v>
      </c>
      <c r="J605" s="86">
        <v>100</v>
      </c>
      <c r="K605" s="86">
        <v>300</v>
      </c>
      <c r="L605" s="83">
        <f t="shared" si="94"/>
        <v>1274</v>
      </c>
      <c r="M605" s="94">
        <v>600</v>
      </c>
      <c r="N605" s="83">
        <f>30</f>
        <v>30</v>
      </c>
      <c r="O605" s="86">
        <v>240</v>
      </c>
      <c r="P605" s="86">
        <v>40</v>
      </c>
      <c r="Q605" s="86">
        <f t="shared" si="95"/>
        <v>315</v>
      </c>
      <c r="R605" s="86">
        <f t="shared" si="96"/>
        <v>100</v>
      </c>
      <c r="S605" s="83">
        <f t="shared" si="97"/>
        <v>695</v>
      </c>
      <c r="T605" s="83">
        <f>50</f>
        <v>50</v>
      </c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</row>
    <row r="606" spans="1:30" ht="15.75" x14ac:dyDescent="0.25">
      <c r="A606" s="32">
        <v>59383</v>
      </c>
      <c r="B606" s="95">
        <f t="shared" si="98"/>
        <v>31</v>
      </c>
      <c r="C606" s="83">
        <f>194.205</f>
        <v>194.20500000000001</v>
      </c>
      <c r="D606" s="83">
        <f>267.466</f>
        <v>267.46600000000001</v>
      </c>
      <c r="E606" s="92">
        <f>133.845</f>
        <v>133.845</v>
      </c>
      <c r="F606" s="83">
        <f>278.484-40-25-60-100</f>
        <v>53.48399999999998</v>
      </c>
      <c r="G606" s="86">
        <v>40</v>
      </c>
      <c r="H606" s="83">
        <f t="shared" si="99"/>
        <v>185</v>
      </c>
      <c r="I606" s="83">
        <f t="shared" si="90"/>
        <v>0</v>
      </c>
      <c r="J606" s="86">
        <v>100</v>
      </c>
      <c r="K606" s="86">
        <v>300</v>
      </c>
      <c r="L606" s="83">
        <f t="shared" si="94"/>
        <v>1274</v>
      </c>
      <c r="M606" s="94">
        <v>600</v>
      </c>
      <c r="N606" s="83">
        <f>30</f>
        <v>30</v>
      </c>
      <c r="O606" s="86">
        <v>240</v>
      </c>
      <c r="P606" s="86">
        <v>40</v>
      </c>
      <c r="Q606" s="86">
        <f t="shared" si="95"/>
        <v>315</v>
      </c>
      <c r="R606" s="86">
        <f t="shared" si="96"/>
        <v>100</v>
      </c>
      <c r="S606" s="83">
        <f t="shared" si="97"/>
        <v>695</v>
      </c>
      <c r="T606" s="83">
        <f>0</f>
        <v>0</v>
      </c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</row>
    <row r="607" spans="1:30" ht="15.75" x14ac:dyDescent="0.25">
      <c r="A607" s="32">
        <v>59414</v>
      </c>
      <c r="B607" s="95">
        <f t="shared" si="98"/>
        <v>31</v>
      </c>
      <c r="C607" s="83">
        <f>194.205</f>
        <v>194.20500000000001</v>
      </c>
      <c r="D607" s="83">
        <f>267.466</f>
        <v>267.46600000000001</v>
      </c>
      <c r="E607" s="92">
        <f>133.845</f>
        <v>133.845</v>
      </c>
      <c r="F607" s="83">
        <f>278.484-40-25-60-100</f>
        <v>53.48399999999998</v>
      </c>
      <c r="G607" s="86">
        <v>40</v>
      </c>
      <c r="H607" s="83">
        <f t="shared" si="99"/>
        <v>185</v>
      </c>
      <c r="I607" s="83">
        <f t="shared" si="90"/>
        <v>0</v>
      </c>
      <c r="J607" s="86">
        <v>100</v>
      </c>
      <c r="K607" s="86">
        <v>300</v>
      </c>
      <c r="L607" s="83">
        <f t="shared" si="94"/>
        <v>1274</v>
      </c>
      <c r="M607" s="94">
        <v>600</v>
      </c>
      <c r="N607" s="83">
        <f>30</f>
        <v>30</v>
      </c>
      <c r="O607" s="86">
        <v>240</v>
      </c>
      <c r="P607" s="86">
        <v>40</v>
      </c>
      <c r="Q607" s="86">
        <f t="shared" si="95"/>
        <v>315</v>
      </c>
      <c r="R607" s="86">
        <f t="shared" si="96"/>
        <v>100</v>
      </c>
      <c r="S607" s="83">
        <f t="shared" si="97"/>
        <v>695</v>
      </c>
      <c r="T607" s="83">
        <f>0</f>
        <v>0</v>
      </c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</row>
    <row r="608" spans="1:30" ht="15.75" x14ac:dyDescent="0.25">
      <c r="A608" s="32">
        <v>59444</v>
      </c>
      <c r="B608" s="95">
        <f t="shared" si="98"/>
        <v>30</v>
      </c>
      <c r="C608" s="83">
        <f>194.205</f>
        <v>194.20500000000001</v>
      </c>
      <c r="D608" s="83">
        <f>267.466</f>
        <v>267.46600000000001</v>
      </c>
      <c r="E608" s="92">
        <f>133.845</f>
        <v>133.845</v>
      </c>
      <c r="F608" s="83">
        <f>278.484-40-25-60-100</f>
        <v>53.48399999999998</v>
      </c>
      <c r="G608" s="86">
        <v>40</v>
      </c>
      <c r="H608" s="83">
        <f t="shared" si="99"/>
        <v>185</v>
      </c>
      <c r="I608" s="83">
        <f t="shared" si="90"/>
        <v>0</v>
      </c>
      <c r="J608" s="86">
        <v>100</v>
      </c>
      <c r="K608" s="86">
        <v>300</v>
      </c>
      <c r="L608" s="83">
        <f t="shared" si="94"/>
        <v>1274</v>
      </c>
      <c r="M608" s="94">
        <v>600</v>
      </c>
      <c r="N608" s="83">
        <f>30</f>
        <v>30</v>
      </c>
      <c r="O608" s="86">
        <v>240</v>
      </c>
      <c r="P608" s="86">
        <v>40</v>
      </c>
      <c r="Q608" s="86">
        <f t="shared" si="95"/>
        <v>315</v>
      </c>
      <c r="R608" s="86">
        <f t="shared" si="96"/>
        <v>100</v>
      </c>
      <c r="S608" s="83">
        <f t="shared" si="97"/>
        <v>695</v>
      </c>
      <c r="T608" s="83">
        <f>0</f>
        <v>0</v>
      </c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</row>
    <row r="609" spans="1:30" ht="15.75" x14ac:dyDescent="0.25">
      <c r="A609" s="32">
        <v>59475</v>
      </c>
      <c r="B609" s="95">
        <f t="shared" si="98"/>
        <v>31</v>
      </c>
      <c r="C609" s="83">
        <f>131.881</f>
        <v>131.881</v>
      </c>
      <c r="D609" s="83">
        <f>277.167</f>
        <v>277.16699999999997</v>
      </c>
      <c r="E609" s="92">
        <f>79.08</f>
        <v>79.08</v>
      </c>
      <c r="F609" s="83">
        <f>350.872-40-25-60-100</f>
        <v>125.87200000000001</v>
      </c>
      <c r="G609" s="86">
        <v>40</v>
      </c>
      <c r="H609" s="83">
        <f t="shared" si="99"/>
        <v>185</v>
      </c>
      <c r="I609" s="83">
        <f t="shared" si="90"/>
        <v>0</v>
      </c>
      <c r="J609" s="86">
        <v>100</v>
      </c>
      <c r="K609" s="86">
        <v>300</v>
      </c>
      <c r="L609" s="83">
        <f t="shared" si="94"/>
        <v>1239</v>
      </c>
      <c r="M609" s="94">
        <v>600</v>
      </c>
      <c r="N609" s="83">
        <f>75</f>
        <v>75</v>
      </c>
      <c r="O609" s="86">
        <v>240</v>
      </c>
      <c r="P609" s="86">
        <v>40</v>
      </c>
      <c r="Q609" s="86">
        <f t="shared" si="95"/>
        <v>315</v>
      </c>
      <c r="R609" s="86">
        <f t="shared" si="96"/>
        <v>100</v>
      </c>
      <c r="S609" s="83">
        <f t="shared" si="97"/>
        <v>695</v>
      </c>
      <c r="T609" s="83">
        <f>0</f>
        <v>0</v>
      </c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</row>
    <row r="610" spans="1:30" ht="15.75" x14ac:dyDescent="0.25">
      <c r="A610" s="32">
        <v>59505</v>
      </c>
      <c r="B610" s="95">
        <f t="shared" si="98"/>
        <v>30</v>
      </c>
      <c r="C610" s="83">
        <f>122.58</f>
        <v>122.58</v>
      </c>
      <c r="D610" s="83">
        <f>297.941</f>
        <v>297.94099999999997</v>
      </c>
      <c r="E610" s="92">
        <f>89.177</f>
        <v>89.177000000000007</v>
      </c>
      <c r="F610" s="83">
        <f>240.302-40-60-100</f>
        <v>40.301999999999992</v>
      </c>
      <c r="G610" s="86">
        <v>40</v>
      </c>
      <c r="H610" s="83">
        <f>60+100</f>
        <v>160</v>
      </c>
      <c r="I610" s="83">
        <f t="shared" si="90"/>
        <v>0</v>
      </c>
      <c r="J610" s="86">
        <v>100</v>
      </c>
      <c r="K610" s="86">
        <v>300</v>
      </c>
      <c r="L610" s="83">
        <f t="shared" si="94"/>
        <v>1150</v>
      </c>
      <c r="M610" s="94">
        <v>600</v>
      </c>
      <c r="N610" s="83">
        <f>100</f>
        <v>100</v>
      </c>
      <c r="O610" s="86">
        <v>240</v>
      </c>
      <c r="P610" s="86">
        <v>40</v>
      </c>
      <c r="Q610" s="86">
        <f t="shared" si="95"/>
        <v>315</v>
      </c>
      <c r="R610" s="86">
        <f t="shared" si="96"/>
        <v>100</v>
      </c>
      <c r="S610" s="83">
        <f t="shared" si="97"/>
        <v>695</v>
      </c>
      <c r="T610" s="83">
        <f>50</f>
        <v>50</v>
      </c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</row>
    <row r="611" spans="1:30" ht="15.75" x14ac:dyDescent="0.25">
      <c r="A611" s="32">
        <v>59536</v>
      </c>
      <c r="B611" s="95">
        <f t="shared" si="98"/>
        <v>31</v>
      </c>
      <c r="C611" s="83">
        <f>122.58</f>
        <v>122.58</v>
      </c>
      <c r="D611" s="83">
        <f>297.941</f>
        <v>297.94099999999997</v>
      </c>
      <c r="E611" s="92">
        <f>89.177</f>
        <v>89.177000000000007</v>
      </c>
      <c r="F611" s="83">
        <f>240.302-40-60-100</f>
        <v>40.301999999999992</v>
      </c>
      <c r="G611" s="86">
        <v>40</v>
      </c>
      <c r="H611" s="83">
        <f>60+100</f>
        <v>160</v>
      </c>
      <c r="I611" s="83">
        <f t="shared" si="90"/>
        <v>0</v>
      </c>
      <c r="J611" s="86">
        <v>100</v>
      </c>
      <c r="K611" s="86">
        <v>300</v>
      </c>
      <c r="L611" s="83">
        <f t="shared" si="94"/>
        <v>1150</v>
      </c>
      <c r="M611" s="94">
        <v>600</v>
      </c>
      <c r="N611" s="83">
        <f>100</f>
        <v>100</v>
      </c>
      <c r="O611" s="86">
        <v>240</v>
      </c>
      <c r="P611" s="86">
        <v>40</v>
      </c>
      <c r="Q611" s="86">
        <f t="shared" si="95"/>
        <v>315</v>
      </c>
      <c r="R611" s="86">
        <f t="shared" si="96"/>
        <v>100</v>
      </c>
      <c r="S611" s="83">
        <f t="shared" si="97"/>
        <v>695</v>
      </c>
      <c r="T611" s="83">
        <f>50</f>
        <v>50</v>
      </c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</row>
    <row r="612" spans="1:30" ht="15.75" x14ac:dyDescent="0.25">
      <c r="A612" s="32">
        <v>59567</v>
      </c>
      <c r="B612" s="95">
        <f t="shared" si="98"/>
        <v>31</v>
      </c>
      <c r="C612" s="83">
        <f>122.58</f>
        <v>122.58</v>
      </c>
      <c r="D612" s="83">
        <f>297.941</f>
        <v>297.94099999999997</v>
      </c>
      <c r="E612" s="92">
        <f>89.177</f>
        <v>89.177000000000007</v>
      </c>
      <c r="F612" s="83">
        <f>240.302-40-60-100</f>
        <v>40.301999999999992</v>
      </c>
      <c r="G612" s="86">
        <v>40</v>
      </c>
      <c r="H612" s="83">
        <f>60+100</f>
        <v>160</v>
      </c>
      <c r="I612" s="83">
        <f t="shared" si="90"/>
        <v>0</v>
      </c>
      <c r="J612" s="86">
        <v>100</v>
      </c>
      <c r="K612" s="86">
        <v>300</v>
      </c>
      <c r="L612" s="83">
        <f t="shared" si="94"/>
        <v>1150</v>
      </c>
      <c r="M612" s="94">
        <v>600</v>
      </c>
      <c r="N612" s="83">
        <f>100</f>
        <v>100</v>
      </c>
      <c r="O612" s="86">
        <v>240</v>
      </c>
      <c r="P612" s="86">
        <v>40</v>
      </c>
      <c r="Q612" s="86">
        <f t="shared" si="95"/>
        <v>315</v>
      </c>
      <c r="R612" s="86">
        <f t="shared" si="96"/>
        <v>100</v>
      </c>
      <c r="S612" s="83">
        <f t="shared" si="97"/>
        <v>695</v>
      </c>
      <c r="T612" s="83">
        <f>50</f>
        <v>50</v>
      </c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</row>
    <row r="613" spans="1:30" ht="15.75" x14ac:dyDescent="0.25">
      <c r="A613" s="32">
        <v>59595</v>
      </c>
      <c r="B613" s="95">
        <f t="shared" si="98"/>
        <v>28</v>
      </c>
      <c r="C613" s="83">
        <f>122.58</f>
        <v>122.58</v>
      </c>
      <c r="D613" s="83">
        <f>297.941</f>
        <v>297.94099999999997</v>
      </c>
      <c r="E613" s="92">
        <f>89.177</f>
        <v>89.177000000000007</v>
      </c>
      <c r="F613" s="83">
        <f>240.302-40-60-100</f>
        <v>40.301999999999992</v>
      </c>
      <c r="G613" s="86">
        <v>40</v>
      </c>
      <c r="H613" s="83">
        <f>60+100</f>
        <v>160</v>
      </c>
      <c r="I613" s="83">
        <f t="shared" si="90"/>
        <v>0</v>
      </c>
      <c r="J613" s="86">
        <v>100</v>
      </c>
      <c r="K613" s="86">
        <v>300</v>
      </c>
      <c r="L613" s="83">
        <f t="shared" si="94"/>
        <v>1150</v>
      </c>
      <c r="M613" s="94">
        <v>600</v>
      </c>
      <c r="N613" s="83">
        <f>100</f>
        <v>100</v>
      </c>
      <c r="O613" s="86">
        <v>240</v>
      </c>
      <c r="P613" s="86">
        <v>40</v>
      </c>
      <c r="Q613" s="86">
        <f t="shared" si="95"/>
        <v>315</v>
      </c>
      <c r="R613" s="86">
        <f t="shared" si="96"/>
        <v>100</v>
      </c>
      <c r="S613" s="83">
        <f t="shared" si="97"/>
        <v>695</v>
      </c>
      <c r="T613" s="83">
        <f>50</f>
        <v>50</v>
      </c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</row>
    <row r="614" spans="1:30" ht="15.75" x14ac:dyDescent="0.25">
      <c r="A614" s="32">
        <v>59626</v>
      </c>
      <c r="B614" s="95">
        <f t="shared" si="98"/>
        <v>31</v>
      </c>
      <c r="C614" s="83">
        <f>122.58</f>
        <v>122.58</v>
      </c>
      <c r="D614" s="83">
        <f>297.941</f>
        <v>297.94099999999997</v>
      </c>
      <c r="E614" s="92">
        <f>89.177</f>
        <v>89.177000000000007</v>
      </c>
      <c r="F614" s="83">
        <f>240.302-40-60-100</f>
        <v>40.301999999999992</v>
      </c>
      <c r="G614" s="86">
        <v>40</v>
      </c>
      <c r="H614" s="83">
        <f>60+100</f>
        <v>160</v>
      </c>
      <c r="I614" s="83">
        <f t="shared" si="90"/>
        <v>0</v>
      </c>
      <c r="J614" s="86">
        <v>100</v>
      </c>
      <c r="K614" s="86">
        <v>300</v>
      </c>
      <c r="L614" s="83">
        <f t="shared" si="94"/>
        <v>1150</v>
      </c>
      <c r="M614" s="94">
        <v>600</v>
      </c>
      <c r="N614" s="83">
        <f>100</f>
        <v>100</v>
      </c>
      <c r="O614" s="86">
        <v>240</v>
      </c>
      <c r="P614" s="86">
        <v>40</v>
      </c>
      <c r="Q614" s="86">
        <f t="shared" si="95"/>
        <v>315</v>
      </c>
      <c r="R614" s="86">
        <f t="shared" si="96"/>
        <v>100</v>
      </c>
      <c r="S614" s="83">
        <f t="shared" si="97"/>
        <v>695</v>
      </c>
      <c r="T614" s="83">
        <f>50</f>
        <v>50</v>
      </c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</row>
    <row r="615" spans="1:30" ht="15.75" x14ac:dyDescent="0.25">
      <c r="A615" s="32">
        <v>59656</v>
      </c>
      <c r="B615" s="95">
        <f t="shared" si="98"/>
        <v>30</v>
      </c>
      <c r="C615" s="83">
        <f>141.293</f>
        <v>141.29300000000001</v>
      </c>
      <c r="D615" s="83">
        <f>267.993</f>
        <v>267.99299999999999</v>
      </c>
      <c r="E615" s="92">
        <f>115.016</f>
        <v>115.01600000000001</v>
      </c>
      <c r="F615" s="83">
        <f>314.698-40-25-60-100</f>
        <v>89.697999999999979</v>
      </c>
      <c r="G615" s="86">
        <v>40</v>
      </c>
      <c r="H615" s="83">
        <f t="shared" ref="H615:H621" si="100">25+60+100</f>
        <v>185</v>
      </c>
      <c r="I615" s="83">
        <f t="shared" si="90"/>
        <v>0</v>
      </c>
      <c r="J615" s="86">
        <v>100</v>
      </c>
      <c r="K615" s="86">
        <v>300</v>
      </c>
      <c r="L615" s="83">
        <f t="shared" si="94"/>
        <v>1239</v>
      </c>
      <c r="M615" s="94">
        <v>600</v>
      </c>
      <c r="N615" s="83">
        <f>100</f>
        <v>100</v>
      </c>
      <c r="O615" s="86">
        <v>240</v>
      </c>
      <c r="P615" s="86">
        <v>40</v>
      </c>
      <c r="Q615" s="86">
        <f t="shared" si="95"/>
        <v>315</v>
      </c>
      <c r="R615" s="86">
        <f t="shared" si="96"/>
        <v>100</v>
      </c>
      <c r="S615" s="83">
        <f t="shared" si="97"/>
        <v>695</v>
      </c>
      <c r="T615" s="83">
        <f>50</f>
        <v>50</v>
      </c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</row>
    <row r="616" spans="1:30" ht="15.75" x14ac:dyDescent="0.25">
      <c r="A616" s="32">
        <v>59687</v>
      </c>
      <c r="B616" s="95">
        <f t="shared" si="98"/>
        <v>31</v>
      </c>
      <c r="C616" s="83">
        <f>194.205</f>
        <v>194.20500000000001</v>
      </c>
      <c r="D616" s="83">
        <f>267.466</f>
        <v>267.46600000000001</v>
      </c>
      <c r="E616" s="92">
        <f>133.845</f>
        <v>133.845</v>
      </c>
      <c r="F616" s="83">
        <f>278.484-40-25-60-100</f>
        <v>53.48399999999998</v>
      </c>
      <c r="G616" s="86">
        <v>40</v>
      </c>
      <c r="H616" s="83">
        <f t="shared" si="100"/>
        <v>185</v>
      </c>
      <c r="I616" s="83">
        <f t="shared" si="90"/>
        <v>0</v>
      </c>
      <c r="J616" s="86">
        <v>100</v>
      </c>
      <c r="K616" s="86">
        <v>300</v>
      </c>
      <c r="L616" s="83">
        <f t="shared" si="94"/>
        <v>1274</v>
      </c>
      <c r="M616" s="94">
        <v>600</v>
      </c>
      <c r="N616" s="83">
        <f>75</f>
        <v>75</v>
      </c>
      <c r="O616" s="86">
        <v>240</v>
      </c>
      <c r="P616" s="86">
        <v>40</v>
      </c>
      <c r="Q616" s="86">
        <f t="shared" si="95"/>
        <v>315</v>
      </c>
      <c r="R616" s="86">
        <f t="shared" si="96"/>
        <v>100</v>
      </c>
      <c r="S616" s="83">
        <f t="shared" si="97"/>
        <v>695</v>
      </c>
      <c r="T616" s="83">
        <f>50</f>
        <v>50</v>
      </c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</row>
    <row r="617" spans="1:30" ht="15.75" x14ac:dyDescent="0.25">
      <c r="A617" s="32">
        <v>59717</v>
      </c>
      <c r="B617" s="95">
        <f t="shared" si="98"/>
        <v>30</v>
      </c>
      <c r="C617" s="83">
        <f>194.205</f>
        <v>194.20500000000001</v>
      </c>
      <c r="D617" s="83">
        <f>267.466</f>
        <v>267.46600000000001</v>
      </c>
      <c r="E617" s="92">
        <f>133.845</f>
        <v>133.845</v>
      </c>
      <c r="F617" s="83">
        <f>278.484-40-25-60-100</f>
        <v>53.48399999999998</v>
      </c>
      <c r="G617" s="86">
        <v>40</v>
      </c>
      <c r="H617" s="83">
        <f t="shared" si="100"/>
        <v>185</v>
      </c>
      <c r="I617" s="83">
        <f t="shared" si="90"/>
        <v>0</v>
      </c>
      <c r="J617" s="86">
        <v>100</v>
      </c>
      <c r="K617" s="86">
        <v>300</v>
      </c>
      <c r="L617" s="83">
        <f t="shared" si="94"/>
        <v>1274</v>
      </c>
      <c r="M617" s="94">
        <v>600</v>
      </c>
      <c r="N617" s="83">
        <f>30</f>
        <v>30</v>
      </c>
      <c r="O617" s="86">
        <v>240</v>
      </c>
      <c r="P617" s="86">
        <v>40</v>
      </c>
      <c r="Q617" s="86">
        <f t="shared" si="95"/>
        <v>315</v>
      </c>
      <c r="R617" s="86">
        <f t="shared" si="96"/>
        <v>100</v>
      </c>
      <c r="S617" s="83">
        <f t="shared" si="97"/>
        <v>695</v>
      </c>
      <c r="T617" s="83">
        <f>50</f>
        <v>50</v>
      </c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</row>
    <row r="618" spans="1:30" ht="15.75" x14ac:dyDescent="0.25">
      <c r="A618" s="32">
        <v>59748</v>
      </c>
      <c r="B618" s="95">
        <f t="shared" si="98"/>
        <v>31</v>
      </c>
      <c r="C618" s="83">
        <f>194.205</f>
        <v>194.20500000000001</v>
      </c>
      <c r="D618" s="83">
        <f>267.466</f>
        <v>267.46600000000001</v>
      </c>
      <c r="E618" s="92">
        <f>133.845</f>
        <v>133.845</v>
      </c>
      <c r="F618" s="83">
        <f>278.484-40-25-60-100</f>
        <v>53.48399999999998</v>
      </c>
      <c r="G618" s="86">
        <v>40</v>
      </c>
      <c r="H618" s="83">
        <f t="shared" si="100"/>
        <v>185</v>
      </c>
      <c r="I618" s="83">
        <f t="shared" si="90"/>
        <v>0</v>
      </c>
      <c r="J618" s="86">
        <v>100</v>
      </c>
      <c r="K618" s="86">
        <v>300</v>
      </c>
      <c r="L618" s="83">
        <f t="shared" si="94"/>
        <v>1274</v>
      </c>
      <c r="M618" s="94">
        <v>600</v>
      </c>
      <c r="N618" s="83">
        <f>30</f>
        <v>30</v>
      </c>
      <c r="O618" s="86">
        <v>240</v>
      </c>
      <c r="P618" s="86">
        <v>40</v>
      </c>
      <c r="Q618" s="86">
        <f t="shared" si="95"/>
        <v>315</v>
      </c>
      <c r="R618" s="86">
        <f t="shared" si="96"/>
        <v>100</v>
      </c>
      <c r="S618" s="83">
        <f t="shared" si="97"/>
        <v>695</v>
      </c>
      <c r="T618" s="83">
        <f>0</f>
        <v>0</v>
      </c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</row>
    <row r="619" spans="1:30" ht="15.75" x14ac:dyDescent="0.25">
      <c r="A619" s="32">
        <v>59779</v>
      </c>
      <c r="B619" s="95">
        <f t="shared" si="98"/>
        <v>31</v>
      </c>
      <c r="C619" s="83">
        <f>194.205</f>
        <v>194.20500000000001</v>
      </c>
      <c r="D619" s="83">
        <f>267.466</f>
        <v>267.46600000000001</v>
      </c>
      <c r="E619" s="92">
        <f>133.845</f>
        <v>133.845</v>
      </c>
      <c r="F619" s="83">
        <f>278.484-40-25-60-100</f>
        <v>53.48399999999998</v>
      </c>
      <c r="G619" s="86">
        <v>40</v>
      </c>
      <c r="H619" s="83">
        <f t="shared" si="100"/>
        <v>185</v>
      </c>
      <c r="I619" s="83">
        <f t="shared" si="90"/>
        <v>0</v>
      </c>
      <c r="J619" s="86">
        <v>100</v>
      </c>
      <c r="K619" s="86">
        <v>300</v>
      </c>
      <c r="L619" s="83">
        <f t="shared" si="94"/>
        <v>1274</v>
      </c>
      <c r="M619" s="94">
        <v>600</v>
      </c>
      <c r="N619" s="83">
        <f>30</f>
        <v>30</v>
      </c>
      <c r="O619" s="86">
        <v>240</v>
      </c>
      <c r="P619" s="86">
        <v>40</v>
      </c>
      <c r="Q619" s="86">
        <f t="shared" si="95"/>
        <v>315</v>
      </c>
      <c r="R619" s="86">
        <f t="shared" si="96"/>
        <v>100</v>
      </c>
      <c r="S619" s="83">
        <f t="shared" si="97"/>
        <v>695</v>
      </c>
      <c r="T619" s="83">
        <f>0</f>
        <v>0</v>
      </c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</row>
    <row r="620" spans="1:30" ht="15.75" x14ac:dyDescent="0.25">
      <c r="A620" s="32">
        <v>59809</v>
      </c>
      <c r="B620" s="95">
        <f t="shared" si="98"/>
        <v>30</v>
      </c>
      <c r="C620" s="83">
        <f>194.205</f>
        <v>194.20500000000001</v>
      </c>
      <c r="D620" s="83">
        <f>267.466</f>
        <v>267.46600000000001</v>
      </c>
      <c r="E620" s="92">
        <f>133.845</f>
        <v>133.845</v>
      </c>
      <c r="F620" s="83">
        <f>278.484-40-25-60-100</f>
        <v>53.48399999999998</v>
      </c>
      <c r="G620" s="86">
        <v>40</v>
      </c>
      <c r="H620" s="83">
        <f t="shared" si="100"/>
        <v>185</v>
      </c>
      <c r="I620" s="83">
        <f t="shared" si="90"/>
        <v>0</v>
      </c>
      <c r="J620" s="86">
        <v>100</v>
      </c>
      <c r="K620" s="86">
        <v>300</v>
      </c>
      <c r="L620" s="83">
        <f t="shared" si="94"/>
        <v>1274</v>
      </c>
      <c r="M620" s="94">
        <v>600</v>
      </c>
      <c r="N620" s="83">
        <f>30</f>
        <v>30</v>
      </c>
      <c r="O620" s="86">
        <v>240</v>
      </c>
      <c r="P620" s="86">
        <v>40</v>
      </c>
      <c r="Q620" s="86">
        <f t="shared" si="95"/>
        <v>315</v>
      </c>
      <c r="R620" s="86">
        <f t="shared" si="96"/>
        <v>100</v>
      </c>
      <c r="S620" s="83">
        <f t="shared" si="97"/>
        <v>695</v>
      </c>
      <c r="T620" s="83">
        <f>0</f>
        <v>0</v>
      </c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</row>
    <row r="621" spans="1:30" ht="15.75" x14ac:dyDescent="0.25">
      <c r="A621" s="32">
        <v>59840</v>
      </c>
      <c r="B621" s="95">
        <f t="shared" si="98"/>
        <v>31</v>
      </c>
      <c r="C621" s="83">
        <f>131.881</f>
        <v>131.881</v>
      </c>
      <c r="D621" s="83">
        <f>277.167</f>
        <v>277.16699999999997</v>
      </c>
      <c r="E621" s="92">
        <f>79.08</f>
        <v>79.08</v>
      </c>
      <c r="F621" s="83">
        <f>350.872-40-25-60-100</f>
        <v>125.87200000000001</v>
      </c>
      <c r="G621" s="86">
        <v>40</v>
      </c>
      <c r="H621" s="83">
        <f t="shared" si="100"/>
        <v>185</v>
      </c>
      <c r="I621" s="83">
        <f t="shared" si="90"/>
        <v>0</v>
      </c>
      <c r="J621" s="86">
        <v>100</v>
      </c>
      <c r="K621" s="86">
        <v>300</v>
      </c>
      <c r="L621" s="83">
        <f t="shared" si="94"/>
        <v>1239</v>
      </c>
      <c r="M621" s="94">
        <v>600</v>
      </c>
      <c r="N621" s="83">
        <f>75</f>
        <v>75</v>
      </c>
      <c r="O621" s="86">
        <v>240</v>
      </c>
      <c r="P621" s="86">
        <v>40</v>
      </c>
      <c r="Q621" s="86">
        <f t="shared" si="95"/>
        <v>315</v>
      </c>
      <c r="R621" s="86">
        <f t="shared" si="96"/>
        <v>100</v>
      </c>
      <c r="S621" s="83">
        <f t="shared" si="97"/>
        <v>695</v>
      </c>
      <c r="T621" s="83">
        <f>0</f>
        <v>0</v>
      </c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</row>
    <row r="622" spans="1:30" ht="15.75" x14ac:dyDescent="0.25">
      <c r="A622" s="32">
        <v>59870</v>
      </c>
      <c r="B622" s="95">
        <f t="shared" si="98"/>
        <v>30</v>
      </c>
      <c r="C622" s="83">
        <f>122.58</f>
        <v>122.58</v>
      </c>
      <c r="D622" s="83">
        <f>297.941</f>
        <v>297.94099999999997</v>
      </c>
      <c r="E622" s="92">
        <f>89.177</f>
        <v>89.177000000000007</v>
      </c>
      <c r="F622" s="83">
        <f>240.302-40-60-100</f>
        <v>40.301999999999992</v>
      </c>
      <c r="G622" s="86">
        <v>40</v>
      </c>
      <c r="H622" s="83">
        <f>60+100</f>
        <v>160</v>
      </c>
      <c r="I622" s="83">
        <f t="shared" si="90"/>
        <v>0</v>
      </c>
      <c r="J622" s="86">
        <v>100</v>
      </c>
      <c r="K622" s="86">
        <v>300</v>
      </c>
      <c r="L622" s="83">
        <f t="shared" si="94"/>
        <v>1150</v>
      </c>
      <c r="M622" s="94">
        <v>600</v>
      </c>
      <c r="N622" s="83">
        <f>100</f>
        <v>100</v>
      </c>
      <c r="O622" s="86">
        <v>240</v>
      </c>
      <c r="P622" s="86">
        <v>40</v>
      </c>
      <c r="Q622" s="86">
        <f t="shared" si="95"/>
        <v>315</v>
      </c>
      <c r="R622" s="86">
        <f t="shared" si="96"/>
        <v>100</v>
      </c>
      <c r="S622" s="83">
        <f t="shared" si="97"/>
        <v>695</v>
      </c>
      <c r="T622" s="83">
        <f>50</f>
        <v>50</v>
      </c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</row>
    <row r="623" spans="1:30" ht="15.75" x14ac:dyDescent="0.25">
      <c r="A623" s="32">
        <v>59901</v>
      </c>
      <c r="B623" s="95">
        <f t="shared" si="98"/>
        <v>31</v>
      </c>
      <c r="C623" s="83">
        <f>122.58</f>
        <v>122.58</v>
      </c>
      <c r="D623" s="83">
        <f>297.941</f>
        <v>297.94099999999997</v>
      </c>
      <c r="E623" s="92">
        <f>89.177</f>
        <v>89.177000000000007</v>
      </c>
      <c r="F623" s="83">
        <f>240.302-40-60-100</f>
        <v>40.301999999999992</v>
      </c>
      <c r="G623" s="86">
        <v>40</v>
      </c>
      <c r="H623" s="83">
        <f>60+100</f>
        <v>160</v>
      </c>
      <c r="I623" s="83">
        <f t="shared" si="90"/>
        <v>0</v>
      </c>
      <c r="J623" s="86">
        <v>100</v>
      </c>
      <c r="K623" s="86">
        <v>300</v>
      </c>
      <c r="L623" s="83">
        <f t="shared" si="94"/>
        <v>1150</v>
      </c>
      <c r="M623" s="94">
        <v>600</v>
      </c>
      <c r="N623" s="83">
        <f>100</f>
        <v>100</v>
      </c>
      <c r="O623" s="86">
        <v>240</v>
      </c>
      <c r="P623" s="86">
        <v>40</v>
      </c>
      <c r="Q623" s="86">
        <f t="shared" si="95"/>
        <v>315</v>
      </c>
      <c r="R623" s="86">
        <f t="shared" si="96"/>
        <v>100</v>
      </c>
      <c r="S623" s="83">
        <f t="shared" si="97"/>
        <v>695</v>
      </c>
      <c r="T623" s="83">
        <f>50</f>
        <v>50</v>
      </c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</row>
    <row r="624" spans="1:30" ht="15.75" x14ac:dyDescent="0.25">
      <c r="A624" s="32">
        <v>59932</v>
      </c>
      <c r="B624" s="95">
        <f t="shared" si="98"/>
        <v>31</v>
      </c>
      <c r="C624" s="83">
        <f>122.58</f>
        <v>122.58</v>
      </c>
      <c r="D624" s="83">
        <f>297.941</f>
        <v>297.94099999999997</v>
      </c>
      <c r="E624" s="92">
        <f>89.177</f>
        <v>89.177000000000007</v>
      </c>
      <c r="F624" s="83">
        <f>240.302-40-60-100</f>
        <v>40.301999999999992</v>
      </c>
      <c r="G624" s="86">
        <v>40</v>
      </c>
      <c r="H624" s="83">
        <f>60+100</f>
        <v>160</v>
      </c>
      <c r="I624" s="83">
        <f t="shared" si="90"/>
        <v>0</v>
      </c>
      <c r="J624" s="86">
        <v>100</v>
      </c>
      <c r="K624" s="86">
        <v>300</v>
      </c>
      <c r="L624" s="83">
        <f t="shared" si="94"/>
        <v>1150</v>
      </c>
      <c r="M624" s="94">
        <v>600</v>
      </c>
      <c r="N624" s="83">
        <f>100</f>
        <v>100</v>
      </c>
      <c r="O624" s="86">
        <v>240</v>
      </c>
      <c r="P624" s="86">
        <v>40</v>
      </c>
      <c r="Q624" s="86">
        <f t="shared" si="95"/>
        <v>315</v>
      </c>
      <c r="R624" s="86">
        <f t="shared" si="96"/>
        <v>100</v>
      </c>
      <c r="S624" s="83">
        <f t="shared" si="97"/>
        <v>695</v>
      </c>
      <c r="T624" s="83">
        <f>50</f>
        <v>50</v>
      </c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</row>
    <row r="625" spans="1:30" ht="15.75" x14ac:dyDescent="0.25">
      <c r="A625" s="32">
        <v>59961</v>
      </c>
      <c r="B625" s="95">
        <f t="shared" si="98"/>
        <v>29</v>
      </c>
      <c r="C625" s="83">
        <f>122.58</f>
        <v>122.58</v>
      </c>
      <c r="D625" s="83">
        <f>297.941</f>
        <v>297.94099999999997</v>
      </c>
      <c r="E625" s="92">
        <f>89.177</f>
        <v>89.177000000000007</v>
      </c>
      <c r="F625" s="83">
        <f>240.302-40-60-100</f>
        <v>40.301999999999992</v>
      </c>
      <c r="G625" s="86">
        <v>40</v>
      </c>
      <c r="H625" s="83">
        <f>60+100</f>
        <v>160</v>
      </c>
      <c r="I625" s="83">
        <f t="shared" si="90"/>
        <v>0</v>
      </c>
      <c r="J625" s="86">
        <v>100</v>
      </c>
      <c r="K625" s="86">
        <v>300</v>
      </c>
      <c r="L625" s="83">
        <f t="shared" si="94"/>
        <v>1150</v>
      </c>
      <c r="M625" s="94">
        <v>600</v>
      </c>
      <c r="N625" s="83">
        <f>100</f>
        <v>100</v>
      </c>
      <c r="O625" s="86">
        <v>240</v>
      </c>
      <c r="P625" s="86">
        <v>40</v>
      </c>
      <c r="Q625" s="86">
        <f t="shared" si="95"/>
        <v>315</v>
      </c>
      <c r="R625" s="86">
        <f t="shared" si="96"/>
        <v>100</v>
      </c>
      <c r="S625" s="83">
        <f t="shared" si="97"/>
        <v>695</v>
      </c>
      <c r="T625" s="83">
        <f>50</f>
        <v>50</v>
      </c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</row>
    <row r="626" spans="1:30" ht="15.75" x14ac:dyDescent="0.25">
      <c r="A626" s="32">
        <v>59992</v>
      </c>
      <c r="B626" s="95">
        <f t="shared" si="98"/>
        <v>31</v>
      </c>
      <c r="C626" s="83">
        <f>122.58</f>
        <v>122.58</v>
      </c>
      <c r="D626" s="83">
        <f>297.941</f>
        <v>297.94099999999997</v>
      </c>
      <c r="E626" s="92">
        <f>89.177</f>
        <v>89.177000000000007</v>
      </c>
      <c r="F626" s="83">
        <f>240.302-40-60-100</f>
        <v>40.301999999999992</v>
      </c>
      <c r="G626" s="86">
        <v>40</v>
      </c>
      <c r="H626" s="83">
        <f>60+100</f>
        <v>160</v>
      </c>
      <c r="I626" s="83">
        <f t="shared" si="90"/>
        <v>0</v>
      </c>
      <c r="J626" s="86">
        <v>100</v>
      </c>
      <c r="K626" s="86">
        <v>300</v>
      </c>
      <c r="L626" s="83">
        <f t="shared" si="94"/>
        <v>1150</v>
      </c>
      <c r="M626" s="94">
        <v>600</v>
      </c>
      <c r="N626" s="83">
        <f>100</f>
        <v>100</v>
      </c>
      <c r="O626" s="86">
        <v>240</v>
      </c>
      <c r="P626" s="86">
        <v>40</v>
      </c>
      <c r="Q626" s="86">
        <f t="shared" si="95"/>
        <v>315</v>
      </c>
      <c r="R626" s="86">
        <f t="shared" si="96"/>
        <v>100</v>
      </c>
      <c r="S626" s="83">
        <f t="shared" si="97"/>
        <v>695</v>
      </c>
      <c r="T626" s="83">
        <f>50</f>
        <v>50</v>
      </c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</row>
    <row r="627" spans="1:30" ht="15.75" x14ac:dyDescent="0.25">
      <c r="A627" s="32">
        <v>60022</v>
      </c>
      <c r="B627" s="95">
        <f t="shared" si="98"/>
        <v>30</v>
      </c>
      <c r="C627" s="83">
        <f>141.293</f>
        <v>141.29300000000001</v>
      </c>
      <c r="D627" s="83">
        <f>267.993</f>
        <v>267.99299999999999</v>
      </c>
      <c r="E627" s="92">
        <f>115.016</f>
        <v>115.01600000000001</v>
      </c>
      <c r="F627" s="83">
        <f>314.698-40-25-60-100</f>
        <v>89.697999999999979</v>
      </c>
      <c r="G627" s="86">
        <v>40</v>
      </c>
      <c r="H627" s="83">
        <f t="shared" ref="H627:H633" si="101">25+60+100</f>
        <v>185</v>
      </c>
      <c r="I627" s="83">
        <f t="shared" si="90"/>
        <v>0</v>
      </c>
      <c r="J627" s="86">
        <v>100</v>
      </c>
      <c r="K627" s="86">
        <v>300</v>
      </c>
      <c r="L627" s="83">
        <f t="shared" si="94"/>
        <v>1239</v>
      </c>
      <c r="M627" s="94">
        <v>600</v>
      </c>
      <c r="N627" s="83">
        <f>100</f>
        <v>100</v>
      </c>
      <c r="O627" s="86">
        <v>240</v>
      </c>
      <c r="P627" s="86">
        <v>40</v>
      </c>
      <c r="Q627" s="86">
        <f t="shared" si="95"/>
        <v>315</v>
      </c>
      <c r="R627" s="86">
        <f t="shared" si="96"/>
        <v>100</v>
      </c>
      <c r="S627" s="83">
        <f t="shared" si="97"/>
        <v>695</v>
      </c>
      <c r="T627" s="83">
        <f>50</f>
        <v>50</v>
      </c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</row>
    <row r="628" spans="1:30" ht="15.75" x14ac:dyDescent="0.25">
      <c r="A628" s="32">
        <v>60053</v>
      </c>
      <c r="B628" s="95">
        <f t="shared" si="98"/>
        <v>31</v>
      </c>
      <c r="C628" s="83">
        <f>194.205</f>
        <v>194.20500000000001</v>
      </c>
      <c r="D628" s="83">
        <f>267.466</f>
        <v>267.46600000000001</v>
      </c>
      <c r="E628" s="92">
        <f>133.845</f>
        <v>133.845</v>
      </c>
      <c r="F628" s="83">
        <f>278.484-40-25-60-100</f>
        <v>53.48399999999998</v>
      </c>
      <c r="G628" s="86">
        <v>40</v>
      </c>
      <c r="H628" s="83">
        <f t="shared" si="101"/>
        <v>185</v>
      </c>
      <c r="I628" s="83">
        <f t="shared" ref="I628:I691" si="102">400-J628-K628</f>
        <v>0</v>
      </c>
      <c r="J628" s="86">
        <v>100</v>
      </c>
      <c r="K628" s="86">
        <v>300</v>
      </c>
      <c r="L628" s="83">
        <f t="shared" si="94"/>
        <v>1274</v>
      </c>
      <c r="M628" s="94">
        <v>600</v>
      </c>
      <c r="N628" s="83">
        <f>75</f>
        <v>75</v>
      </c>
      <c r="O628" s="86">
        <v>240</v>
      </c>
      <c r="P628" s="86">
        <v>40</v>
      </c>
      <c r="Q628" s="86">
        <f t="shared" si="95"/>
        <v>315</v>
      </c>
      <c r="R628" s="86">
        <f t="shared" si="96"/>
        <v>100</v>
      </c>
      <c r="S628" s="83">
        <f t="shared" si="97"/>
        <v>695</v>
      </c>
      <c r="T628" s="83">
        <f>50</f>
        <v>50</v>
      </c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</row>
    <row r="629" spans="1:30" ht="15.75" x14ac:dyDescent="0.25">
      <c r="A629" s="32">
        <v>60083</v>
      </c>
      <c r="B629" s="95">
        <f t="shared" si="98"/>
        <v>30</v>
      </c>
      <c r="C629" s="83">
        <f>194.205</f>
        <v>194.20500000000001</v>
      </c>
      <c r="D629" s="83">
        <f>267.466</f>
        <v>267.46600000000001</v>
      </c>
      <c r="E629" s="92">
        <f>133.845</f>
        <v>133.845</v>
      </c>
      <c r="F629" s="83">
        <f>278.484-40-25-60-100</f>
        <v>53.48399999999998</v>
      </c>
      <c r="G629" s="86">
        <v>40</v>
      </c>
      <c r="H629" s="83">
        <f t="shared" si="101"/>
        <v>185</v>
      </c>
      <c r="I629" s="83">
        <f t="shared" si="102"/>
        <v>0</v>
      </c>
      <c r="J629" s="86">
        <v>100</v>
      </c>
      <c r="K629" s="86">
        <v>300</v>
      </c>
      <c r="L629" s="83">
        <f t="shared" si="94"/>
        <v>1274</v>
      </c>
      <c r="M629" s="94">
        <v>600</v>
      </c>
      <c r="N629" s="83">
        <f>30</f>
        <v>30</v>
      </c>
      <c r="O629" s="86">
        <v>240</v>
      </c>
      <c r="P629" s="86">
        <v>40</v>
      </c>
      <c r="Q629" s="86">
        <f t="shared" si="95"/>
        <v>315</v>
      </c>
      <c r="R629" s="86">
        <f t="shared" si="96"/>
        <v>100</v>
      </c>
      <c r="S629" s="83">
        <f t="shared" si="97"/>
        <v>695</v>
      </c>
      <c r="T629" s="83">
        <f>50</f>
        <v>50</v>
      </c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</row>
    <row r="630" spans="1:30" ht="15.75" x14ac:dyDescent="0.25">
      <c r="A630" s="32">
        <v>60114</v>
      </c>
      <c r="B630" s="95">
        <f t="shared" si="98"/>
        <v>31</v>
      </c>
      <c r="C630" s="83">
        <f>194.205</f>
        <v>194.20500000000001</v>
      </c>
      <c r="D630" s="83">
        <f>267.466</f>
        <v>267.46600000000001</v>
      </c>
      <c r="E630" s="92">
        <f>133.845</f>
        <v>133.845</v>
      </c>
      <c r="F630" s="83">
        <f>278.484-40-25-60-100</f>
        <v>53.48399999999998</v>
      </c>
      <c r="G630" s="86">
        <v>40</v>
      </c>
      <c r="H630" s="83">
        <f t="shared" si="101"/>
        <v>185</v>
      </c>
      <c r="I630" s="83">
        <f t="shared" si="102"/>
        <v>0</v>
      </c>
      <c r="J630" s="86">
        <v>100</v>
      </c>
      <c r="K630" s="86">
        <v>300</v>
      </c>
      <c r="L630" s="83">
        <f t="shared" si="94"/>
        <v>1274</v>
      </c>
      <c r="M630" s="94">
        <v>600</v>
      </c>
      <c r="N630" s="83">
        <f>30</f>
        <v>30</v>
      </c>
      <c r="O630" s="86">
        <v>240</v>
      </c>
      <c r="P630" s="86">
        <v>40</v>
      </c>
      <c r="Q630" s="86">
        <f t="shared" si="95"/>
        <v>315</v>
      </c>
      <c r="R630" s="86">
        <f t="shared" si="96"/>
        <v>100</v>
      </c>
      <c r="S630" s="83">
        <f t="shared" si="97"/>
        <v>695</v>
      </c>
      <c r="T630" s="83">
        <f>0</f>
        <v>0</v>
      </c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</row>
    <row r="631" spans="1:30" ht="15.75" x14ac:dyDescent="0.25">
      <c r="A631" s="32">
        <v>60145</v>
      </c>
      <c r="B631" s="95">
        <f t="shared" si="98"/>
        <v>31</v>
      </c>
      <c r="C631" s="83">
        <f>194.205</f>
        <v>194.20500000000001</v>
      </c>
      <c r="D631" s="83">
        <f>267.466</f>
        <v>267.46600000000001</v>
      </c>
      <c r="E631" s="92">
        <f>133.845</f>
        <v>133.845</v>
      </c>
      <c r="F631" s="83">
        <f>278.484-40-25-60-100</f>
        <v>53.48399999999998</v>
      </c>
      <c r="G631" s="86">
        <v>40</v>
      </c>
      <c r="H631" s="83">
        <f t="shared" si="101"/>
        <v>185</v>
      </c>
      <c r="I631" s="83">
        <f t="shared" si="102"/>
        <v>0</v>
      </c>
      <c r="J631" s="86">
        <v>100</v>
      </c>
      <c r="K631" s="86">
        <v>300</v>
      </c>
      <c r="L631" s="83">
        <f t="shared" si="94"/>
        <v>1274</v>
      </c>
      <c r="M631" s="94">
        <v>600</v>
      </c>
      <c r="N631" s="83">
        <f>30</f>
        <v>30</v>
      </c>
      <c r="O631" s="86">
        <v>240</v>
      </c>
      <c r="P631" s="86">
        <v>40</v>
      </c>
      <c r="Q631" s="86">
        <f t="shared" si="95"/>
        <v>315</v>
      </c>
      <c r="R631" s="86">
        <f t="shared" si="96"/>
        <v>100</v>
      </c>
      <c r="S631" s="83">
        <f t="shared" si="97"/>
        <v>695</v>
      </c>
      <c r="T631" s="83">
        <f>0</f>
        <v>0</v>
      </c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</row>
    <row r="632" spans="1:30" ht="15.75" x14ac:dyDescent="0.25">
      <c r="A632" s="32">
        <v>60175</v>
      </c>
      <c r="B632" s="95">
        <f t="shared" si="98"/>
        <v>30</v>
      </c>
      <c r="C632" s="83">
        <f>194.205</f>
        <v>194.20500000000001</v>
      </c>
      <c r="D632" s="83">
        <f>267.466</f>
        <v>267.46600000000001</v>
      </c>
      <c r="E632" s="92">
        <f>133.845</f>
        <v>133.845</v>
      </c>
      <c r="F632" s="83">
        <f>278.484-40-25-60-100</f>
        <v>53.48399999999998</v>
      </c>
      <c r="G632" s="86">
        <v>40</v>
      </c>
      <c r="H632" s="83">
        <f t="shared" si="101"/>
        <v>185</v>
      </c>
      <c r="I632" s="83">
        <f t="shared" si="102"/>
        <v>0</v>
      </c>
      <c r="J632" s="86">
        <v>100</v>
      </c>
      <c r="K632" s="86">
        <v>300</v>
      </c>
      <c r="L632" s="83">
        <f t="shared" si="94"/>
        <v>1274</v>
      </c>
      <c r="M632" s="94">
        <v>600</v>
      </c>
      <c r="N632" s="83">
        <f>30</f>
        <v>30</v>
      </c>
      <c r="O632" s="86">
        <v>240</v>
      </c>
      <c r="P632" s="86">
        <v>40</v>
      </c>
      <c r="Q632" s="86">
        <f t="shared" si="95"/>
        <v>315</v>
      </c>
      <c r="R632" s="86">
        <f t="shared" si="96"/>
        <v>100</v>
      </c>
      <c r="S632" s="83">
        <f t="shared" si="97"/>
        <v>695</v>
      </c>
      <c r="T632" s="83">
        <f>0</f>
        <v>0</v>
      </c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</row>
    <row r="633" spans="1:30" ht="15.75" x14ac:dyDescent="0.25">
      <c r="A633" s="32">
        <v>60206</v>
      </c>
      <c r="B633" s="95">
        <f t="shared" si="98"/>
        <v>31</v>
      </c>
      <c r="C633" s="83">
        <f>131.881</f>
        <v>131.881</v>
      </c>
      <c r="D633" s="83">
        <f>277.167</f>
        <v>277.16699999999997</v>
      </c>
      <c r="E633" s="92">
        <f>79.08</f>
        <v>79.08</v>
      </c>
      <c r="F633" s="83">
        <f>350.872-40-25-60-100</f>
        <v>125.87200000000001</v>
      </c>
      <c r="G633" s="86">
        <v>40</v>
      </c>
      <c r="H633" s="83">
        <f t="shared" si="101"/>
        <v>185</v>
      </c>
      <c r="I633" s="83">
        <f t="shared" si="102"/>
        <v>0</v>
      </c>
      <c r="J633" s="86">
        <v>100</v>
      </c>
      <c r="K633" s="86">
        <v>300</v>
      </c>
      <c r="L633" s="83">
        <f t="shared" si="94"/>
        <v>1239</v>
      </c>
      <c r="M633" s="94">
        <v>600</v>
      </c>
      <c r="N633" s="83">
        <f>75</f>
        <v>75</v>
      </c>
      <c r="O633" s="86">
        <v>240</v>
      </c>
      <c r="P633" s="86">
        <v>40</v>
      </c>
      <c r="Q633" s="86">
        <f t="shared" si="95"/>
        <v>315</v>
      </c>
      <c r="R633" s="86">
        <f t="shared" si="96"/>
        <v>100</v>
      </c>
      <c r="S633" s="83">
        <f t="shared" si="97"/>
        <v>695</v>
      </c>
      <c r="T633" s="83">
        <f>0</f>
        <v>0</v>
      </c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</row>
    <row r="634" spans="1:30" ht="15.75" x14ac:dyDescent="0.25">
      <c r="A634" s="32">
        <v>60236</v>
      </c>
      <c r="B634" s="95">
        <f t="shared" si="98"/>
        <v>30</v>
      </c>
      <c r="C634" s="83">
        <f>122.58</f>
        <v>122.58</v>
      </c>
      <c r="D634" s="83">
        <f>297.941</f>
        <v>297.94099999999997</v>
      </c>
      <c r="E634" s="92">
        <f>89.177</f>
        <v>89.177000000000007</v>
      </c>
      <c r="F634" s="83">
        <f>240.302-40-60-100</f>
        <v>40.301999999999992</v>
      </c>
      <c r="G634" s="86">
        <v>40</v>
      </c>
      <c r="H634" s="83">
        <f>60+100</f>
        <v>160</v>
      </c>
      <c r="I634" s="83">
        <f t="shared" si="102"/>
        <v>0</v>
      </c>
      <c r="J634" s="86">
        <v>100</v>
      </c>
      <c r="K634" s="86">
        <v>300</v>
      </c>
      <c r="L634" s="83">
        <f t="shared" si="94"/>
        <v>1150</v>
      </c>
      <c r="M634" s="94">
        <v>600</v>
      </c>
      <c r="N634" s="83">
        <f>100</f>
        <v>100</v>
      </c>
      <c r="O634" s="86">
        <v>240</v>
      </c>
      <c r="P634" s="86">
        <v>40</v>
      </c>
      <c r="Q634" s="86">
        <f t="shared" si="95"/>
        <v>315</v>
      </c>
      <c r="R634" s="86">
        <f t="shared" si="96"/>
        <v>100</v>
      </c>
      <c r="S634" s="83">
        <f t="shared" si="97"/>
        <v>695</v>
      </c>
      <c r="T634" s="83">
        <f>50</f>
        <v>50</v>
      </c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</row>
    <row r="635" spans="1:30" ht="15.75" x14ac:dyDescent="0.25">
      <c r="A635" s="32">
        <v>60267</v>
      </c>
      <c r="B635" s="95">
        <f t="shared" si="98"/>
        <v>31</v>
      </c>
      <c r="C635" s="83">
        <f>122.58</f>
        <v>122.58</v>
      </c>
      <c r="D635" s="83">
        <f>297.941</f>
        <v>297.94099999999997</v>
      </c>
      <c r="E635" s="92">
        <f>89.177</f>
        <v>89.177000000000007</v>
      </c>
      <c r="F635" s="83">
        <f>240.302-40-60-100</f>
        <v>40.301999999999992</v>
      </c>
      <c r="G635" s="86">
        <v>40</v>
      </c>
      <c r="H635" s="83">
        <f>60+100</f>
        <v>160</v>
      </c>
      <c r="I635" s="83">
        <f t="shared" si="102"/>
        <v>0</v>
      </c>
      <c r="J635" s="86">
        <v>100</v>
      </c>
      <c r="K635" s="86">
        <v>300</v>
      </c>
      <c r="L635" s="83">
        <f t="shared" si="94"/>
        <v>1150</v>
      </c>
      <c r="M635" s="94">
        <v>600</v>
      </c>
      <c r="N635" s="83">
        <f>100</f>
        <v>100</v>
      </c>
      <c r="O635" s="86">
        <v>240</v>
      </c>
      <c r="P635" s="86">
        <v>40</v>
      </c>
      <c r="Q635" s="86">
        <f t="shared" si="95"/>
        <v>315</v>
      </c>
      <c r="R635" s="86">
        <f t="shared" si="96"/>
        <v>100</v>
      </c>
      <c r="S635" s="83">
        <f t="shared" si="97"/>
        <v>695</v>
      </c>
      <c r="T635" s="83">
        <f>50</f>
        <v>50</v>
      </c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</row>
    <row r="636" spans="1:30" ht="15.75" x14ac:dyDescent="0.25">
      <c r="A636" s="32">
        <v>60298</v>
      </c>
      <c r="B636" s="95">
        <f t="shared" si="98"/>
        <v>31</v>
      </c>
      <c r="C636" s="83">
        <f>122.58</f>
        <v>122.58</v>
      </c>
      <c r="D636" s="83">
        <f>297.941</f>
        <v>297.94099999999997</v>
      </c>
      <c r="E636" s="92">
        <f>89.177</f>
        <v>89.177000000000007</v>
      </c>
      <c r="F636" s="83">
        <f>240.302-40-60-100</f>
        <v>40.301999999999992</v>
      </c>
      <c r="G636" s="86">
        <v>40</v>
      </c>
      <c r="H636" s="83">
        <f>60+100</f>
        <v>160</v>
      </c>
      <c r="I636" s="83">
        <f t="shared" si="102"/>
        <v>0</v>
      </c>
      <c r="J636" s="86">
        <v>100</v>
      </c>
      <c r="K636" s="86">
        <v>300</v>
      </c>
      <c r="L636" s="83">
        <f t="shared" si="94"/>
        <v>1150</v>
      </c>
      <c r="M636" s="94">
        <v>600</v>
      </c>
      <c r="N636" s="83">
        <f>100</f>
        <v>100</v>
      </c>
      <c r="O636" s="86">
        <v>240</v>
      </c>
      <c r="P636" s="86">
        <v>40</v>
      </c>
      <c r="Q636" s="86">
        <f t="shared" si="95"/>
        <v>315</v>
      </c>
      <c r="R636" s="86">
        <f t="shared" si="96"/>
        <v>100</v>
      </c>
      <c r="S636" s="83">
        <f t="shared" si="97"/>
        <v>695</v>
      </c>
      <c r="T636" s="83">
        <f>50</f>
        <v>50</v>
      </c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</row>
    <row r="637" spans="1:30" ht="15.75" x14ac:dyDescent="0.25">
      <c r="A637" s="32">
        <v>60326</v>
      </c>
      <c r="B637" s="95">
        <f t="shared" si="98"/>
        <v>28</v>
      </c>
      <c r="C637" s="83">
        <f>122.58</f>
        <v>122.58</v>
      </c>
      <c r="D637" s="83">
        <f>297.941</f>
        <v>297.94099999999997</v>
      </c>
      <c r="E637" s="92">
        <f>89.177</f>
        <v>89.177000000000007</v>
      </c>
      <c r="F637" s="83">
        <f>240.302-40-60-100</f>
        <v>40.301999999999992</v>
      </c>
      <c r="G637" s="86">
        <v>40</v>
      </c>
      <c r="H637" s="83">
        <f>60+100</f>
        <v>160</v>
      </c>
      <c r="I637" s="83">
        <f t="shared" si="102"/>
        <v>0</v>
      </c>
      <c r="J637" s="86">
        <v>100</v>
      </c>
      <c r="K637" s="86">
        <v>300</v>
      </c>
      <c r="L637" s="83">
        <f t="shared" si="94"/>
        <v>1150</v>
      </c>
      <c r="M637" s="94">
        <v>600</v>
      </c>
      <c r="N637" s="83">
        <f>100</f>
        <v>100</v>
      </c>
      <c r="O637" s="86">
        <v>240</v>
      </c>
      <c r="P637" s="86">
        <v>40</v>
      </c>
      <c r="Q637" s="86">
        <f t="shared" si="95"/>
        <v>315</v>
      </c>
      <c r="R637" s="86">
        <f t="shared" si="96"/>
        <v>100</v>
      </c>
      <c r="S637" s="83">
        <f t="shared" si="97"/>
        <v>695</v>
      </c>
      <c r="T637" s="83">
        <f>50</f>
        <v>50</v>
      </c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</row>
    <row r="638" spans="1:30" ht="15.75" x14ac:dyDescent="0.25">
      <c r="A638" s="32">
        <v>60357</v>
      </c>
      <c r="B638" s="95">
        <f t="shared" si="98"/>
        <v>31</v>
      </c>
      <c r="C638" s="83">
        <f>122.58</f>
        <v>122.58</v>
      </c>
      <c r="D638" s="83">
        <f>297.941</f>
        <v>297.94099999999997</v>
      </c>
      <c r="E638" s="92">
        <f>89.177</f>
        <v>89.177000000000007</v>
      </c>
      <c r="F638" s="83">
        <f>240.302-40-60-100</f>
        <v>40.301999999999992</v>
      </c>
      <c r="G638" s="86">
        <v>40</v>
      </c>
      <c r="H638" s="83">
        <f>60+100</f>
        <v>160</v>
      </c>
      <c r="I638" s="83">
        <f t="shared" si="102"/>
        <v>0</v>
      </c>
      <c r="J638" s="86">
        <v>100</v>
      </c>
      <c r="K638" s="86">
        <v>300</v>
      </c>
      <c r="L638" s="83">
        <f t="shared" si="94"/>
        <v>1150</v>
      </c>
      <c r="M638" s="94">
        <v>600</v>
      </c>
      <c r="N638" s="83">
        <f>100</f>
        <v>100</v>
      </c>
      <c r="O638" s="86">
        <v>240</v>
      </c>
      <c r="P638" s="86">
        <v>40</v>
      </c>
      <c r="Q638" s="86">
        <f t="shared" si="95"/>
        <v>315</v>
      </c>
      <c r="R638" s="86">
        <f t="shared" si="96"/>
        <v>100</v>
      </c>
      <c r="S638" s="83">
        <f t="shared" si="97"/>
        <v>695</v>
      </c>
      <c r="T638" s="83">
        <f>50</f>
        <v>50</v>
      </c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</row>
    <row r="639" spans="1:30" ht="15.75" x14ac:dyDescent="0.25">
      <c r="A639" s="32">
        <v>60387</v>
      </c>
      <c r="B639" s="95">
        <f t="shared" si="98"/>
        <v>30</v>
      </c>
      <c r="C639" s="83">
        <f>141.293</f>
        <v>141.29300000000001</v>
      </c>
      <c r="D639" s="83">
        <f>267.993</f>
        <v>267.99299999999999</v>
      </c>
      <c r="E639" s="92">
        <f>115.016</f>
        <v>115.01600000000001</v>
      </c>
      <c r="F639" s="83">
        <f>314.698-40-25-60-100</f>
        <v>89.697999999999979</v>
      </c>
      <c r="G639" s="86">
        <v>40</v>
      </c>
      <c r="H639" s="83">
        <f t="shared" ref="H639:H645" si="103">25+60+100</f>
        <v>185</v>
      </c>
      <c r="I639" s="83">
        <f t="shared" si="102"/>
        <v>0</v>
      </c>
      <c r="J639" s="86">
        <v>100</v>
      </c>
      <c r="K639" s="86">
        <v>300</v>
      </c>
      <c r="L639" s="83">
        <f t="shared" si="94"/>
        <v>1239</v>
      </c>
      <c r="M639" s="94">
        <v>600</v>
      </c>
      <c r="N639" s="83">
        <f>100</f>
        <v>100</v>
      </c>
      <c r="O639" s="86">
        <v>240</v>
      </c>
      <c r="P639" s="86">
        <v>40</v>
      </c>
      <c r="Q639" s="86">
        <f t="shared" si="95"/>
        <v>315</v>
      </c>
      <c r="R639" s="86">
        <f t="shared" si="96"/>
        <v>100</v>
      </c>
      <c r="S639" s="83">
        <f t="shared" si="97"/>
        <v>695</v>
      </c>
      <c r="T639" s="83">
        <f>50</f>
        <v>50</v>
      </c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</row>
    <row r="640" spans="1:30" ht="15.75" x14ac:dyDescent="0.25">
      <c r="A640" s="32">
        <v>60418</v>
      </c>
      <c r="B640" s="95">
        <f t="shared" si="98"/>
        <v>31</v>
      </c>
      <c r="C640" s="83">
        <f>194.205</f>
        <v>194.20500000000001</v>
      </c>
      <c r="D640" s="83">
        <f>267.466</f>
        <v>267.46600000000001</v>
      </c>
      <c r="E640" s="92">
        <f>133.845</f>
        <v>133.845</v>
      </c>
      <c r="F640" s="83">
        <f>278.484-40-25-60-100</f>
        <v>53.48399999999998</v>
      </c>
      <c r="G640" s="86">
        <v>40</v>
      </c>
      <c r="H640" s="83">
        <f t="shared" si="103"/>
        <v>185</v>
      </c>
      <c r="I640" s="83">
        <f t="shared" si="102"/>
        <v>0</v>
      </c>
      <c r="J640" s="86">
        <v>100</v>
      </c>
      <c r="K640" s="86">
        <v>300</v>
      </c>
      <c r="L640" s="83">
        <f t="shared" si="94"/>
        <v>1274</v>
      </c>
      <c r="M640" s="94">
        <v>600</v>
      </c>
      <c r="N640" s="83">
        <f>75</f>
        <v>75</v>
      </c>
      <c r="O640" s="86">
        <v>240</v>
      </c>
      <c r="P640" s="86">
        <v>40</v>
      </c>
      <c r="Q640" s="86">
        <f t="shared" si="95"/>
        <v>315</v>
      </c>
      <c r="R640" s="86">
        <f t="shared" si="96"/>
        <v>100</v>
      </c>
      <c r="S640" s="83">
        <f t="shared" si="97"/>
        <v>695</v>
      </c>
      <c r="T640" s="83">
        <f>50</f>
        <v>50</v>
      </c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</row>
    <row r="641" spans="1:30" ht="15.75" x14ac:dyDescent="0.25">
      <c r="A641" s="32">
        <v>60448</v>
      </c>
      <c r="B641" s="95">
        <f t="shared" si="98"/>
        <v>30</v>
      </c>
      <c r="C641" s="83">
        <f>194.205</f>
        <v>194.20500000000001</v>
      </c>
      <c r="D641" s="83">
        <f>267.466</f>
        <v>267.46600000000001</v>
      </c>
      <c r="E641" s="92">
        <f>133.845</f>
        <v>133.845</v>
      </c>
      <c r="F641" s="83">
        <f>278.484-40-25-60-100</f>
        <v>53.48399999999998</v>
      </c>
      <c r="G641" s="86">
        <v>40</v>
      </c>
      <c r="H641" s="83">
        <f t="shared" si="103"/>
        <v>185</v>
      </c>
      <c r="I641" s="83">
        <f t="shared" si="102"/>
        <v>0</v>
      </c>
      <c r="J641" s="86">
        <v>100</v>
      </c>
      <c r="K641" s="86">
        <v>300</v>
      </c>
      <c r="L641" s="83">
        <f t="shared" si="94"/>
        <v>1274</v>
      </c>
      <c r="M641" s="94">
        <v>600</v>
      </c>
      <c r="N641" s="83">
        <f>30</f>
        <v>30</v>
      </c>
      <c r="O641" s="86">
        <v>240</v>
      </c>
      <c r="P641" s="86">
        <v>40</v>
      </c>
      <c r="Q641" s="86">
        <f t="shared" si="95"/>
        <v>315</v>
      </c>
      <c r="R641" s="86">
        <f t="shared" si="96"/>
        <v>100</v>
      </c>
      <c r="S641" s="83">
        <f t="shared" si="97"/>
        <v>695</v>
      </c>
      <c r="T641" s="83">
        <f>50</f>
        <v>50</v>
      </c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</row>
    <row r="642" spans="1:30" ht="15.75" x14ac:dyDescent="0.25">
      <c r="A642" s="32">
        <v>60479</v>
      </c>
      <c r="B642" s="95">
        <f t="shared" si="98"/>
        <v>31</v>
      </c>
      <c r="C642" s="83">
        <f>194.205</f>
        <v>194.20500000000001</v>
      </c>
      <c r="D642" s="83">
        <f>267.466</f>
        <v>267.46600000000001</v>
      </c>
      <c r="E642" s="92">
        <f>133.845</f>
        <v>133.845</v>
      </c>
      <c r="F642" s="83">
        <f>278.484-40-25-60-100</f>
        <v>53.48399999999998</v>
      </c>
      <c r="G642" s="86">
        <v>40</v>
      </c>
      <c r="H642" s="83">
        <f t="shared" si="103"/>
        <v>185</v>
      </c>
      <c r="I642" s="83">
        <f t="shared" si="102"/>
        <v>0</v>
      </c>
      <c r="J642" s="86">
        <v>100</v>
      </c>
      <c r="K642" s="86">
        <v>300</v>
      </c>
      <c r="L642" s="83">
        <f t="shared" si="94"/>
        <v>1274</v>
      </c>
      <c r="M642" s="94">
        <v>600</v>
      </c>
      <c r="N642" s="83">
        <f>30</f>
        <v>30</v>
      </c>
      <c r="O642" s="86">
        <v>240</v>
      </c>
      <c r="P642" s="86">
        <v>40</v>
      </c>
      <c r="Q642" s="86">
        <f t="shared" si="95"/>
        <v>315</v>
      </c>
      <c r="R642" s="86">
        <f t="shared" si="96"/>
        <v>100</v>
      </c>
      <c r="S642" s="83">
        <f t="shared" si="97"/>
        <v>695</v>
      </c>
      <c r="T642" s="83">
        <f>0</f>
        <v>0</v>
      </c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</row>
    <row r="643" spans="1:30" ht="15.75" x14ac:dyDescent="0.25">
      <c r="A643" s="32">
        <v>60510</v>
      </c>
      <c r="B643" s="95">
        <f t="shared" si="98"/>
        <v>31</v>
      </c>
      <c r="C643" s="83">
        <f>194.205</f>
        <v>194.20500000000001</v>
      </c>
      <c r="D643" s="83">
        <f>267.466</f>
        <v>267.46600000000001</v>
      </c>
      <c r="E643" s="92">
        <f>133.845</f>
        <v>133.845</v>
      </c>
      <c r="F643" s="83">
        <f>278.484-40-25-60-100</f>
        <v>53.48399999999998</v>
      </c>
      <c r="G643" s="86">
        <v>40</v>
      </c>
      <c r="H643" s="83">
        <f t="shared" si="103"/>
        <v>185</v>
      </c>
      <c r="I643" s="83">
        <f t="shared" si="102"/>
        <v>0</v>
      </c>
      <c r="J643" s="86">
        <v>100</v>
      </c>
      <c r="K643" s="86">
        <v>300</v>
      </c>
      <c r="L643" s="83">
        <f t="shared" si="94"/>
        <v>1274</v>
      </c>
      <c r="M643" s="94">
        <v>600</v>
      </c>
      <c r="N643" s="83">
        <f>30</f>
        <v>30</v>
      </c>
      <c r="O643" s="86">
        <v>240</v>
      </c>
      <c r="P643" s="86">
        <v>40</v>
      </c>
      <c r="Q643" s="86">
        <f t="shared" si="95"/>
        <v>315</v>
      </c>
      <c r="R643" s="86">
        <f t="shared" si="96"/>
        <v>100</v>
      </c>
      <c r="S643" s="83">
        <f t="shared" si="97"/>
        <v>695</v>
      </c>
      <c r="T643" s="83">
        <f>0</f>
        <v>0</v>
      </c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</row>
    <row r="644" spans="1:30" ht="15.75" x14ac:dyDescent="0.25">
      <c r="A644" s="32">
        <v>60540</v>
      </c>
      <c r="B644" s="95">
        <f t="shared" si="98"/>
        <v>30</v>
      </c>
      <c r="C644" s="83">
        <f>194.205</f>
        <v>194.20500000000001</v>
      </c>
      <c r="D644" s="83">
        <f>267.466</f>
        <v>267.46600000000001</v>
      </c>
      <c r="E644" s="92">
        <f>133.845</f>
        <v>133.845</v>
      </c>
      <c r="F644" s="83">
        <f>278.484-40-25-60-100</f>
        <v>53.48399999999998</v>
      </c>
      <c r="G644" s="86">
        <v>40</v>
      </c>
      <c r="H644" s="83">
        <f t="shared" si="103"/>
        <v>185</v>
      </c>
      <c r="I644" s="83">
        <f t="shared" si="102"/>
        <v>0</v>
      </c>
      <c r="J644" s="86">
        <v>100</v>
      </c>
      <c r="K644" s="86">
        <v>300</v>
      </c>
      <c r="L644" s="83">
        <f t="shared" si="94"/>
        <v>1274</v>
      </c>
      <c r="M644" s="94">
        <v>600</v>
      </c>
      <c r="N644" s="83">
        <f>30</f>
        <v>30</v>
      </c>
      <c r="O644" s="86">
        <v>240</v>
      </c>
      <c r="P644" s="86">
        <v>40</v>
      </c>
      <c r="Q644" s="86">
        <f t="shared" si="95"/>
        <v>315</v>
      </c>
      <c r="R644" s="86">
        <f t="shared" si="96"/>
        <v>100</v>
      </c>
      <c r="S644" s="83">
        <f t="shared" si="97"/>
        <v>695</v>
      </c>
      <c r="T644" s="83">
        <f>0</f>
        <v>0</v>
      </c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</row>
    <row r="645" spans="1:30" ht="15.75" x14ac:dyDescent="0.25">
      <c r="A645" s="32">
        <v>60571</v>
      </c>
      <c r="B645" s="95">
        <f t="shared" si="98"/>
        <v>31</v>
      </c>
      <c r="C645" s="83">
        <f>131.881</f>
        <v>131.881</v>
      </c>
      <c r="D645" s="83">
        <f>277.167</f>
        <v>277.16699999999997</v>
      </c>
      <c r="E645" s="92">
        <f>79.08</f>
        <v>79.08</v>
      </c>
      <c r="F645" s="83">
        <f>350.872-40-25-60-100</f>
        <v>125.87200000000001</v>
      </c>
      <c r="G645" s="86">
        <v>40</v>
      </c>
      <c r="H645" s="83">
        <f t="shared" si="103"/>
        <v>185</v>
      </c>
      <c r="I645" s="83">
        <f t="shared" si="102"/>
        <v>0</v>
      </c>
      <c r="J645" s="86">
        <v>100</v>
      </c>
      <c r="K645" s="86">
        <v>300</v>
      </c>
      <c r="L645" s="83">
        <f t="shared" si="94"/>
        <v>1239</v>
      </c>
      <c r="M645" s="94">
        <v>600</v>
      </c>
      <c r="N645" s="83">
        <f>75</f>
        <v>75</v>
      </c>
      <c r="O645" s="86">
        <v>240</v>
      </c>
      <c r="P645" s="86">
        <v>40</v>
      </c>
      <c r="Q645" s="86">
        <f t="shared" si="95"/>
        <v>315</v>
      </c>
      <c r="R645" s="86">
        <f t="shared" si="96"/>
        <v>100</v>
      </c>
      <c r="S645" s="83">
        <f t="shared" si="97"/>
        <v>695</v>
      </c>
      <c r="T645" s="83">
        <f>0</f>
        <v>0</v>
      </c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</row>
    <row r="646" spans="1:30" ht="15.75" x14ac:dyDescent="0.25">
      <c r="A646" s="32">
        <v>60601</v>
      </c>
      <c r="B646" s="95">
        <f t="shared" si="98"/>
        <v>30</v>
      </c>
      <c r="C646" s="83">
        <f>122.58</f>
        <v>122.58</v>
      </c>
      <c r="D646" s="83">
        <f>297.941</f>
        <v>297.94099999999997</v>
      </c>
      <c r="E646" s="92">
        <f>89.177</f>
        <v>89.177000000000007</v>
      </c>
      <c r="F646" s="83">
        <f>240.302-40-60-100</f>
        <v>40.301999999999992</v>
      </c>
      <c r="G646" s="86">
        <v>40</v>
      </c>
      <c r="H646" s="83">
        <f>60+100</f>
        <v>160</v>
      </c>
      <c r="I646" s="83">
        <f t="shared" si="102"/>
        <v>0</v>
      </c>
      <c r="J646" s="86">
        <v>100</v>
      </c>
      <c r="K646" s="86">
        <v>300</v>
      </c>
      <c r="L646" s="83">
        <f t="shared" si="94"/>
        <v>1150</v>
      </c>
      <c r="M646" s="94">
        <v>600</v>
      </c>
      <c r="N646" s="83">
        <f>100</f>
        <v>100</v>
      </c>
      <c r="O646" s="86">
        <v>240</v>
      </c>
      <c r="P646" s="86">
        <v>40</v>
      </c>
      <c r="Q646" s="86">
        <f t="shared" si="95"/>
        <v>315</v>
      </c>
      <c r="R646" s="86">
        <f t="shared" si="96"/>
        <v>100</v>
      </c>
      <c r="S646" s="83">
        <f t="shared" si="97"/>
        <v>695</v>
      </c>
      <c r="T646" s="83">
        <f>50</f>
        <v>50</v>
      </c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</row>
    <row r="647" spans="1:30" ht="15.75" x14ac:dyDescent="0.25">
      <c r="A647" s="32">
        <v>60632</v>
      </c>
      <c r="B647" s="95">
        <f t="shared" si="98"/>
        <v>31</v>
      </c>
      <c r="C647" s="83">
        <f>122.58</f>
        <v>122.58</v>
      </c>
      <c r="D647" s="83">
        <f>297.941</f>
        <v>297.94099999999997</v>
      </c>
      <c r="E647" s="92">
        <f>89.177</f>
        <v>89.177000000000007</v>
      </c>
      <c r="F647" s="83">
        <f>240.302-40-60-100</f>
        <v>40.301999999999992</v>
      </c>
      <c r="G647" s="86">
        <v>40</v>
      </c>
      <c r="H647" s="83">
        <f>60+100</f>
        <v>160</v>
      </c>
      <c r="I647" s="83">
        <f t="shared" si="102"/>
        <v>0</v>
      </c>
      <c r="J647" s="86">
        <v>100</v>
      </c>
      <c r="K647" s="86">
        <v>300</v>
      </c>
      <c r="L647" s="83">
        <f t="shared" si="94"/>
        <v>1150</v>
      </c>
      <c r="M647" s="94">
        <v>600</v>
      </c>
      <c r="N647" s="83">
        <f>100</f>
        <v>100</v>
      </c>
      <c r="O647" s="86">
        <v>240</v>
      </c>
      <c r="P647" s="86">
        <v>40</v>
      </c>
      <c r="Q647" s="86">
        <f t="shared" si="95"/>
        <v>315</v>
      </c>
      <c r="R647" s="86">
        <f t="shared" si="96"/>
        <v>100</v>
      </c>
      <c r="S647" s="83">
        <f t="shared" si="97"/>
        <v>695</v>
      </c>
      <c r="T647" s="83">
        <f>50</f>
        <v>50</v>
      </c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</row>
    <row r="648" spans="1:30" ht="15.75" x14ac:dyDescent="0.25">
      <c r="A648" s="32">
        <v>60663</v>
      </c>
      <c r="B648" s="95">
        <f t="shared" si="98"/>
        <v>31</v>
      </c>
      <c r="C648" s="83">
        <f>122.58</f>
        <v>122.58</v>
      </c>
      <c r="D648" s="83">
        <f>297.941</f>
        <v>297.94099999999997</v>
      </c>
      <c r="E648" s="92">
        <f>89.177</f>
        <v>89.177000000000007</v>
      </c>
      <c r="F648" s="83">
        <f>240.302-40-60-100</f>
        <v>40.301999999999992</v>
      </c>
      <c r="G648" s="86">
        <v>40</v>
      </c>
      <c r="H648" s="83">
        <f>60+100</f>
        <v>160</v>
      </c>
      <c r="I648" s="83">
        <f t="shared" si="102"/>
        <v>0</v>
      </c>
      <c r="J648" s="86">
        <v>100</v>
      </c>
      <c r="K648" s="86">
        <v>300</v>
      </c>
      <c r="L648" s="83">
        <f t="shared" si="94"/>
        <v>1150</v>
      </c>
      <c r="M648" s="94">
        <v>600</v>
      </c>
      <c r="N648" s="83">
        <f>100</f>
        <v>100</v>
      </c>
      <c r="O648" s="86">
        <v>240</v>
      </c>
      <c r="P648" s="86">
        <v>40</v>
      </c>
      <c r="Q648" s="86">
        <f t="shared" si="95"/>
        <v>315</v>
      </c>
      <c r="R648" s="86">
        <f t="shared" si="96"/>
        <v>100</v>
      </c>
      <c r="S648" s="83">
        <f t="shared" si="97"/>
        <v>695</v>
      </c>
      <c r="T648" s="83">
        <f>50</f>
        <v>50</v>
      </c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</row>
    <row r="649" spans="1:30" ht="15.75" x14ac:dyDescent="0.25">
      <c r="A649" s="32">
        <v>60691</v>
      </c>
      <c r="B649" s="95">
        <f t="shared" si="98"/>
        <v>28</v>
      </c>
      <c r="C649" s="83">
        <f>122.58</f>
        <v>122.58</v>
      </c>
      <c r="D649" s="83">
        <f>297.941</f>
        <v>297.94099999999997</v>
      </c>
      <c r="E649" s="92">
        <f>89.177</f>
        <v>89.177000000000007</v>
      </c>
      <c r="F649" s="83">
        <f>240.302-40-60-100</f>
        <v>40.301999999999992</v>
      </c>
      <c r="G649" s="86">
        <v>40</v>
      </c>
      <c r="H649" s="83">
        <f>60+100</f>
        <v>160</v>
      </c>
      <c r="I649" s="83">
        <f t="shared" si="102"/>
        <v>0</v>
      </c>
      <c r="J649" s="86">
        <v>100</v>
      </c>
      <c r="K649" s="86">
        <v>300</v>
      </c>
      <c r="L649" s="83">
        <f t="shared" si="94"/>
        <v>1150</v>
      </c>
      <c r="M649" s="94">
        <v>600</v>
      </c>
      <c r="N649" s="83">
        <f>100</f>
        <v>100</v>
      </c>
      <c r="O649" s="86">
        <v>240</v>
      </c>
      <c r="P649" s="86">
        <v>40</v>
      </c>
      <c r="Q649" s="86">
        <f t="shared" si="95"/>
        <v>315</v>
      </c>
      <c r="R649" s="86">
        <f t="shared" si="96"/>
        <v>100</v>
      </c>
      <c r="S649" s="83">
        <f t="shared" si="97"/>
        <v>695</v>
      </c>
      <c r="T649" s="83">
        <f>50</f>
        <v>50</v>
      </c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</row>
    <row r="650" spans="1:30" ht="15.75" x14ac:dyDescent="0.25">
      <c r="A650" s="32">
        <v>60722</v>
      </c>
      <c r="B650" s="95">
        <f t="shared" si="98"/>
        <v>31</v>
      </c>
      <c r="C650" s="83">
        <f>122.58</f>
        <v>122.58</v>
      </c>
      <c r="D650" s="83">
        <f>297.941</f>
        <v>297.94099999999997</v>
      </c>
      <c r="E650" s="92">
        <f>89.177</f>
        <v>89.177000000000007</v>
      </c>
      <c r="F650" s="83">
        <f>240.302-40-60-100</f>
        <v>40.301999999999992</v>
      </c>
      <c r="G650" s="86">
        <v>40</v>
      </c>
      <c r="H650" s="83">
        <f>60+100</f>
        <v>160</v>
      </c>
      <c r="I650" s="83">
        <f t="shared" si="102"/>
        <v>0</v>
      </c>
      <c r="J650" s="86">
        <v>100</v>
      </c>
      <c r="K650" s="86">
        <v>300</v>
      </c>
      <c r="L650" s="83">
        <f t="shared" si="94"/>
        <v>1150</v>
      </c>
      <c r="M650" s="94">
        <v>600</v>
      </c>
      <c r="N650" s="83">
        <f>100</f>
        <v>100</v>
      </c>
      <c r="O650" s="86">
        <v>240</v>
      </c>
      <c r="P650" s="86">
        <v>40</v>
      </c>
      <c r="Q650" s="86">
        <f t="shared" si="95"/>
        <v>315</v>
      </c>
      <c r="R650" s="86">
        <f t="shared" si="96"/>
        <v>100</v>
      </c>
      <c r="S650" s="83">
        <f t="shared" si="97"/>
        <v>695</v>
      </c>
      <c r="T650" s="83">
        <f>50</f>
        <v>50</v>
      </c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</row>
    <row r="651" spans="1:30" ht="15.75" x14ac:dyDescent="0.25">
      <c r="A651" s="32">
        <v>60752</v>
      </c>
      <c r="B651" s="95">
        <f t="shared" si="98"/>
        <v>30</v>
      </c>
      <c r="C651" s="83">
        <f>141.293</f>
        <v>141.29300000000001</v>
      </c>
      <c r="D651" s="83">
        <f>267.993</f>
        <v>267.99299999999999</v>
      </c>
      <c r="E651" s="92">
        <f>115.016</f>
        <v>115.01600000000001</v>
      </c>
      <c r="F651" s="83">
        <f>314.698-40-25-60-100</f>
        <v>89.697999999999979</v>
      </c>
      <c r="G651" s="86">
        <v>40</v>
      </c>
      <c r="H651" s="83">
        <f t="shared" ref="H651:H657" si="104">25+60+100</f>
        <v>185</v>
      </c>
      <c r="I651" s="83">
        <f t="shared" si="102"/>
        <v>0</v>
      </c>
      <c r="J651" s="86">
        <v>100</v>
      </c>
      <c r="K651" s="86">
        <v>300</v>
      </c>
      <c r="L651" s="83">
        <f t="shared" si="94"/>
        <v>1239</v>
      </c>
      <c r="M651" s="94">
        <v>600</v>
      </c>
      <c r="N651" s="83">
        <f>100</f>
        <v>100</v>
      </c>
      <c r="O651" s="86">
        <v>240</v>
      </c>
      <c r="P651" s="86">
        <v>40</v>
      </c>
      <c r="Q651" s="86">
        <f t="shared" si="95"/>
        <v>315</v>
      </c>
      <c r="R651" s="86">
        <f t="shared" si="96"/>
        <v>100</v>
      </c>
      <c r="S651" s="83">
        <f t="shared" si="97"/>
        <v>695</v>
      </c>
      <c r="T651" s="83">
        <f>50</f>
        <v>50</v>
      </c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</row>
    <row r="652" spans="1:30" ht="15.75" x14ac:dyDescent="0.25">
      <c r="A652" s="32">
        <v>60783</v>
      </c>
      <c r="B652" s="95">
        <f t="shared" si="98"/>
        <v>31</v>
      </c>
      <c r="C652" s="83">
        <f>194.205</f>
        <v>194.20500000000001</v>
      </c>
      <c r="D652" s="83">
        <f>267.466</f>
        <v>267.46600000000001</v>
      </c>
      <c r="E652" s="92">
        <f>133.845</f>
        <v>133.845</v>
      </c>
      <c r="F652" s="83">
        <f>278.484-40-25-60-100</f>
        <v>53.48399999999998</v>
      </c>
      <c r="G652" s="86">
        <v>40</v>
      </c>
      <c r="H652" s="83">
        <f t="shared" si="104"/>
        <v>185</v>
      </c>
      <c r="I652" s="83">
        <f t="shared" si="102"/>
        <v>0</v>
      </c>
      <c r="J652" s="86">
        <v>100</v>
      </c>
      <c r="K652" s="86">
        <v>300</v>
      </c>
      <c r="L652" s="83">
        <f t="shared" si="94"/>
        <v>1274</v>
      </c>
      <c r="M652" s="94">
        <v>600</v>
      </c>
      <c r="N652" s="83">
        <f>75</f>
        <v>75</v>
      </c>
      <c r="O652" s="86">
        <v>240</v>
      </c>
      <c r="P652" s="86">
        <v>40</v>
      </c>
      <c r="Q652" s="86">
        <f t="shared" si="95"/>
        <v>315</v>
      </c>
      <c r="R652" s="86">
        <f t="shared" si="96"/>
        <v>100</v>
      </c>
      <c r="S652" s="83">
        <f t="shared" si="97"/>
        <v>695</v>
      </c>
      <c r="T652" s="83">
        <f>50</f>
        <v>50</v>
      </c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</row>
    <row r="653" spans="1:30" ht="15.75" x14ac:dyDescent="0.25">
      <c r="A653" s="32">
        <v>60813</v>
      </c>
      <c r="B653" s="95">
        <f t="shared" si="98"/>
        <v>30</v>
      </c>
      <c r="C653" s="83">
        <f>194.205</f>
        <v>194.20500000000001</v>
      </c>
      <c r="D653" s="83">
        <f>267.466</f>
        <v>267.46600000000001</v>
      </c>
      <c r="E653" s="92">
        <f>133.845</f>
        <v>133.845</v>
      </c>
      <c r="F653" s="83">
        <f>278.484-40-25-60-100</f>
        <v>53.48399999999998</v>
      </c>
      <c r="G653" s="86">
        <v>40</v>
      </c>
      <c r="H653" s="83">
        <f t="shared" si="104"/>
        <v>185</v>
      </c>
      <c r="I653" s="83">
        <f t="shared" si="102"/>
        <v>0</v>
      </c>
      <c r="J653" s="86">
        <v>100</v>
      </c>
      <c r="K653" s="86">
        <v>300</v>
      </c>
      <c r="L653" s="83">
        <f t="shared" si="94"/>
        <v>1274</v>
      </c>
      <c r="M653" s="94">
        <v>600</v>
      </c>
      <c r="N653" s="83">
        <f>30</f>
        <v>30</v>
      </c>
      <c r="O653" s="86">
        <v>240</v>
      </c>
      <c r="P653" s="86">
        <v>40</v>
      </c>
      <c r="Q653" s="86">
        <f t="shared" si="95"/>
        <v>315</v>
      </c>
      <c r="R653" s="86">
        <f t="shared" si="96"/>
        <v>100</v>
      </c>
      <c r="S653" s="83">
        <f t="shared" si="97"/>
        <v>695</v>
      </c>
      <c r="T653" s="83">
        <f>50</f>
        <v>50</v>
      </c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</row>
    <row r="654" spans="1:30" ht="15.75" x14ac:dyDescent="0.25">
      <c r="A654" s="32">
        <v>60844</v>
      </c>
      <c r="B654" s="95">
        <f t="shared" si="98"/>
        <v>31</v>
      </c>
      <c r="C654" s="83">
        <f>194.205</f>
        <v>194.20500000000001</v>
      </c>
      <c r="D654" s="83">
        <f>267.466</f>
        <v>267.46600000000001</v>
      </c>
      <c r="E654" s="92">
        <f>133.845</f>
        <v>133.845</v>
      </c>
      <c r="F654" s="83">
        <f>278.484-40-25-60-100</f>
        <v>53.48399999999998</v>
      </c>
      <c r="G654" s="86">
        <v>40</v>
      </c>
      <c r="H654" s="83">
        <f t="shared" si="104"/>
        <v>185</v>
      </c>
      <c r="I654" s="83">
        <f t="shared" si="102"/>
        <v>0</v>
      </c>
      <c r="J654" s="86">
        <v>100</v>
      </c>
      <c r="K654" s="86">
        <v>300</v>
      </c>
      <c r="L654" s="83">
        <f t="shared" si="94"/>
        <v>1274</v>
      </c>
      <c r="M654" s="94">
        <v>600</v>
      </c>
      <c r="N654" s="83">
        <f>30</f>
        <v>30</v>
      </c>
      <c r="O654" s="86">
        <v>240</v>
      </c>
      <c r="P654" s="86">
        <v>40</v>
      </c>
      <c r="Q654" s="86">
        <f t="shared" si="95"/>
        <v>315</v>
      </c>
      <c r="R654" s="86">
        <f t="shared" si="96"/>
        <v>100</v>
      </c>
      <c r="S654" s="83">
        <f t="shared" si="97"/>
        <v>695</v>
      </c>
      <c r="T654" s="83">
        <f>0</f>
        <v>0</v>
      </c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</row>
    <row r="655" spans="1:30" ht="15.75" x14ac:dyDescent="0.25">
      <c r="A655" s="32">
        <v>60875</v>
      </c>
      <c r="B655" s="95">
        <f t="shared" si="98"/>
        <v>31</v>
      </c>
      <c r="C655" s="83">
        <f>194.205</f>
        <v>194.20500000000001</v>
      </c>
      <c r="D655" s="83">
        <f>267.466</f>
        <v>267.46600000000001</v>
      </c>
      <c r="E655" s="92">
        <f>133.845</f>
        <v>133.845</v>
      </c>
      <c r="F655" s="83">
        <f>278.484-40-25-60-100</f>
        <v>53.48399999999998</v>
      </c>
      <c r="G655" s="86">
        <v>40</v>
      </c>
      <c r="H655" s="83">
        <f t="shared" si="104"/>
        <v>185</v>
      </c>
      <c r="I655" s="83">
        <f t="shared" si="102"/>
        <v>0</v>
      </c>
      <c r="J655" s="86">
        <v>100</v>
      </c>
      <c r="K655" s="86">
        <v>300</v>
      </c>
      <c r="L655" s="83">
        <f t="shared" si="94"/>
        <v>1274</v>
      </c>
      <c r="M655" s="94">
        <v>600</v>
      </c>
      <c r="N655" s="83">
        <f>30</f>
        <v>30</v>
      </c>
      <c r="O655" s="86">
        <v>240</v>
      </c>
      <c r="P655" s="86">
        <v>40</v>
      </c>
      <c r="Q655" s="86">
        <f t="shared" si="95"/>
        <v>315</v>
      </c>
      <c r="R655" s="86">
        <f t="shared" si="96"/>
        <v>100</v>
      </c>
      <c r="S655" s="83">
        <f t="shared" si="97"/>
        <v>695</v>
      </c>
      <c r="T655" s="83">
        <f>0</f>
        <v>0</v>
      </c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</row>
    <row r="656" spans="1:30" ht="15.75" x14ac:dyDescent="0.25">
      <c r="A656" s="32">
        <v>60905</v>
      </c>
      <c r="B656" s="95">
        <f t="shared" si="98"/>
        <v>30</v>
      </c>
      <c r="C656" s="83">
        <f>194.205</f>
        <v>194.20500000000001</v>
      </c>
      <c r="D656" s="83">
        <f>267.466</f>
        <v>267.46600000000001</v>
      </c>
      <c r="E656" s="92">
        <f>133.845</f>
        <v>133.845</v>
      </c>
      <c r="F656" s="83">
        <f>278.484-40-25-60-100</f>
        <v>53.48399999999998</v>
      </c>
      <c r="G656" s="86">
        <v>40</v>
      </c>
      <c r="H656" s="83">
        <f t="shared" si="104"/>
        <v>185</v>
      </c>
      <c r="I656" s="83">
        <f t="shared" si="102"/>
        <v>0</v>
      </c>
      <c r="J656" s="86">
        <v>100</v>
      </c>
      <c r="K656" s="86">
        <v>300</v>
      </c>
      <c r="L656" s="83">
        <f t="shared" si="94"/>
        <v>1274</v>
      </c>
      <c r="M656" s="94">
        <v>600</v>
      </c>
      <c r="N656" s="83">
        <f>30</f>
        <v>30</v>
      </c>
      <c r="O656" s="86">
        <v>240</v>
      </c>
      <c r="P656" s="86">
        <v>40</v>
      </c>
      <c r="Q656" s="86">
        <f t="shared" si="95"/>
        <v>315</v>
      </c>
      <c r="R656" s="86">
        <f t="shared" si="96"/>
        <v>100</v>
      </c>
      <c r="S656" s="83">
        <f t="shared" si="97"/>
        <v>695</v>
      </c>
      <c r="T656" s="83">
        <f>0</f>
        <v>0</v>
      </c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</row>
    <row r="657" spans="1:30" ht="15.75" x14ac:dyDescent="0.25">
      <c r="A657" s="32">
        <v>60936</v>
      </c>
      <c r="B657" s="95">
        <f t="shared" si="98"/>
        <v>31</v>
      </c>
      <c r="C657" s="83">
        <f>131.881</f>
        <v>131.881</v>
      </c>
      <c r="D657" s="83">
        <f>277.167</f>
        <v>277.16699999999997</v>
      </c>
      <c r="E657" s="92">
        <f>79.08</f>
        <v>79.08</v>
      </c>
      <c r="F657" s="83">
        <f>350.872-40-25-60-100</f>
        <v>125.87200000000001</v>
      </c>
      <c r="G657" s="86">
        <v>40</v>
      </c>
      <c r="H657" s="83">
        <f t="shared" si="104"/>
        <v>185</v>
      </c>
      <c r="I657" s="83">
        <f t="shared" si="102"/>
        <v>0</v>
      </c>
      <c r="J657" s="86">
        <v>100</v>
      </c>
      <c r="K657" s="86">
        <v>300</v>
      </c>
      <c r="L657" s="83">
        <f t="shared" si="94"/>
        <v>1239</v>
      </c>
      <c r="M657" s="94">
        <v>600</v>
      </c>
      <c r="N657" s="83">
        <f>75</f>
        <v>75</v>
      </c>
      <c r="O657" s="86">
        <v>240</v>
      </c>
      <c r="P657" s="86">
        <v>40</v>
      </c>
      <c r="Q657" s="86">
        <f t="shared" si="95"/>
        <v>315</v>
      </c>
      <c r="R657" s="86">
        <f t="shared" si="96"/>
        <v>100</v>
      </c>
      <c r="S657" s="83">
        <f t="shared" si="97"/>
        <v>695</v>
      </c>
      <c r="T657" s="83">
        <f>0</f>
        <v>0</v>
      </c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</row>
    <row r="658" spans="1:30" ht="15.75" x14ac:dyDescent="0.25">
      <c r="A658" s="32">
        <v>60966</v>
      </c>
      <c r="B658" s="95">
        <f t="shared" si="98"/>
        <v>30</v>
      </c>
      <c r="C658" s="83">
        <f>122.58</f>
        <v>122.58</v>
      </c>
      <c r="D658" s="83">
        <f>297.941</f>
        <v>297.94099999999997</v>
      </c>
      <c r="E658" s="92">
        <f>89.177</f>
        <v>89.177000000000007</v>
      </c>
      <c r="F658" s="83">
        <f>240.302-40-60-100</f>
        <v>40.301999999999992</v>
      </c>
      <c r="G658" s="86">
        <v>40</v>
      </c>
      <c r="H658" s="83">
        <f>60+100</f>
        <v>160</v>
      </c>
      <c r="I658" s="83">
        <f t="shared" si="102"/>
        <v>0</v>
      </c>
      <c r="J658" s="86">
        <v>100</v>
      </c>
      <c r="K658" s="86">
        <v>300</v>
      </c>
      <c r="L658" s="83">
        <f t="shared" si="94"/>
        <v>1150</v>
      </c>
      <c r="M658" s="94">
        <v>600</v>
      </c>
      <c r="N658" s="83">
        <f>100</f>
        <v>100</v>
      </c>
      <c r="O658" s="86">
        <v>240</v>
      </c>
      <c r="P658" s="86">
        <v>40</v>
      </c>
      <c r="Q658" s="86">
        <f t="shared" si="95"/>
        <v>315</v>
      </c>
      <c r="R658" s="86">
        <f t="shared" si="96"/>
        <v>100</v>
      </c>
      <c r="S658" s="83">
        <f t="shared" si="97"/>
        <v>695</v>
      </c>
      <c r="T658" s="83">
        <f>50</f>
        <v>50</v>
      </c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</row>
    <row r="659" spans="1:30" ht="15.75" x14ac:dyDescent="0.25">
      <c r="A659" s="32">
        <v>60997</v>
      </c>
      <c r="B659" s="95">
        <f t="shared" si="98"/>
        <v>31</v>
      </c>
      <c r="C659" s="83">
        <f>122.58</f>
        <v>122.58</v>
      </c>
      <c r="D659" s="83">
        <f>297.941</f>
        <v>297.94099999999997</v>
      </c>
      <c r="E659" s="92">
        <f>89.177</f>
        <v>89.177000000000007</v>
      </c>
      <c r="F659" s="83">
        <f>240.302-40-60-100</f>
        <v>40.301999999999992</v>
      </c>
      <c r="G659" s="86">
        <v>40</v>
      </c>
      <c r="H659" s="83">
        <f>60+100</f>
        <v>160</v>
      </c>
      <c r="I659" s="83">
        <f t="shared" si="102"/>
        <v>0</v>
      </c>
      <c r="J659" s="86">
        <v>100</v>
      </c>
      <c r="K659" s="86">
        <v>300</v>
      </c>
      <c r="L659" s="83">
        <f t="shared" si="94"/>
        <v>1150</v>
      </c>
      <c r="M659" s="94">
        <v>600</v>
      </c>
      <c r="N659" s="83">
        <f>100</f>
        <v>100</v>
      </c>
      <c r="O659" s="86">
        <v>240</v>
      </c>
      <c r="P659" s="86">
        <v>40</v>
      </c>
      <c r="Q659" s="86">
        <f t="shared" si="95"/>
        <v>315</v>
      </c>
      <c r="R659" s="86">
        <f t="shared" si="96"/>
        <v>100</v>
      </c>
      <c r="S659" s="83">
        <f t="shared" si="97"/>
        <v>695</v>
      </c>
      <c r="T659" s="83">
        <f>50</f>
        <v>50</v>
      </c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</row>
    <row r="660" spans="1:30" ht="15.75" x14ac:dyDescent="0.25">
      <c r="A660" s="32">
        <v>61028</v>
      </c>
      <c r="B660" s="95">
        <f t="shared" si="98"/>
        <v>31</v>
      </c>
      <c r="C660" s="83">
        <f>122.58</f>
        <v>122.58</v>
      </c>
      <c r="D660" s="83">
        <f>297.941</f>
        <v>297.94099999999997</v>
      </c>
      <c r="E660" s="92">
        <f>89.177</f>
        <v>89.177000000000007</v>
      </c>
      <c r="F660" s="83">
        <f>240.302-40-60-100</f>
        <v>40.301999999999992</v>
      </c>
      <c r="G660" s="86">
        <v>40</v>
      </c>
      <c r="H660" s="83">
        <f>60+100</f>
        <v>160</v>
      </c>
      <c r="I660" s="83">
        <f t="shared" si="102"/>
        <v>0</v>
      </c>
      <c r="J660" s="86">
        <v>100</v>
      </c>
      <c r="K660" s="86">
        <v>300</v>
      </c>
      <c r="L660" s="83">
        <f t="shared" si="94"/>
        <v>1150</v>
      </c>
      <c r="M660" s="94">
        <v>600</v>
      </c>
      <c r="N660" s="83">
        <f>100</f>
        <v>100</v>
      </c>
      <c r="O660" s="86">
        <v>240</v>
      </c>
      <c r="P660" s="86">
        <v>40</v>
      </c>
      <c r="Q660" s="86">
        <f t="shared" si="95"/>
        <v>315</v>
      </c>
      <c r="R660" s="86">
        <f t="shared" si="96"/>
        <v>100</v>
      </c>
      <c r="S660" s="83">
        <f t="shared" si="97"/>
        <v>695</v>
      </c>
      <c r="T660" s="83">
        <f>50</f>
        <v>50</v>
      </c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</row>
    <row r="661" spans="1:30" ht="15.75" x14ac:dyDescent="0.25">
      <c r="A661" s="32">
        <v>61056</v>
      </c>
      <c r="B661" s="95">
        <f t="shared" si="98"/>
        <v>28</v>
      </c>
      <c r="C661" s="83">
        <f>122.58</f>
        <v>122.58</v>
      </c>
      <c r="D661" s="83">
        <f>297.941</f>
        <v>297.94099999999997</v>
      </c>
      <c r="E661" s="92">
        <f>89.177</f>
        <v>89.177000000000007</v>
      </c>
      <c r="F661" s="83">
        <f>240.302-40-60-100</f>
        <v>40.301999999999992</v>
      </c>
      <c r="G661" s="86">
        <v>40</v>
      </c>
      <c r="H661" s="83">
        <f>60+100</f>
        <v>160</v>
      </c>
      <c r="I661" s="83">
        <f t="shared" si="102"/>
        <v>0</v>
      </c>
      <c r="J661" s="86">
        <v>100</v>
      </c>
      <c r="K661" s="86">
        <v>300</v>
      </c>
      <c r="L661" s="83">
        <f t="shared" si="94"/>
        <v>1150</v>
      </c>
      <c r="M661" s="94">
        <v>600</v>
      </c>
      <c r="N661" s="83">
        <f>100</f>
        <v>100</v>
      </c>
      <c r="O661" s="86">
        <v>240</v>
      </c>
      <c r="P661" s="86">
        <v>40</v>
      </c>
      <c r="Q661" s="86">
        <f t="shared" si="95"/>
        <v>315</v>
      </c>
      <c r="R661" s="86">
        <f t="shared" si="96"/>
        <v>100</v>
      </c>
      <c r="S661" s="83">
        <f t="shared" si="97"/>
        <v>695</v>
      </c>
      <c r="T661" s="83">
        <f>50</f>
        <v>50</v>
      </c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</row>
    <row r="662" spans="1:30" ht="15.75" x14ac:dyDescent="0.25">
      <c r="A662" s="32">
        <v>61087</v>
      </c>
      <c r="B662" s="95">
        <f t="shared" si="98"/>
        <v>31</v>
      </c>
      <c r="C662" s="83">
        <f>122.58</f>
        <v>122.58</v>
      </c>
      <c r="D662" s="83">
        <f>297.941</f>
        <v>297.94099999999997</v>
      </c>
      <c r="E662" s="92">
        <f>89.177</f>
        <v>89.177000000000007</v>
      </c>
      <c r="F662" s="83">
        <f>240.302-40-60-100</f>
        <v>40.301999999999992</v>
      </c>
      <c r="G662" s="86">
        <v>40</v>
      </c>
      <c r="H662" s="83">
        <f>60+100</f>
        <v>160</v>
      </c>
      <c r="I662" s="83">
        <f t="shared" si="102"/>
        <v>0</v>
      </c>
      <c r="J662" s="86">
        <v>100</v>
      </c>
      <c r="K662" s="86">
        <v>300</v>
      </c>
      <c r="L662" s="83">
        <f t="shared" ref="L662:L725" si="105">SUM(C662:K662)</f>
        <v>1150</v>
      </c>
      <c r="M662" s="94">
        <v>600</v>
      </c>
      <c r="N662" s="83">
        <f>100</f>
        <v>100</v>
      </c>
      <c r="O662" s="86">
        <v>240</v>
      </c>
      <c r="P662" s="86">
        <v>40</v>
      </c>
      <c r="Q662" s="86">
        <f t="shared" ref="Q662:Q725" si="106">695-R662-O662-P662</f>
        <v>315</v>
      </c>
      <c r="R662" s="86">
        <f t="shared" ref="R662:R725" si="107">200-J662</f>
        <v>100</v>
      </c>
      <c r="S662" s="83">
        <f t="shared" ref="S662:S725" si="108">SUM(O662:R662)</f>
        <v>695</v>
      </c>
      <c r="T662" s="83">
        <f>50</f>
        <v>50</v>
      </c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</row>
    <row r="663" spans="1:30" ht="15.75" x14ac:dyDescent="0.25">
      <c r="A663" s="32">
        <v>61117</v>
      </c>
      <c r="B663" s="95">
        <f t="shared" si="98"/>
        <v>30</v>
      </c>
      <c r="C663" s="83">
        <f>141.293</f>
        <v>141.29300000000001</v>
      </c>
      <c r="D663" s="83">
        <f>267.993</f>
        <v>267.99299999999999</v>
      </c>
      <c r="E663" s="92">
        <f>115.016</f>
        <v>115.01600000000001</v>
      </c>
      <c r="F663" s="83">
        <f>314.698-40-25-60-100</f>
        <v>89.697999999999979</v>
      </c>
      <c r="G663" s="86">
        <v>40</v>
      </c>
      <c r="H663" s="83">
        <f t="shared" ref="H663:H669" si="109">25+60+100</f>
        <v>185</v>
      </c>
      <c r="I663" s="83">
        <f t="shared" si="102"/>
        <v>0</v>
      </c>
      <c r="J663" s="86">
        <v>100</v>
      </c>
      <c r="K663" s="86">
        <v>300</v>
      </c>
      <c r="L663" s="83">
        <f t="shared" si="105"/>
        <v>1239</v>
      </c>
      <c r="M663" s="94">
        <v>600</v>
      </c>
      <c r="N663" s="83">
        <f>100</f>
        <v>100</v>
      </c>
      <c r="O663" s="86">
        <v>240</v>
      </c>
      <c r="P663" s="86">
        <v>40</v>
      </c>
      <c r="Q663" s="86">
        <f t="shared" si="106"/>
        <v>315</v>
      </c>
      <c r="R663" s="86">
        <f t="shared" si="107"/>
        <v>100</v>
      </c>
      <c r="S663" s="83">
        <f t="shared" si="108"/>
        <v>695</v>
      </c>
      <c r="T663" s="83">
        <f>50</f>
        <v>50</v>
      </c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</row>
    <row r="664" spans="1:30" ht="15.75" x14ac:dyDescent="0.25">
      <c r="A664" s="32">
        <v>61148</v>
      </c>
      <c r="B664" s="95">
        <f t="shared" ref="B664:B727" si="110">EOMONTH(A664,0)-EOMONTH(A664,-1)</f>
        <v>31</v>
      </c>
      <c r="C664" s="83">
        <f>194.205</f>
        <v>194.20500000000001</v>
      </c>
      <c r="D664" s="83">
        <f>267.466</f>
        <v>267.46600000000001</v>
      </c>
      <c r="E664" s="92">
        <f>133.845</f>
        <v>133.845</v>
      </c>
      <c r="F664" s="83">
        <f>278.484-40-25-60-100</f>
        <v>53.48399999999998</v>
      </c>
      <c r="G664" s="86">
        <v>40</v>
      </c>
      <c r="H664" s="83">
        <f t="shared" si="109"/>
        <v>185</v>
      </c>
      <c r="I664" s="83">
        <f t="shared" si="102"/>
        <v>0</v>
      </c>
      <c r="J664" s="86">
        <v>100</v>
      </c>
      <c r="K664" s="86">
        <v>300</v>
      </c>
      <c r="L664" s="83">
        <f t="shared" si="105"/>
        <v>1274</v>
      </c>
      <c r="M664" s="94">
        <v>600</v>
      </c>
      <c r="N664" s="83">
        <f>75</f>
        <v>75</v>
      </c>
      <c r="O664" s="86">
        <v>240</v>
      </c>
      <c r="P664" s="86">
        <v>40</v>
      </c>
      <c r="Q664" s="86">
        <f t="shared" si="106"/>
        <v>315</v>
      </c>
      <c r="R664" s="86">
        <f t="shared" si="107"/>
        <v>100</v>
      </c>
      <c r="S664" s="83">
        <f t="shared" si="108"/>
        <v>695</v>
      </c>
      <c r="T664" s="83">
        <f>50</f>
        <v>50</v>
      </c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</row>
    <row r="665" spans="1:30" ht="15.75" x14ac:dyDescent="0.25">
      <c r="A665" s="32">
        <v>61178</v>
      </c>
      <c r="B665" s="95">
        <f t="shared" si="110"/>
        <v>30</v>
      </c>
      <c r="C665" s="83">
        <f>194.205</f>
        <v>194.20500000000001</v>
      </c>
      <c r="D665" s="83">
        <f>267.466</f>
        <v>267.46600000000001</v>
      </c>
      <c r="E665" s="92">
        <f>133.845</f>
        <v>133.845</v>
      </c>
      <c r="F665" s="83">
        <f>278.484-40-25-60-100</f>
        <v>53.48399999999998</v>
      </c>
      <c r="G665" s="86">
        <v>40</v>
      </c>
      <c r="H665" s="83">
        <f t="shared" si="109"/>
        <v>185</v>
      </c>
      <c r="I665" s="83">
        <f t="shared" si="102"/>
        <v>0</v>
      </c>
      <c r="J665" s="86">
        <v>100</v>
      </c>
      <c r="K665" s="86">
        <v>300</v>
      </c>
      <c r="L665" s="83">
        <f t="shared" si="105"/>
        <v>1274</v>
      </c>
      <c r="M665" s="94">
        <v>600</v>
      </c>
      <c r="N665" s="83">
        <f>30</f>
        <v>30</v>
      </c>
      <c r="O665" s="86">
        <v>240</v>
      </c>
      <c r="P665" s="86">
        <v>40</v>
      </c>
      <c r="Q665" s="86">
        <f t="shared" si="106"/>
        <v>315</v>
      </c>
      <c r="R665" s="86">
        <f t="shared" si="107"/>
        <v>100</v>
      </c>
      <c r="S665" s="83">
        <f t="shared" si="108"/>
        <v>695</v>
      </c>
      <c r="T665" s="83">
        <f>50</f>
        <v>50</v>
      </c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</row>
    <row r="666" spans="1:30" ht="15.75" x14ac:dyDescent="0.25">
      <c r="A666" s="32">
        <v>61209</v>
      </c>
      <c r="B666" s="95">
        <f t="shared" si="110"/>
        <v>31</v>
      </c>
      <c r="C666" s="83">
        <f>194.205</f>
        <v>194.20500000000001</v>
      </c>
      <c r="D666" s="83">
        <f>267.466</f>
        <v>267.46600000000001</v>
      </c>
      <c r="E666" s="92">
        <f>133.845</f>
        <v>133.845</v>
      </c>
      <c r="F666" s="83">
        <f>278.484-40-25-60-100</f>
        <v>53.48399999999998</v>
      </c>
      <c r="G666" s="86">
        <v>40</v>
      </c>
      <c r="H666" s="83">
        <f t="shared" si="109"/>
        <v>185</v>
      </c>
      <c r="I666" s="83">
        <f t="shared" si="102"/>
        <v>0</v>
      </c>
      <c r="J666" s="86">
        <v>100</v>
      </c>
      <c r="K666" s="86">
        <v>300</v>
      </c>
      <c r="L666" s="83">
        <f t="shared" si="105"/>
        <v>1274</v>
      </c>
      <c r="M666" s="94">
        <v>600</v>
      </c>
      <c r="N666" s="83">
        <f>30</f>
        <v>30</v>
      </c>
      <c r="O666" s="86">
        <v>240</v>
      </c>
      <c r="P666" s="86">
        <v>40</v>
      </c>
      <c r="Q666" s="86">
        <f t="shared" si="106"/>
        <v>315</v>
      </c>
      <c r="R666" s="86">
        <f t="shared" si="107"/>
        <v>100</v>
      </c>
      <c r="S666" s="83">
        <f t="shared" si="108"/>
        <v>695</v>
      </c>
      <c r="T666" s="83">
        <f>0</f>
        <v>0</v>
      </c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</row>
    <row r="667" spans="1:30" ht="15.75" x14ac:dyDescent="0.25">
      <c r="A667" s="32">
        <v>61240</v>
      </c>
      <c r="B667" s="95">
        <f t="shared" si="110"/>
        <v>31</v>
      </c>
      <c r="C667" s="83">
        <f>194.205</f>
        <v>194.20500000000001</v>
      </c>
      <c r="D667" s="83">
        <f>267.466</f>
        <v>267.46600000000001</v>
      </c>
      <c r="E667" s="92">
        <f>133.845</f>
        <v>133.845</v>
      </c>
      <c r="F667" s="83">
        <f>278.484-40-25-60-100</f>
        <v>53.48399999999998</v>
      </c>
      <c r="G667" s="86">
        <v>40</v>
      </c>
      <c r="H667" s="83">
        <f t="shared" si="109"/>
        <v>185</v>
      </c>
      <c r="I667" s="83">
        <f t="shared" si="102"/>
        <v>0</v>
      </c>
      <c r="J667" s="86">
        <v>100</v>
      </c>
      <c r="K667" s="86">
        <v>300</v>
      </c>
      <c r="L667" s="83">
        <f t="shared" si="105"/>
        <v>1274</v>
      </c>
      <c r="M667" s="94">
        <v>600</v>
      </c>
      <c r="N667" s="83">
        <f>30</f>
        <v>30</v>
      </c>
      <c r="O667" s="86">
        <v>240</v>
      </c>
      <c r="P667" s="86">
        <v>40</v>
      </c>
      <c r="Q667" s="86">
        <f t="shared" si="106"/>
        <v>315</v>
      </c>
      <c r="R667" s="86">
        <f t="shared" si="107"/>
        <v>100</v>
      </c>
      <c r="S667" s="83">
        <f t="shared" si="108"/>
        <v>695</v>
      </c>
      <c r="T667" s="83">
        <f>0</f>
        <v>0</v>
      </c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</row>
    <row r="668" spans="1:30" ht="15.75" x14ac:dyDescent="0.25">
      <c r="A668" s="32">
        <v>61270</v>
      </c>
      <c r="B668" s="95">
        <f t="shared" si="110"/>
        <v>30</v>
      </c>
      <c r="C668" s="83">
        <f>194.205</f>
        <v>194.20500000000001</v>
      </c>
      <c r="D668" s="83">
        <f>267.466</f>
        <v>267.46600000000001</v>
      </c>
      <c r="E668" s="92">
        <f>133.845</f>
        <v>133.845</v>
      </c>
      <c r="F668" s="83">
        <f>278.484-40-25-60-100</f>
        <v>53.48399999999998</v>
      </c>
      <c r="G668" s="86">
        <v>40</v>
      </c>
      <c r="H668" s="83">
        <f t="shared" si="109"/>
        <v>185</v>
      </c>
      <c r="I668" s="83">
        <f t="shared" si="102"/>
        <v>0</v>
      </c>
      <c r="J668" s="86">
        <v>100</v>
      </c>
      <c r="K668" s="86">
        <v>300</v>
      </c>
      <c r="L668" s="83">
        <f t="shared" si="105"/>
        <v>1274</v>
      </c>
      <c r="M668" s="94">
        <v>600</v>
      </c>
      <c r="N668" s="83">
        <f>30</f>
        <v>30</v>
      </c>
      <c r="O668" s="86">
        <v>240</v>
      </c>
      <c r="P668" s="86">
        <v>40</v>
      </c>
      <c r="Q668" s="86">
        <f t="shared" si="106"/>
        <v>315</v>
      </c>
      <c r="R668" s="86">
        <f t="shared" si="107"/>
        <v>100</v>
      </c>
      <c r="S668" s="83">
        <f t="shared" si="108"/>
        <v>695</v>
      </c>
      <c r="T668" s="83">
        <f>0</f>
        <v>0</v>
      </c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</row>
    <row r="669" spans="1:30" ht="15.75" x14ac:dyDescent="0.25">
      <c r="A669" s="32">
        <v>61301</v>
      </c>
      <c r="B669" s="95">
        <f t="shared" si="110"/>
        <v>31</v>
      </c>
      <c r="C669" s="83">
        <f>131.881</f>
        <v>131.881</v>
      </c>
      <c r="D669" s="83">
        <f>277.167</f>
        <v>277.16699999999997</v>
      </c>
      <c r="E669" s="92">
        <f>79.08</f>
        <v>79.08</v>
      </c>
      <c r="F669" s="83">
        <f>350.872-40-25-60-100</f>
        <v>125.87200000000001</v>
      </c>
      <c r="G669" s="86">
        <v>40</v>
      </c>
      <c r="H669" s="83">
        <f t="shared" si="109"/>
        <v>185</v>
      </c>
      <c r="I669" s="83">
        <f t="shared" si="102"/>
        <v>0</v>
      </c>
      <c r="J669" s="86">
        <v>100</v>
      </c>
      <c r="K669" s="86">
        <v>300</v>
      </c>
      <c r="L669" s="83">
        <f t="shared" si="105"/>
        <v>1239</v>
      </c>
      <c r="M669" s="94">
        <v>600</v>
      </c>
      <c r="N669" s="83">
        <f>75</f>
        <v>75</v>
      </c>
      <c r="O669" s="86">
        <v>240</v>
      </c>
      <c r="P669" s="86">
        <v>40</v>
      </c>
      <c r="Q669" s="86">
        <f t="shared" si="106"/>
        <v>315</v>
      </c>
      <c r="R669" s="86">
        <f t="shared" si="107"/>
        <v>100</v>
      </c>
      <c r="S669" s="83">
        <f t="shared" si="108"/>
        <v>695</v>
      </c>
      <c r="T669" s="83">
        <f>0</f>
        <v>0</v>
      </c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</row>
    <row r="670" spans="1:30" ht="15.75" x14ac:dyDescent="0.25">
      <c r="A670" s="32">
        <v>61331</v>
      </c>
      <c r="B670" s="95">
        <f t="shared" si="110"/>
        <v>30</v>
      </c>
      <c r="C670" s="83">
        <f>122.58</f>
        <v>122.58</v>
      </c>
      <c r="D670" s="83">
        <f>297.941</f>
        <v>297.94099999999997</v>
      </c>
      <c r="E670" s="92">
        <f>89.177</f>
        <v>89.177000000000007</v>
      </c>
      <c r="F670" s="83">
        <f>240.302-40-60-100</f>
        <v>40.301999999999992</v>
      </c>
      <c r="G670" s="86">
        <v>40</v>
      </c>
      <c r="H670" s="83">
        <f>60+100</f>
        <v>160</v>
      </c>
      <c r="I670" s="83">
        <f t="shared" si="102"/>
        <v>0</v>
      </c>
      <c r="J670" s="86">
        <v>100</v>
      </c>
      <c r="K670" s="86">
        <v>300</v>
      </c>
      <c r="L670" s="83">
        <f t="shared" si="105"/>
        <v>1150</v>
      </c>
      <c r="M670" s="94">
        <v>600</v>
      </c>
      <c r="N670" s="83">
        <f>100</f>
        <v>100</v>
      </c>
      <c r="O670" s="86">
        <v>240</v>
      </c>
      <c r="P670" s="86">
        <v>40</v>
      </c>
      <c r="Q670" s="86">
        <f t="shared" si="106"/>
        <v>315</v>
      </c>
      <c r="R670" s="86">
        <f t="shared" si="107"/>
        <v>100</v>
      </c>
      <c r="S670" s="83">
        <f t="shared" si="108"/>
        <v>695</v>
      </c>
      <c r="T670" s="83">
        <f>50</f>
        <v>50</v>
      </c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</row>
    <row r="671" spans="1:30" ht="15.75" x14ac:dyDescent="0.25">
      <c r="A671" s="32">
        <v>61362</v>
      </c>
      <c r="B671" s="95">
        <f t="shared" si="110"/>
        <v>31</v>
      </c>
      <c r="C671" s="83">
        <f>122.58</f>
        <v>122.58</v>
      </c>
      <c r="D671" s="83">
        <f>297.941</f>
        <v>297.94099999999997</v>
      </c>
      <c r="E671" s="92">
        <f>89.177</f>
        <v>89.177000000000007</v>
      </c>
      <c r="F671" s="83">
        <f>240.302-40-60-100</f>
        <v>40.301999999999992</v>
      </c>
      <c r="G671" s="86">
        <v>40</v>
      </c>
      <c r="H671" s="83">
        <f>60+100</f>
        <v>160</v>
      </c>
      <c r="I671" s="83">
        <f t="shared" si="102"/>
        <v>0</v>
      </c>
      <c r="J671" s="86">
        <v>100</v>
      </c>
      <c r="K671" s="86">
        <v>300</v>
      </c>
      <c r="L671" s="83">
        <f t="shared" si="105"/>
        <v>1150</v>
      </c>
      <c r="M671" s="94">
        <v>600</v>
      </c>
      <c r="N671" s="83">
        <f>100</f>
        <v>100</v>
      </c>
      <c r="O671" s="86">
        <v>240</v>
      </c>
      <c r="P671" s="86">
        <v>40</v>
      </c>
      <c r="Q671" s="86">
        <f t="shared" si="106"/>
        <v>315</v>
      </c>
      <c r="R671" s="86">
        <f t="shared" si="107"/>
        <v>100</v>
      </c>
      <c r="S671" s="83">
        <f t="shared" si="108"/>
        <v>695</v>
      </c>
      <c r="T671" s="83">
        <f>50</f>
        <v>50</v>
      </c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</row>
    <row r="672" spans="1:30" ht="15.75" x14ac:dyDescent="0.25">
      <c r="A672" s="32">
        <v>61393</v>
      </c>
      <c r="B672" s="95">
        <f t="shared" si="110"/>
        <v>31</v>
      </c>
      <c r="C672" s="83">
        <f>122.58</f>
        <v>122.58</v>
      </c>
      <c r="D672" s="83">
        <f>297.941</f>
        <v>297.94099999999997</v>
      </c>
      <c r="E672" s="92">
        <f>89.177</f>
        <v>89.177000000000007</v>
      </c>
      <c r="F672" s="83">
        <f>240.302-40-60-100</f>
        <v>40.301999999999992</v>
      </c>
      <c r="G672" s="86">
        <v>40</v>
      </c>
      <c r="H672" s="83">
        <f>60+100</f>
        <v>160</v>
      </c>
      <c r="I672" s="83">
        <f t="shared" si="102"/>
        <v>0</v>
      </c>
      <c r="J672" s="86">
        <v>100</v>
      </c>
      <c r="K672" s="86">
        <v>300</v>
      </c>
      <c r="L672" s="83">
        <f t="shared" si="105"/>
        <v>1150</v>
      </c>
      <c r="M672" s="94">
        <v>600</v>
      </c>
      <c r="N672" s="83">
        <f>100</f>
        <v>100</v>
      </c>
      <c r="O672" s="86">
        <v>240</v>
      </c>
      <c r="P672" s="86">
        <v>40</v>
      </c>
      <c r="Q672" s="86">
        <f t="shared" si="106"/>
        <v>315</v>
      </c>
      <c r="R672" s="86">
        <f t="shared" si="107"/>
        <v>100</v>
      </c>
      <c r="S672" s="83">
        <f t="shared" si="108"/>
        <v>695</v>
      </c>
      <c r="T672" s="83">
        <f>50</f>
        <v>50</v>
      </c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</row>
    <row r="673" spans="1:30" ht="15.75" x14ac:dyDescent="0.25">
      <c r="A673" s="32">
        <v>61422</v>
      </c>
      <c r="B673" s="95">
        <f t="shared" si="110"/>
        <v>29</v>
      </c>
      <c r="C673" s="83">
        <f>122.58</f>
        <v>122.58</v>
      </c>
      <c r="D673" s="83">
        <f>297.941</f>
        <v>297.94099999999997</v>
      </c>
      <c r="E673" s="92">
        <f>89.177</f>
        <v>89.177000000000007</v>
      </c>
      <c r="F673" s="83">
        <f>240.302-40-60-100</f>
        <v>40.301999999999992</v>
      </c>
      <c r="G673" s="86">
        <v>40</v>
      </c>
      <c r="H673" s="83">
        <f>60+100</f>
        <v>160</v>
      </c>
      <c r="I673" s="83">
        <f t="shared" si="102"/>
        <v>0</v>
      </c>
      <c r="J673" s="86">
        <v>100</v>
      </c>
      <c r="K673" s="86">
        <v>300</v>
      </c>
      <c r="L673" s="83">
        <f t="shared" si="105"/>
        <v>1150</v>
      </c>
      <c r="M673" s="94">
        <v>600</v>
      </c>
      <c r="N673" s="83">
        <f>100</f>
        <v>100</v>
      </c>
      <c r="O673" s="86">
        <v>240</v>
      </c>
      <c r="P673" s="86">
        <v>40</v>
      </c>
      <c r="Q673" s="86">
        <f t="shared" si="106"/>
        <v>315</v>
      </c>
      <c r="R673" s="86">
        <f t="shared" si="107"/>
        <v>100</v>
      </c>
      <c r="S673" s="83">
        <f t="shared" si="108"/>
        <v>695</v>
      </c>
      <c r="T673" s="83">
        <f>50</f>
        <v>50</v>
      </c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</row>
    <row r="674" spans="1:30" ht="15.75" x14ac:dyDescent="0.25">
      <c r="A674" s="32">
        <v>61453</v>
      </c>
      <c r="B674" s="95">
        <f t="shared" si="110"/>
        <v>31</v>
      </c>
      <c r="C674" s="83">
        <f>122.58</f>
        <v>122.58</v>
      </c>
      <c r="D674" s="83">
        <f>297.941</f>
        <v>297.94099999999997</v>
      </c>
      <c r="E674" s="92">
        <f>89.177</f>
        <v>89.177000000000007</v>
      </c>
      <c r="F674" s="83">
        <f>240.302-40-60-100</f>
        <v>40.301999999999992</v>
      </c>
      <c r="G674" s="86">
        <v>40</v>
      </c>
      <c r="H674" s="83">
        <f>60+100</f>
        <v>160</v>
      </c>
      <c r="I674" s="83">
        <f t="shared" si="102"/>
        <v>0</v>
      </c>
      <c r="J674" s="86">
        <v>100</v>
      </c>
      <c r="K674" s="86">
        <v>300</v>
      </c>
      <c r="L674" s="83">
        <f t="shared" si="105"/>
        <v>1150</v>
      </c>
      <c r="M674" s="94">
        <v>600</v>
      </c>
      <c r="N674" s="83">
        <f>100</f>
        <v>100</v>
      </c>
      <c r="O674" s="86">
        <v>240</v>
      </c>
      <c r="P674" s="86">
        <v>40</v>
      </c>
      <c r="Q674" s="86">
        <f t="shared" si="106"/>
        <v>315</v>
      </c>
      <c r="R674" s="86">
        <f t="shared" si="107"/>
        <v>100</v>
      </c>
      <c r="S674" s="83">
        <f t="shared" si="108"/>
        <v>695</v>
      </c>
      <c r="T674" s="83">
        <f>50</f>
        <v>50</v>
      </c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</row>
    <row r="675" spans="1:30" ht="15.75" x14ac:dyDescent="0.25">
      <c r="A675" s="32">
        <v>61483</v>
      </c>
      <c r="B675" s="95">
        <f t="shared" si="110"/>
        <v>30</v>
      </c>
      <c r="C675" s="83">
        <f>141.293</f>
        <v>141.29300000000001</v>
      </c>
      <c r="D675" s="83">
        <f>267.993</f>
        <v>267.99299999999999</v>
      </c>
      <c r="E675" s="92">
        <f>115.016</f>
        <v>115.01600000000001</v>
      </c>
      <c r="F675" s="83">
        <f>314.698-40-25-60-100</f>
        <v>89.697999999999979</v>
      </c>
      <c r="G675" s="86">
        <v>40</v>
      </c>
      <c r="H675" s="83">
        <f t="shared" ref="H675:H681" si="111">25+60+100</f>
        <v>185</v>
      </c>
      <c r="I675" s="83">
        <f t="shared" si="102"/>
        <v>0</v>
      </c>
      <c r="J675" s="86">
        <v>100</v>
      </c>
      <c r="K675" s="86">
        <v>300</v>
      </c>
      <c r="L675" s="83">
        <f t="shared" si="105"/>
        <v>1239</v>
      </c>
      <c r="M675" s="94">
        <v>600</v>
      </c>
      <c r="N675" s="83">
        <f>100</f>
        <v>100</v>
      </c>
      <c r="O675" s="86">
        <v>240</v>
      </c>
      <c r="P675" s="86">
        <v>40</v>
      </c>
      <c r="Q675" s="86">
        <f t="shared" si="106"/>
        <v>315</v>
      </c>
      <c r="R675" s="86">
        <f t="shared" si="107"/>
        <v>100</v>
      </c>
      <c r="S675" s="83">
        <f t="shared" si="108"/>
        <v>695</v>
      </c>
      <c r="T675" s="83">
        <f>50</f>
        <v>50</v>
      </c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</row>
    <row r="676" spans="1:30" ht="15.75" x14ac:dyDescent="0.25">
      <c r="A676" s="32">
        <v>61514</v>
      </c>
      <c r="B676" s="95">
        <f t="shared" si="110"/>
        <v>31</v>
      </c>
      <c r="C676" s="83">
        <f>194.205</f>
        <v>194.20500000000001</v>
      </c>
      <c r="D676" s="83">
        <f>267.466</f>
        <v>267.46600000000001</v>
      </c>
      <c r="E676" s="92">
        <f>133.845</f>
        <v>133.845</v>
      </c>
      <c r="F676" s="83">
        <f>278.484-40-25-60-100</f>
        <v>53.48399999999998</v>
      </c>
      <c r="G676" s="86">
        <v>40</v>
      </c>
      <c r="H676" s="83">
        <f t="shared" si="111"/>
        <v>185</v>
      </c>
      <c r="I676" s="83">
        <f t="shared" si="102"/>
        <v>0</v>
      </c>
      <c r="J676" s="86">
        <v>100</v>
      </c>
      <c r="K676" s="86">
        <v>300</v>
      </c>
      <c r="L676" s="83">
        <f t="shared" si="105"/>
        <v>1274</v>
      </c>
      <c r="M676" s="94">
        <v>600</v>
      </c>
      <c r="N676" s="83">
        <f>75</f>
        <v>75</v>
      </c>
      <c r="O676" s="86">
        <v>240</v>
      </c>
      <c r="P676" s="86">
        <v>40</v>
      </c>
      <c r="Q676" s="86">
        <f t="shared" si="106"/>
        <v>315</v>
      </c>
      <c r="R676" s="86">
        <f t="shared" si="107"/>
        <v>100</v>
      </c>
      <c r="S676" s="83">
        <f t="shared" si="108"/>
        <v>695</v>
      </c>
      <c r="T676" s="83">
        <f>50</f>
        <v>50</v>
      </c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</row>
    <row r="677" spans="1:30" ht="15.75" x14ac:dyDescent="0.25">
      <c r="A677" s="32">
        <v>61544</v>
      </c>
      <c r="B677" s="95">
        <f t="shared" si="110"/>
        <v>30</v>
      </c>
      <c r="C677" s="83">
        <f>194.205</f>
        <v>194.20500000000001</v>
      </c>
      <c r="D677" s="83">
        <f>267.466</f>
        <v>267.46600000000001</v>
      </c>
      <c r="E677" s="92">
        <f>133.845</f>
        <v>133.845</v>
      </c>
      <c r="F677" s="83">
        <f>278.484-40-25-60-100</f>
        <v>53.48399999999998</v>
      </c>
      <c r="G677" s="86">
        <v>40</v>
      </c>
      <c r="H677" s="83">
        <f t="shared" si="111"/>
        <v>185</v>
      </c>
      <c r="I677" s="83">
        <f t="shared" si="102"/>
        <v>0</v>
      </c>
      <c r="J677" s="86">
        <v>100</v>
      </c>
      <c r="K677" s="86">
        <v>300</v>
      </c>
      <c r="L677" s="83">
        <f t="shared" si="105"/>
        <v>1274</v>
      </c>
      <c r="M677" s="94">
        <v>600</v>
      </c>
      <c r="N677" s="83">
        <f>30</f>
        <v>30</v>
      </c>
      <c r="O677" s="86">
        <v>240</v>
      </c>
      <c r="P677" s="86">
        <v>40</v>
      </c>
      <c r="Q677" s="86">
        <f t="shared" si="106"/>
        <v>315</v>
      </c>
      <c r="R677" s="86">
        <f t="shared" si="107"/>
        <v>100</v>
      </c>
      <c r="S677" s="83">
        <f t="shared" si="108"/>
        <v>695</v>
      </c>
      <c r="T677" s="83">
        <f>50</f>
        <v>50</v>
      </c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</row>
    <row r="678" spans="1:30" ht="15.75" x14ac:dyDescent="0.25">
      <c r="A678" s="32">
        <v>61575</v>
      </c>
      <c r="B678" s="95">
        <f t="shared" si="110"/>
        <v>31</v>
      </c>
      <c r="C678" s="83">
        <f>194.205</f>
        <v>194.20500000000001</v>
      </c>
      <c r="D678" s="83">
        <f>267.466</f>
        <v>267.46600000000001</v>
      </c>
      <c r="E678" s="92">
        <f>133.845</f>
        <v>133.845</v>
      </c>
      <c r="F678" s="83">
        <f>278.484-40-25-60-100</f>
        <v>53.48399999999998</v>
      </c>
      <c r="G678" s="86">
        <v>40</v>
      </c>
      <c r="H678" s="83">
        <f t="shared" si="111"/>
        <v>185</v>
      </c>
      <c r="I678" s="83">
        <f t="shared" si="102"/>
        <v>0</v>
      </c>
      <c r="J678" s="86">
        <v>100</v>
      </c>
      <c r="K678" s="86">
        <v>300</v>
      </c>
      <c r="L678" s="83">
        <f t="shared" si="105"/>
        <v>1274</v>
      </c>
      <c r="M678" s="94">
        <v>600</v>
      </c>
      <c r="N678" s="83">
        <f>30</f>
        <v>30</v>
      </c>
      <c r="O678" s="86">
        <v>240</v>
      </c>
      <c r="P678" s="86">
        <v>40</v>
      </c>
      <c r="Q678" s="86">
        <f t="shared" si="106"/>
        <v>315</v>
      </c>
      <c r="R678" s="86">
        <f t="shared" si="107"/>
        <v>100</v>
      </c>
      <c r="S678" s="83">
        <f t="shared" si="108"/>
        <v>695</v>
      </c>
      <c r="T678" s="83">
        <f>0</f>
        <v>0</v>
      </c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</row>
    <row r="679" spans="1:30" ht="15.75" x14ac:dyDescent="0.25">
      <c r="A679" s="32">
        <v>61606</v>
      </c>
      <c r="B679" s="95">
        <f t="shared" si="110"/>
        <v>31</v>
      </c>
      <c r="C679" s="83">
        <f>194.205</f>
        <v>194.20500000000001</v>
      </c>
      <c r="D679" s="83">
        <f>267.466</f>
        <v>267.46600000000001</v>
      </c>
      <c r="E679" s="92">
        <f>133.845</f>
        <v>133.845</v>
      </c>
      <c r="F679" s="83">
        <f>278.484-40-25-60-100</f>
        <v>53.48399999999998</v>
      </c>
      <c r="G679" s="86">
        <v>40</v>
      </c>
      <c r="H679" s="83">
        <f t="shared" si="111"/>
        <v>185</v>
      </c>
      <c r="I679" s="83">
        <f t="shared" si="102"/>
        <v>0</v>
      </c>
      <c r="J679" s="86">
        <v>100</v>
      </c>
      <c r="K679" s="86">
        <v>300</v>
      </c>
      <c r="L679" s="83">
        <f t="shared" si="105"/>
        <v>1274</v>
      </c>
      <c r="M679" s="94">
        <v>600</v>
      </c>
      <c r="N679" s="83">
        <f>30</f>
        <v>30</v>
      </c>
      <c r="O679" s="86">
        <v>240</v>
      </c>
      <c r="P679" s="86">
        <v>40</v>
      </c>
      <c r="Q679" s="86">
        <f t="shared" si="106"/>
        <v>315</v>
      </c>
      <c r="R679" s="86">
        <f t="shared" si="107"/>
        <v>100</v>
      </c>
      <c r="S679" s="83">
        <f t="shared" si="108"/>
        <v>695</v>
      </c>
      <c r="T679" s="83">
        <f>0</f>
        <v>0</v>
      </c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</row>
    <row r="680" spans="1:30" ht="15.75" x14ac:dyDescent="0.25">
      <c r="A680" s="32">
        <v>61636</v>
      </c>
      <c r="B680" s="95">
        <f t="shared" si="110"/>
        <v>30</v>
      </c>
      <c r="C680" s="83">
        <f>194.205</f>
        <v>194.20500000000001</v>
      </c>
      <c r="D680" s="83">
        <f>267.466</f>
        <v>267.46600000000001</v>
      </c>
      <c r="E680" s="92">
        <f>133.845</f>
        <v>133.845</v>
      </c>
      <c r="F680" s="83">
        <f>278.484-40-25-60-100</f>
        <v>53.48399999999998</v>
      </c>
      <c r="G680" s="86">
        <v>40</v>
      </c>
      <c r="H680" s="83">
        <f t="shared" si="111"/>
        <v>185</v>
      </c>
      <c r="I680" s="83">
        <f t="shared" si="102"/>
        <v>0</v>
      </c>
      <c r="J680" s="86">
        <v>100</v>
      </c>
      <c r="K680" s="86">
        <v>300</v>
      </c>
      <c r="L680" s="83">
        <f t="shared" si="105"/>
        <v>1274</v>
      </c>
      <c r="M680" s="94">
        <v>600</v>
      </c>
      <c r="N680" s="83">
        <f>30</f>
        <v>30</v>
      </c>
      <c r="O680" s="86">
        <v>240</v>
      </c>
      <c r="P680" s="86">
        <v>40</v>
      </c>
      <c r="Q680" s="86">
        <f t="shared" si="106"/>
        <v>315</v>
      </c>
      <c r="R680" s="86">
        <f t="shared" si="107"/>
        <v>100</v>
      </c>
      <c r="S680" s="83">
        <f t="shared" si="108"/>
        <v>695</v>
      </c>
      <c r="T680" s="83">
        <f>0</f>
        <v>0</v>
      </c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</row>
    <row r="681" spans="1:30" ht="15.75" x14ac:dyDescent="0.25">
      <c r="A681" s="32">
        <v>61667</v>
      </c>
      <c r="B681" s="95">
        <f t="shared" si="110"/>
        <v>31</v>
      </c>
      <c r="C681" s="83">
        <f>131.881</f>
        <v>131.881</v>
      </c>
      <c r="D681" s="83">
        <f>277.167</f>
        <v>277.16699999999997</v>
      </c>
      <c r="E681" s="92">
        <f>79.08</f>
        <v>79.08</v>
      </c>
      <c r="F681" s="83">
        <f>350.872-40-25-60-100</f>
        <v>125.87200000000001</v>
      </c>
      <c r="G681" s="86">
        <v>40</v>
      </c>
      <c r="H681" s="83">
        <f t="shared" si="111"/>
        <v>185</v>
      </c>
      <c r="I681" s="83">
        <f t="shared" si="102"/>
        <v>0</v>
      </c>
      <c r="J681" s="86">
        <v>100</v>
      </c>
      <c r="K681" s="86">
        <v>300</v>
      </c>
      <c r="L681" s="83">
        <f t="shared" si="105"/>
        <v>1239</v>
      </c>
      <c r="M681" s="94">
        <v>600</v>
      </c>
      <c r="N681" s="83">
        <f>75</f>
        <v>75</v>
      </c>
      <c r="O681" s="86">
        <v>240</v>
      </c>
      <c r="P681" s="86">
        <v>40</v>
      </c>
      <c r="Q681" s="86">
        <f t="shared" si="106"/>
        <v>315</v>
      </c>
      <c r="R681" s="86">
        <f t="shared" si="107"/>
        <v>100</v>
      </c>
      <c r="S681" s="83">
        <f t="shared" si="108"/>
        <v>695</v>
      </c>
      <c r="T681" s="83">
        <f>0</f>
        <v>0</v>
      </c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</row>
    <row r="682" spans="1:30" ht="15.75" x14ac:dyDescent="0.25">
      <c r="A682" s="32">
        <v>61697</v>
      </c>
      <c r="B682" s="95">
        <f t="shared" si="110"/>
        <v>30</v>
      </c>
      <c r="C682" s="83">
        <f>122.58</f>
        <v>122.58</v>
      </c>
      <c r="D682" s="83">
        <f>297.941</f>
        <v>297.94099999999997</v>
      </c>
      <c r="E682" s="92">
        <f>89.177</f>
        <v>89.177000000000007</v>
      </c>
      <c r="F682" s="83">
        <f>240.302-40-60-100</f>
        <v>40.301999999999992</v>
      </c>
      <c r="G682" s="86">
        <v>40</v>
      </c>
      <c r="H682" s="83">
        <f>60+100</f>
        <v>160</v>
      </c>
      <c r="I682" s="83">
        <f t="shared" si="102"/>
        <v>0</v>
      </c>
      <c r="J682" s="86">
        <v>100</v>
      </c>
      <c r="K682" s="86">
        <v>300</v>
      </c>
      <c r="L682" s="83">
        <f t="shared" si="105"/>
        <v>1150</v>
      </c>
      <c r="M682" s="94">
        <v>600</v>
      </c>
      <c r="N682" s="83">
        <f>100</f>
        <v>100</v>
      </c>
      <c r="O682" s="86">
        <v>240</v>
      </c>
      <c r="P682" s="86">
        <v>40</v>
      </c>
      <c r="Q682" s="86">
        <f t="shared" si="106"/>
        <v>315</v>
      </c>
      <c r="R682" s="86">
        <f t="shared" si="107"/>
        <v>100</v>
      </c>
      <c r="S682" s="83">
        <f t="shared" si="108"/>
        <v>695</v>
      </c>
      <c r="T682" s="83">
        <f>50</f>
        <v>50</v>
      </c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</row>
    <row r="683" spans="1:30" ht="15.75" x14ac:dyDescent="0.25">
      <c r="A683" s="32">
        <v>61728</v>
      </c>
      <c r="B683" s="95">
        <f t="shared" si="110"/>
        <v>31</v>
      </c>
      <c r="C683" s="83">
        <f>122.58</f>
        <v>122.58</v>
      </c>
      <c r="D683" s="83">
        <f>297.941</f>
        <v>297.94099999999997</v>
      </c>
      <c r="E683" s="92">
        <f>89.177</f>
        <v>89.177000000000007</v>
      </c>
      <c r="F683" s="83">
        <f>240.302-40-60-100</f>
        <v>40.301999999999992</v>
      </c>
      <c r="G683" s="86">
        <v>40</v>
      </c>
      <c r="H683" s="83">
        <f>60+100</f>
        <v>160</v>
      </c>
      <c r="I683" s="83">
        <f t="shared" si="102"/>
        <v>0</v>
      </c>
      <c r="J683" s="86">
        <v>100</v>
      </c>
      <c r="K683" s="86">
        <v>300</v>
      </c>
      <c r="L683" s="83">
        <f t="shared" si="105"/>
        <v>1150</v>
      </c>
      <c r="M683" s="94">
        <v>600</v>
      </c>
      <c r="N683" s="83">
        <f>100</f>
        <v>100</v>
      </c>
      <c r="O683" s="86">
        <v>240</v>
      </c>
      <c r="P683" s="86">
        <v>40</v>
      </c>
      <c r="Q683" s="86">
        <f t="shared" si="106"/>
        <v>315</v>
      </c>
      <c r="R683" s="86">
        <f t="shared" si="107"/>
        <v>100</v>
      </c>
      <c r="S683" s="83">
        <f t="shared" si="108"/>
        <v>695</v>
      </c>
      <c r="T683" s="83">
        <f>50</f>
        <v>50</v>
      </c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</row>
    <row r="684" spans="1:30" ht="15.75" x14ac:dyDescent="0.25">
      <c r="A684" s="32">
        <v>61759</v>
      </c>
      <c r="B684" s="95">
        <f t="shared" si="110"/>
        <v>31</v>
      </c>
      <c r="C684" s="83">
        <f>122.58</f>
        <v>122.58</v>
      </c>
      <c r="D684" s="83">
        <f>297.941</f>
        <v>297.94099999999997</v>
      </c>
      <c r="E684" s="92">
        <f>89.177</f>
        <v>89.177000000000007</v>
      </c>
      <c r="F684" s="83">
        <f>240.302-40-60-100</f>
        <v>40.301999999999992</v>
      </c>
      <c r="G684" s="86">
        <v>40</v>
      </c>
      <c r="H684" s="83">
        <f>60+100</f>
        <v>160</v>
      </c>
      <c r="I684" s="83">
        <f t="shared" si="102"/>
        <v>0</v>
      </c>
      <c r="J684" s="86">
        <v>100</v>
      </c>
      <c r="K684" s="86">
        <v>300</v>
      </c>
      <c r="L684" s="83">
        <f t="shared" si="105"/>
        <v>1150</v>
      </c>
      <c r="M684" s="94">
        <v>600</v>
      </c>
      <c r="N684" s="83">
        <f>100</f>
        <v>100</v>
      </c>
      <c r="O684" s="86">
        <v>240</v>
      </c>
      <c r="P684" s="86">
        <v>40</v>
      </c>
      <c r="Q684" s="86">
        <f t="shared" si="106"/>
        <v>315</v>
      </c>
      <c r="R684" s="86">
        <f t="shared" si="107"/>
        <v>100</v>
      </c>
      <c r="S684" s="83">
        <f t="shared" si="108"/>
        <v>695</v>
      </c>
      <c r="T684" s="83">
        <f>50</f>
        <v>50</v>
      </c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</row>
    <row r="685" spans="1:30" ht="15.75" x14ac:dyDescent="0.25">
      <c r="A685" s="32">
        <v>61787</v>
      </c>
      <c r="B685" s="95">
        <f t="shared" si="110"/>
        <v>28</v>
      </c>
      <c r="C685" s="83">
        <f>122.58</f>
        <v>122.58</v>
      </c>
      <c r="D685" s="83">
        <f>297.941</f>
        <v>297.94099999999997</v>
      </c>
      <c r="E685" s="92">
        <f>89.177</f>
        <v>89.177000000000007</v>
      </c>
      <c r="F685" s="83">
        <f>240.302-40-60-100</f>
        <v>40.301999999999992</v>
      </c>
      <c r="G685" s="86">
        <v>40</v>
      </c>
      <c r="H685" s="83">
        <f>60+100</f>
        <v>160</v>
      </c>
      <c r="I685" s="83">
        <f t="shared" si="102"/>
        <v>0</v>
      </c>
      <c r="J685" s="86">
        <v>100</v>
      </c>
      <c r="K685" s="86">
        <v>300</v>
      </c>
      <c r="L685" s="83">
        <f t="shared" si="105"/>
        <v>1150</v>
      </c>
      <c r="M685" s="94">
        <v>600</v>
      </c>
      <c r="N685" s="83">
        <f>100</f>
        <v>100</v>
      </c>
      <c r="O685" s="86">
        <v>240</v>
      </c>
      <c r="P685" s="86">
        <v>40</v>
      </c>
      <c r="Q685" s="86">
        <f t="shared" si="106"/>
        <v>315</v>
      </c>
      <c r="R685" s="86">
        <f t="shared" si="107"/>
        <v>100</v>
      </c>
      <c r="S685" s="83">
        <f t="shared" si="108"/>
        <v>695</v>
      </c>
      <c r="T685" s="83">
        <f>50</f>
        <v>50</v>
      </c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</row>
    <row r="686" spans="1:30" ht="15.75" x14ac:dyDescent="0.25">
      <c r="A686" s="32">
        <v>61818</v>
      </c>
      <c r="B686" s="95">
        <f t="shared" si="110"/>
        <v>31</v>
      </c>
      <c r="C686" s="83">
        <f>122.58</f>
        <v>122.58</v>
      </c>
      <c r="D686" s="83">
        <f>297.941</f>
        <v>297.94099999999997</v>
      </c>
      <c r="E686" s="92">
        <f>89.177</f>
        <v>89.177000000000007</v>
      </c>
      <c r="F686" s="83">
        <f>240.302-40-60-100</f>
        <v>40.301999999999992</v>
      </c>
      <c r="G686" s="86">
        <v>40</v>
      </c>
      <c r="H686" s="83">
        <f>60+100</f>
        <v>160</v>
      </c>
      <c r="I686" s="83">
        <f t="shared" si="102"/>
        <v>0</v>
      </c>
      <c r="J686" s="86">
        <v>100</v>
      </c>
      <c r="K686" s="86">
        <v>300</v>
      </c>
      <c r="L686" s="83">
        <f t="shared" si="105"/>
        <v>1150</v>
      </c>
      <c r="M686" s="94">
        <v>600</v>
      </c>
      <c r="N686" s="83">
        <f>100</f>
        <v>100</v>
      </c>
      <c r="O686" s="86">
        <v>240</v>
      </c>
      <c r="P686" s="86">
        <v>40</v>
      </c>
      <c r="Q686" s="86">
        <f t="shared" si="106"/>
        <v>315</v>
      </c>
      <c r="R686" s="86">
        <f t="shared" si="107"/>
        <v>100</v>
      </c>
      <c r="S686" s="83">
        <f t="shared" si="108"/>
        <v>695</v>
      </c>
      <c r="T686" s="83">
        <f>50</f>
        <v>50</v>
      </c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</row>
    <row r="687" spans="1:30" ht="15.75" x14ac:dyDescent="0.25">
      <c r="A687" s="32">
        <v>61848</v>
      </c>
      <c r="B687" s="95">
        <f t="shared" si="110"/>
        <v>30</v>
      </c>
      <c r="C687" s="83">
        <f>141.293</f>
        <v>141.29300000000001</v>
      </c>
      <c r="D687" s="83">
        <f>267.993</f>
        <v>267.99299999999999</v>
      </c>
      <c r="E687" s="92">
        <f>115.016</f>
        <v>115.01600000000001</v>
      </c>
      <c r="F687" s="83">
        <f>314.698-40-25-60-100</f>
        <v>89.697999999999979</v>
      </c>
      <c r="G687" s="86">
        <v>40</v>
      </c>
      <c r="H687" s="83">
        <f t="shared" ref="H687:H693" si="112">25+60+100</f>
        <v>185</v>
      </c>
      <c r="I687" s="83">
        <f t="shared" si="102"/>
        <v>0</v>
      </c>
      <c r="J687" s="86">
        <v>100</v>
      </c>
      <c r="K687" s="86">
        <v>300</v>
      </c>
      <c r="L687" s="83">
        <f t="shared" si="105"/>
        <v>1239</v>
      </c>
      <c r="M687" s="94">
        <v>600</v>
      </c>
      <c r="N687" s="83">
        <f>100</f>
        <v>100</v>
      </c>
      <c r="O687" s="86">
        <v>240</v>
      </c>
      <c r="P687" s="86">
        <v>40</v>
      </c>
      <c r="Q687" s="86">
        <f t="shared" si="106"/>
        <v>315</v>
      </c>
      <c r="R687" s="86">
        <f t="shared" si="107"/>
        <v>100</v>
      </c>
      <c r="S687" s="83">
        <f t="shared" si="108"/>
        <v>695</v>
      </c>
      <c r="T687" s="83">
        <f>50</f>
        <v>50</v>
      </c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</row>
    <row r="688" spans="1:30" ht="15.75" x14ac:dyDescent="0.25">
      <c r="A688" s="32">
        <v>61879</v>
      </c>
      <c r="B688" s="95">
        <f t="shared" si="110"/>
        <v>31</v>
      </c>
      <c r="C688" s="83">
        <f>194.205</f>
        <v>194.20500000000001</v>
      </c>
      <c r="D688" s="83">
        <f>267.466</f>
        <v>267.46600000000001</v>
      </c>
      <c r="E688" s="92">
        <f>133.845</f>
        <v>133.845</v>
      </c>
      <c r="F688" s="83">
        <f>278.484-40-25-60-100</f>
        <v>53.48399999999998</v>
      </c>
      <c r="G688" s="86">
        <v>40</v>
      </c>
      <c r="H688" s="83">
        <f t="shared" si="112"/>
        <v>185</v>
      </c>
      <c r="I688" s="83">
        <f t="shared" si="102"/>
        <v>0</v>
      </c>
      <c r="J688" s="86">
        <v>100</v>
      </c>
      <c r="K688" s="86">
        <v>300</v>
      </c>
      <c r="L688" s="83">
        <f t="shared" si="105"/>
        <v>1274</v>
      </c>
      <c r="M688" s="94">
        <v>600</v>
      </c>
      <c r="N688" s="83">
        <f>75</f>
        <v>75</v>
      </c>
      <c r="O688" s="86">
        <v>240</v>
      </c>
      <c r="P688" s="86">
        <v>40</v>
      </c>
      <c r="Q688" s="86">
        <f t="shared" si="106"/>
        <v>315</v>
      </c>
      <c r="R688" s="86">
        <f t="shared" si="107"/>
        <v>100</v>
      </c>
      <c r="S688" s="83">
        <f t="shared" si="108"/>
        <v>695</v>
      </c>
      <c r="T688" s="83">
        <f>50</f>
        <v>50</v>
      </c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</row>
    <row r="689" spans="1:30" ht="15.75" x14ac:dyDescent="0.25">
      <c r="A689" s="32">
        <v>61909</v>
      </c>
      <c r="B689" s="95">
        <f t="shared" si="110"/>
        <v>30</v>
      </c>
      <c r="C689" s="83">
        <f>194.205</f>
        <v>194.20500000000001</v>
      </c>
      <c r="D689" s="83">
        <f>267.466</f>
        <v>267.46600000000001</v>
      </c>
      <c r="E689" s="92">
        <f>133.845</f>
        <v>133.845</v>
      </c>
      <c r="F689" s="83">
        <f>278.484-40-25-60-100</f>
        <v>53.48399999999998</v>
      </c>
      <c r="G689" s="86">
        <v>40</v>
      </c>
      <c r="H689" s="83">
        <f t="shared" si="112"/>
        <v>185</v>
      </c>
      <c r="I689" s="83">
        <f t="shared" si="102"/>
        <v>0</v>
      </c>
      <c r="J689" s="86">
        <v>100</v>
      </c>
      <c r="K689" s="86">
        <v>300</v>
      </c>
      <c r="L689" s="83">
        <f t="shared" si="105"/>
        <v>1274</v>
      </c>
      <c r="M689" s="94">
        <v>600</v>
      </c>
      <c r="N689" s="83">
        <f>30</f>
        <v>30</v>
      </c>
      <c r="O689" s="86">
        <v>240</v>
      </c>
      <c r="P689" s="86">
        <v>40</v>
      </c>
      <c r="Q689" s="86">
        <f t="shared" si="106"/>
        <v>315</v>
      </c>
      <c r="R689" s="86">
        <f t="shared" si="107"/>
        <v>100</v>
      </c>
      <c r="S689" s="83">
        <f t="shared" si="108"/>
        <v>695</v>
      </c>
      <c r="T689" s="83">
        <f>50</f>
        <v>50</v>
      </c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</row>
    <row r="690" spans="1:30" ht="15.75" x14ac:dyDescent="0.25">
      <c r="A690" s="32">
        <v>61940</v>
      </c>
      <c r="B690" s="95">
        <f t="shared" si="110"/>
        <v>31</v>
      </c>
      <c r="C690" s="83">
        <f>194.205</f>
        <v>194.20500000000001</v>
      </c>
      <c r="D690" s="83">
        <f>267.466</f>
        <v>267.46600000000001</v>
      </c>
      <c r="E690" s="92">
        <f>133.845</f>
        <v>133.845</v>
      </c>
      <c r="F690" s="83">
        <f>278.484-40-25-60-100</f>
        <v>53.48399999999998</v>
      </c>
      <c r="G690" s="86">
        <v>40</v>
      </c>
      <c r="H690" s="83">
        <f t="shared" si="112"/>
        <v>185</v>
      </c>
      <c r="I690" s="83">
        <f t="shared" si="102"/>
        <v>0</v>
      </c>
      <c r="J690" s="86">
        <v>100</v>
      </c>
      <c r="K690" s="86">
        <v>300</v>
      </c>
      <c r="L690" s="83">
        <f t="shared" si="105"/>
        <v>1274</v>
      </c>
      <c r="M690" s="94">
        <v>600</v>
      </c>
      <c r="N690" s="83">
        <f>30</f>
        <v>30</v>
      </c>
      <c r="O690" s="86">
        <v>240</v>
      </c>
      <c r="P690" s="86">
        <v>40</v>
      </c>
      <c r="Q690" s="86">
        <f t="shared" si="106"/>
        <v>315</v>
      </c>
      <c r="R690" s="86">
        <f t="shared" si="107"/>
        <v>100</v>
      </c>
      <c r="S690" s="83">
        <f t="shared" si="108"/>
        <v>695</v>
      </c>
      <c r="T690" s="83">
        <f>0</f>
        <v>0</v>
      </c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</row>
    <row r="691" spans="1:30" ht="15.75" x14ac:dyDescent="0.25">
      <c r="A691" s="32">
        <v>61971</v>
      </c>
      <c r="B691" s="95">
        <f t="shared" si="110"/>
        <v>31</v>
      </c>
      <c r="C691" s="83">
        <f>194.205</f>
        <v>194.20500000000001</v>
      </c>
      <c r="D691" s="83">
        <f>267.466</f>
        <v>267.46600000000001</v>
      </c>
      <c r="E691" s="92">
        <f>133.845</f>
        <v>133.845</v>
      </c>
      <c r="F691" s="83">
        <f>278.484-40-25-60-100</f>
        <v>53.48399999999998</v>
      </c>
      <c r="G691" s="86">
        <v>40</v>
      </c>
      <c r="H691" s="83">
        <f t="shared" si="112"/>
        <v>185</v>
      </c>
      <c r="I691" s="83">
        <f t="shared" si="102"/>
        <v>0</v>
      </c>
      <c r="J691" s="86">
        <v>100</v>
      </c>
      <c r="K691" s="86">
        <v>300</v>
      </c>
      <c r="L691" s="83">
        <f t="shared" si="105"/>
        <v>1274</v>
      </c>
      <c r="M691" s="94">
        <v>600</v>
      </c>
      <c r="N691" s="83">
        <f>30</f>
        <v>30</v>
      </c>
      <c r="O691" s="86">
        <v>240</v>
      </c>
      <c r="P691" s="86">
        <v>40</v>
      </c>
      <c r="Q691" s="86">
        <f t="shared" si="106"/>
        <v>315</v>
      </c>
      <c r="R691" s="86">
        <f t="shared" si="107"/>
        <v>100</v>
      </c>
      <c r="S691" s="83">
        <f t="shared" si="108"/>
        <v>695</v>
      </c>
      <c r="T691" s="83">
        <f>0</f>
        <v>0</v>
      </c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</row>
    <row r="692" spans="1:30" ht="15.75" x14ac:dyDescent="0.25">
      <c r="A692" s="32">
        <v>62001</v>
      </c>
      <c r="B692" s="95">
        <f t="shared" si="110"/>
        <v>30</v>
      </c>
      <c r="C692" s="83">
        <f>194.205</f>
        <v>194.20500000000001</v>
      </c>
      <c r="D692" s="83">
        <f>267.466</f>
        <v>267.46600000000001</v>
      </c>
      <c r="E692" s="92">
        <f>133.845</f>
        <v>133.845</v>
      </c>
      <c r="F692" s="83">
        <f>278.484-40-25-60-100</f>
        <v>53.48399999999998</v>
      </c>
      <c r="G692" s="86">
        <v>40</v>
      </c>
      <c r="H692" s="83">
        <f t="shared" si="112"/>
        <v>185</v>
      </c>
      <c r="I692" s="83">
        <f t="shared" ref="I692:I755" si="113">400-J692-K692</f>
        <v>0</v>
      </c>
      <c r="J692" s="86">
        <v>100</v>
      </c>
      <c r="K692" s="86">
        <v>300</v>
      </c>
      <c r="L692" s="83">
        <f t="shared" si="105"/>
        <v>1274</v>
      </c>
      <c r="M692" s="94">
        <v>600</v>
      </c>
      <c r="N692" s="83">
        <f>30</f>
        <v>30</v>
      </c>
      <c r="O692" s="86">
        <v>240</v>
      </c>
      <c r="P692" s="86">
        <v>40</v>
      </c>
      <c r="Q692" s="86">
        <f t="shared" si="106"/>
        <v>315</v>
      </c>
      <c r="R692" s="86">
        <f t="shared" si="107"/>
        <v>100</v>
      </c>
      <c r="S692" s="83">
        <f t="shared" si="108"/>
        <v>695</v>
      </c>
      <c r="T692" s="83">
        <f>0</f>
        <v>0</v>
      </c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</row>
    <row r="693" spans="1:30" ht="15.75" x14ac:dyDescent="0.25">
      <c r="A693" s="32">
        <v>62032</v>
      </c>
      <c r="B693" s="95">
        <f t="shared" si="110"/>
        <v>31</v>
      </c>
      <c r="C693" s="83">
        <f>131.881</f>
        <v>131.881</v>
      </c>
      <c r="D693" s="83">
        <f>277.167</f>
        <v>277.16699999999997</v>
      </c>
      <c r="E693" s="92">
        <f>79.08</f>
        <v>79.08</v>
      </c>
      <c r="F693" s="83">
        <f>350.872-40-25-60-100</f>
        <v>125.87200000000001</v>
      </c>
      <c r="G693" s="86">
        <v>40</v>
      </c>
      <c r="H693" s="83">
        <f t="shared" si="112"/>
        <v>185</v>
      </c>
      <c r="I693" s="83">
        <f t="shared" si="113"/>
        <v>0</v>
      </c>
      <c r="J693" s="86">
        <v>100</v>
      </c>
      <c r="K693" s="86">
        <v>300</v>
      </c>
      <c r="L693" s="83">
        <f t="shared" si="105"/>
        <v>1239</v>
      </c>
      <c r="M693" s="94">
        <v>600</v>
      </c>
      <c r="N693" s="83">
        <f>75</f>
        <v>75</v>
      </c>
      <c r="O693" s="86">
        <v>240</v>
      </c>
      <c r="P693" s="86">
        <v>40</v>
      </c>
      <c r="Q693" s="86">
        <f t="shared" si="106"/>
        <v>315</v>
      </c>
      <c r="R693" s="86">
        <f t="shared" si="107"/>
        <v>100</v>
      </c>
      <c r="S693" s="83">
        <f t="shared" si="108"/>
        <v>695</v>
      </c>
      <c r="T693" s="83">
        <f>0</f>
        <v>0</v>
      </c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</row>
    <row r="694" spans="1:30" ht="15.75" x14ac:dyDescent="0.25">
      <c r="A694" s="32">
        <v>62062</v>
      </c>
      <c r="B694" s="95">
        <f t="shared" si="110"/>
        <v>30</v>
      </c>
      <c r="C694" s="83">
        <f>122.58</f>
        <v>122.58</v>
      </c>
      <c r="D694" s="83">
        <f>297.941</f>
        <v>297.94099999999997</v>
      </c>
      <c r="E694" s="92">
        <f>89.177</f>
        <v>89.177000000000007</v>
      </c>
      <c r="F694" s="83">
        <f>240.302-40-60-100</f>
        <v>40.301999999999992</v>
      </c>
      <c r="G694" s="86">
        <v>40</v>
      </c>
      <c r="H694" s="83">
        <f>60+100</f>
        <v>160</v>
      </c>
      <c r="I694" s="83">
        <f t="shared" si="113"/>
        <v>0</v>
      </c>
      <c r="J694" s="86">
        <v>100</v>
      </c>
      <c r="K694" s="86">
        <v>300</v>
      </c>
      <c r="L694" s="83">
        <f t="shared" si="105"/>
        <v>1150</v>
      </c>
      <c r="M694" s="94">
        <v>600</v>
      </c>
      <c r="N694" s="83">
        <f>100</f>
        <v>100</v>
      </c>
      <c r="O694" s="86">
        <v>240</v>
      </c>
      <c r="P694" s="86">
        <v>40</v>
      </c>
      <c r="Q694" s="86">
        <f t="shared" si="106"/>
        <v>315</v>
      </c>
      <c r="R694" s="86">
        <f t="shared" si="107"/>
        <v>100</v>
      </c>
      <c r="S694" s="83">
        <f t="shared" si="108"/>
        <v>695</v>
      </c>
      <c r="T694" s="83">
        <f>50</f>
        <v>50</v>
      </c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</row>
    <row r="695" spans="1:30" ht="15.75" x14ac:dyDescent="0.25">
      <c r="A695" s="32">
        <v>62093</v>
      </c>
      <c r="B695" s="95">
        <f t="shared" si="110"/>
        <v>31</v>
      </c>
      <c r="C695" s="83">
        <f>122.58</f>
        <v>122.58</v>
      </c>
      <c r="D695" s="83">
        <f>297.941</f>
        <v>297.94099999999997</v>
      </c>
      <c r="E695" s="92">
        <f>89.177</f>
        <v>89.177000000000007</v>
      </c>
      <c r="F695" s="83">
        <f>240.302-40-60-100</f>
        <v>40.301999999999992</v>
      </c>
      <c r="G695" s="86">
        <v>40</v>
      </c>
      <c r="H695" s="83">
        <f>60+100</f>
        <v>160</v>
      </c>
      <c r="I695" s="83">
        <f t="shared" si="113"/>
        <v>0</v>
      </c>
      <c r="J695" s="86">
        <v>100</v>
      </c>
      <c r="K695" s="86">
        <v>300</v>
      </c>
      <c r="L695" s="83">
        <f t="shared" si="105"/>
        <v>1150</v>
      </c>
      <c r="M695" s="94">
        <v>600</v>
      </c>
      <c r="N695" s="83">
        <f>100</f>
        <v>100</v>
      </c>
      <c r="O695" s="86">
        <v>240</v>
      </c>
      <c r="P695" s="86">
        <v>40</v>
      </c>
      <c r="Q695" s="86">
        <f t="shared" si="106"/>
        <v>315</v>
      </c>
      <c r="R695" s="86">
        <f t="shared" si="107"/>
        <v>100</v>
      </c>
      <c r="S695" s="83">
        <f t="shared" si="108"/>
        <v>695</v>
      </c>
      <c r="T695" s="83">
        <f>50</f>
        <v>50</v>
      </c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</row>
    <row r="696" spans="1:30" ht="15.75" x14ac:dyDescent="0.25">
      <c r="A696" s="32">
        <v>62124</v>
      </c>
      <c r="B696" s="95">
        <f t="shared" si="110"/>
        <v>31</v>
      </c>
      <c r="C696" s="83">
        <f>122.58</f>
        <v>122.58</v>
      </c>
      <c r="D696" s="83">
        <f>297.941</f>
        <v>297.94099999999997</v>
      </c>
      <c r="E696" s="92">
        <f>89.177</f>
        <v>89.177000000000007</v>
      </c>
      <c r="F696" s="83">
        <f>240.302-40-60-100</f>
        <v>40.301999999999992</v>
      </c>
      <c r="G696" s="86">
        <v>40</v>
      </c>
      <c r="H696" s="83">
        <f>60+100</f>
        <v>160</v>
      </c>
      <c r="I696" s="83">
        <f t="shared" si="113"/>
        <v>0</v>
      </c>
      <c r="J696" s="86">
        <v>100</v>
      </c>
      <c r="K696" s="86">
        <v>300</v>
      </c>
      <c r="L696" s="83">
        <f t="shared" si="105"/>
        <v>1150</v>
      </c>
      <c r="M696" s="94">
        <v>600</v>
      </c>
      <c r="N696" s="83">
        <f>100</f>
        <v>100</v>
      </c>
      <c r="O696" s="86">
        <v>240</v>
      </c>
      <c r="P696" s="86">
        <v>40</v>
      </c>
      <c r="Q696" s="86">
        <f t="shared" si="106"/>
        <v>315</v>
      </c>
      <c r="R696" s="86">
        <f t="shared" si="107"/>
        <v>100</v>
      </c>
      <c r="S696" s="83">
        <f t="shared" si="108"/>
        <v>695</v>
      </c>
      <c r="T696" s="83">
        <f>50</f>
        <v>50</v>
      </c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</row>
    <row r="697" spans="1:30" ht="15.75" x14ac:dyDescent="0.25">
      <c r="A697" s="32">
        <v>62152</v>
      </c>
      <c r="B697" s="95">
        <f t="shared" si="110"/>
        <v>28</v>
      </c>
      <c r="C697" s="83">
        <f>122.58</f>
        <v>122.58</v>
      </c>
      <c r="D697" s="83">
        <f>297.941</f>
        <v>297.94099999999997</v>
      </c>
      <c r="E697" s="92">
        <f>89.177</f>
        <v>89.177000000000007</v>
      </c>
      <c r="F697" s="83">
        <f>240.302-40-60-100</f>
        <v>40.301999999999992</v>
      </c>
      <c r="G697" s="86">
        <v>40</v>
      </c>
      <c r="H697" s="83">
        <f>60+100</f>
        <v>160</v>
      </c>
      <c r="I697" s="83">
        <f t="shared" si="113"/>
        <v>0</v>
      </c>
      <c r="J697" s="86">
        <v>100</v>
      </c>
      <c r="K697" s="86">
        <v>300</v>
      </c>
      <c r="L697" s="83">
        <f t="shared" si="105"/>
        <v>1150</v>
      </c>
      <c r="M697" s="94">
        <v>600</v>
      </c>
      <c r="N697" s="83">
        <f>100</f>
        <v>100</v>
      </c>
      <c r="O697" s="86">
        <v>240</v>
      </c>
      <c r="P697" s="86">
        <v>40</v>
      </c>
      <c r="Q697" s="86">
        <f t="shared" si="106"/>
        <v>315</v>
      </c>
      <c r="R697" s="86">
        <f t="shared" si="107"/>
        <v>100</v>
      </c>
      <c r="S697" s="83">
        <f t="shared" si="108"/>
        <v>695</v>
      </c>
      <c r="T697" s="83">
        <f>50</f>
        <v>50</v>
      </c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</row>
    <row r="698" spans="1:30" ht="15.75" x14ac:dyDescent="0.25">
      <c r="A698" s="32">
        <v>62183</v>
      </c>
      <c r="B698" s="95">
        <f t="shared" si="110"/>
        <v>31</v>
      </c>
      <c r="C698" s="83">
        <f>122.58</f>
        <v>122.58</v>
      </c>
      <c r="D698" s="83">
        <f>297.941</f>
        <v>297.94099999999997</v>
      </c>
      <c r="E698" s="92">
        <f>89.177</f>
        <v>89.177000000000007</v>
      </c>
      <c r="F698" s="83">
        <f>240.302-40-60-100</f>
        <v>40.301999999999992</v>
      </c>
      <c r="G698" s="86">
        <v>40</v>
      </c>
      <c r="H698" s="83">
        <f>60+100</f>
        <v>160</v>
      </c>
      <c r="I698" s="83">
        <f t="shared" si="113"/>
        <v>0</v>
      </c>
      <c r="J698" s="86">
        <v>100</v>
      </c>
      <c r="K698" s="86">
        <v>300</v>
      </c>
      <c r="L698" s="83">
        <f t="shared" si="105"/>
        <v>1150</v>
      </c>
      <c r="M698" s="94">
        <v>600</v>
      </c>
      <c r="N698" s="83">
        <f>100</f>
        <v>100</v>
      </c>
      <c r="O698" s="86">
        <v>240</v>
      </c>
      <c r="P698" s="86">
        <v>40</v>
      </c>
      <c r="Q698" s="86">
        <f t="shared" si="106"/>
        <v>315</v>
      </c>
      <c r="R698" s="86">
        <f t="shared" si="107"/>
        <v>100</v>
      </c>
      <c r="S698" s="83">
        <f t="shared" si="108"/>
        <v>695</v>
      </c>
      <c r="T698" s="83">
        <f>50</f>
        <v>50</v>
      </c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</row>
    <row r="699" spans="1:30" ht="15.75" x14ac:dyDescent="0.25">
      <c r="A699" s="32">
        <v>62213</v>
      </c>
      <c r="B699" s="95">
        <f t="shared" si="110"/>
        <v>30</v>
      </c>
      <c r="C699" s="83">
        <f>141.293</f>
        <v>141.29300000000001</v>
      </c>
      <c r="D699" s="83">
        <f>267.993</f>
        <v>267.99299999999999</v>
      </c>
      <c r="E699" s="92">
        <f>115.016</f>
        <v>115.01600000000001</v>
      </c>
      <c r="F699" s="83">
        <f>314.698-40-25-60-100</f>
        <v>89.697999999999979</v>
      </c>
      <c r="G699" s="86">
        <v>40</v>
      </c>
      <c r="H699" s="83">
        <f t="shared" ref="H699:H705" si="114">25+60+100</f>
        <v>185</v>
      </c>
      <c r="I699" s="83">
        <f t="shared" si="113"/>
        <v>0</v>
      </c>
      <c r="J699" s="86">
        <v>100</v>
      </c>
      <c r="K699" s="86">
        <v>300</v>
      </c>
      <c r="L699" s="83">
        <f t="shared" si="105"/>
        <v>1239</v>
      </c>
      <c r="M699" s="94">
        <v>600</v>
      </c>
      <c r="N699" s="83">
        <f>100</f>
        <v>100</v>
      </c>
      <c r="O699" s="86">
        <v>240</v>
      </c>
      <c r="P699" s="86">
        <v>40</v>
      </c>
      <c r="Q699" s="86">
        <f t="shared" si="106"/>
        <v>315</v>
      </c>
      <c r="R699" s="86">
        <f t="shared" si="107"/>
        <v>100</v>
      </c>
      <c r="S699" s="83">
        <f t="shared" si="108"/>
        <v>695</v>
      </c>
      <c r="T699" s="83">
        <f>50</f>
        <v>50</v>
      </c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</row>
    <row r="700" spans="1:30" ht="15.75" x14ac:dyDescent="0.25">
      <c r="A700" s="32">
        <v>62244</v>
      </c>
      <c r="B700" s="95">
        <f t="shared" si="110"/>
        <v>31</v>
      </c>
      <c r="C700" s="83">
        <f>194.205</f>
        <v>194.20500000000001</v>
      </c>
      <c r="D700" s="83">
        <f>267.466</f>
        <v>267.46600000000001</v>
      </c>
      <c r="E700" s="92">
        <f>133.845</f>
        <v>133.845</v>
      </c>
      <c r="F700" s="83">
        <f>278.484-40-25-60-100</f>
        <v>53.48399999999998</v>
      </c>
      <c r="G700" s="86">
        <v>40</v>
      </c>
      <c r="H700" s="83">
        <f t="shared" si="114"/>
        <v>185</v>
      </c>
      <c r="I700" s="83">
        <f t="shared" si="113"/>
        <v>0</v>
      </c>
      <c r="J700" s="86">
        <v>100</v>
      </c>
      <c r="K700" s="86">
        <v>300</v>
      </c>
      <c r="L700" s="83">
        <f t="shared" si="105"/>
        <v>1274</v>
      </c>
      <c r="M700" s="94">
        <v>600</v>
      </c>
      <c r="N700" s="83">
        <f>75</f>
        <v>75</v>
      </c>
      <c r="O700" s="86">
        <v>240</v>
      </c>
      <c r="P700" s="86">
        <v>40</v>
      </c>
      <c r="Q700" s="86">
        <f t="shared" si="106"/>
        <v>315</v>
      </c>
      <c r="R700" s="86">
        <f t="shared" si="107"/>
        <v>100</v>
      </c>
      <c r="S700" s="83">
        <f t="shared" si="108"/>
        <v>695</v>
      </c>
      <c r="T700" s="83">
        <f>50</f>
        <v>50</v>
      </c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</row>
    <row r="701" spans="1:30" ht="15.75" x14ac:dyDescent="0.25">
      <c r="A701" s="32">
        <v>62274</v>
      </c>
      <c r="B701" s="95">
        <f t="shared" si="110"/>
        <v>30</v>
      </c>
      <c r="C701" s="83">
        <f>194.205</f>
        <v>194.20500000000001</v>
      </c>
      <c r="D701" s="83">
        <f>267.466</f>
        <v>267.46600000000001</v>
      </c>
      <c r="E701" s="92">
        <f>133.845</f>
        <v>133.845</v>
      </c>
      <c r="F701" s="83">
        <f>278.484-40-25-60-100</f>
        <v>53.48399999999998</v>
      </c>
      <c r="G701" s="86">
        <v>40</v>
      </c>
      <c r="H701" s="83">
        <f t="shared" si="114"/>
        <v>185</v>
      </c>
      <c r="I701" s="83">
        <f t="shared" si="113"/>
        <v>0</v>
      </c>
      <c r="J701" s="86">
        <v>100</v>
      </c>
      <c r="K701" s="86">
        <v>300</v>
      </c>
      <c r="L701" s="83">
        <f t="shared" si="105"/>
        <v>1274</v>
      </c>
      <c r="M701" s="94">
        <v>600</v>
      </c>
      <c r="N701" s="83">
        <f>30</f>
        <v>30</v>
      </c>
      <c r="O701" s="86">
        <v>240</v>
      </c>
      <c r="P701" s="86">
        <v>40</v>
      </c>
      <c r="Q701" s="86">
        <f t="shared" si="106"/>
        <v>315</v>
      </c>
      <c r="R701" s="86">
        <f t="shared" si="107"/>
        <v>100</v>
      </c>
      <c r="S701" s="83">
        <f t="shared" si="108"/>
        <v>695</v>
      </c>
      <c r="T701" s="83">
        <f>50</f>
        <v>50</v>
      </c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</row>
    <row r="702" spans="1:30" ht="15.75" x14ac:dyDescent="0.25">
      <c r="A702" s="32">
        <v>62305</v>
      </c>
      <c r="B702" s="95">
        <f t="shared" si="110"/>
        <v>31</v>
      </c>
      <c r="C702" s="83">
        <f>194.205</f>
        <v>194.20500000000001</v>
      </c>
      <c r="D702" s="83">
        <f>267.466</f>
        <v>267.46600000000001</v>
      </c>
      <c r="E702" s="92">
        <f>133.845</f>
        <v>133.845</v>
      </c>
      <c r="F702" s="83">
        <f>278.484-40-25-60-100</f>
        <v>53.48399999999998</v>
      </c>
      <c r="G702" s="86">
        <v>40</v>
      </c>
      <c r="H702" s="83">
        <f t="shared" si="114"/>
        <v>185</v>
      </c>
      <c r="I702" s="83">
        <f t="shared" si="113"/>
        <v>0</v>
      </c>
      <c r="J702" s="86">
        <v>100</v>
      </c>
      <c r="K702" s="86">
        <v>300</v>
      </c>
      <c r="L702" s="83">
        <f t="shared" si="105"/>
        <v>1274</v>
      </c>
      <c r="M702" s="94">
        <v>600</v>
      </c>
      <c r="N702" s="83">
        <f>30</f>
        <v>30</v>
      </c>
      <c r="O702" s="86">
        <v>240</v>
      </c>
      <c r="P702" s="86">
        <v>40</v>
      </c>
      <c r="Q702" s="86">
        <f t="shared" si="106"/>
        <v>315</v>
      </c>
      <c r="R702" s="86">
        <f t="shared" si="107"/>
        <v>100</v>
      </c>
      <c r="S702" s="83">
        <f t="shared" si="108"/>
        <v>695</v>
      </c>
      <c r="T702" s="83">
        <f>0</f>
        <v>0</v>
      </c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</row>
    <row r="703" spans="1:30" ht="15.75" x14ac:dyDescent="0.25">
      <c r="A703" s="32">
        <v>62336</v>
      </c>
      <c r="B703" s="95">
        <f t="shared" si="110"/>
        <v>31</v>
      </c>
      <c r="C703" s="83">
        <f>194.205</f>
        <v>194.20500000000001</v>
      </c>
      <c r="D703" s="83">
        <f>267.466</f>
        <v>267.46600000000001</v>
      </c>
      <c r="E703" s="92">
        <f>133.845</f>
        <v>133.845</v>
      </c>
      <c r="F703" s="83">
        <f>278.484-40-25-60-100</f>
        <v>53.48399999999998</v>
      </c>
      <c r="G703" s="86">
        <v>40</v>
      </c>
      <c r="H703" s="83">
        <f t="shared" si="114"/>
        <v>185</v>
      </c>
      <c r="I703" s="83">
        <f t="shared" si="113"/>
        <v>0</v>
      </c>
      <c r="J703" s="86">
        <v>100</v>
      </c>
      <c r="K703" s="86">
        <v>300</v>
      </c>
      <c r="L703" s="83">
        <f t="shared" si="105"/>
        <v>1274</v>
      </c>
      <c r="M703" s="94">
        <v>600</v>
      </c>
      <c r="N703" s="83">
        <f>30</f>
        <v>30</v>
      </c>
      <c r="O703" s="86">
        <v>240</v>
      </c>
      <c r="P703" s="86">
        <v>40</v>
      </c>
      <c r="Q703" s="86">
        <f t="shared" si="106"/>
        <v>315</v>
      </c>
      <c r="R703" s="86">
        <f t="shared" si="107"/>
        <v>100</v>
      </c>
      <c r="S703" s="83">
        <f t="shared" si="108"/>
        <v>695</v>
      </c>
      <c r="T703" s="83">
        <f>0</f>
        <v>0</v>
      </c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</row>
    <row r="704" spans="1:30" ht="15.75" x14ac:dyDescent="0.25">
      <c r="A704" s="32">
        <v>62366</v>
      </c>
      <c r="B704" s="95">
        <f t="shared" si="110"/>
        <v>30</v>
      </c>
      <c r="C704" s="83">
        <f>194.205</f>
        <v>194.20500000000001</v>
      </c>
      <c r="D704" s="83">
        <f>267.466</f>
        <v>267.46600000000001</v>
      </c>
      <c r="E704" s="92">
        <f>133.845</f>
        <v>133.845</v>
      </c>
      <c r="F704" s="83">
        <f>278.484-40-25-60-100</f>
        <v>53.48399999999998</v>
      </c>
      <c r="G704" s="86">
        <v>40</v>
      </c>
      <c r="H704" s="83">
        <f t="shared" si="114"/>
        <v>185</v>
      </c>
      <c r="I704" s="83">
        <f t="shared" si="113"/>
        <v>0</v>
      </c>
      <c r="J704" s="86">
        <v>100</v>
      </c>
      <c r="K704" s="86">
        <v>300</v>
      </c>
      <c r="L704" s="83">
        <f t="shared" si="105"/>
        <v>1274</v>
      </c>
      <c r="M704" s="94">
        <v>600</v>
      </c>
      <c r="N704" s="83">
        <f>30</f>
        <v>30</v>
      </c>
      <c r="O704" s="86">
        <v>240</v>
      </c>
      <c r="P704" s="86">
        <v>40</v>
      </c>
      <c r="Q704" s="86">
        <f t="shared" si="106"/>
        <v>315</v>
      </c>
      <c r="R704" s="86">
        <f t="shared" si="107"/>
        <v>100</v>
      </c>
      <c r="S704" s="83">
        <f t="shared" si="108"/>
        <v>695</v>
      </c>
      <c r="T704" s="83">
        <f>0</f>
        <v>0</v>
      </c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</row>
    <row r="705" spans="1:30" ht="15.75" x14ac:dyDescent="0.25">
      <c r="A705" s="32">
        <v>62397</v>
      </c>
      <c r="B705" s="95">
        <f t="shared" si="110"/>
        <v>31</v>
      </c>
      <c r="C705" s="83">
        <f>131.881</f>
        <v>131.881</v>
      </c>
      <c r="D705" s="83">
        <f>277.167</f>
        <v>277.16699999999997</v>
      </c>
      <c r="E705" s="92">
        <f>79.08</f>
        <v>79.08</v>
      </c>
      <c r="F705" s="83">
        <f>350.872-40-25-60-100</f>
        <v>125.87200000000001</v>
      </c>
      <c r="G705" s="86">
        <v>40</v>
      </c>
      <c r="H705" s="83">
        <f t="shared" si="114"/>
        <v>185</v>
      </c>
      <c r="I705" s="83">
        <f t="shared" si="113"/>
        <v>0</v>
      </c>
      <c r="J705" s="86">
        <v>100</v>
      </c>
      <c r="K705" s="86">
        <v>300</v>
      </c>
      <c r="L705" s="83">
        <f t="shared" si="105"/>
        <v>1239</v>
      </c>
      <c r="M705" s="94">
        <v>600</v>
      </c>
      <c r="N705" s="83">
        <f>75</f>
        <v>75</v>
      </c>
      <c r="O705" s="86">
        <v>240</v>
      </c>
      <c r="P705" s="86">
        <v>40</v>
      </c>
      <c r="Q705" s="86">
        <f t="shared" si="106"/>
        <v>315</v>
      </c>
      <c r="R705" s="86">
        <f t="shared" si="107"/>
        <v>100</v>
      </c>
      <c r="S705" s="83">
        <f t="shared" si="108"/>
        <v>695</v>
      </c>
      <c r="T705" s="83">
        <f>0</f>
        <v>0</v>
      </c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</row>
    <row r="706" spans="1:30" ht="15.75" x14ac:dyDescent="0.25">
      <c r="A706" s="32">
        <v>62427</v>
      </c>
      <c r="B706" s="95">
        <f t="shared" si="110"/>
        <v>30</v>
      </c>
      <c r="C706" s="83">
        <f>122.58</f>
        <v>122.58</v>
      </c>
      <c r="D706" s="83">
        <f>297.941</f>
        <v>297.94099999999997</v>
      </c>
      <c r="E706" s="92">
        <f>89.177</f>
        <v>89.177000000000007</v>
      </c>
      <c r="F706" s="83">
        <f>240.302-40-60-100</f>
        <v>40.301999999999992</v>
      </c>
      <c r="G706" s="86">
        <v>40</v>
      </c>
      <c r="H706" s="83">
        <f>60+100</f>
        <v>160</v>
      </c>
      <c r="I706" s="83">
        <f t="shared" si="113"/>
        <v>0</v>
      </c>
      <c r="J706" s="86">
        <v>100</v>
      </c>
      <c r="K706" s="86">
        <v>300</v>
      </c>
      <c r="L706" s="83">
        <f t="shared" si="105"/>
        <v>1150</v>
      </c>
      <c r="M706" s="94">
        <v>600</v>
      </c>
      <c r="N706" s="83">
        <f>100</f>
        <v>100</v>
      </c>
      <c r="O706" s="86">
        <v>240</v>
      </c>
      <c r="P706" s="86">
        <v>40</v>
      </c>
      <c r="Q706" s="86">
        <f t="shared" si="106"/>
        <v>315</v>
      </c>
      <c r="R706" s="86">
        <f t="shared" si="107"/>
        <v>100</v>
      </c>
      <c r="S706" s="83">
        <f t="shared" si="108"/>
        <v>695</v>
      </c>
      <c r="T706" s="83">
        <f>50</f>
        <v>50</v>
      </c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</row>
    <row r="707" spans="1:30" ht="15.75" x14ac:dyDescent="0.25">
      <c r="A707" s="32">
        <v>62458</v>
      </c>
      <c r="B707" s="95">
        <f t="shared" si="110"/>
        <v>31</v>
      </c>
      <c r="C707" s="83">
        <f>122.58</f>
        <v>122.58</v>
      </c>
      <c r="D707" s="83">
        <f>297.941</f>
        <v>297.94099999999997</v>
      </c>
      <c r="E707" s="92">
        <f>89.177</f>
        <v>89.177000000000007</v>
      </c>
      <c r="F707" s="83">
        <f>240.302-40-60-100</f>
        <v>40.301999999999992</v>
      </c>
      <c r="G707" s="86">
        <v>40</v>
      </c>
      <c r="H707" s="83">
        <f>60+100</f>
        <v>160</v>
      </c>
      <c r="I707" s="83">
        <f t="shared" si="113"/>
        <v>0</v>
      </c>
      <c r="J707" s="86">
        <v>100</v>
      </c>
      <c r="K707" s="86">
        <v>300</v>
      </c>
      <c r="L707" s="83">
        <f t="shared" si="105"/>
        <v>1150</v>
      </c>
      <c r="M707" s="94">
        <v>600</v>
      </c>
      <c r="N707" s="83">
        <f>100</f>
        <v>100</v>
      </c>
      <c r="O707" s="86">
        <v>240</v>
      </c>
      <c r="P707" s="86">
        <v>40</v>
      </c>
      <c r="Q707" s="86">
        <f t="shared" si="106"/>
        <v>315</v>
      </c>
      <c r="R707" s="86">
        <f t="shared" si="107"/>
        <v>100</v>
      </c>
      <c r="S707" s="83">
        <f t="shared" si="108"/>
        <v>695</v>
      </c>
      <c r="T707" s="83">
        <f>50</f>
        <v>50</v>
      </c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</row>
    <row r="708" spans="1:30" ht="15.75" x14ac:dyDescent="0.25">
      <c r="A708" s="32">
        <v>62489</v>
      </c>
      <c r="B708" s="95">
        <f t="shared" si="110"/>
        <v>31</v>
      </c>
      <c r="C708" s="83">
        <f>122.58</f>
        <v>122.58</v>
      </c>
      <c r="D708" s="83">
        <f>297.941</f>
        <v>297.94099999999997</v>
      </c>
      <c r="E708" s="92">
        <f>89.177</f>
        <v>89.177000000000007</v>
      </c>
      <c r="F708" s="83">
        <f>240.302-40-60-100</f>
        <v>40.301999999999992</v>
      </c>
      <c r="G708" s="86">
        <v>40</v>
      </c>
      <c r="H708" s="83">
        <f>60+100</f>
        <v>160</v>
      </c>
      <c r="I708" s="83">
        <f t="shared" si="113"/>
        <v>0</v>
      </c>
      <c r="J708" s="86">
        <v>100</v>
      </c>
      <c r="K708" s="86">
        <v>300</v>
      </c>
      <c r="L708" s="83">
        <f t="shared" si="105"/>
        <v>1150</v>
      </c>
      <c r="M708" s="94">
        <v>600</v>
      </c>
      <c r="N708" s="83">
        <f>100</f>
        <v>100</v>
      </c>
      <c r="O708" s="86">
        <v>240</v>
      </c>
      <c r="P708" s="86">
        <v>40</v>
      </c>
      <c r="Q708" s="86">
        <f t="shared" si="106"/>
        <v>315</v>
      </c>
      <c r="R708" s="86">
        <f t="shared" si="107"/>
        <v>100</v>
      </c>
      <c r="S708" s="83">
        <f t="shared" si="108"/>
        <v>695</v>
      </c>
      <c r="T708" s="83">
        <f>50</f>
        <v>50</v>
      </c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</row>
    <row r="709" spans="1:30" ht="15.75" x14ac:dyDescent="0.25">
      <c r="A709" s="32">
        <v>62517</v>
      </c>
      <c r="B709" s="95">
        <f t="shared" si="110"/>
        <v>28</v>
      </c>
      <c r="C709" s="83">
        <f>122.58</f>
        <v>122.58</v>
      </c>
      <c r="D709" s="83">
        <f>297.941</f>
        <v>297.94099999999997</v>
      </c>
      <c r="E709" s="92">
        <f>89.177</f>
        <v>89.177000000000007</v>
      </c>
      <c r="F709" s="83">
        <f>240.302-40-60-100</f>
        <v>40.301999999999992</v>
      </c>
      <c r="G709" s="86">
        <v>40</v>
      </c>
      <c r="H709" s="83">
        <f>60+100</f>
        <v>160</v>
      </c>
      <c r="I709" s="83">
        <f t="shared" si="113"/>
        <v>0</v>
      </c>
      <c r="J709" s="86">
        <v>100</v>
      </c>
      <c r="K709" s="86">
        <v>300</v>
      </c>
      <c r="L709" s="83">
        <f t="shared" si="105"/>
        <v>1150</v>
      </c>
      <c r="M709" s="94">
        <v>600</v>
      </c>
      <c r="N709" s="83">
        <f>100</f>
        <v>100</v>
      </c>
      <c r="O709" s="86">
        <v>240</v>
      </c>
      <c r="P709" s="86">
        <v>40</v>
      </c>
      <c r="Q709" s="86">
        <f t="shared" si="106"/>
        <v>315</v>
      </c>
      <c r="R709" s="86">
        <f t="shared" si="107"/>
        <v>100</v>
      </c>
      <c r="S709" s="83">
        <f t="shared" si="108"/>
        <v>695</v>
      </c>
      <c r="T709" s="83">
        <f>50</f>
        <v>50</v>
      </c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</row>
    <row r="710" spans="1:30" ht="15.75" x14ac:dyDescent="0.25">
      <c r="A710" s="32">
        <v>62548</v>
      </c>
      <c r="B710" s="95">
        <f t="shared" si="110"/>
        <v>31</v>
      </c>
      <c r="C710" s="83">
        <f>122.58</f>
        <v>122.58</v>
      </c>
      <c r="D710" s="83">
        <f>297.941</f>
        <v>297.94099999999997</v>
      </c>
      <c r="E710" s="92">
        <f>89.177</f>
        <v>89.177000000000007</v>
      </c>
      <c r="F710" s="83">
        <f>240.302-40-60-100</f>
        <v>40.301999999999992</v>
      </c>
      <c r="G710" s="86">
        <v>40</v>
      </c>
      <c r="H710" s="83">
        <f>60+100</f>
        <v>160</v>
      </c>
      <c r="I710" s="83">
        <f t="shared" si="113"/>
        <v>0</v>
      </c>
      <c r="J710" s="86">
        <v>100</v>
      </c>
      <c r="K710" s="86">
        <v>300</v>
      </c>
      <c r="L710" s="83">
        <f t="shared" si="105"/>
        <v>1150</v>
      </c>
      <c r="M710" s="94">
        <v>600</v>
      </c>
      <c r="N710" s="83">
        <f>100</f>
        <v>100</v>
      </c>
      <c r="O710" s="86">
        <v>240</v>
      </c>
      <c r="P710" s="86">
        <v>40</v>
      </c>
      <c r="Q710" s="86">
        <f t="shared" si="106"/>
        <v>315</v>
      </c>
      <c r="R710" s="86">
        <f t="shared" si="107"/>
        <v>100</v>
      </c>
      <c r="S710" s="83">
        <f t="shared" si="108"/>
        <v>695</v>
      </c>
      <c r="T710" s="83">
        <f>50</f>
        <v>50</v>
      </c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</row>
    <row r="711" spans="1:30" ht="15.75" x14ac:dyDescent="0.25">
      <c r="A711" s="32">
        <v>62578</v>
      </c>
      <c r="B711" s="95">
        <f t="shared" si="110"/>
        <v>30</v>
      </c>
      <c r="C711" s="83">
        <f>141.293</f>
        <v>141.29300000000001</v>
      </c>
      <c r="D711" s="83">
        <f>267.993</f>
        <v>267.99299999999999</v>
      </c>
      <c r="E711" s="92">
        <f>115.016</f>
        <v>115.01600000000001</v>
      </c>
      <c r="F711" s="83">
        <f>314.698-40-25-60-100</f>
        <v>89.697999999999979</v>
      </c>
      <c r="G711" s="86">
        <v>40</v>
      </c>
      <c r="H711" s="83">
        <f t="shared" ref="H711:H717" si="115">25+60+100</f>
        <v>185</v>
      </c>
      <c r="I711" s="83">
        <f t="shared" si="113"/>
        <v>0</v>
      </c>
      <c r="J711" s="86">
        <v>100</v>
      </c>
      <c r="K711" s="86">
        <v>300</v>
      </c>
      <c r="L711" s="83">
        <f t="shared" si="105"/>
        <v>1239</v>
      </c>
      <c r="M711" s="94">
        <v>600</v>
      </c>
      <c r="N711" s="83">
        <f>100</f>
        <v>100</v>
      </c>
      <c r="O711" s="86">
        <v>240</v>
      </c>
      <c r="P711" s="86">
        <v>40</v>
      </c>
      <c r="Q711" s="86">
        <f t="shared" si="106"/>
        <v>315</v>
      </c>
      <c r="R711" s="86">
        <f t="shared" si="107"/>
        <v>100</v>
      </c>
      <c r="S711" s="83">
        <f t="shared" si="108"/>
        <v>695</v>
      </c>
      <c r="T711" s="83">
        <f>50</f>
        <v>50</v>
      </c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</row>
    <row r="712" spans="1:30" ht="15.75" x14ac:dyDescent="0.25">
      <c r="A712" s="32">
        <v>62609</v>
      </c>
      <c r="B712" s="95">
        <f t="shared" si="110"/>
        <v>31</v>
      </c>
      <c r="C712" s="83">
        <f>194.205</f>
        <v>194.20500000000001</v>
      </c>
      <c r="D712" s="83">
        <f>267.466</f>
        <v>267.46600000000001</v>
      </c>
      <c r="E712" s="92">
        <f>133.845</f>
        <v>133.845</v>
      </c>
      <c r="F712" s="83">
        <f>278.484-40-25-60-100</f>
        <v>53.48399999999998</v>
      </c>
      <c r="G712" s="86">
        <v>40</v>
      </c>
      <c r="H712" s="83">
        <f t="shared" si="115"/>
        <v>185</v>
      </c>
      <c r="I712" s="83">
        <f t="shared" si="113"/>
        <v>0</v>
      </c>
      <c r="J712" s="86">
        <v>100</v>
      </c>
      <c r="K712" s="86">
        <v>300</v>
      </c>
      <c r="L712" s="83">
        <f t="shared" si="105"/>
        <v>1274</v>
      </c>
      <c r="M712" s="94">
        <v>600</v>
      </c>
      <c r="N712" s="83">
        <f>75</f>
        <v>75</v>
      </c>
      <c r="O712" s="86">
        <v>240</v>
      </c>
      <c r="P712" s="86">
        <v>40</v>
      </c>
      <c r="Q712" s="86">
        <f t="shared" si="106"/>
        <v>315</v>
      </c>
      <c r="R712" s="86">
        <f t="shared" si="107"/>
        <v>100</v>
      </c>
      <c r="S712" s="83">
        <f t="shared" si="108"/>
        <v>695</v>
      </c>
      <c r="T712" s="83">
        <f>50</f>
        <v>50</v>
      </c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</row>
    <row r="713" spans="1:30" ht="15.75" x14ac:dyDescent="0.25">
      <c r="A713" s="32">
        <v>62639</v>
      </c>
      <c r="B713" s="95">
        <f t="shared" si="110"/>
        <v>30</v>
      </c>
      <c r="C713" s="83">
        <f>194.205</f>
        <v>194.20500000000001</v>
      </c>
      <c r="D713" s="83">
        <f>267.466</f>
        <v>267.46600000000001</v>
      </c>
      <c r="E713" s="92">
        <f>133.845</f>
        <v>133.845</v>
      </c>
      <c r="F713" s="83">
        <f>278.484-40-25-60-100</f>
        <v>53.48399999999998</v>
      </c>
      <c r="G713" s="86">
        <v>40</v>
      </c>
      <c r="H713" s="83">
        <f t="shared" si="115"/>
        <v>185</v>
      </c>
      <c r="I713" s="83">
        <f t="shared" si="113"/>
        <v>0</v>
      </c>
      <c r="J713" s="86">
        <v>100</v>
      </c>
      <c r="K713" s="86">
        <v>300</v>
      </c>
      <c r="L713" s="83">
        <f t="shared" si="105"/>
        <v>1274</v>
      </c>
      <c r="M713" s="94">
        <v>600</v>
      </c>
      <c r="N713" s="83">
        <f>30</f>
        <v>30</v>
      </c>
      <c r="O713" s="86">
        <v>240</v>
      </c>
      <c r="P713" s="86">
        <v>40</v>
      </c>
      <c r="Q713" s="86">
        <f t="shared" si="106"/>
        <v>315</v>
      </c>
      <c r="R713" s="86">
        <f t="shared" si="107"/>
        <v>100</v>
      </c>
      <c r="S713" s="83">
        <f t="shared" si="108"/>
        <v>695</v>
      </c>
      <c r="T713" s="83">
        <f>50</f>
        <v>50</v>
      </c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</row>
    <row r="714" spans="1:30" ht="15.75" x14ac:dyDescent="0.25">
      <c r="A714" s="32">
        <v>62670</v>
      </c>
      <c r="B714" s="95">
        <f t="shared" si="110"/>
        <v>31</v>
      </c>
      <c r="C714" s="83">
        <f>194.205</f>
        <v>194.20500000000001</v>
      </c>
      <c r="D714" s="83">
        <f>267.466</f>
        <v>267.46600000000001</v>
      </c>
      <c r="E714" s="92">
        <f>133.845</f>
        <v>133.845</v>
      </c>
      <c r="F714" s="83">
        <f>278.484-40-25-60-100</f>
        <v>53.48399999999998</v>
      </c>
      <c r="G714" s="86">
        <v>40</v>
      </c>
      <c r="H714" s="83">
        <f t="shared" si="115"/>
        <v>185</v>
      </c>
      <c r="I714" s="83">
        <f t="shared" si="113"/>
        <v>0</v>
      </c>
      <c r="J714" s="86">
        <v>100</v>
      </c>
      <c r="K714" s="86">
        <v>300</v>
      </c>
      <c r="L714" s="83">
        <f t="shared" si="105"/>
        <v>1274</v>
      </c>
      <c r="M714" s="94">
        <v>600</v>
      </c>
      <c r="N714" s="83">
        <f>30</f>
        <v>30</v>
      </c>
      <c r="O714" s="86">
        <v>240</v>
      </c>
      <c r="P714" s="86">
        <v>40</v>
      </c>
      <c r="Q714" s="86">
        <f t="shared" si="106"/>
        <v>315</v>
      </c>
      <c r="R714" s="86">
        <f t="shared" si="107"/>
        <v>100</v>
      </c>
      <c r="S714" s="83">
        <f t="shared" si="108"/>
        <v>695</v>
      </c>
      <c r="T714" s="83">
        <f>0</f>
        <v>0</v>
      </c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</row>
    <row r="715" spans="1:30" ht="15.75" x14ac:dyDescent="0.25">
      <c r="A715" s="32">
        <v>62701</v>
      </c>
      <c r="B715" s="95">
        <f t="shared" si="110"/>
        <v>31</v>
      </c>
      <c r="C715" s="83">
        <f>194.205</f>
        <v>194.20500000000001</v>
      </c>
      <c r="D715" s="83">
        <f>267.466</f>
        <v>267.46600000000001</v>
      </c>
      <c r="E715" s="92">
        <f>133.845</f>
        <v>133.845</v>
      </c>
      <c r="F715" s="83">
        <f>278.484-40-25-60-100</f>
        <v>53.48399999999998</v>
      </c>
      <c r="G715" s="86">
        <v>40</v>
      </c>
      <c r="H715" s="83">
        <f t="shared" si="115"/>
        <v>185</v>
      </c>
      <c r="I715" s="83">
        <f t="shared" si="113"/>
        <v>0</v>
      </c>
      <c r="J715" s="86">
        <v>100</v>
      </c>
      <c r="K715" s="86">
        <v>300</v>
      </c>
      <c r="L715" s="83">
        <f t="shared" si="105"/>
        <v>1274</v>
      </c>
      <c r="M715" s="94">
        <v>600</v>
      </c>
      <c r="N715" s="83">
        <f>30</f>
        <v>30</v>
      </c>
      <c r="O715" s="86">
        <v>240</v>
      </c>
      <c r="P715" s="86">
        <v>40</v>
      </c>
      <c r="Q715" s="86">
        <f t="shared" si="106"/>
        <v>315</v>
      </c>
      <c r="R715" s="86">
        <f t="shared" si="107"/>
        <v>100</v>
      </c>
      <c r="S715" s="83">
        <f t="shared" si="108"/>
        <v>695</v>
      </c>
      <c r="T715" s="83">
        <f>0</f>
        <v>0</v>
      </c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</row>
    <row r="716" spans="1:30" ht="15.75" x14ac:dyDescent="0.25">
      <c r="A716" s="32">
        <v>62731</v>
      </c>
      <c r="B716" s="95">
        <f t="shared" si="110"/>
        <v>30</v>
      </c>
      <c r="C716" s="83">
        <f>194.205</f>
        <v>194.20500000000001</v>
      </c>
      <c r="D716" s="83">
        <f>267.466</f>
        <v>267.46600000000001</v>
      </c>
      <c r="E716" s="92">
        <f>133.845</f>
        <v>133.845</v>
      </c>
      <c r="F716" s="83">
        <f>278.484-40-25-60-100</f>
        <v>53.48399999999998</v>
      </c>
      <c r="G716" s="86">
        <v>40</v>
      </c>
      <c r="H716" s="83">
        <f t="shared" si="115"/>
        <v>185</v>
      </c>
      <c r="I716" s="83">
        <f t="shared" si="113"/>
        <v>0</v>
      </c>
      <c r="J716" s="86">
        <v>100</v>
      </c>
      <c r="K716" s="86">
        <v>300</v>
      </c>
      <c r="L716" s="83">
        <f t="shared" si="105"/>
        <v>1274</v>
      </c>
      <c r="M716" s="94">
        <v>600</v>
      </c>
      <c r="N716" s="83">
        <f>30</f>
        <v>30</v>
      </c>
      <c r="O716" s="86">
        <v>240</v>
      </c>
      <c r="P716" s="86">
        <v>40</v>
      </c>
      <c r="Q716" s="86">
        <f t="shared" si="106"/>
        <v>315</v>
      </c>
      <c r="R716" s="86">
        <f t="shared" si="107"/>
        <v>100</v>
      </c>
      <c r="S716" s="83">
        <f t="shared" si="108"/>
        <v>695</v>
      </c>
      <c r="T716" s="83">
        <f>0</f>
        <v>0</v>
      </c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</row>
    <row r="717" spans="1:30" ht="15.75" x14ac:dyDescent="0.25">
      <c r="A717" s="32">
        <v>62762</v>
      </c>
      <c r="B717" s="95">
        <f t="shared" si="110"/>
        <v>31</v>
      </c>
      <c r="C717" s="83">
        <f>131.881</f>
        <v>131.881</v>
      </c>
      <c r="D717" s="83">
        <f>277.167</f>
        <v>277.16699999999997</v>
      </c>
      <c r="E717" s="92">
        <f>79.08</f>
        <v>79.08</v>
      </c>
      <c r="F717" s="83">
        <f>350.872-40-25-60-100</f>
        <v>125.87200000000001</v>
      </c>
      <c r="G717" s="86">
        <v>40</v>
      </c>
      <c r="H717" s="83">
        <f t="shared" si="115"/>
        <v>185</v>
      </c>
      <c r="I717" s="83">
        <f t="shared" si="113"/>
        <v>0</v>
      </c>
      <c r="J717" s="86">
        <v>100</v>
      </c>
      <c r="K717" s="86">
        <v>300</v>
      </c>
      <c r="L717" s="83">
        <f t="shared" si="105"/>
        <v>1239</v>
      </c>
      <c r="M717" s="94">
        <v>600</v>
      </c>
      <c r="N717" s="83">
        <f>75</f>
        <v>75</v>
      </c>
      <c r="O717" s="86">
        <v>240</v>
      </c>
      <c r="P717" s="86">
        <v>40</v>
      </c>
      <c r="Q717" s="86">
        <f t="shared" si="106"/>
        <v>315</v>
      </c>
      <c r="R717" s="86">
        <f t="shared" si="107"/>
        <v>100</v>
      </c>
      <c r="S717" s="83">
        <f t="shared" si="108"/>
        <v>695</v>
      </c>
      <c r="T717" s="83">
        <f>0</f>
        <v>0</v>
      </c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</row>
    <row r="718" spans="1:30" ht="15.75" x14ac:dyDescent="0.25">
      <c r="A718" s="32">
        <v>62792</v>
      </c>
      <c r="B718" s="95">
        <f t="shared" si="110"/>
        <v>30</v>
      </c>
      <c r="C718" s="83">
        <f>122.58</f>
        <v>122.58</v>
      </c>
      <c r="D718" s="83">
        <f>297.941</f>
        <v>297.94099999999997</v>
      </c>
      <c r="E718" s="92">
        <f>89.177</f>
        <v>89.177000000000007</v>
      </c>
      <c r="F718" s="83">
        <f>240.302-40-60-100</f>
        <v>40.301999999999992</v>
      </c>
      <c r="G718" s="86">
        <v>40</v>
      </c>
      <c r="H718" s="83">
        <f>60+100</f>
        <v>160</v>
      </c>
      <c r="I718" s="83">
        <f t="shared" si="113"/>
        <v>0</v>
      </c>
      <c r="J718" s="86">
        <v>100</v>
      </c>
      <c r="K718" s="86">
        <v>300</v>
      </c>
      <c r="L718" s="83">
        <f t="shared" si="105"/>
        <v>1150</v>
      </c>
      <c r="M718" s="94">
        <v>600</v>
      </c>
      <c r="N718" s="83">
        <f>100</f>
        <v>100</v>
      </c>
      <c r="O718" s="86">
        <v>240</v>
      </c>
      <c r="P718" s="86">
        <v>40</v>
      </c>
      <c r="Q718" s="86">
        <f t="shared" si="106"/>
        <v>315</v>
      </c>
      <c r="R718" s="86">
        <f t="shared" si="107"/>
        <v>100</v>
      </c>
      <c r="S718" s="83">
        <f t="shared" si="108"/>
        <v>695</v>
      </c>
      <c r="T718" s="83">
        <f>50</f>
        <v>50</v>
      </c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</row>
    <row r="719" spans="1:30" ht="15.75" x14ac:dyDescent="0.25">
      <c r="A719" s="32">
        <v>62823</v>
      </c>
      <c r="B719" s="95">
        <f t="shared" si="110"/>
        <v>31</v>
      </c>
      <c r="C719" s="83">
        <f>122.58</f>
        <v>122.58</v>
      </c>
      <c r="D719" s="83">
        <f>297.941</f>
        <v>297.94099999999997</v>
      </c>
      <c r="E719" s="92">
        <f>89.177</f>
        <v>89.177000000000007</v>
      </c>
      <c r="F719" s="83">
        <f>240.302-40-60-100</f>
        <v>40.301999999999992</v>
      </c>
      <c r="G719" s="86">
        <v>40</v>
      </c>
      <c r="H719" s="83">
        <f>60+100</f>
        <v>160</v>
      </c>
      <c r="I719" s="83">
        <f t="shared" si="113"/>
        <v>0</v>
      </c>
      <c r="J719" s="86">
        <v>100</v>
      </c>
      <c r="K719" s="86">
        <v>300</v>
      </c>
      <c r="L719" s="83">
        <f t="shared" si="105"/>
        <v>1150</v>
      </c>
      <c r="M719" s="94">
        <v>600</v>
      </c>
      <c r="N719" s="83">
        <f>100</f>
        <v>100</v>
      </c>
      <c r="O719" s="86">
        <v>240</v>
      </c>
      <c r="P719" s="86">
        <v>40</v>
      </c>
      <c r="Q719" s="86">
        <f t="shared" si="106"/>
        <v>315</v>
      </c>
      <c r="R719" s="86">
        <f t="shared" si="107"/>
        <v>100</v>
      </c>
      <c r="S719" s="83">
        <f t="shared" si="108"/>
        <v>695</v>
      </c>
      <c r="T719" s="83">
        <f>50</f>
        <v>50</v>
      </c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</row>
    <row r="720" spans="1:30" ht="15.75" x14ac:dyDescent="0.25">
      <c r="A720" s="32">
        <v>62854</v>
      </c>
      <c r="B720" s="95">
        <f t="shared" si="110"/>
        <v>31</v>
      </c>
      <c r="C720" s="83">
        <f>122.58</f>
        <v>122.58</v>
      </c>
      <c r="D720" s="83">
        <f>297.941</f>
        <v>297.94099999999997</v>
      </c>
      <c r="E720" s="92">
        <f>89.177</f>
        <v>89.177000000000007</v>
      </c>
      <c r="F720" s="83">
        <f>240.302-40-60-100</f>
        <v>40.301999999999992</v>
      </c>
      <c r="G720" s="86">
        <v>40</v>
      </c>
      <c r="H720" s="83">
        <f>60+100</f>
        <v>160</v>
      </c>
      <c r="I720" s="83">
        <f t="shared" si="113"/>
        <v>0</v>
      </c>
      <c r="J720" s="86">
        <v>100</v>
      </c>
      <c r="K720" s="86">
        <v>300</v>
      </c>
      <c r="L720" s="83">
        <f t="shared" si="105"/>
        <v>1150</v>
      </c>
      <c r="M720" s="94">
        <v>600</v>
      </c>
      <c r="N720" s="83">
        <f>100</f>
        <v>100</v>
      </c>
      <c r="O720" s="86">
        <v>240</v>
      </c>
      <c r="P720" s="86">
        <v>40</v>
      </c>
      <c r="Q720" s="86">
        <f t="shared" si="106"/>
        <v>315</v>
      </c>
      <c r="R720" s="86">
        <f t="shared" si="107"/>
        <v>100</v>
      </c>
      <c r="S720" s="83">
        <f t="shared" si="108"/>
        <v>695</v>
      </c>
      <c r="T720" s="83">
        <f>50</f>
        <v>50</v>
      </c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</row>
    <row r="721" spans="1:30" ht="15.75" x14ac:dyDescent="0.25">
      <c r="A721" s="32">
        <v>62883</v>
      </c>
      <c r="B721" s="95">
        <f t="shared" si="110"/>
        <v>29</v>
      </c>
      <c r="C721" s="83">
        <f>122.58</f>
        <v>122.58</v>
      </c>
      <c r="D721" s="83">
        <f>297.941</f>
        <v>297.94099999999997</v>
      </c>
      <c r="E721" s="92">
        <f>89.177</f>
        <v>89.177000000000007</v>
      </c>
      <c r="F721" s="83">
        <f>240.302-40-60-100</f>
        <v>40.301999999999992</v>
      </c>
      <c r="G721" s="86">
        <v>40</v>
      </c>
      <c r="H721" s="83">
        <f>60+100</f>
        <v>160</v>
      </c>
      <c r="I721" s="83">
        <f t="shared" si="113"/>
        <v>0</v>
      </c>
      <c r="J721" s="86">
        <v>100</v>
      </c>
      <c r="K721" s="86">
        <v>300</v>
      </c>
      <c r="L721" s="83">
        <f t="shared" si="105"/>
        <v>1150</v>
      </c>
      <c r="M721" s="94">
        <v>600</v>
      </c>
      <c r="N721" s="83">
        <f>100</f>
        <v>100</v>
      </c>
      <c r="O721" s="86">
        <v>240</v>
      </c>
      <c r="P721" s="86">
        <v>40</v>
      </c>
      <c r="Q721" s="86">
        <f t="shared" si="106"/>
        <v>315</v>
      </c>
      <c r="R721" s="86">
        <f t="shared" si="107"/>
        <v>100</v>
      </c>
      <c r="S721" s="83">
        <f t="shared" si="108"/>
        <v>695</v>
      </c>
      <c r="T721" s="83">
        <f>50</f>
        <v>50</v>
      </c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</row>
    <row r="722" spans="1:30" ht="15.75" x14ac:dyDescent="0.25">
      <c r="A722" s="32">
        <v>62914</v>
      </c>
      <c r="B722" s="95">
        <f t="shared" si="110"/>
        <v>31</v>
      </c>
      <c r="C722" s="83">
        <f>122.58</f>
        <v>122.58</v>
      </c>
      <c r="D722" s="83">
        <f>297.941</f>
        <v>297.94099999999997</v>
      </c>
      <c r="E722" s="92">
        <f>89.177</f>
        <v>89.177000000000007</v>
      </c>
      <c r="F722" s="83">
        <f>240.302-40-60-100</f>
        <v>40.301999999999992</v>
      </c>
      <c r="G722" s="86">
        <v>40</v>
      </c>
      <c r="H722" s="83">
        <f>60+100</f>
        <v>160</v>
      </c>
      <c r="I722" s="83">
        <f t="shared" si="113"/>
        <v>0</v>
      </c>
      <c r="J722" s="86">
        <v>100</v>
      </c>
      <c r="K722" s="86">
        <v>300</v>
      </c>
      <c r="L722" s="83">
        <f t="shared" si="105"/>
        <v>1150</v>
      </c>
      <c r="M722" s="94">
        <v>600</v>
      </c>
      <c r="N722" s="83">
        <f>100</f>
        <v>100</v>
      </c>
      <c r="O722" s="86">
        <v>240</v>
      </c>
      <c r="P722" s="86">
        <v>40</v>
      </c>
      <c r="Q722" s="86">
        <f t="shared" si="106"/>
        <v>315</v>
      </c>
      <c r="R722" s="86">
        <f t="shared" si="107"/>
        <v>100</v>
      </c>
      <c r="S722" s="83">
        <f t="shared" si="108"/>
        <v>695</v>
      </c>
      <c r="T722" s="83">
        <f>50</f>
        <v>50</v>
      </c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</row>
    <row r="723" spans="1:30" ht="15.75" x14ac:dyDescent="0.25">
      <c r="A723" s="32">
        <v>62944</v>
      </c>
      <c r="B723" s="95">
        <f t="shared" si="110"/>
        <v>30</v>
      </c>
      <c r="C723" s="83">
        <f>141.293</f>
        <v>141.29300000000001</v>
      </c>
      <c r="D723" s="83">
        <f>267.993</f>
        <v>267.99299999999999</v>
      </c>
      <c r="E723" s="92">
        <f>115.016</f>
        <v>115.01600000000001</v>
      </c>
      <c r="F723" s="83">
        <f>314.698-40-25-60-100</f>
        <v>89.697999999999979</v>
      </c>
      <c r="G723" s="86">
        <v>40</v>
      </c>
      <c r="H723" s="83">
        <f t="shared" ref="H723:H729" si="116">25+60+100</f>
        <v>185</v>
      </c>
      <c r="I723" s="83">
        <f t="shared" si="113"/>
        <v>0</v>
      </c>
      <c r="J723" s="86">
        <v>100</v>
      </c>
      <c r="K723" s="86">
        <v>300</v>
      </c>
      <c r="L723" s="83">
        <f t="shared" si="105"/>
        <v>1239</v>
      </c>
      <c r="M723" s="94">
        <v>600</v>
      </c>
      <c r="N723" s="83">
        <f>100</f>
        <v>100</v>
      </c>
      <c r="O723" s="86">
        <v>240</v>
      </c>
      <c r="P723" s="86">
        <v>40</v>
      </c>
      <c r="Q723" s="86">
        <f t="shared" si="106"/>
        <v>315</v>
      </c>
      <c r="R723" s="86">
        <f t="shared" si="107"/>
        <v>100</v>
      </c>
      <c r="S723" s="83">
        <f t="shared" si="108"/>
        <v>695</v>
      </c>
      <c r="T723" s="83">
        <f>50</f>
        <v>50</v>
      </c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</row>
    <row r="724" spans="1:30" ht="15.75" x14ac:dyDescent="0.25">
      <c r="A724" s="32">
        <v>62975</v>
      </c>
      <c r="B724" s="95">
        <f t="shared" si="110"/>
        <v>31</v>
      </c>
      <c r="C724" s="83">
        <f>194.205</f>
        <v>194.20500000000001</v>
      </c>
      <c r="D724" s="83">
        <f>267.466</f>
        <v>267.46600000000001</v>
      </c>
      <c r="E724" s="92">
        <f>133.845</f>
        <v>133.845</v>
      </c>
      <c r="F724" s="83">
        <f>278.484-40-25-60-100</f>
        <v>53.48399999999998</v>
      </c>
      <c r="G724" s="86">
        <v>40</v>
      </c>
      <c r="H724" s="83">
        <f t="shared" si="116"/>
        <v>185</v>
      </c>
      <c r="I724" s="83">
        <f t="shared" si="113"/>
        <v>0</v>
      </c>
      <c r="J724" s="86">
        <v>100</v>
      </c>
      <c r="K724" s="86">
        <v>300</v>
      </c>
      <c r="L724" s="83">
        <f t="shared" si="105"/>
        <v>1274</v>
      </c>
      <c r="M724" s="94">
        <v>600</v>
      </c>
      <c r="N724" s="83">
        <f>75</f>
        <v>75</v>
      </c>
      <c r="O724" s="86">
        <v>240</v>
      </c>
      <c r="P724" s="86">
        <v>40</v>
      </c>
      <c r="Q724" s="86">
        <f t="shared" si="106"/>
        <v>315</v>
      </c>
      <c r="R724" s="86">
        <f t="shared" si="107"/>
        <v>100</v>
      </c>
      <c r="S724" s="83">
        <f t="shared" si="108"/>
        <v>695</v>
      </c>
      <c r="T724" s="83">
        <f>50</f>
        <v>50</v>
      </c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</row>
    <row r="725" spans="1:30" ht="15.75" x14ac:dyDescent="0.25">
      <c r="A725" s="32">
        <v>63005</v>
      </c>
      <c r="B725" s="95">
        <f t="shared" si="110"/>
        <v>30</v>
      </c>
      <c r="C725" s="83">
        <f>194.205</f>
        <v>194.20500000000001</v>
      </c>
      <c r="D725" s="83">
        <f>267.466</f>
        <v>267.46600000000001</v>
      </c>
      <c r="E725" s="92">
        <f>133.845</f>
        <v>133.845</v>
      </c>
      <c r="F725" s="83">
        <f>278.484-40-25-60-100</f>
        <v>53.48399999999998</v>
      </c>
      <c r="G725" s="86">
        <v>40</v>
      </c>
      <c r="H725" s="83">
        <f t="shared" si="116"/>
        <v>185</v>
      </c>
      <c r="I725" s="83">
        <f t="shared" si="113"/>
        <v>0</v>
      </c>
      <c r="J725" s="86">
        <v>100</v>
      </c>
      <c r="K725" s="86">
        <v>300</v>
      </c>
      <c r="L725" s="83">
        <f t="shared" si="105"/>
        <v>1274</v>
      </c>
      <c r="M725" s="94">
        <v>600</v>
      </c>
      <c r="N725" s="83">
        <f>30</f>
        <v>30</v>
      </c>
      <c r="O725" s="86">
        <v>240</v>
      </c>
      <c r="P725" s="86">
        <v>40</v>
      </c>
      <c r="Q725" s="86">
        <f t="shared" si="106"/>
        <v>315</v>
      </c>
      <c r="R725" s="86">
        <f t="shared" si="107"/>
        <v>100</v>
      </c>
      <c r="S725" s="83">
        <f t="shared" si="108"/>
        <v>695</v>
      </c>
      <c r="T725" s="83">
        <f>50</f>
        <v>50</v>
      </c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</row>
    <row r="726" spans="1:30" ht="15.75" x14ac:dyDescent="0.25">
      <c r="A726" s="32">
        <v>63036</v>
      </c>
      <c r="B726" s="95">
        <f t="shared" si="110"/>
        <v>31</v>
      </c>
      <c r="C726" s="83">
        <f>194.205</f>
        <v>194.20500000000001</v>
      </c>
      <c r="D726" s="83">
        <f>267.466</f>
        <v>267.46600000000001</v>
      </c>
      <c r="E726" s="92">
        <f>133.845</f>
        <v>133.845</v>
      </c>
      <c r="F726" s="83">
        <f>278.484-40-25-60-100</f>
        <v>53.48399999999998</v>
      </c>
      <c r="G726" s="86">
        <v>40</v>
      </c>
      <c r="H726" s="83">
        <f t="shared" si="116"/>
        <v>185</v>
      </c>
      <c r="I726" s="83">
        <f t="shared" si="113"/>
        <v>0</v>
      </c>
      <c r="J726" s="86">
        <v>100</v>
      </c>
      <c r="K726" s="86">
        <v>300</v>
      </c>
      <c r="L726" s="83">
        <f t="shared" ref="L726:L789" si="117">SUM(C726:K726)</f>
        <v>1274</v>
      </c>
      <c r="M726" s="94">
        <v>600</v>
      </c>
      <c r="N726" s="83">
        <f>30</f>
        <v>30</v>
      </c>
      <c r="O726" s="86">
        <v>240</v>
      </c>
      <c r="P726" s="86">
        <v>40</v>
      </c>
      <c r="Q726" s="86">
        <f t="shared" ref="Q726:Q789" si="118">695-R726-O726-P726</f>
        <v>315</v>
      </c>
      <c r="R726" s="86">
        <f t="shared" ref="R726:R789" si="119">200-J726</f>
        <v>100</v>
      </c>
      <c r="S726" s="83">
        <f t="shared" ref="S726:S789" si="120">SUM(O726:R726)</f>
        <v>695</v>
      </c>
      <c r="T726" s="83">
        <f>0</f>
        <v>0</v>
      </c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</row>
    <row r="727" spans="1:30" ht="15.75" x14ac:dyDescent="0.25">
      <c r="A727" s="32">
        <v>63067</v>
      </c>
      <c r="B727" s="95">
        <f t="shared" si="110"/>
        <v>31</v>
      </c>
      <c r="C727" s="83">
        <f>194.205</f>
        <v>194.20500000000001</v>
      </c>
      <c r="D727" s="83">
        <f>267.466</f>
        <v>267.46600000000001</v>
      </c>
      <c r="E727" s="92">
        <f>133.845</f>
        <v>133.845</v>
      </c>
      <c r="F727" s="83">
        <f>278.484-40-25-60-100</f>
        <v>53.48399999999998</v>
      </c>
      <c r="G727" s="86">
        <v>40</v>
      </c>
      <c r="H727" s="83">
        <f t="shared" si="116"/>
        <v>185</v>
      </c>
      <c r="I727" s="83">
        <f t="shared" si="113"/>
        <v>0</v>
      </c>
      <c r="J727" s="86">
        <v>100</v>
      </c>
      <c r="K727" s="86">
        <v>300</v>
      </c>
      <c r="L727" s="83">
        <f t="shared" si="117"/>
        <v>1274</v>
      </c>
      <c r="M727" s="94">
        <v>600</v>
      </c>
      <c r="N727" s="83">
        <f>30</f>
        <v>30</v>
      </c>
      <c r="O727" s="86">
        <v>240</v>
      </c>
      <c r="P727" s="86">
        <v>40</v>
      </c>
      <c r="Q727" s="86">
        <f t="shared" si="118"/>
        <v>315</v>
      </c>
      <c r="R727" s="86">
        <f t="shared" si="119"/>
        <v>100</v>
      </c>
      <c r="S727" s="83">
        <f t="shared" si="120"/>
        <v>695</v>
      </c>
      <c r="T727" s="83">
        <f>0</f>
        <v>0</v>
      </c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</row>
    <row r="728" spans="1:30" ht="15.75" x14ac:dyDescent="0.25">
      <c r="A728" s="32">
        <v>63097</v>
      </c>
      <c r="B728" s="95">
        <f t="shared" ref="B728:B791" si="121">EOMONTH(A728,0)-EOMONTH(A728,-1)</f>
        <v>30</v>
      </c>
      <c r="C728" s="83">
        <f>194.205</f>
        <v>194.20500000000001</v>
      </c>
      <c r="D728" s="83">
        <f>267.466</f>
        <v>267.46600000000001</v>
      </c>
      <c r="E728" s="92">
        <f>133.845</f>
        <v>133.845</v>
      </c>
      <c r="F728" s="83">
        <f>278.484-40-25-60-100</f>
        <v>53.48399999999998</v>
      </c>
      <c r="G728" s="86">
        <v>40</v>
      </c>
      <c r="H728" s="83">
        <f t="shared" si="116"/>
        <v>185</v>
      </c>
      <c r="I728" s="83">
        <f t="shared" si="113"/>
        <v>0</v>
      </c>
      <c r="J728" s="86">
        <v>100</v>
      </c>
      <c r="K728" s="86">
        <v>300</v>
      </c>
      <c r="L728" s="83">
        <f t="shared" si="117"/>
        <v>1274</v>
      </c>
      <c r="M728" s="94">
        <v>600</v>
      </c>
      <c r="N728" s="83">
        <f>30</f>
        <v>30</v>
      </c>
      <c r="O728" s="86">
        <v>240</v>
      </c>
      <c r="P728" s="86">
        <v>40</v>
      </c>
      <c r="Q728" s="86">
        <f t="shared" si="118"/>
        <v>315</v>
      </c>
      <c r="R728" s="86">
        <f t="shared" si="119"/>
        <v>100</v>
      </c>
      <c r="S728" s="83">
        <f t="shared" si="120"/>
        <v>695</v>
      </c>
      <c r="T728" s="83">
        <f>0</f>
        <v>0</v>
      </c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</row>
    <row r="729" spans="1:30" ht="15.75" x14ac:dyDescent="0.25">
      <c r="A729" s="32">
        <v>63128</v>
      </c>
      <c r="B729" s="95">
        <f t="shared" si="121"/>
        <v>31</v>
      </c>
      <c r="C729" s="83">
        <f>131.881</f>
        <v>131.881</v>
      </c>
      <c r="D729" s="83">
        <f>277.167</f>
        <v>277.16699999999997</v>
      </c>
      <c r="E729" s="92">
        <f>79.08</f>
        <v>79.08</v>
      </c>
      <c r="F729" s="83">
        <f>350.872-40-25-60-100</f>
        <v>125.87200000000001</v>
      </c>
      <c r="G729" s="86">
        <v>40</v>
      </c>
      <c r="H729" s="83">
        <f t="shared" si="116"/>
        <v>185</v>
      </c>
      <c r="I729" s="83">
        <f t="shared" si="113"/>
        <v>0</v>
      </c>
      <c r="J729" s="86">
        <v>100</v>
      </c>
      <c r="K729" s="86">
        <v>300</v>
      </c>
      <c r="L729" s="83">
        <f t="shared" si="117"/>
        <v>1239</v>
      </c>
      <c r="M729" s="94">
        <v>600</v>
      </c>
      <c r="N729" s="83">
        <f>75</f>
        <v>75</v>
      </c>
      <c r="O729" s="86">
        <v>240</v>
      </c>
      <c r="P729" s="86">
        <v>40</v>
      </c>
      <c r="Q729" s="86">
        <f t="shared" si="118"/>
        <v>315</v>
      </c>
      <c r="R729" s="86">
        <f t="shared" si="119"/>
        <v>100</v>
      </c>
      <c r="S729" s="83">
        <f t="shared" si="120"/>
        <v>695</v>
      </c>
      <c r="T729" s="83">
        <f>0</f>
        <v>0</v>
      </c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</row>
    <row r="730" spans="1:30" ht="15.75" x14ac:dyDescent="0.25">
      <c r="A730" s="32">
        <v>63158</v>
      </c>
      <c r="B730" s="95">
        <f t="shared" si="121"/>
        <v>30</v>
      </c>
      <c r="C730" s="83">
        <f>122.58</f>
        <v>122.58</v>
      </c>
      <c r="D730" s="83">
        <f>297.941</f>
        <v>297.94099999999997</v>
      </c>
      <c r="E730" s="92">
        <f>89.177</f>
        <v>89.177000000000007</v>
      </c>
      <c r="F730" s="83">
        <f>240.302-40-60-100</f>
        <v>40.301999999999992</v>
      </c>
      <c r="G730" s="86">
        <v>40</v>
      </c>
      <c r="H730" s="83">
        <f>60+100</f>
        <v>160</v>
      </c>
      <c r="I730" s="83">
        <f t="shared" si="113"/>
        <v>0</v>
      </c>
      <c r="J730" s="86">
        <v>100</v>
      </c>
      <c r="K730" s="86">
        <v>300</v>
      </c>
      <c r="L730" s="83">
        <f t="shared" si="117"/>
        <v>1150</v>
      </c>
      <c r="M730" s="94">
        <v>600</v>
      </c>
      <c r="N730" s="83">
        <f>100</f>
        <v>100</v>
      </c>
      <c r="O730" s="86">
        <v>240</v>
      </c>
      <c r="P730" s="86">
        <v>40</v>
      </c>
      <c r="Q730" s="86">
        <f t="shared" si="118"/>
        <v>315</v>
      </c>
      <c r="R730" s="86">
        <f t="shared" si="119"/>
        <v>100</v>
      </c>
      <c r="S730" s="83">
        <f t="shared" si="120"/>
        <v>695</v>
      </c>
      <c r="T730" s="83">
        <f>50</f>
        <v>50</v>
      </c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</row>
    <row r="731" spans="1:30" ht="15.75" x14ac:dyDescent="0.25">
      <c r="A731" s="32">
        <v>63189</v>
      </c>
      <c r="B731" s="95">
        <f t="shared" si="121"/>
        <v>31</v>
      </c>
      <c r="C731" s="83">
        <f>122.58</f>
        <v>122.58</v>
      </c>
      <c r="D731" s="83">
        <f>297.941</f>
        <v>297.94099999999997</v>
      </c>
      <c r="E731" s="92">
        <f>89.177</f>
        <v>89.177000000000007</v>
      </c>
      <c r="F731" s="83">
        <f>240.302-40-60-100</f>
        <v>40.301999999999992</v>
      </c>
      <c r="G731" s="86">
        <v>40</v>
      </c>
      <c r="H731" s="83">
        <f>60+100</f>
        <v>160</v>
      </c>
      <c r="I731" s="83">
        <f t="shared" si="113"/>
        <v>0</v>
      </c>
      <c r="J731" s="86">
        <v>100</v>
      </c>
      <c r="K731" s="86">
        <v>300</v>
      </c>
      <c r="L731" s="83">
        <f t="shared" si="117"/>
        <v>1150</v>
      </c>
      <c r="M731" s="94">
        <v>600</v>
      </c>
      <c r="N731" s="83">
        <f>100</f>
        <v>100</v>
      </c>
      <c r="O731" s="86">
        <v>240</v>
      </c>
      <c r="P731" s="86">
        <v>40</v>
      </c>
      <c r="Q731" s="86">
        <f t="shared" si="118"/>
        <v>315</v>
      </c>
      <c r="R731" s="86">
        <f t="shared" si="119"/>
        <v>100</v>
      </c>
      <c r="S731" s="83">
        <f t="shared" si="120"/>
        <v>695</v>
      </c>
      <c r="T731" s="83">
        <f>50</f>
        <v>50</v>
      </c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</row>
    <row r="732" spans="1:30" ht="15.75" x14ac:dyDescent="0.25">
      <c r="A732" s="32">
        <v>63220</v>
      </c>
      <c r="B732" s="95">
        <f t="shared" si="121"/>
        <v>31</v>
      </c>
      <c r="C732" s="83">
        <f>122.58</f>
        <v>122.58</v>
      </c>
      <c r="D732" s="83">
        <f>297.941</f>
        <v>297.94099999999997</v>
      </c>
      <c r="E732" s="92">
        <f>89.177</f>
        <v>89.177000000000007</v>
      </c>
      <c r="F732" s="83">
        <f>240.302-40-60-100</f>
        <v>40.301999999999992</v>
      </c>
      <c r="G732" s="86">
        <v>40</v>
      </c>
      <c r="H732" s="83">
        <f>60+100</f>
        <v>160</v>
      </c>
      <c r="I732" s="83">
        <f t="shared" si="113"/>
        <v>0</v>
      </c>
      <c r="J732" s="86">
        <v>100</v>
      </c>
      <c r="K732" s="86">
        <v>300</v>
      </c>
      <c r="L732" s="83">
        <f t="shared" si="117"/>
        <v>1150</v>
      </c>
      <c r="M732" s="94">
        <v>600</v>
      </c>
      <c r="N732" s="83">
        <f>100</f>
        <v>100</v>
      </c>
      <c r="O732" s="86">
        <v>240</v>
      </c>
      <c r="P732" s="86">
        <v>40</v>
      </c>
      <c r="Q732" s="86">
        <f t="shared" si="118"/>
        <v>315</v>
      </c>
      <c r="R732" s="86">
        <f t="shared" si="119"/>
        <v>100</v>
      </c>
      <c r="S732" s="83">
        <f t="shared" si="120"/>
        <v>695</v>
      </c>
      <c r="T732" s="83">
        <f>50</f>
        <v>50</v>
      </c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</row>
    <row r="733" spans="1:30" ht="15.75" x14ac:dyDescent="0.25">
      <c r="A733" s="32">
        <v>63248</v>
      </c>
      <c r="B733" s="95">
        <f t="shared" si="121"/>
        <v>28</v>
      </c>
      <c r="C733" s="83">
        <f>122.58</f>
        <v>122.58</v>
      </c>
      <c r="D733" s="83">
        <f>297.941</f>
        <v>297.94099999999997</v>
      </c>
      <c r="E733" s="92">
        <f>89.177</f>
        <v>89.177000000000007</v>
      </c>
      <c r="F733" s="83">
        <f>240.302-40-60-100</f>
        <v>40.301999999999992</v>
      </c>
      <c r="G733" s="86">
        <v>40</v>
      </c>
      <c r="H733" s="83">
        <f>60+100</f>
        <v>160</v>
      </c>
      <c r="I733" s="83">
        <f t="shared" si="113"/>
        <v>0</v>
      </c>
      <c r="J733" s="86">
        <v>100</v>
      </c>
      <c r="K733" s="86">
        <v>300</v>
      </c>
      <c r="L733" s="83">
        <f t="shared" si="117"/>
        <v>1150</v>
      </c>
      <c r="M733" s="94">
        <v>600</v>
      </c>
      <c r="N733" s="83">
        <f>100</f>
        <v>100</v>
      </c>
      <c r="O733" s="86">
        <v>240</v>
      </c>
      <c r="P733" s="86">
        <v>40</v>
      </c>
      <c r="Q733" s="86">
        <f t="shared" si="118"/>
        <v>315</v>
      </c>
      <c r="R733" s="86">
        <f t="shared" si="119"/>
        <v>100</v>
      </c>
      <c r="S733" s="83">
        <f t="shared" si="120"/>
        <v>695</v>
      </c>
      <c r="T733" s="83">
        <f>50</f>
        <v>50</v>
      </c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</row>
    <row r="734" spans="1:30" ht="15.75" x14ac:dyDescent="0.25">
      <c r="A734" s="32">
        <v>63279</v>
      </c>
      <c r="B734" s="95">
        <f t="shared" si="121"/>
        <v>31</v>
      </c>
      <c r="C734" s="83">
        <f>122.58</f>
        <v>122.58</v>
      </c>
      <c r="D734" s="83">
        <f>297.941</f>
        <v>297.94099999999997</v>
      </c>
      <c r="E734" s="92">
        <f>89.177</f>
        <v>89.177000000000007</v>
      </c>
      <c r="F734" s="83">
        <f>240.302-40-60-100</f>
        <v>40.301999999999992</v>
      </c>
      <c r="G734" s="86">
        <v>40</v>
      </c>
      <c r="H734" s="83">
        <f>60+100</f>
        <v>160</v>
      </c>
      <c r="I734" s="83">
        <f t="shared" si="113"/>
        <v>0</v>
      </c>
      <c r="J734" s="86">
        <v>100</v>
      </c>
      <c r="K734" s="86">
        <v>300</v>
      </c>
      <c r="L734" s="83">
        <f t="shared" si="117"/>
        <v>1150</v>
      </c>
      <c r="M734" s="94">
        <v>600</v>
      </c>
      <c r="N734" s="83">
        <f>100</f>
        <v>100</v>
      </c>
      <c r="O734" s="86">
        <v>240</v>
      </c>
      <c r="P734" s="86">
        <v>40</v>
      </c>
      <c r="Q734" s="86">
        <f t="shared" si="118"/>
        <v>315</v>
      </c>
      <c r="R734" s="86">
        <f t="shared" si="119"/>
        <v>100</v>
      </c>
      <c r="S734" s="83">
        <f t="shared" si="120"/>
        <v>695</v>
      </c>
      <c r="T734" s="83">
        <f>50</f>
        <v>50</v>
      </c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</row>
    <row r="735" spans="1:30" ht="15.75" x14ac:dyDescent="0.25">
      <c r="A735" s="32">
        <v>63309</v>
      </c>
      <c r="B735" s="95">
        <f t="shared" si="121"/>
        <v>30</v>
      </c>
      <c r="C735" s="83">
        <f>141.293</f>
        <v>141.29300000000001</v>
      </c>
      <c r="D735" s="83">
        <f>267.993</f>
        <v>267.99299999999999</v>
      </c>
      <c r="E735" s="92">
        <f>115.016</f>
        <v>115.01600000000001</v>
      </c>
      <c r="F735" s="83">
        <f>314.698-40-25-60-100</f>
        <v>89.697999999999979</v>
      </c>
      <c r="G735" s="86">
        <v>40</v>
      </c>
      <c r="H735" s="83">
        <f t="shared" ref="H735:H741" si="122">25+60+100</f>
        <v>185</v>
      </c>
      <c r="I735" s="83">
        <f t="shared" si="113"/>
        <v>0</v>
      </c>
      <c r="J735" s="86">
        <v>100</v>
      </c>
      <c r="K735" s="86">
        <v>300</v>
      </c>
      <c r="L735" s="83">
        <f t="shared" si="117"/>
        <v>1239</v>
      </c>
      <c r="M735" s="94">
        <v>600</v>
      </c>
      <c r="N735" s="83">
        <f>100</f>
        <v>100</v>
      </c>
      <c r="O735" s="86">
        <v>240</v>
      </c>
      <c r="P735" s="86">
        <v>40</v>
      </c>
      <c r="Q735" s="86">
        <f t="shared" si="118"/>
        <v>315</v>
      </c>
      <c r="R735" s="86">
        <f t="shared" si="119"/>
        <v>100</v>
      </c>
      <c r="S735" s="83">
        <f t="shared" si="120"/>
        <v>695</v>
      </c>
      <c r="T735" s="83">
        <f>50</f>
        <v>50</v>
      </c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</row>
    <row r="736" spans="1:30" ht="15.75" x14ac:dyDescent="0.25">
      <c r="A736" s="32">
        <v>63340</v>
      </c>
      <c r="B736" s="95">
        <f t="shared" si="121"/>
        <v>31</v>
      </c>
      <c r="C736" s="83">
        <f>194.205</f>
        <v>194.20500000000001</v>
      </c>
      <c r="D736" s="83">
        <f>267.466</f>
        <v>267.46600000000001</v>
      </c>
      <c r="E736" s="92">
        <f>133.845</f>
        <v>133.845</v>
      </c>
      <c r="F736" s="83">
        <f>278.484-40-25-60-100</f>
        <v>53.48399999999998</v>
      </c>
      <c r="G736" s="86">
        <v>40</v>
      </c>
      <c r="H736" s="83">
        <f t="shared" si="122"/>
        <v>185</v>
      </c>
      <c r="I736" s="83">
        <f t="shared" si="113"/>
        <v>0</v>
      </c>
      <c r="J736" s="86">
        <v>100</v>
      </c>
      <c r="K736" s="86">
        <v>300</v>
      </c>
      <c r="L736" s="83">
        <f t="shared" si="117"/>
        <v>1274</v>
      </c>
      <c r="M736" s="94">
        <v>600</v>
      </c>
      <c r="N736" s="83">
        <f>75</f>
        <v>75</v>
      </c>
      <c r="O736" s="86">
        <v>240</v>
      </c>
      <c r="P736" s="86">
        <v>40</v>
      </c>
      <c r="Q736" s="86">
        <f t="shared" si="118"/>
        <v>315</v>
      </c>
      <c r="R736" s="86">
        <f t="shared" si="119"/>
        <v>100</v>
      </c>
      <c r="S736" s="83">
        <f t="shared" si="120"/>
        <v>695</v>
      </c>
      <c r="T736" s="83">
        <f>50</f>
        <v>50</v>
      </c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</row>
    <row r="737" spans="1:30" ht="15.75" x14ac:dyDescent="0.25">
      <c r="A737" s="32">
        <v>63370</v>
      </c>
      <c r="B737" s="95">
        <f t="shared" si="121"/>
        <v>30</v>
      </c>
      <c r="C737" s="83">
        <f>194.205</f>
        <v>194.20500000000001</v>
      </c>
      <c r="D737" s="83">
        <f>267.466</f>
        <v>267.46600000000001</v>
      </c>
      <c r="E737" s="92">
        <f>133.845</f>
        <v>133.845</v>
      </c>
      <c r="F737" s="83">
        <f>278.484-40-25-60-100</f>
        <v>53.48399999999998</v>
      </c>
      <c r="G737" s="86">
        <v>40</v>
      </c>
      <c r="H737" s="83">
        <f t="shared" si="122"/>
        <v>185</v>
      </c>
      <c r="I737" s="83">
        <f t="shared" si="113"/>
        <v>0</v>
      </c>
      <c r="J737" s="86">
        <v>100</v>
      </c>
      <c r="K737" s="86">
        <v>300</v>
      </c>
      <c r="L737" s="83">
        <f t="shared" si="117"/>
        <v>1274</v>
      </c>
      <c r="M737" s="94">
        <v>600</v>
      </c>
      <c r="N737" s="83">
        <f>30</f>
        <v>30</v>
      </c>
      <c r="O737" s="86">
        <v>240</v>
      </c>
      <c r="P737" s="86">
        <v>40</v>
      </c>
      <c r="Q737" s="86">
        <f t="shared" si="118"/>
        <v>315</v>
      </c>
      <c r="R737" s="86">
        <f t="shared" si="119"/>
        <v>100</v>
      </c>
      <c r="S737" s="83">
        <f t="shared" si="120"/>
        <v>695</v>
      </c>
      <c r="T737" s="83">
        <f>50</f>
        <v>50</v>
      </c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</row>
    <row r="738" spans="1:30" ht="15.75" x14ac:dyDescent="0.25">
      <c r="A738" s="32">
        <v>63401</v>
      </c>
      <c r="B738" s="95">
        <f t="shared" si="121"/>
        <v>31</v>
      </c>
      <c r="C738" s="83">
        <f>194.205</f>
        <v>194.20500000000001</v>
      </c>
      <c r="D738" s="83">
        <f>267.466</f>
        <v>267.46600000000001</v>
      </c>
      <c r="E738" s="92">
        <f>133.845</f>
        <v>133.845</v>
      </c>
      <c r="F738" s="83">
        <f>278.484-40-25-60-100</f>
        <v>53.48399999999998</v>
      </c>
      <c r="G738" s="86">
        <v>40</v>
      </c>
      <c r="H738" s="83">
        <f t="shared" si="122"/>
        <v>185</v>
      </c>
      <c r="I738" s="83">
        <f t="shared" si="113"/>
        <v>0</v>
      </c>
      <c r="J738" s="86">
        <v>100</v>
      </c>
      <c r="K738" s="86">
        <v>300</v>
      </c>
      <c r="L738" s="83">
        <f t="shared" si="117"/>
        <v>1274</v>
      </c>
      <c r="M738" s="94">
        <v>600</v>
      </c>
      <c r="N738" s="83">
        <f>30</f>
        <v>30</v>
      </c>
      <c r="O738" s="86">
        <v>240</v>
      </c>
      <c r="P738" s="86">
        <v>40</v>
      </c>
      <c r="Q738" s="86">
        <f t="shared" si="118"/>
        <v>315</v>
      </c>
      <c r="R738" s="86">
        <f t="shared" si="119"/>
        <v>100</v>
      </c>
      <c r="S738" s="83">
        <f t="shared" si="120"/>
        <v>695</v>
      </c>
      <c r="T738" s="83">
        <f>0</f>
        <v>0</v>
      </c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</row>
    <row r="739" spans="1:30" ht="15.75" x14ac:dyDescent="0.25">
      <c r="A739" s="32">
        <v>63432</v>
      </c>
      <c r="B739" s="95">
        <f t="shared" si="121"/>
        <v>31</v>
      </c>
      <c r="C739" s="83">
        <f>194.205</f>
        <v>194.20500000000001</v>
      </c>
      <c r="D739" s="83">
        <f>267.466</f>
        <v>267.46600000000001</v>
      </c>
      <c r="E739" s="92">
        <f>133.845</f>
        <v>133.845</v>
      </c>
      <c r="F739" s="83">
        <f>278.484-40-25-60-100</f>
        <v>53.48399999999998</v>
      </c>
      <c r="G739" s="86">
        <v>40</v>
      </c>
      <c r="H739" s="83">
        <f t="shared" si="122"/>
        <v>185</v>
      </c>
      <c r="I739" s="83">
        <f t="shared" si="113"/>
        <v>0</v>
      </c>
      <c r="J739" s="86">
        <v>100</v>
      </c>
      <c r="K739" s="86">
        <v>300</v>
      </c>
      <c r="L739" s="83">
        <f t="shared" si="117"/>
        <v>1274</v>
      </c>
      <c r="M739" s="94">
        <v>600</v>
      </c>
      <c r="N739" s="83">
        <f>30</f>
        <v>30</v>
      </c>
      <c r="O739" s="86">
        <v>240</v>
      </c>
      <c r="P739" s="86">
        <v>40</v>
      </c>
      <c r="Q739" s="86">
        <f t="shared" si="118"/>
        <v>315</v>
      </c>
      <c r="R739" s="86">
        <f t="shared" si="119"/>
        <v>100</v>
      </c>
      <c r="S739" s="83">
        <f t="shared" si="120"/>
        <v>695</v>
      </c>
      <c r="T739" s="83">
        <f>0</f>
        <v>0</v>
      </c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</row>
    <row r="740" spans="1:30" ht="15.75" x14ac:dyDescent="0.25">
      <c r="A740" s="32">
        <v>63462</v>
      </c>
      <c r="B740" s="95">
        <f t="shared" si="121"/>
        <v>30</v>
      </c>
      <c r="C740" s="83">
        <f>194.205</f>
        <v>194.20500000000001</v>
      </c>
      <c r="D740" s="83">
        <f>267.466</f>
        <v>267.46600000000001</v>
      </c>
      <c r="E740" s="92">
        <f>133.845</f>
        <v>133.845</v>
      </c>
      <c r="F740" s="83">
        <f>278.484-40-25-60-100</f>
        <v>53.48399999999998</v>
      </c>
      <c r="G740" s="86">
        <v>40</v>
      </c>
      <c r="H740" s="83">
        <f t="shared" si="122"/>
        <v>185</v>
      </c>
      <c r="I740" s="83">
        <f t="shared" si="113"/>
        <v>0</v>
      </c>
      <c r="J740" s="86">
        <v>100</v>
      </c>
      <c r="K740" s="86">
        <v>300</v>
      </c>
      <c r="L740" s="83">
        <f t="shared" si="117"/>
        <v>1274</v>
      </c>
      <c r="M740" s="94">
        <v>600</v>
      </c>
      <c r="N740" s="83">
        <f>30</f>
        <v>30</v>
      </c>
      <c r="O740" s="86">
        <v>240</v>
      </c>
      <c r="P740" s="86">
        <v>40</v>
      </c>
      <c r="Q740" s="86">
        <f t="shared" si="118"/>
        <v>315</v>
      </c>
      <c r="R740" s="86">
        <f t="shared" si="119"/>
        <v>100</v>
      </c>
      <c r="S740" s="83">
        <f t="shared" si="120"/>
        <v>695</v>
      </c>
      <c r="T740" s="83">
        <f>0</f>
        <v>0</v>
      </c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</row>
    <row r="741" spans="1:30" ht="15.75" x14ac:dyDescent="0.25">
      <c r="A741" s="32">
        <v>63493</v>
      </c>
      <c r="B741" s="95">
        <f t="shared" si="121"/>
        <v>31</v>
      </c>
      <c r="C741" s="83">
        <f>131.881</f>
        <v>131.881</v>
      </c>
      <c r="D741" s="83">
        <f>277.167</f>
        <v>277.16699999999997</v>
      </c>
      <c r="E741" s="92">
        <f>79.08</f>
        <v>79.08</v>
      </c>
      <c r="F741" s="83">
        <f>350.872-40-25-60-100</f>
        <v>125.87200000000001</v>
      </c>
      <c r="G741" s="86">
        <v>40</v>
      </c>
      <c r="H741" s="83">
        <f t="shared" si="122"/>
        <v>185</v>
      </c>
      <c r="I741" s="83">
        <f t="shared" si="113"/>
        <v>0</v>
      </c>
      <c r="J741" s="86">
        <v>100</v>
      </c>
      <c r="K741" s="86">
        <v>300</v>
      </c>
      <c r="L741" s="83">
        <f t="shared" si="117"/>
        <v>1239</v>
      </c>
      <c r="M741" s="94">
        <v>600</v>
      </c>
      <c r="N741" s="83">
        <f>75</f>
        <v>75</v>
      </c>
      <c r="O741" s="86">
        <v>240</v>
      </c>
      <c r="P741" s="86">
        <v>40</v>
      </c>
      <c r="Q741" s="86">
        <f t="shared" si="118"/>
        <v>315</v>
      </c>
      <c r="R741" s="86">
        <f t="shared" si="119"/>
        <v>100</v>
      </c>
      <c r="S741" s="83">
        <f t="shared" si="120"/>
        <v>695</v>
      </c>
      <c r="T741" s="83">
        <f>0</f>
        <v>0</v>
      </c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</row>
    <row r="742" spans="1:30" ht="15.75" x14ac:dyDescent="0.25">
      <c r="A742" s="32">
        <v>63523</v>
      </c>
      <c r="B742" s="95">
        <f t="shared" si="121"/>
        <v>30</v>
      </c>
      <c r="C742" s="83">
        <f>122.58</f>
        <v>122.58</v>
      </c>
      <c r="D742" s="83">
        <f>297.941</f>
        <v>297.94099999999997</v>
      </c>
      <c r="E742" s="92">
        <f>89.177</f>
        <v>89.177000000000007</v>
      </c>
      <c r="F742" s="83">
        <f>240.302-40-60-100</f>
        <v>40.301999999999992</v>
      </c>
      <c r="G742" s="86">
        <v>40</v>
      </c>
      <c r="H742" s="83">
        <f>60+100</f>
        <v>160</v>
      </c>
      <c r="I742" s="83">
        <f t="shared" si="113"/>
        <v>0</v>
      </c>
      <c r="J742" s="86">
        <v>100</v>
      </c>
      <c r="K742" s="86">
        <v>300</v>
      </c>
      <c r="L742" s="83">
        <f t="shared" si="117"/>
        <v>1150</v>
      </c>
      <c r="M742" s="94">
        <v>600</v>
      </c>
      <c r="N742" s="83">
        <f>100</f>
        <v>100</v>
      </c>
      <c r="O742" s="86">
        <v>240</v>
      </c>
      <c r="P742" s="86">
        <v>40</v>
      </c>
      <c r="Q742" s="86">
        <f t="shared" si="118"/>
        <v>315</v>
      </c>
      <c r="R742" s="86">
        <f t="shared" si="119"/>
        <v>100</v>
      </c>
      <c r="S742" s="83">
        <f t="shared" si="120"/>
        <v>695</v>
      </c>
      <c r="T742" s="83">
        <f>50</f>
        <v>50</v>
      </c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</row>
    <row r="743" spans="1:30" ht="15.75" x14ac:dyDescent="0.25">
      <c r="A743" s="32">
        <v>63554</v>
      </c>
      <c r="B743" s="95">
        <f t="shared" si="121"/>
        <v>31</v>
      </c>
      <c r="C743" s="83">
        <f>122.58</f>
        <v>122.58</v>
      </c>
      <c r="D743" s="83">
        <f>297.941</f>
        <v>297.94099999999997</v>
      </c>
      <c r="E743" s="92">
        <f>89.177</f>
        <v>89.177000000000007</v>
      </c>
      <c r="F743" s="83">
        <f>240.302-40-60-100</f>
        <v>40.301999999999992</v>
      </c>
      <c r="G743" s="86">
        <v>40</v>
      </c>
      <c r="H743" s="83">
        <f>60+100</f>
        <v>160</v>
      </c>
      <c r="I743" s="83">
        <f t="shared" si="113"/>
        <v>0</v>
      </c>
      <c r="J743" s="86">
        <v>100</v>
      </c>
      <c r="K743" s="86">
        <v>300</v>
      </c>
      <c r="L743" s="83">
        <f t="shared" si="117"/>
        <v>1150</v>
      </c>
      <c r="M743" s="94">
        <v>600</v>
      </c>
      <c r="N743" s="83">
        <f>100</f>
        <v>100</v>
      </c>
      <c r="O743" s="86">
        <v>240</v>
      </c>
      <c r="P743" s="86">
        <v>40</v>
      </c>
      <c r="Q743" s="86">
        <f t="shared" si="118"/>
        <v>315</v>
      </c>
      <c r="R743" s="86">
        <f t="shared" si="119"/>
        <v>100</v>
      </c>
      <c r="S743" s="83">
        <f t="shared" si="120"/>
        <v>695</v>
      </c>
      <c r="T743" s="83">
        <f>50</f>
        <v>50</v>
      </c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</row>
    <row r="744" spans="1:30" ht="15.75" x14ac:dyDescent="0.25">
      <c r="A744" s="32">
        <v>63585</v>
      </c>
      <c r="B744" s="95">
        <f t="shared" si="121"/>
        <v>31</v>
      </c>
      <c r="C744" s="83">
        <f>122.58</f>
        <v>122.58</v>
      </c>
      <c r="D744" s="83">
        <f>297.941</f>
        <v>297.94099999999997</v>
      </c>
      <c r="E744" s="92">
        <f>89.177</f>
        <v>89.177000000000007</v>
      </c>
      <c r="F744" s="83">
        <f>240.302-40-60-100</f>
        <v>40.301999999999992</v>
      </c>
      <c r="G744" s="86">
        <v>40</v>
      </c>
      <c r="H744" s="83">
        <f>60+100</f>
        <v>160</v>
      </c>
      <c r="I744" s="83">
        <f t="shared" si="113"/>
        <v>0</v>
      </c>
      <c r="J744" s="86">
        <v>100</v>
      </c>
      <c r="K744" s="86">
        <v>300</v>
      </c>
      <c r="L744" s="83">
        <f t="shared" si="117"/>
        <v>1150</v>
      </c>
      <c r="M744" s="94">
        <v>600</v>
      </c>
      <c r="N744" s="83">
        <f>100</f>
        <v>100</v>
      </c>
      <c r="O744" s="86">
        <v>240</v>
      </c>
      <c r="P744" s="86">
        <v>40</v>
      </c>
      <c r="Q744" s="86">
        <f t="shared" si="118"/>
        <v>315</v>
      </c>
      <c r="R744" s="86">
        <f t="shared" si="119"/>
        <v>100</v>
      </c>
      <c r="S744" s="83">
        <f t="shared" si="120"/>
        <v>695</v>
      </c>
      <c r="T744" s="83">
        <f>50</f>
        <v>50</v>
      </c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</row>
    <row r="745" spans="1:30" ht="15.75" x14ac:dyDescent="0.25">
      <c r="A745" s="32">
        <v>63613</v>
      </c>
      <c r="B745" s="95">
        <f t="shared" si="121"/>
        <v>28</v>
      </c>
      <c r="C745" s="83">
        <f>122.58</f>
        <v>122.58</v>
      </c>
      <c r="D745" s="83">
        <f>297.941</f>
        <v>297.94099999999997</v>
      </c>
      <c r="E745" s="92">
        <f>89.177</f>
        <v>89.177000000000007</v>
      </c>
      <c r="F745" s="83">
        <f>240.302-40-60-100</f>
        <v>40.301999999999992</v>
      </c>
      <c r="G745" s="86">
        <v>40</v>
      </c>
      <c r="H745" s="83">
        <f>60+100</f>
        <v>160</v>
      </c>
      <c r="I745" s="83">
        <f t="shared" si="113"/>
        <v>0</v>
      </c>
      <c r="J745" s="86">
        <v>100</v>
      </c>
      <c r="K745" s="86">
        <v>300</v>
      </c>
      <c r="L745" s="83">
        <f t="shared" si="117"/>
        <v>1150</v>
      </c>
      <c r="M745" s="94">
        <v>600</v>
      </c>
      <c r="N745" s="83">
        <f>100</f>
        <v>100</v>
      </c>
      <c r="O745" s="86">
        <v>240</v>
      </c>
      <c r="P745" s="86">
        <v>40</v>
      </c>
      <c r="Q745" s="86">
        <f t="shared" si="118"/>
        <v>315</v>
      </c>
      <c r="R745" s="86">
        <f t="shared" si="119"/>
        <v>100</v>
      </c>
      <c r="S745" s="83">
        <f t="shared" si="120"/>
        <v>695</v>
      </c>
      <c r="T745" s="83">
        <f>50</f>
        <v>50</v>
      </c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</row>
    <row r="746" spans="1:30" ht="15.75" x14ac:dyDescent="0.25">
      <c r="A746" s="32">
        <v>63644</v>
      </c>
      <c r="B746" s="95">
        <f t="shared" si="121"/>
        <v>31</v>
      </c>
      <c r="C746" s="83">
        <f>122.58</f>
        <v>122.58</v>
      </c>
      <c r="D746" s="83">
        <f>297.941</f>
        <v>297.94099999999997</v>
      </c>
      <c r="E746" s="92">
        <f>89.177</f>
        <v>89.177000000000007</v>
      </c>
      <c r="F746" s="83">
        <f>240.302-40-60-100</f>
        <v>40.301999999999992</v>
      </c>
      <c r="G746" s="86">
        <v>40</v>
      </c>
      <c r="H746" s="83">
        <f>60+100</f>
        <v>160</v>
      </c>
      <c r="I746" s="83">
        <f t="shared" si="113"/>
        <v>0</v>
      </c>
      <c r="J746" s="86">
        <v>100</v>
      </c>
      <c r="K746" s="86">
        <v>300</v>
      </c>
      <c r="L746" s="83">
        <f t="shared" si="117"/>
        <v>1150</v>
      </c>
      <c r="M746" s="94">
        <v>600</v>
      </c>
      <c r="N746" s="83">
        <f>100</f>
        <v>100</v>
      </c>
      <c r="O746" s="86">
        <v>240</v>
      </c>
      <c r="P746" s="86">
        <v>40</v>
      </c>
      <c r="Q746" s="86">
        <f t="shared" si="118"/>
        <v>315</v>
      </c>
      <c r="R746" s="86">
        <f t="shared" si="119"/>
        <v>100</v>
      </c>
      <c r="S746" s="83">
        <f t="shared" si="120"/>
        <v>695</v>
      </c>
      <c r="T746" s="83">
        <f>50</f>
        <v>50</v>
      </c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</row>
    <row r="747" spans="1:30" ht="15.75" x14ac:dyDescent="0.25">
      <c r="A747" s="32">
        <v>63674</v>
      </c>
      <c r="B747" s="95">
        <f t="shared" si="121"/>
        <v>30</v>
      </c>
      <c r="C747" s="83">
        <f>141.293</f>
        <v>141.29300000000001</v>
      </c>
      <c r="D747" s="83">
        <f>267.993</f>
        <v>267.99299999999999</v>
      </c>
      <c r="E747" s="92">
        <f>115.016</f>
        <v>115.01600000000001</v>
      </c>
      <c r="F747" s="83">
        <f>314.698-40-25-60-100</f>
        <v>89.697999999999979</v>
      </c>
      <c r="G747" s="86">
        <v>40</v>
      </c>
      <c r="H747" s="83">
        <f t="shared" ref="H747:H753" si="123">25+60+100</f>
        <v>185</v>
      </c>
      <c r="I747" s="83">
        <f t="shared" si="113"/>
        <v>0</v>
      </c>
      <c r="J747" s="86">
        <v>100</v>
      </c>
      <c r="K747" s="86">
        <v>300</v>
      </c>
      <c r="L747" s="83">
        <f t="shared" si="117"/>
        <v>1239</v>
      </c>
      <c r="M747" s="94">
        <v>600</v>
      </c>
      <c r="N747" s="83">
        <f>100</f>
        <v>100</v>
      </c>
      <c r="O747" s="86">
        <v>240</v>
      </c>
      <c r="P747" s="86">
        <v>40</v>
      </c>
      <c r="Q747" s="86">
        <f t="shared" si="118"/>
        <v>315</v>
      </c>
      <c r="R747" s="86">
        <f t="shared" si="119"/>
        <v>100</v>
      </c>
      <c r="S747" s="83">
        <f t="shared" si="120"/>
        <v>695</v>
      </c>
      <c r="T747" s="83">
        <f>50</f>
        <v>50</v>
      </c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</row>
    <row r="748" spans="1:30" ht="15.75" x14ac:dyDescent="0.25">
      <c r="A748" s="32">
        <v>63705</v>
      </c>
      <c r="B748" s="95">
        <f t="shared" si="121"/>
        <v>31</v>
      </c>
      <c r="C748" s="83">
        <f>194.205</f>
        <v>194.20500000000001</v>
      </c>
      <c r="D748" s="83">
        <f>267.466</f>
        <v>267.46600000000001</v>
      </c>
      <c r="E748" s="92">
        <f>133.845</f>
        <v>133.845</v>
      </c>
      <c r="F748" s="83">
        <f>278.484-40-25-60-100</f>
        <v>53.48399999999998</v>
      </c>
      <c r="G748" s="86">
        <v>40</v>
      </c>
      <c r="H748" s="83">
        <f t="shared" si="123"/>
        <v>185</v>
      </c>
      <c r="I748" s="83">
        <f t="shared" si="113"/>
        <v>0</v>
      </c>
      <c r="J748" s="86">
        <v>100</v>
      </c>
      <c r="K748" s="86">
        <v>300</v>
      </c>
      <c r="L748" s="83">
        <f t="shared" si="117"/>
        <v>1274</v>
      </c>
      <c r="M748" s="94">
        <v>600</v>
      </c>
      <c r="N748" s="83">
        <f>75</f>
        <v>75</v>
      </c>
      <c r="O748" s="86">
        <v>240</v>
      </c>
      <c r="P748" s="86">
        <v>40</v>
      </c>
      <c r="Q748" s="86">
        <f t="shared" si="118"/>
        <v>315</v>
      </c>
      <c r="R748" s="86">
        <f t="shared" si="119"/>
        <v>100</v>
      </c>
      <c r="S748" s="83">
        <f t="shared" si="120"/>
        <v>695</v>
      </c>
      <c r="T748" s="83">
        <f>50</f>
        <v>50</v>
      </c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</row>
    <row r="749" spans="1:30" ht="15.75" x14ac:dyDescent="0.25">
      <c r="A749" s="32">
        <v>63735</v>
      </c>
      <c r="B749" s="95">
        <f t="shared" si="121"/>
        <v>30</v>
      </c>
      <c r="C749" s="83">
        <f>194.205</f>
        <v>194.20500000000001</v>
      </c>
      <c r="D749" s="83">
        <f>267.466</f>
        <v>267.46600000000001</v>
      </c>
      <c r="E749" s="92">
        <f>133.845</f>
        <v>133.845</v>
      </c>
      <c r="F749" s="83">
        <f>278.484-40-25-60-100</f>
        <v>53.48399999999998</v>
      </c>
      <c r="G749" s="86">
        <v>40</v>
      </c>
      <c r="H749" s="83">
        <f t="shared" si="123"/>
        <v>185</v>
      </c>
      <c r="I749" s="83">
        <f t="shared" si="113"/>
        <v>0</v>
      </c>
      <c r="J749" s="86">
        <v>100</v>
      </c>
      <c r="K749" s="86">
        <v>300</v>
      </c>
      <c r="L749" s="83">
        <f t="shared" si="117"/>
        <v>1274</v>
      </c>
      <c r="M749" s="94">
        <v>600</v>
      </c>
      <c r="N749" s="83">
        <f>30</f>
        <v>30</v>
      </c>
      <c r="O749" s="86">
        <v>240</v>
      </c>
      <c r="P749" s="86">
        <v>40</v>
      </c>
      <c r="Q749" s="86">
        <f t="shared" si="118"/>
        <v>315</v>
      </c>
      <c r="R749" s="86">
        <f t="shared" si="119"/>
        <v>100</v>
      </c>
      <c r="S749" s="83">
        <f t="shared" si="120"/>
        <v>695</v>
      </c>
      <c r="T749" s="83">
        <f>50</f>
        <v>50</v>
      </c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</row>
    <row r="750" spans="1:30" ht="15.75" x14ac:dyDescent="0.25">
      <c r="A750" s="32">
        <v>63766</v>
      </c>
      <c r="B750" s="95">
        <f t="shared" si="121"/>
        <v>31</v>
      </c>
      <c r="C750" s="83">
        <f>194.205</f>
        <v>194.20500000000001</v>
      </c>
      <c r="D750" s="83">
        <f>267.466</f>
        <v>267.46600000000001</v>
      </c>
      <c r="E750" s="92">
        <f>133.845</f>
        <v>133.845</v>
      </c>
      <c r="F750" s="83">
        <f>278.484-40-25-60-100</f>
        <v>53.48399999999998</v>
      </c>
      <c r="G750" s="86">
        <v>40</v>
      </c>
      <c r="H750" s="83">
        <f t="shared" si="123"/>
        <v>185</v>
      </c>
      <c r="I750" s="83">
        <f t="shared" si="113"/>
        <v>0</v>
      </c>
      <c r="J750" s="86">
        <v>100</v>
      </c>
      <c r="K750" s="86">
        <v>300</v>
      </c>
      <c r="L750" s="83">
        <f t="shared" si="117"/>
        <v>1274</v>
      </c>
      <c r="M750" s="94">
        <v>600</v>
      </c>
      <c r="N750" s="83">
        <f>30</f>
        <v>30</v>
      </c>
      <c r="O750" s="86">
        <v>240</v>
      </c>
      <c r="P750" s="86">
        <v>40</v>
      </c>
      <c r="Q750" s="86">
        <f t="shared" si="118"/>
        <v>315</v>
      </c>
      <c r="R750" s="86">
        <f t="shared" si="119"/>
        <v>100</v>
      </c>
      <c r="S750" s="83">
        <f t="shared" si="120"/>
        <v>695</v>
      </c>
      <c r="T750" s="83">
        <f>0</f>
        <v>0</v>
      </c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</row>
    <row r="751" spans="1:30" ht="15.75" x14ac:dyDescent="0.25">
      <c r="A751" s="32">
        <v>63797</v>
      </c>
      <c r="B751" s="95">
        <f t="shared" si="121"/>
        <v>31</v>
      </c>
      <c r="C751" s="83">
        <f>194.205</f>
        <v>194.20500000000001</v>
      </c>
      <c r="D751" s="83">
        <f>267.466</f>
        <v>267.46600000000001</v>
      </c>
      <c r="E751" s="92">
        <f>133.845</f>
        <v>133.845</v>
      </c>
      <c r="F751" s="83">
        <f>278.484-40-25-60-100</f>
        <v>53.48399999999998</v>
      </c>
      <c r="G751" s="86">
        <v>40</v>
      </c>
      <c r="H751" s="83">
        <f t="shared" si="123"/>
        <v>185</v>
      </c>
      <c r="I751" s="83">
        <f t="shared" si="113"/>
        <v>0</v>
      </c>
      <c r="J751" s="86">
        <v>100</v>
      </c>
      <c r="K751" s="86">
        <v>300</v>
      </c>
      <c r="L751" s="83">
        <f t="shared" si="117"/>
        <v>1274</v>
      </c>
      <c r="M751" s="94">
        <v>600</v>
      </c>
      <c r="N751" s="83">
        <f>30</f>
        <v>30</v>
      </c>
      <c r="O751" s="86">
        <v>240</v>
      </c>
      <c r="P751" s="86">
        <v>40</v>
      </c>
      <c r="Q751" s="86">
        <f t="shared" si="118"/>
        <v>315</v>
      </c>
      <c r="R751" s="86">
        <f t="shared" si="119"/>
        <v>100</v>
      </c>
      <c r="S751" s="83">
        <f t="shared" si="120"/>
        <v>695</v>
      </c>
      <c r="T751" s="83">
        <f>0</f>
        <v>0</v>
      </c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</row>
    <row r="752" spans="1:30" ht="15.75" x14ac:dyDescent="0.25">
      <c r="A752" s="32">
        <v>63827</v>
      </c>
      <c r="B752" s="95">
        <f t="shared" si="121"/>
        <v>30</v>
      </c>
      <c r="C752" s="83">
        <f>194.205</f>
        <v>194.20500000000001</v>
      </c>
      <c r="D752" s="83">
        <f>267.466</f>
        <v>267.46600000000001</v>
      </c>
      <c r="E752" s="92">
        <f>133.845</f>
        <v>133.845</v>
      </c>
      <c r="F752" s="83">
        <f>278.484-40-25-60-100</f>
        <v>53.48399999999998</v>
      </c>
      <c r="G752" s="86">
        <v>40</v>
      </c>
      <c r="H752" s="83">
        <f t="shared" si="123"/>
        <v>185</v>
      </c>
      <c r="I752" s="83">
        <f t="shared" si="113"/>
        <v>0</v>
      </c>
      <c r="J752" s="86">
        <v>100</v>
      </c>
      <c r="K752" s="86">
        <v>300</v>
      </c>
      <c r="L752" s="83">
        <f t="shared" si="117"/>
        <v>1274</v>
      </c>
      <c r="M752" s="94">
        <v>600</v>
      </c>
      <c r="N752" s="83">
        <f>30</f>
        <v>30</v>
      </c>
      <c r="O752" s="86">
        <v>240</v>
      </c>
      <c r="P752" s="86">
        <v>40</v>
      </c>
      <c r="Q752" s="86">
        <f t="shared" si="118"/>
        <v>315</v>
      </c>
      <c r="R752" s="86">
        <f t="shared" si="119"/>
        <v>100</v>
      </c>
      <c r="S752" s="83">
        <f t="shared" si="120"/>
        <v>695</v>
      </c>
      <c r="T752" s="83">
        <f>0</f>
        <v>0</v>
      </c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</row>
    <row r="753" spans="1:30" ht="15.75" x14ac:dyDescent="0.25">
      <c r="A753" s="32">
        <v>63858</v>
      </c>
      <c r="B753" s="95">
        <f t="shared" si="121"/>
        <v>31</v>
      </c>
      <c r="C753" s="83">
        <f>131.881</f>
        <v>131.881</v>
      </c>
      <c r="D753" s="83">
        <f>277.167</f>
        <v>277.16699999999997</v>
      </c>
      <c r="E753" s="92">
        <f>79.08</f>
        <v>79.08</v>
      </c>
      <c r="F753" s="83">
        <f>350.872-40-25-60-100</f>
        <v>125.87200000000001</v>
      </c>
      <c r="G753" s="86">
        <v>40</v>
      </c>
      <c r="H753" s="83">
        <f t="shared" si="123"/>
        <v>185</v>
      </c>
      <c r="I753" s="83">
        <f t="shared" si="113"/>
        <v>0</v>
      </c>
      <c r="J753" s="86">
        <v>100</v>
      </c>
      <c r="K753" s="86">
        <v>300</v>
      </c>
      <c r="L753" s="83">
        <f t="shared" si="117"/>
        <v>1239</v>
      </c>
      <c r="M753" s="94">
        <v>600</v>
      </c>
      <c r="N753" s="83">
        <f>75</f>
        <v>75</v>
      </c>
      <c r="O753" s="86">
        <v>240</v>
      </c>
      <c r="P753" s="86">
        <v>40</v>
      </c>
      <c r="Q753" s="86">
        <f t="shared" si="118"/>
        <v>315</v>
      </c>
      <c r="R753" s="86">
        <f t="shared" si="119"/>
        <v>100</v>
      </c>
      <c r="S753" s="83">
        <f t="shared" si="120"/>
        <v>695</v>
      </c>
      <c r="T753" s="83">
        <f>0</f>
        <v>0</v>
      </c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</row>
    <row r="754" spans="1:30" ht="15.75" x14ac:dyDescent="0.25">
      <c r="A754" s="32">
        <v>63888</v>
      </c>
      <c r="B754" s="95">
        <f t="shared" si="121"/>
        <v>30</v>
      </c>
      <c r="C754" s="83">
        <f>122.58</f>
        <v>122.58</v>
      </c>
      <c r="D754" s="83">
        <f>297.941</f>
        <v>297.94099999999997</v>
      </c>
      <c r="E754" s="92">
        <f>89.177</f>
        <v>89.177000000000007</v>
      </c>
      <c r="F754" s="83">
        <f>240.302-40-60-100</f>
        <v>40.301999999999992</v>
      </c>
      <c r="G754" s="86">
        <v>40</v>
      </c>
      <c r="H754" s="83">
        <f>60+100</f>
        <v>160</v>
      </c>
      <c r="I754" s="83">
        <f t="shared" si="113"/>
        <v>0</v>
      </c>
      <c r="J754" s="86">
        <v>100</v>
      </c>
      <c r="K754" s="86">
        <v>300</v>
      </c>
      <c r="L754" s="83">
        <f t="shared" si="117"/>
        <v>1150</v>
      </c>
      <c r="M754" s="94">
        <v>600</v>
      </c>
      <c r="N754" s="83">
        <f>100</f>
        <v>100</v>
      </c>
      <c r="O754" s="86">
        <v>240</v>
      </c>
      <c r="P754" s="86">
        <v>40</v>
      </c>
      <c r="Q754" s="86">
        <f t="shared" si="118"/>
        <v>315</v>
      </c>
      <c r="R754" s="86">
        <f t="shared" si="119"/>
        <v>100</v>
      </c>
      <c r="S754" s="83">
        <f t="shared" si="120"/>
        <v>695</v>
      </c>
      <c r="T754" s="83">
        <f>50</f>
        <v>50</v>
      </c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</row>
    <row r="755" spans="1:30" ht="15.75" x14ac:dyDescent="0.25">
      <c r="A755" s="32">
        <v>63919</v>
      </c>
      <c r="B755" s="95">
        <f t="shared" si="121"/>
        <v>31</v>
      </c>
      <c r="C755" s="83">
        <f>122.58</f>
        <v>122.58</v>
      </c>
      <c r="D755" s="83">
        <f>297.941</f>
        <v>297.94099999999997</v>
      </c>
      <c r="E755" s="92">
        <f>89.177</f>
        <v>89.177000000000007</v>
      </c>
      <c r="F755" s="83">
        <f>240.302-40-60-100</f>
        <v>40.301999999999992</v>
      </c>
      <c r="G755" s="86">
        <v>40</v>
      </c>
      <c r="H755" s="83">
        <f>60+100</f>
        <v>160</v>
      </c>
      <c r="I755" s="83">
        <f t="shared" si="113"/>
        <v>0</v>
      </c>
      <c r="J755" s="86">
        <v>100</v>
      </c>
      <c r="K755" s="86">
        <v>300</v>
      </c>
      <c r="L755" s="83">
        <f t="shared" si="117"/>
        <v>1150</v>
      </c>
      <c r="M755" s="94">
        <v>600</v>
      </c>
      <c r="N755" s="83">
        <f>100</f>
        <v>100</v>
      </c>
      <c r="O755" s="86">
        <v>240</v>
      </c>
      <c r="P755" s="86">
        <v>40</v>
      </c>
      <c r="Q755" s="86">
        <f t="shared" si="118"/>
        <v>315</v>
      </c>
      <c r="R755" s="86">
        <f t="shared" si="119"/>
        <v>100</v>
      </c>
      <c r="S755" s="83">
        <f t="shared" si="120"/>
        <v>695</v>
      </c>
      <c r="T755" s="83">
        <f>50</f>
        <v>50</v>
      </c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</row>
    <row r="756" spans="1:30" ht="15.75" x14ac:dyDescent="0.25">
      <c r="A756" s="32">
        <v>63950</v>
      </c>
      <c r="B756" s="95">
        <f t="shared" si="121"/>
        <v>31</v>
      </c>
      <c r="C756" s="83">
        <f>122.58</f>
        <v>122.58</v>
      </c>
      <c r="D756" s="83">
        <f>297.941</f>
        <v>297.94099999999997</v>
      </c>
      <c r="E756" s="92">
        <f>89.177</f>
        <v>89.177000000000007</v>
      </c>
      <c r="F756" s="83">
        <f>240.302-40-60-100</f>
        <v>40.301999999999992</v>
      </c>
      <c r="G756" s="86">
        <v>40</v>
      </c>
      <c r="H756" s="83">
        <f>60+100</f>
        <v>160</v>
      </c>
      <c r="I756" s="83">
        <f t="shared" ref="I756:I819" si="124">400-J756-K756</f>
        <v>0</v>
      </c>
      <c r="J756" s="86">
        <v>100</v>
      </c>
      <c r="K756" s="86">
        <v>300</v>
      </c>
      <c r="L756" s="83">
        <f t="shared" si="117"/>
        <v>1150</v>
      </c>
      <c r="M756" s="94">
        <v>600</v>
      </c>
      <c r="N756" s="83">
        <f>100</f>
        <v>100</v>
      </c>
      <c r="O756" s="86">
        <v>240</v>
      </c>
      <c r="P756" s="86">
        <v>40</v>
      </c>
      <c r="Q756" s="86">
        <f t="shared" si="118"/>
        <v>315</v>
      </c>
      <c r="R756" s="86">
        <f t="shared" si="119"/>
        <v>100</v>
      </c>
      <c r="S756" s="83">
        <f t="shared" si="120"/>
        <v>695</v>
      </c>
      <c r="T756" s="83">
        <f>50</f>
        <v>50</v>
      </c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</row>
    <row r="757" spans="1:30" ht="15.75" x14ac:dyDescent="0.25">
      <c r="A757" s="32">
        <v>63978</v>
      </c>
      <c r="B757" s="95">
        <f t="shared" si="121"/>
        <v>28</v>
      </c>
      <c r="C757" s="83">
        <f>122.58</f>
        <v>122.58</v>
      </c>
      <c r="D757" s="83">
        <f>297.941</f>
        <v>297.94099999999997</v>
      </c>
      <c r="E757" s="92">
        <f>89.177</f>
        <v>89.177000000000007</v>
      </c>
      <c r="F757" s="83">
        <f>240.302-40-60-100</f>
        <v>40.301999999999992</v>
      </c>
      <c r="G757" s="86">
        <v>40</v>
      </c>
      <c r="H757" s="83">
        <f>60+100</f>
        <v>160</v>
      </c>
      <c r="I757" s="83">
        <f t="shared" si="124"/>
        <v>0</v>
      </c>
      <c r="J757" s="86">
        <v>100</v>
      </c>
      <c r="K757" s="86">
        <v>300</v>
      </c>
      <c r="L757" s="83">
        <f t="shared" si="117"/>
        <v>1150</v>
      </c>
      <c r="M757" s="94">
        <v>600</v>
      </c>
      <c r="N757" s="83">
        <f>100</f>
        <v>100</v>
      </c>
      <c r="O757" s="86">
        <v>240</v>
      </c>
      <c r="P757" s="86">
        <v>40</v>
      </c>
      <c r="Q757" s="86">
        <f t="shared" si="118"/>
        <v>315</v>
      </c>
      <c r="R757" s="86">
        <f t="shared" si="119"/>
        <v>100</v>
      </c>
      <c r="S757" s="83">
        <f t="shared" si="120"/>
        <v>695</v>
      </c>
      <c r="T757" s="83">
        <f>50</f>
        <v>50</v>
      </c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</row>
    <row r="758" spans="1:30" ht="15.75" x14ac:dyDescent="0.25">
      <c r="A758" s="32">
        <v>64009</v>
      </c>
      <c r="B758" s="95">
        <f t="shared" si="121"/>
        <v>31</v>
      </c>
      <c r="C758" s="83">
        <f>122.58</f>
        <v>122.58</v>
      </c>
      <c r="D758" s="83">
        <f>297.941</f>
        <v>297.94099999999997</v>
      </c>
      <c r="E758" s="92">
        <f>89.177</f>
        <v>89.177000000000007</v>
      </c>
      <c r="F758" s="83">
        <f>240.302-40-60-100</f>
        <v>40.301999999999992</v>
      </c>
      <c r="G758" s="86">
        <v>40</v>
      </c>
      <c r="H758" s="83">
        <f>60+100</f>
        <v>160</v>
      </c>
      <c r="I758" s="83">
        <f t="shared" si="124"/>
        <v>0</v>
      </c>
      <c r="J758" s="86">
        <v>100</v>
      </c>
      <c r="K758" s="86">
        <v>300</v>
      </c>
      <c r="L758" s="83">
        <f t="shared" si="117"/>
        <v>1150</v>
      </c>
      <c r="M758" s="94">
        <v>600</v>
      </c>
      <c r="N758" s="83">
        <f>100</f>
        <v>100</v>
      </c>
      <c r="O758" s="86">
        <v>240</v>
      </c>
      <c r="P758" s="86">
        <v>40</v>
      </c>
      <c r="Q758" s="86">
        <f t="shared" si="118"/>
        <v>315</v>
      </c>
      <c r="R758" s="86">
        <f t="shared" si="119"/>
        <v>100</v>
      </c>
      <c r="S758" s="83">
        <f t="shared" si="120"/>
        <v>695</v>
      </c>
      <c r="T758" s="83">
        <f>50</f>
        <v>50</v>
      </c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</row>
    <row r="759" spans="1:30" ht="15.75" x14ac:dyDescent="0.25">
      <c r="A759" s="32">
        <v>64039</v>
      </c>
      <c r="B759" s="95">
        <f t="shared" si="121"/>
        <v>30</v>
      </c>
      <c r="C759" s="83">
        <f>141.293</f>
        <v>141.29300000000001</v>
      </c>
      <c r="D759" s="83">
        <f>267.993</f>
        <v>267.99299999999999</v>
      </c>
      <c r="E759" s="92">
        <f>115.016</f>
        <v>115.01600000000001</v>
      </c>
      <c r="F759" s="83">
        <f>314.698-40-25-60-100</f>
        <v>89.697999999999979</v>
      </c>
      <c r="G759" s="86">
        <v>40</v>
      </c>
      <c r="H759" s="83">
        <f t="shared" ref="H759:H765" si="125">25+60+100</f>
        <v>185</v>
      </c>
      <c r="I759" s="83">
        <f t="shared" si="124"/>
        <v>0</v>
      </c>
      <c r="J759" s="86">
        <v>100</v>
      </c>
      <c r="K759" s="86">
        <v>300</v>
      </c>
      <c r="L759" s="83">
        <f t="shared" si="117"/>
        <v>1239</v>
      </c>
      <c r="M759" s="94">
        <v>600</v>
      </c>
      <c r="N759" s="83">
        <f>100</f>
        <v>100</v>
      </c>
      <c r="O759" s="86">
        <v>240</v>
      </c>
      <c r="P759" s="86">
        <v>40</v>
      </c>
      <c r="Q759" s="86">
        <f t="shared" si="118"/>
        <v>315</v>
      </c>
      <c r="R759" s="86">
        <f t="shared" si="119"/>
        <v>100</v>
      </c>
      <c r="S759" s="83">
        <f t="shared" si="120"/>
        <v>695</v>
      </c>
      <c r="T759" s="83">
        <f>50</f>
        <v>50</v>
      </c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</row>
    <row r="760" spans="1:30" ht="15.75" x14ac:dyDescent="0.25">
      <c r="A760" s="32">
        <v>64070</v>
      </c>
      <c r="B760" s="95">
        <f t="shared" si="121"/>
        <v>31</v>
      </c>
      <c r="C760" s="83">
        <f>194.205</f>
        <v>194.20500000000001</v>
      </c>
      <c r="D760" s="83">
        <f>267.466</f>
        <v>267.46600000000001</v>
      </c>
      <c r="E760" s="92">
        <f>133.845</f>
        <v>133.845</v>
      </c>
      <c r="F760" s="83">
        <f>278.484-40-25-60-100</f>
        <v>53.48399999999998</v>
      </c>
      <c r="G760" s="86">
        <v>40</v>
      </c>
      <c r="H760" s="83">
        <f t="shared" si="125"/>
        <v>185</v>
      </c>
      <c r="I760" s="83">
        <f t="shared" si="124"/>
        <v>0</v>
      </c>
      <c r="J760" s="86">
        <v>100</v>
      </c>
      <c r="K760" s="86">
        <v>300</v>
      </c>
      <c r="L760" s="83">
        <f t="shared" si="117"/>
        <v>1274</v>
      </c>
      <c r="M760" s="94">
        <v>600</v>
      </c>
      <c r="N760" s="83">
        <f>75</f>
        <v>75</v>
      </c>
      <c r="O760" s="86">
        <v>240</v>
      </c>
      <c r="P760" s="86">
        <v>40</v>
      </c>
      <c r="Q760" s="86">
        <f t="shared" si="118"/>
        <v>315</v>
      </c>
      <c r="R760" s="86">
        <f t="shared" si="119"/>
        <v>100</v>
      </c>
      <c r="S760" s="83">
        <f t="shared" si="120"/>
        <v>695</v>
      </c>
      <c r="T760" s="83">
        <f>50</f>
        <v>50</v>
      </c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</row>
    <row r="761" spans="1:30" ht="15.75" x14ac:dyDescent="0.25">
      <c r="A761" s="32">
        <v>64100</v>
      </c>
      <c r="B761" s="95">
        <f t="shared" si="121"/>
        <v>30</v>
      </c>
      <c r="C761" s="83">
        <f>194.205</f>
        <v>194.20500000000001</v>
      </c>
      <c r="D761" s="83">
        <f>267.466</f>
        <v>267.46600000000001</v>
      </c>
      <c r="E761" s="92">
        <f>133.845</f>
        <v>133.845</v>
      </c>
      <c r="F761" s="83">
        <f>278.484-40-25-60-100</f>
        <v>53.48399999999998</v>
      </c>
      <c r="G761" s="86">
        <v>40</v>
      </c>
      <c r="H761" s="83">
        <f t="shared" si="125"/>
        <v>185</v>
      </c>
      <c r="I761" s="83">
        <f t="shared" si="124"/>
        <v>0</v>
      </c>
      <c r="J761" s="86">
        <v>100</v>
      </c>
      <c r="K761" s="86">
        <v>300</v>
      </c>
      <c r="L761" s="83">
        <f t="shared" si="117"/>
        <v>1274</v>
      </c>
      <c r="M761" s="94">
        <v>600</v>
      </c>
      <c r="N761" s="83">
        <f>30</f>
        <v>30</v>
      </c>
      <c r="O761" s="86">
        <v>240</v>
      </c>
      <c r="P761" s="86">
        <v>40</v>
      </c>
      <c r="Q761" s="86">
        <f t="shared" si="118"/>
        <v>315</v>
      </c>
      <c r="R761" s="86">
        <f t="shared" si="119"/>
        <v>100</v>
      </c>
      <c r="S761" s="83">
        <f t="shared" si="120"/>
        <v>695</v>
      </c>
      <c r="T761" s="83">
        <f>50</f>
        <v>50</v>
      </c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</row>
    <row r="762" spans="1:30" ht="15.75" x14ac:dyDescent="0.25">
      <c r="A762" s="32">
        <v>64131</v>
      </c>
      <c r="B762" s="95">
        <f t="shared" si="121"/>
        <v>31</v>
      </c>
      <c r="C762" s="83">
        <f>194.205</f>
        <v>194.20500000000001</v>
      </c>
      <c r="D762" s="83">
        <f>267.466</f>
        <v>267.46600000000001</v>
      </c>
      <c r="E762" s="92">
        <f>133.845</f>
        <v>133.845</v>
      </c>
      <c r="F762" s="83">
        <f>278.484-40-25-60-100</f>
        <v>53.48399999999998</v>
      </c>
      <c r="G762" s="86">
        <v>40</v>
      </c>
      <c r="H762" s="83">
        <f t="shared" si="125"/>
        <v>185</v>
      </c>
      <c r="I762" s="83">
        <f t="shared" si="124"/>
        <v>0</v>
      </c>
      <c r="J762" s="86">
        <v>100</v>
      </c>
      <c r="K762" s="86">
        <v>300</v>
      </c>
      <c r="L762" s="83">
        <f t="shared" si="117"/>
        <v>1274</v>
      </c>
      <c r="M762" s="94">
        <v>600</v>
      </c>
      <c r="N762" s="83">
        <f>30</f>
        <v>30</v>
      </c>
      <c r="O762" s="86">
        <v>240</v>
      </c>
      <c r="P762" s="86">
        <v>40</v>
      </c>
      <c r="Q762" s="86">
        <f t="shared" si="118"/>
        <v>315</v>
      </c>
      <c r="R762" s="86">
        <f t="shared" si="119"/>
        <v>100</v>
      </c>
      <c r="S762" s="83">
        <f t="shared" si="120"/>
        <v>695</v>
      </c>
      <c r="T762" s="83">
        <f>0</f>
        <v>0</v>
      </c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</row>
    <row r="763" spans="1:30" ht="15.75" x14ac:dyDescent="0.25">
      <c r="A763" s="32">
        <v>64162</v>
      </c>
      <c r="B763" s="95">
        <f t="shared" si="121"/>
        <v>31</v>
      </c>
      <c r="C763" s="83">
        <f>194.205</f>
        <v>194.20500000000001</v>
      </c>
      <c r="D763" s="83">
        <f>267.466</f>
        <v>267.46600000000001</v>
      </c>
      <c r="E763" s="92">
        <f>133.845</f>
        <v>133.845</v>
      </c>
      <c r="F763" s="83">
        <f>278.484-40-25-60-100</f>
        <v>53.48399999999998</v>
      </c>
      <c r="G763" s="86">
        <v>40</v>
      </c>
      <c r="H763" s="83">
        <f t="shared" si="125"/>
        <v>185</v>
      </c>
      <c r="I763" s="83">
        <f t="shared" si="124"/>
        <v>0</v>
      </c>
      <c r="J763" s="86">
        <v>100</v>
      </c>
      <c r="K763" s="86">
        <v>300</v>
      </c>
      <c r="L763" s="83">
        <f t="shared" si="117"/>
        <v>1274</v>
      </c>
      <c r="M763" s="94">
        <v>600</v>
      </c>
      <c r="N763" s="83">
        <f>30</f>
        <v>30</v>
      </c>
      <c r="O763" s="86">
        <v>240</v>
      </c>
      <c r="P763" s="86">
        <v>40</v>
      </c>
      <c r="Q763" s="86">
        <f t="shared" si="118"/>
        <v>315</v>
      </c>
      <c r="R763" s="86">
        <f t="shared" si="119"/>
        <v>100</v>
      </c>
      <c r="S763" s="83">
        <f t="shared" si="120"/>
        <v>695</v>
      </c>
      <c r="T763" s="83">
        <f>0</f>
        <v>0</v>
      </c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</row>
    <row r="764" spans="1:30" ht="15.75" x14ac:dyDescent="0.25">
      <c r="A764" s="32">
        <v>64192</v>
      </c>
      <c r="B764" s="95">
        <f t="shared" si="121"/>
        <v>30</v>
      </c>
      <c r="C764" s="83">
        <f>194.205</f>
        <v>194.20500000000001</v>
      </c>
      <c r="D764" s="83">
        <f>267.466</f>
        <v>267.46600000000001</v>
      </c>
      <c r="E764" s="92">
        <f>133.845</f>
        <v>133.845</v>
      </c>
      <c r="F764" s="83">
        <f>278.484-40-25-60-100</f>
        <v>53.48399999999998</v>
      </c>
      <c r="G764" s="86">
        <v>40</v>
      </c>
      <c r="H764" s="83">
        <f t="shared" si="125"/>
        <v>185</v>
      </c>
      <c r="I764" s="83">
        <f t="shared" si="124"/>
        <v>0</v>
      </c>
      <c r="J764" s="86">
        <v>100</v>
      </c>
      <c r="K764" s="86">
        <v>300</v>
      </c>
      <c r="L764" s="83">
        <f t="shared" si="117"/>
        <v>1274</v>
      </c>
      <c r="M764" s="94">
        <v>600</v>
      </c>
      <c r="N764" s="83">
        <f>30</f>
        <v>30</v>
      </c>
      <c r="O764" s="86">
        <v>240</v>
      </c>
      <c r="P764" s="86">
        <v>40</v>
      </c>
      <c r="Q764" s="86">
        <f t="shared" si="118"/>
        <v>315</v>
      </c>
      <c r="R764" s="86">
        <f t="shared" si="119"/>
        <v>100</v>
      </c>
      <c r="S764" s="83">
        <f t="shared" si="120"/>
        <v>695</v>
      </c>
      <c r="T764" s="83">
        <f>0</f>
        <v>0</v>
      </c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</row>
    <row r="765" spans="1:30" ht="15.75" x14ac:dyDescent="0.25">
      <c r="A765" s="32">
        <v>64223</v>
      </c>
      <c r="B765" s="95">
        <f t="shared" si="121"/>
        <v>31</v>
      </c>
      <c r="C765" s="83">
        <f>131.881</f>
        <v>131.881</v>
      </c>
      <c r="D765" s="83">
        <f>277.167</f>
        <v>277.16699999999997</v>
      </c>
      <c r="E765" s="92">
        <f>79.08</f>
        <v>79.08</v>
      </c>
      <c r="F765" s="83">
        <f>350.872-40-25-60-100</f>
        <v>125.87200000000001</v>
      </c>
      <c r="G765" s="86">
        <v>40</v>
      </c>
      <c r="H765" s="83">
        <f t="shared" si="125"/>
        <v>185</v>
      </c>
      <c r="I765" s="83">
        <f t="shared" si="124"/>
        <v>0</v>
      </c>
      <c r="J765" s="86">
        <v>100</v>
      </c>
      <c r="K765" s="86">
        <v>300</v>
      </c>
      <c r="L765" s="83">
        <f t="shared" si="117"/>
        <v>1239</v>
      </c>
      <c r="M765" s="94">
        <v>600</v>
      </c>
      <c r="N765" s="83">
        <f>75</f>
        <v>75</v>
      </c>
      <c r="O765" s="86">
        <v>240</v>
      </c>
      <c r="P765" s="86">
        <v>40</v>
      </c>
      <c r="Q765" s="86">
        <f t="shared" si="118"/>
        <v>315</v>
      </c>
      <c r="R765" s="86">
        <f t="shared" si="119"/>
        <v>100</v>
      </c>
      <c r="S765" s="83">
        <f t="shared" si="120"/>
        <v>695</v>
      </c>
      <c r="T765" s="83">
        <f>0</f>
        <v>0</v>
      </c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</row>
    <row r="766" spans="1:30" ht="15.75" x14ac:dyDescent="0.25">
      <c r="A766" s="32">
        <v>64253</v>
      </c>
      <c r="B766" s="95">
        <f t="shared" si="121"/>
        <v>30</v>
      </c>
      <c r="C766" s="83">
        <f>122.58</f>
        <v>122.58</v>
      </c>
      <c r="D766" s="83">
        <f>297.941</f>
        <v>297.94099999999997</v>
      </c>
      <c r="E766" s="92">
        <f>89.177</f>
        <v>89.177000000000007</v>
      </c>
      <c r="F766" s="83">
        <f>240.302-40-60-100</f>
        <v>40.301999999999992</v>
      </c>
      <c r="G766" s="86">
        <v>40</v>
      </c>
      <c r="H766" s="83">
        <f>60+100</f>
        <v>160</v>
      </c>
      <c r="I766" s="83">
        <f t="shared" si="124"/>
        <v>0</v>
      </c>
      <c r="J766" s="86">
        <v>100</v>
      </c>
      <c r="K766" s="86">
        <v>300</v>
      </c>
      <c r="L766" s="83">
        <f t="shared" si="117"/>
        <v>1150</v>
      </c>
      <c r="M766" s="94">
        <v>600</v>
      </c>
      <c r="N766" s="83">
        <f>100</f>
        <v>100</v>
      </c>
      <c r="O766" s="86">
        <v>240</v>
      </c>
      <c r="P766" s="86">
        <v>40</v>
      </c>
      <c r="Q766" s="86">
        <f t="shared" si="118"/>
        <v>315</v>
      </c>
      <c r="R766" s="86">
        <f t="shared" si="119"/>
        <v>100</v>
      </c>
      <c r="S766" s="83">
        <f t="shared" si="120"/>
        <v>695</v>
      </c>
      <c r="T766" s="83">
        <f>50</f>
        <v>50</v>
      </c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</row>
    <row r="767" spans="1:30" ht="15.75" x14ac:dyDescent="0.25">
      <c r="A767" s="32">
        <v>64284</v>
      </c>
      <c r="B767" s="95">
        <f t="shared" si="121"/>
        <v>31</v>
      </c>
      <c r="C767" s="83">
        <f>122.58</f>
        <v>122.58</v>
      </c>
      <c r="D767" s="83">
        <f>297.941</f>
        <v>297.94099999999997</v>
      </c>
      <c r="E767" s="92">
        <f>89.177</f>
        <v>89.177000000000007</v>
      </c>
      <c r="F767" s="83">
        <f>240.302-40-60-100</f>
        <v>40.301999999999992</v>
      </c>
      <c r="G767" s="86">
        <v>40</v>
      </c>
      <c r="H767" s="83">
        <f>60+100</f>
        <v>160</v>
      </c>
      <c r="I767" s="83">
        <f t="shared" si="124"/>
        <v>0</v>
      </c>
      <c r="J767" s="86">
        <v>100</v>
      </c>
      <c r="K767" s="86">
        <v>300</v>
      </c>
      <c r="L767" s="83">
        <f t="shared" si="117"/>
        <v>1150</v>
      </c>
      <c r="M767" s="94">
        <v>600</v>
      </c>
      <c r="N767" s="83">
        <f>100</f>
        <v>100</v>
      </c>
      <c r="O767" s="86">
        <v>240</v>
      </c>
      <c r="P767" s="86">
        <v>40</v>
      </c>
      <c r="Q767" s="86">
        <f t="shared" si="118"/>
        <v>315</v>
      </c>
      <c r="R767" s="86">
        <f t="shared" si="119"/>
        <v>100</v>
      </c>
      <c r="S767" s="83">
        <f t="shared" si="120"/>
        <v>695</v>
      </c>
      <c r="T767" s="83">
        <f>50</f>
        <v>50</v>
      </c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</row>
    <row r="768" spans="1:30" ht="15.75" x14ac:dyDescent="0.25">
      <c r="A768" s="32">
        <v>64315</v>
      </c>
      <c r="B768" s="95">
        <f t="shared" si="121"/>
        <v>31</v>
      </c>
      <c r="C768" s="83">
        <f>122.58</f>
        <v>122.58</v>
      </c>
      <c r="D768" s="83">
        <f>297.941</f>
        <v>297.94099999999997</v>
      </c>
      <c r="E768" s="92">
        <f>89.177</f>
        <v>89.177000000000007</v>
      </c>
      <c r="F768" s="83">
        <f>240.302-40-60-100</f>
        <v>40.301999999999992</v>
      </c>
      <c r="G768" s="86">
        <v>40</v>
      </c>
      <c r="H768" s="83">
        <f>60+100</f>
        <v>160</v>
      </c>
      <c r="I768" s="83">
        <f t="shared" si="124"/>
        <v>0</v>
      </c>
      <c r="J768" s="86">
        <v>100</v>
      </c>
      <c r="K768" s="86">
        <v>300</v>
      </c>
      <c r="L768" s="83">
        <f t="shared" si="117"/>
        <v>1150</v>
      </c>
      <c r="M768" s="94">
        <v>600</v>
      </c>
      <c r="N768" s="83">
        <f>100</f>
        <v>100</v>
      </c>
      <c r="O768" s="86">
        <v>240</v>
      </c>
      <c r="P768" s="86">
        <v>40</v>
      </c>
      <c r="Q768" s="86">
        <f t="shared" si="118"/>
        <v>315</v>
      </c>
      <c r="R768" s="86">
        <f t="shared" si="119"/>
        <v>100</v>
      </c>
      <c r="S768" s="83">
        <f t="shared" si="120"/>
        <v>695</v>
      </c>
      <c r="T768" s="83">
        <f>50</f>
        <v>50</v>
      </c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</row>
    <row r="769" spans="1:30" ht="15.75" x14ac:dyDescent="0.25">
      <c r="A769" s="32">
        <v>64344</v>
      </c>
      <c r="B769" s="95">
        <f t="shared" si="121"/>
        <v>29</v>
      </c>
      <c r="C769" s="83">
        <f>122.58</f>
        <v>122.58</v>
      </c>
      <c r="D769" s="83">
        <f>297.941</f>
        <v>297.94099999999997</v>
      </c>
      <c r="E769" s="92">
        <f>89.177</f>
        <v>89.177000000000007</v>
      </c>
      <c r="F769" s="83">
        <f>240.302-40-60-100</f>
        <v>40.301999999999992</v>
      </c>
      <c r="G769" s="86">
        <v>40</v>
      </c>
      <c r="H769" s="83">
        <f>60+100</f>
        <v>160</v>
      </c>
      <c r="I769" s="83">
        <f t="shared" si="124"/>
        <v>0</v>
      </c>
      <c r="J769" s="86">
        <v>100</v>
      </c>
      <c r="K769" s="86">
        <v>300</v>
      </c>
      <c r="L769" s="83">
        <f t="shared" si="117"/>
        <v>1150</v>
      </c>
      <c r="M769" s="94">
        <v>600</v>
      </c>
      <c r="N769" s="83">
        <f>100</f>
        <v>100</v>
      </c>
      <c r="O769" s="86">
        <v>240</v>
      </c>
      <c r="P769" s="86">
        <v>40</v>
      </c>
      <c r="Q769" s="86">
        <f t="shared" si="118"/>
        <v>315</v>
      </c>
      <c r="R769" s="86">
        <f t="shared" si="119"/>
        <v>100</v>
      </c>
      <c r="S769" s="83">
        <f t="shared" si="120"/>
        <v>695</v>
      </c>
      <c r="T769" s="83">
        <f>50</f>
        <v>50</v>
      </c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</row>
    <row r="770" spans="1:30" ht="15.75" x14ac:dyDescent="0.25">
      <c r="A770" s="32">
        <v>64375</v>
      </c>
      <c r="B770" s="95">
        <f t="shared" si="121"/>
        <v>31</v>
      </c>
      <c r="C770" s="83">
        <f>122.58</f>
        <v>122.58</v>
      </c>
      <c r="D770" s="83">
        <f>297.941</f>
        <v>297.94099999999997</v>
      </c>
      <c r="E770" s="92">
        <f>89.177</f>
        <v>89.177000000000007</v>
      </c>
      <c r="F770" s="83">
        <f>240.302-40-60-100</f>
        <v>40.301999999999992</v>
      </c>
      <c r="G770" s="86">
        <v>40</v>
      </c>
      <c r="H770" s="83">
        <f>60+100</f>
        <v>160</v>
      </c>
      <c r="I770" s="83">
        <f t="shared" si="124"/>
        <v>0</v>
      </c>
      <c r="J770" s="86">
        <v>100</v>
      </c>
      <c r="K770" s="86">
        <v>300</v>
      </c>
      <c r="L770" s="83">
        <f t="shared" si="117"/>
        <v>1150</v>
      </c>
      <c r="M770" s="94">
        <v>600</v>
      </c>
      <c r="N770" s="83">
        <f>100</f>
        <v>100</v>
      </c>
      <c r="O770" s="86">
        <v>240</v>
      </c>
      <c r="P770" s="86">
        <v>40</v>
      </c>
      <c r="Q770" s="86">
        <f t="shared" si="118"/>
        <v>315</v>
      </c>
      <c r="R770" s="86">
        <f t="shared" si="119"/>
        <v>100</v>
      </c>
      <c r="S770" s="83">
        <f t="shared" si="120"/>
        <v>695</v>
      </c>
      <c r="T770" s="83">
        <f>50</f>
        <v>50</v>
      </c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</row>
    <row r="771" spans="1:30" ht="15.75" x14ac:dyDescent="0.25">
      <c r="A771" s="32">
        <v>64405</v>
      </c>
      <c r="B771" s="95">
        <f t="shared" si="121"/>
        <v>30</v>
      </c>
      <c r="C771" s="83">
        <f>141.293</f>
        <v>141.29300000000001</v>
      </c>
      <c r="D771" s="83">
        <f>267.993</f>
        <v>267.99299999999999</v>
      </c>
      <c r="E771" s="92">
        <f>115.016</f>
        <v>115.01600000000001</v>
      </c>
      <c r="F771" s="83">
        <f>314.698-40-25-60-100</f>
        <v>89.697999999999979</v>
      </c>
      <c r="G771" s="86">
        <v>40</v>
      </c>
      <c r="H771" s="83">
        <f t="shared" ref="H771:H777" si="126">25+60+100</f>
        <v>185</v>
      </c>
      <c r="I771" s="83">
        <f t="shared" si="124"/>
        <v>0</v>
      </c>
      <c r="J771" s="86">
        <v>100</v>
      </c>
      <c r="K771" s="86">
        <v>300</v>
      </c>
      <c r="L771" s="83">
        <f t="shared" si="117"/>
        <v>1239</v>
      </c>
      <c r="M771" s="94">
        <v>600</v>
      </c>
      <c r="N771" s="83">
        <f>100</f>
        <v>100</v>
      </c>
      <c r="O771" s="86">
        <v>240</v>
      </c>
      <c r="P771" s="86">
        <v>40</v>
      </c>
      <c r="Q771" s="86">
        <f t="shared" si="118"/>
        <v>315</v>
      </c>
      <c r="R771" s="86">
        <f t="shared" si="119"/>
        <v>100</v>
      </c>
      <c r="S771" s="83">
        <f t="shared" si="120"/>
        <v>695</v>
      </c>
      <c r="T771" s="83">
        <f>50</f>
        <v>50</v>
      </c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</row>
    <row r="772" spans="1:30" ht="15.75" x14ac:dyDescent="0.25">
      <c r="A772" s="32">
        <v>64436</v>
      </c>
      <c r="B772" s="95">
        <f t="shared" si="121"/>
        <v>31</v>
      </c>
      <c r="C772" s="83">
        <f>194.205</f>
        <v>194.20500000000001</v>
      </c>
      <c r="D772" s="83">
        <f>267.466</f>
        <v>267.46600000000001</v>
      </c>
      <c r="E772" s="92">
        <f>133.845</f>
        <v>133.845</v>
      </c>
      <c r="F772" s="83">
        <f>278.484-40-25-60-100</f>
        <v>53.48399999999998</v>
      </c>
      <c r="G772" s="86">
        <v>40</v>
      </c>
      <c r="H772" s="83">
        <f t="shared" si="126"/>
        <v>185</v>
      </c>
      <c r="I772" s="83">
        <f t="shared" si="124"/>
        <v>0</v>
      </c>
      <c r="J772" s="86">
        <v>100</v>
      </c>
      <c r="K772" s="86">
        <v>300</v>
      </c>
      <c r="L772" s="83">
        <f t="shared" si="117"/>
        <v>1274</v>
      </c>
      <c r="M772" s="94">
        <v>600</v>
      </c>
      <c r="N772" s="83">
        <f>75</f>
        <v>75</v>
      </c>
      <c r="O772" s="86">
        <v>240</v>
      </c>
      <c r="P772" s="86">
        <v>40</v>
      </c>
      <c r="Q772" s="86">
        <f t="shared" si="118"/>
        <v>315</v>
      </c>
      <c r="R772" s="86">
        <f t="shared" si="119"/>
        <v>100</v>
      </c>
      <c r="S772" s="83">
        <f t="shared" si="120"/>
        <v>695</v>
      </c>
      <c r="T772" s="83">
        <f>50</f>
        <v>50</v>
      </c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</row>
    <row r="773" spans="1:30" ht="15.75" x14ac:dyDescent="0.25">
      <c r="A773" s="32">
        <v>64466</v>
      </c>
      <c r="B773" s="95">
        <f t="shared" si="121"/>
        <v>30</v>
      </c>
      <c r="C773" s="83">
        <f>194.205</f>
        <v>194.20500000000001</v>
      </c>
      <c r="D773" s="83">
        <f>267.466</f>
        <v>267.46600000000001</v>
      </c>
      <c r="E773" s="92">
        <f>133.845</f>
        <v>133.845</v>
      </c>
      <c r="F773" s="83">
        <f>278.484-40-25-60-100</f>
        <v>53.48399999999998</v>
      </c>
      <c r="G773" s="86">
        <v>40</v>
      </c>
      <c r="H773" s="83">
        <f t="shared" si="126"/>
        <v>185</v>
      </c>
      <c r="I773" s="83">
        <f t="shared" si="124"/>
        <v>0</v>
      </c>
      <c r="J773" s="86">
        <v>100</v>
      </c>
      <c r="K773" s="86">
        <v>300</v>
      </c>
      <c r="L773" s="83">
        <f t="shared" si="117"/>
        <v>1274</v>
      </c>
      <c r="M773" s="94">
        <v>600</v>
      </c>
      <c r="N773" s="83">
        <f>30</f>
        <v>30</v>
      </c>
      <c r="O773" s="86">
        <v>240</v>
      </c>
      <c r="P773" s="86">
        <v>40</v>
      </c>
      <c r="Q773" s="86">
        <f t="shared" si="118"/>
        <v>315</v>
      </c>
      <c r="R773" s="86">
        <f t="shared" si="119"/>
        <v>100</v>
      </c>
      <c r="S773" s="83">
        <f t="shared" si="120"/>
        <v>695</v>
      </c>
      <c r="T773" s="83">
        <f>50</f>
        <v>50</v>
      </c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</row>
    <row r="774" spans="1:30" ht="15.75" x14ac:dyDescent="0.25">
      <c r="A774" s="32">
        <v>64497</v>
      </c>
      <c r="B774" s="95">
        <f t="shared" si="121"/>
        <v>31</v>
      </c>
      <c r="C774" s="83">
        <f>194.205</f>
        <v>194.20500000000001</v>
      </c>
      <c r="D774" s="83">
        <f>267.466</f>
        <v>267.46600000000001</v>
      </c>
      <c r="E774" s="92">
        <f>133.845</f>
        <v>133.845</v>
      </c>
      <c r="F774" s="83">
        <f>278.484-40-25-60-100</f>
        <v>53.48399999999998</v>
      </c>
      <c r="G774" s="86">
        <v>40</v>
      </c>
      <c r="H774" s="83">
        <f t="shared" si="126"/>
        <v>185</v>
      </c>
      <c r="I774" s="83">
        <f t="shared" si="124"/>
        <v>0</v>
      </c>
      <c r="J774" s="86">
        <v>100</v>
      </c>
      <c r="K774" s="86">
        <v>300</v>
      </c>
      <c r="L774" s="83">
        <f t="shared" si="117"/>
        <v>1274</v>
      </c>
      <c r="M774" s="94">
        <v>600</v>
      </c>
      <c r="N774" s="83">
        <f>30</f>
        <v>30</v>
      </c>
      <c r="O774" s="86">
        <v>240</v>
      </c>
      <c r="P774" s="86">
        <v>40</v>
      </c>
      <c r="Q774" s="86">
        <f t="shared" si="118"/>
        <v>315</v>
      </c>
      <c r="R774" s="86">
        <f t="shared" si="119"/>
        <v>100</v>
      </c>
      <c r="S774" s="83">
        <f t="shared" si="120"/>
        <v>695</v>
      </c>
      <c r="T774" s="83">
        <f>0</f>
        <v>0</v>
      </c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</row>
    <row r="775" spans="1:30" ht="15.75" x14ac:dyDescent="0.25">
      <c r="A775" s="32">
        <v>64528</v>
      </c>
      <c r="B775" s="95">
        <f t="shared" si="121"/>
        <v>31</v>
      </c>
      <c r="C775" s="83">
        <f>194.205</f>
        <v>194.20500000000001</v>
      </c>
      <c r="D775" s="83">
        <f>267.466</f>
        <v>267.46600000000001</v>
      </c>
      <c r="E775" s="92">
        <f>133.845</f>
        <v>133.845</v>
      </c>
      <c r="F775" s="83">
        <f>278.484-40-25-60-100</f>
        <v>53.48399999999998</v>
      </c>
      <c r="G775" s="86">
        <v>40</v>
      </c>
      <c r="H775" s="83">
        <f t="shared" si="126"/>
        <v>185</v>
      </c>
      <c r="I775" s="83">
        <f t="shared" si="124"/>
        <v>0</v>
      </c>
      <c r="J775" s="86">
        <v>100</v>
      </c>
      <c r="K775" s="86">
        <v>300</v>
      </c>
      <c r="L775" s="83">
        <f t="shared" si="117"/>
        <v>1274</v>
      </c>
      <c r="M775" s="94">
        <v>600</v>
      </c>
      <c r="N775" s="83">
        <f>30</f>
        <v>30</v>
      </c>
      <c r="O775" s="86">
        <v>240</v>
      </c>
      <c r="P775" s="86">
        <v>40</v>
      </c>
      <c r="Q775" s="86">
        <f t="shared" si="118"/>
        <v>315</v>
      </c>
      <c r="R775" s="86">
        <f t="shared" si="119"/>
        <v>100</v>
      </c>
      <c r="S775" s="83">
        <f t="shared" si="120"/>
        <v>695</v>
      </c>
      <c r="T775" s="83">
        <f>0</f>
        <v>0</v>
      </c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</row>
    <row r="776" spans="1:30" ht="15.75" x14ac:dyDescent="0.25">
      <c r="A776" s="32">
        <v>64558</v>
      </c>
      <c r="B776" s="95">
        <f t="shared" si="121"/>
        <v>30</v>
      </c>
      <c r="C776" s="83">
        <f>194.205</f>
        <v>194.20500000000001</v>
      </c>
      <c r="D776" s="83">
        <f>267.466</f>
        <v>267.46600000000001</v>
      </c>
      <c r="E776" s="92">
        <f>133.845</f>
        <v>133.845</v>
      </c>
      <c r="F776" s="83">
        <f>278.484-40-25-60-100</f>
        <v>53.48399999999998</v>
      </c>
      <c r="G776" s="86">
        <v>40</v>
      </c>
      <c r="H776" s="83">
        <f t="shared" si="126"/>
        <v>185</v>
      </c>
      <c r="I776" s="83">
        <f t="shared" si="124"/>
        <v>0</v>
      </c>
      <c r="J776" s="86">
        <v>100</v>
      </c>
      <c r="K776" s="86">
        <v>300</v>
      </c>
      <c r="L776" s="83">
        <f t="shared" si="117"/>
        <v>1274</v>
      </c>
      <c r="M776" s="94">
        <v>600</v>
      </c>
      <c r="N776" s="83">
        <f>30</f>
        <v>30</v>
      </c>
      <c r="O776" s="86">
        <v>240</v>
      </c>
      <c r="P776" s="86">
        <v>40</v>
      </c>
      <c r="Q776" s="86">
        <f t="shared" si="118"/>
        <v>315</v>
      </c>
      <c r="R776" s="86">
        <f t="shared" si="119"/>
        <v>100</v>
      </c>
      <c r="S776" s="83">
        <f t="shared" si="120"/>
        <v>695</v>
      </c>
      <c r="T776" s="83">
        <f>0</f>
        <v>0</v>
      </c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</row>
    <row r="777" spans="1:30" ht="15.75" x14ac:dyDescent="0.25">
      <c r="A777" s="32">
        <v>64589</v>
      </c>
      <c r="B777" s="95">
        <f t="shared" si="121"/>
        <v>31</v>
      </c>
      <c r="C777" s="83">
        <f>131.881</f>
        <v>131.881</v>
      </c>
      <c r="D777" s="83">
        <f>277.167</f>
        <v>277.16699999999997</v>
      </c>
      <c r="E777" s="92">
        <f>79.08</f>
        <v>79.08</v>
      </c>
      <c r="F777" s="83">
        <f>350.872-40-25-60-100</f>
        <v>125.87200000000001</v>
      </c>
      <c r="G777" s="86">
        <v>40</v>
      </c>
      <c r="H777" s="83">
        <f t="shared" si="126"/>
        <v>185</v>
      </c>
      <c r="I777" s="83">
        <f t="shared" si="124"/>
        <v>0</v>
      </c>
      <c r="J777" s="86">
        <v>100</v>
      </c>
      <c r="K777" s="86">
        <v>300</v>
      </c>
      <c r="L777" s="83">
        <f t="shared" si="117"/>
        <v>1239</v>
      </c>
      <c r="M777" s="94">
        <v>600</v>
      </c>
      <c r="N777" s="83">
        <f>75</f>
        <v>75</v>
      </c>
      <c r="O777" s="86">
        <v>240</v>
      </c>
      <c r="P777" s="86">
        <v>40</v>
      </c>
      <c r="Q777" s="86">
        <f t="shared" si="118"/>
        <v>315</v>
      </c>
      <c r="R777" s="86">
        <f t="shared" si="119"/>
        <v>100</v>
      </c>
      <c r="S777" s="83">
        <f t="shared" si="120"/>
        <v>695</v>
      </c>
      <c r="T777" s="83">
        <f>0</f>
        <v>0</v>
      </c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</row>
    <row r="778" spans="1:30" ht="15.75" x14ac:dyDescent="0.25">
      <c r="A778" s="32">
        <v>64619</v>
      </c>
      <c r="B778" s="95">
        <f t="shared" si="121"/>
        <v>30</v>
      </c>
      <c r="C778" s="83">
        <f>122.58</f>
        <v>122.58</v>
      </c>
      <c r="D778" s="83">
        <f>297.941</f>
        <v>297.94099999999997</v>
      </c>
      <c r="E778" s="92">
        <f>89.177</f>
        <v>89.177000000000007</v>
      </c>
      <c r="F778" s="83">
        <f>240.302-40-60-100</f>
        <v>40.301999999999992</v>
      </c>
      <c r="G778" s="86">
        <v>40</v>
      </c>
      <c r="H778" s="83">
        <f>60+100</f>
        <v>160</v>
      </c>
      <c r="I778" s="83">
        <f t="shared" si="124"/>
        <v>0</v>
      </c>
      <c r="J778" s="86">
        <v>100</v>
      </c>
      <c r="K778" s="86">
        <v>300</v>
      </c>
      <c r="L778" s="83">
        <f t="shared" si="117"/>
        <v>1150</v>
      </c>
      <c r="M778" s="94">
        <v>600</v>
      </c>
      <c r="N778" s="83">
        <f>100</f>
        <v>100</v>
      </c>
      <c r="O778" s="86">
        <v>240</v>
      </c>
      <c r="P778" s="86">
        <v>40</v>
      </c>
      <c r="Q778" s="86">
        <f t="shared" si="118"/>
        <v>315</v>
      </c>
      <c r="R778" s="86">
        <f t="shared" si="119"/>
        <v>100</v>
      </c>
      <c r="S778" s="83">
        <f t="shared" si="120"/>
        <v>695</v>
      </c>
      <c r="T778" s="83">
        <f>50</f>
        <v>50</v>
      </c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</row>
    <row r="779" spans="1:30" ht="15.75" x14ac:dyDescent="0.25">
      <c r="A779" s="32">
        <v>64650</v>
      </c>
      <c r="B779" s="95">
        <f t="shared" si="121"/>
        <v>31</v>
      </c>
      <c r="C779" s="83">
        <f>122.58</f>
        <v>122.58</v>
      </c>
      <c r="D779" s="83">
        <f>297.941</f>
        <v>297.94099999999997</v>
      </c>
      <c r="E779" s="92">
        <f>89.177</f>
        <v>89.177000000000007</v>
      </c>
      <c r="F779" s="83">
        <f>240.302-40-60-100</f>
        <v>40.301999999999992</v>
      </c>
      <c r="G779" s="86">
        <v>40</v>
      </c>
      <c r="H779" s="83">
        <f>60+100</f>
        <v>160</v>
      </c>
      <c r="I779" s="83">
        <f t="shared" si="124"/>
        <v>0</v>
      </c>
      <c r="J779" s="86">
        <v>100</v>
      </c>
      <c r="K779" s="86">
        <v>300</v>
      </c>
      <c r="L779" s="83">
        <f t="shared" si="117"/>
        <v>1150</v>
      </c>
      <c r="M779" s="94">
        <v>600</v>
      </c>
      <c r="N779" s="83">
        <f>100</f>
        <v>100</v>
      </c>
      <c r="O779" s="86">
        <v>240</v>
      </c>
      <c r="P779" s="86">
        <v>40</v>
      </c>
      <c r="Q779" s="86">
        <f t="shared" si="118"/>
        <v>315</v>
      </c>
      <c r="R779" s="86">
        <f t="shared" si="119"/>
        <v>100</v>
      </c>
      <c r="S779" s="83">
        <f t="shared" si="120"/>
        <v>695</v>
      </c>
      <c r="T779" s="83">
        <f>50</f>
        <v>50</v>
      </c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</row>
    <row r="780" spans="1:30" ht="15.75" x14ac:dyDescent="0.25">
      <c r="A780" s="32">
        <v>64681</v>
      </c>
      <c r="B780" s="95">
        <f t="shared" si="121"/>
        <v>31</v>
      </c>
      <c r="C780" s="83">
        <f>122.58</f>
        <v>122.58</v>
      </c>
      <c r="D780" s="83">
        <f>297.941</f>
        <v>297.94099999999997</v>
      </c>
      <c r="E780" s="92">
        <f>89.177</f>
        <v>89.177000000000007</v>
      </c>
      <c r="F780" s="83">
        <f>240.302-40-60-100</f>
        <v>40.301999999999992</v>
      </c>
      <c r="G780" s="86">
        <v>40</v>
      </c>
      <c r="H780" s="83">
        <f>60+100</f>
        <v>160</v>
      </c>
      <c r="I780" s="83">
        <f t="shared" si="124"/>
        <v>0</v>
      </c>
      <c r="J780" s="86">
        <v>100</v>
      </c>
      <c r="K780" s="86">
        <v>300</v>
      </c>
      <c r="L780" s="83">
        <f t="shared" si="117"/>
        <v>1150</v>
      </c>
      <c r="M780" s="94">
        <v>600</v>
      </c>
      <c r="N780" s="83">
        <f>100</f>
        <v>100</v>
      </c>
      <c r="O780" s="86">
        <v>240</v>
      </c>
      <c r="P780" s="86">
        <v>40</v>
      </c>
      <c r="Q780" s="86">
        <f t="shared" si="118"/>
        <v>315</v>
      </c>
      <c r="R780" s="86">
        <f t="shared" si="119"/>
        <v>100</v>
      </c>
      <c r="S780" s="83">
        <f t="shared" si="120"/>
        <v>695</v>
      </c>
      <c r="T780" s="83">
        <f>50</f>
        <v>50</v>
      </c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</row>
    <row r="781" spans="1:30" ht="15.75" x14ac:dyDescent="0.25">
      <c r="A781" s="32">
        <v>64709</v>
      </c>
      <c r="B781" s="95">
        <f t="shared" si="121"/>
        <v>28</v>
      </c>
      <c r="C781" s="83">
        <f>122.58</f>
        <v>122.58</v>
      </c>
      <c r="D781" s="83">
        <f>297.941</f>
        <v>297.94099999999997</v>
      </c>
      <c r="E781" s="92">
        <f>89.177</f>
        <v>89.177000000000007</v>
      </c>
      <c r="F781" s="83">
        <f>240.302-40-60-100</f>
        <v>40.301999999999992</v>
      </c>
      <c r="G781" s="86">
        <v>40</v>
      </c>
      <c r="H781" s="83">
        <f>60+100</f>
        <v>160</v>
      </c>
      <c r="I781" s="83">
        <f t="shared" si="124"/>
        <v>0</v>
      </c>
      <c r="J781" s="86">
        <v>100</v>
      </c>
      <c r="K781" s="86">
        <v>300</v>
      </c>
      <c r="L781" s="83">
        <f t="shared" si="117"/>
        <v>1150</v>
      </c>
      <c r="M781" s="94">
        <v>600</v>
      </c>
      <c r="N781" s="83">
        <f>100</f>
        <v>100</v>
      </c>
      <c r="O781" s="86">
        <v>240</v>
      </c>
      <c r="P781" s="86">
        <v>40</v>
      </c>
      <c r="Q781" s="86">
        <f t="shared" si="118"/>
        <v>315</v>
      </c>
      <c r="R781" s="86">
        <f t="shared" si="119"/>
        <v>100</v>
      </c>
      <c r="S781" s="83">
        <f t="shared" si="120"/>
        <v>695</v>
      </c>
      <c r="T781" s="83">
        <f>50</f>
        <v>50</v>
      </c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</row>
    <row r="782" spans="1:30" ht="15.75" x14ac:dyDescent="0.25">
      <c r="A782" s="32">
        <v>64740</v>
      </c>
      <c r="B782" s="95">
        <f t="shared" si="121"/>
        <v>31</v>
      </c>
      <c r="C782" s="83">
        <f>122.58</f>
        <v>122.58</v>
      </c>
      <c r="D782" s="83">
        <f>297.941</f>
        <v>297.94099999999997</v>
      </c>
      <c r="E782" s="92">
        <f>89.177</f>
        <v>89.177000000000007</v>
      </c>
      <c r="F782" s="83">
        <f>240.302-40-60-100</f>
        <v>40.301999999999992</v>
      </c>
      <c r="G782" s="86">
        <v>40</v>
      </c>
      <c r="H782" s="83">
        <f>60+100</f>
        <v>160</v>
      </c>
      <c r="I782" s="83">
        <f t="shared" si="124"/>
        <v>0</v>
      </c>
      <c r="J782" s="86">
        <v>100</v>
      </c>
      <c r="K782" s="86">
        <v>300</v>
      </c>
      <c r="L782" s="83">
        <f t="shared" si="117"/>
        <v>1150</v>
      </c>
      <c r="M782" s="94">
        <v>600</v>
      </c>
      <c r="N782" s="83">
        <f>100</f>
        <v>100</v>
      </c>
      <c r="O782" s="86">
        <v>240</v>
      </c>
      <c r="P782" s="86">
        <v>40</v>
      </c>
      <c r="Q782" s="86">
        <f t="shared" si="118"/>
        <v>315</v>
      </c>
      <c r="R782" s="86">
        <f t="shared" si="119"/>
        <v>100</v>
      </c>
      <c r="S782" s="83">
        <f t="shared" si="120"/>
        <v>695</v>
      </c>
      <c r="T782" s="83">
        <f>50</f>
        <v>50</v>
      </c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</row>
    <row r="783" spans="1:30" ht="15.75" x14ac:dyDescent="0.25">
      <c r="A783" s="32">
        <v>64770</v>
      </c>
      <c r="B783" s="95">
        <f t="shared" si="121"/>
        <v>30</v>
      </c>
      <c r="C783" s="83">
        <f>141.293</f>
        <v>141.29300000000001</v>
      </c>
      <c r="D783" s="83">
        <f>267.993</f>
        <v>267.99299999999999</v>
      </c>
      <c r="E783" s="92">
        <f>115.016</f>
        <v>115.01600000000001</v>
      </c>
      <c r="F783" s="83">
        <f>314.698-40-25-60-100</f>
        <v>89.697999999999979</v>
      </c>
      <c r="G783" s="86">
        <v>40</v>
      </c>
      <c r="H783" s="83">
        <f t="shared" ref="H783:H789" si="127">25+60+100</f>
        <v>185</v>
      </c>
      <c r="I783" s="83">
        <f t="shared" si="124"/>
        <v>0</v>
      </c>
      <c r="J783" s="86">
        <v>100</v>
      </c>
      <c r="K783" s="86">
        <v>300</v>
      </c>
      <c r="L783" s="83">
        <f t="shared" si="117"/>
        <v>1239</v>
      </c>
      <c r="M783" s="94">
        <v>600</v>
      </c>
      <c r="N783" s="83">
        <f>100</f>
        <v>100</v>
      </c>
      <c r="O783" s="86">
        <v>240</v>
      </c>
      <c r="P783" s="86">
        <v>40</v>
      </c>
      <c r="Q783" s="86">
        <f t="shared" si="118"/>
        <v>315</v>
      </c>
      <c r="R783" s="86">
        <f t="shared" si="119"/>
        <v>100</v>
      </c>
      <c r="S783" s="83">
        <f t="shared" si="120"/>
        <v>695</v>
      </c>
      <c r="T783" s="83">
        <f>50</f>
        <v>50</v>
      </c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</row>
    <row r="784" spans="1:30" ht="15.75" x14ac:dyDescent="0.25">
      <c r="A784" s="32">
        <v>64801</v>
      </c>
      <c r="B784" s="95">
        <f t="shared" si="121"/>
        <v>31</v>
      </c>
      <c r="C784" s="83">
        <f>194.205</f>
        <v>194.20500000000001</v>
      </c>
      <c r="D784" s="83">
        <f>267.466</f>
        <v>267.46600000000001</v>
      </c>
      <c r="E784" s="92">
        <f>133.845</f>
        <v>133.845</v>
      </c>
      <c r="F784" s="83">
        <f>278.484-40-25-60-100</f>
        <v>53.48399999999998</v>
      </c>
      <c r="G784" s="86">
        <v>40</v>
      </c>
      <c r="H784" s="83">
        <f t="shared" si="127"/>
        <v>185</v>
      </c>
      <c r="I784" s="83">
        <f t="shared" si="124"/>
        <v>0</v>
      </c>
      <c r="J784" s="86">
        <v>100</v>
      </c>
      <c r="K784" s="86">
        <v>300</v>
      </c>
      <c r="L784" s="83">
        <f t="shared" si="117"/>
        <v>1274</v>
      </c>
      <c r="M784" s="94">
        <v>600</v>
      </c>
      <c r="N784" s="83">
        <f>75</f>
        <v>75</v>
      </c>
      <c r="O784" s="86">
        <v>240</v>
      </c>
      <c r="P784" s="86">
        <v>40</v>
      </c>
      <c r="Q784" s="86">
        <f t="shared" si="118"/>
        <v>315</v>
      </c>
      <c r="R784" s="86">
        <f t="shared" si="119"/>
        <v>100</v>
      </c>
      <c r="S784" s="83">
        <f t="shared" si="120"/>
        <v>695</v>
      </c>
      <c r="T784" s="83">
        <f>50</f>
        <v>50</v>
      </c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</row>
    <row r="785" spans="1:30" ht="15.75" x14ac:dyDescent="0.25">
      <c r="A785" s="32">
        <v>64831</v>
      </c>
      <c r="B785" s="95">
        <f t="shared" si="121"/>
        <v>30</v>
      </c>
      <c r="C785" s="83">
        <f>194.205</f>
        <v>194.20500000000001</v>
      </c>
      <c r="D785" s="83">
        <f>267.466</f>
        <v>267.46600000000001</v>
      </c>
      <c r="E785" s="92">
        <f>133.845</f>
        <v>133.845</v>
      </c>
      <c r="F785" s="83">
        <f>278.484-40-25-60-100</f>
        <v>53.48399999999998</v>
      </c>
      <c r="G785" s="86">
        <v>40</v>
      </c>
      <c r="H785" s="83">
        <f t="shared" si="127"/>
        <v>185</v>
      </c>
      <c r="I785" s="83">
        <f t="shared" si="124"/>
        <v>0</v>
      </c>
      <c r="J785" s="86">
        <v>100</v>
      </c>
      <c r="K785" s="86">
        <v>300</v>
      </c>
      <c r="L785" s="83">
        <f t="shared" si="117"/>
        <v>1274</v>
      </c>
      <c r="M785" s="94">
        <v>600</v>
      </c>
      <c r="N785" s="83">
        <f>30</f>
        <v>30</v>
      </c>
      <c r="O785" s="86">
        <v>240</v>
      </c>
      <c r="P785" s="86">
        <v>40</v>
      </c>
      <c r="Q785" s="86">
        <f t="shared" si="118"/>
        <v>315</v>
      </c>
      <c r="R785" s="86">
        <f t="shared" si="119"/>
        <v>100</v>
      </c>
      <c r="S785" s="83">
        <f t="shared" si="120"/>
        <v>695</v>
      </c>
      <c r="T785" s="83">
        <f>50</f>
        <v>50</v>
      </c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</row>
    <row r="786" spans="1:30" ht="15.75" x14ac:dyDescent="0.25">
      <c r="A786" s="32">
        <v>64862</v>
      </c>
      <c r="B786" s="95">
        <f t="shared" si="121"/>
        <v>31</v>
      </c>
      <c r="C786" s="83">
        <f>194.205</f>
        <v>194.20500000000001</v>
      </c>
      <c r="D786" s="83">
        <f>267.466</f>
        <v>267.46600000000001</v>
      </c>
      <c r="E786" s="92">
        <f>133.845</f>
        <v>133.845</v>
      </c>
      <c r="F786" s="83">
        <f>278.484-40-25-60-100</f>
        <v>53.48399999999998</v>
      </c>
      <c r="G786" s="86">
        <v>40</v>
      </c>
      <c r="H786" s="83">
        <f t="shared" si="127"/>
        <v>185</v>
      </c>
      <c r="I786" s="83">
        <f t="shared" si="124"/>
        <v>0</v>
      </c>
      <c r="J786" s="86">
        <v>100</v>
      </c>
      <c r="K786" s="86">
        <v>300</v>
      </c>
      <c r="L786" s="83">
        <f t="shared" si="117"/>
        <v>1274</v>
      </c>
      <c r="M786" s="94">
        <v>600</v>
      </c>
      <c r="N786" s="83">
        <f>30</f>
        <v>30</v>
      </c>
      <c r="O786" s="86">
        <v>240</v>
      </c>
      <c r="P786" s="86">
        <v>40</v>
      </c>
      <c r="Q786" s="86">
        <f t="shared" si="118"/>
        <v>315</v>
      </c>
      <c r="R786" s="86">
        <f t="shared" si="119"/>
        <v>100</v>
      </c>
      <c r="S786" s="83">
        <f t="shared" si="120"/>
        <v>695</v>
      </c>
      <c r="T786" s="83">
        <f>0</f>
        <v>0</v>
      </c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</row>
    <row r="787" spans="1:30" ht="15.75" x14ac:dyDescent="0.25">
      <c r="A787" s="32">
        <v>64893</v>
      </c>
      <c r="B787" s="95">
        <f t="shared" si="121"/>
        <v>31</v>
      </c>
      <c r="C787" s="83">
        <f>194.205</f>
        <v>194.20500000000001</v>
      </c>
      <c r="D787" s="83">
        <f>267.466</f>
        <v>267.46600000000001</v>
      </c>
      <c r="E787" s="92">
        <f>133.845</f>
        <v>133.845</v>
      </c>
      <c r="F787" s="83">
        <f>278.484-40-25-60-100</f>
        <v>53.48399999999998</v>
      </c>
      <c r="G787" s="86">
        <v>40</v>
      </c>
      <c r="H787" s="83">
        <f t="shared" si="127"/>
        <v>185</v>
      </c>
      <c r="I787" s="83">
        <f t="shared" si="124"/>
        <v>0</v>
      </c>
      <c r="J787" s="86">
        <v>100</v>
      </c>
      <c r="K787" s="86">
        <v>300</v>
      </c>
      <c r="L787" s="83">
        <f t="shared" si="117"/>
        <v>1274</v>
      </c>
      <c r="M787" s="94">
        <v>600</v>
      </c>
      <c r="N787" s="83">
        <f>30</f>
        <v>30</v>
      </c>
      <c r="O787" s="86">
        <v>240</v>
      </c>
      <c r="P787" s="86">
        <v>40</v>
      </c>
      <c r="Q787" s="86">
        <f t="shared" si="118"/>
        <v>315</v>
      </c>
      <c r="R787" s="86">
        <f t="shared" si="119"/>
        <v>100</v>
      </c>
      <c r="S787" s="83">
        <f t="shared" si="120"/>
        <v>695</v>
      </c>
      <c r="T787" s="83">
        <f>0</f>
        <v>0</v>
      </c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</row>
    <row r="788" spans="1:30" ht="15.75" x14ac:dyDescent="0.25">
      <c r="A788" s="32">
        <v>64923</v>
      </c>
      <c r="B788" s="95">
        <f t="shared" si="121"/>
        <v>30</v>
      </c>
      <c r="C788" s="83">
        <f>194.205</f>
        <v>194.20500000000001</v>
      </c>
      <c r="D788" s="83">
        <f>267.466</f>
        <v>267.46600000000001</v>
      </c>
      <c r="E788" s="92">
        <f>133.845</f>
        <v>133.845</v>
      </c>
      <c r="F788" s="83">
        <f>278.484-40-25-60-100</f>
        <v>53.48399999999998</v>
      </c>
      <c r="G788" s="86">
        <v>40</v>
      </c>
      <c r="H788" s="83">
        <f t="shared" si="127"/>
        <v>185</v>
      </c>
      <c r="I788" s="83">
        <f t="shared" si="124"/>
        <v>0</v>
      </c>
      <c r="J788" s="86">
        <v>100</v>
      </c>
      <c r="K788" s="86">
        <v>300</v>
      </c>
      <c r="L788" s="83">
        <f t="shared" si="117"/>
        <v>1274</v>
      </c>
      <c r="M788" s="94">
        <v>600</v>
      </c>
      <c r="N788" s="83">
        <f>30</f>
        <v>30</v>
      </c>
      <c r="O788" s="86">
        <v>240</v>
      </c>
      <c r="P788" s="86">
        <v>40</v>
      </c>
      <c r="Q788" s="86">
        <f t="shared" si="118"/>
        <v>315</v>
      </c>
      <c r="R788" s="86">
        <f t="shared" si="119"/>
        <v>100</v>
      </c>
      <c r="S788" s="83">
        <f t="shared" si="120"/>
        <v>695</v>
      </c>
      <c r="T788" s="83">
        <f>0</f>
        <v>0</v>
      </c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</row>
    <row r="789" spans="1:30" ht="15.75" x14ac:dyDescent="0.25">
      <c r="A789" s="32">
        <v>64954</v>
      </c>
      <c r="B789" s="95">
        <f t="shared" si="121"/>
        <v>31</v>
      </c>
      <c r="C789" s="83">
        <f>131.881</f>
        <v>131.881</v>
      </c>
      <c r="D789" s="83">
        <f>277.167</f>
        <v>277.16699999999997</v>
      </c>
      <c r="E789" s="92">
        <f>79.08</f>
        <v>79.08</v>
      </c>
      <c r="F789" s="83">
        <f>350.872-40-25-60-100</f>
        <v>125.87200000000001</v>
      </c>
      <c r="G789" s="86">
        <v>40</v>
      </c>
      <c r="H789" s="83">
        <f t="shared" si="127"/>
        <v>185</v>
      </c>
      <c r="I789" s="83">
        <f t="shared" si="124"/>
        <v>0</v>
      </c>
      <c r="J789" s="86">
        <v>100</v>
      </c>
      <c r="K789" s="86">
        <v>300</v>
      </c>
      <c r="L789" s="83">
        <f t="shared" si="117"/>
        <v>1239</v>
      </c>
      <c r="M789" s="94">
        <v>600</v>
      </c>
      <c r="N789" s="83">
        <f>75</f>
        <v>75</v>
      </c>
      <c r="O789" s="86">
        <v>240</v>
      </c>
      <c r="P789" s="86">
        <v>40</v>
      </c>
      <c r="Q789" s="86">
        <f t="shared" si="118"/>
        <v>315</v>
      </c>
      <c r="R789" s="86">
        <f t="shared" si="119"/>
        <v>100</v>
      </c>
      <c r="S789" s="83">
        <f t="shared" si="120"/>
        <v>695</v>
      </c>
      <c r="T789" s="83">
        <f>0</f>
        <v>0</v>
      </c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</row>
    <row r="790" spans="1:30" ht="15.75" x14ac:dyDescent="0.25">
      <c r="A790" s="32">
        <v>64984</v>
      </c>
      <c r="B790" s="95">
        <f t="shared" si="121"/>
        <v>30</v>
      </c>
      <c r="C790" s="83">
        <f>122.58</f>
        <v>122.58</v>
      </c>
      <c r="D790" s="83">
        <f>297.941</f>
        <v>297.94099999999997</v>
      </c>
      <c r="E790" s="92">
        <f>89.177</f>
        <v>89.177000000000007</v>
      </c>
      <c r="F790" s="83">
        <f>240.302-40-60-100</f>
        <v>40.301999999999992</v>
      </c>
      <c r="G790" s="86">
        <v>40</v>
      </c>
      <c r="H790" s="83">
        <f>60+100</f>
        <v>160</v>
      </c>
      <c r="I790" s="83">
        <f t="shared" si="124"/>
        <v>0</v>
      </c>
      <c r="J790" s="86">
        <v>100</v>
      </c>
      <c r="K790" s="86">
        <v>300</v>
      </c>
      <c r="L790" s="83">
        <f t="shared" ref="L790:L853" si="128">SUM(C790:K790)</f>
        <v>1150</v>
      </c>
      <c r="M790" s="94">
        <v>600</v>
      </c>
      <c r="N790" s="83">
        <f>100</f>
        <v>100</v>
      </c>
      <c r="O790" s="86">
        <v>240</v>
      </c>
      <c r="P790" s="86">
        <v>40</v>
      </c>
      <c r="Q790" s="86">
        <f t="shared" ref="Q790:Q853" si="129">695-R790-O790-P790</f>
        <v>315</v>
      </c>
      <c r="R790" s="86">
        <f t="shared" ref="R790:R853" si="130">200-J790</f>
        <v>100</v>
      </c>
      <c r="S790" s="83">
        <f t="shared" ref="S790:S853" si="131">SUM(O790:R790)</f>
        <v>695</v>
      </c>
      <c r="T790" s="83">
        <f>50</f>
        <v>50</v>
      </c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</row>
    <row r="791" spans="1:30" ht="15.75" x14ac:dyDescent="0.25">
      <c r="A791" s="32">
        <v>65015</v>
      </c>
      <c r="B791" s="95">
        <f t="shared" si="121"/>
        <v>31</v>
      </c>
      <c r="C791" s="83">
        <f>122.58</f>
        <v>122.58</v>
      </c>
      <c r="D791" s="83">
        <f>297.941</f>
        <v>297.94099999999997</v>
      </c>
      <c r="E791" s="92">
        <f>89.177</f>
        <v>89.177000000000007</v>
      </c>
      <c r="F791" s="83">
        <f>240.302-40-60-100</f>
        <v>40.301999999999992</v>
      </c>
      <c r="G791" s="86">
        <v>40</v>
      </c>
      <c r="H791" s="83">
        <f>60+100</f>
        <v>160</v>
      </c>
      <c r="I791" s="83">
        <f t="shared" si="124"/>
        <v>0</v>
      </c>
      <c r="J791" s="86">
        <v>100</v>
      </c>
      <c r="K791" s="86">
        <v>300</v>
      </c>
      <c r="L791" s="83">
        <f t="shared" si="128"/>
        <v>1150</v>
      </c>
      <c r="M791" s="94">
        <v>600</v>
      </c>
      <c r="N791" s="83">
        <f>100</f>
        <v>100</v>
      </c>
      <c r="O791" s="86">
        <v>240</v>
      </c>
      <c r="P791" s="86">
        <v>40</v>
      </c>
      <c r="Q791" s="86">
        <f t="shared" si="129"/>
        <v>315</v>
      </c>
      <c r="R791" s="86">
        <f t="shared" si="130"/>
        <v>100</v>
      </c>
      <c r="S791" s="83">
        <f t="shared" si="131"/>
        <v>695</v>
      </c>
      <c r="T791" s="83">
        <f>50</f>
        <v>50</v>
      </c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</row>
    <row r="792" spans="1:30" ht="15.75" x14ac:dyDescent="0.25">
      <c r="A792" s="32">
        <v>65046</v>
      </c>
      <c r="B792" s="95">
        <f t="shared" ref="B792:B855" si="132">EOMONTH(A792,0)-EOMONTH(A792,-1)</f>
        <v>31</v>
      </c>
      <c r="C792" s="83">
        <f>122.58</f>
        <v>122.58</v>
      </c>
      <c r="D792" s="83">
        <f>297.941</f>
        <v>297.94099999999997</v>
      </c>
      <c r="E792" s="92">
        <f>89.177</f>
        <v>89.177000000000007</v>
      </c>
      <c r="F792" s="83">
        <f>240.302-40-60-100</f>
        <v>40.301999999999992</v>
      </c>
      <c r="G792" s="86">
        <v>40</v>
      </c>
      <c r="H792" s="83">
        <f>60+100</f>
        <v>160</v>
      </c>
      <c r="I792" s="83">
        <f t="shared" si="124"/>
        <v>0</v>
      </c>
      <c r="J792" s="86">
        <v>100</v>
      </c>
      <c r="K792" s="86">
        <v>300</v>
      </c>
      <c r="L792" s="83">
        <f t="shared" si="128"/>
        <v>1150</v>
      </c>
      <c r="M792" s="94">
        <v>600</v>
      </c>
      <c r="N792" s="83">
        <f>100</f>
        <v>100</v>
      </c>
      <c r="O792" s="86">
        <v>240</v>
      </c>
      <c r="P792" s="86">
        <v>40</v>
      </c>
      <c r="Q792" s="86">
        <f t="shared" si="129"/>
        <v>315</v>
      </c>
      <c r="R792" s="86">
        <f t="shared" si="130"/>
        <v>100</v>
      </c>
      <c r="S792" s="83">
        <f t="shared" si="131"/>
        <v>695</v>
      </c>
      <c r="T792" s="83">
        <f>50</f>
        <v>50</v>
      </c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</row>
    <row r="793" spans="1:30" ht="15.75" x14ac:dyDescent="0.25">
      <c r="A793" s="32">
        <v>65074</v>
      </c>
      <c r="B793" s="95">
        <f t="shared" si="132"/>
        <v>28</v>
      </c>
      <c r="C793" s="83">
        <f>122.58</f>
        <v>122.58</v>
      </c>
      <c r="D793" s="83">
        <f>297.941</f>
        <v>297.94099999999997</v>
      </c>
      <c r="E793" s="92">
        <f>89.177</f>
        <v>89.177000000000007</v>
      </c>
      <c r="F793" s="83">
        <f>240.302-40-60-100</f>
        <v>40.301999999999992</v>
      </c>
      <c r="G793" s="86">
        <v>40</v>
      </c>
      <c r="H793" s="83">
        <f>60+100</f>
        <v>160</v>
      </c>
      <c r="I793" s="83">
        <f t="shared" si="124"/>
        <v>0</v>
      </c>
      <c r="J793" s="86">
        <v>100</v>
      </c>
      <c r="K793" s="86">
        <v>300</v>
      </c>
      <c r="L793" s="83">
        <f t="shared" si="128"/>
        <v>1150</v>
      </c>
      <c r="M793" s="94">
        <v>600</v>
      </c>
      <c r="N793" s="83">
        <f>100</f>
        <v>100</v>
      </c>
      <c r="O793" s="86">
        <v>240</v>
      </c>
      <c r="P793" s="86">
        <v>40</v>
      </c>
      <c r="Q793" s="86">
        <f t="shared" si="129"/>
        <v>315</v>
      </c>
      <c r="R793" s="86">
        <f t="shared" si="130"/>
        <v>100</v>
      </c>
      <c r="S793" s="83">
        <f t="shared" si="131"/>
        <v>695</v>
      </c>
      <c r="T793" s="83">
        <f>50</f>
        <v>50</v>
      </c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</row>
    <row r="794" spans="1:30" ht="15.75" x14ac:dyDescent="0.25">
      <c r="A794" s="32">
        <v>65105</v>
      </c>
      <c r="B794" s="95">
        <f t="shared" si="132"/>
        <v>31</v>
      </c>
      <c r="C794" s="83">
        <f>122.58</f>
        <v>122.58</v>
      </c>
      <c r="D794" s="83">
        <f>297.941</f>
        <v>297.94099999999997</v>
      </c>
      <c r="E794" s="92">
        <f>89.177</f>
        <v>89.177000000000007</v>
      </c>
      <c r="F794" s="83">
        <f>240.302-40-60-100</f>
        <v>40.301999999999992</v>
      </c>
      <c r="G794" s="86">
        <v>40</v>
      </c>
      <c r="H794" s="83">
        <f>60+100</f>
        <v>160</v>
      </c>
      <c r="I794" s="83">
        <f t="shared" si="124"/>
        <v>0</v>
      </c>
      <c r="J794" s="86">
        <v>100</v>
      </c>
      <c r="K794" s="86">
        <v>300</v>
      </c>
      <c r="L794" s="83">
        <f t="shared" si="128"/>
        <v>1150</v>
      </c>
      <c r="M794" s="94">
        <v>600</v>
      </c>
      <c r="N794" s="83">
        <f>100</f>
        <v>100</v>
      </c>
      <c r="O794" s="86">
        <v>240</v>
      </c>
      <c r="P794" s="86">
        <v>40</v>
      </c>
      <c r="Q794" s="86">
        <f t="shared" si="129"/>
        <v>315</v>
      </c>
      <c r="R794" s="86">
        <f t="shared" si="130"/>
        <v>100</v>
      </c>
      <c r="S794" s="83">
        <f t="shared" si="131"/>
        <v>695</v>
      </c>
      <c r="T794" s="83">
        <f>50</f>
        <v>50</v>
      </c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</row>
    <row r="795" spans="1:30" ht="15.75" x14ac:dyDescent="0.25">
      <c r="A795" s="32">
        <v>65135</v>
      </c>
      <c r="B795" s="95">
        <f t="shared" si="132"/>
        <v>30</v>
      </c>
      <c r="C795" s="83">
        <f>141.293</f>
        <v>141.29300000000001</v>
      </c>
      <c r="D795" s="83">
        <f>267.993</f>
        <v>267.99299999999999</v>
      </c>
      <c r="E795" s="92">
        <f>115.016</f>
        <v>115.01600000000001</v>
      </c>
      <c r="F795" s="83">
        <f>314.698-40-25-60-100</f>
        <v>89.697999999999979</v>
      </c>
      <c r="G795" s="86">
        <v>40</v>
      </c>
      <c r="H795" s="83">
        <f t="shared" ref="H795:H801" si="133">25+60+100</f>
        <v>185</v>
      </c>
      <c r="I795" s="83">
        <f t="shared" si="124"/>
        <v>0</v>
      </c>
      <c r="J795" s="86">
        <v>100</v>
      </c>
      <c r="K795" s="86">
        <v>300</v>
      </c>
      <c r="L795" s="83">
        <f t="shared" si="128"/>
        <v>1239</v>
      </c>
      <c r="M795" s="94">
        <v>600</v>
      </c>
      <c r="N795" s="83">
        <f>100</f>
        <v>100</v>
      </c>
      <c r="O795" s="86">
        <v>240</v>
      </c>
      <c r="P795" s="86">
        <v>40</v>
      </c>
      <c r="Q795" s="86">
        <f t="shared" si="129"/>
        <v>315</v>
      </c>
      <c r="R795" s="86">
        <f t="shared" si="130"/>
        <v>100</v>
      </c>
      <c r="S795" s="83">
        <f t="shared" si="131"/>
        <v>695</v>
      </c>
      <c r="T795" s="83">
        <f>50</f>
        <v>50</v>
      </c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</row>
    <row r="796" spans="1:30" ht="15.75" x14ac:dyDescent="0.25">
      <c r="A796" s="32">
        <v>65166</v>
      </c>
      <c r="B796" s="95">
        <f t="shared" si="132"/>
        <v>31</v>
      </c>
      <c r="C796" s="83">
        <f>194.205</f>
        <v>194.20500000000001</v>
      </c>
      <c r="D796" s="83">
        <f>267.466</f>
        <v>267.46600000000001</v>
      </c>
      <c r="E796" s="92">
        <f>133.845</f>
        <v>133.845</v>
      </c>
      <c r="F796" s="83">
        <f>278.484-40-25-60-100</f>
        <v>53.48399999999998</v>
      </c>
      <c r="G796" s="86">
        <v>40</v>
      </c>
      <c r="H796" s="83">
        <f t="shared" si="133"/>
        <v>185</v>
      </c>
      <c r="I796" s="83">
        <f t="shared" si="124"/>
        <v>0</v>
      </c>
      <c r="J796" s="86">
        <v>100</v>
      </c>
      <c r="K796" s="86">
        <v>300</v>
      </c>
      <c r="L796" s="83">
        <f t="shared" si="128"/>
        <v>1274</v>
      </c>
      <c r="M796" s="94">
        <v>600</v>
      </c>
      <c r="N796" s="83">
        <f>75</f>
        <v>75</v>
      </c>
      <c r="O796" s="86">
        <v>240</v>
      </c>
      <c r="P796" s="86">
        <v>40</v>
      </c>
      <c r="Q796" s="86">
        <f t="shared" si="129"/>
        <v>315</v>
      </c>
      <c r="R796" s="86">
        <f t="shared" si="130"/>
        <v>100</v>
      </c>
      <c r="S796" s="83">
        <f t="shared" si="131"/>
        <v>695</v>
      </c>
      <c r="T796" s="83">
        <f>50</f>
        <v>50</v>
      </c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</row>
    <row r="797" spans="1:30" ht="15.75" x14ac:dyDescent="0.25">
      <c r="A797" s="32">
        <v>65196</v>
      </c>
      <c r="B797" s="95">
        <f t="shared" si="132"/>
        <v>30</v>
      </c>
      <c r="C797" s="83">
        <f>194.205</f>
        <v>194.20500000000001</v>
      </c>
      <c r="D797" s="83">
        <f>267.466</f>
        <v>267.46600000000001</v>
      </c>
      <c r="E797" s="92">
        <f>133.845</f>
        <v>133.845</v>
      </c>
      <c r="F797" s="83">
        <f>278.484-40-25-60-100</f>
        <v>53.48399999999998</v>
      </c>
      <c r="G797" s="86">
        <v>40</v>
      </c>
      <c r="H797" s="83">
        <f t="shared" si="133"/>
        <v>185</v>
      </c>
      <c r="I797" s="83">
        <f t="shared" si="124"/>
        <v>0</v>
      </c>
      <c r="J797" s="86">
        <v>100</v>
      </c>
      <c r="K797" s="86">
        <v>300</v>
      </c>
      <c r="L797" s="83">
        <f t="shared" si="128"/>
        <v>1274</v>
      </c>
      <c r="M797" s="94">
        <v>600</v>
      </c>
      <c r="N797" s="83">
        <f>30</f>
        <v>30</v>
      </c>
      <c r="O797" s="86">
        <v>240</v>
      </c>
      <c r="P797" s="86">
        <v>40</v>
      </c>
      <c r="Q797" s="86">
        <f t="shared" si="129"/>
        <v>315</v>
      </c>
      <c r="R797" s="86">
        <f t="shared" si="130"/>
        <v>100</v>
      </c>
      <c r="S797" s="83">
        <f t="shared" si="131"/>
        <v>695</v>
      </c>
      <c r="T797" s="83">
        <f>50</f>
        <v>50</v>
      </c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</row>
    <row r="798" spans="1:30" ht="15.75" x14ac:dyDescent="0.25">
      <c r="A798" s="32">
        <v>65227</v>
      </c>
      <c r="B798" s="95">
        <f t="shared" si="132"/>
        <v>31</v>
      </c>
      <c r="C798" s="83">
        <f>194.205</f>
        <v>194.20500000000001</v>
      </c>
      <c r="D798" s="83">
        <f>267.466</f>
        <v>267.46600000000001</v>
      </c>
      <c r="E798" s="92">
        <f>133.845</f>
        <v>133.845</v>
      </c>
      <c r="F798" s="83">
        <f>278.484-40-25-60-100</f>
        <v>53.48399999999998</v>
      </c>
      <c r="G798" s="86">
        <v>40</v>
      </c>
      <c r="H798" s="83">
        <f t="shared" si="133"/>
        <v>185</v>
      </c>
      <c r="I798" s="83">
        <f t="shared" si="124"/>
        <v>0</v>
      </c>
      <c r="J798" s="86">
        <v>100</v>
      </c>
      <c r="K798" s="86">
        <v>300</v>
      </c>
      <c r="L798" s="83">
        <f t="shared" si="128"/>
        <v>1274</v>
      </c>
      <c r="M798" s="94">
        <v>600</v>
      </c>
      <c r="N798" s="83">
        <f>30</f>
        <v>30</v>
      </c>
      <c r="O798" s="86">
        <v>240</v>
      </c>
      <c r="P798" s="86">
        <v>40</v>
      </c>
      <c r="Q798" s="86">
        <f t="shared" si="129"/>
        <v>315</v>
      </c>
      <c r="R798" s="86">
        <f t="shared" si="130"/>
        <v>100</v>
      </c>
      <c r="S798" s="83">
        <f t="shared" si="131"/>
        <v>695</v>
      </c>
      <c r="T798" s="83">
        <f>0</f>
        <v>0</v>
      </c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</row>
    <row r="799" spans="1:30" ht="15.75" x14ac:dyDescent="0.25">
      <c r="A799" s="32">
        <v>65258</v>
      </c>
      <c r="B799" s="95">
        <f t="shared" si="132"/>
        <v>31</v>
      </c>
      <c r="C799" s="83">
        <f>194.205</f>
        <v>194.20500000000001</v>
      </c>
      <c r="D799" s="83">
        <f>267.466</f>
        <v>267.46600000000001</v>
      </c>
      <c r="E799" s="92">
        <f>133.845</f>
        <v>133.845</v>
      </c>
      <c r="F799" s="83">
        <f>278.484-40-25-60-100</f>
        <v>53.48399999999998</v>
      </c>
      <c r="G799" s="86">
        <v>40</v>
      </c>
      <c r="H799" s="83">
        <f t="shared" si="133"/>
        <v>185</v>
      </c>
      <c r="I799" s="83">
        <f t="shared" si="124"/>
        <v>0</v>
      </c>
      <c r="J799" s="86">
        <v>100</v>
      </c>
      <c r="K799" s="86">
        <v>300</v>
      </c>
      <c r="L799" s="83">
        <f t="shared" si="128"/>
        <v>1274</v>
      </c>
      <c r="M799" s="94">
        <v>600</v>
      </c>
      <c r="N799" s="83">
        <f>30</f>
        <v>30</v>
      </c>
      <c r="O799" s="86">
        <v>240</v>
      </c>
      <c r="P799" s="86">
        <v>40</v>
      </c>
      <c r="Q799" s="86">
        <f t="shared" si="129"/>
        <v>315</v>
      </c>
      <c r="R799" s="86">
        <f t="shared" si="130"/>
        <v>100</v>
      </c>
      <c r="S799" s="83">
        <f t="shared" si="131"/>
        <v>695</v>
      </c>
      <c r="T799" s="83">
        <f>0</f>
        <v>0</v>
      </c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</row>
    <row r="800" spans="1:30" ht="15.75" x14ac:dyDescent="0.25">
      <c r="A800" s="32">
        <v>65288</v>
      </c>
      <c r="B800" s="95">
        <f t="shared" si="132"/>
        <v>30</v>
      </c>
      <c r="C800" s="83">
        <f>194.205</f>
        <v>194.20500000000001</v>
      </c>
      <c r="D800" s="83">
        <f>267.466</f>
        <v>267.46600000000001</v>
      </c>
      <c r="E800" s="92">
        <f>133.845</f>
        <v>133.845</v>
      </c>
      <c r="F800" s="83">
        <f>278.484-40-25-60-100</f>
        <v>53.48399999999998</v>
      </c>
      <c r="G800" s="86">
        <v>40</v>
      </c>
      <c r="H800" s="83">
        <f t="shared" si="133"/>
        <v>185</v>
      </c>
      <c r="I800" s="83">
        <f t="shared" si="124"/>
        <v>0</v>
      </c>
      <c r="J800" s="86">
        <v>100</v>
      </c>
      <c r="K800" s="86">
        <v>300</v>
      </c>
      <c r="L800" s="83">
        <f t="shared" si="128"/>
        <v>1274</v>
      </c>
      <c r="M800" s="94">
        <v>600</v>
      </c>
      <c r="N800" s="83">
        <f>30</f>
        <v>30</v>
      </c>
      <c r="O800" s="86">
        <v>240</v>
      </c>
      <c r="P800" s="86">
        <v>40</v>
      </c>
      <c r="Q800" s="86">
        <f t="shared" si="129"/>
        <v>315</v>
      </c>
      <c r="R800" s="86">
        <f t="shared" si="130"/>
        <v>100</v>
      </c>
      <c r="S800" s="83">
        <f t="shared" si="131"/>
        <v>695</v>
      </c>
      <c r="T800" s="83">
        <f>0</f>
        <v>0</v>
      </c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</row>
    <row r="801" spans="1:30" ht="15.75" x14ac:dyDescent="0.25">
      <c r="A801" s="32">
        <v>65319</v>
      </c>
      <c r="B801" s="95">
        <f t="shared" si="132"/>
        <v>31</v>
      </c>
      <c r="C801" s="83">
        <f>131.881</f>
        <v>131.881</v>
      </c>
      <c r="D801" s="83">
        <f>277.167</f>
        <v>277.16699999999997</v>
      </c>
      <c r="E801" s="92">
        <f>79.08</f>
        <v>79.08</v>
      </c>
      <c r="F801" s="83">
        <f>350.872-40-25-60-100</f>
        <v>125.87200000000001</v>
      </c>
      <c r="G801" s="86">
        <v>40</v>
      </c>
      <c r="H801" s="83">
        <f t="shared" si="133"/>
        <v>185</v>
      </c>
      <c r="I801" s="83">
        <f t="shared" si="124"/>
        <v>0</v>
      </c>
      <c r="J801" s="86">
        <v>100</v>
      </c>
      <c r="K801" s="86">
        <v>300</v>
      </c>
      <c r="L801" s="83">
        <f t="shared" si="128"/>
        <v>1239</v>
      </c>
      <c r="M801" s="94">
        <v>600</v>
      </c>
      <c r="N801" s="83">
        <f>75</f>
        <v>75</v>
      </c>
      <c r="O801" s="86">
        <v>240</v>
      </c>
      <c r="P801" s="86">
        <v>40</v>
      </c>
      <c r="Q801" s="86">
        <f t="shared" si="129"/>
        <v>315</v>
      </c>
      <c r="R801" s="86">
        <f t="shared" si="130"/>
        <v>100</v>
      </c>
      <c r="S801" s="83">
        <f t="shared" si="131"/>
        <v>695</v>
      </c>
      <c r="T801" s="83">
        <f>0</f>
        <v>0</v>
      </c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</row>
    <row r="802" spans="1:30" ht="15.75" x14ac:dyDescent="0.25">
      <c r="A802" s="32">
        <v>65349</v>
      </c>
      <c r="B802" s="95">
        <f t="shared" si="132"/>
        <v>30</v>
      </c>
      <c r="C802" s="83">
        <f>122.58</f>
        <v>122.58</v>
      </c>
      <c r="D802" s="83">
        <f>297.941</f>
        <v>297.94099999999997</v>
      </c>
      <c r="E802" s="92">
        <f>89.177</f>
        <v>89.177000000000007</v>
      </c>
      <c r="F802" s="83">
        <f>240.302-40-60-100</f>
        <v>40.301999999999992</v>
      </c>
      <c r="G802" s="86">
        <v>40</v>
      </c>
      <c r="H802" s="83">
        <f>60+100</f>
        <v>160</v>
      </c>
      <c r="I802" s="83">
        <f t="shared" si="124"/>
        <v>0</v>
      </c>
      <c r="J802" s="86">
        <v>100</v>
      </c>
      <c r="K802" s="86">
        <v>300</v>
      </c>
      <c r="L802" s="83">
        <f t="shared" si="128"/>
        <v>1150</v>
      </c>
      <c r="M802" s="94">
        <v>600</v>
      </c>
      <c r="N802" s="83">
        <f>100</f>
        <v>100</v>
      </c>
      <c r="O802" s="86">
        <v>240</v>
      </c>
      <c r="P802" s="86">
        <v>40</v>
      </c>
      <c r="Q802" s="86">
        <f t="shared" si="129"/>
        <v>315</v>
      </c>
      <c r="R802" s="86">
        <f t="shared" si="130"/>
        <v>100</v>
      </c>
      <c r="S802" s="83">
        <f t="shared" si="131"/>
        <v>695</v>
      </c>
      <c r="T802" s="83">
        <f>50</f>
        <v>50</v>
      </c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</row>
    <row r="803" spans="1:30" ht="15.75" x14ac:dyDescent="0.25">
      <c r="A803" s="32">
        <v>65380</v>
      </c>
      <c r="B803" s="95">
        <f t="shared" si="132"/>
        <v>31</v>
      </c>
      <c r="C803" s="83">
        <f>122.58</f>
        <v>122.58</v>
      </c>
      <c r="D803" s="83">
        <f>297.941</f>
        <v>297.94099999999997</v>
      </c>
      <c r="E803" s="92">
        <f>89.177</f>
        <v>89.177000000000007</v>
      </c>
      <c r="F803" s="83">
        <f>240.302-40-60-100</f>
        <v>40.301999999999992</v>
      </c>
      <c r="G803" s="86">
        <v>40</v>
      </c>
      <c r="H803" s="83">
        <f>60+100</f>
        <v>160</v>
      </c>
      <c r="I803" s="83">
        <f t="shared" si="124"/>
        <v>0</v>
      </c>
      <c r="J803" s="86">
        <v>100</v>
      </c>
      <c r="K803" s="86">
        <v>300</v>
      </c>
      <c r="L803" s="83">
        <f t="shared" si="128"/>
        <v>1150</v>
      </c>
      <c r="M803" s="94">
        <v>600</v>
      </c>
      <c r="N803" s="83">
        <f>100</f>
        <v>100</v>
      </c>
      <c r="O803" s="86">
        <v>240</v>
      </c>
      <c r="P803" s="86">
        <v>40</v>
      </c>
      <c r="Q803" s="86">
        <f t="shared" si="129"/>
        <v>315</v>
      </c>
      <c r="R803" s="86">
        <f t="shared" si="130"/>
        <v>100</v>
      </c>
      <c r="S803" s="83">
        <f t="shared" si="131"/>
        <v>695</v>
      </c>
      <c r="T803" s="83">
        <f>50</f>
        <v>50</v>
      </c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</row>
    <row r="804" spans="1:30" ht="15.75" x14ac:dyDescent="0.25">
      <c r="A804" s="32">
        <v>65411</v>
      </c>
      <c r="B804" s="95">
        <f t="shared" si="132"/>
        <v>31</v>
      </c>
      <c r="C804" s="83">
        <f>122.58</f>
        <v>122.58</v>
      </c>
      <c r="D804" s="83">
        <f>297.941</f>
        <v>297.94099999999997</v>
      </c>
      <c r="E804" s="92">
        <f>89.177</f>
        <v>89.177000000000007</v>
      </c>
      <c r="F804" s="83">
        <f>240.302-40-60-100</f>
        <v>40.301999999999992</v>
      </c>
      <c r="G804" s="86">
        <v>40</v>
      </c>
      <c r="H804" s="83">
        <f>60+100</f>
        <v>160</v>
      </c>
      <c r="I804" s="83">
        <f t="shared" si="124"/>
        <v>0</v>
      </c>
      <c r="J804" s="86">
        <v>100</v>
      </c>
      <c r="K804" s="86">
        <v>300</v>
      </c>
      <c r="L804" s="83">
        <f t="shared" si="128"/>
        <v>1150</v>
      </c>
      <c r="M804" s="94">
        <v>600</v>
      </c>
      <c r="N804" s="83">
        <f>100</f>
        <v>100</v>
      </c>
      <c r="O804" s="86">
        <v>240</v>
      </c>
      <c r="P804" s="86">
        <v>40</v>
      </c>
      <c r="Q804" s="86">
        <f t="shared" si="129"/>
        <v>315</v>
      </c>
      <c r="R804" s="86">
        <f t="shared" si="130"/>
        <v>100</v>
      </c>
      <c r="S804" s="83">
        <f t="shared" si="131"/>
        <v>695</v>
      </c>
      <c r="T804" s="83">
        <f>50</f>
        <v>50</v>
      </c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</row>
    <row r="805" spans="1:30" ht="15.75" x14ac:dyDescent="0.25">
      <c r="A805" s="32">
        <v>65439</v>
      </c>
      <c r="B805" s="95">
        <f t="shared" si="132"/>
        <v>28</v>
      </c>
      <c r="C805" s="83">
        <f>122.58</f>
        <v>122.58</v>
      </c>
      <c r="D805" s="83">
        <f>297.941</f>
        <v>297.94099999999997</v>
      </c>
      <c r="E805" s="92">
        <f>89.177</f>
        <v>89.177000000000007</v>
      </c>
      <c r="F805" s="83">
        <f>240.302-40-60-100</f>
        <v>40.301999999999992</v>
      </c>
      <c r="G805" s="86">
        <v>40</v>
      </c>
      <c r="H805" s="83">
        <f>60+100</f>
        <v>160</v>
      </c>
      <c r="I805" s="83">
        <f t="shared" si="124"/>
        <v>0</v>
      </c>
      <c r="J805" s="86">
        <v>100</v>
      </c>
      <c r="K805" s="86">
        <v>300</v>
      </c>
      <c r="L805" s="83">
        <f t="shared" si="128"/>
        <v>1150</v>
      </c>
      <c r="M805" s="94">
        <v>600</v>
      </c>
      <c r="N805" s="83">
        <f>100</f>
        <v>100</v>
      </c>
      <c r="O805" s="86">
        <v>240</v>
      </c>
      <c r="P805" s="86">
        <v>40</v>
      </c>
      <c r="Q805" s="86">
        <f t="shared" si="129"/>
        <v>315</v>
      </c>
      <c r="R805" s="86">
        <f t="shared" si="130"/>
        <v>100</v>
      </c>
      <c r="S805" s="83">
        <f t="shared" si="131"/>
        <v>695</v>
      </c>
      <c r="T805" s="83">
        <f>50</f>
        <v>50</v>
      </c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</row>
    <row r="806" spans="1:30" ht="15.75" x14ac:dyDescent="0.25">
      <c r="A806" s="32">
        <v>65470</v>
      </c>
      <c r="B806" s="95">
        <f t="shared" si="132"/>
        <v>31</v>
      </c>
      <c r="C806" s="83">
        <f>122.58</f>
        <v>122.58</v>
      </c>
      <c r="D806" s="83">
        <f>297.941</f>
        <v>297.94099999999997</v>
      </c>
      <c r="E806" s="92">
        <f>89.177</f>
        <v>89.177000000000007</v>
      </c>
      <c r="F806" s="83">
        <f>240.302-40-60-100</f>
        <v>40.301999999999992</v>
      </c>
      <c r="G806" s="86">
        <v>40</v>
      </c>
      <c r="H806" s="83">
        <f>60+100</f>
        <v>160</v>
      </c>
      <c r="I806" s="83">
        <f t="shared" si="124"/>
        <v>0</v>
      </c>
      <c r="J806" s="86">
        <v>100</v>
      </c>
      <c r="K806" s="86">
        <v>300</v>
      </c>
      <c r="L806" s="83">
        <f t="shared" si="128"/>
        <v>1150</v>
      </c>
      <c r="M806" s="94">
        <v>600</v>
      </c>
      <c r="N806" s="83">
        <f>100</f>
        <v>100</v>
      </c>
      <c r="O806" s="86">
        <v>240</v>
      </c>
      <c r="P806" s="86">
        <v>40</v>
      </c>
      <c r="Q806" s="86">
        <f t="shared" si="129"/>
        <v>315</v>
      </c>
      <c r="R806" s="86">
        <f t="shared" si="130"/>
        <v>100</v>
      </c>
      <c r="S806" s="83">
        <f t="shared" si="131"/>
        <v>695</v>
      </c>
      <c r="T806" s="83">
        <f>50</f>
        <v>50</v>
      </c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</row>
    <row r="807" spans="1:30" ht="15.75" x14ac:dyDescent="0.25">
      <c r="A807" s="32">
        <v>65500</v>
      </c>
      <c r="B807" s="95">
        <f t="shared" si="132"/>
        <v>30</v>
      </c>
      <c r="C807" s="83">
        <f>141.293</f>
        <v>141.29300000000001</v>
      </c>
      <c r="D807" s="83">
        <f>267.993</f>
        <v>267.99299999999999</v>
      </c>
      <c r="E807" s="92">
        <f>115.016</f>
        <v>115.01600000000001</v>
      </c>
      <c r="F807" s="83">
        <f>314.698-40-25-60-100</f>
        <v>89.697999999999979</v>
      </c>
      <c r="G807" s="86">
        <v>40</v>
      </c>
      <c r="H807" s="83">
        <f t="shared" ref="H807:H813" si="134">25+60+100</f>
        <v>185</v>
      </c>
      <c r="I807" s="83">
        <f t="shared" si="124"/>
        <v>0</v>
      </c>
      <c r="J807" s="86">
        <v>100</v>
      </c>
      <c r="K807" s="86">
        <v>300</v>
      </c>
      <c r="L807" s="83">
        <f t="shared" si="128"/>
        <v>1239</v>
      </c>
      <c r="M807" s="94">
        <v>600</v>
      </c>
      <c r="N807" s="83">
        <f>100</f>
        <v>100</v>
      </c>
      <c r="O807" s="86">
        <v>240</v>
      </c>
      <c r="P807" s="86">
        <v>40</v>
      </c>
      <c r="Q807" s="86">
        <f t="shared" si="129"/>
        <v>315</v>
      </c>
      <c r="R807" s="86">
        <f t="shared" si="130"/>
        <v>100</v>
      </c>
      <c r="S807" s="83">
        <f t="shared" si="131"/>
        <v>695</v>
      </c>
      <c r="T807" s="83">
        <f>50</f>
        <v>50</v>
      </c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</row>
    <row r="808" spans="1:30" ht="15.75" x14ac:dyDescent="0.25">
      <c r="A808" s="32">
        <v>65531</v>
      </c>
      <c r="B808" s="95">
        <f t="shared" si="132"/>
        <v>31</v>
      </c>
      <c r="C808" s="83">
        <f>194.205</f>
        <v>194.20500000000001</v>
      </c>
      <c r="D808" s="83">
        <f>267.466</f>
        <v>267.46600000000001</v>
      </c>
      <c r="E808" s="92">
        <f>133.845</f>
        <v>133.845</v>
      </c>
      <c r="F808" s="83">
        <f>278.484-40-25-60-100</f>
        <v>53.48399999999998</v>
      </c>
      <c r="G808" s="86">
        <v>40</v>
      </c>
      <c r="H808" s="83">
        <f t="shared" si="134"/>
        <v>185</v>
      </c>
      <c r="I808" s="83">
        <f t="shared" si="124"/>
        <v>0</v>
      </c>
      <c r="J808" s="86">
        <v>100</v>
      </c>
      <c r="K808" s="86">
        <v>300</v>
      </c>
      <c r="L808" s="83">
        <f t="shared" si="128"/>
        <v>1274</v>
      </c>
      <c r="M808" s="94">
        <v>600</v>
      </c>
      <c r="N808" s="83">
        <f>75</f>
        <v>75</v>
      </c>
      <c r="O808" s="86">
        <v>240</v>
      </c>
      <c r="P808" s="86">
        <v>40</v>
      </c>
      <c r="Q808" s="86">
        <f t="shared" si="129"/>
        <v>315</v>
      </c>
      <c r="R808" s="86">
        <f t="shared" si="130"/>
        <v>100</v>
      </c>
      <c r="S808" s="83">
        <f t="shared" si="131"/>
        <v>695</v>
      </c>
      <c r="T808" s="83">
        <f>50</f>
        <v>50</v>
      </c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</row>
    <row r="809" spans="1:30" ht="15.75" x14ac:dyDescent="0.25">
      <c r="A809" s="32">
        <v>65561</v>
      </c>
      <c r="B809" s="95">
        <f t="shared" si="132"/>
        <v>30</v>
      </c>
      <c r="C809" s="83">
        <f>194.205</f>
        <v>194.20500000000001</v>
      </c>
      <c r="D809" s="83">
        <f>267.466</f>
        <v>267.46600000000001</v>
      </c>
      <c r="E809" s="92">
        <f>133.845</f>
        <v>133.845</v>
      </c>
      <c r="F809" s="83">
        <f>278.484-40-25-60-100</f>
        <v>53.48399999999998</v>
      </c>
      <c r="G809" s="86">
        <v>40</v>
      </c>
      <c r="H809" s="83">
        <f t="shared" si="134"/>
        <v>185</v>
      </c>
      <c r="I809" s="83">
        <f t="shared" si="124"/>
        <v>0</v>
      </c>
      <c r="J809" s="86">
        <v>100</v>
      </c>
      <c r="K809" s="86">
        <v>300</v>
      </c>
      <c r="L809" s="83">
        <f t="shared" si="128"/>
        <v>1274</v>
      </c>
      <c r="M809" s="94">
        <v>600</v>
      </c>
      <c r="N809" s="83">
        <f>30</f>
        <v>30</v>
      </c>
      <c r="O809" s="86">
        <v>240</v>
      </c>
      <c r="P809" s="86">
        <v>40</v>
      </c>
      <c r="Q809" s="86">
        <f t="shared" si="129"/>
        <v>315</v>
      </c>
      <c r="R809" s="86">
        <f t="shared" si="130"/>
        <v>100</v>
      </c>
      <c r="S809" s="83">
        <f t="shared" si="131"/>
        <v>695</v>
      </c>
      <c r="T809" s="83">
        <f>50</f>
        <v>50</v>
      </c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</row>
    <row r="810" spans="1:30" ht="15.75" x14ac:dyDescent="0.25">
      <c r="A810" s="32">
        <v>65592</v>
      </c>
      <c r="B810" s="95">
        <f t="shared" si="132"/>
        <v>31</v>
      </c>
      <c r="C810" s="83">
        <f>194.205</f>
        <v>194.20500000000001</v>
      </c>
      <c r="D810" s="83">
        <f>267.466</f>
        <v>267.46600000000001</v>
      </c>
      <c r="E810" s="92">
        <f>133.845</f>
        <v>133.845</v>
      </c>
      <c r="F810" s="83">
        <f>278.484-40-25-60-100</f>
        <v>53.48399999999998</v>
      </c>
      <c r="G810" s="86">
        <v>40</v>
      </c>
      <c r="H810" s="83">
        <f t="shared" si="134"/>
        <v>185</v>
      </c>
      <c r="I810" s="83">
        <f t="shared" si="124"/>
        <v>0</v>
      </c>
      <c r="J810" s="86">
        <v>100</v>
      </c>
      <c r="K810" s="86">
        <v>300</v>
      </c>
      <c r="L810" s="83">
        <f t="shared" si="128"/>
        <v>1274</v>
      </c>
      <c r="M810" s="94">
        <v>600</v>
      </c>
      <c r="N810" s="83">
        <f>30</f>
        <v>30</v>
      </c>
      <c r="O810" s="86">
        <v>240</v>
      </c>
      <c r="P810" s="86">
        <v>40</v>
      </c>
      <c r="Q810" s="86">
        <f t="shared" si="129"/>
        <v>315</v>
      </c>
      <c r="R810" s="86">
        <f t="shared" si="130"/>
        <v>100</v>
      </c>
      <c r="S810" s="83">
        <f t="shared" si="131"/>
        <v>695</v>
      </c>
      <c r="T810" s="83">
        <f>0</f>
        <v>0</v>
      </c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</row>
    <row r="811" spans="1:30" ht="15.75" x14ac:dyDescent="0.25">
      <c r="A811" s="32">
        <v>65623</v>
      </c>
      <c r="B811" s="95">
        <f t="shared" si="132"/>
        <v>31</v>
      </c>
      <c r="C811" s="83">
        <f>194.205</f>
        <v>194.20500000000001</v>
      </c>
      <c r="D811" s="83">
        <f>267.466</f>
        <v>267.46600000000001</v>
      </c>
      <c r="E811" s="92">
        <f>133.845</f>
        <v>133.845</v>
      </c>
      <c r="F811" s="83">
        <f>278.484-40-25-60-100</f>
        <v>53.48399999999998</v>
      </c>
      <c r="G811" s="86">
        <v>40</v>
      </c>
      <c r="H811" s="83">
        <f t="shared" si="134"/>
        <v>185</v>
      </c>
      <c r="I811" s="83">
        <f t="shared" si="124"/>
        <v>0</v>
      </c>
      <c r="J811" s="86">
        <v>100</v>
      </c>
      <c r="K811" s="86">
        <v>300</v>
      </c>
      <c r="L811" s="83">
        <f t="shared" si="128"/>
        <v>1274</v>
      </c>
      <c r="M811" s="94">
        <v>600</v>
      </c>
      <c r="N811" s="83">
        <f>30</f>
        <v>30</v>
      </c>
      <c r="O811" s="86">
        <v>240</v>
      </c>
      <c r="P811" s="86">
        <v>40</v>
      </c>
      <c r="Q811" s="86">
        <f t="shared" si="129"/>
        <v>315</v>
      </c>
      <c r="R811" s="86">
        <f t="shared" si="130"/>
        <v>100</v>
      </c>
      <c r="S811" s="83">
        <f t="shared" si="131"/>
        <v>695</v>
      </c>
      <c r="T811" s="83">
        <f>0</f>
        <v>0</v>
      </c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</row>
    <row r="812" spans="1:30" ht="15.75" x14ac:dyDescent="0.25">
      <c r="A812" s="32">
        <v>65653</v>
      </c>
      <c r="B812" s="95">
        <f t="shared" si="132"/>
        <v>30</v>
      </c>
      <c r="C812" s="83">
        <f>194.205</f>
        <v>194.20500000000001</v>
      </c>
      <c r="D812" s="83">
        <f>267.466</f>
        <v>267.46600000000001</v>
      </c>
      <c r="E812" s="92">
        <f>133.845</f>
        <v>133.845</v>
      </c>
      <c r="F812" s="83">
        <f>278.484-40-25-60-100</f>
        <v>53.48399999999998</v>
      </c>
      <c r="G812" s="86">
        <v>40</v>
      </c>
      <c r="H812" s="83">
        <f t="shared" si="134"/>
        <v>185</v>
      </c>
      <c r="I812" s="83">
        <f t="shared" si="124"/>
        <v>0</v>
      </c>
      <c r="J812" s="86">
        <v>100</v>
      </c>
      <c r="K812" s="86">
        <v>300</v>
      </c>
      <c r="L812" s="83">
        <f t="shared" si="128"/>
        <v>1274</v>
      </c>
      <c r="M812" s="94">
        <v>600</v>
      </c>
      <c r="N812" s="83">
        <f>30</f>
        <v>30</v>
      </c>
      <c r="O812" s="86">
        <v>240</v>
      </c>
      <c r="P812" s="86">
        <v>40</v>
      </c>
      <c r="Q812" s="86">
        <f t="shared" si="129"/>
        <v>315</v>
      </c>
      <c r="R812" s="86">
        <f t="shared" si="130"/>
        <v>100</v>
      </c>
      <c r="S812" s="83">
        <f t="shared" si="131"/>
        <v>695</v>
      </c>
      <c r="T812" s="83">
        <f>0</f>
        <v>0</v>
      </c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</row>
    <row r="813" spans="1:30" ht="15.75" x14ac:dyDescent="0.25">
      <c r="A813" s="32">
        <v>65684</v>
      </c>
      <c r="B813" s="95">
        <f t="shared" si="132"/>
        <v>31</v>
      </c>
      <c r="C813" s="83">
        <f>131.881</f>
        <v>131.881</v>
      </c>
      <c r="D813" s="83">
        <f>277.167</f>
        <v>277.16699999999997</v>
      </c>
      <c r="E813" s="92">
        <f>79.08</f>
        <v>79.08</v>
      </c>
      <c r="F813" s="83">
        <f>350.872-40-25-60-100</f>
        <v>125.87200000000001</v>
      </c>
      <c r="G813" s="86">
        <v>40</v>
      </c>
      <c r="H813" s="83">
        <f t="shared" si="134"/>
        <v>185</v>
      </c>
      <c r="I813" s="83">
        <f t="shared" si="124"/>
        <v>0</v>
      </c>
      <c r="J813" s="86">
        <v>100</v>
      </c>
      <c r="K813" s="86">
        <v>300</v>
      </c>
      <c r="L813" s="83">
        <f t="shared" si="128"/>
        <v>1239</v>
      </c>
      <c r="M813" s="94">
        <v>600</v>
      </c>
      <c r="N813" s="83">
        <f>75</f>
        <v>75</v>
      </c>
      <c r="O813" s="86">
        <v>240</v>
      </c>
      <c r="P813" s="86">
        <v>40</v>
      </c>
      <c r="Q813" s="86">
        <f t="shared" si="129"/>
        <v>315</v>
      </c>
      <c r="R813" s="86">
        <f t="shared" si="130"/>
        <v>100</v>
      </c>
      <c r="S813" s="83">
        <f t="shared" si="131"/>
        <v>695</v>
      </c>
      <c r="T813" s="83">
        <f>0</f>
        <v>0</v>
      </c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</row>
    <row r="814" spans="1:30" ht="15.75" x14ac:dyDescent="0.25">
      <c r="A814" s="32">
        <v>65714</v>
      </c>
      <c r="B814" s="95">
        <f t="shared" si="132"/>
        <v>30</v>
      </c>
      <c r="C814" s="83">
        <f>122.58</f>
        <v>122.58</v>
      </c>
      <c r="D814" s="83">
        <f>297.941</f>
        <v>297.94099999999997</v>
      </c>
      <c r="E814" s="92">
        <f>89.177</f>
        <v>89.177000000000007</v>
      </c>
      <c r="F814" s="83">
        <f>240.302-40-60-100</f>
        <v>40.301999999999992</v>
      </c>
      <c r="G814" s="86">
        <v>40</v>
      </c>
      <c r="H814" s="83">
        <f>60+100</f>
        <v>160</v>
      </c>
      <c r="I814" s="83">
        <f t="shared" si="124"/>
        <v>0</v>
      </c>
      <c r="J814" s="86">
        <v>100</v>
      </c>
      <c r="K814" s="86">
        <v>300</v>
      </c>
      <c r="L814" s="83">
        <f t="shared" si="128"/>
        <v>1150</v>
      </c>
      <c r="M814" s="94">
        <v>600</v>
      </c>
      <c r="N814" s="83">
        <f>100</f>
        <v>100</v>
      </c>
      <c r="O814" s="86">
        <v>240</v>
      </c>
      <c r="P814" s="86">
        <v>40</v>
      </c>
      <c r="Q814" s="86">
        <f t="shared" si="129"/>
        <v>315</v>
      </c>
      <c r="R814" s="86">
        <f t="shared" si="130"/>
        <v>100</v>
      </c>
      <c r="S814" s="83">
        <f t="shared" si="131"/>
        <v>695</v>
      </c>
      <c r="T814" s="83">
        <f>50</f>
        <v>50</v>
      </c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</row>
    <row r="815" spans="1:30" ht="15.75" x14ac:dyDescent="0.25">
      <c r="A815" s="32">
        <v>65745</v>
      </c>
      <c r="B815" s="95">
        <f t="shared" si="132"/>
        <v>31</v>
      </c>
      <c r="C815" s="83">
        <f>122.58</f>
        <v>122.58</v>
      </c>
      <c r="D815" s="83">
        <f>297.941</f>
        <v>297.94099999999997</v>
      </c>
      <c r="E815" s="92">
        <f>89.177</f>
        <v>89.177000000000007</v>
      </c>
      <c r="F815" s="83">
        <f>240.302-40-60-100</f>
        <v>40.301999999999992</v>
      </c>
      <c r="G815" s="86">
        <v>40</v>
      </c>
      <c r="H815" s="83">
        <f>60+100</f>
        <v>160</v>
      </c>
      <c r="I815" s="83">
        <f t="shared" si="124"/>
        <v>0</v>
      </c>
      <c r="J815" s="86">
        <v>100</v>
      </c>
      <c r="K815" s="86">
        <v>300</v>
      </c>
      <c r="L815" s="83">
        <f t="shared" si="128"/>
        <v>1150</v>
      </c>
      <c r="M815" s="94">
        <v>600</v>
      </c>
      <c r="N815" s="83">
        <f>100</f>
        <v>100</v>
      </c>
      <c r="O815" s="86">
        <v>240</v>
      </c>
      <c r="P815" s="86">
        <v>40</v>
      </c>
      <c r="Q815" s="86">
        <f t="shared" si="129"/>
        <v>315</v>
      </c>
      <c r="R815" s="86">
        <f t="shared" si="130"/>
        <v>100</v>
      </c>
      <c r="S815" s="83">
        <f t="shared" si="131"/>
        <v>695</v>
      </c>
      <c r="T815" s="83">
        <f>50</f>
        <v>50</v>
      </c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</row>
    <row r="816" spans="1:30" ht="15.75" x14ac:dyDescent="0.25">
      <c r="A816" s="32">
        <v>65776</v>
      </c>
      <c r="B816" s="95">
        <f t="shared" si="132"/>
        <v>31</v>
      </c>
      <c r="C816" s="83">
        <f>122.58</f>
        <v>122.58</v>
      </c>
      <c r="D816" s="83">
        <f>297.941</f>
        <v>297.94099999999997</v>
      </c>
      <c r="E816" s="92">
        <f>89.177</f>
        <v>89.177000000000007</v>
      </c>
      <c r="F816" s="83">
        <f>240.302-40-60-100</f>
        <v>40.301999999999992</v>
      </c>
      <c r="G816" s="86">
        <v>40</v>
      </c>
      <c r="H816" s="83">
        <f>60+100</f>
        <v>160</v>
      </c>
      <c r="I816" s="83">
        <f t="shared" si="124"/>
        <v>0</v>
      </c>
      <c r="J816" s="86">
        <v>100</v>
      </c>
      <c r="K816" s="86">
        <v>300</v>
      </c>
      <c r="L816" s="83">
        <f t="shared" si="128"/>
        <v>1150</v>
      </c>
      <c r="M816" s="94">
        <v>600</v>
      </c>
      <c r="N816" s="83">
        <f>100</f>
        <v>100</v>
      </c>
      <c r="O816" s="86">
        <v>240</v>
      </c>
      <c r="P816" s="86">
        <v>40</v>
      </c>
      <c r="Q816" s="86">
        <f t="shared" si="129"/>
        <v>315</v>
      </c>
      <c r="R816" s="86">
        <f t="shared" si="130"/>
        <v>100</v>
      </c>
      <c r="S816" s="83">
        <f t="shared" si="131"/>
        <v>695</v>
      </c>
      <c r="T816" s="83">
        <f>50</f>
        <v>50</v>
      </c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</row>
    <row r="817" spans="1:30" ht="15.75" x14ac:dyDescent="0.25">
      <c r="A817" s="32">
        <v>65805</v>
      </c>
      <c r="B817" s="95">
        <f t="shared" si="132"/>
        <v>29</v>
      </c>
      <c r="C817" s="83">
        <f>122.58</f>
        <v>122.58</v>
      </c>
      <c r="D817" s="83">
        <f>297.941</f>
        <v>297.94099999999997</v>
      </c>
      <c r="E817" s="92">
        <f>89.177</f>
        <v>89.177000000000007</v>
      </c>
      <c r="F817" s="83">
        <f>240.302-40-60-100</f>
        <v>40.301999999999992</v>
      </c>
      <c r="G817" s="86">
        <v>40</v>
      </c>
      <c r="H817" s="83">
        <f>60+100</f>
        <v>160</v>
      </c>
      <c r="I817" s="83">
        <f t="shared" si="124"/>
        <v>0</v>
      </c>
      <c r="J817" s="86">
        <v>100</v>
      </c>
      <c r="K817" s="86">
        <v>300</v>
      </c>
      <c r="L817" s="83">
        <f t="shared" si="128"/>
        <v>1150</v>
      </c>
      <c r="M817" s="94">
        <v>600</v>
      </c>
      <c r="N817" s="83">
        <f>100</f>
        <v>100</v>
      </c>
      <c r="O817" s="86">
        <v>240</v>
      </c>
      <c r="P817" s="86">
        <v>40</v>
      </c>
      <c r="Q817" s="86">
        <f t="shared" si="129"/>
        <v>315</v>
      </c>
      <c r="R817" s="86">
        <f t="shared" si="130"/>
        <v>100</v>
      </c>
      <c r="S817" s="83">
        <f t="shared" si="131"/>
        <v>695</v>
      </c>
      <c r="T817" s="83">
        <f>50</f>
        <v>50</v>
      </c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</row>
    <row r="818" spans="1:30" ht="15.75" x14ac:dyDescent="0.25">
      <c r="A818" s="32">
        <v>65836</v>
      </c>
      <c r="B818" s="95">
        <f t="shared" si="132"/>
        <v>31</v>
      </c>
      <c r="C818" s="83">
        <f>122.58</f>
        <v>122.58</v>
      </c>
      <c r="D818" s="83">
        <f>297.941</f>
        <v>297.94099999999997</v>
      </c>
      <c r="E818" s="92">
        <f>89.177</f>
        <v>89.177000000000007</v>
      </c>
      <c r="F818" s="83">
        <f>240.302-40-60-100</f>
        <v>40.301999999999992</v>
      </c>
      <c r="G818" s="86">
        <v>40</v>
      </c>
      <c r="H818" s="83">
        <f>60+100</f>
        <v>160</v>
      </c>
      <c r="I818" s="83">
        <f t="shared" si="124"/>
        <v>0</v>
      </c>
      <c r="J818" s="86">
        <v>100</v>
      </c>
      <c r="K818" s="86">
        <v>300</v>
      </c>
      <c r="L818" s="83">
        <f t="shared" si="128"/>
        <v>1150</v>
      </c>
      <c r="M818" s="94">
        <v>600</v>
      </c>
      <c r="N818" s="83">
        <f>100</f>
        <v>100</v>
      </c>
      <c r="O818" s="86">
        <v>240</v>
      </c>
      <c r="P818" s="86">
        <v>40</v>
      </c>
      <c r="Q818" s="86">
        <f t="shared" si="129"/>
        <v>315</v>
      </c>
      <c r="R818" s="86">
        <f t="shared" si="130"/>
        <v>100</v>
      </c>
      <c r="S818" s="83">
        <f t="shared" si="131"/>
        <v>695</v>
      </c>
      <c r="T818" s="83">
        <f>50</f>
        <v>50</v>
      </c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</row>
    <row r="819" spans="1:30" ht="15.75" x14ac:dyDescent="0.25">
      <c r="A819" s="32">
        <v>65866</v>
      </c>
      <c r="B819" s="95">
        <f t="shared" si="132"/>
        <v>30</v>
      </c>
      <c r="C819" s="83">
        <f>141.293</f>
        <v>141.29300000000001</v>
      </c>
      <c r="D819" s="83">
        <f>267.993</f>
        <v>267.99299999999999</v>
      </c>
      <c r="E819" s="92">
        <f>115.016</f>
        <v>115.01600000000001</v>
      </c>
      <c r="F819" s="83">
        <f>314.698-40-25-60-100</f>
        <v>89.697999999999979</v>
      </c>
      <c r="G819" s="86">
        <v>40</v>
      </c>
      <c r="H819" s="83">
        <f t="shared" ref="H819:H825" si="135">25+60+100</f>
        <v>185</v>
      </c>
      <c r="I819" s="83">
        <f t="shared" si="124"/>
        <v>0</v>
      </c>
      <c r="J819" s="86">
        <v>100</v>
      </c>
      <c r="K819" s="86">
        <v>300</v>
      </c>
      <c r="L819" s="83">
        <f t="shared" si="128"/>
        <v>1239</v>
      </c>
      <c r="M819" s="94">
        <v>600</v>
      </c>
      <c r="N819" s="83">
        <f>100</f>
        <v>100</v>
      </c>
      <c r="O819" s="86">
        <v>240</v>
      </c>
      <c r="P819" s="86">
        <v>40</v>
      </c>
      <c r="Q819" s="86">
        <f t="shared" si="129"/>
        <v>315</v>
      </c>
      <c r="R819" s="86">
        <f t="shared" si="130"/>
        <v>100</v>
      </c>
      <c r="S819" s="83">
        <f t="shared" si="131"/>
        <v>695</v>
      </c>
      <c r="T819" s="83">
        <f>50</f>
        <v>50</v>
      </c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</row>
    <row r="820" spans="1:30" ht="15.75" x14ac:dyDescent="0.25">
      <c r="A820" s="32">
        <v>65897</v>
      </c>
      <c r="B820" s="95">
        <f t="shared" si="132"/>
        <v>31</v>
      </c>
      <c r="C820" s="83">
        <f>194.205</f>
        <v>194.20500000000001</v>
      </c>
      <c r="D820" s="83">
        <f>267.466</f>
        <v>267.46600000000001</v>
      </c>
      <c r="E820" s="92">
        <f>133.845</f>
        <v>133.845</v>
      </c>
      <c r="F820" s="83">
        <f>278.484-40-25-60-100</f>
        <v>53.48399999999998</v>
      </c>
      <c r="G820" s="86">
        <v>40</v>
      </c>
      <c r="H820" s="83">
        <f t="shared" si="135"/>
        <v>185</v>
      </c>
      <c r="I820" s="83">
        <f t="shared" ref="I820:I883" si="136">400-J820-K820</f>
        <v>0</v>
      </c>
      <c r="J820" s="86">
        <v>100</v>
      </c>
      <c r="K820" s="86">
        <v>300</v>
      </c>
      <c r="L820" s="83">
        <f t="shared" si="128"/>
        <v>1274</v>
      </c>
      <c r="M820" s="94">
        <v>600</v>
      </c>
      <c r="N820" s="83">
        <f>75</f>
        <v>75</v>
      </c>
      <c r="O820" s="86">
        <v>240</v>
      </c>
      <c r="P820" s="86">
        <v>40</v>
      </c>
      <c r="Q820" s="86">
        <f t="shared" si="129"/>
        <v>315</v>
      </c>
      <c r="R820" s="86">
        <f t="shared" si="130"/>
        <v>100</v>
      </c>
      <c r="S820" s="83">
        <f t="shared" si="131"/>
        <v>695</v>
      </c>
      <c r="T820" s="83">
        <f>50</f>
        <v>50</v>
      </c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</row>
    <row r="821" spans="1:30" ht="15.75" x14ac:dyDescent="0.25">
      <c r="A821" s="32">
        <v>65927</v>
      </c>
      <c r="B821" s="95">
        <f t="shared" si="132"/>
        <v>30</v>
      </c>
      <c r="C821" s="83">
        <f>194.205</f>
        <v>194.20500000000001</v>
      </c>
      <c r="D821" s="83">
        <f>267.466</f>
        <v>267.46600000000001</v>
      </c>
      <c r="E821" s="92">
        <f>133.845</f>
        <v>133.845</v>
      </c>
      <c r="F821" s="83">
        <f>278.484-40-25-60-100</f>
        <v>53.48399999999998</v>
      </c>
      <c r="G821" s="86">
        <v>40</v>
      </c>
      <c r="H821" s="83">
        <f t="shared" si="135"/>
        <v>185</v>
      </c>
      <c r="I821" s="83">
        <f t="shared" si="136"/>
        <v>0</v>
      </c>
      <c r="J821" s="86">
        <v>100</v>
      </c>
      <c r="K821" s="86">
        <v>300</v>
      </c>
      <c r="L821" s="83">
        <f t="shared" si="128"/>
        <v>1274</v>
      </c>
      <c r="M821" s="94">
        <v>600</v>
      </c>
      <c r="N821" s="83">
        <f>30</f>
        <v>30</v>
      </c>
      <c r="O821" s="86">
        <v>240</v>
      </c>
      <c r="P821" s="86">
        <v>40</v>
      </c>
      <c r="Q821" s="86">
        <f t="shared" si="129"/>
        <v>315</v>
      </c>
      <c r="R821" s="86">
        <f t="shared" si="130"/>
        <v>100</v>
      </c>
      <c r="S821" s="83">
        <f t="shared" si="131"/>
        <v>695</v>
      </c>
      <c r="T821" s="83">
        <f>50</f>
        <v>50</v>
      </c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</row>
    <row r="822" spans="1:30" ht="15.75" x14ac:dyDescent="0.25">
      <c r="A822" s="32">
        <v>65958</v>
      </c>
      <c r="B822" s="95">
        <f t="shared" si="132"/>
        <v>31</v>
      </c>
      <c r="C822" s="83">
        <f>194.205</f>
        <v>194.20500000000001</v>
      </c>
      <c r="D822" s="83">
        <f>267.466</f>
        <v>267.46600000000001</v>
      </c>
      <c r="E822" s="92">
        <f>133.845</f>
        <v>133.845</v>
      </c>
      <c r="F822" s="83">
        <f>278.484-40-25-60-100</f>
        <v>53.48399999999998</v>
      </c>
      <c r="G822" s="86">
        <v>40</v>
      </c>
      <c r="H822" s="83">
        <f t="shared" si="135"/>
        <v>185</v>
      </c>
      <c r="I822" s="83">
        <f t="shared" si="136"/>
        <v>0</v>
      </c>
      <c r="J822" s="86">
        <v>100</v>
      </c>
      <c r="K822" s="86">
        <v>300</v>
      </c>
      <c r="L822" s="83">
        <f t="shared" si="128"/>
        <v>1274</v>
      </c>
      <c r="M822" s="94">
        <v>600</v>
      </c>
      <c r="N822" s="83">
        <f>30</f>
        <v>30</v>
      </c>
      <c r="O822" s="86">
        <v>240</v>
      </c>
      <c r="P822" s="86">
        <v>40</v>
      </c>
      <c r="Q822" s="86">
        <f t="shared" si="129"/>
        <v>315</v>
      </c>
      <c r="R822" s="86">
        <f t="shared" si="130"/>
        <v>100</v>
      </c>
      <c r="S822" s="83">
        <f t="shared" si="131"/>
        <v>695</v>
      </c>
      <c r="T822" s="83">
        <f>0</f>
        <v>0</v>
      </c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</row>
    <row r="823" spans="1:30" ht="15.75" x14ac:dyDescent="0.25">
      <c r="A823" s="32">
        <v>65989</v>
      </c>
      <c r="B823" s="95">
        <f t="shared" si="132"/>
        <v>31</v>
      </c>
      <c r="C823" s="83">
        <f>194.205</f>
        <v>194.20500000000001</v>
      </c>
      <c r="D823" s="83">
        <f>267.466</f>
        <v>267.46600000000001</v>
      </c>
      <c r="E823" s="92">
        <f>133.845</f>
        <v>133.845</v>
      </c>
      <c r="F823" s="83">
        <f>278.484-40-25-60-100</f>
        <v>53.48399999999998</v>
      </c>
      <c r="G823" s="86">
        <v>40</v>
      </c>
      <c r="H823" s="83">
        <f t="shared" si="135"/>
        <v>185</v>
      </c>
      <c r="I823" s="83">
        <f t="shared" si="136"/>
        <v>0</v>
      </c>
      <c r="J823" s="86">
        <v>100</v>
      </c>
      <c r="K823" s="86">
        <v>300</v>
      </c>
      <c r="L823" s="83">
        <f t="shared" si="128"/>
        <v>1274</v>
      </c>
      <c r="M823" s="94">
        <v>600</v>
      </c>
      <c r="N823" s="83">
        <f>30</f>
        <v>30</v>
      </c>
      <c r="O823" s="86">
        <v>240</v>
      </c>
      <c r="P823" s="86">
        <v>40</v>
      </c>
      <c r="Q823" s="86">
        <f t="shared" si="129"/>
        <v>315</v>
      </c>
      <c r="R823" s="86">
        <f t="shared" si="130"/>
        <v>100</v>
      </c>
      <c r="S823" s="83">
        <f t="shared" si="131"/>
        <v>695</v>
      </c>
      <c r="T823" s="83">
        <f>0</f>
        <v>0</v>
      </c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</row>
    <row r="824" spans="1:30" ht="15.75" x14ac:dyDescent="0.25">
      <c r="A824" s="32">
        <v>66019</v>
      </c>
      <c r="B824" s="95">
        <f t="shared" si="132"/>
        <v>30</v>
      </c>
      <c r="C824" s="83">
        <f>194.205</f>
        <v>194.20500000000001</v>
      </c>
      <c r="D824" s="83">
        <f>267.466</f>
        <v>267.46600000000001</v>
      </c>
      <c r="E824" s="92">
        <f>133.845</f>
        <v>133.845</v>
      </c>
      <c r="F824" s="83">
        <f>278.484-40-25-60-100</f>
        <v>53.48399999999998</v>
      </c>
      <c r="G824" s="86">
        <v>40</v>
      </c>
      <c r="H824" s="83">
        <f t="shared" si="135"/>
        <v>185</v>
      </c>
      <c r="I824" s="83">
        <f t="shared" si="136"/>
        <v>0</v>
      </c>
      <c r="J824" s="86">
        <v>100</v>
      </c>
      <c r="K824" s="86">
        <v>300</v>
      </c>
      <c r="L824" s="83">
        <f t="shared" si="128"/>
        <v>1274</v>
      </c>
      <c r="M824" s="94">
        <v>600</v>
      </c>
      <c r="N824" s="83">
        <f>30</f>
        <v>30</v>
      </c>
      <c r="O824" s="86">
        <v>240</v>
      </c>
      <c r="P824" s="86">
        <v>40</v>
      </c>
      <c r="Q824" s="86">
        <f t="shared" si="129"/>
        <v>315</v>
      </c>
      <c r="R824" s="86">
        <f t="shared" si="130"/>
        <v>100</v>
      </c>
      <c r="S824" s="83">
        <f t="shared" si="131"/>
        <v>695</v>
      </c>
      <c r="T824" s="83">
        <f>0</f>
        <v>0</v>
      </c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</row>
    <row r="825" spans="1:30" ht="15.75" x14ac:dyDescent="0.25">
      <c r="A825" s="32">
        <v>66050</v>
      </c>
      <c r="B825" s="95">
        <f t="shared" si="132"/>
        <v>31</v>
      </c>
      <c r="C825" s="83">
        <f>131.881</f>
        <v>131.881</v>
      </c>
      <c r="D825" s="83">
        <f>277.167</f>
        <v>277.16699999999997</v>
      </c>
      <c r="E825" s="92">
        <f>79.08</f>
        <v>79.08</v>
      </c>
      <c r="F825" s="83">
        <f>350.872-40-25-60-100</f>
        <v>125.87200000000001</v>
      </c>
      <c r="G825" s="86">
        <v>40</v>
      </c>
      <c r="H825" s="83">
        <f t="shared" si="135"/>
        <v>185</v>
      </c>
      <c r="I825" s="83">
        <f t="shared" si="136"/>
        <v>0</v>
      </c>
      <c r="J825" s="86">
        <v>100</v>
      </c>
      <c r="K825" s="86">
        <v>300</v>
      </c>
      <c r="L825" s="83">
        <f t="shared" si="128"/>
        <v>1239</v>
      </c>
      <c r="M825" s="94">
        <v>600</v>
      </c>
      <c r="N825" s="83">
        <f>75</f>
        <v>75</v>
      </c>
      <c r="O825" s="86">
        <v>240</v>
      </c>
      <c r="P825" s="86">
        <v>40</v>
      </c>
      <c r="Q825" s="86">
        <f t="shared" si="129"/>
        <v>315</v>
      </c>
      <c r="R825" s="86">
        <f t="shared" si="130"/>
        <v>100</v>
      </c>
      <c r="S825" s="83">
        <f t="shared" si="131"/>
        <v>695</v>
      </c>
      <c r="T825" s="83">
        <f>0</f>
        <v>0</v>
      </c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</row>
    <row r="826" spans="1:30" ht="15.75" x14ac:dyDescent="0.25">
      <c r="A826" s="32">
        <v>66080</v>
      </c>
      <c r="B826" s="95">
        <f t="shared" si="132"/>
        <v>30</v>
      </c>
      <c r="C826" s="83">
        <f>122.58</f>
        <v>122.58</v>
      </c>
      <c r="D826" s="83">
        <f>297.941</f>
        <v>297.94099999999997</v>
      </c>
      <c r="E826" s="92">
        <f>89.177</f>
        <v>89.177000000000007</v>
      </c>
      <c r="F826" s="83">
        <f>240.302-40-60-100</f>
        <v>40.301999999999992</v>
      </c>
      <c r="G826" s="86">
        <v>40</v>
      </c>
      <c r="H826" s="83">
        <f>60+100</f>
        <v>160</v>
      </c>
      <c r="I826" s="83">
        <f t="shared" si="136"/>
        <v>0</v>
      </c>
      <c r="J826" s="86">
        <v>100</v>
      </c>
      <c r="K826" s="86">
        <v>300</v>
      </c>
      <c r="L826" s="83">
        <f t="shared" si="128"/>
        <v>1150</v>
      </c>
      <c r="M826" s="94">
        <v>600</v>
      </c>
      <c r="N826" s="83">
        <f>100</f>
        <v>100</v>
      </c>
      <c r="O826" s="86">
        <v>240</v>
      </c>
      <c r="P826" s="86">
        <v>40</v>
      </c>
      <c r="Q826" s="86">
        <f t="shared" si="129"/>
        <v>315</v>
      </c>
      <c r="R826" s="86">
        <f t="shared" si="130"/>
        <v>100</v>
      </c>
      <c r="S826" s="83">
        <f t="shared" si="131"/>
        <v>695</v>
      </c>
      <c r="T826" s="83">
        <f>50</f>
        <v>50</v>
      </c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</row>
    <row r="827" spans="1:30" ht="15.75" x14ac:dyDescent="0.25">
      <c r="A827" s="32">
        <v>66111</v>
      </c>
      <c r="B827" s="95">
        <f t="shared" si="132"/>
        <v>31</v>
      </c>
      <c r="C827" s="83">
        <f>122.58</f>
        <v>122.58</v>
      </c>
      <c r="D827" s="83">
        <f>297.941</f>
        <v>297.94099999999997</v>
      </c>
      <c r="E827" s="92">
        <f>89.177</f>
        <v>89.177000000000007</v>
      </c>
      <c r="F827" s="83">
        <f>240.302-40-60-100</f>
        <v>40.301999999999992</v>
      </c>
      <c r="G827" s="86">
        <v>40</v>
      </c>
      <c r="H827" s="83">
        <f>60+100</f>
        <v>160</v>
      </c>
      <c r="I827" s="83">
        <f t="shared" si="136"/>
        <v>0</v>
      </c>
      <c r="J827" s="86">
        <v>100</v>
      </c>
      <c r="K827" s="86">
        <v>300</v>
      </c>
      <c r="L827" s="83">
        <f t="shared" si="128"/>
        <v>1150</v>
      </c>
      <c r="M827" s="94">
        <v>600</v>
      </c>
      <c r="N827" s="83">
        <f>100</f>
        <v>100</v>
      </c>
      <c r="O827" s="86">
        <v>240</v>
      </c>
      <c r="P827" s="86">
        <v>40</v>
      </c>
      <c r="Q827" s="86">
        <f t="shared" si="129"/>
        <v>315</v>
      </c>
      <c r="R827" s="86">
        <f t="shared" si="130"/>
        <v>100</v>
      </c>
      <c r="S827" s="83">
        <f t="shared" si="131"/>
        <v>695</v>
      </c>
      <c r="T827" s="83">
        <f>50</f>
        <v>50</v>
      </c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</row>
    <row r="828" spans="1:30" ht="15.75" x14ac:dyDescent="0.25">
      <c r="A828" s="32">
        <v>66142</v>
      </c>
      <c r="B828" s="95">
        <f t="shared" si="132"/>
        <v>31</v>
      </c>
      <c r="C828" s="83">
        <f>122.58</f>
        <v>122.58</v>
      </c>
      <c r="D828" s="83">
        <f>297.941</f>
        <v>297.94099999999997</v>
      </c>
      <c r="E828" s="92">
        <f>89.177</f>
        <v>89.177000000000007</v>
      </c>
      <c r="F828" s="83">
        <f>240.302-40-60-100</f>
        <v>40.301999999999992</v>
      </c>
      <c r="G828" s="86">
        <v>40</v>
      </c>
      <c r="H828" s="83">
        <f>60+100</f>
        <v>160</v>
      </c>
      <c r="I828" s="83">
        <f t="shared" si="136"/>
        <v>0</v>
      </c>
      <c r="J828" s="86">
        <v>100</v>
      </c>
      <c r="K828" s="86">
        <v>300</v>
      </c>
      <c r="L828" s="83">
        <f t="shared" si="128"/>
        <v>1150</v>
      </c>
      <c r="M828" s="94">
        <v>600</v>
      </c>
      <c r="N828" s="83">
        <f>100</f>
        <v>100</v>
      </c>
      <c r="O828" s="86">
        <v>240</v>
      </c>
      <c r="P828" s="86">
        <v>40</v>
      </c>
      <c r="Q828" s="86">
        <f t="shared" si="129"/>
        <v>315</v>
      </c>
      <c r="R828" s="86">
        <f t="shared" si="130"/>
        <v>100</v>
      </c>
      <c r="S828" s="83">
        <f t="shared" si="131"/>
        <v>695</v>
      </c>
      <c r="T828" s="83">
        <f>50</f>
        <v>50</v>
      </c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</row>
    <row r="829" spans="1:30" ht="15.75" x14ac:dyDescent="0.25">
      <c r="A829" s="32">
        <v>66170</v>
      </c>
      <c r="B829" s="95">
        <f t="shared" si="132"/>
        <v>28</v>
      </c>
      <c r="C829" s="83">
        <f>122.58</f>
        <v>122.58</v>
      </c>
      <c r="D829" s="83">
        <f>297.941</f>
        <v>297.94099999999997</v>
      </c>
      <c r="E829" s="92">
        <f>89.177</f>
        <v>89.177000000000007</v>
      </c>
      <c r="F829" s="83">
        <f>240.302-40-60-100</f>
        <v>40.301999999999992</v>
      </c>
      <c r="G829" s="86">
        <v>40</v>
      </c>
      <c r="H829" s="83">
        <f>60+100</f>
        <v>160</v>
      </c>
      <c r="I829" s="83">
        <f t="shared" si="136"/>
        <v>0</v>
      </c>
      <c r="J829" s="86">
        <v>100</v>
      </c>
      <c r="K829" s="86">
        <v>300</v>
      </c>
      <c r="L829" s="83">
        <f t="shared" si="128"/>
        <v>1150</v>
      </c>
      <c r="M829" s="94">
        <v>600</v>
      </c>
      <c r="N829" s="83">
        <f>100</f>
        <v>100</v>
      </c>
      <c r="O829" s="86">
        <v>240</v>
      </c>
      <c r="P829" s="86">
        <v>40</v>
      </c>
      <c r="Q829" s="86">
        <f t="shared" si="129"/>
        <v>315</v>
      </c>
      <c r="R829" s="86">
        <f t="shared" si="130"/>
        <v>100</v>
      </c>
      <c r="S829" s="83">
        <f t="shared" si="131"/>
        <v>695</v>
      </c>
      <c r="T829" s="83">
        <f>50</f>
        <v>50</v>
      </c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</row>
    <row r="830" spans="1:30" ht="15.75" x14ac:dyDescent="0.25">
      <c r="A830" s="32">
        <v>66201</v>
      </c>
      <c r="B830" s="95">
        <f t="shared" si="132"/>
        <v>31</v>
      </c>
      <c r="C830" s="83">
        <f>122.58</f>
        <v>122.58</v>
      </c>
      <c r="D830" s="83">
        <f>297.941</f>
        <v>297.94099999999997</v>
      </c>
      <c r="E830" s="92">
        <f>89.177</f>
        <v>89.177000000000007</v>
      </c>
      <c r="F830" s="83">
        <f>240.302-40-60-100</f>
        <v>40.301999999999992</v>
      </c>
      <c r="G830" s="86">
        <v>40</v>
      </c>
      <c r="H830" s="83">
        <f>60+100</f>
        <v>160</v>
      </c>
      <c r="I830" s="83">
        <f t="shared" si="136"/>
        <v>0</v>
      </c>
      <c r="J830" s="86">
        <v>100</v>
      </c>
      <c r="K830" s="86">
        <v>300</v>
      </c>
      <c r="L830" s="83">
        <f t="shared" si="128"/>
        <v>1150</v>
      </c>
      <c r="M830" s="94">
        <v>600</v>
      </c>
      <c r="N830" s="83">
        <f>100</f>
        <v>100</v>
      </c>
      <c r="O830" s="86">
        <v>240</v>
      </c>
      <c r="P830" s="86">
        <v>40</v>
      </c>
      <c r="Q830" s="86">
        <f t="shared" si="129"/>
        <v>315</v>
      </c>
      <c r="R830" s="86">
        <f t="shared" si="130"/>
        <v>100</v>
      </c>
      <c r="S830" s="83">
        <f t="shared" si="131"/>
        <v>695</v>
      </c>
      <c r="T830" s="83">
        <f>50</f>
        <v>50</v>
      </c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</row>
    <row r="831" spans="1:30" ht="15.75" x14ac:dyDescent="0.25">
      <c r="A831" s="32">
        <v>66231</v>
      </c>
      <c r="B831" s="95">
        <f t="shared" si="132"/>
        <v>30</v>
      </c>
      <c r="C831" s="83">
        <f>141.293</f>
        <v>141.29300000000001</v>
      </c>
      <c r="D831" s="83">
        <f>267.993</f>
        <v>267.99299999999999</v>
      </c>
      <c r="E831" s="92">
        <f>115.016</f>
        <v>115.01600000000001</v>
      </c>
      <c r="F831" s="83">
        <f>314.698-40-25-60-100</f>
        <v>89.697999999999979</v>
      </c>
      <c r="G831" s="86">
        <v>40</v>
      </c>
      <c r="H831" s="83">
        <f t="shared" ref="H831:H837" si="137">25+60+100</f>
        <v>185</v>
      </c>
      <c r="I831" s="83">
        <f t="shared" si="136"/>
        <v>0</v>
      </c>
      <c r="J831" s="86">
        <v>100</v>
      </c>
      <c r="K831" s="86">
        <v>300</v>
      </c>
      <c r="L831" s="83">
        <f t="shared" si="128"/>
        <v>1239</v>
      </c>
      <c r="M831" s="94">
        <v>600</v>
      </c>
      <c r="N831" s="83">
        <f>100</f>
        <v>100</v>
      </c>
      <c r="O831" s="86">
        <v>240</v>
      </c>
      <c r="P831" s="86">
        <v>40</v>
      </c>
      <c r="Q831" s="86">
        <f t="shared" si="129"/>
        <v>315</v>
      </c>
      <c r="R831" s="86">
        <f t="shared" si="130"/>
        <v>100</v>
      </c>
      <c r="S831" s="83">
        <f t="shared" si="131"/>
        <v>695</v>
      </c>
      <c r="T831" s="83">
        <f>50</f>
        <v>50</v>
      </c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</row>
    <row r="832" spans="1:30" ht="15.75" x14ac:dyDescent="0.25">
      <c r="A832" s="32">
        <v>66262</v>
      </c>
      <c r="B832" s="95">
        <f t="shared" si="132"/>
        <v>31</v>
      </c>
      <c r="C832" s="83">
        <f>194.205</f>
        <v>194.20500000000001</v>
      </c>
      <c r="D832" s="83">
        <f>267.466</f>
        <v>267.46600000000001</v>
      </c>
      <c r="E832" s="92">
        <f>133.845</f>
        <v>133.845</v>
      </c>
      <c r="F832" s="83">
        <f>278.484-40-25-60-100</f>
        <v>53.48399999999998</v>
      </c>
      <c r="G832" s="86">
        <v>40</v>
      </c>
      <c r="H832" s="83">
        <f t="shared" si="137"/>
        <v>185</v>
      </c>
      <c r="I832" s="83">
        <f t="shared" si="136"/>
        <v>0</v>
      </c>
      <c r="J832" s="86">
        <v>100</v>
      </c>
      <c r="K832" s="86">
        <v>300</v>
      </c>
      <c r="L832" s="83">
        <f t="shared" si="128"/>
        <v>1274</v>
      </c>
      <c r="M832" s="94">
        <v>600</v>
      </c>
      <c r="N832" s="83">
        <f>75</f>
        <v>75</v>
      </c>
      <c r="O832" s="86">
        <v>240</v>
      </c>
      <c r="P832" s="86">
        <v>40</v>
      </c>
      <c r="Q832" s="86">
        <f t="shared" si="129"/>
        <v>315</v>
      </c>
      <c r="R832" s="86">
        <f t="shared" si="130"/>
        <v>100</v>
      </c>
      <c r="S832" s="83">
        <f t="shared" si="131"/>
        <v>695</v>
      </c>
      <c r="T832" s="83">
        <f>50</f>
        <v>50</v>
      </c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</row>
    <row r="833" spans="1:30" ht="15.75" x14ac:dyDescent="0.25">
      <c r="A833" s="32">
        <v>66292</v>
      </c>
      <c r="B833" s="95">
        <f t="shared" si="132"/>
        <v>30</v>
      </c>
      <c r="C833" s="83">
        <f>194.205</f>
        <v>194.20500000000001</v>
      </c>
      <c r="D833" s="83">
        <f>267.466</f>
        <v>267.46600000000001</v>
      </c>
      <c r="E833" s="92">
        <f>133.845</f>
        <v>133.845</v>
      </c>
      <c r="F833" s="83">
        <f>278.484-40-25-60-100</f>
        <v>53.48399999999998</v>
      </c>
      <c r="G833" s="86">
        <v>40</v>
      </c>
      <c r="H833" s="83">
        <f t="shared" si="137"/>
        <v>185</v>
      </c>
      <c r="I833" s="83">
        <f t="shared" si="136"/>
        <v>0</v>
      </c>
      <c r="J833" s="86">
        <v>100</v>
      </c>
      <c r="K833" s="86">
        <v>300</v>
      </c>
      <c r="L833" s="83">
        <f t="shared" si="128"/>
        <v>1274</v>
      </c>
      <c r="M833" s="94">
        <v>600</v>
      </c>
      <c r="N833" s="83">
        <f>30</f>
        <v>30</v>
      </c>
      <c r="O833" s="86">
        <v>240</v>
      </c>
      <c r="P833" s="86">
        <v>40</v>
      </c>
      <c r="Q833" s="86">
        <f t="shared" si="129"/>
        <v>315</v>
      </c>
      <c r="R833" s="86">
        <f t="shared" si="130"/>
        <v>100</v>
      </c>
      <c r="S833" s="83">
        <f t="shared" si="131"/>
        <v>695</v>
      </c>
      <c r="T833" s="83">
        <f>50</f>
        <v>50</v>
      </c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</row>
    <row r="834" spans="1:30" ht="15.75" x14ac:dyDescent="0.25">
      <c r="A834" s="32">
        <v>66323</v>
      </c>
      <c r="B834" s="95">
        <f t="shared" si="132"/>
        <v>31</v>
      </c>
      <c r="C834" s="83">
        <f>194.205</f>
        <v>194.20500000000001</v>
      </c>
      <c r="D834" s="83">
        <f>267.466</f>
        <v>267.46600000000001</v>
      </c>
      <c r="E834" s="92">
        <f>133.845</f>
        <v>133.845</v>
      </c>
      <c r="F834" s="83">
        <f>278.484-40-25-60-100</f>
        <v>53.48399999999998</v>
      </c>
      <c r="G834" s="86">
        <v>40</v>
      </c>
      <c r="H834" s="83">
        <f t="shared" si="137"/>
        <v>185</v>
      </c>
      <c r="I834" s="83">
        <f t="shared" si="136"/>
        <v>0</v>
      </c>
      <c r="J834" s="86">
        <v>100</v>
      </c>
      <c r="K834" s="86">
        <v>300</v>
      </c>
      <c r="L834" s="83">
        <f t="shared" si="128"/>
        <v>1274</v>
      </c>
      <c r="M834" s="94">
        <v>600</v>
      </c>
      <c r="N834" s="83">
        <f>30</f>
        <v>30</v>
      </c>
      <c r="O834" s="86">
        <v>240</v>
      </c>
      <c r="P834" s="86">
        <v>40</v>
      </c>
      <c r="Q834" s="86">
        <f t="shared" si="129"/>
        <v>315</v>
      </c>
      <c r="R834" s="86">
        <f t="shared" si="130"/>
        <v>100</v>
      </c>
      <c r="S834" s="83">
        <f t="shared" si="131"/>
        <v>695</v>
      </c>
      <c r="T834" s="83">
        <f>0</f>
        <v>0</v>
      </c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</row>
    <row r="835" spans="1:30" ht="15.75" x14ac:dyDescent="0.25">
      <c r="A835" s="32">
        <v>66354</v>
      </c>
      <c r="B835" s="95">
        <f t="shared" si="132"/>
        <v>31</v>
      </c>
      <c r="C835" s="83">
        <f>194.205</f>
        <v>194.20500000000001</v>
      </c>
      <c r="D835" s="83">
        <f>267.466</f>
        <v>267.46600000000001</v>
      </c>
      <c r="E835" s="92">
        <f>133.845</f>
        <v>133.845</v>
      </c>
      <c r="F835" s="83">
        <f>278.484-40-25-60-100</f>
        <v>53.48399999999998</v>
      </c>
      <c r="G835" s="86">
        <v>40</v>
      </c>
      <c r="H835" s="83">
        <f t="shared" si="137"/>
        <v>185</v>
      </c>
      <c r="I835" s="83">
        <f t="shared" si="136"/>
        <v>0</v>
      </c>
      <c r="J835" s="86">
        <v>100</v>
      </c>
      <c r="K835" s="86">
        <v>300</v>
      </c>
      <c r="L835" s="83">
        <f t="shared" si="128"/>
        <v>1274</v>
      </c>
      <c r="M835" s="94">
        <v>600</v>
      </c>
      <c r="N835" s="83">
        <f>30</f>
        <v>30</v>
      </c>
      <c r="O835" s="86">
        <v>240</v>
      </c>
      <c r="P835" s="86">
        <v>40</v>
      </c>
      <c r="Q835" s="86">
        <f t="shared" si="129"/>
        <v>315</v>
      </c>
      <c r="R835" s="86">
        <f t="shared" si="130"/>
        <v>100</v>
      </c>
      <c r="S835" s="83">
        <f t="shared" si="131"/>
        <v>695</v>
      </c>
      <c r="T835" s="83">
        <f>0</f>
        <v>0</v>
      </c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</row>
    <row r="836" spans="1:30" ht="15.75" x14ac:dyDescent="0.25">
      <c r="A836" s="32">
        <v>66384</v>
      </c>
      <c r="B836" s="95">
        <f t="shared" si="132"/>
        <v>30</v>
      </c>
      <c r="C836" s="83">
        <f>194.205</f>
        <v>194.20500000000001</v>
      </c>
      <c r="D836" s="83">
        <f>267.466</f>
        <v>267.46600000000001</v>
      </c>
      <c r="E836" s="92">
        <f>133.845</f>
        <v>133.845</v>
      </c>
      <c r="F836" s="83">
        <f>278.484-40-25-60-100</f>
        <v>53.48399999999998</v>
      </c>
      <c r="G836" s="86">
        <v>40</v>
      </c>
      <c r="H836" s="83">
        <f t="shared" si="137"/>
        <v>185</v>
      </c>
      <c r="I836" s="83">
        <f t="shared" si="136"/>
        <v>0</v>
      </c>
      <c r="J836" s="86">
        <v>100</v>
      </c>
      <c r="K836" s="86">
        <v>300</v>
      </c>
      <c r="L836" s="83">
        <f t="shared" si="128"/>
        <v>1274</v>
      </c>
      <c r="M836" s="94">
        <v>600</v>
      </c>
      <c r="N836" s="83">
        <f>30</f>
        <v>30</v>
      </c>
      <c r="O836" s="86">
        <v>240</v>
      </c>
      <c r="P836" s="86">
        <v>40</v>
      </c>
      <c r="Q836" s="86">
        <f t="shared" si="129"/>
        <v>315</v>
      </c>
      <c r="R836" s="86">
        <f t="shared" si="130"/>
        <v>100</v>
      </c>
      <c r="S836" s="83">
        <f t="shared" si="131"/>
        <v>695</v>
      </c>
      <c r="T836" s="83">
        <f>0</f>
        <v>0</v>
      </c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</row>
    <row r="837" spans="1:30" ht="15.75" x14ac:dyDescent="0.25">
      <c r="A837" s="32">
        <v>66415</v>
      </c>
      <c r="B837" s="95">
        <f t="shared" si="132"/>
        <v>31</v>
      </c>
      <c r="C837" s="83">
        <f>131.881</f>
        <v>131.881</v>
      </c>
      <c r="D837" s="83">
        <f>277.167</f>
        <v>277.16699999999997</v>
      </c>
      <c r="E837" s="92">
        <f>79.08</f>
        <v>79.08</v>
      </c>
      <c r="F837" s="83">
        <f>350.872-40-25-60-100</f>
        <v>125.87200000000001</v>
      </c>
      <c r="G837" s="86">
        <v>40</v>
      </c>
      <c r="H837" s="83">
        <f t="shared" si="137"/>
        <v>185</v>
      </c>
      <c r="I837" s="83">
        <f t="shared" si="136"/>
        <v>0</v>
      </c>
      <c r="J837" s="86">
        <v>100</v>
      </c>
      <c r="K837" s="86">
        <v>300</v>
      </c>
      <c r="L837" s="83">
        <f t="shared" si="128"/>
        <v>1239</v>
      </c>
      <c r="M837" s="94">
        <v>600</v>
      </c>
      <c r="N837" s="83">
        <f>75</f>
        <v>75</v>
      </c>
      <c r="O837" s="86">
        <v>240</v>
      </c>
      <c r="P837" s="86">
        <v>40</v>
      </c>
      <c r="Q837" s="86">
        <f t="shared" si="129"/>
        <v>315</v>
      </c>
      <c r="R837" s="86">
        <f t="shared" si="130"/>
        <v>100</v>
      </c>
      <c r="S837" s="83">
        <f t="shared" si="131"/>
        <v>695</v>
      </c>
      <c r="T837" s="83">
        <f>0</f>
        <v>0</v>
      </c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</row>
    <row r="838" spans="1:30" ht="15.75" x14ac:dyDescent="0.25">
      <c r="A838" s="32">
        <v>66445</v>
      </c>
      <c r="B838" s="95">
        <f t="shared" si="132"/>
        <v>30</v>
      </c>
      <c r="C838" s="83">
        <f>122.58</f>
        <v>122.58</v>
      </c>
      <c r="D838" s="83">
        <f>297.941</f>
        <v>297.94099999999997</v>
      </c>
      <c r="E838" s="92">
        <f>89.177</f>
        <v>89.177000000000007</v>
      </c>
      <c r="F838" s="83">
        <f>240.302-40-60-100</f>
        <v>40.301999999999992</v>
      </c>
      <c r="G838" s="86">
        <v>40</v>
      </c>
      <c r="H838" s="83">
        <f>60+100</f>
        <v>160</v>
      </c>
      <c r="I838" s="83">
        <f t="shared" si="136"/>
        <v>0</v>
      </c>
      <c r="J838" s="86">
        <v>100</v>
      </c>
      <c r="K838" s="86">
        <v>300</v>
      </c>
      <c r="L838" s="83">
        <f t="shared" si="128"/>
        <v>1150</v>
      </c>
      <c r="M838" s="94">
        <v>600</v>
      </c>
      <c r="N838" s="83">
        <f>100</f>
        <v>100</v>
      </c>
      <c r="O838" s="86">
        <v>240</v>
      </c>
      <c r="P838" s="86">
        <v>40</v>
      </c>
      <c r="Q838" s="86">
        <f t="shared" si="129"/>
        <v>315</v>
      </c>
      <c r="R838" s="86">
        <f t="shared" si="130"/>
        <v>100</v>
      </c>
      <c r="S838" s="83">
        <f t="shared" si="131"/>
        <v>695</v>
      </c>
      <c r="T838" s="83">
        <f>50</f>
        <v>50</v>
      </c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</row>
    <row r="839" spans="1:30" ht="15.75" x14ac:dyDescent="0.25">
      <c r="A839" s="32">
        <v>66476</v>
      </c>
      <c r="B839" s="95">
        <f t="shared" si="132"/>
        <v>31</v>
      </c>
      <c r="C839" s="83">
        <f>122.58</f>
        <v>122.58</v>
      </c>
      <c r="D839" s="83">
        <f>297.941</f>
        <v>297.94099999999997</v>
      </c>
      <c r="E839" s="92">
        <f>89.177</f>
        <v>89.177000000000007</v>
      </c>
      <c r="F839" s="83">
        <f>240.302-40-60-100</f>
        <v>40.301999999999992</v>
      </c>
      <c r="G839" s="86">
        <v>40</v>
      </c>
      <c r="H839" s="83">
        <f>60+100</f>
        <v>160</v>
      </c>
      <c r="I839" s="83">
        <f t="shared" si="136"/>
        <v>0</v>
      </c>
      <c r="J839" s="86">
        <v>100</v>
      </c>
      <c r="K839" s="86">
        <v>300</v>
      </c>
      <c r="L839" s="83">
        <f t="shared" si="128"/>
        <v>1150</v>
      </c>
      <c r="M839" s="94">
        <v>600</v>
      </c>
      <c r="N839" s="83">
        <f>100</f>
        <v>100</v>
      </c>
      <c r="O839" s="86">
        <v>240</v>
      </c>
      <c r="P839" s="86">
        <v>40</v>
      </c>
      <c r="Q839" s="86">
        <f t="shared" si="129"/>
        <v>315</v>
      </c>
      <c r="R839" s="86">
        <f t="shared" si="130"/>
        <v>100</v>
      </c>
      <c r="S839" s="83">
        <f t="shared" si="131"/>
        <v>695</v>
      </c>
      <c r="T839" s="83">
        <f>50</f>
        <v>50</v>
      </c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</row>
    <row r="840" spans="1:30" ht="15.75" x14ac:dyDescent="0.25">
      <c r="A840" s="32">
        <v>66507</v>
      </c>
      <c r="B840" s="95">
        <f t="shared" si="132"/>
        <v>31</v>
      </c>
      <c r="C840" s="83">
        <f>122.58</f>
        <v>122.58</v>
      </c>
      <c r="D840" s="83">
        <f>297.941</f>
        <v>297.94099999999997</v>
      </c>
      <c r="E840" s="92">
        <f>89.177</f>
        <v>89.177000000000007</v>
      </c>
      <c r="F840" s="83">
        <f>240.302-40-60-100</f>
        <v>40.301999999999992</v>
      </c>
      <c r="G840" s="86">
        <v>40</v>
      </c>
      <c r="H840" s="83">
        <f>60+100</f>
        <v>160</v>
      </c>
      <c r="I840" s="83">
        <f t="shared" si="136"/>
        <v>0</v>
      </c>
      <c r="J840" s="86">
        <v>100</v>
      </c>
      <c r="K840" s="86">
        <v>300</v>
      </c>
      <c r="L840" s="83">
        <f t="shared" si="128"/>
        <v>1150</v>
      </c>
      <c r="M840" s="94">
        <v>600</v>
      </c>
      <c r="N840" s="83">
        <f>100</f>
        <v>100</v>
      </c>
      <c r="O840" s="86">
        <v>240</v>
      </c>
      <c r="P840" s="86">
        <v>40</v>
      </c>
      <c r="Q840" s="86">
        <f t="shared" si="129"/>
        <v>315</v>
      </c>
      <c r="R840" s="86">
        <f t="shared" si="130"/>
        <v>100</v>
      </c>
      <c r="S840" s="83">
        <f t="shared" si="131"/>
        <v>695</v>
      </c>
      <c r="T840" s="83">
        <f>50</f>
        <v>50</v>
      </c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</row>
    <row r="841" spans="1:30" ht="15.75" x14ac:dyDescent="0.25">
      <c r="A841" s="32">
        <v>66535</v>
      </c>
      <c r="B841" s="95">
        <f t="shared" si="132"/>
        <v>28</v>
      </c>
      <c r="C841" s="83">
        <f>122.58</f>
        <v>122.58</v>
      </c>
      <c r="D841" s="83">
        <f>297.941</f>
        <v>297.94099999999997</v>
      </c>
      <c r="E841" s="92">
        <f>89.177</f>
        <v>89.177000000000007</v>
      </c>
      <c r="F841" s="83">
        <f>240.302-40-60-100</f>
        <v>40.301999999999992</v>
      </c>
      <c r="G841" s="86">
        <v>40</v>
      </c>
      <c r="H841" s="83">
        <f>60+100</f>
        <v>160</v>
      </c>
      <c r="I841" s="83">
        <f t="shared" si="136"/>
        <v>0</v>
      </c>
      <c r="J841" s="86">
        <v>100</v>
      </c>
      <c r="K841" s="86">
        <v>300</v>
      </c>
      <c r="L841" s="83">
        <f t="shared" si="128"/>
        <v>1150</v>
      </c>
      <c r="M841" s="94">
        <v>600</v>
      </c>
      <c r="N841" s="83">
        <f>100</f>
        <v>100</v>
      </c>
      <c r="O841" s="86">
        <v>240</v>
      </c>
      <c r="P841" s="86">
        <v>40</v>
      </c>
      <c r="Q841" s="86">
        <f t="shared" si="129"/>
        <v>315</v>
      </c>
      <c r="R841" s="86">
        <f t="shared" si="130"/>
        <v>100</v>
      </c>
      <c r="S841" s="83">
        <f t="shared" si="131"/>
        <v>695</v>
      </c>
      <c r="T841" s="83">
        <f>50</f>
        <v>50</v>
      </c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</row>
    <row r="842" spans="1:30" ht="15.75" x14ac:dyDescent="0.25">
      <c r="A842" s="32">
        <v>66566</v>
      </c>
      <c r="B842" s="95">
        <f t="shared" si="132"/>
        <v>31</v>
      </c>
      <c r="C842" s="83">
        <f>122.58</f>
        <v>122.58</v>
      </c>
      <c r="D842" s="83">
        <f>297.941</f>
        <v>297.94099999999997</v>
      </c>
      <c r="E842" s="92">
        <f>89.177</f>
        <v>89.177000000000007</v>
      </c>
      <c r="F842" s="83">
        <f>240.302-40-60-100</f>
        <v>40.301999999999992</v>
      </c>
      <c r="G842" s="86">
        <v>40</v>
      </c>
      <c r="H842" s="83">
        <f>60+100</f>
        <v>160</v>
      </c>
      <c r="I842" s="83">
        <f t="shared" si="136"/>
        <v>0</v>
      </c>
      <c r="J842" s="86">
        <v>100</v>
      </c>
      <c r="K842" s="86">
        <v>300</v>
      </c>
      <c r="L842" s="83">
        <f t="shared" si="128"/>
        <v>1150</v>
      </c>
      <c r="M842" s="94">
        <v>600</v>
      </c>
      <c r="N842" s="83">
        <f>100</f>
        <v>100</v>
      </c>
      <c r="O842" s="86">
        <v>240</v>
      </c>
      <c r="P842" s="86">
        <v>40</v>
      </c>
      <c r="Q842" s="86">
        <f t="shared" si="129"/>
        <v>315</v>
      </c>
      <c r="R842" s="86">
        <f t="shared" si="130"/>
        <v>100</v>
      </c>
      <c r="S842" s="83">
        <f t="shared" si="131"/>
        <v>695</v>
      </c>
      <c r="T842" s="83">
        <f>50</f>
        <v>50</v>
      </c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</row>
    <row r="843" spans="1:30" ht="15.75" x14ac:dyDescent="0.25">
      <c r="A843" s="32">
        <v>66596</v>
      </c>
      <c r="B843" s="95">
        <f t="shared" si="132"/>
        <v>30</v>
      </c>
      <c r="C843" s="83">
        <f>141.293</f>
        <v>141.29300000000001</v>
      </c>
      <c r="D843" s="83">
        <f>267.993</f>
        <v>267.99299999999999</v>
      </c>
      <c r="E843" s="92">
        <f>115.016</f>
        <v>115.01600000000001</v>
      </c>
      <c r="F843" s="83">
        <f>314.698-40-25-60-100</f>
        <v>89.697999999999979</v>
      </c>
      <c r="G843" s="86">
        <v>40</v>
      </c>
      <c r="H843" s="83">
        <f t="shared" ref="H843:H849" si="138">25+60+100</f>
        <v>185</v>
      </c>
      <c r="I843" s="83">
        <f t="shared" si="136"/>
        <v>0</v>
      </c>
      <c r="J843" s="86">
        <v>100</v>
      </c>
      <c r="K843" s="86">
        <v>300</v>
      </c>
      <c r="L843" s="83">
        <f t="shared" si="128"/>
        <v>1239</v>
      </c>
      <c r="M843" s="94">
        <v>600</v>
      </c>
      <c r="N843" s="83">
        <f>100</f>
        <v>100</v>
      </c>
      <c r="O843" s="86">
        <v>240</v>
      </c>
      <c r="P843" s="86">
        <v>40</v>
      </c>
      <c r="Q843" s="86">
        <f t="shared" si="129"/>
        <v>315</v>
      </c>
      <c r="R843" s="86">
        <f t="shared" si="130"/>
        <v>100</v>
      </c>
      <c r="S843" s="83">
        <f t="shared" si="131"/>
        <v>695</v>
      </c>
      <c r="T843" s="83">
        <f>50</f>
        <v>50</v>
      </c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</row>
    <row r="844" spans="1:30" ht="15.75" x14ac:dyDescent="0.25">
      <c r="A844" s="32">
        <v>66627</v>
      </c>
      <c r="B844" s="95">
        <f t="shared" si="132"/>
        <v>31</v>
      </c>
      <c r="C844" s="83">
        <f>194.205</f>
        <v>194.20500000000001</v>
      </c>
      <c r="D844" s="83">
        <f>267.466</f>
        <v>267.46600000000001</v>
      </c>
      <c r="E844" s="92">
        <f>133.845</f>
        <v>133.845</v>
      </c>
      <c r="F844" s="83">
        <f>278.484-40-25-60-100</f>
        <v>53.48399999999998</v>
      </c>
      <c r="G844" s="86">
        <v>40</v>
      </c>
      <c r="H844" s="83">
        <f t="shared" si="138"/>
        <v>185</v>
      </c>
      <c r="I844" s="83">
        <f t="shared" si="136"/>
        <v>0</v>
      </c>
      <c r="J844" s="86">
        <v>100</v>
      </c>
      <c r="K844" s="86">
        <v>300</v>
      </c>
      <c r="L844" s="83">
        <f t="shared" si="128"/>
        <v>1274</v>
      </c>
      <c r="M844" s="94">
        <v>600</v>
      </c>
      <c r="N844" s="83">
        <f>75</f>
        <v>75</v>
      </c>
      <c r="O844" s="86">
        <v>240</v>
      </c>
      <c r="P844" s="86">
        <v>40</v>
      </c>
      <c r="Q844" s="86">
        <f t="shared" si="129"/>
        <v>315</v>
      </c>
      <c r="R844" s="86">
        <f t="shared" si="130"/>
        <v>100</v>
      </c>
      <c r="S844" s="83">
        <f t="shared" si="131"/>
        <v>695</v>
      </c>
      <c r="T844" s="83">
        <f>50</f>
        <v>50</v>
      </c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</row>
    <row r="845" spans="1:30" ht="15.75" x14ac:dyDescent="0.25">
      <c r="A845" s="32">
        <v>66657</v>
      </c>
      <c r="B845" s="95">
        <f t="shared" si="132"/>
        <v>30</v>
      </c>
      <c r="C845" s="83">
        <f>194.205</f>
        <v>194.20500000000001</v>
      </c>
      <c r="D845" s="83">
        <f>267.466</f>
        <v>267.46600000000001</v>
      </c>
      <c r="E845" s="92">
        <f>133.845</f>
        <v>133.845</v>
      </c>
      <c r="F845" s="83">
        <f>278.484-40-25-60-100</f>
        <v>53.48399999999998</v>
      </c>
      <c r="G845" s="86">
        <v>40</v>
      </c>
      <c r="H845" s="83">
        <f t="shared" si="138"/>
        <v>185</v>
      </c>
      <c r="I845" s="83">
        <f t="shared" si="136"/>
        <v>0</v>
      </c>
      <c r="J845" s="86">
        <v>100</v>
      </c>
      <c r="K845" s="86">
        <v>300</v>
      </c>
      <c r="L845" s="83">
        <f t="shared" si="128"/>
        <v>1274</v>
      </c>
      <c r="M845" s="94">
        <v>600</v>
      </c>
      <c r="N845" s="83">
        <f>30</f>
        <v>30</v>
      </c>
      <c r="O845" s="86">
        <v>240</v>
      </c>
      <c r="P845" s="86">
        <v>40</v>
      </c>
      <c r="Q845" s="86">
        <f t="shared" si="129"/>
        <v>315</v>
      </c>
      <c r="R845" s="86">
        <f t="shared" si="130"/>
        <v>100</v>
      </c>
      <c r="S845" s="83">
        <f t="shared" si="131"/>
        <v>695</v>
      </c>
      <c r="T845" s="83">
        <f>50</f>
        <v>50</v>
      </c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</row>
    <row r="846" spans="1:30" ht="15.75" x14ac:dyDescent="0.25">
      <c r="A846" s="32">
        <v>66688</v>
      </c>
      <c r="B846" s="95">
        <f t="shared" si="132"/>
        <v>31</v>
      </c>
      <c r="C846" s="83">
        <f>194.205</f>
        <v>194.20500000000001</v>
      </c>
      <c r="D846" s="83">
        <f>267.466</f>
        <v>267.46600000000001</v>
      </c>
      <c r="E846" s="92">
        <f>133.845</f>
        <v>133.845</v>
      </c>
      <c r="F846" s="83">
        <f>278.484-40-25-60-100</f>
        <v>53.48399999999998</v>
      </c>
      <c r="G846" s="86">
        <v>40</v>
      </c>
      <c r="H846" s="83">
        <f t="shared" si="138"/>
        <v>185</v>
      </c>
      <c r="I846" s="83">
        <f t="shared" si="136"/>
        <v>0</v>
      </c>
      <c r="J846" s="86">
        <v>100</v>
      </c>
      <c r="K846" s="86">
        <v>300</v>
      </c>
      <c r="L846" s="83">
        <f t="shared" si="128"/>
        <v>1274</v>
      </c>
      <c r="M846" s="94">
        <v>600</v>
      </c>
      <c r="N846" s="83">
        <f>30</f>
        <v>30</v>
      </c>
      <c r="O846" s="86">
        <v>240</v>
      </c>
      <c r="P846" s="86">
        <v>40</v>
      </c>
      <c r="Q846" s="86">
        <f t="shared" si="129"/>
        <v>315</v>
      </c>
      <c r="R846" s="86">
        <f t="shared" si="130"/>
        <v>100</v>
      </c>
      <c r="S846" s="83">
        <f t="shared" si="131"/>
        <v>695</v>
      </c>
      <c r="T846" s="83">
        <f>0</f>
        <v>0</v>
      </c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</row>
    <row r="847" spans="1:30" ht="15.75" x14ac:dyDescent="0.25">
      <c r="A847" s="32">
        <v>66719</v>
      </c>
      <c r="B847" s="95">
        <f t="shared" si="132"/>
        <v>31</v>
      </c>
      <c r="C847" s="83">
        <f>194.205</f>
        <v>194.20500000000001</v>
      </c>
      <c r="D847" s="83">
        <f>267.466</f>
        <v>267.46600000000001</v>
      </c>
      <c r="E847" s="92">
        <f>133.845</f>
        <v>133.845</v>
      </c>
      <c r="F847" s="83">
        <f>278.484-40-25-60-100</f>
        <v>53.48399999999998</v>
      </c>
      <c r="G847" s="86">
        <v>40</v>
      </c>
      <c r="H847" s="83">
        <f t="shared" si="138"/>
        <v>185</v>
      </c>
      <c r="I847" s="83">
        <f t="shared" si="136"/>
        <v>0</v>
      </c>
      <c r="J847" s="86">
        <v>100</v>
      </c>
      <c r="K847" s="86">
        <v>300</v>
      </c>
      <c r="L847" s="83">
        <f t="shared" si="128"/>
        <v>1274</v>
      </c>
      <c r="M847" s="94">
        <v>600</v>
      </c>
      <c r="N847" s="83">
        <f>30</f>
        <v>30</v>
      </c>
      <c r="O847" s="86">
        <v>240</v>
      </c>
      <c r="P847" s="86">
        <v>40</v>
      </c>
      <c r="Q847" s="86">
        <f t="shared" si="129"/>
        <v>315</v>
      </c>
      <c r="R847" s="86">
        <f t="shared" si="130"/>
        <v>100</v>
      </c>
      <c r="S847" s="83">
        <f t="shared" si="131"/>
        <v>695</v>
      </c>
      <c r="T847" s="83">
        <f>0</f>
        <v>0</v>
      </c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</row>
    <row r="848" spans="1:30" ht="15.75" x14ac:dyDescent="0.25">
      <c r="A848" s="32">
        <v>66749</v>
      </c>
      <c r="B848" s="95">
        <f t="shared" si="132"/>
        <v>30</v>
      </c>
      <c r="C848" s="83">
        <f>194.205</f>
        <v>194.20500000000001</v>
      </c>
      <c r="D848" s="83">
        <f>267.466</f>
        <v>267.46600000000001</v>
      </c>
      <c r="E848" s="92">
        <f>133.845</f>
        <v>133.845</v>
      </c>
      <c r="F848" s="83">
        <f>278.484-40-25-60-100</f>
        <v>53.48399999999998</v>
      </c>
      <c r="G848" s="86">
        <v>40</v>
      </c>
      <c r="H848" s="83">
        <f t="shared" si="138"/>
        <v>185</v>
      </c>
      <c r="I848" s="83">
        <f t="shared" si="136"/>
        <v>0</v>
      </c>
      <c r="J848" s="86">
        <v>100</v>
      </c>
      <c r="K848" s="86">
        <v>300</v>
      </c>
      <c r="L848" s="83">
        <f t="shared" si="128"/>
        <v>1274</v>
      </c>
      <c r="M848" s="94">
        <v>600</v>
      </c>
      <c r="N848" s="83">
        <f>30</f>
        <v>30</v>
      </c>
      <c r="O848" s="86">
        <v>240</v>
      </c>
      <c r="P848" s="86">
        <v>40</v>
      </c>
      <c r="Q848" s="86">
        <f t="shared" si="129"/>
        <v>315</v>
      </c>
      <c r="R848" s="86">
        <f t="shared" si="130"/>
        <v>100</v>
      </c>
      <c r="S848" s="83">
        <f t="shared" si="131"/>
        <v>695</v>
      </c>
      <c r="T848" s="83">
        <f>0</f>
        <v>0</v>
      </c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</row>
    <row r="849" spans="1:30" ht="15.75" x14ac:dyDescent="0.25">
      <c r="A849" s="32">
        <v>66780</v>
      </c>
      <c r="B849" s="95">
        <f t="shared" si="132"/>
        <v>31</v>
      </c>
      <c r="C849" s="83">
        <f>131.881</f>
        <v>131.881</v>
      </c>
      <c r="D849" s="83">
        <f>277.167</f>
        <v>277.16699999999997</v>
      </c>
      <c r="E849" s="92">
        <f>79.08</f>
        <v>79.08</v>
      </c>
      <c r="F849" s="83">
        <f>350.872-40-25-60-100</f>
        <v>125.87200000000001</v>
      </c>
      <c r="G849" s="86">
        <v>40</v>
      </c>
      <c r="H849" s="83">
        <f t="shared" si="138"/>
        <v>185</v>
      </c>
      <c r="I849" s="83">
        <f t="shared" si="136"/>
        <v>0</v>
      </c>
      <c r="J849" s="86">
        <v>100</v>
      </c>
      <c r="K849" s="86">
        <v>300</v>
      </c>
      <c r="L849" s="83">
        <f t="shared" si="128"/>
        <v>1239</v>
      </c>
      <c r="M849" s="94">
        <v>600</v>
      </c>
      <c r="N849" s="83">
        <f>75</f>
        <v>75</v>
      </c>
      <c r="O849" s="86">
        <v>240</v>
      </c>
      <c r="P849" s="86">
        <v>40</v>
      </c>
      <c r="Q849" s="86">
        <f t="shared" si="129"/>
        <v>315</v>
      </c>
      <c r="R849" s="86">
        <f t="shared" si="130"/>
        <v>100</v>
      </c>
      <c r="S849" s="83">
        <f t="shared" si="131"/>
        <v>695</v>
      </c>
      <c r="T849" s="83">
        <f>0</f>
        <v>0</v>
      </c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</row>
    <row r="850" spans="1:30" ht="15.75" x14ac:dyDescent="0.25">
      <c r="A850" s="32">
        <v>66810</v>
      </c>
      <c r="B850" s="95">
        <f t="shared" si="132"/>
        <v>30</v>
      </c>
      <c r="C850" s="83">
        <f>122.58</f>
        <v>122.58</v>
      </c>
      <c r="D850" s="83">
        <f>297.941</f>
        <v>297.94099999999997</v>
      </c>
      <c r="E850" s="92">
        <f>89.177</f>
        <v>89.177000000000007</v>
      </c>
      <c r="F850" s="83">
        <f>240.302-40-60-100</f>
        <v>40.301999999999992</v>
      </c>
      <c r="G850" s="86">
        <v>40</v>
      </c>
      <c r="H850" s="83">
        <f>60+100</f>
        <v>160</v>
      </c>
      <c r="I850" s="83">
        <f t="shared" si="136"/>
        <v>0</v>
      </c>
      <c r="J850" s="86">
        <v>100</v>
      </c>
      <c r="K850" s="86">
        <v>300</v>
      </c>
      <c r="L850" s="83">
        <f t="shared" si="128"/>
        <v>1150</v>
      </c>
      <c r="M850" s="94">
        <v>600</v>
      </c>
      <c r="N850" s="83">
        <f>100</f>
        <v>100</v>
      </c>
      <c r="O850" s="86">
        <v>240</v>
      </c>
      <c r="P850" s="86">
        <v>40</v>
      </c>
      <c r="Q850" s="86">
        <f t="shared" si="129"/>
        <v>315</v>
      </c>
      <c r="R850" s="86">
        <f t="shared" si="130"/>
        <v>100</v>
      </c>
      <c r="S850" s="83">
        <f t="shared" si="131"/>
        <v>695</v>
      </c>
      <c r="T850" s="83">
        <f>50</f>
        <v>50</v>
      </c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</row>
    <row r="851" spans="1:30" ht="15.75" x14ac:dyDescent="0.25">
      <c r="A851" s="32">
        <v>66841</v>
      </c>
      <c r="B851" s="95">
        <f t="shared" si="132"/>
        <v>31</v>
      </c>
      <c r="C851" s="83">
        <f>122.58</f>
        <v>122.58</v>
      </c>
      <c r="D851" s="83">
        <f>297.941</f>
        <v>297.94099999999997</v>
      </c>
      <c r="E851" s="92">
        <f>89.177</f>
        <v>89.177000000000007</v>
      </c>
      <c r="F851" s="83">
        <f>240.302-40-60-100</f>
        <v>40.301999999999992</v>
      </c>
      <c r="G851" s="86">
        <v>40</v>
      </c>
      <c r="H851" s="83">
        <f>60+100</f>
        <v>160</v>
      </c>
      <c r="I851" s="83">
        <f t="shared" si="136"/>
        <v>0</v>
      </c>
      <c r="J851" s="86">
        <v>100</v>
      </c>
      <c r="K851" s="86">
        <v>300</v>
      </c>
      <c r="L851" s="83">
        <f t="shared" si="128"/>
        <v>1150</v>
      </c>
      <c r="M851" s="94">
        <v>600</v>
      </c>
      <c r="N851" s="83">
        <f>100</f>
        <v>100</v>
      </c>
      <c r="O851" s="86">
        <v>240</v>
      </c>
      <c r="P851" s="86">
        <v>40</v>
      </c>
      <c r="Q851" s="86">
        <f t="shared" si="129"/>
        <v>315</v>
      </c>
      <c r="R851" s="86">
        <f t="shared" si="130"/>
        <v>100</v>
      </c>
      <c r="S851" s="83">
        <f t="shared" si="131"/>
        <v>695</v>
      </c>
      <c r="T851" s="83">
        <f>50</f>
        <v>50</v>
      </c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</row>
    <row r="852" spans="1:30" ht="15.75" x14ac:dyDescent="0.25">
      <c r="A852" s="32">
        <v>66872</v>
      </c>
      <c r="B852" s="95">
        <f t="shared" si="132"/>
        <v>31</v>
      </c>
      <c r="C852" s="83">
        <f>122.58</f>
        <v>122.58</v>
      </c>
      <c r="D852" s="83">
        <f>297.941</f>
        <v>297.94099999999997</v>
      </c>
      <c r="E852" s="92">
        <f>89.177</f>
        <v>89.177000000000007</v>
      </c>
      <c r="F852" s="83">
        <f>240.302-40-60-100</f>
        <v>40.301999999999992</v>
      </c>
      <c r="G852" s="86">
        <v>40</v>
      </c>
      <c r="H852" s="83">
        <f>60+100</f>
        <v>160</v>
      </c>
      <c r="I852" s="83">
        <f t="shared" si="136"/>
        <v>0</v>
      </c>
      <c r="J852" s="86">
        <v>100</v>
      </c>
      <c r="K852" s="86">
        <v>300</v>
      </c>
      <c r="L852" s="83">
        <f t="shared" si="128"/>
        <v>1150</v>
      </c>
      <c r="M852" s="94">
        <v>600</v>
      </c>
      <c r="N852" s="83">
        <f>100</f>
        <v>100</v>
      </c>
      <c r="O852" s="86">
        <v>240</v>
      </c>
      <c r="P852" s="86">
        <v>40</v>
      </c>
      <c r="Q852" s="86">
        <f t="shared" si="129"/>
        <v>315</v>
      </c>
      <c r="R852" s="86">
        <f t="shared" si="130"/>
        <v>100</v>
      </c>
      <c r="S852" s="83">
        <f t="shared" si="131"/>
        <v>695</v>
      </c>
      <c r="T852" s="83">
        <f>50</f>
        <v>50</v>
      </c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</row>
    <row r="853" spans="1:30" ht="15.75" x14ac:dyDescent="0.25">
      <c r="A853" s="32">
        <v>66900</v>
      </c>
      <c r="B853" s="95">
        <f t="shared" si="132"/>
        <v>28</v>
      </c>
      <c r="C853" s="83">
        <f>122.58</f>
        <v>122.58</v>
      </c>
      <c r="D853" s="83">
        <f>297.941</f>
        <v>297.94099999999997</v>
      </c>
      <c r="E853" s="92">
        <f>89.177</f>
        <v>89.177000000000007</v>
      </c>
      <c r="F853" s="83">
        <f>240.302-40-60-100</f>
        <v>40.301999999999992</v>
      </c>
      <c r="G853" s="86">
        <v>40</v>
      </c>
      <c r="H853" s="83">
        <f>60+100</f>
        <v>160</v>
      </c>
      <c r="I853" s="83">
        <f t="shared" si="136"/>
        <v>0</v>
      </c>
      <c r="J853" s="86">
        <v>100</v>
      </c>
      <c r="K853" s="86">
        <v>300</v>
      </c>
      <c r="L853" s="83">
        <f t="shared" si="128"/>
        <v>1150</v>
      </c>
      <c r="M853" s="94">
        <v>600</v>
      </c>
      <c r="N853" s="83">
        <f>100</f>
        <v>100</v>
      </c>
      <c r="O853" s="86">
        <v>240</v>
      </c>
      <c r="P853" s="86">
        <v>40</v>
      </c>
      <c r="Q853" s="86">
        <f t="shared" si="129"/>
        <v>315</v>
      </c>
      <c r="R853" s="86">
        <f t="shared" si="130"/>
        <v>100</v>
      </c>
      <c r="S853" s="83">
        <f t="shared" si="131"/>
        <v>695</v>
      </c>
      <c r="T853" s="83">
        <f>50</f>
        <v>50</v>
      </c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</row>
    <row r="854" spans="1:30" ht="15.75" x14ac:dyDescent="0.25">
      <c r="A854" s="32">
        <v>66931</v>
      </c>
      <c r="B854" s="95">
        <f t="shared" si="132"/>
        <v>31</v>
      </c>
      <c r="C854" s="83">
        <f>122.58</f>
        <v>122.58</v>
      </c>
      <c r="D854" s="83">
        <f>297.941</f>
        <v>297.94099999999997</v>
      </c>
      <c r="E854" s="92">
        <f>89.177</f>
        <v>89.177000000000007</v>
      </c>
      <c r="F854" s="83">
        <f>240.302-40-60-100</f>
        <v>40.301999999999992</v>
      </c>
      <c r="G854" s="86">
        <v>40</v>
      </c>
      <c r="H854" s="83">
        <f>60+100</f>
        <v>160</v>
      </c>
      <c r="I854" s="83">
        <f t="shared" si="136"/>
        <v>0</v>
      </c>
      <c r="J854" s="86">
        <v>100</v>
      </c>
      <c r="K854" s="86">
        <v>300</v>
      </c>
      <c r="L854" s="83">
        <f t="shared" ref="L854:L917" si="139">SUM(C854:K854)</f>
        <v>1150</v>
      </c>
      <c r="M854" s="94">
        <v>600</v>
      </c>
      <c r="N854" s="83">
        <f>100</f>
        <v>100</v>
      </c>
      <c r="O854" s="86">
        <v>240</v>
      </c>
      <c r="P854" s="86">
        <v>40</v>
      </c>
      <c r="Q854" s="86">
        <f t="shared" ref="Q854:Q917" si="140">695-R854-O854-P854</f>
        <v>315</v>
      </c>
      <c r="R854" s="86">
        <f t="shared" ref="R854:R917" si="141">200-J854</f>
        <v>100</v>
      </c>
      <c r="S854" s="83">
        <f t="shared" ref="S854:S917" si="142">SUM(O854:R854)</f>
        <v>695</v>
      </c>
      <c r="T854" s="83">
        <f>50</f>
        <v>50</v>
      </c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</row>
    <row r="855" spans="1:30" ht="15.75" x14ac:dyDescent="0.25">
      <c r="A855" s="32">
        <v>66961</v>
      </c>
      <c r="B855" s="95">
        <f t="shared" si="132"/>
        <v>30</v>
      </c>
      <c r="C855" s="83">
        <f>141.293</f>
        <v>141.29300000000001</v>
      </c>
      <c r="D855" s="83">
        <f>267.993</f>
        <v>267.99299999999999</v>
      </c>
      <c r="E855" s="92">
        <f>115.016</f>
        <v>115.01600000000001</v>
      </c>
      <c r="F855" s="83">
        <f>314.698-40-25-60-100</f>
        <v>89.697999999999979</v>
      </c>
      <c r="G855" s="86">
        <v>40</v>
      </c>
      <c r="H855" s="83">
        <f t="shared" ref="H855:H861" si="143">25+60+100</f>
        <v>185</v>
      </c>
      <c r="I855" s="83">
        <f t="shared" si="136"/>
        <v>0</v>
      </c>
      <c r="J855" s="86">
        <v>100</v>
      </c>
      <c r="K855" s="86">
        <v>300</v>
      </c>
      <c r="L855" s="83">
        <f t="shared" si="139"/>
        <v>1239</v>
      </c>
      <c r="M855" s="94">
        <v>600</v>
      </c>
      <c r="N855" s="83">
        <f>100</f>
        <v>100</v>
      </c>
      <c r="O855" s="86">
        <v>240</v>
      </c>
      <c r="P855" s="86">
        <v>40</v>
      </c>
      <c r="Q855" s="86">
        <f t="shared" si="140"/>
        <v>315</v>
      </c>
      <c r="R855" s="86">
        <f t="shared" si="141"/>
        <v>100</v>
      </c>
      <c r="S855" s="83">
        <f t="shared" si="142"/>
        <v>695</v>
      </c>
      <c r="T855" s="83">
        <f>50</f>
        <v>50</v>
      </c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</row>
    <row r="856" spans="1:30" ht="15.75" x14ac:dyDescent="0.25">
      <c r="A856" s="32">
        <v>66992</v>
      </c>
      <c r="B856" s="95">
        <f t="shared" ref="B856:B919" si="144">EOMONTH(A856,0)-EOMONTH(A856,-1)</f>
        <v>31</v>
      </c>
      <c r="C856" s="83">
        <f>194.205</f>
        <v>194.20500000000001</v>
      </c>
      <c r="D856" s="83">
        <f>267.466</f>
        <v>267.46600000000001</v>
      </c>
      <c r="E856" s="92">
        <f>133.845</f>
        <v>133.845</v>
      </c>
      <c r="F856" s="83">
        <f>278.484-40-25-60-100</f>
        <v>53.48399999999998</v>
      </c>
      <c r="G856" s="86">
        <v>40</v>
      </c>
      <c r="H856" s="83">
        <f t="shared" si="143"/>
        <v>185</v>
      </c>
      <c r="I856" s="83">
        <f t="shared" si="136"/>
        <v>0</v>
      </c>
      <c r="J856" s="86">
        <v>100</v>
      </c>
      <c r="K856" s="86">
        <v>300</v>
      </c>
      <c r="L856" s="83">
        <f t="shared" si="139"/>
        <v>1274</v>
      </c>
      <c r="M856" s="94">
        <v>600</v>
      </c>
      <c r="N856" s="83">
        <f>75</f>
        <v>75</v>
      </c>
      <c r="O856" s="86">
        <v>240</v>
      </c>
      <c r="P856" s="86">
        <v>40</v>
      </c>
      <c r="Q856" s="86">
        <f t="shared" si="140"/>
        <v>315</v>
      </c>
      <c r="R856" s="86">
        <f t="shared" si="141"/>
        <v>100</v>
      </c>
      <c r="S856" s="83">
        <f t="shared" si="142"/>
        <v>695</v>
      </c>
      <c r="T856" s="83">
        <f>50</f>
        <v>50</v>
      </c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</row>
    <row r="857" spans="1:30" ht="15.75" x14ac:dyDescent="0.25">
      <c r="A857" s="32">
        <v>67022</v>
      </c>
      <c r="B857" s="95">
        <f t="shared" si="144"/>
        <v>30</v>
      </c>
      <c r="C857" s="83">
        <f>194.205</f>
        <v>194.20500000000001</v>
      </c>
      <c r="D857" s="83">
        <f>267.466</f>
        <v>267.46600000000001</v>
      </c>
      <c r="E857" s="92">
        <f>133.845</f>
        <v>133.845</v>
      </c>
      <c r="F857" s="83">
        <f>278.484-40-25-60-100</f>
        <v>53.48399999999998</v>
      </c>
      <c r="G857" s="86">
        <v>40</v>
      </c>
      <c r="H857" s="83">
        <f t="shared" si="143"/>
        <v>185</v>
      </c>
      <c r="I857" s="83">
        <f t="shared" si="136"/>
        <v>0</v>
      </c>
      <c r="J857" s="86">
        <v>100</v>
      </c>
      <c r="K857" s="86">
        <v>300</v>
      </c>
      <c r="L857" s="83">
        <f t="shared" si="139"/>
        <v>1274</v>
      </c>
      <c r="M857" s="94">
        <v>600</v>
      </c>
      <c r="N857" s="83">
        <f>30</f>
        <v>30</v>
      </c>
      <c r="O857" s="86">
        <v>240</v>
      </c>
      <c r="P857" s="86">
        <v>40</v>
      </c>
      <c r="Q857" s="86">
        <f t="shared" si="140"/>
        <v>315</v>
      </c>
      <c r="R857" s="86">
        <f t="shared" si="141"/>
        <v>100</v>
      </c>
      <c r="S857" s="83">
        <f t="shared" si="142"/>
        <v>695</v>
      </c>
      <c r="T857" s="83">
        <f>50</f>
        <v>50</v>
      </c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</row>
    <row r="858" spans="1:30" ht="15.75" x14ac:dyDescent="0.25">
      <c r="A858" s="32">
        <v>67053</v>
      </c>
      <c r="B858" s="95">
        <f t="shared" si="144"/>
        <v>31</v>
      </c>
      <c r="C858" s="83">
        <f>194.205</f>
        <v>194.20500000000001</v>
      </c>
      <c r="D858" s="83">
        <f>267.466</f>
        <v>267.46600000000001</v>
      </c>
      <c r="E858" s="92">
        <f>133.845</f>
        <v>133.845</v>
      </c>
      <c r="F858" s="83">
        <f>278.484-40-25-60-100</f>
        <v>53.48399999999998</v>
      </c>
      <c r="G858" s="86">
        <v>40</v>
      </c>
      <c r="H858" s="83">
        <f t="shared" si="143"/>
        <v>185</v>
      </c>
      <c r="I858" s="83">
        <f t="shared" si="136"/>
        <v>0</v>
      </c>
      <c r="J858" s="86">
        <v>100</v>
      </c>
      <c r="K858" s="86">
        <v>300</v>
      </c>
      <c r="L858" s="83">
        <f t="shared" si="139"/>
        <v>1274</v>
      </c>
      <c r="M858" s="94">
        <v>600</v>
      </c>
      <c r="N858" s="83">
        <f>30</f>
        <v>30</v>
      </c>
      <c r="O858" s="86">
        <v>240</v>
      </c>
      <c r="P858" s="86">
        <v>40</v>
      </c>
      <c r="Q858" s="86">
        <f t="shared" si="140"/>
        <v>315</v>
      </c>
      <c r="R858" s="86">
        <f t="shared" si="141"/>
        <v>100</v>
      </c>
      <c r="S858" s="83">
        <f t="shared" si="142"/>
        <v>695</v>
      </c>
      <c r="T858" s="83">
        <f>0</f>
        <v>0</v>
      </c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</row>
    <row r="859" spans="1:30" ht="15.75" x14ac:dyDescent="0.25">
      <c r="A859" s="32">
        <v>67084</v>
      </c>
      <c r="B859" s="95">
        <f t="shared" si="144"/>
        <v>31</v>
      </c>
      <c r="C859" s="83">
        <f>194.205</f>
        <v>194.20500000000001</v>
      </c>
      <c r="D859" s="83">
        <f>267.466</f>
        <v>267.46600000000001</v>
      </c>
      <c r="E859" s="92">
        <f>133.845</f>
        <v>133.845</v>
      </c>
      <c r="F859" s="83">
        <f>278.484-40-25-60-100</f>
        <v>53.48399999999998</v>
      </c>
      <c r="G859" s="86">
        <v>40</v>
      </c>
      <c r="H859" s="83">
        <f t="shared" si="143"/>
        <v>185</v>
      </c>
      <c r="I859" s="83">
        <f t="shared" si="136"/>
        <v>0</v>
      </c>
      <c r="J859" s="86">
        <v>100</v>
      </c>
      <c r="K859" s="86">
        <v>300</v>
      </c>
      <c r="L859" s="83">
        <f t="shared" si="139"/>
        <v>1274</v>
      </c>
      <c r="M859" s="94">
        <v>600</v>
      </c>
      <c r="N859" s="83">
        <f>30</f>
        <v>30</v>
      </c>
      <c r="O859" s="86">
        <v>240</v>
      </c>
      <c r="P859" s="86">
        <v>40</v>
      </c>
      <c r="Q859" s="86">
        <f t="shared" si="140"/>
        <v>315</v>
      </c>
      <c r="R859" s="86">
        <f t="shared" si="141"/>
        <v>100</v>
      </c>
      <c r="S859" s="83">
        <f t="shared" si="142"/>
        <v>695</v>
      </c>
      <c r="T859" s="83">
        <f>0</f>
        <v>0</v>
      </c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</row>
    <row r="860" spans="1:30" ht="15.75" x14ac:dyDescent="0.25">
      <c r="A860" s="32">
        <v>67114</v>
      </c>
      <c r="B860" s="95">
        <f t="shared" si="144"/>
        <v>30</v>
      </c>
      <c r="C860" s="83">
        <f>194.205</f>
        <v>194.20500000000001</v>
      </c>
      <c r="D860" s="83">
        <f>267.466</f>
        <v>267.46600000000001</v>
      </c>
      <c r="E860" s="92">
        <f>133.845</f>
        <v>133.845</v>
      </c>
      <c r="F860" s="83">
        <f>278.484-40-25-60-100</f>
        <v>53.48399999999998</v>
      </c>
      <c r="G860" s="86">
        <v>40</v>
      </c>
      <c r="H860" s="83">
        <f t="shared" si="143"/>
        <v>185</v>
      </c>
      <c r="I860" s="83">
        <f t="shared" si="136"/>
        <v>0</v>
      </c>
      <c r="J860" s="86">
        <v>100</v>
      </c>
      <c r="K860" s="86">
        <v>300</v>
      </c>
      <c r="L860" s="83">
        <f t="shared" si="139"/>
        <v>1274</v>
      </c>
      <c r="M860" s="94">
        <v>600</v>
      </c>
      <c r="N860" s="83">
        <f>30</f>
        <v>30</v>
      </c>
      <c r="O860" s="86">
        <v>240</v>
      </c>
      <c r="P860" s="86">
        <v>40</v>
      </c>
      <c r="Q860" s="86">
        <f t="shared" si="140"/>
        <v>315</v>
      </c>
      <c r="R860" s="86">
        <f t="shared" si="141"/>
        <v>100</v>
      </c>
      <c r="S860" s="83">
        <f t="shared" si="142"/>
        <v>695</v>
      </c>
      <c r="T860" s="83">
        <f>0</f>
        <v>0</v>
      </c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</row>
    <row r="861" spans="1:30" ht="15.75" x14ac:dyDescent="0.25">
      <c r="A861" s="32">
        <v>67145</v>
      </c>
      <c r="B861" s="95">
        <f t="shared" si="144"/>
        <v>31</v>
      </c>
      <c r="C861" s="83">
        <f>131.881</f>
        <v>131.881</v>
      </c>
      <c r="D861" s="83">
        <f>277.167</f>
        <v>277.16699999999997</v>
      </c>
      <c r="E861" s="92">
        <f>79.08</f>
        <v>79.08</v>
      </c>
      <c r="F861" s="83">
        <f>350.872-40-25-60-100</f>
        <v>125.87200000000001</v>
      </c>
      <c r="G861" s="86">
        <v>40</v>
      </c>
      <c r="H861" s="83">
        <f t="shared" si="143"/>
        <v>185</v>
      </c>
      <c r="I861" s="83">
        <f t="shared" si="136"/>
        <v>0</v>
      </c>
      <c r="J861" s="86">
        <v>100</v>
      </c>
      <c r="K861" s="86">
        <v>300</v>
      </c>
      <c r="L861" s="83">
        <f t="shared" si="139"/>
        <v>1239</v>
      </c>
      <c r="M861" s="94">
        <v>600</v>
      </c>
      <c r="N861" s="83">
        <f>75</f>
        <v>75</v>
      </c>
      <c r="O861" s="86">
        <v>240</v>
      </c>
      <c r="P861" s="86">
        <v>40</v>
      </c>
      <c r="Q861" s="86">
        <f t="shared" si="140"/>
        <v>315</v>
      </c>
      <c r="R861" s="86">
        <f t="shared" si="141"/>
        <v>100</v>
      </c>
      <c r="S861" s="83">
        <f t="shared" si="142"/>
        <v>695</v>
      </c>
      <c r="T861" s="83">
        <f>0</f>
        <v>0</v>
      </c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</row>
    <row r="862" spans="1:30" ht="15.75" x14ac:dyDescent="0.25">
      <c r="A862" s="32">
        <v>67175</v>
      </c>
      <c r="B862" s="95">
        <f t="shared" si="144"/>
        <v>30</v>
      </c>
      <c r="C862" s="83">
        <f>122.58</f>
        <v>122.58</v>
      </c>
      <c r="D862" s="83">
        <f>297.941</f>
        <v>297.94099999999997</v>
      </c>
      <c r="E862" s="92">
        <f>89.177</f>
        <v>89.177000000000007</v>
      </c>
      <c r="F862" s="83">
        <f>240.302-40-60-100</f>
        <v>40.301999999999992</v>
      </c>
      <c r="G862" s="86">
        <v>40</v>
      </c>
      <c r="H862" s="83">
        <f>60+100</f>
        <v>160</v>
      </c>
      <c r="I862" s="83">
        <f t="shared" si="136"/>
        <v>0</v>
      </c>
      <c r="J862" s="86">
        <v>100</v>
      </c>
      <c r="K862" s="86">
        <v>300</v>
      </c>
      <c r="L862" s="83">
        <f t="shared" si="139"/>
        <v>1150</v>
      </c>
      <c r="M862" s="94">
        <v>600</v>
      </c>
      <c r="N862" s="83">
        <f>100</f>
        <v>100</v>
      </c>
      <c r="O862" s="86">
        <v>240</v>
      </c>
      <c r="P862" s="86">
        <v>40</v>
      </c>
      <c r="Q862" s="86">
        <f t="shared" si="140"/>
        <v>315</v>
      </c>
      <c r="R862" s="86">
        <f t="shared" si="141"/>
        <v>100</v>
      </c>
      <c r="S862" s="83">
        <f t="shared" si="142"/>
        <v>695</v>
      </c>
      <c r="T862" s="83">
        <f>50</f>
        <v>50</v>
      </c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</row>
    <row r="863" spans="1:30" ht="15.75" x14ac:dyDescent="0.25">
      <c r="A863" s="32">
        <v>67206</v>
      </c>
      <c r="B863" s="95">
        <f t="shared" si="144"/>
        <v>31</v>
      </c>
      <c r="C863" s="83">
        <f>122.58</f>
        <v>122.58</v>
      </c>
      <c r="D863" s="83">
        <f>297.941</f>
        <v>297.94099999999997</v>
      </c>
      <c r="E863" s="92">
        <f>89.177</f>
        <v>89.177000000000007</v>
      </c>
      <c r="F863" s="83">
        <f>240.302-40-60-100</f>
        <v>40.301999999999992</v>
      </c>
      <c r="G863" s="86">
        <v>40</v>
      </c>
      <c r="H863" s="83">
        <f>60+100</f>
        <v>160</v>
      </c>
      <c r="I863" s="83">
        <f t="shared" si="136"/>
        <v>0</v>
      </c>
      <c r="J863" s="86">
        <v>100</v>
      </c>
      <c r="K863" s="86">
        <v>300</v>
      </c>
      <c r="L863" s="83">
        <f t="shared" si="139"/>
        <v>1150</v>
      </c>
      <c r="M863" s="94">
        <v>600</v>
      </c>
      <c r="N863" s="83">
        <f>100</f>
        <v>100</v>
      </c>
      <c r="O863" s="86">
        <v>240</v>
      </c>
      <c r="P863" s="86">
        <v>40</v>
      </c>
      <c r="Q863" s="86">
        <f t="shared" si="140"/>
        <v>315</v>
      </c>
      <c r="R863" s="86">
        <f t="shared" si="141"/>
        <v>100</v>
      </c>
      <c r="S863" s="83">
        <f t="shared" si="142"/>
        <v>695</v>
      </c>
      <c r="T863" s="83">
        <f>50</f>
        <v>50</v>
      </c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</row>
    <row r="864" spans="1:30" ht="15.75" x14ac:dyDescent="0.25">
      <c r="A864" s="32">
        <v>67237</v>
      </c>
      <c r="B864" s="95">
        <f t="shared" si="144"/>
        <v>31</v>
      </c>
      <c r="C864" s="83">
        <f>122.58</f>
        <v>122.58</v>
      </c>
      <c r="D864" s="83">
        <f>297.941</f>
        <v>297.94099999999997</v>
      </c>
      <c r="E864" s="92">
        <f>89.177</f>
        <v>89.177000000000007</v>
      </c>
      <c r="F864" s="83">
        <f>240.302-40-60-100</f>
        <v>40.301999999999992</v>
      </c>
      <c r="G864" s="86">
        <v>40</v>
      </c>
      <c r="H864" s="83">
        <f>60+100</f>
        <v>160</v>
      </c>
      <c r="I864" s="83">
        <f t="shared" si="136"/>
        <v>0</v>
      </c>
      <c r="J864" s="86">
        <v>100</v>
      </c>
      <c r="K864" s="86">
        <v>300</v>
      </c>
      <c r="L864" s="83">
        <f t="shared" si="139"/>
        <v>1150</v>
      </c>
      <c r="M864" s="94">
        <v>600</v>
      </c>
      <c r="N864" s="83">
        <f>100</f>
        <v>100</v>
      </c>
      <c r="O864" s="86">
        <v>240</v>
      </c>
      <c r="P864" s="86">
        <v>40</v>
      </c>
      <c r="Q864" s="86">
        <f t="shared" si="140"/>
        <v>315</v>
      </c>
      <c r="R864" s="86">
        <f t="shared" si="141"/>
        <v>100</v>
      </c>
      <c r="S864" s="83">
        <f t="shared" si="142"/>
        <v>695</v>
      </c>
      <c r="T864" s="83">
        <f>50</f>
        <v>50</v>
      </c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</row>
    <row r="865" spans="1:30" ht="15.75" x14ac:dyDescent="0.25">
      <c r="A865" s="32">
        <v>67266</v>
      </c>
      <c r="B865" s="95">
        <f t="shared" si="144"/>
        <v>29</v>
      </c>
      <c r="C865" s="83">
        <f>122.58</f>
        <v>122.58</v>
      </c>
      <c r="D865" s="83">
        <f>297.941</f>
        <v>297.94099999999997</v>
      </c>
      <c r="E865" s="92">
        <f>89.177</f>
        <v>89.177000000000007</v>
      </c>
      <c r="F865" s="83">
        <f>240.302-40-60-100</f>
        <v>40.301999999999992</v>
      </c>
      <c r="G865" s="86">
        <v>40</v>
      </c>
      <c r="H865" s="83">
        <f>60+100</f>
        <v>160</v>
      </c>
      <c r="I865" s="83">
        <f t="shared" si="136"/>
        <v>0</v>
      </c>
      <c r="J865" s="86">
        <v>100</v>
      </c>
      <c r="K865" s="86">
        <v>300</v>
      </c>
      <c r="L865" s="83">
        <f t="shared" si="139"/>
        <v>1150</v>
      </c>
      <c r="M865" s="94">
        <v>600</v>
      </c>
      <c r="N865" s="83">
        <f>100</f>
        <v>100</v>
      </c>
      <c r="O865" s="86">
        <v>240</v>
      </c>
      <c r="P865" s="86">
        <v>40</v>
      </c>
      <c r="Q865" s="86">
        <f t="shared" si="140"/>
        <v>315</v>
      </c>
      <c r="R865" s="86">
        <f t="shared" si="141"/>
        <v>100</v>
      </c>
      <c r="S865" s="83">
        <f t="shared" si="142"/>
        <v>695</v>
      </c>
      <c r="T865" s="83">
        <f>50</f>
        <v>50</v>
      </c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</row>
    <row r="866" spans="1:30" ht="15.75" x14ac:dyDescent="0.25">
      <c r="A866" s="32">
        <v>67297</v>
      </c>
      <c r="B866" s="95">
        <f t="shared" si="144"/>
        <v>31</v>
      </c>
      <c r="C866" s="83">
        <f>122.58</f>
        <v>122.58</v>
      </c>
      <c r="D866" s="83">
        <f>297.941</f>
        <v>297.94099999999997</v>
      </c>
      <c r="E866" s="92">
        <f>89.177</f>
        <v>89.177000000000007</v>
      </c>
      <c r="F866" s="83">
        <f>240.302-40-60-100</f>
        <v>40.301999999999992</v>
      </c>
      <c r="G866" s="86">
        <v>40</v>
      </c>
      <c r="H866" s="83">
        <f>60+100</f>
        <v>160</v>
      </c>
      <c r="I866" s="83">
        <f t="shared" si="136"/>
        <v>0</v>
      </c>
      <c r="J866" s="86">
        <v>100</v>
      </c>
      <c r="K866" s="86">
        <v>300</v>
      </c>
      <c r="L866" s="83">
        <f t="shared" si="139"/>
        <v>1150</v>
      </c>
      <c r="M866" s="94">
        <v>600</v>
      </c>
      <c r="N866" s="83">
        <f>100</f>
        <v>100</v>
      </c>
      <c r="O866" s="86">
        <v>240</v>
      </c>
      <c r="P866" s="86">
        <v>40</v>
      </c>
      <c r="Q866" s="86">
        <f t="shared" si="140"/>
        <v>315</v>
      </c>
      <c r="R866" s="86">
        <f t="shared" si="141"/>
        <v>100</v>
      </c>
      <c r="S866" s="83">
        <f t="shared" si="142"/>
        <v>695</v>
      </c>
      <c r="T866" s="83">
        <f>50</f>
        <v>50</v>
      </c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</row>
    <row r="867" spans="1:30" ht="15.75" x14ac:dyDescent="0.25">
      <c r="A867" s="32">
        <v>67327</v>
      </c>
      <c r="B867" s="95">
        <f t="shared" si="144"/>
        <v>30</v>
      </c>
      <c r="C867" s="83">
        <f>141.293</f>
        <v>141.29300000000001</v>
      </c>
      <c r="D867" s="83">
        <f>267.993</f>
        <v>267.99299999999999</v>
      </c>
      <c r="E867" s="92">
        <f>115.016</f>
        <v>115.01600000000001</v>
      </c>
      <c r="F867" s="83">
        <f>314.698-40-25-60-100</f>
        <v>89.697999999999979</v>
      </c>
      <c r="G867" s="86">
        <v>40</v>
      </c>
      <c r="H867" s="83">
        <f t="shared" ref="H867:H873" si="145">25+60+100</f>
        <v>185</v>
      </c>
      <c r="I867" s="83">
        <f t="shared" si="136"/>
        <v>0</v>
      </c>
      <c r="J867" s="86">
        <v>100</v>
      </c>
      <c r="K867" s="86">
        <v>300</v>
      </c>
      <c r="L867" s="83">
        <f t="shared" si="139"/>
        <v>1239</v>
      </c>
      <c r="M867" s="94">
        <v>600</v>
      </c>
      <c r="N867" s="83">
        <f>100</f>
        <v>100</v>
      </c>
      <c r="O867" s="86">
        <v>240</v>
      </c>
      <c r="P867" s="86">
        <v>40</v>
      </c>
      <c r="Q867" s="86">
        <f t="shared" si="140"/>
        <v>315</v>
      </c>
      <c r="R867" s="86">
        <f t="shared" si="141"/>
        <v>100</v>
      </c>
      <c r="S867" s="83">
        <f t="shared" si="142"/>
        <v>695</v>
      </c>
      <c r="T867" s="83">
        <f>50</f>
        <v>50</v>
      </c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</row>
    <row r="868" spans="1:30" ht="15.75" x14ac:dyDescent="0.25">
      <c r="A868" s="32">
        <v>67358</v>
      </c>
      <c r="B868" s="95">
        <f t="shared" si="144"/>
        <v>31</v>
      </c>
      <c r="C868" s="83">
        <f>194.205</f>
        <v>194.20500000000001</v>
      </c>
      <c r="D868" s="83">
        <f>267.466</f>
        <v>267.46600000000001</v>
      </c>
      <c r="E868" s="92">
        <f>133.845</f>
        <v>133.845</v>
      </c>
      <c r="F868" s="83">
        <f>278.484-40-25-60-100</f>
        <v>53.48399999999998</v>
      </c>
      <c r="G868" s="86">
        <v>40</v>
      </c>
      <c r="H868" s="83">
        <f t="shared" si="145"/>
        <v>185</v>
      </c>
      <c r="I868" s="83">
        <f t="shared" si="136"/>
        <v>0</v>
      </c>
      <c r="J868" s="86">
        <v>100</v>
      </c>
      <c r="K868" s="86">
        <v>300</v>
      </c>
      <c r="L868" s="83">
        <f t="shared" si="139"/>
        <v>1274</v>
      </c>
      <c r="M868" s="94">
        <v>600</v>
      </c>
      <c r="N868" s="83">
        <f>75</f>
        <v>75</v>
      </c>
      <c r="O868" s="86">
        <v>240</v>
      </c>
      <c r="P868" s="86">
        <v>40</v>
      </c>
      <c r="Q868" s="86">
        <f t="shared" si="140"/>
        <v>315</v>
      </c>
      <c r="R868" s="86">
        <f t="shared" si="141"/>
        <v>100</v>
      </c>
      <c r="S868" s="83">
        <f t="shared" si="142"/>
        <v>695</v>
      </c>
      <c r="T868" s="83">
        <f>50</f>
        <v>50</v>
      </c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</row>
    <row r="869" spans="1:30" ht="15.75" x14ac:dyDescent="0.25">
      <c r="A869" s="32">
        <v>67388</v>
      </c>
      <c r="B869" s="95">
        <f t="shared" si="144"/>
        <v>30</v>
      </c>
      <c r="C869" s="83">
        <f>194.205</f>
        <v>194.20500000000001</v>
      </c>
      <c r="D869" s="83">
        <f>267.466</f>
        <v>267.46600000000001</v>
      </c>
      <c r="E869" s="92">
        <f>133.845</f>
        <v>133.845</v>
      </c>
      <c r="F869" s="83">
        <f>278.484-40-25-60-100</f>
        <v>53.48399999999998</v>
      </c>
      <c r="G869" s="86">
        <v>40</v>
      </c>
      <c r="H869" s="83">
        <f t="shared" si="145"/>
        <v>185</v>
      </c>
      <c r="I869" s="83">
        <f t="shared" si="136"/>
        <v>0</v>
      </c>
      <c r="J869" s="86">
        <v>100</v>
      </c>
      <c r="K869" s="86">
        <v>300</v>
      </c>
      <c r="L869" s="83">
        <f t="shared" si="139"/>
        <v>1274</v>
      </c>
      <c r="M869" s="94">
        <v>600</v>
      </c>
      <c r="N869" s="83">
        <f>30</f>
        <v>30</v>
      </c>
      <c r="O869" s="86">
        <v>240</v>
      </c>
      <c r="P869" s="86">
        <v>40</v>
      </c>
      <c r="Q869" s="86">
        <f t="shared" si="140"/>
        <v>315</v>
      </c>
      <c r="R869" s="86">
        <f t="shared" si="141"/>
        <v>100</v>
      </c>
      <c r="S869" s="83">
        <f t="shared" si="142"/>
        <v>695</v>
      </c>
      <c r="T869" s="83">
        <f>50</f>
        <v>50</v>
      </c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</row>
    <row r="870" spans="1:30" ht="15.75" x14ac:dyDescent="0.25">
      <c r="A870" s="32">
        <v>67419</v>
      </c>
      <c r="B870" s="95">
        <f t="shared" si="144"/>
        <v>31</v>
      </c>
      <c r="C870" s="83">
        <f>194.205</f>
        <v>194.20500000000001</v>
      </c>
      <c r="D870" s="83">
        <f>267.466</f>
        <v>267.46600000000001</v>
      </c>
      <c r="E870" s="92">
        <f>133.845</f>
        <v>133.845</v>
      </c>
      <c r="F870" s="83">
        <f>278.484-40-25-60-100</f>
        <v>53.48399999999998</v>
      </c>
      <c r="G870" s="86">
        <v>40</v>
      </c>
      <c r="H870" s="83">
        <f t="shared" si="145"/>
        <v>185</v>
      </c>
      <c r="I870" s="83">
        <f t="shared" si="136"/>
        <v>0</v>
      </c>
      <c r="J870" s="86">
        <v>100</v>
      </c>
      <c r="K870" s="86">
        <v>300</v>
      </c>
      <c r="L870" s="83">
        <f t="shared" si="139"/>
        <v>1274</v>
      </c>
      <c r="M870" s="94">
        <v>600</v>
      </c>
      <c r="N870" s="83">
        <f>30</f>
        <v>30</v>
      </c>
      <c r="O870" s="86">
        <v>240</v>
      </c>
      <c r="P870" s="86">
        <v>40</v>
      </c>
      <c r="Q870" s="86">
        <f t="shared" si="140"/>
        <v>315</v>
      </c>
      <c r="R870" s="86">
        <f t="shared" si="141"/>
        <v>100</v>
      </c>
      <c r="S870" s="83">
        <f t="shared" si="142"/>
        <v>695</v>
      </c>
      <c r="T870" s="83">
        <f>0</f>
        <v>0</v>
      </c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</row>
    <row r="871" spans="1:30" ht="15.75" x14ac:dyDescent="0.25">
      <c r="A871" s="32">
        <v>67450</v>
      </c>
      <c r="B871" s="95">
        <f t="shared" si="144"/>
        <v>31</v>
      </c>
      <c r="C871" s="83">
        <f>194.205</f>
        <v>194.20500000000001</v>
      </c>
      <c r="D871" s="83">
        <f>267.466</f>
        <v>267.46600000000001</v>
      </c>
      <c r="E871" s="92">
        <f>133.845</f>
        <v>133.845</v>
      </c>
      <c r="F871" s="83">
        <f>278.484-40-25-60-100</f>
        <v>53.48399999999998</v>
      </c>
      <c r="G871" s="86">
        <v>40</v>
      </c>
      <c r="H871" s="83">
        <f t="shared" si="145"/>
        <v>185</v>
      </c>
      <c r="I871" s="83">
        <f t="shared" si="136"/>
        <v>0</v>
      </c>
      <c r="J871" s="86">
        <v>100</v>
      </c>
      <c r="K871" s="86">
        <v>300</v>
      </c>
      <c r="L871" s="83">
        <f t="shared" si="139"/>
        <v>1274</v>
      </c>
      <c r="M871" s="94">
        <v>600</v>
      </c>
      <c r="N871" s="83">
        <f>30</f>
        <v>30</v>
      </c>
      <c r="O871" s="86">
        <v>240</v>
      </c>
      <c r="P871" s="86">
        <v>40</v>
      </c>
      <c r="Q871" s="86">
        <f t="shared" si="140"/>
        <v>315</v>
      </c>
      <c r="R871" s="86">
        <f t="shared" si="141"/>
        <v>100</v>
      </c>
      <c r="S871" s="83">
        <f t="shared" si="142"/>
        <v>695</v>
      </c>
      <c r="T871" s="83">
        <f>0</f>
        <v>0</v>
      </c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</row>
    <row r="872" spans="1:30" ht="15.75" x14ac:dyDescent="0.25">
      <c r="A872" s="32">
        <v>67480</v>
      </c>
      <c r="B872" s="95">
        <f t="shared" si="144"/>
        <v>30</v>
      </c>
      <c r="C872" s="83">
        <f>194.205</f>
        <v>194.20500000000001</v>
      </c>
      <c r="D872" s="83">
        <f>267.466</f>
        <v>267.46600000000001</v>
      </c>
      <c r="E872" s="92">
        <f>133.845</f>
        <v>133.845</v>
      </c>
      <c r="F872" s="83">
        <f>278.484-40-25-60-100</f>
        <v>53.48399999999998</v>
      </c>
      <c r="G872" s="86">
        <v>40</v>
      </c>
      <c r="H872" s="83">
        <f t="shared" si="145"/>
        <v>185</v>
      </c>
      <c r="I872" s="83">
        <f t="shared" si="136"/>
        <v>0</v>
      </c>
      <c r="J872" s="86">
        <v>100</v>
      </c>
      <c r="K872" s="86">
        <v>300</v>
      </c>
      <c r="L872" s="83">
        <f t="shared" si="139"/>
        <v>1274</v>
      </c>
      <c r="M872" s="94">
        <v>600</v>
      </c>
      <c r="N872" s="83">
        <f>30</f>
        <v>30</v>
      </c>
      <c r="O872" s="86">
        <v>240</v>
      </c>
      <c r="P872" s="86">
        <v>40</v>
      </c>
      <c r="Q872" s="86">
        <f t="shared" si="140"/>
        <v>315</v>
      </c>
      <c r="R872" s="86">
        <f t="shared" si="141"/>
        <v>100</v>
      </c>
      <c r="S872" s="83">
        <f t="shared" si="142"/>
        <v>695</v>
      </c>
      <c r="T872" s="83">
        <f>0</f>
        <v>0</v>
      </c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</row>
    <row r="873" spans="1:30" ht="15.75" x14ac:dyDescent="0.25">
      <c r="A873" s="32">
        <v>67511</v>
      </c>
      <c r="B873" s="95">
        <f t="shared" si="144"/>
        <v>31</v>
      </c>
      <c r="C873" s="83">
        <f>131.881</f>
        <v>131.881</v>
      </c>
      <c r="D873" s="83">
        <f>277.167</f>
        <v>277.16699999999997</v>
      </c>
      <c r="E873" s="92">
        <f>79.08</f>
        <v>79.08</v>
      </c>
      <c r="F873" s="83">
        <f>350.872-40-25-60-100</f>
        <v>125.87200000000001</v>
      </c>
      <c r="G873" s="86">
        <v>40</v>
      </c>
      <c r="H873" s="83">
        <f t="shared" si="145"/>
        <v>185</v>
      </c>
      <c r="I873" s="83">
        <f t="shared" si="136"/>
        <v>0</v>
      </c>
      <c r="J873" s="86">
        <v>100</v>
      </c>
      <c r="K873" s="86">
        <v>300</v>
      </c>
      <c r="L873" s="83">
        <f t="shared" si="139"/>
        <v>1239</v>
      </c>
      <c r="M873" s="94">
        <v>600</v>
      </c>
      <c r="N873" s="83">
        <f>75</f>
        <v>75</v>
      </c>
      <c r="O873" s="86">
        <v>240</v>
      </c>
      <c r="P873" s="86">
        <v>40</v>
      </c>
      <c r="Q873" s="86">
        <f t="shared" si="140"/>
        <v>315</v>
      </c>
      <c r="R873" s="86">
        <f t="shared" si="141"/>
        <v>100</v>
      </c>
      <c r="S873" s="83">
        <f t="shared" si="142"/>
        <v>695</v>
      </c>
      <c r="T873" s="83">
        <f>0</f>
        <v>0</v>
      </c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</row>
    <row r="874" spans="1:30" ht="15.75" x14ac:dyDescent="0.25">
      <c r="A874" s="32">
        <v>67541</v>
      </c>
      <c r="B874" s="95">
        <f t="shared" si="144"/>
        <v>30</v>
      </c>
      <c r="C874" s="83">
        <f>122.58</f>
        <v>122.58</v>
      </c>
      <c r="D874" s="83">
        <f>297.941</f>
        <v>297.94099999999997</v>
      </c>
      <c r="E874" s="92">
        <f>89.177</f>
        <v>89.177000000000007</v>
      </c>
      <c r="F874" s="83">
        <f>240.302-40-60-100</f>
        <v>40.301999999999992</v>
      </c>
      <c r="G874" s="86">
        <v>40</v>
      </c>
      <c r="H874" s="83">
        <f>60+100</f>
        <v>160</v>
      </c>
      <c r="I874" s="83">
        <f t="shared" si="136"/>
        <v>0</v>
      </c>
      <c r="J874" s="86">
        <v>100</v>
      </c>
      <c r="K874" s="86">
        <v>300</v>
      </c>
      <c r="L874" s="83">
        <f t="shared" si="139"/>
        <v>1150</v>
      </c>
      <c r="M874" s="94">
        <v>600</v>
      </c>
      <c r="N874" s="83">
        <f>100</f>
        <v>100</v>
      </c>
      <c r="O874" s="86">
        <v>240</v>
      </c>
      <c r="P874" s="86">
        <v>40</v>
      </c>
      <c r="Q874" s="86">
        <f t="shared" si="140"/>
        <v>315</v>
      </c>
      <c r="R874" s="86">
        <f t="shared" si="141"/>
        <v>100</v>
      </c>
      <c r="S874" s="83">
        <f t="shared" si="142"/>
        <v>695</v>
      </c>
      <c r="T874" s="83">
        <f>50</f>
        <v>50</v>
      </c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</row>
    <row r="875" spans="1:30" ht="15.75" x14ac:dyDescent="0.25">
      <c r="A875" s="32">
        <v>67572</v>
      </c>
      <c r="B875" s="95">
        <f t="shared" si="144"/>
        <v>31</v>
      </c>
      <c r="C875" s="83">
        <f>122.58</f>
        <v>122.58</v>
      </c>
      <c r="D875" s="83">
        <f>297.941</f>
        <v>297.94099999999997</v>
      </c>
      <c r="E875" s="92">
        <f>89.177</f>
        <v>89.177000000000007</v>
      </c>
      <c r="F875" s="83">
        <f>240.302-40-60-100</f>
        <v>40.301999999999992</v>
      </c>
      <c r="G875" s="86">
        <v>40</v>
      </c>
      <c r="H875" s="83">
        <f>60+100</f>
        <v>160</v>
      </c>
      <c r="I875" s="83">
        <f t="shared" si="136"/>
        <v>0</v>
      </c>
      <c r="J875" s="86">
        <v>100</v>
      </c>
      <c r="K875" s="86">
        <v>300</v>
      </c>
      <c r="L875" s="83">
        <f t="shared" si="139"/>
        <v>1150</v>
      </c>
      <c r="M875" s="94">
        <v>600</v>
      </c>
      <c r="N875" s="83">
        <f>100</f>
        <v>100</v>
      </c>
      <c r="O875" s="86">
        <v>240</v>
      </c>
      <c r="P875" s="86">
        <v>40</v>
      </c>
      <c r="Q875" s="86">
        <f t="shared" si="140"/>
        <v>315</v>
      </c>
      <c r="R875" s="86">
        <f t="shared" si="141"/>
        <v>100</v>
      </c>
      <c r="S875" s="83">
        <f t="shared" si="142"/>
        <v>695</v>
      </c>
      <c r="T875" s="83">
        <f>50</f>
        <v>50</v>
      </c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</row>
    <row r="876" spans="1:30" ht="15.75" x14ac:dyDescent="0.25">
      <c r="A876" s="32">
        <v>67603</v>
      </c>
      <c r="B876" s="95">
        <f t="shared" si="144"/>
        <v>31</v>
      </c>
      <c r="C876" s="83">
        <f>122.58</f>
        <v>122.58</v>
      </c>
      <c r="D876" s="83">
        <f>297.941</f>
        <v>297.94099999999997</v>
      </c>
      <c r="E876" s="92">
        <f>89.177</f>
        <v>89.177000000000007</v>
      </c>
      <c r="F876" s="83">
        <f>240.302-40-60-100</f>
        <v>40.301999999999992</v>
      </c>
      <c r="G876" s="86">
        <v>40</v>
      </c>
      <c r="H876" s="83">
        <f>60+100</f>
        <v>160</v>
      </c>
      <c r="I876" s="83">
        <f t="shared" si="136"/>
        <v>0</v>
      </c>
      <c r="J876" s="86">
        <v>100</v>
      </c>
      <c r="K876" s="86">
        <v>300</v>
      </c>
      <c r="L876" s="83">
        <f t="shared" si="139"/>
        <v>1150</v>
      </c>
      <c r="M876" s="94">
        <v>600</v>
      </c>
      <c r="N876" s="83">
        <f>100</f>
        <v>100</v>
      </c>
      <c r="O876" s="86">
        <v>240</v>
      </c>
      <c r="P876" s="86">
        <v>40</v>
      </c>
      <c r="Q876" s="86">
        <f t="shared" si="140"/>
        <v>315</v>
      </c>
      <c r="R876" s="86">
        <f t="shared" si="141"/>
        <v>100</v>
      </c>
      <c r="S876" s="83">
        <f t="shared" si="142"/>
        <v>695</v>
      </c>
      <c r="T876" s="83">
        <f>50</f>
        <v>50</v>
      </c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</row>
    <row r="877" spans="1:30" ht="15.75" x14ac:dyDescent="0.25">
      <c r="A877" s="32">
        <v>67631</v>
      </c>
      <c r="B877" s="95">
        <f t="shared" si="144"/>
        <v>28</v>
      </c>
      <c r="C877" s="83">
        <f>122.58</f>
        <v>122.58</v>
      </c>
      <c r="D877" s="83">
        <f>297.941</f>
        <v>297.94099999999997</v>
      </c>
      <c r="E877" s="92">
        <f>89.177</f>
        <v>89.177000000000007</v>
      </c>
      <c r="F877" s="83">
        <f>240.302-40-60-100</f>
        <v>40.301999999999992</v>
      </c>
      <c r="G877" s="86">
        <v>40</v>
      </c>
      <c r="H877" s="83">
        <f>60+100</f>
        <v>160</v>
      </c>
      <c r="I877" s="83">
        <f t="shared" si="136"/>
        <v>0</v>
      </c>
      <c r="J877" s="86">
        <v>100</v>
      </c>
      <c r="K877" s="86">
        <v>300</v>
      </c>
      <c r="L877" s="83">
        <f t="shared" si="139"/>
        <v>1150</v>
      </c>
      <c r="M877" s="94">
        <v>600</v>
      </c>
      <c r="N877" s="83">
        <f>100</f>
        <v>100</v>
      </c>
      <c r="O877" s="86">
        <v>240</v>
      </c>
      <c r="P877" s="86">
        <v>40</v>
      </c>
      <c r="Q877" s="86">
        <f t="shared" si="140"/>
        <v>315</v>
      </c>
      <c r="R877" s="86">
        <f t="shared" si="141"/>
        <v>100</v>
      </c>
      <c r="S877" s="83">
        <f t="shared" si="142"/>
        <v>695</v>
      </c>
      <c r="T877" s="83">
        <f>50</f>
        <v>50</v>
      </c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</row>
    <row r="878" spans="1:30" ht="15.75" x14ac:dyDescent="0.25">
      <c r="A878" s="32">
        <v>67662</v>
      </c>
      <c r="B878" s="95">
        <f t="shared" si="144"/>
        <v>31</v>
      </c>
      <c r="C878" s="83">
        <f>122.58</f>
        <v>122.58</v>
      </c>
      <c r="D878" s="83">
        <f>297.941</f>
        <v>297.94099999999997</v>
      </c>
      <c r="E878" s="92">
        <f>89.177</f>
        <v>89.177000000000007</v>
      </c>
      <c r="F878" s="83">
        <f>240.302-40-60-100</f>
        <v>40.301999999999992</v>
      </c>
      <c r="G878" s="86">
        <v>40</v>
      </c>
      <c r="H878" s="83">
        <f>60+100</f>
        <v>160</v>
      </c>
      <c r="I878" s="83">
        <f t="shared" si="136"/>
        <v>0</v>
      </c>
      <c r="J878" s="86">
        <v>100</v>
      </c>
      <c r="K878" s="86">
        <v>300</v>
      </c>
      <c r="L878" s="83">
        <f t="shared" si="139"/>
        <v>1150</v>
      </c>
      <c r="M878" s="94">
        <v>600</v>
      </c>
      <c r="N878" s="83">
        <f>100</f>
        <v>100</v>
      </c>
      <c r="O878" s="86">
        <v>240</v>
      </c>
      <c r="P878" s="86">
        <v>40</v>
      </c>
      <c r="Q878" s="86">
        <f t="shared" si="140"/>
        <v>315</v>
      </c>
      <c r="R878" s="86">
        <f t="shared" si="141"/>
        <v>100</v>
      </c>
      <c r="S878" s="83">
        <f t="shared" si="142"/>
        <v>695</v>
      </c>
      <c r="T878" s="83">
        <f>50</f>
        <v>50</v>
      </c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</row>
    <row r="879" spans="1:30" ht="15.75" x14ac:dyDescent="0.25">
      <c r="A879" s="32">
        <v>67692</v>
      </c>
      <c r="B879" s="95">
        <f t="shared" si="144"/>
        <v>30</v>
      </c>
      <c r="C879" s="83">
        <f>141.293</f>
        <v>141.29300000000001</v>
      </c>
      <c r="D879" s="83">
        <f>267.993</f>
        <v>267.99299999999999</v>
      </c>
      <c r="E879" s="92">
        <f>115.016</f>
        <v>115.01600000000001</v>
      </c>
      <c r="F879" s="83">
        <f>314.698-40-25-60-100</f>
        <v>89.697999999999979</v>
      </c>
      <c r="G879" s="86">
        <v>40</v>
      </c>
      <c r="H879" s="83">
        <f t="shared" ref="H879:H885" si="146">25+60+100</f>
        <v>185</v>
      </c>
      <c r="I879" s="83">
        <f t="shared" si="136"/>
        <v>0</v>
      </c>
      <c r="J879" s="86">
        <v>100</v>
      </c>
      <c r="K879" s="86">
        <v>300</v>
      </c>
      <c r="L879" s="83">
        <f t="shared" si="139"/>
        <v>1239</v>
      </c>
      <c r="M879" s="94">
        <v>600</v>
      </c>
      <c r="N879" s="83">
        <f>100</f>
        <v>100</v>
      </c>
      <c r="O879" s="86">
        <v>240</v>
      </c>
      <c r="P879" s="86">
        <v>40</v>
      </c>
      <c r="Q879" s="86">
        <f t="shared" si="140"/>
        <v>315</v>
      </c>
      <c r="R879" s="86">
        <f t="shared" si="141"/>
        <v>100</v>
      </c>
      <c r="S879" s="83">
        <f t="shared" si="142"/>
        <v>695</v>
      </c>
      <c r="T879" s="83">
        <f>50</f>
        <v>50</v>
      </c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</row>
    <row r="880" spans="1:30" ht="15.75" x14ac:dyDescent="0.25">
      <c r="A880" s="32">
        <v>67723</v>
      </c>
      <c r="B880" s="95">
        <f t="shared" si="144"/>
        <v>31</v>
      </c>
      <c r="C880" s="83">
        <f>194.205</f>
        <v>194.20500000000001</v>
      </c>
      <c r="D880" s="83">
        <f>267.466</f>
        <v>267.46600000000001</v>
      </c>
      <c r="E880" s="92">
        <f>133.845</f>
        <v>133.845</v>
      </c>
      <c r="F880" s="83">
        <f>278.484-40-25-60-100</f>
        <v>53.48399999999998</v>
      </c>
      <c r="G880" s="86">
        <v>40</v>
      </c>
      <c r="H880" s="83">
        <f t="shared" si="146"/>
        <v>185</v>
      </c>
      <c r="I880" s="83">
        <f t="shared" si="136"/>
        <v>0</v>
      </c>
      <c r="J880" s="86">
        <v>100</v>
      </c>
      <c r="K880" s="86">
        <v>300</v>
      </c>
      <c r="L880" s="83">
        <f t="shared" si="139"/>
        <v>1274</v>
      </c>
      <c r="M880" s="94">
        <v>600</v>
      </c>
      <c r="N880" s="83">
        <f>75</f>
        <v>75</v>
      </c>
      <c r="O880" s="86">
        <v>240</v>
      </c>
      <c r="P880" s="86">
        <v>40</v>
      </c>
      <c r="Q880" s="86">
        <f t="shared" si="140"/>
        <v>315</v>
      </c>
      <c r="R880" s="86">
        <f t="shared" si="141"/>
        <v>100</v>
      </c>
      <c r="S880" s="83">
        <f t="shared" si="142"/>
        <v>695</v>
      </c>
      <c r="T880" s="83">
        <f>50</f>
        <v>50</v>
      </c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</row>
    <row r="881" spans="1:30" ht="15.75" x14ac:dyDescent="0.25">
      <c r="A881" s="32">
        <v>67753</v>
      </c>
      <c r="B881" s="95">
        <f t="shared" si="144"/>
        <v>30</v>
      </c>
      <c r="C881" s="83">
        <f>194.205</f>
        <v>194.20500000000001</v>
      </c>
      <c r="D881" s="83">
        <f>267.466</f>
        <v>267.46600000000001</v>
      </c>
      <c r="E881" s="92">
        <f>133.845</f>
        <v>133.845</v>
      </c>
      <c r="F881" s="83">
        <f>278.484-40-25-60-100</f>
        <v>53.48399999999998</v>
      </c>
      <c r="G881" s="86">
        <v>40</v>
      </c>
      <c r="H881" s="83">
        <f t="shared" si="146"/>
        <v>185</v>
      </c>
      <c r="I881" s="83">
        <f t="shared" si="136"/>
        <v>0</v>
      </c>
      <c r="J881" s="86">
        <v>100</v>
      </c>
      <c r="K881" s="86">
        <v>300</v>
      </c>
      <c r="L881" s="83">
        <f t="shared" si="139"/>
        <v>1274</v>
      </c>
      <c r="M881" s="94">
        <v>600</v>
      </c>
      <c r="N881" s="83">
        <f>30</f>
        <v>30</v>
      </c>
      <c r="O881" s="86">
        <v>240</v>
      </c>
      <c r="P881" s="86">
        <v>40</v>
      </c>
      <c r="Q881" s="86">
        <f t="shared" si="140"/>
        <v>315</v>
      </c>
      <c r="R881" s="86">
        <f t="shared" si="141"/>
        <v>100</v>
      </c>
      <c r="S881" s="83">
        <f t="shared" si="142"/>
        <v>695</v>
      </c>
      <c r="T881" s="83">
        <f>50</f>
        <v>50</v>
      </c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</row>
    <row r="882" spans="1:30" ht="15.75" x14ac:dyDescent="0.25">
      <c r="A882" s="32">
        <v>67784</v>
      </c>
      <c r="B882" s="95">
        <f t="shared" si="144"/>
        <v>31</v>
      </c>
      <c r="C882" s="83">
        <f>194.205</f>
        <v>194.20500000000001</v>
      </c>
      <c r="D882" s="83">
        <f>267.466</f>
        <v>267.46600000000001</v>
      </c>
      <c r="E882" s="92">
        <f>133.845</f>
        <v>133.845</v>
      </c>
      <c r="F882" s="83">
        <f>278.484-40-25-60-100</f>
        <v>53.48399999999998</v>
      </c>
      <c r="G882" s="86">
        <v>40</v>
      </c>
      <c r="H882" s="83">
        <f t="shared" si="146"/>
        <v>185</v>
      </c>
      <c r="I882" s="83">
        <f t="shared" si="136"/>
        <v>0</v>
      </c>
      <c r="J882" s="86">
        <v>100</v>
      </c>
      <c r="K882" s="86">
        <v>300</v>
      </c>
      <c r="L882" s="83">
        <f t="shared" si="139"/>
        <v>1274</v>
      </c>
      <c r="M882" s="94">
        <v>600</v>
      </c>
      <c r="N882" s="83">
        <f>30</f>
        <v>30</v>
      </c>
      <c r="O882" s="86">
        <v>240</v>
      </c>
      <c r="P882" s="86">
        <v>40</v>
      </c>
      <c r="Q882" s="86">
        <f t="shared" si="140"/>
        <v>315</v>
      </c>
      <c r="R882" s="86">
        <f t="shared" si="141"/>
        <v>100</v>
      </c>
      <c r="S882" s="83">
        <f t="shared" si="142"/>
        <v>695</v>
      </c>
      <c r="T882" s="83">
        <f>0</f>
        <v>0</v>
      </c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</row>
    <row r="883" spans="1:30" ht="15.75" x14ac:dyDescent="0.25">
      <c r="A883" s="32">
        <v>67815</v>
      </c>
      <c r="B883" s="95">
        <f t="shared" si="144"/>
        <v>31</v>
      </c>
      <c r="C883" s="83">
        <f>194.205</f>
        <v>194.20500000000001</v>
      </c>
      <c r="D883" s="83">
        <f>267.466</f>
        <v>267.46600000000001</v>
      </c>
      <c r="E883" s="92">
        <f>133.845</f>
        <v>133.845</v>
      </c>
      <c r="F883" s="83">
        <f>278.484-40-25-60-100</f>
        <v>53.48399999999998</v>
      </c>
      <c r="G883" s="86">
        <v>40</v>
      </c>
      <c r="H883" s="83">
        <f t="shared" si="146"/>
        <v>185</v>
      </c>
      <c r="I883" s="83">
        <f t="shared" si="136"/>
        <v>0</v>
      </c>
      <c r="J883" s="86">
        <v>100</v>
      </c>
      <c r="K883" s="86">
        <v>300</v>
      </c>
      <c r="L883" s="83">
        <f t="shared" si="139"/>
        <v>1274</v>
      </c>
      <c r="M883" s="94">
        <v>600</v>
      </c>
      <c r="N883" s="83">
        <f>30</f>
        <v>30</v>
      </c>
      <c r="O883" s="86">
        <v>240</v>
      </c>
      <c r="P883" s="86">
        <v>40</v>
      </c>
      <c r="Q883" s="86">
        <f t="shared" si="140"/>
        <v>315</v>
      </c>
      <c r="R883" s="86">
        <f t="shared" si="141"/>
        <v>100</v>
      </c>
      <c r="S883" s="83">
        <f t="shared" si="142"/>
        <v>695</v>
      </c>
      <c r="T883" s="83">
        <f>0</f>
        <v>0</v>
      </c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</row>
    <row r="884" spans="1:30" ht="15.75" x14ac:dyDescent="0.25">
      <c r="A884" s="32">
        <v>67845</v>
      </c>
      <c r="B884" s="95">
        <f t="shared" si="144"/>
        <v>30</v>
      </c>
      <c r="C884" s="83">
        <f>194.205</f>
        <v>194.20500000000001</v>
      </c>
      <c r="D884" s="83">
        <f>267.466</f>
        <v>267.46600000000001</v>
      </c>
      <c r="E884" s="92">
        <f>133.845</f>
        <v>133.845</v>
      </c>
      <c r="F884" s="83">
        <f>278.484-40-25-60-100</f>
        <v>53.48399999999998</v>
      </c>
      <c r="G884" s="86">
        <v>40</v>
      </c>
      <c r="H884" s="83">
        <f t="shared" si="146"/>
        <v>185</v>
      </c>
      <c r="I884" s="83">
        <f t="shared" ref="I884:I947" si="147">400-J884-K884</f>
        <v>0</v>
      </c>
      <c r="J884" s="86">
        <v>100</v>
      </c>
      <c r="K884" s="86">
        <v>300</v>
      </c>
      <c r="L884" s="83">
        <f t="shared" si="139"/>
        <v>1274</v>
      </c>
      <c r="M884" s="94">
        <v>600</v>
      </c>
      <c r="N884" s="83">
        <f>30</f>
        <v>30</v>
      </c>
      <c r="O884" s="86">
        <v>240</v>
      </c>
      <c r="P884" s="86">
        <v>40</v>
      </c>
      <c r="Q884" s="86">
        <f t="shared" si="140"/>
        <v>315</v>
      </c>
      <c r="R884" s="86">
        <f t="shared" si="141"/>
        <v>100</v>
      </c>
      <c r="S884" s="83">
        <f t="shared" si="142"/>
        <v>695</v>
      </c>
      <c r="T884" s="83">
        <f>0</f>
        <v>0</v>
      </c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</row>
    <row r="885" spans="1:30" ht="15.75" x14ac:dyDescent="0.25">
      <c r="A885" s="32">
        <v>67876</v>
      </c>
      <c r="B885" s="95">
        <f t="shared" si="144"/>
        <v>31</v>
      </c>
      <c r="C885" s="83">
        <f>131.881</f>
        <v>131.881</v>
      </c>
      <c r="D885" s="83">
        <f>277.167</f>
        <v>277.16699999999997</v>
      </c>
      <c r="E885" s="92">
        <f>79.08</f>
        <v>79.08</v>
      </c>
      <c r="F885" s="83">
        <f>350.872-40-25-60-100</f>
        <v>125.87200000000001</v>
      </c>
      <c r="G885" s="86">
        <v>40</v>
      </c>
      <c r="H885" s="83">
        <f t="shared" si="146"/>
        <v>185</v>
      </c>
      <c r="I885" s="83">
        <f t="shared" si="147"/>
        <v>0</v>
      </c>
      <c r="J885" s="86">
        <v>100</v>
      </c>
      <c r="K885" s="86">
        <v>300</v>
      </c>
      <c r="L885" s="83">
        <f t="shared" si="139"/>
        <v>1239</v>
      </c>
      <c r="M885" s="94">
        <v>600</v>
      </c>
      <c r="N885" s="83">
        <f>75</f>
        <v>75</v>
      </c>
      <c r="O885" s="86">
        <v>240</v>
      </c>
      <c r="P885" s="86">
        <v>40</v>
      </c>
      <c r="Q885" s="86">
        <f t="shared" si="140"/>
        <v>315</v>
      </c>
      <c r="R885" s="86">
        <f t="shared" si="141"/>
        <v>100</v>
      </c>
      <c r="S885" s="83">
        <f t="shared" si="142"/>
        <v>695</v>
      </c>
      <c r="T885" s="83">
        <f>0</f>
        <v>0</v>
      </c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</row>
    <row r="886" spans="1:30" ht="15.75" x14ac:dyDescent="0.25">
      <c r="A886" s="32">
        <v>67906</v>
      </c>
      <c r="B886" s="95">
        <f t="shared" si="144"/>
        <v>30</v>
      </c>
      <c r="C886" s="83">
        <f>122.58</f>
        <v>122.58</v>
      </c>
      <c r="D886" s="83">
        <f>297.941</f>
        <v>297.94099999999997</v>
      </c>
      <c r="E886" s="92">
        <f>89.177</f>
        <v>89.177000000000007</v>
      </c>
      <c r="F886" s="83">
        <f>240.302-40-60-100</f>
        <v>40.301999999999992</v>
      </c>
      <c r="G886" s="86">
        <v>40</v>
      </c>
      <c r="H886" s="83">
        <f>60+100</f>
        <v>160</v>
      </c>
      <c r="I886" s="83">
        <f t="shared" si="147"/>
        <v>0</v>
      </c>
      <c r="J886" s="86">
        <v>100</v>
      </c>
      <c r="K886" s="86">
        <v>300</v>
      </c>
      <c r="L886" s="83">
        <f t="shared" si="139"/>
        <v>1150</v>
      </c>
      <c r="M886" s="94">
        <v>600</v>
      </c>
      <c r="N886" s="83">
        <f>100</f>
        <v>100</v>
      </c>
      <c r="O886" s="86">
        <v>240</v>
      </c>
      <c r="P886" s="86">
        <v>40</v>
      </c>
      <c r="Q886" s="86">
        <f t="shared" si="140"/>
        <v>315</v>
      </c>
      <c r="R886" s="86">
        <f t="shared" si="141"/>
        <v>100</v>
      </c>
      <c r="S886" s="83">
        <f t="shared" si="142"/>
        <v>695</v>
      </c>
      <c r="T886" s="83">
        <f>50</f>
        <v>50</v>
      </c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</row>
    <row r="887" spans="1:30" ht="15.75" x14ac:dyDescent="0.25">
      <c r="A887" s="32">
        <v>67937</v>
      </c>
      <c r="B887" s="95">
        <f t="shared" si="144"/>
        <v>31</v>
      </c>
      <c r="C887" s="83">
        <f>122.58</f>
        <v>122.58</v>
      </c>
      <c r="D887" s="83">
        <f>297.941</f>
        <v>297.94099999999997</v>
      </c>
      <c r="E887" s="92">
        <f>89.177</f>
        <v>89.177000000000007</v>
      </c>
      <c r="F887" s="83">
        <f>240.302-40-60-100</f>
        <v>40.301999999999992</v>
      </c>
      <c r="G887" s="86">
        <v>40</v>
      </c>
      <c r="H887" s="83">
        <f>60+100</f>
        <v>160</v>
      </c>
      <c r="I887" s="83">
        <f t="shared" si="147"/>
        <v>0</v>
      </c>
      <c r="J887" s="86">
        <v>100</v>
      </c>
      <c r="K887" s="86">
        <v>300</v>
      </c>
      <c r="L887" s="83">
        <f t="shared" si="139"/>
        <v>1150</v>
      </c>
      <c r="M887" s="94">
        <v>600</v>
      </c>
      <c r="N887" s="83">
        <f>100</f>
        <v>100</v>
      </c>
      <c r="O887" s="86">
        <v>240</v>
      </c>
      <c r="P887" s="86">
        <v>40</v>
      </c>
      <c r="Q887" s="86">
        <f t="shared" si="140"/>
        <v>315</v>
      </c>
      <c r="R887" s="86">
        <f t="shared" si="141"/>
        <v>100</v>
      </c>
      <c r="S887" s="83">
        <f t="shared" si="142"/>
        <v>695</v>
      </c>
      <c r="T887" s="83">
        <f>50</f>
        <v>50</v>
      </c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</row>
    <row r="888" spans="1:30" ht="15.75" x14ac:dyDescent="0.25">
      <c r="A888" s="32">
        <v>67968</v>
      </c>
      <c r="B888" s="95">
        <f t="shared" si="144"/>
        <v>31</v>
      </c>
      <c r="C888" s="83">
        <f>122.58</f>
        <v>122.58</v>
      </c>
      <c r="D888" s="83">
        <f>297.941</f>
        <v>297.94099999999997</v>
      </c>
      <c r="E888" s="92">
        <f>89.177</f>
        <v>89.177000000000007</v>
      </c>
      <c r="F888" s="83">
        <f>240.302-40-60-100</f>
        <v>40.301999999999992</v>
      </c>
      <c r="G888" s="86">
        <v>40</v>
      </c>
      <c r="H888" s="83">
        <f>60+100</f>
        <v>160</v>
      </c>
      <c r="I888" s="83">
        <f t="shared" si="147"/>
        <v>0</v>
      </c>
      <c r="J888" s="86">
        <v>100</v>
      </c>
      <c r="K888" s="86">
        <v>300</v>
      </c>
      <c r="L888" s="83">
        <f t="shared" si="139"/>
        <v>1150</v>
      </c>
      <c r="M888" s="94">
        <v>600</v>
      </c>
      <c r="N888" s="83">
        <f>100</f>
        <v>100</v>
      </c>
      <c r="O888" s="86">
        <v>240</v>
      </c>
      <c r="P888" s="86">
        <v>40</v>
      </c>
      <c r="Q888" s="86">
        <f t="shared" si="140"/>
        <v>315</v>
      </c>
      <c r="R888" s="86">
        <f t="shared" si="141"/>
        <v>100</v>
      </c>
      <c r="S888" s="83">
        <f t="shared" si="142"/>
        <v>695</v>
      </c>
      <c r="T888" s="83">
        <f>50</f>
        <v>50</v>
      </c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</row>
    <row r="889" spans="1:30" ht="15.75" x14ac:dyDescent="0.25">
      <c r="A889" s="32">
        <v>67996</v>
      </c>
      <c r="B889" s="95">
        <f t="shared" si="144"/>
        <v>28</v>
      </c>
      <c r="C889" s="83">
        <f>122.58</f>
        <v>122.58</v>
      </c>
      <c r="D889" s="83">
        <f>297.941</f>
        <v>297.94099999999997</v>
      </c>
      <c r="E889" s="92">
        <f>89.177</f>
        <v>89.177000000000007</v>
      </c>
      <c r="F889" s="83">
        <f>240.302-40-60-100</f>
        <v>40.301999999999992</v>
      </c>
      <c r="G889" s="86">
        <v>40</v>
      </c>
      <c r="H889" s="83">
        <f>60+100</f>
        <v>160</v>
      </c>
      <c r="I889" s="83">
        <f t="shared" si="147"/>
        <v>0</v>
      </c>
      <c r="J889" s="86">
        <v>100</v>
      </c>
      <c r="K889" s="86">
        <v>300</v>
      </c>
      <c r="L889" s="83">
        <f t="shared" si="139"/>
        <v>1150</v>
      </c>
      <c r="M889" s="94">
        <v>600</v>
      </c>
      <c r="N889" s="83">
        <f>100</f>
        <v>100</v>
      </c>
      <c r="O889" s="86">
        <v>240</v>
      </c>
      <c r="P889" s="86">
        <v>40</v>
      </c>
      <c r="Q889" s="86">
        <f t="shared" si="140"/>
        <v>315</v>
      </c>
      <c r="R889" s="86">
        <f t="shared" si="141"/>
        <v>100</v>
      </c>
      <c r="S889" s="83">
        <f t="shared" si="142"/>
        <v>695</v>
      </c>
      <c r="T889" s="83">
        <f>50</f>
        <v>50</v>
      </c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</row>
    <row r="890" spans="1:30" ht="15.75" x14ac:dyDescent="0.25">
      <c r="A890" s="32">
        <v>68027</v>
      </c>
      <c r="B890" s="95">
        <f t="shared" si="144"/>
        <v>31</v>
      </c>
      <c r="C890" s="83">
        <f>122.58</f>
        <v>122.58</v>
      </c>
      <c r="D890" s="83">
        <f>297.941</f>
        <v>297.94099999999997</v>
      </c>
      <c r="E890" s="92">
        <f>89.177</f>
        <v>89.177000000000007</v>
      </c>
      <c r="F890" s="83">
        <f>240.302-40-60-100</f>
        <v>40.301999999999992</v>
      </c>
      <c r="G890" s="86">
        <v>40</v>
      </c>
      <c r="H890" s="83">
        <f>60+100</f>
        <v>160</v>
      </c>
      <c r="I890" s="83">
        <f t="shared" si="147"/>
        <v>0</v>
      </c>
      <c r="J890" s="86">
        <v>100</v>
      </c>
      <c r="K890" s="86">
        <v>300</v>
      </c>
      <c r="L890" s="83">
        <f t="shared" si="139"/>
        <v>1150</v>
      </c>
      <c r="M890" s="94">
        <v>600</v>
      </c>
      <c r="N890" s="83">
        <f>100</f>
        <v>100</v>
      </c>
      <c r="O890" s="86">
        <v>240</v>
      </c>
      <c r="P890" s="86">
        <v>40</v>
      </c>
      <c r="Q890" s="86">
        <f t="shared" si="140"/>
        <v>315</v>
      </c>
      <c r="R890" s="86">
        <f t="shared" si="141"/>
        <v>100</v>
      </c>
      <c r="S890" s="83">
        <f t="shared" si="142"/>
        <v>695</v>
      </c>
      <c r="T890" s="83">
        <f>50</f>
        <v>50</v>
      </c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</row>
    <row r="891" spans="1:30" ht="15.75" x14ac:dyDescent="0.25">
      <c r="A891" s="32">
        <v>68057</v>
      </c>
      <c r="B891" s="95">
        <f t="shared" si="144"/>
        <v>30</v>
      </c>
      <c r="C891" s="83">
        <f>141.293</f>
        <v>141.29300000000001</v>
      </c>
      <c r="D891" s="83">
        <f>267.993</f>
        <v>267.99299999999999</v>
      </c>
      <c r="E891" s="92">
        <f>115.016</f>
        <v>115.01600000000001</v>
      </c>
      <c r="F891" s="83">
        <f>314.698-40-25-60-100</f>
        <v>89.697999999999979</v>
      </c>
      <c r="G891" s="86">
        <v>40</v>
      </c>
      <c r="H891" s="83">
        <f t="shared" ref="H891:H897" si="148">25+60+100</f>
        <v>185</v>
      </c>
      <c r="I891" s="83">
        <f t="shared" si="147"/>
        <v>0</v>
      </c>
      <c r="J891" s="86">
        <v>100</v>
      </c>
      <c r="K891" s="86">
        <v>300</v>
      </c>
      <c r="L891" s="83">
        <f t="shared" si="139"/>
        <v>1239</v>
      </c>
      <c r="M891" s="94">
        <v>600</v>
      </c>
      <c r="N891" s="83">
        <f>100</f>
        <v>100</v>
      </c>
      <c r="O891" s="86">
        <v>240</v>
      </c>
      <c r="P891" s="86">
        <v>40</v>
      </c>
      <c r="Q891" s="86">
        <f t="shared" si="140"/>
        <v>315</v>
      </c>
      <c r="R891" s="86">
        <f t="shared" si="141"/>
        <v>100</v>
      </c>
      <c r="S891" s="83">
        <f t="shared" si="142"/>
        <v>695</v>
      </c>
      <c r="T891" s="83">
        <f>50</f>
        <v>50</v>
      </c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</row>
    <row r="892" spans="1:30" ht="15.75" x14ac:dyDescent="0.25">
      <c r="A892" s="32">
        <v>68088</v>
      </c>
      <c r="B892" s="95">
        <f t="shared" si="144"/>
        <v>31</v>
      </c>
      <c r="C892" s="83">
        <f>194.205</f>
        <v>194.20500000000001</v>
      </c>
      <c r="D892" s="83">
        <f>267.466</f>
        <v>267.46600000000001</v>
      </c>
      <c r="E892" s="92">
        <f>133.845</f>
        <v>133.845</v>
      </c>
      <c r="F892" s="83">
        <f>278.484-40-25-60-100</f>
        <v>53.48399999999998</v>
      </c>
      <c r="G892" s="86">
        <v>40</v>
      </c>
      <c r="H892" s="83">
        <f t="shared" si="148"/>
        <v>185</v>
      </c>
      <c r="I892" s="83">
        <f t="shared" si="147"/>
        <v>0</v>
      </c>
      <c r="J892" s="86">
        <v>100</v>
      </c>
      <c r="K892" s="86">
        <v>300</v>
      </c>
      <c r="L892" s="83">
        <f t="shared" si="139"/>
        <v>1274</v>
      </c>
      <c r="M892" s="94">
        <v>600</v>
      </c>
      <c r="N892" s="83">
        <f>75</f>
        <v>75</v>
      </c>
      <c r="O892" s="86">
        <v>240</v>
      </c>
      <c r="P892" s="86">
        <v>40</v>
      </c>
      <c r="Q892" s="86">
        <f t="shared" si="140"/>
        <v>315</v>
      </c>
      <c r="R892" s="86">
        <f t="shared" si="141"/>
        <v>100</v>
      </c>
      <c r="S892" s="83">
        <f t="shared" si="142"/>
        <v>695</v>
      </c>
      <c r="T892" s="83">
        <f>50</f>
        <v>50</v>
      </c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</row>
    <row r="893" spans="1:30" ht="15.75" x14ac:dyDescent="0.25">
      <c r="A893" s="32">
        <v>68118</v>
      </c>
      <c r="B893" s="95">
        <f t="shared" si="144"/>
        <v>30</v>
      </c>
      <c r="C893" s="83">
        <f>194.205</f>
        <v>194.20500000000001</v>
      </c>
      <c r="D893" s="83">
        <f>267.466</f>
        <v>267.46600000000001</v>
      </c>
      <c r="E893" s="92">
        <f>133.845</f>
        <v>133.845</v>
      </c>
      <c r="F893" s="83">
        <f>278.484-40-25-60-100</f>
        <v>53.48399999999998</v>
      </c>
      <c r="G893" s="86">
        <v>40</v>
      </c>
      <c r="H893" s="83">
        <f t="shared" si="148"/>
        <v>185</v>
      </c>
      <c r="I893" s="83">
        <f t="shared" si="147"/>
        <v>0</v>
      </c>
      <c r="J893" s="86">
        <v>100</v>
      </c>
      <c r="K893" s="86">
        <v>300</v>
      </c>
      <c r="L893" s="83">
        <f t="shared" si="139"/>
        <v>1274</v>
      </c>
      <c r="M893" s="94">
        <v>600</v>
      </c>
      <c r="N893" s="83">
        <f>30</f>
        <v>30</v>
      </c>
      <c r="O893" s="86">
        <v>240</v>
      </c>
      <c r="P893" s="86">
        <v>40</v>
      </c>
      <c r="Q893" s="86">
        <f t="shared" si="140"/>
        <v>315</v>
      </c>
      <c r="R893" s="86">
        <f t="shared" si="141"/>
        <v>100</v>
      </c>
      <c r="S893" s="83">
        <f t="shared" si="142"/>
        <v>695</v>
      </c>
      <c r="T893" s="83">
        <f>50</f>
        <v>50</v>
      </c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</row>
    <row r="894" spans="1:30" ht="15.75" x14ac:dyDescent="0.25">
      <c r="A894" s="32">
        <v>68149</v>
      </c>
      <c r="B894" s="95">
        <f t="shared" si="144"/>
        <v>31</v>
      </c>
      <c r="C894" s="83">
        <f>194.205</f>
        <v>194.20500000000001</v>
      </c>
      <c r="D894" s="83">
        <f>267.466</f>
        <v>267.46600000000001</v>
      </c>
      <c r="E894" s="92">
        <f>133.845</f>
        <v>133.845</v>
      </c>
      <c r="F894" s="83">
        <f>278.484-40-25-60-100</f>
        <v>53.48399999999998</v>
      </c>
      <c r="G894" s="86">
        <v>40</v>
      </c>
      <c r="H894" s="83">
        <f t="shared" si="148"/>
        <v>185</v>
      </c>
      <c r="I894" s="83">
        <f t="shared" si="147"/>
        <v>0</v>
      </c>
      <c r="J894" s="86">
        <v>100</v>
      </c>
      <c r="K894" s="86">
        <v>300</v>
      </c>
      <c r="L894" s="83">
        <f t="shared" si="139"/>
        <v>1274</v>
      </c>
      <c r="M894" s="94">
        <v>600</v>
      </c>
      <c r="N894" s="83">
        <f>30</f>
        <v>30</v>
      </c>
      <c r="O894" s="86">
        <v>240</v>
      </c>
      <c r="P894" s="86">
        <v>40</v>
      </c>
      <c r="Q894" s="86">
        <f t="shared" si="140"/>
        <v>315</v>
      </c>
      <c r="R894" s="86">
        <f t="shared" si="141"/>
        <v>100</v>
      </c>
      <c r="S894" s="83">
        <f t="shared" si="142"/>
        <v>695</v>
      </c>
      <c r="T894" s="83">
        <f>0</f>
        <v>0</v>
      </c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</row>
    <row r="895" spans="1:30" ht="15.75" x14ac:dyDescent="0.25">
      <c r="A895" s="32">
        <v>68180</v>
      </c>
      <c r="B895" s="95">
        <f t="shared" si="144"/>
        <v>31</v>
      </c>
      <c r="C895" s="83">
        <f>194.205</f>
        <v>194.20500000000001</v>
      </c>
      <c r="D895" s="83">
        <f>267.466</f>
        <v>267.46600000000001</v>
      </c>
      <c r="E895" s="92">
        <f>133.845</f>
        <v>133.845</v>
      </c>
      <c r="F895" s="83">
        <f>278.484-40-25-60-100</f>
        <v>53.48399999999998</v>
      </c>
      <c r="G895" s="86">
        <v>40</v>
      </c>
      <c r="H895" s="83">
        <f t="shared" si="148"/>
        <v>185</v>
      </c>
      <c r="I895" s="83">
        <f t="shared" si="147"/>
        <v>0</v>
      </c>
      <c r="J895" s="86">
        <v>100</v>
      </c>
      <c r="K895" s="86">
        <v>300</v>
      </c>
      <c r="L895" s="83">
        <f t="shared" si="139"/>
        <v>1274</v>
      </c>
      <c r="M895" s="94">
        <v>600</v>
      </c>
      <c r="N895" s="83">
        <f>30</f>
        <v>30</v>
      </c>
      <c r="O895" s="86">
        <v>240</v>
      </c>
      <c r="P895" s="86">
        <v>40</v>
      </c>
      <c r="Q895" s="86">
        <f t="shared" si="140"/>
        <v>315</v>
      </c>
      <c r="R895" s="86">
        <f t="shared" si="141"/>
        <v>100</v>
      </c>
      <c r="S895" s="83">
        <f t="shared" si="142"/>
        <v>695</v>
      </c>
      <c r="T895" s="83">
        <f>0</f>
        <v>0</v>
      </c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</row>
    <row r="896" spans="1:30" ht="15.75" x14ac:dyDescent="0.25">
      <c r="A896" s="32">
        <v>68210</v>
      </c>
      <c r="B896" s="95">
        <f t="shared" si="144"/>
        <v>30</v>
      </c>
      <c r="C896" s="83">
        <f>194.205</f>
        <v>194.20500000000001</v>
      </c>
      <c r="D896" s="83">
        <f>267.466</f>
        <v>267.46600000000001</v>
      </c>
      <c r="E896" s="92">
        <f>133.845</f>
        <v>133.845</v>
      </c>
      <c r="F896" s="83">
        <f>278.484-40-25-60-100</f>
        <v>53.48399999999998</v>
      </c>
      <c r="G896" s="86">
        <v>40</v>
      </c>
      <c r="H896" s="83">
        <f t="shared" si="148"/>
        <v>185</v>
      </c>
      <c r="I896" s="83">
        <f t="shared" si="147"/>
        <v>0</v>
      </c>
      <c r="J896" s="86">
        <v>100</v>
      </c>
      <c r="K896" s="86">
        <v>300</v>
      </c>
      <c r="L896" s="83">
        <f t="shared" si="139"/>
        <v>1274</v>
      </c>
      <c r="M896" s="94">
        <v>600</v>
      </c>
      <c r="N896" s="83">
        <f>30</f>
        <v>30</v>
      </c>
      <c r="O896" s="86">
        <v>240</v>
      </c>
      <c r="P896" s="86">
        <v>40</v>
      </c>
      <c r="Q896" s="86">
        <f t="shared" si="140"/>
        <v>315</v>
      </c>
      <c r="R896" s="86">
        <f t="shared" si="141"/>
        <v>100</v>
      </c>
      <c r="S896" s="83">
        <f t="shared" si="142"/>
        <v>695</v>
      </c>
      <c r="T896" s="83">
        <f>0</f>
        <v>0</v>
      </c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</row>
    <row r="897" spans="1:30" ht="15.75" x14ac:dyDescent="0.25">
      <c r="A897" s="32">
        <v>68241</v>
      </c>
      <c r="B897" s="95">
        <f t="shared" si="144"/>
        <v>31</v>
      </c>
      <c r="C897" s="83">
        <f>131.881</f>
        <v>131.881</v>
      </c>
      <c r="D897" s="83">
        <f>277.167</f>
        <v>277.16699999999997</v>
      </c>
      <c r="E897" s="92">
        <f>79.08</f>
        <v>79.08</v>
      </c>
      <c r="F897" s="83">
        <f>350.872-40-25-60-100</f>
        <v>125.87200000000001</v>
      </c>
      <c r="G897" s="86">
        <v>40</v>
      </c>
      <c r="H897" s="83">
        <f t="shared" si="148"/>
        <v>185</v>
      </c>
      <c r="I897" s="83">
        <f t="shared" si="147"/>
        <v>0</v>
      </c>
      <c r="J897" s="86">
        <v>100</v>
      </c>
      <c r="K897" s="86">
        <v>300</v>
      </c>
      <c r="L897" s="83">
        <f t="shared" si="139"/>
        <v>1239</v>
      </c>
      <c r="M897" s="94">
        <v>600</v>
      </c>
      <c r="N897" s="83">
        <f>75</f>
        <v>75</v>
      </c>
      <c r="O897" s="86">
        <v>240</v>
      </c>
      <c r="P897" s="86">
        <v>40</v>
      </c>
      <c r="Q897" s="86">
        <f t="shared" si="140"/>
        <v>315</v>
      </c>
      <c r="R897" s="86">
        <f t="shared" si="141"/>
        <v>100</v>
      </c>
      <c r="S897" s="83">
        <f t="shared" si="142"/>
        <v>695</v>
      </c>
      <c r="T897" s="83">
        <f>0</f>
        <v>0</v>
      </c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</row>
    <row r="898" spans="1:30" ht="15.75" x14ac:dyDescent="0.25">
      <c r="A898" s="32">
        <v>68271</v>
      </c>
      <c r="B898" s="95">
        <f t="shared" si="144"/>
        <v>30</v>
      </c>
      <c r="C898" s="83">
        <f>122.58</f>
        <v>122.58</v>
      </c>
      <c r="D898" s="83">
        <f>297.941</f>
        <v>297.94099999999997</v>
      </c>
      <c r="E898" s="92">
        <f>89.177</f>
        <v>89.177000000000007</v>
      </c>
      <c r="F898" s="83">
        <f>240.302-40-60-100</f>
        <v>40.301999999999992</v>
      </c>
      <c r="G898" s="86">
        <v>40</v>
      </c>
      <c r="H898" s="83">
        <f>60+100</f>
        <v>160</v>
      </c>
      <c r="I898" s="83">
        <f t="shared" si="147"/>
        <v>0</v>
      </c>
      <c r="J898" s="86">
        <v>100</v>
      </c>
      <c r="K898" s="86">
        <v>300</v>
      </c>
      <c r="L898" s="83">
        <f t="shared" si="139"/>
        <v>1150</v>
      </c>
      <c r="M898" s="94">
        <v>600</v>
      </c>
      <c r="N898" s="83">
        <f>100</f>
        <v>100</v>
      </c>
      <c r="O898" s="86">
        <v>240</v>
      </c>
      <c r="P898" s="86">
        <v>40</v>
      </c>
      <c r="Q898" s="86">
        <f t="shared" si="140"/>
        <v>315</v>
      </c>
      <c r="R898" s="86">
        <f t="shared" si="141"/>
        <v>100</v>
      </c>
      <c r="S898" s="83">
        <f t="shared" si="142"/>
        <v>695</v>
      </c>
      <c r="T898" s="83">
        <f>50</f>
        <v>50</v>
      </c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</row>
    <row r="899" spans="1:30" ht="15.75" x14ac:dyDescent="0.25">
      <c r="A899" s="32">
        <v>68302</v>
      </c>
      <c r="B899" s="95">
        <f t="shared" si="144"/>
        <v>31</v>
      </c>
      <c r="C899" s="83">
        <f>122.58</f>
        <v>122.58</v>
      </c>
      <c r="D899" s="83">
        <f>297.941</f>
        <v>297.94099999999997</v>
      </c>
      <c r="E899" s="92">
        <f>89.177</f>
        <v>89.177000000000007</v>
      </c>
      <c r="F899" s="83">
        <f>240.302-40-60-100</f>
        <v>40.301999999999992</v>
      </c>
      <c r="G899" s="86">
        <v>40</v>
      </c>
      <c r="H899" s="83">
        <f>60+100</f>
        <v>160</v>
      </c>
      <c r="I899" s="83">
        <f t="shared" si="147"/>
        <v>0</v>
      </c>
      <c r="J899" s="86">
        <v>100</v>
      </c>
      <c r="K899" s="86">
        <v>300</v>
      </c>
      <c r="L899" s="83">
        <f t="shared" si="139"/>
        <v>1150</v>
      </c>
      <c r="M899" s="94">
        <v>600</v>
      </c>
      <c r="N899" s="83">
        <f>100</f>
        <v>100</v>
      </c>
      <c r="O899" s="86">
        <v>240</v>
      </c>
      <c r="P899" s="86">
        <v>40</v>
      </c>
      <c r="Q899" s="86">
        <f t="shared" si="140"/>
        <v>315</v>
      </c>
      <c r="R899" s="86">
        <f t="shared" si="141"/>
        <v>100</v>
      </c>
      <c r="S899" s="83">
        <f t="shared" si="142"/>
        <v>695</v>
      </c>
      <c r="T899" s="83">
        <f>50</f>
        <v>50</v>
      </c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</row>
    <row r="900" spans="1:30" ht="15.75" x14ac:dyDescent="0.25">
      <c r="A900" s="32">
        <v>68333</v>
      </c>
      <c r="B900" s="95">
        <f t="shared" si="144"/>
        <v>31</v>
      </c>
      <c r="C900" s="83">
        <f>122.58</f>
        <v>122.58</v>
      </c>
      <c r="D900" s="83">
        <f>297.941</f>
        <v>297.94099999999997</v>
      </c>
      <c r="E900" s="92">
        <f>89.177</f>
        <v>89.177000000000007</v>
      </c>
      <c r="F900" s="83">
        <f>240.302-40-60-100</f>
        <v>40.301999999999992</v>
      </c>
      <c r="G900" s="86">
        <v>40</v>
      </c>
      <c r="H900" s="83">
        <f>60+100</f>
        <v>160</v>
      </c>
      <c r="I900" s="83">
        <f t="shared" si="147"/>
        <v>0</v>
      </c>
      <c r="J900" s="86">
        <v>100</v>
      </c>
      <c r="K900" s="86">
        <v>300</v>
      </c>
      <c r="L900" s="83">
        <f t="shared" si="139"/>
        <v>1150</v>
      </c>
      <c r="M900" s="94">
        <v>600</v>
      </c>
      <c r="N900" s="83">
        <f>100</f>
        <v>100</v>
      </c>
      <c r="O900" s="86">
        <v>240</v>
      </c>
      <c r="P900" s="86">
        <v>40</v>
      </c>
      <c r="Q900" s="86">
        <f t="shared" si="140"/>
        <v>315</v>
      </c>
      <c r="R900" s="86">
        <f t="shared" si="141"/>
        <v>100</v>
      </c>
      <c r="S900" s="83">
        <f t="shared" si="142"/>
        <v>695</v>
      </c>
      <c r="T900" s="83">
        <f>50</f>
        <v>50</v>
      </c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</row>
    <row r="901" spans="1:30" ht="15.75" x14ac:dyDescent="0.25">
      <c r="A901" s="32">
        <v>68361</v>
      </c>
      <c r="B901" s="95">
        <f t="shared" si="144"/>
        <v>28</v>
      </c>
      <c r="C901" s="83">
        <f>122.58</f>
        <v>122.58</v>
      </c>
      <c r="D901" s="83">
        <f>297.941</f>
        <v>297.94099999999997</v>
      </c>
      <c r="E901" s="92">
        <f>89.177</f>
        <v>89.177000000000007</v>
      </c>
      <c r="F901" s="83">
        <f>240.302-40-60-100</f>
        <v>40.301999999999992</v>
      </c>
      <c r="G901" s="86">
        <v>40</v>
      </c>
      <c r="H901" s="83">
        <f>60+100</f>
        <v>160</v>
      </c>
      <c r="I901" s="83">
        <f t="shared" si="147"/>
        <v>0</v>
      </c>
      <c r="J901" s="86">
        <v>100</v>
      </c>
      <c r="K901" s="86">
        <v>300</v>
      </c>
      <c r="L901" s="83">
        <f t="shared" si="139"/>
        <v>1150</v>
      </c>
      <c r="M901" s="94">
        <v>600</v>
      </c>
      <c r="N901" s="83">
        <f>100</f>
        <v>100</v>
      </c>
      <c r="O901" s="86">
        <v>240</v>
      </c>
      <c r="P901" s="86">
        <v>40</v>
      </c>
      <c r="Q901" s="86">
        <f t="shared" si="140"/>
        <v>315</v>
      </c>
      <c r="R901" s="86">
        <f t="shared" si="141"/>
        <v>100</v>
      </c>
      <c r="S901" s="83">
        <f t="shared" si="142"/>
        <v>695</v>
      </c>
      <c r="T901" s="83">
        <f>50</f>
        <v>50</v>
      </c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</row>
    <row r="902" spans="1:30" ht="15.75" x14ac:dyDescent="0.25">
      <c r="A902" s="32">
        <v>68392</v>
      </c>
      <c r="B902" s="95">
        <f t="shared" si="144"/>
        <v>31</v>
      </c>
      <c r="C902" s="83">
        <f>122.58</f>
        <v>122.58</v>
      </c>
      <c r="D902" s="83">
        <f>297.941</f>
        <v>297.94099999999997</v>
      </c>
      <c r="E902" s="92">
        <f>89.177</f>
        <v>89.177000000000007</v>
      </c>
      <c r="F902" s="83">
        <f>240.302-40-60-100</f>
        <v>40.301999999999992</v>
      </c>
      <c r="G902" s="86">
        <v>40</v>
      </c>
      <c r="H902" s="83">
        <f>60+100</f>
        <v>160</v>
      </c>
      <c r="I902" s="83">
        <f t="shared" si="147"/>
        <v>0</v>
      </c>
      <c r="J902" s="86">
        <v>100</v>
      </c>
      <c r="K902" s="86">
        <v>300</v>
      </c>
      <c r="L902" s="83">
        <f t="shared" si="139"/>
        <v>1150</v>
      </c>
      <c r="M902" s="94">
        <v>600</v>
      </c>
      <c r="N902" s="83">
        <f>100</f>
        <v>100</v>
      </c>
      <c r="O902" s="86">
        <v>240</v>
      </c>
      <c r="P902" s="86">
        <v>40</v>
      </c>
      <c r="Q902" s="86">
        <f t="shared" si="140"/>
        <v>315</v>
      </c>
      <c r="R902" s="86">
        <f t="shared" si="141"/>
        <v>100</v>
      </c>
      <c r="S902" s="83">
        <f t="shared" si="142"/>
        <v>695</v>
      </c>
      <c r="T902" s="83">
        <f>50</f>
        <v>50</v>
      </c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</row>
    <row r="903" spans="1:30" ht="15.75" x14ac:dyDescent="0.25">
      <c r="A903" s="32">
        <v>68422</v>
      </c>
      <c r="B903" s="95">
        <f t="shared" si="144"/>
        <v>30</v>
      </c>
      <c r="C903" s="83">
        <f>141.293</f>
        <v>141.29300000000001</v>
      </c>
      <c r="D903" s="83">
        <f>267.993</f>
        <v>267.99299999999999</v>
      </c>
      <c r="E903" s="92">
        <f>115.016</f>
        <v>115.01600000000001</v>
      </c>
      <c r="F903" s="83">
        <f>314.698-40-25-60-100</f>
        <v>89.697999999999979</v>
      </c>
      <c r="G903" s="86">
        <v>40</v>
      </c>
      <c r="H903" s="83">
        <f t="shared" ref="H903:H909" si="149">25+60+100</f>
        <v>185</v>
      </c>
      <c r="I903" s="83">
        <f t="shared" si="147"/>
        <v>0</v>
      </c>
      <c r="J903" s="86">
        <v>100</v>
      </c>
      <c r="K903" s="86">
        <v>300</v>
      </c>
      <c r="L903" s="83">
        <f t="shared" si="139"/>
        <v>1239</v>
      </c>
      <c r="M903" s="94">
        <v>600</v>
      </c>
      <c r="N903" s="83">
        <f>100</f>
        <v>100</v>
      </c>
      <c r="O903" s="86">
        <v>240</v>
      </c>
      <c r="P903" s="86">
        <v>40</v>
      </c>
      <c r="Q903" s="86">
        <f t="shared" si="140"/>
        <v>315</v>
      </c>
      <c r="R903" s="86">
        <f t="shared" si="141"/>
        <v>100</v>
      </c>
      <c r="S903" s="83">
        <f t="shared" si="142"/>
        <v>695</v>
      </c>
      <c r="T903" s="83">
        <f>50</f>
        <v>50</v>
      </c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</row>
    <row r="904" spans="1:30" ht="15.75" x14ac:dyDescent="0.25">
      <c r="A904" s="32">
        <v>68453</v>
      </c>
      <c r="B904" s="95">
        <f t="shared" si="144"/>
        <v>31</v>
      </c>
      <c r="C904" s="83">
        <f>194.205</f>
        <v>194.20500000000001</v>
      </c>
      <c r="D904" s="83">
        <f>267.466</f>
        <v>267.46600000000001</v>
      </c>
      <c r="E904" s="92">
        <f>133.845</f>
        <v>133.845</v>
      </c>
      <c r="F904" s="83">
        <f>278.484-40-25-60-100</f>
        <v>53.48399999999998</v>
      </c>
      <c r="G904" s="86">
        <v>40</v>
      </c>
      <c r="H904" s="83">
        <f t="shared" si="149"/>
        <v>185</v>
      </c>
      <c r="I904" s="83">
        <f t="shared" si="147"/>
        <v>0</v>
      </c>
      <c r="J904" s="86">
        <v>100</v>
      </c>
      <c r="K904" s="86">
        <v>300</v>
      </c>
      <c r="L904" s="83">
        <f t="shared" si="139"/>
        <v>1274</v>
      </c>
      <c r="M904" s="94">
        <v>600</v>
      </c>
      <c r="N904" s="83">
        <f>75</f>
        <v>75</v>
      </c>
      <c r="O904" s="86">
        <v>240</v>
      </c>
      <c r="P904" s="86">
        <v>40</v>
      </c>
      <c r="Q904" s="86">
        <f t="shared" si="140"/>
        <v>315</v>
      </c>
      <c r="R904" s="86">
        <f t="shared" si="141"/>
        <v>100</v>
      </c>
      <c r="S904" s="83">
        <f t="shared" si="142"/>
        <v>695</v>
      </c>
      <c r="T904" s="83">
        <f>50</f>
        <v>50</v>
      </c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</row>
    <row r="905" spans="1:30" ht="15.75" x14ac:dyDescent="0.25">
      <c r="A905" s="32">
        <v>68483</v>
      </c>
      <c r="B905" s="95">
        <f t="shared" si="144"/>
        <v>30</v>
      </c>
      <c r="C905" s="83">
        <f>194.205</f>
        <v>194.20500000000001</v>
      </c>
      <c r="D905" s="83">
        <f>267.466</f>
        <v>267.46600000000001</v>
      </c>
      <c r="E905" s="92">
        <f>133.845</f>
        <v>133.845</v>
      </c>
      <c r="F905" s="83">
        <f>278.484-40-25-60-100</f>
        <v>53.48399999999998</v>
      </c>
      <c r="G905" s="86">
        <v>40</v>
      </c>
      <c r="H905" s="83">
        <f t="shared" si="149"/>
        <v>185</v>
      </c>
      <c r="I905" s="83">
        <f t="shared" si="147"/>
        <v>0</v>
      </c>
      <c r="J905" s="86">
        <v>100</v>
      </c>
      <c r="K905" s="86">
        <v>300</v>
      </c>
      <c r="L905" s="83">
        <f t="shared" si="139"/>
        <v>1274</v>
      </c>
      <c r="M905" s="94">
        <v>600</v>
      </c>
      <c r="N905" s="83">
        <f>30</f>
        <v>30</v>
      </c>
      <c r="O905" s="86">
        <v>240</v>
      </c>
      <c r="P905" s="86">
        <v>40</v>
      </c>
      <c r="Q905" s="86">
        <f t="shared" si="140"/>
        <v>315</v>
      </c>
      <c r="R905" s="86">
        <f t="shared" si="141"/>
        <v>100</v>
      </c>
      <c r="S905" s="83">
        <f t="shared" si="142"/>
        <v>695</v>
      </c>
      <c r="T905" s="83">
        <f>50</f>
        <v>50</v>
      </c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</row>
    <row r="906" spans="1:30" ht="15.75" x14ac:dyDescent="0.25">
      <c r="A906" s="32">
        <v>68514</v>
      </c>
      <c r="B906" s="95">
        <f t="shared" si="144"/>
        <v>31</v>
      </c>
      <c r="C906" s="83">
        <f>194.205</f>
        <v>194.20500000000001</v>
      </c>
      <c r="D906" s="83">
        <f>267.466</f>
        <v>267.46600000000001</v>
      </c>
      <c r="E906" s="92">
        <f>133.845</f>
        <v>133.845</v>
      </c>
      <c r="F906" s="83">
        <f>278.484-40-25-60-100</f>
        <v>53.48399999999998</v>
      </c>
      <c r="G906" s="86">
        <v>40</v>
      </c>
      <c r="H906" s="83">
        <f t="shared" si="149"/>
        <v>185</v>
      </c>
      <c r="I906" s="83">
        <f t="shared" si="147"/>
        <v>0</v>
      </c>
      <c r="J906" s="86">
        <v>100</v>
      </c>
      <c r="K906" s="86">
        <v>300</v>
      </c>
      <c r="L906" s="83">
        <f t="shared" si="139"/>
        <v>1274</v>
      </c>
      <c r="M906" s="94">
        <v>600</v>
      </c>
      <c r="N906" s="83">
        <f>30</f>
        <v>30</v>
      </c>
      <c r="O906" s="86">
        <v>240</v>
      </c>
      <c r="P906" s="86">
        <v>40</v>
      </c>
      <c r="Q906" s="86">
        <f t="shared" si="140"/>
        <v>315</v>
      </c>
      <c r="R906" s="86">
        <f t="shared" si="141"/>
        <v>100</v>
      </c>
      <c r="S906" s="83">
        <f t="shared" si="142"/>
        <v>695</v>
      </c>
      <c r="T906" s="83">
        <f>0</f>
        <v>0</v>
      </c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</row>
    <row r="907" spans="1:30" ht="15.75" x14ac:dyDescent="0.25">
      <c r="A907" s="32">
        <v>68545</v>
      </c>
      <c r="B907" s="95">
        <f t="shared" si="144"/>
        <v>31</v>
      </c>
      <c r="C907" s="83">
        <f>194.205</f>
        <v>194.20500000000001</v>
      </c>
      <c r="D907" s="83">
        <f>267.466</f>
        <v>267.46600000000001</v>
      </c>
      <c r="E907" s="92">
        <f>133.845</f>
        <v>133.845</v>
      </c>
      <c r="F907" s="83">
        <f>278.484-40-25-60-100</f>
        <v>53.48399999999998</v>
      </c>
      <c r="G907" s="86">
        <v>40</v>
      </c>
      <c r="H907" s="83">
        <f t="shared" si="149"/>
        <v>185</v>
      </c>
      <c r="I907" s="83">
        <f t="shared" si="147"/>
        <v>0</v>
      </c>
      <c r="J907" s="86">
        <v>100</v>
      </c>
      <c r="K907" s="86">
        <v>300</v>
      </c>
      <c r="L907" s="83">
        <f t="shared" si="139"/>
        <v>1274</v>
      </c>
      <c r="M907" s="94">
        <v>600</v>
      </c>
      <c r="N907" s="83">
        <f>30</f>
        <v>30</v>
      </c>
      <c r="O907" s="86">
        <v>240</v>
      </c>
      <c r="P907" s="86">
        <v>40</v>
      </c>
      <c r="Q907" s="86">
        <f t="shared" si="140"/>
        <v>315</v>
      </c>
      <c r="R907" s="86">
        <f t="shared" si="141"/>
        <v>100</v>
      </c>
      <c r="S907" s="83">
        <f t="shared" si="142"/>
        <v>695</v>
      </c>
      <c r="T907" s="83">
        <f>0</f>
        <v>0</v>
      </c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</row>
    <row r="908" spans="1:30" ht="15.75" x14ac:dyDescent="0.25">
      <c r="A908" s="32">
        <v>68575</v>
      </c>
      <c r="B908" s="95">
        <f t="shared" si="144"/>
        <v>30</v>
      </c>
      <c r="C908" s="83">
        <f>194.205</f>
        <v>194.20500000000001</v>
      </c>
      <c r="D908" s="83">
        <f>267.466</f>
        <v>267.46600000000001</v>
      </c>
      <c r="E908" s="92">
        <f>133.845</f>
        <v>133.845</v>
      </c>
      <c r="F908" s="83">
        <f>278.484-40-25-60-100</f>
        <v>53.48399999999998</v>
      </c>
      <c r="G908" s="86">
        <v>40</v>
      </c>
      <c r="H908" s="83">
        <f t="shared" si="149"/>
        <v>185</v>
      </c>
      <c r="I908" s="83">
        <f t="shared" si="147"/>
        <v>0</v>
      </c>
      <c r="J908" s="86">
        <v>100</v>
      </c>
      <c r="K908" s="86">
        <v>300</v>
      </c>
      <c r="L908" s="83">
        <f t="shared" si="139"/>
        <v>1274</v>
      </c>
      <c r="M908" s="94">
        <v>600</v>
      </c>
      <c r="N908" s="83">
        <f>30</f>
        <v>30</v>
      </c>
      <c r="O908" s="86">
        <v>240</v>
      </c>
      <c r="P908" s="86">
        <v>40</v>
      </c>
      <c r="Q908" s="86">
        <f t="shared" si="140"/>
        <v>315</v>
      </c>
      <c r="R908" s="86">
        <f t="shared" si="141"/>
        <v>100</v>
      </c>
      <c r="S908" s="83">
        <f t="shared" si="142"/>
        <v>695</v>
      </c>
      <c r="T908" s="83">
        <f>0</f>
        <v>0</v>
      </c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</row>
    <row r="909" spans="1:30" ht="15.75" x14ac:dyDescent="0.25">
      <c r="A909" s="32">
        <v>68606</v>
      </c>
      <c r="B909" s="95">
        <f t="shared" si="144"/>
        <v>31</v>
      </c>
      <c r="C909" s="83">
        <f>131.881</f>
        <v>131.881</v>
      </c>
      <c r="D909" s="83">
        <f>277.167</f>
        <v>277.16699999999997</v>
      </c>
      <c r="E909" s="92">
        <f>79.08</f>
        <v>79.08</v>
      </c>
      <c r="F909" s="83">
        <f>350.872-40-25-60-100</f>
        <v>125.87200000000001</v>
      </c>
      <c r="G909" s="86">
        <v>40</v>
      </c>
      <c r="H909" s="83">
        <f t="shared" si="149"/>
        <v>185</v>
      </c>
      <c r="I909" s="83">
        <f t="shared" si="147"/>
        <v>0</v>
      </c>
      <c r="J909" s="86">
        <v>100</v>
      </c>
      <c r="K909" s="86">
        <v>300</v>
      </c>
      <c r="L909" s="83">
        <f t="shared" si="139"/>
        <v>1239</v>
      </c>
      <c r="M909" s="94">
        <v>600</v>
      </c>
      <c r="N909" s="83">
        <f>75</f>
        <v>75</v>
      </c>
      <c r="O909" s="86">
        <v>240</v>
      </c>
      <c r="P909" s="86">
        <v>40</v>
      </c>
      <c r="Q909" s="86">
        <f t="shared" si="140"/>
        <v>315</v>
      </c>
      <c r="R909" s="86">
        <f t="shared" si="141"/>
        <v>100</v>
      </c>
      <c r="S909" s="83">
        <f t="shared" si="142"/>
        <v>695</v>
      </c>
      <c r="T909" s="83">
        <f>0</f>
        <v>0</v>
      </c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</row>
    <row r="910" spans="1:30" ht="15.75" x14ac:dyDescent="0.25">
      <c r="A910" s="32">
        <v>68636</v>
      </c>
      <c r="B910" s="95">
        <f t="shared" si="144"/>
        <v>30</v>
      </c>
      <c r="C910" s="83">
        <f>122.58</f>
        <v>122.58</v>
      </c>
      <c r="D910" s="83">
        <f>297.941</f>
        <v>297.94099999999997</v>
      </c>
      <c r="E910" s="92">
        <f>89.177</f>
        <v>89.177000000000007</v>
      </c>
      <c r="F910" s="83">
        <f>240.302-40-60-100</f>
        <v>40.301999999999992</v>
      </c>
      <c r="G910" s="86">
        <v>40</v>
      </c>
      <c r="H910" s="83">
        <f>60+100</f>
        <v>160</v>
      </c>
      <c r="I910" s="83">
        <f t="shared" si="147"/>
        <v>0</v>
      </c>
      <c r="J910" s="86">
        <v>100</v>
      </c>
      <c r="K910" s="86">
        <v>300</v>
      </c>
      <c r="L910" s="83">
        <f t="shared" si="139"/>
        <v>1150</v>
      </c>
      <c r="M910" s="94">
        <v>600</v>
      </c>
      <c r="N910" s="83">
        <f>100</f>
        <v>100</v>
      </c>
      <c r="O910" s="86">
        <v>240</v>
      </c>
      <c r="P910" s="86">
        <v>40</v>
      </c>
      <c r="Q910" s="86">
        <f t="shared" si="140"/>
        <v>315</v>
      </c>
      <c r="R910" s="86">
        <f t="shared" si="141"/>
        <v>100</v>
      </c>
      <c r="S910" s="83">
        <f t="shared" si="142"/>
        <v>695</v>
      </c>
      <c r="T910" s="83">
        <f>50</f>
        <v>50</v>
      </c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</row>
    <row r="911" spans="1:30" ht="15.75" x14ac:dyDescent="0.25">
      <c r="A911" s="32">
        <v>68667</v>
      </c>
      <c r="B911" s="95">
        <f t="shared" si="144"/>
        <v>31</v>
      </c>
      <c r="C911" s="83">
        <f>122.58</f>
        <v>122.58</v>
      </c>
      <c r="D911" s="83">
        <f>297.941</f>
        <v>297.94099999999997</v>
      </c>
      <c r="E911" s="92">
        <f>89.177</f>
        <v>89.177000000000007</v>
      </c>
      <c r="F911" s="83">
        <f>240.302-40-60-100</f>
        <v>40.301999999999992</v>
      </c>
      <c r="G911" s="86">
        <v>40</v>
      </c>
      <c r="H911" s="83">
        <f>60+100</f>
        <v>160</v>
      </c>
      <c r="I911" s="83">
        <f t="shared" si="147"/>
        <v>0</v>
      </c>
      <c r="J911" s="86">
        <v>100</v>
      </c>
      <c r="K911" s="86">
        <v>300</v>
      </c>
      <c r="L911" s="83">
        <f t="shared" si="139"/>
        <v>1150</v>
      </c>
      <c r="M911" s="94">
        <v>600</v>
      </c>
      <c r="N911" s="83">
        <f>100</f>
        <v>100</v>
      </c>
      <c r="O911" s="86">
        <v>240</v>
      </c>
      <c r="P911" s="86">
        <v>40</v>
      </c>
      <c r="Q911" s="86">
        <f t="shared" si="140"/>
        <v>315</v>
      </c>
      <c r="R911" s="86">
        <f t="shared" si="141"/>
        <v>100</v>
      </c>
      <c r="S911" s="83">
        <f t="shared" si="142"/>
        <v>695</v>
      </c>
      <c r="T911" s="83">
        <f>50</f>
        <v>50</v>
      </c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</row>
    <row r="912" spans="1:30" ht="15.75" x14ac:dyDescent="0.25">
      <c r="A912" s="32">
        <v>68698</v>
      </c>
      <c r="B912" s="95">
        <f t="shared" si="144"/>
        <v>31</v>
      </c>
      <c r="C912" s="83">
        <f>122.58</f>
        <v>122.58</v>
      </c>
      <c r="D912" s="83">
        <f>297.941</f>
        <v>297.94099999999997</v>
      </c>
      <c r="E912" s="92">
        <f>89.177</f>
        <v>89.177000000000007</v>
      </c>
      <c r="F912" s="83">
        <f>240.302-40-60-100</f>
        <v>40.301999999999992</v>
      </c>
      <c r="G912" s="86">
        <v>40</v>
      </c>
      <c r="H912" s="83">
        <f>60+100</f>
        <v>160</v>
      </c>
      <c r="I912" s="83">
        <f t="shared" si="147"/>
        <v>0</v>
      </c>
      <c r="J912" s="86">
        <v>100</v>
      </c>
      <c r="K912" s="86">
        <v>300</v>
      </c>
      <c r="L912" s="83">
        <f t="shared" si="139"/>
        <v>1150</v>
      </c>
      <c r="M912" s="94">
        <v>600</v>
      </c>
      <c r="N912" s="83">
        <f>100</f>
        <v>100</v>
      </c>
      <c r="O912" s="86">
        <v>240</v>
      </c>
      <c r="P912" s="86">
        <v>40</v>
      </c>
      <c r="Q912" s="86">
        <f t="shared" si="140"/>
        <v>315</v>
      </c>
      <c r="R912" s="86">
        <f t="shared" si="141"/>
        <v>100</v>
      </c>
      <c r="S912" s="83">
        <f t="shared" si="142"/>
        <v>695</v>
      </c>
      <c r="T912" s="83">
        <f>50</f>
        <v>50</v>
      </c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</row>
    <row r="913" spans="1:30" ht="15.75" x14ac:dyDescent="0.25">
      <c r="A913" s="32">
        <v>68727</v>
      </c>
      <c r="B913" s="95">
        <f t="shared" si="144"/>
        <v>29</v>
      </c>
      <c r="C913" s="83">
        <f>122.58</f>
        <v>122.58</v>
      </c>
      <c r="D913" s="83">
        <f>297.941</f>
        <v>297.94099999999997</v>
      </c>
      <c r="E913" s="92">
        <f>89.177</f>
        <v>89.177000000000007</v>
      </c>
      <c r="F913" s="83">
        <f>240.302-40-60-100</f>
        <v>40.301999999999992</v>
      </c>
      <c r="G913" s="86">
        <v>40</v>
      </c>
      <c r="H913" s="83">
        <f>60+100</f>
        <v>160</v>
      </c>
      <c r="I913" s="83">
        <f t="shared" si="147"/>
        <v>0</v>
      </c>
      <c r="J913" s="86">
        <v>100</v>
      </c>
      <c r="K913" s="86">
        <v>300</v>
      </c>
      <c r="L913" s="83">
        <f t="shared" si="139"/>
        <v>1150</v>
      </c>
      <c r="M913" s="94">
        <v>600</v>
      </c>
      <c r="N913" s="83">
        <f>100</f>
        <v>100</v>
      </c>
      <c r="O913" s="86">
        <v>240</v>
      </c>
      <c r="P913" s="86">
        <v>40</v>
      </c>
      <c r="Q913" s="86">
        <f t="shared" si="140"/>
        <v>315</v>
      </c>
      <c r="R913" s="86">
        <f t="shared" si="141"/>
        <v>100</v>
      </c>
      <c r="S913" s="83">
        <f t="shared" si="142"/>
        <v>695</v>
      </c>
      <c r="T913" s="83">
        <f>50</f>
        <v>50</v>
      </c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</row>
    <row r="914" spans="1:30" ht="15.75" x14ac:dyDescent="0.25">
      <c r="A914" s="32">
        <v>68758</v>
      </c>
      <c r="B914" s="95">
        <f t="shared" si="144"/>
        <v>31</v>
      </c>
      <c r="C914" s="83">
        <f>122.58</f>
        <v>122.58</v>
      </c>
      <c r="D914" s="83">
        <f>297.941</f>
        <v>297.94099999999997</v>
      </c>
      <c r="E914" s="92">
        <f>89.177</f>
        <v>89.177000000000007</v>
      </c>
      <c r="F914" s="83">
        <f>240.302-40-60-100</f>
        <v>40.301999999999992</v>
      </c>
      <c r="G914" s="86">
        <v>40</v>
      </c>
      <c r="H914" s="83">
        <f>60+100</f>
        <v>160</v>
      </c>
      <c r="I914" s="83">
        <f t="shared" si="147"/>
        <v>0</v>
      </c>
      <c r="J914" s="86">
        <v>100</v>
      </c>
      <c r="K914" s="86">
        <v>300</v>
      </c>
      <c r="L914" s="83">
        <f t="shared" si="139"/>
        <v>1150</v>
      </c>
      <c r="M914" s="94">
        <v>600</v>
      </c>
      <c r="N914" s="83">
        <f>100</f>
        <v>100</v>
      </c>
      <c r="O914" s="86">
        <v>240</v>
      </c>
      <c r="P914" s="86">
        <v>40</v>
      </c>
      <c r="Q914" s="86">
        <f t="shared" si="140"/>
        <v>315</v>
      </c>
      <c r="R914" s="86">
        <f t="shared" si="141"/>
        <v>100</v>
      </c>
      <c r="S914" s="83">
        <f t="shared" si="142"/>
        <v>695</v>
      </c>
      <c r="T914" s="83">
        <f>50</f>
        <v>50</v>
      </c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</row>
    <row r="915" spans="1:30" ht="15.75" x14ac:dyDescent="0.25">
      <c r="A915" s="32">
        <v>68788</v>
      </c>
      <c r="B915" s="95">
        <f t="shared" si="144"/>
        <v>30</v>
      </c>
      <c r="C915" s="83">
        <f>141.293</f>
        <v>141.29300000000001</v>
      </c>
      <c r="D915" s="83">
        <f>267.993</f>
        <v>267.99299999999999</v>
      </c>
      <c r="E915" s="92">
        <f>115.016</f>
        <v>115.01600000000001</v>
      </c>
      <c r="F915" s="83">
        <f>314.698-40-25-60-100</f>
        <v>89.697999999999979</v>
      </c>
      <c r="G915" s="86">
        <v>40</v>
      </c>
      <c r="H915" s="83">
        <f t="shared" ref="H915:H921" si="150">25+60+100</f>
        <v>185</v>
      </c>
      <c r="I915" s="83">
        <f t="shared" si="147"/>
        <v>0</v>
      </c>
      <c r="J915" s="86">
        <v>100</v>
      </c>
      <c r="K915" s="86">
        <v>300</v>
      </c>
      <c r="L915" s="83">
        <f t="shared" si="139"/>
        <v>1239</v>
      </c>
      <c r="M915" s="94">
        <v>600</v>
      </c>
      <c r="N915" s="83">
        <f>100</f>
        <v>100</v>
      </c>
      <c r="O915" s="86">
        <v>240</v>
      </c>
      <c r="P915" s="86">
        <v>40</v>
      </c>
      <c r="Q915" s="86">
        <f t="shared" si="140"/>
        <v>315</v>
      </c>
      <c r="R915" s="86">
        <f t="shared" si="141"/>
        <v>100</v>
      </c>
      <c r="S915" s="83">
        <f t="shared" si="142"/>
        <v>695</v>
      </c>
      <c r="T915" s="83">
        <f>50</f>
        <v>50</v>
      </c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</row>
    <row r="916" spans="1:30" ht="15.75" x14ac:dyDescent="0.25">
      <c r="A916" s="32">
        <v>68819</v>
      </c>
      <c r="B916" s="95">
        <f t="shared" si="144"/>
        <v>31</v>
      </c>
      <c r="C916" s="83">
        <f>194.205</f>
        <v>194.20500000000001</v>
      </c>
      <c r="D916" s="83">
        <f>267.466</f>
        <v>267.46600000000001</v>
      </c>
      <c r="E916" s="92">
        <f>133.845</f>
        <v>133.845</v>
      </c>
      <c r="F916" s="83">
        <f>278.484-40-25-60-100</f>
        <v>53.48399999999998</v>
      </c>
      <c r="G916" s="86">
        <v>40</v>
      </c>
      <c r="H916" s="83">
        <f t="shared" si="150"/>
        <v>185</v>
      </c>
      <c r="I916" s="83">
        <f t="shared" si="147"/>
        <v>0</v>
      </c>
      <c r="J916" s="86">
        <v>100</v>
      </c>
      <c r="K916" s="86">
        <v>300</v>
      </c>
      <c r="L916" s="83">
        <f t="shared" si="139"/>
        <v>1274</v>
      </c>
      <c r="M916" s="94">
        <v>600</v>
      </c>
      <c r="N916" s="83">
        <f>75</f>
        <v>75</v>
      </c>
      <c r="O916" s="86">
        <v>240</v>
      </c>
      <c r="P916" s="86">
        <v>40</v>
      </c>
      <c r="Q916" s="86">
        <f t="shared" si="140"/>
        <v>315</v>
      </c>
      <c r="R916" s="86">
        <f t="shared" si="141"/>
        <v>100</v>
      </c>
      <c r="S916" s="83">
        <f t="shared" si="142"/>
        <v>695</v>
      </c>
      <c r="T916" s="83">
        <f>50</f>
        <v>50</v>
      </c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</row>
    <row r="917" spans="1:30" ht="15.75" x14ac:dyDescent="0.25">
      <c r="A917" s="32">
        <v>68849</v>
      </c>
      <c r="B917" s="95">
        <f t="shared" si="144"/>
        <v>30</v>
      </c>
      <c r="C917" s="83">
        <f>194.205</f>
        <v>194.20500000000001</v>
      </c>
      <c r="D917" s="83">
        <f>267.466</f>
        <v>267.46600000000001</v>
      </c>
      <c r="E917" s="92">
        <f>133.845</f>
        <v>133.845</v>
      </c>
      <c r="F917" s="83">
        <f>278.484-40-25-60-100</f>
        <v>53.48399999999998</v>
      </c>
      <c r="G917" s="86">
        <v>40</v>
      </c>
      <c r="H917" s="83">
        <f t="shared" si="150"/>
        <v>185</v>
      </c>
      <c r="I917" s="83">
        <f t="shared" si="147"/>
        <v>0</v>
      </c>
      <c r="J917" s="86">
        <v>100</v>
      </c>
      <c r="K917" s="86">
        <v>300</v>
      </c>
      <c r="L917" s="83">
        <f t="shared" si="139"/>
        <v>1274</v>
      </c>
      <c r="M917" s="94">
        <v>600</v>
      </c>
      <c r="N917" s="83">
        <f>30</f>
        <v>30</v>
      </c>
      <c r="O917" s="86">
        <v>240</v>
      </c>
      <c r="P917" s="86">
        <v>40</v>
      </c>
      <c r="Q917" s="86">
        <f t="shared" si="140"/>
        <v>315</v>
      </c>
      <c r="R917" s="86">
        <f t="shared" si="141"/>
        <v>100</v>
      </c>
      <c r="S917" s="83">
        <f t="shared" si="142"/>
        <v>695</v>
      </c>
      <c r="T917" s="83">
        <f>50</f>
        <v>50</v>
      </c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</row>
    <row r="918" spans="1:30" ht="15.75" x14ac:dyDescent="0.25">
      <c r="A918" s="32">
        <v>68880</v>
      </c>
      <c r="B918" s="95">
        <f t="shared" si="144"/>
        <v>31</v>
      </c>
      <c r="C918" s="83">
        <f>194.205</f>
        <v>194.20500000000001</v>
      </c>
      <c r="D918" s="83">
        <f>267.466</f>
        <v>267.46600000000001</v>
      </c>
      <c r="E918" s="92">
        <f>133.845</f>
        <v>133.845</v>
      </c>
      <c r="F918" s="83">
        <f>278.484-40-25-60-100</f>
        <v>53.48399999999998</v>
      </c>
      <c r="G918" s="86">
        <v>40</v>
      </c>
      <c r="H918" s="83">
        <f t="shared" si="150"/>
        <v>185</v>
      </c>
      <c r="I918" s="83">
        <f t="shared" si="147"/>
        <v>0</v>
      </c>
      <c r="J918" s="86">
        <v>100</v>
      </c>
      <c r="K918" s="86">
        <v>300</v>
      </c>
      <c r="L918" s="83">
        <f t="shared" ref="L918:L981" si="151">SUM(C918:K918)</f>
        <v>1274</v>
      </c>
      <c r="M918" s="94">
        <v>600</v>
      </c>
      <c r="N918" s="83">
        <f>30</f>
        <v>30</v>
      </c>
      <c r="O918" s="86">
        <v>240</v>
      </c>
      <c r="P918" s="86">
        <v>40</v>
      </c>
      <c r="Q918" s="86">
        <f t="shared" ref="Q918:Q981" si="152">695-R918-O918-P918</f>
        <v>315</v>
      </c>
      <c r="R918" s="86">
        <f t="shared" ref="R918:R981" si="153">200-J918</f>
        <v>100</v>
      </c>
      <c r="S918" s="83">
        <f t="shared" ref="S918:S981" si="154">SUM(O918:R918)</f>
        <v>695</v>
      </c>
      <c r="T918" s="83">
        <f>0</f>
        <v>0</v>
      </c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</row>
    <row r="919" spans="1:30" ht="15.75" x14ac:dyDescent="0.25">
      <c r="A919" s="32">
        <v>68911</v>
      </c>
      <c r="B919" s="95">
        <f t="shared" si="144"/>
        <v>31</v>
      </c>
      <c r="C919" s="83">
        <f>194.205</f>
        <v>194.20500000000001</v>
      </c>
      <c r="D919" s="83">
        <f>267.466</f>
        <v>267.46600000000001</v>
      </c>
      <c r="E919" s="92">
        <f>133.845</f>
        <v>133.845</v>
      </c>
      <c r="F919" s="83">
        <f>278.484-40-25-60-100</f>
        <v>53.48399999999998</v>
      </c>
      <c r="G919" s="86">
        <v>40</v>
      </c>
      <c r="H919" s="83">
        <f t="shared" si="150"/>
        <v>185</v>
      </c>
      <c r="I919" s="83">
        <f t="shared" si="147"/>
        <v>0</v>
      </c>
      <c r="J919" s="86">
        <v>100</v>
      </c>
      <c r="K919" s="86">
        <v>300</v>
      </c>
      <c r="L919" s="83">
        <f t="shared" si="151"/>
        <v>1274</v>
      </c>
      <c r="M919" s="94">
        <v>600</v>
      </c>
      <c r="N919" s="83">
        <f>30</f>
        <v>30</v>
      </c>
      <c r="O919" s="86">
        <v>240</v>
      </c>
      <c r="P919" s="86">
        <v>40</v>
      </c>
      <c r="Q919" s="86">
        <f t="shared" si="152"/>
        <v>315</v>
      </c>
      <c r="R919" s="86">
        <f t="shared" si="153"/>
        <v>100</v>
      </c>
      <c r="S919" s="83">
        <f t="shared" si="154"/>
        <v>695</v>
      </c>
      <c r="T919" s="83">
        <f>0</f>
        <v>0</v>
      </c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</row>
    <row r="920" spans="1:30" ht="15.75" x14ac:dyDescent="0.25">
      <c r="A920" s="32">
        <v>68941</v>
      </c>
      <c r="B920" s="95">
        <f t="shared" ref="B920:B983" si="155">EOMONTH(A920,0)-EOMONTH(A920,-1)</f>
        <v>30</v>
      </c>
      <c r="C920" s="83">
        <f>194.205</f>
        <v>194.20500000000001</v>
      </c>
      <c r="D920" s="83">
        <f>267.466</f>
        <v>267.46600000000001</v>
      </c>
      <c r="E920" s="92">
        <f>133.845</f>
        <v>133.845</v>
      </c>
      <c r="F920" s="83">
        <f>278.484-40-25-60-100</f>
        <v>53.48399999999998</v>
      </c>
      <c r="G920" s="86">
        <v>40</v>
      </c>
      <c r="H920" s="83">
        <f t="shared" si="150"/>
        <v>185</v>
      </c>
      <c r="I920" s="83">
        <f t="shared" si="147"/>
        <v>0</v>
      </c>
      <c r="J920" s="86">
        <v>100</v>
      </c>
      <c r="K920" s="86">
        <v>300</v>
      </c>
      <c r="L920" s="83">
        <f t="shared" si="151"/>
        <v>1274</v>
      </c>
      <c r="M920" s="94">
        <v>600</v>
      </c>
      <c r="N920" s="83">
        <f>30</f>
        <v>30</v>
      </c>
      <c r="O920" s="86">
        <v>240</v>
      </c>
      <c r="P920" s="86">
        <v>40</v>
      </c>
      <c r="Q920" s="86">
        <f t="shared" si="152"/>
        <v>315</v>
      </c>
      <c r="R920" s="86">
        <f t="shared" si="153"/>
        <v>100</v>
      </c>
      <c r="S920" s="83">
        <f t="shared" si="154"/>
        <v>695</v>
      </c>
      <c r="T920" s="83">
        <f>0</f>
        <v>0</v>
      </c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</row>
    <row r="921" spans="1:30" ht="15.75" x14ac:dyDescent="0.25">
      <c r="A921" s="32">
        <v>68972</v>
      </c>
      <c r="B921" s="95">
        <f t="shared" si="155"/>
        <v>31</v>
      </c>
      <c r="C921" s="83">
        <f>131.881</f>
        <v>131.881</v>
      </c>
      <c r="D921" s="83">
        <f>277.167</f>
        <v>277.16699999999997</v>
      </c>
      <c r="E921" s="92">
        <f>79.08</f>
        <v>79.08</v>
      </c>
      <c r="F921" s="83">
        <f>350.872-40-25-60-100</f>
        <v>125.87200000000001</v>
      </c>
      <c r="G921" s="86">
        <v>40</v>
      </c>
      <c r="H921" s="83">
        <f t="shared" si="150"/>
        <v>185</v>
      </c>
      <c r="I921" s="83">
        <f t="shared" si="147"/>
        <v>0</v>
      </c>
      <c r="J921" s="86">
        <v>100</v>
      </c>
      <c r="K921" s="86">
        <v>300</v>
      </c>
      <c r="L921" s="83">
        <f t="shared" si="151"/>
        <v>1239</v>
      </c>
      <c r="M921" s="94">
        <v>600</v>
      </c>
      <c r="N921" s="83">
        <f>75</f>
        <v>75</v>
      </c>
      <c r="O921" s="86">
        <v>240</v>
      </c>
      <c r="P921" s="86">
        <v>40</v>
      </c>
      <c r="Q921" s="86">
        <f t="shared" si="152"/>
        <v>315</v>
      </c>
      <c r="R921" s="86">
        <f t="shared" si="153"/>
        <v>100</v>
      </c>
      <c r="S921" s="83">
        <f t="shared" si="154"/>
        <v>695</v>
      </c>
      <c r="T921" s="83">
        <f>0</f>
        <v>0</v>
      </c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</row>
    <row r="922" spans="1:30" ht="15.75" x14ac:dyDescent="0.25">
      <c r="A922" s="32">
        <v>69002</v>
      </c>
      <c r="B922" s="95">
        <f t="shared" si="155"/>
        <v>30</v>
      </c>
      <c r="C922" s="83">
        <f>122.58</f>
        <v>122.58</v>
      </c>
      <c r="D922" s="83">
        <f>297.941</f>
        <v>297.94099999999997</v>
      </c>
      <c r="E922" s="92">
        <f>89.177</f>
        <v>89.177000000000007</v>
      </c>
      <c r="F922" s="83">
        <f>240.302-40-60-100</f>
        <v>40.301999999999992</v>
      </c>
      <c r="G922" s="86">
        <v>40</v>
      </c>
      <c r="H922" s="83">
        <f>60+100</f>
        <v>160</v>
      </c>
      <c r="I922" s="83">
        <f t="shared" si="147"/>
        <v>0</v>
      </c>
      <c r="J922" s="86">
        <v>100</v>
      </c>
      <c r="K922" s="86">
        <v>300</v>
      </c>
      <c r="L922" s="83">
        <f t="shared" si="151"/>
        <v>1150</v>
      </c>
      <c r="M922" s="94">
        <v>600</v>
      </c>
      <c r="N922" s="83">
        <f>100</f>
        <v>100</v>
      </c>
      <c r="O922" s="86">
        <v>240</v>
      </c>
      <c r="P922" s="86">
        <v>40</v>
      </c>
      <c r="Q922" s="86">
        <f t="shared" si="152"/>
        <v>315</v>
      </c>
      <c r="R922" s="86">
        <f t="shared" si="153"/>
        <v>100</v>
      </c>
      <c r="S922" s="83">
        <f t="shared" si="154"/>
        <v>695</v>
      </c>
      <c r="T922" s="83">
        <f>50</f>
        <v>50</v>
      </c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</row>
    <row r="923" spans="1:30" ht="15.75" x14ac:dyDescent="0.25">
      <c r="A923" s="32">
        <v>69033</v>
      </c>
      <c r="B923" s="95">
        <f t="shared" si="155"/>
        <v>31</v>
      </c>
      <c r="C923" s="83">
        <f>122.58</f>
        <v>122.58</v>
      </c>
      <c r="D923" s="83">
        <f>297.941</f>
        <v>297.94099999999997</v>
      </c>
      <c r="E923" s="92">
        <f>89.177</f>
        <v>89.177000000000007</v>
      </c>
      <c r="F923" s="83">
        <f>240.302-40-60-100</f>
        <v>40.301999999999992</v>
      </c>
      <c r="G923" s="86">
        <v>40</v>
      </c>
      <c r="H923" s="83">
        <f>60+100</f>
        <v>160</v>
      </c>
      <c r="I923" s="83">
        <f t="shared" si="147"/>
        <v>0</v>
      </c>
      <c r="J923" s="86">
        <v>100</v>
      </c>
      <c r="K923" s="86">
        <v>300</v>
      </c>
      <c r="L923" s="83">
        <f t="shared" si="151"/>
        <v>1150</v>
      </c>
      <c r="M923" s="94">
        <v>600</v>
      </c>
      <c r="N923" s="83">
        <f>100</f>
        <v>100</v>
      </c>
      <c r="O923" s="86">
        <v>240</v>
      </c>
      <c r="P923" s="86">
        <v>40</v>
      </c>
      <c r="Q923" s="86">
        <f t="shared" si="152"/>
        <v>315</v>
      </c>
      <c r="R923" s="86">
        <f t="shared" si="153"/>
        <v>100</v>
      </c>
      <c r="S923" s="83">
        <f t="shared" si="154"/>
        <v>695</v>
      </c>
      <c r="T923" s="83">
        <f>50</f>
        <v>50</v>
      </c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</row>
    <row r="924" spans="1:30" ht="15.75" x14ac:dyDescent="0.25">
      <c r="A924" s="32">
        <v>69064</v>
      </c>
      <c r="B924" s="95">
        <f t="shared" si="155"/>
        <v>31</v>
      </c>
      <c r="C924" s="83">
        <f>122.58</f>
        <v>122.58</v>
      </c>
      <c r="D924" s="83">
        <f>297.941</f>
        <v>297.94099999999997</v>
      </c>
      <c r="E924" s="92">
        <f>89.177</f>
        <v>89.177000000000007</v>
      </c>
      <c r="F924" s="83">
        <f>240.302-40-60-100</f>
        <v>40.301999999999992</v>
      </c>
      <c r="G924" s="86">
        <v>40</v>
      </c>
      <c r="H924" s="83">
        <f>60+100</f>
        <v>160</v>
      </c>
      <c r="I924" s="83">
        <f t="shared" si="147"/>
        <v>0</v>
      </c>
      <c r="J924" s="86">
        <v>100</v>
      </c>
      <c r="K924" s="86">
        <v>300</v>
      </c>
      <c r="L924" s="83">
        <f t="shared" si="151"/>
        <v>1150</v>
      </c>
      <c r="M924" s="94">
        <v>600</v>
      </c>
      <c r="N924" s="83">
        <f>100</f>
        <v>100</v>
      </c>
      <c r="O924" s="86">
        <v>240</v>
      </c>
      <c r="P924" s="86">
        <v>40</v>
      </c>
      <c r="Q924" s="86">
        <f t="shared" si="152"/>
        <v>315</v>
      </c>
      <c r="R924" s="86">
        <f t="shared" si="153"/>
        <v>100</v>
      </c>
      <c r="S924" s="83">
        <f t="shared" si="154"/>
        <v>695</v>
      </c>
      <c r="T924" s="83">
        <f>50</f>
        <v>50</v>
      </c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</row>
    <row r="925" spans="1:30" ht="15.75" x14ac:dyDescent="0.25">
      <c r="A925" s="32">
        <v>69092</v>
      </c>
      <c r="B925" s="95">
        <f t="shared" si="155"/>
        <v>28</v>
      </c>
      <c r="C925" s="83">
        <f>122.58</f>
        <v>122.58</v>
      </c>
      <c r="D925" s="83">
        <f>297.941</f>
        <v>297.94099999999997</v>
      </c>
      <c r="E925" s="92">
        <f>89.177</f>
        <v>89.177000000000007</v>
      </c>
      <c r="F925" s="83">
        <f>240.302-40-60-100</f>
        <v>40.301999999999992</v>
      </c>
      <c r="G925" s="86">
        <v>40</v>
      </c>
      <c r="H925" s="83">
        <f>60+100</f>
        <v>160</v>
      </c>
      <c r="I925" s="83">
        <f t="shared" si="147"/>
        <v>0</v>
      </c>
      <c r="J925" s="86">
        <v>100</v>
      </c>
      <c r="K925" s="86">
        <v>300</v>
      </c>
      <c r="L925" s="83">
        <f t="shared" si="151"/>
        <v>1150</v>
      </c>
      <c r="M925" s="94">
        <v>600</v>
      </c>
      <c r="N925" s="83">
        <f>100</f>
        <v>100</v>
      </c>
      <c r="O925" s="86">
        <v>240</v>
      </c>
      <c r="P925" s="86">
        <v>40</v>
      </c>
      <c r="Q925" s="86">
        <f t="shared" si="152"/>
        <v>315</v>
      </c>
      <c r="R925" s="86">
        <f t="shared" si="153"/>
        <v>100</v>
      </c>
      <c r="S925" s="83">
        <f t="shared" si="154"/>
        <v>695</v>
      </c>
      <c r="T925" s="83">
        <f>50</f>
        <v>50</v>
      </c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</row>
    <row r="926" spans="1:30" ht="15.75" x14ac:dyDescent="0.25">
      <c r="A926" s="32">
        <v>69123</v>
      </c>
      <c r="B926" s="95">
        <f t="shared" si="155"/>
        <v>31</v>
      </c>
      <c r="C926" s="83">
        <f>122.58</f>
        <v>122.58</v>
      </c>
      <c r="D926" s="83">
        <f>297.941</f>
        <v>297.94099999999997</v>
      </c>
      <c r="E926" s="92">
        <f>89.177</f>
        <v>89.177000000000007</v>
      </c>
      <c r="F926" s="83">
        <f>240.302-40-60-100</f>
        <v>40.301999999999992</v>
      </c>
      <c r="G926" s="86">
        <v>40</v>
      </c>
      <c r="H926" s="83">
        <f>60+100</f>
        <v>160</v>
      </c>
      <c r="I926" s="83">
        <f t="shared" si="147"/>
        <v>0</v>
      </c>
      <c r="J926" s="86">
        <v>100</v>
      </c>
      <c r="K926" s="86">
        <v>300</v>
      </c>
      <c r="L926" s="83">
        <f t="shared" si="151"/>
        <v>1150</v>
      </c>
      <c r="M926" s="94">
        <v>600</v>
      </c>
      <c r="N926" s="83">
        <f>100</f>
        <v>100</v>
      </c>
      <c r="O926" s="86">
        <v>240</v>
      </c>
      <c r="P926" s="86">
        <v>40</v>
      </c>
      <c r="Q926" s="86">
        <f t="shared" si="152"/>
        <v>315</v>
      </c>
      <c r="R926" s="86">
        <f t="shared" si="153"/>
        <v>100</v>
      </c>
      <c r="S926" s="83">
        <f t="shared" si="154"/>
        <v>695</v>
      </c>
      <c r="T926" s="83">
        <f>50</f>
        <v>50</v>
      </c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</row>
    <row r="927" spans="1:30" ht="15.75" x14ac:dyDescent="0.25">
      <c r="A927" s="32">
        <v>69153</v>
      </c>
      <c r="B927" s="95">
        <f t="shared" si="155"/>
        <v>30</v>
      </c>
      <c r="C927" s="83">
        <f>141.293</f>
        <v>141.29300000000001</v>
      </c>
      <c r="D927" s="83">
        <f>267.993</f>
        <v>267.99299999999999</v>
      </c>
      <c r="E927" s="92">
        <f>115.016</f>
        <v>115.01600000000001</v>
      </c>
      <c r="F927" s="83">
        <f>314.698-40-25-60-100</f>
        <v>89.697999999999979</v>
      </c>
      <c r="G927" s="86">
        <v>40</v>
      </c>
      <c r="H927" s="83">
        <f t="shared" ref="H927:H933" si="156">25+60+100</f>
        <v>185</v>
      </c>
      <c r="I927" s="83">
        <f t="shared" si="147"/>
        <v>0</v>
      </c>
      <c r="J927" s="86">
        <v>100</v>
      </c>
      <c r="K927" s="86">
        <v>300</v>
      </c>
      <c r="L927" s="83">
        <f t="shared" si="151"/>
        <v>1239</v>
      </c>
      <c r="M927" s="94">
        <v>600</v>
      </c>
      <c r="N927" s="83">
        <f>100</f>
        <v>100</v>
      </c>
      <c r="O927" s="86">
        <v>240</v>
      </c>
      <c r="P927" s="86">
        <v>40</v>
      </c>
      <c r="Q927" s="86">
        <f t="shared" si="152"/>
        <v>315</v>
      </c>
      <c r="R927" s="86">
        <f t="shared" si="153"/>
        <v>100</v>
      </c>
      <c r="S927" s="83">
        <f t="shared" si="154"/>
        <v>695</v>
      </c>
      <c r="T927" s="83">
        <f>50</f>
        <v>50</v>
      </c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</row>
    <row r="928" spans="1:30" ht="15.75" x14ac:dyDescent="0.25">
      <c r="A928" s="32">
        <v>69184</v>
      </c>
      <c r="B928" s="95">
        <f t="shared" si="155"/>
        <v>31</v>
      </c>
      <c r="C928" s="83">
        <f>194.205</f>
        <v>194.20500000000001</v>
      </c>
      <c r="D928" s="83">
        <f>267.466</f>
        <v>267.46600000000001</v>
      </c>
      <c r="E928" s="92">
        <f>133.845</f>
        <v>133.845</v>
      </c>
      <c r="F928" s="83">
        <f>278.484-40-25-60-100</f>
        <v>53.48399999999998</v>
      </c>
      <c r="G928" s="86">
        <v>40</v>
      </c>
      <c r="H928" s="83">
        <f t="shared" si="156"/>
        <v>185</v>
      </c>
      <c r="I928" s="83">
        <f t="shared" si="147"/>
        <v>0</v>
      </c>
      <c r="J928" s="86">
        <v>100</v>
      </c>
      <c r="K928" s="86">
        <v>300</v>
      </c>
      <c r="L928" s="83">
        <f t="shared" si="151"/>
        <v>1274</v>
      </c>
      <c r="M928" s="94">
        <v>600</v>
      </c>
      <c r="N928" s="83">
        <f>75</f>
        <v>75</v>
      </c>
      <c r="O928" s="86">
        <v>240</v>
      </c>
      <c r="P928" s="86">
        <v>40</v>
      </c>
      <c r="Q928" s="86">
        <f t="shared" si="152"/>
        <v>315</v>
      </c>
      <c r="R928" s="86">
        <f t="shared" si="153"/>
        <v>100</v>
      </c>
      <c r="S928" s="83">
        <f t="shared" si="154"/>
        <v>695</v>
      </c>
      <c r="T928" s="83">
        <f>50</f>
        <v>50</v>
      </c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</row>
    <row r="929" spans="1:30" ht="15.75" x14ac:dyDescent="0.25">
      <c r="A929" s="32">
        <v>69214</v>
      </c>
      <c r="B929" s="95">
        <f t="shared" si="155"/>
        <v>30</v>
      </c>
      <c r="C929" s="83">
        <f>194.205</f>
        <v>194.20500000000001</v>
      </c>
      <c r="D929" s="83">
        <f>267.466</f>
        <v>267.46600000000001</v>
      </c>
      <c r="E929" s="92">
        <f>133.845</f>
        <v>133.845</v>
      </c>
      <c r="F929" s="83">
        <f>278.484-40-25-60-100</f>
        <v>53.48399999999998</v>
      </c>
      <c r="G929" s="86">
        <v>40</v>
      </c>
      <c r="H929" s="83">
        <f t="shared" si="156"/>
        <v>185</v>
      </c>
      <c r="I929" s="83">
        <f t="shared" si="147"/>
        <v>0</v>
      </c>
      <c r="J929" s="86">
        <v>100</v>
      </c>
      <c r="K929" s="86">
        <v>300</v>
      </c>
      <c r="L929" s="83">
        <f t="shared" si="151"/>
        <v>1274</v>
      </c>
      <c r="M929" s="94">
        <v>600</v>
      </c>
      <c r="N929" s="83">
        <f>30</f>
        <v>30</v>
      </c>
      <c r="O929" s="86">
        <v>240</v>
      </c>
      <c r="P929" s="86">
        <v>40</v>
      </c>
      <c r="Q929" s="86">
        <f t="shared" si="152"/>
        <v>315</v>
      </c>
      <c r="R929" s="86">
        <f t="shared" si="153"/>
        <v>100</v>
      </c>
      <c r="S929" s="83">
        <f t="shared" si="154"/>
        <v>695</v>
      </c>
      <c r="T929" s="83">
        <f>50</f>
        <v>50</v>
      </c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</row>
    <row r="930" spans="1:30" ht="15.75" x14ac:dyDescent="0.25">
      <c r="A930" s="32">
        <v>69245</v>
      </c>
      <c r="B930" s="95">
        <f t="shared" si="155"/>
        <v>31</v>
      </c>
      <c r="C930" s="83">
        <f>194.205</f>
        <v>194.20500000000001</v>
      </c>
      <c r="D930" s="83">
        <f>267.466</f>
        <v>267.46600000000001</v>
      </c>
      <c r="E930" s="92">
        <f>133.845</f>
        <v>133.845</v>
      </c>
      <c r="F930" s="83">
        <f>278.484-40-25-60-100</f>
        <v>53.48399999999998</v>
      </c>
      <c r="G930" s="86">
        <v>40</v>
      </c>
      <c r="H930" s="83">
        <f t="shared" si="156"/>
        <v>185</v>
      </c>
      <c r="I930" s="83">
        <f t="shared" si="147"/>
        <v>0</v>
      </c>
      <c r="J930" s="86">
        <v>100</v>
      </c>
      <c r="K930" s="86">
        <v>300</v>
      </c>
      <c r="L930" s="83">
        <f t="shared" si="151"/>
        <v>1274</v>
      </c>
      <c r="M930" s="94">
        <v>600</v>
      </c>
      <c r="N930" s="83">
        <f>30</f>
        <v>30</v>
      </c>
      <c r="O930" s="86">
        <v>240</v>
      </c>
      <c r="P930" s="86">
        <v>40</v>
      </c>
      <c r="Q930" s="86">
        <f t="shared" si="152"/>
        <v>315</v>
      </c>
      <c r="R930" s="86">
        <f t="shared" si="153"/>
        <v>100</v>
      </c>
      <c r="S930" s="83">
        <f t="shared" si="154"/>
        <v>695</v>
      </c>
      <c r="T930" s="83">
        <f>0</f>
        <v>0</v>
      </c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</row>
    <row r="931" spans="1:30" ht="15.75" x14ac:dyDescent="0.25">
      <c r="A931" s="32">
        <v>69276</v>
      </c>
      <c r="B931" s="95">
        <f t="shared" si="155"/>
        <v>31</v>
      </c>
      <c r="C931" s="83">
        <f>194.205</f>
        <v>194.20500000000001</v>
      </c>
      <c r="D931" s="83">
        <f>267.466</f>
        <v>267.46600000000001</v>
      </c>
      <c r="E931" s="92">
        <f>133.845</f>
        <v>133.845</v>
      </c>
      <c r="F931" s="83">
        <f>278.484-40-25-60-100</f>
        <v>53.48399999999998</v>
      </c>
      <c r="G931" s="86">
        <v>40</v>
      </c>
      <c r="H931" s="83">
        <f t="shared" si="156"/>
        <v>185</v>
      </c>
      <c r="I931" s="83">
        <f t="shared" si="147"/>
        <v>0</v>
      </c>
      <c r="J931" s="86">
        <v>100</v>
      </c>
      <c r="K931" s="86">
        <v>300</v>
      </c>
      <c r="L931" s="83">
        <f t="shared" si="151"/>
        <v>1274</v>
      </c>
      <c r="M931" s="94">
        <v>600</v>
      </c>
      <c r="N931" s="83">
        <f>30</f>
        <v>30</v>
      </c>
      <c r="O931" s="86">
        <v>240</v>
      </c>
      <c r="P931" s="86">
        <v>40</v>
      </c>
      <c r="Q931" s="86">
        <f t="shared" si="152"/>
        <v>315</v>
      </c>
      <c r="R931" s="86">
        <f t="shared" si="153"/>
        <v>100</v>
      </c>
      <c r="S931" s="83">
        <f t="shared" si="154"/>
        <v>695</v>
      </c>
      <c r="T931" s="83">
        <f>0</f>
        <v>0</v>
      </c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</row>
    <row r="932" spans="1:30" ht="15.75" x14ac:dyDescent="0.25">
      <c r="A932" s="32">
        <v>69306</v>
      </c>
      <c r="B932" s="95">
        <f t="shared" si="155"/>
        <v>30</v>
      </c>
      <c r="C932" s="83">
        <f>194.205</f>
        <v>194.20500000000001</v>
      </c>
      <c r="D932" s="83">
        <f>267.466</f>
        <v>267.46600000000001</v>
      </c>
      <c r="E932" s="92">
        <f>133.845</f>
        <v>133.845</v>
      </c>
      <c r="F932" s="83">
        <f>278.484-40-25-60-100</f>
        <v>53.48399999999998</v>
      </c>
      <c r="G932" s="86">
        <v>40</v>
      </c>
      <c r="H932" s="83">
        <f t="shared" si="156"/>
        <v>185</v>
      </c>
      <c r="I932" s="83">
        <f t="shared" si="147"/>
        <v>0</v>
      </c>
      <c r="J932" s="86">
        <v>100</v>
      </c>
      <c r="K932" s="86">
        <v>300</v>
      </c>
      <c r="L932" s="83">
        <f t="shared" si="151"/>
        <v>1274</v>
      </c>
      <c r="M932" s="94">
        <v>600</v>
      </c>
      <c r="N932" s="83">
        <f>30</f>
        <v>30</v>
      </c>
      <c r="O932" s="86">
        <v>240</v>
      </c>
      <c r="P932" s="86">
        <v>40</v>
      </c>
      <c r="Q932" s="86">
        <f t="shared" si="152"/>
        <v>315</v>
      </c>
      <c r="R932" s="86">
        <f t="shared" si="153"/>
        <v>100</v>
      </c>
      <c r="S932" s="83">
        <f t="shared" si="154"/>
        <v>695</v>
      </c>
      <c r="T932" s="83">
        <f>0</f>
        <v>0</v>
      </c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</row>
    <row r="933" spans="1:30" ht="15.75" x14ac:dyDescent="0.25">
      <c r="A933" s="32">
        <v>69337</v>
      </c>
      <c r="B933" s="95">
        <f t="shared" si="155"/>
        <v>31</v>
      </c>
      <c r="C933" s="83">
        <f>131.881</f>
        <v>131.881</v>
      </c>
      <c r="D933" s="83">
        <f>277.167</f>
        <v>277.16699999999997</v>
      </c>
      <c r="E933" s="92">
        <f>79.08</f>
        <v>79.08</v>
      </c>
      <c r="F933" s="83">
        <f>350.872-40-25-60-100</f>
        <v>125.87200000000001</v>
      </c>
      <c r="G933" s="86">
        <v>40</v>
      </c>
      <c r="H933" s="83">
        <f t="shared" si="156"/>
        <v>185</v>
      </c>
      <c r="I933" s="83">
        <f t="shared" si="147"/>
        <v>0</v>
      </c>
      <c r="J933" s="86">
        <v>100</v>
      </c>
      <c r="K933" s="86">
        <v>300</v>
      </c>
      <c r="L933" s="83">
        <f t="shared" si="151"/>
        <v>1239</v>
      </c>
      <c r="M933" s="94">
        <v>600</v>
      </c>
      <c r="N933" s="83">
        <f>75</f>
        <v>75</v>
      </c>
      <c r="O933" s="86">
        <v>240</v>
      </c>
      <c r="P933" s="86">
        <v>40</v>
      </c>
      <c r="Q933" s="86">
        <f t="shared" si="152"/>
        <v>315</v>
      </c>
      <c r="R933" s="86">
        <f t="shared" si="153"/>
        <v>100</v>
      </c>
      <c r="S933" s="83">
        <f t="shared" si="154"/>
        <v>695</v>
      </c>
      <c r="T933" s="83">
        <f>0</f>
        <v>0</v>
      </c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</row>
    <row r="934" spans="1:30" ht="15.75" x14ac:dyDescent="0.25">
      <c r="A934" s="32">
        <v>69367</v>
      </c>
      <c r="B934" s="95">
        <f t="shared" si="155"/>
        <v>30</v>
      </c>
      <c r="C934" s="83">
        <f>122.58</f>
        <v>122.58</v>
      </c>
      <c r="D934" s="83">
        <f>297.941</f>
        <v>297.94099999999997</v>
      </c>
      <c r="E934" s="92">
        <f>89.177</f>
        <v>89.177000000000007</v>
      </c>
      <c r="F934" s="83">
        <f>240.302-40-60-100</f>
        <v>40.301999999999992</v>
      </c>
      <c r="G934" s="86">
        <v>40</v>
      </c>
      <c r="H934" s="83">
        <f>60+100</f>
        <v>160</v>
      </c>
      <c r="I934" s="83">
        <f t="shared" si="147"/>
        <v>0</v>
      </c>
      <c r="J934" s="86">
        <v>100</v>
      </c>
      <c r="K934" s="86">
        <v>300</v>
      </c>
      <c r="L934" s="83">
        <f t="shared" si="151"/>
        <v>1150</v>
      </c>
      <c r="M934" s="94">
        <v>600</v>
      </c>
      <c r="N934" s="83">
        <f>100</f>
        <v>100</v>
      </c>
      <c r="O934" s="86">
        <v>240</v>
      </c>
      <c r="P934" s="86">
        <v>40</v>
      </c>
      <c r="Q934" s="86">
        <f t="shared" si="152"/>
        <v>315</v>
      </c>
      <c r="R934" s="86">
        <f t="shared" si="153"/>
        <v>100</v>
      </c>
      <c r="S934" s="83">
        <f t="shared" si="154"/>
        <v>695</v>
      </c>
      <c r="T934" s="83">
        <f>50</f>
        <v>50</v>
      </c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</row>
    <row r="935" spans="1:30" ht="15.75" x14ac:dyDescent="0.25">
      <c r="A935" s="32">
        <v>69398</v>
      </c>
      <c r="B935" s="95">
        <f t="shared" si="155"/>
        <v>31</v>
      </c>
      <c r="C935" s="83">
        <f>122.58</f>
        <v>122.58</v>
      </c>
      <c r="D935" s="83">
        <f>297.941</f>
        <v>297.94099999999997</v>
      </c>
      <c r="E935" s="92">
        <f>89.177</f>
        <v>89.177000000000007</v>
      </c>
      <c r="F935" s="83">
        <f>240.302-40-60-100</f>
        <v>40.301999999999992</v>
      </c>
      <c r="G935" s="86">
        <v>40</v>
      </c>
      <c r="H935" s="83">
        <f>60+100</f>
        <v>160</v>
      </c>
      <c r="I935" s="83">
        <f t="shared" si="147"/>
        <v>0</v>
      </c>
      <c r="J935" s="86">
        <v>100</v>
      </c>
      <c r="K935" s="86">
        <v>300</v>
      </c>
      <c r="L935" s="83">
        <f t="shared" si="151"/>
        <v>1150</v>
      </c>
      <c r="M935" s="94">
        <v>600</v>
      </c>
      <c r="N935" s="83">
        <f>100</f>
        <v>100</v>
      </c>
      <c r="O935" s="86">
        <v>240</v>
      </c>
      <c r="P935" s="86">
        <v>40</v>
      </c>
      <c r="Q935" s="86">
        <f t="shared" si="152"/>
        <v>315</v>
      </c>
      <c r="R935" s="86">
        <f t="shared" si="153"/>
        <v>100</v>
      </c>
      <c r="S935" s="83">
        <f t="shared" si="154"/>
        <v>695</v>
      </c>
      <c r="T935" s="83">
        <f>50</f>
        <v>50</v>
      </c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</row>
    <row r="936" spans="1:30" ht="15.75" x14ac:dyDescent="0.25">
      <c r="A936" s="32">
        <v>69429</v>
      </c>
      <c r="B936" s="95">
        <f t="shared" si="155"/>
        <v>31</v>
      </c>
      <c r="C936" s="83">
        <f>122.58</f>
        <v>122.58</v>
      </c>
      <c r="D936" s="83">
        <f>297.941</f>
        <v>297.94099999999997</v>
      </c>
      <c r="E936" s="92">
        <f>89.177</f>
        <v>89.177000000000007</v>
      </c>
      <c r="F936" s="83">
        <f>240.302-40-60-100</f>
        <v>40.301999999999992</v>
      </c>
      <c r="G936" s="86">
        <v>40</v>
      </c>
      <c r="H936" s="83">
        <f>60+100</f>
        <v>160</v>
      </c>
      <c r="I936" s="83">
        <f t="shared" si="147"/>
        <v>0</v>
      </c>
      <c r="J936" s="86">
        <v>100</v>
      </c>
      <c r="K936" s="86">
        <v>300</v>
      </c>
      <c r="L936" s="83">
        <f t="shared" si="151"/>
        <v>1150</v>
      </c>
      <c r="M936" s="94">
        <v>600</v>
      </c>
      <c r="N936" s="83">
        <f>100</f>
        <v>100</v>
      </c>
      <c r="O936" s="86">
        <v>240</v>
      </c>
      <c r="P936" s="86">
        <v>40</v>
      </c>
      <c r="Q936" s="86">
        <f t="shared" si="152"/>
        <v>315</v>
      </c>
      <c r="R936" s="86">
        <f t="shared" si="153"/>
        <v>100</v>
      </c>
      <c r="S936" s="83">
        <f t="shared" si="154"/>
        <v>695</v>
      </c>
      <c r="T936" s="83">
        <f>50</f>
        <v>50</v>
      </c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</row>
    <row r="937" spans="1:30" ht="15.75" x14ac:dyDescent="0.25">
      <c r="A937" s="32">
        <v>69457</v>
      </c>
      <c r="B937" s="95">
        <f t="shared" si="155"/>
        <v>28</v>
      </c>
      <c r="C937" s="83">
        <f>122.58</f>
        <v>122.58</v>
      </c>
      <c r="D937" s="83">
        <f>297.941</f>
        <v>297.94099999999997</v>
      </c>
      <c r="E937" s="92">
        <f>89.177</f>
        <v>89.177000000000007</v>
      </c>
      <c r="F937" s="83">
        <f>240.302-40-60-100</f>
        <v>40.301999999999992</v>
      </c>
      <c r="G937" s="86">
        <v>40</v>
      </c>
      <c r="H937" s="83">
        <f>60+100</f>
        <v>160</v>
      </c>
      <c r="I937" s="83">
        <f t="shared" si="147"/>
        <v>0</v>
      </c>
      <c r="J937" s="86">
        <v>100</v>
      </c>
      <c r="K937" s="86">
        <v>300</v>
      </c>
      <c r="L937" s="83">
        <f t="shared" si="151"/>
        <v>1150</v>
      </c>
      <c r="M937" s="94">
        <v>600</v>
      </c>
      <c r="N937" s="83">
        <f>100</f>
        <v>100</v>
      </c>
      <c r="O937" s="86">
        <v>240</v>
      </c>
      <c r="P937" s="86">
        <v>40</v>
      </c>
      <c r="Q937" s="86">
        <f t="shared" si="152"/>
        <v>315</v>
      </c>
      <c r="R937" s="86">
        <f t="shared" si="153"/>
        <v>100</v>
      </c>
      <c r="S937" s="83">
        <f t="shared" si="154"/>
        <v>695</v>
      </c>
      <c r="T937" s="83">
        <f>50</f>
        <v>50</v>
      </c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</row>
    <row r="938" spans="1:30" ht="15.75" x14ac:dyDescent="0.25">
      <c r="A938" s="32">
        <v>69488</v>
      </c>
      <c r="B938" s="95">
        <f t="shared" si="155"/>
        <v>31</v>
      </c>
      <c r="C938" s="83">
        <f>122.58</f>
        <v>122.58</v>
      </c>
      <c r="D938" s="83">
        <f>297.941</f>
        <v>297.94099999999997</v>
      </c>
      <c r="E938" s="92">
        <f>89.177</f>
        <v>89.177000000000007</v>
      </c>
      <c r="F938" s="83">
        <f>240.302-40-60-100</f>
        <v>40.301999999999992</v>
      </c>
      <c r="G938" s="86">
        <v>40</v>
      </c>
      <c r="H938" s="83">
        <f>60+100</f>
        <v>160</v>
      </c>
      <c r="I938" s="83">
        <f t="shared" si="147"/>
        <v>0</v>
      </c>
      <c r="J938" s="86">
        <v>100</v>
      </c>
      <c r="K938" s="86">
        <v>300</v>
      </c>
      <c r="L938" s="83">
        <f t="shared" si="151"/>
        <v>1150</v>
      </c>
      <c r="M938" s="94">
        <v>600</v>
      </c>
      <c r="N938" s="83">
        <f>100</f>
        <v>100</v>
      </c>
      <c r="O938" s="86">
        <v>240</v>
      </c>
      <c r="P938" s="86">
        <v>40</v>
      </c>
      <c r="Q938" s="86">
        <f t="shared" si="152"/>
        <v>315</v>
      </c>
      <c r="R938" s="86">
        <f t="shared" si="153"/>
        <v>100</v>
      </c>
      <c r="S938" s="83">
        <f t="shared" si="154"/>
        <v>695</v>
      </c>
      <c r="T938" s="83">
        <f>50</f>
        <v>50</v>
      </c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</row>
    <row r="939" spans="1:30" ht="15.75" x14ac:dyDescent="0.25">
      <c r="A939" s="32">
        <v>69518</v>
      </c>
      <c r="B939" s="95">
        <f t="shared" si="155"/>
        <v>30</v>
      </c>
      <c r="C939" s="83">
        <f>141.293</f>
        <v>141.29300000000001</v>
      </c>
      <c r="D939" s="83">
        <f>267.993</f>
        <v>267.99299999999999</v>
      </c>
      <c r="E939" s="92">
        <f>115.016</f>
        <v>115.01600000000001</v>
      </c>
      <c r="F939" s="83">
        <f>314.698-40-25-60-100</f>
        <v>89.697999999999979</v>
      </c>
      <c r="G939" s="86">
        <v>40</v>
      </c>
      <c r="H939" s="83">
        <f t="shared" ref="H939:H945" si="157">25+60+100</f>
        <v>185</v>
      </c>
      <c r="I939" s="83">
        <f t="shared" si="147"/>
        <v>0</v>
      </c>
      <c r="J939" s="86">
        <v>100</v>
      </c>
      <c r="K939" s="86">
        <v>300</v>
      </c>
      <c r="L939" s="83">
        <f t="shared" si="151"/>
        <v>1239</v>
      </c>
      <c r="M939" s="94">
        <v>600</v>
      </c>
      <c r="N939" s="83">
        <f>100</f>
        <v>100</v>
      </c>
      <c r="O939" s="86">
        <v>240</v>
      </c>
      <c r="P939" s="86">
        <v>40</v>
      </c>
      <c r="Q939" s="86">
        <f t="shared" si="152"/>
        <v>315</v>
      </c>
      <c r="R939" s="86">
        <f t="shared" si="153"/>
        <v>100</v>
      </c>
      <c r="S939" s="83">
        <f t="shared" si="154"/>
        <v>695</v>
      </c>
      <c r="T939" s="83">
        <f>50</f>
        <v>50</v>
      </c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</row>
    <row r="940" spans="1:30" ht="15.75" x14ac:dyDescent="0.25">
      <c r="A940" s="32">
        <v>69549</v>
      </c>
      <c r="B940" s="95">
        <f t="shared" si="155"/>
        <v>31</v>
      </c>
      <c r="C940" s="83">
        <f>194.205</f>
        <v>194.20500000000001</v>
      </c>
      <c r="D940" s="83">
        <f>267.466</f>
        <v>267.46600000000001</v>
      </c>
      <c r="E940" s="92">
        <f>133.845</f>
        <v>133.845</v>
      </c>
      <c r="F940" s="83">
        <f>278.484-40-25-60-100</f>
        <v>53.48399999999998</v>
      </c>
      <c r="G940" s="86">
        <v>40</v>
      </c>
      <c r="H940" s="83">
        <f t="shared" si="157"/>
        <v>185</v>
      </c>
      <c r="I940" s="83">
        <f t="shared" si="147"/>
        <v>0</v>
      </c>
      <c r="J940" s="86">
        <v>100</v>
      </c>
      <c r="K940" s="86">
        <v>300</v>
      </c>
      <c r="L940" s="83">
        <f t="shared" si="151"/>
        <v>1274</v>
      </c>
      <c r="M940" s="94">
        <v>600</v>
      </c>
      <c r="N940" s="83">
        <f>75</f>
        <v>75</v>
      </c>
      <c r="O940" s="86">
        <v>240</v>
      </c>
      <c r="P940" s="86">
        <v>40</v>
      </c>
      <c r="Q940" s="86">
        <f t="shared" si="152"/>
        <v>315</v>
      </c>
      <c r="R940" s="86">
        <f t="shared" si="153"/>
        <v>100</v>
      </c>
      <c r="S940" s="83">
        <f t="shared" si="154"/>
        <v>695</v>
      </c>
      <c r="T940" s="83">
        <f>50</f>
        <v>50</v>
      </c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</row>
    <row r="941" spans="1:30" ht="15.75" x14ac:dyDescent="0.25">
      <c r="A941" s="32">
        <v>69579</v>
      </c>
      <c r="B941" s="95">
        <f t="shared" si="155"/>
        <v>30</v>
      </c>
      <c r="C941" s="83">
        <f>194.205</f>
        <v>194.20500000000001</v>
      </c>
      <c r="D941" s="83">
        <f>267.466</f>
        <v>267.46600000000001</v>
      </c>
      <c r="E941" s="92">
        <f>133.845</f>
        <v>133.845</v>
      </c>
      <c r="F941" s="83">
        <f>278.484-40-25-60-100</f>
        <v>53.48399999999998</v>
      </c>
      <c r="G941" s="86">
        <v>40</v>
      </c>
      <c r="H941" s="83">
        <f t="shared" si="157"/>
        <v>185</v>
      </c>
      <c r="I941" s="83">
        <f t="shared" si="147"/>
        <v>0</v>
      </c>
      <c r="J941" s="86">
        <v>100</v>
      </c>
      <c r="K941" s="86">
        <v>300</v>
      </c>
      <c r="L941" s="83">
        <f t="shared" si="151"/>
        <v>1274</v>
      </c>
      <c r="M941" s="94">
        <v>600</v>
      </c>
      <c r="N941" s="83">
        <f>30</f>
        <v>30</v>
      </c>
      <c r="O941" s="86">
        <v>240</v>
      </c>
      <c r="P941" s="86">
        <v>40</v>
      </c>
      <c r="Q941" s="86">
        <f t="shared" si="152"/>
        <v>315</v>
      </c>
      <c r="R941" s="86">
        <f t="shared" si="153"/>
        <v>100</v>
      </c>
      <c r="S941" s="83">
        <f t="shared" si="154"/>
        <v>695</v>
      </c>
      <c r="T941" s="83">
        <f>50</f>
        <v>50</v>
      </c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</row>
    <row r="942" spans="1:30" ht="15.75" x14ac:dyDescent="0.25">
      <c r="A942" s="32">
        <v>69610</v>
      </c>
      <c r="B942" s="95">
        <f t="shared" si="155"/>
        <v>31</v>
      </c>
      <c r="C942" s="83">
        <f>194.205</f>
        <v>194.20500000000001</v>
      </c>
      <c r="D942" s="83">
        <f>267.466</f>
        <v>267.46600000000001</v>
      </c>
      <c r="E942" s="92">
        <f>133.845</f>
        <v>133.845</v>
      </c>
      <c r="F942" s="83">
        <f>278.484-40-25-60-100</f>
        <v>53.48399999999998</v>
      </c>
      <c r="G942" s="86">
        <v>40</v>
      </c>
      <c r="H942" s="83">
        <f t="shared" si="157"/>
        <v>185</v>
      </c>
      <c r="I942" s="83">
        <f t="shared" si="147"/>
        <v>0</v>
      </c>
      <c r="J942" s="86">
        <v>100</v>
      </c>
      <c r="K942" s="86">
        <v>300</v>
      </c>
      <c r="L942" s="83">
        <f t="shared" si="151"/>
        <v>1274</v>
      </c>
      <c r="M942" s="94">
        <v>600</v>
      </c>
      <c r="N942" s="83">
        <f>30</f>
        <v>30</v>
      </c>
      <c r="O942" s="86">
        <v>240</v>
      </c>
      <c r="P942" s="86">
        <v>40</v>
      </c>
      <c r="Q942" s="86">
        <f t="shared" si="152"/>
        <v>315</v>
      </c>
      <c r="R942" s="86">
        <f t="shared" si="153"/>
        <v>100</v>
      </c>
      <c r="S942" s="83">
        <f t="shared" si="154"/>
        <v>695</v>
      </c>
      <c r="T942" s="83">
        <f>0</f>
        <v>0</v>
      </c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</row>
    <row r="943" spans="1:30" ht="15.75" x14ac:dyDescent="0.25">
      <c r="A943" s="32">
        <v>69641</v>
      </c>
      <c r="B943" s="95">
        <f t="shared" si="155"/>
        <v>31</v>
      </c>
      <c r="C943" s="83">
        <f>194.205</f>
        <v>194.20500000000001</v>
      </c>
      <c r="D943" s="83">
        <f>267.466</f>
        <v>267.46600000000001</v>
      </c>
      <c r="E943" s="92">
        <f>133.845</f>
        <v>133.845</v>
      </c>
      <c r="F943" s="83">
        <f>278.484-40-25-60-100</f>
        <v>53.48399999999998</v>
      </c>
      <c r="G943" s="86">
        <v>40</v>
      </c>
      <c r="H943" s="83">
        <f t="shared" si="157"/>
        <v>185</v>
      </c>
      <c r="I943" s="83">
        <f t="shared" si="147"/>
        <v>0</v>
      </c>
      <c r="J943" s="86">
        <v>100</v>
      </c>
      <c r="K943" s="86">
        <v>300</v>
      </c>
      <c r="L943" s="83">
        <f t="shared" si="151"/>
        <v>1274</v>
      </c>
      <c r="M943" s="94">
        <v>600</v>
      </c>
      <c r="N943" s="83">
        <f>30</f>
        <v>30</v>
      </c>
      <c r="O943" s="86">
        <v>240</v>
      </c>
      <c r="P943" s="86">
        <v>40</v>
      </c>
      <c r="Q943" s="86">
        <f t="shared" si="152"/>
        <v>315</v>
      </c>
      <c r="R943" s="86">
        <f t="shared" si="153"/>
        <v>100</v>
      </c>
      <c r="S943" s="83">
        <f t="shared" si="154"/>
        <v>695</v>
      </c>
      <c r="T943" s="83">
        <f>0</f>
        <v>0</v>
      </c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</row>
    <row r="944" spans="1:30" ht="15.75" x14ac:dyDescent="0.25">
      <c r="A944" s="32">
        <v>69671</v>
      </c>
      <c r="B944" s="95">
        <f t="shared" si="155"/>
        <v>30</v>
      </c>
      <c r="C944" s="83">
        <f>194.205</f>
        <v>194.20500000000001</v>
      </c>
      <c r="D944" s="83">
        <f>267.466</f>
        <v>267.46600000000001</v>
      </c>
      <c r="E944" s="92">
        <f>133.845</f>
        <v>133.845</v>
      </c>
      <c r="F944" s="83">
        <f>278.484-40-25-60-100</f>
        <v>53.48399999999998</v>
      </c>
      <c r="G944" s="86">
        <v>40</v>
      </c>
      <c r="H944" s="83">
        <f t="shared" si="157"/>
        <v>185</v>
      </c>
      <c r="I944" s="83">
        <f t="shared" si="147"/>
        <v>0</v>
      </c>
      <c r="J944" s="86">
        <v>100</v>
      </c>
      <c r="K944" s="86">
        <v>300</v>
      </c>
      <c r="L944" s="83">
        <f t="shared" si="151"/>
        <v>1274</v>
      </c>
      <c r="M944" s="94">
        <v>600</v>
      </c>
      <c r="N944" s="83">
        <f>30</f>
        <v>30</v>
      </c>
      <c r="O944" s="86">
        <v>240</v>
      </c>
      <c r="P944" s="86">
        <v>40</v>
      </c>
      <c r="Q944" s="86">
        <f t="shared" si="152"/>
        <v>315</v>
      </c>
      <c r="R944" s="86">
        <f t="shared" si="153"/>
        <v>100</v>
      </c>
      <c r="S944" s="83">
        <f t="shared" si="154"/>
        <v>695</v>
      </c>
      <c r="T944" s="83">
        <f>0</f>
        <v>0</v>
      </c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</row>
    <row r="945" spans="1:30" ht="15.75" x14ac:dyDescent="0.25">
      <c r="A945" s="32">
        <v>69702</v>
      </c>
      <c r="B945" s="95">
        <f t="shared" si="155"/>
        <v>31</v>
      </c>
      <c r="C945" s="83">
        <f>131.881</f>
        <v>131.881</v>
      </c>
      <c r="D945" s="83">
        <f>277.167</f>
        <v>277.16699999999997</v>
      </c>
      <c r="E945" s="92">
        <f>79.08</f>
        <v>79.08</v>
      </c>
      <c r="F945" s="83">
        <f>350.872-40-25-60-100</f>
        <v>125.87200000000001</v>
      </c>
      <c r="G945" s="86">
        <v>40</v>
      </c>
      <c r="H945" s="83">
        <f t="shared" si="157"/>
        <v>185</v>
      </c>
      <c r="I945" s="83">
        <f t="shared" si="147"/>
        <v>0</v>
      </c>
      <c r="J945" s="86">
        <v>100</v>
      </c>
      <c r="K945" s="86">
        <v>300</v>
      </c>
      <c r="L945" s="83">
        <f t="shared" si="151"/>
        <v>1239</v>
      </c>
      <c r="M945" s="94">
        <v>600</v>
      </c>
      <c r="N945" s="83">
        <f>75</f>
        <v>75</v>
      </c>
      <c r="O945" s="86">
        <v>240</v>
      </c>
      <c r="P945" s="86">
        <v>40</v>
      </c>
      <c r="Q945" s="86">
        <f t="shared" si="152"/>
        <v>315</v>
      </c>
      <c r="R945" s="86">
        <f t="shared" si="153"/>
        <v>100</v>
      </c>
      <c r="S945" s="83">
        <f t="shared" si="154"/>
        <v>695</v>
      </c>
      <c r="T945" s="83">
        <f>0</f>
        <v>0</v>
      </c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</row>
    <row r="946" spans="1:30" ht="15.75" x14ac:dyDescent="0.25">
      <c r="A946" s="32">
        <v>69732</v>
      </c>
      <c r="B946" s="95">
        <f t="shared" si="155"/>
        <v>30</v>
      </c>
      <c r="C946" s="83">
        <f>122.58</f>
        <v>122.58</v>
      </c>
      <c r="D946" s="83">
        <f>297.941</f>
        <v>297.94099999999997</v>
      </c>
      <c r="E946" s="92">
        <f>89.177</f>
        <v>89.177000000000007</v>
      </c>
      <c r="F946" s="83">
        <f>240.302-40-60-100</f>
        <v>40.301999999999992</v>
      </c>
      <c r="G946" s="86">
        <v>40</v>
      </c>
      <c r="H946" s="83">
        <f>60+100</f>
        <v>160</v>
      </c>
      <c r="I946" s="83">
        <f t="shared" si="147"/>
        <v>0</v>
      </c>
      <c r="J946" s="86">
        <v>100</v>
      </c>
      <c r="K946" s="86">
        <v>300</v>
      </c>
      <c r="L946" s="83">
        <f t="shared" si="151"/>
        <v>1150</v>
      </c>
      <c r="M946" s="94">
        <v>600</v>
      </c>
      <c r="N946" s="83">
        <f>100</f>
        <v>100</v>
      </c>
      <c r="O946" s="86">
        <v>240</v>
      </c>
      <c r="P946" s="86">
        <v>40</v>
      </c>
      <c r="Q946" s="86">
        <f t="shared" si="152"/>
        <v>315</v>
      </c>
      <c r="R946" s="86">
        <f t="shared" si="153"/>
        <v>100</v>
      </c>
      <c r="S946" s="83">
        <f t="shared" si="154"/>
        <v>695</v>
      </c>
      <c r="T946" s="83">
        <f>50</f>
        <v>50</v>
      </c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</row>
    <row r="947" spans="1:30" ht="15.75" x14ac:dyDescent="0.25">
      <c r="A947" s="32">
        <v>69763</v>
      </c>
      <c r="B947" s="95">
        <f t="shared" si="155"/>
        <v>31</v>
      </c>
      <c r="C947" s="83">
        <f>122.58</f>
        <v>122.58</v>
      </c>
      <c r="D947" s="83">
        <f>297.941</f>
        <v>297.94099999999997</v>
      </c>
      <c r="E947" s="92">
        <f>89.177</f>
        <v>89.177000000000007</v>
      </c>
      <c r="F947" s="83">
        <f>240.302-40-60-100</f>
        <v>40.301999999999992</v>
      </c>
      <c r="G947" s="86">
        <v>40</v>
      </c>
      <c r="H947" s="83">
        <f>60+100</f>
        <v>160</v>
      </c>
      <c r="I947" s="83">
        <f t="shared" si="147"/>
        <v>0</v>
      </c>
      <c r="J947" s="86">
        <v>100</v>
      </c>
      <c r="K947" s="86">
        <v>300</v>
      </c>
      <c r="L947" s="83">
        <f t="shared" si="151"/>
        <v>1150</v>
      </c>
      <c r="M947" s="94">
        <v>600</v>
      </c>
      <c r="N947" s="83">
        <f>100</f>
        <v>100</v>
      </c>
      <c r="O947" s="86">
        <v>240</v>
      </c>
      <c r="P947" s="86">
        <v>40</v>
      </c>
      <c r="Q947" s="86">
        <f t="shared" si="152"/>
        <v>315</v>
      </c>
      <c r="R947" s="86">
        <f t="shared" si="153"/>
        <v>100</v>
      </c>
      <c r="S947" s="83">
        <f t="shared" si="154"/>
        <v>695</v>
      </c>
      <c r="T947" s="83">
        <f>50</f>
        <v>50</v>
      </c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</row>
    <row r="948" spans="1:30" ht="15.75" x14ac:dyDescent="0.25">
      <c r="A948" s="32">
        <v>69794</v>
      </c>
      <c r="B948" s="95">
        <f t="shared" si="155"/>
        <v>31</v>
      </c>
      <c r="C948" s="83">
        <f>122.58</f>
        <v>122.58</v>
      </c>
      <c r="D948" s="83">
        <f>297.941</f>
        <v>297.94099999999997</v>
      </c>
      <c r="E948" s="92">
        <f>89.177</f>
        <v>89.177000000000007</v>
      </c>
      <c r="F948" s="83">
        <f>240.302-40-60-100</f>
        <v>40.301999999999992</v>
      </c>
      <c r="G948" s="86">
        <v>40</v>
      </c>
      <c r="H948" s="83">
        <f>60+100</f>
        <v>160</v>
      </c>
      <c r="I948" s="83">
        <f t="shared" ref="I948:I1011" si="158">400-J948-K948</f>
        <v>0</v>
      </c>
      <c r="J948" s="86">
        <v>100</v>
      </c>
      <c r="K948" s="86">
        <v>300</v>
      </c>
      <c r="L948" s="83">
        <f t="shared" si="151"/>
        <v>1150</v>
      </c>
      <c r="M948" s="94">
        <v>600</v>
      </c>
      <c r="N948" s="83">
        <f>100</f>
        <v>100</v>
      </c>
      <c r="O948" s="86">
        <v>240</v>
      </c>
      <c r="P948" s="86">
        <v>40</v>
      </c>
      <c r="Q948" s="86">
        <f t="shared" si="152"/>
        <v>315</v>
      </c>
      <c r="R948" s="86">
        <f t="shared" si="153"/>
        <v>100</v>
      </c>
      <c r="S948" s="83">
        <f t="shared" si="154"/>
        <v>695</v>
      </c>
      <c r="T948" s="83">
        <f>50</f>
        <v>50</v>
      </c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</row>
    <row r="949" spans="1:30" ht="15.75" x14ac:dyDescent="0.25">
      <c r="A949" s="32">
        <v>69822</v>
      </c>
      <c r="B949" s="95">
        <f t="shared" si="155"/>
        <v>28</v>
      </c>
      <c r="C949" s="83">
        <f>122.58</f>
        <v>122.58</v>
      </c>
      <c r="D949" s="83">
        <f>297.941</f>
        <v>297.94099999999997</v>
      </c>
      <c r="E949" s="92">
        <f>89.177</f>
        <v>89.177000000000007</v>
      </c>
      <c r="F949" s="83">
        <f>240.302-40-60-100</f>
        <v>40.301999999999992</v>
      </c>
      <c r="G949" s="86">
        <v>40</v>
      </c>
      <c r="H949" s="83">
        <f>60+100</f>
        <v>160</v>
      </c>
      <c r="I949" s="83">
        <f t="shared" si="158"/>
        <v>0</v>
      </c>
      <c r="J949" s="86">
        <v>100</v>
      </c>
      <c r="K949" s="86">
        <v>300</v>
      </c>
      <c r="L949" s="83">
        <f t="shared" si="151"/>
        <v>1150</v>
      </c>
      <c r="M949" s="94">
        <v>600</v>
      </c>
      <c r="N949" s="83">
        <f>100</f>
        <v>100</v>
      </c>
      <c r="O949" s="86">
        <v>240</v>
      </c>
      <c r="P949" s="86">
        <v>40</v>
      </c>
      <c r="Q949" s="86">
        <f t="shared" si="152"/>
        <v>315</v>
      </c>
      <c r="R949" s="86">
        <f t="shared" si="153"/>
        <v>100</v>
      </c>
      <c r="S949" s="83">
        <f t="shared" si="154"/>
        <v>695</v>
      </c>
      <c r="T949" s="83">
        <f>50</f>
        <v>50</v>
      </c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</row>
    <row r="950" spans="1:30" ht="15.75" x14ac:dyDescent="0.25">
      <c r="A950" s="32">
        <v>69853</v>
      </c>
      <c r="B950" s="95">
        <f t="shared" si="155"/>
        <v>31</v>
      </c>
      <c r="C950" s="83">
        <f>122.58</f>
        <v>122.58</v>
      </c>
      <c r="D950" s="83">
        <f>297.941</f>
        <v>297.94099999999997</v>
      </c>
      <c r="E950" s="92">
        <f>89.177</f>
        <v>89.177000000000007</v>
      </c>
      <c r="F950" s="83">
        <f>240.302-40-60-100</f>
        <v>40.301999999999992</v>
      </c>
      <c r="G950" s="86">
        <v>40</v>
      </c>
      <c r="H950" s="83">
        <f>60+100</f>
        <v>160</v>
      </c>
      <c r="I950" s="83">
        <f t="shared" si="158"/>
        <v>0</v>
      </c>
      <c r="J950" s="86">
        <v>100</v>
      </c>
      <c r="K950" s="86">
        <v>300</v>
      </c>
      <c r="L950" s="83">
        <f t="shared" si="151"/>
        <v>1150</v>
      </c>
      <c r="M950" s="94">
        <v>600</v>
      </c>
      <c r="N950" s="83">
        <f>100</f>
        <v>100</v>
      </c>
      <c r="O950" s="86">
        <v>240</v>
      </c>
      <c r="P950" s="86">
        <v>40</v>
      </c>
      <c r="Q950" s="86">
        <f t="shared" si="152"/>
        <v>315</v>
      </c>
      <c r="R950" s="86">
        <f t="shared" si="153"/>
        <v>100</v>
      </c>
      <c r="S950" s="83">
        <f t="shared" si="154"/>
        <v>695</v>
      </c>
      <c r="T950" s="83">
        <f>50</f>
        <v>50</v>
      </c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</row>
    <row r="951" spans="1:30" ht="15.75" x14ac:dyDescent="0.25">
      <c r="A951" s="32">
        <v>69883</v>
      </c>
      <c r="B951" s="95">
        <f t="shared" si="155"/>
        <v>30</v>
      </c>
      <c r="C951" s="83">
        <f>141.293</f>
        <v>141.29300000000001</v>
      </c>
      <c r="D951" s="83">
        <f>267.993</f>
        <v>267.99299999999999</v>
      </c>
      <c r="E951" s="92">
        <f>115.016</f>
        <v>115.01600000000001</v>
      </c>
      <c r="F951" s="83">
        <f>314.698-40-25-60-100</f>
        <v>89.697999999999979</v>
      </c>
      <c r="G951" s="86">
        <v>40</v>
      </c>
      <c r="H951" s="83">
        <f t="shared" ref="H951:H957" si="159">25+60+100</f>
        <v>185</v>
      </c>
      <c r="I951" s="83">
        <f t="shared" si="158"/>
        <v>0</v>
      </c>
      <c r="J951" s="86">
        <v>100</v>
      </c>
      <c r="K951" s="86">
        <v>300</v>
      </c>
      <c r="L951" s="83">
        <f t="shared" si="151"/>
        <v>1239</v>
      </c>
      <c r="M951" s="94">
        <v>600</v>
      </c>
      <c r="N951" s="83">
        <f>100</f>
        <v>100</v>
      </c>
      <c r="O951" s="86">
        <v>240</v>
      </c>
      <c r="P951" s="86">
        <v>40</v>
      </c>
      <c r="Q951" s="86">
        <f t="shared" si="152"/>
        <v>315</v>
      </c>
      <c r="R951" s="86">
        <f t="shared" si="153"/>
        <v>100</v>
      </c>
      <c r="S951" s="83">
        <f t="shared" si="154"/>
        <v>695</v>
      </c>
      <c r="T951" s="83">
        <f>50</f>
        <v>50</v>
      </c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</row>
    <row r="952" spans="1:30" ht="15.75" x14ac:dyDescent="0.25">
      <c r="A952" s="32">
        <v>69914</v>
      </c>
      <c r="B952" s="95">
        <f t="shared" si="155"/>
        <v>31</v>
      </c>
      <c r="C952" s="83">
        <f>194.205</f>
        <v>194.20500000000001</v>
      </c>
      <c r="D952" s="83">
        <f>267.466</f>
        <v>267.46600000000001</v>
      </c>
      <c r="E952" s="92">
        <f>133.845</f>
        <v>133.845</v>
      </c>
      <c r="F952" s="83">
        <f>278.484-40-25-60-100</f>
        <v>53.48399999999998</v>
      </c>
      <c r="G952" s="86">
        <v>40</v>
      </c>
      <c r="H952" s="83">
        <f t="shared" si="159"/>
        <v>185</v>
      </c>
      <c r="I952" s="83">
        <f t="shared" si="158"/>
        <v>0</v>
      </c>
      <c r="J952" s="86">
        <v>100</v>
      </c>
      <c r="K952" s="86">
        <v>300</v>
      </c>
      <c r="L952" s="83">
        <f t="shared" si="151"/>
        <v>1274</v>
      </c>
      <c r="M952" s="94">
        <v>600</v>
      </c>
      <c r="N952" s="83">
        <f>75</f>
        <v>75</v>
      </c>
      <c r="O952" s="86">
        <v>240</v>
      </c>
      <c r="P952" s="86">
        <v>40</v>
      </c>
      <c r="Q952" s="86">
        <f t="shared" si="152"/>
        <v>315</v>
      </c>
      <c r="R952" s="86">
        <f t="shared" si="153"/>
        <v>100</v>
      </c>
      <c r="S952" s="83">
        <f t="shared" si="154"/>
        <v>695</v>
      </c>
      <c r="T952" s="83">
        <f>50</f>
        <v>50</v>
      </c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</row>
    <row r="953" spans="1:30" ht="15.75" x14ac:dyDescent="0.25">
      <c r="A953" s="32">
        <v>69944</v>
      </c>
      <c r="B953" s="95">
        <f t="shared" si="155"/>
        <v>30</v>
      </c>
      <c r="C953" s="83">
        <f>194.205</f>
        <v>194.20500000000001</v>
      </c>
      <c r="D953" s="83">
        <f>267.466</f>
        <v>267.46600000000001</v>
      </c>
      <c r="E953" s="92">
        <f>133.845</f>
        <v>133.845</v>
      </c>
      <c r="F953" s="83">
        <f>278.484-40-25-60-100</f>
        <v>53.48399999999998</v>
      </c>
      <c r="G953" s="86">
        <v>40</v>
      </c>
      <c r="H953" s="83">
        <f t="shared" si="159"/>
        <v>185</v>
      </c>
      <c r="I953" s="83">
        <f t="shared" si="158"/>
        <v>0</v>
      </c>
      <c r="J953" s="86">
        <v>100</v>
      </c>
      <c r="K953" s="86">
        <v>300</v>
      </c>
      <c r="L953" s="83">
        <f t="shared" si="151"/>
        <v>1274</v>
      </c>
      <c r="M953" s="94">
        <v>600</v>
      </c>
      <c r="N953" s="83">
        <f>30</f>
        <v>30</v>
      </c>
      <c r="O953" s="86">
        <v>240</v>
      </c>
      <c r="P953" s="86">
        <v>40</v>
      </c>
      <c r="Q953" s="86">
        <f t="shared" si="152"/>
        <v>315</v>
      </c>
      <c r="R953" s="86">
        <f t="shared" si="153"/>
        <v>100</v>
      </c>
      <c r="S953" s="83">
        <f t="shared" si="154"/>
        <v>695</v>
      </c>
      <c r="T953" s="83">
        <f>50</f>
        <v>50</v>
      </c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</row>
    <row r="954" spans="1:30" ht="15.75" x14ac:dyDescent="0.25">
      <c r="A954" s="32">
        <v>69975</v>
      </c>
      <c r="B954" s="95">
        <f t="shared" si="155"/>
        <v>31</v>
      </c>
      <c r="C954" s="83">
        <f>194.205</f>
        <v>194.20500000000001</v>
      </c>
      <c r="D954" s="83">
        <f>267.466</f>
        <v>267.46600000000001</v>
      </c>
      <c r="E954" s="92">
        <f>133.845</f>
        <v>133.845</v>
      </c>
      <c r="F954" s="83">
        <f>278.484-40-25-60-100</f>
        <v>53.48399999999998</v>
      </c>
      <c r="G954" s="86">
        <v>40</v>
      </c>
      <c r="H954" s="83">
        <f t="shared" si="159"/>
        <v>185</v>
      </c>
      <c r="I954" s="83">
        <f t="shared" si="158"/>
        <v>0</v>
      </c>
      <c r="J954" s="86">
        <v>100</v>
      </c>
      <c r="K954" s="86">
        <v>300</v>
      </c>
      <c r="L954" s="83">
        <f t="shared" si="151"/>
        <v>1274</v>
      </c>
      <c r="M954" s="94">
        <v>600</v>
      </c>
      <c r="N954" s="83">
        <f>30</f>
        <v>30</v>
      </c>
      <c r="O954" s="86">
        <v>240</v>
      </c>
      <c r="P954" s="86">
        <v>40</v>
      </c>
      <c r="Q954" s="86">
        <f t="shared" si="152"/>
        <v>315</v>
      </c>
      <c r="R954" s="86">
        <f t="shared" si="153"/>
        <v>100</v>
      </c>
      <c r="S954" s="83">
        <f t="shared" si="154"/>
        <v>695</v>
      </c>
      <c r="T954" s="83">
        <f>0</f>
        <v>0</v>
      </c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</row>
    <row r="955" spans="1:30" ht="15.75" x14ac:dyDescent="0.25">
      <c r="A955" s="32">
        <v>70006</v>
      </c>
      <c r="B955" s="95">
        <f t="shared" si="155"/>
        <v>31</v>
      </c>
      <c r="C955" s="83">
        <f>194.205</f>
        <v>194.20500000000001</v>
      </c>
      <c r="D955" s="83">
        <f>267.466</f>
        <v>267.46600000000001</v>
      </c>
      <c r="E955" s="92">
        <f>133.845</f>
        <v>133.845</v>
      </c>
      <c r="F955" s="83">
        <f>278.484-40-25-60-100</f>
        <v>53.48399999999998</v>
      </c>
      <c r="G955" s="86">
        <v>40</v>
      </c>
      <c r="H955" s="83">
        <f t="shared" si="159"/>
        <v>185</v>
      </c>
      <c r="I955" s="83">
        <f t="shared" si="158"/>
        <v>0</v>
      </c>
      <c r="J955" s="86">
        <v>100</v>
      </c>
      <c r="K955" s="86">
        <v>300</v>
      </c>
      <c r="L955" s="83">
        <f t="shared" si="151"/>
        <v>1274</v>
      </c>
      <c r="M955" s="94">
        <v>600</v>
      </c>
      <c r="N955" s="83">
        <f>30</f>
        <v>30</v>
      </c>
      <c r="O955" s="86">
        <v>240</v>
      </c>
      <c r="P955" s="86">
        <v>40</v>
      </c>
      <c r="Q955" s="86">
        <f t="shared" si="152"/>
        <v>315</v>
      </c>
      <c r="R955" s="86">
        <f t="shared" si="153"/>
        <v>100</v>
      </c>
      <c r="S955" s="83">
        <f t="shared" si="154"/>
        <v>695</v>
      </c>
      <c r="T955" s="83">
        <f>0</f>
        <v>0</v>
      </c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</row>
    <row r="956" spans="1:30" ht="15.75" x14ac:dyDescent="0.25">
      <c r="A956" s="32">
        <v>70036</v>
      </c>
      <c r="B956" s="95">
        <f t="shared" si="155"/>
        <v>30</v>
      </c>
      <c r="C956" s="83">
        <f>194.205</f>
        <v>194.20500000000001</v>
      </c>
      <c r="D956" s="83">
        <f>267.466</f>
        <v>267.46600000000001</v>
      </c>
      <c r="E956" s="92">
        <f>133.845</f>
        <v>133.845</v>
      </c>
      <c r="F956" s="83">
        <f>278.484-40-25-60-100</f>
        <v>53.48399999999998</v>
      </c>
      <c r="G956" s="86">
        <v>40</v>
      </c>
      <c r="H956" s="83">
        <f t="shared" si="159"/>
        <v>185</v>
      </c>
      <c r="I956" s="83">
        <f t="shared" si="158"/>
        <v>0</v>
      </c>
      <c r="J956" s="86">
        <v>100</v>
      </c>
      <c r="K956" s="86">
        <v>300</v>
      </c>
      <c r="L956" s="83">
        <f t="shared" si="151"/>
        <v>1274</v>
      </c>
      <c r="M956" s="94">
        <v>600</v>
      </c>
      <c r="N956" s="83">
        <f>30</f>
        <v>30</v>
      </c>
      <c r="O956" s="86">
        <v>240</v>
      </c>
      <c r="P956" s="86">
        <v>40</v>
      </c>
      <c r="Q956" s="86">
        <f t="shared" si="152"/>
        <v>315</v>
      </c>
      <c r="R956" s="86">
        <f t="shared" si="153"/>
        <v>100</v>
      </c>
      <c r="S956" s="83">
        <f t="shared" si="154"/>
        <v>695</v>
      </c>
      <c r="T956" s="83">
        <f>0</f>
        <v>0</v>
      </c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</row>
    <row r="957" spans="1:30" ht="15.75" x14ac:dyDescent="0.25">
      <c r="A957" s="32">
        <v>70067</v>
      </c>
      <c r="B957" s="95">
        <f t="shared" si="155"/>
        <v>31</v>
      </c>
      <c r="C957" s="83">
        <f>131.881</f>
        <v>131.881</v>
      </c>
      <c r="D957" s="83">
        <f>277.167</f>
        <v>277.16699999999997</v>
      </c>
      <c r="E957" s="92">
        <f>79.08</f>
        <v>79.08</v>
      </c>
      <c r="F957" s="83">
        <f>350.872-40-25-60-100</f>
        <v>125.87200000000001</v>
      </c>
      <c r="G957" s="86">
        <v>40</v>
      </c>
      <c r="H957" s="83">
        <f t="shared" si="159"/>
        <v>185</v>
      </c>
      <c r="I957" s="83">
        <f t="shared" si="158"/>
        <v>0</v>
      </c>
      <c r="J957" s="86">
        <v>100</v>
      </c>
      <c r="K957" s="86">
        <v>300</v>
      </c>
      <c r="L957" s="83">
        <f t="shared" si="151"/>
        <v>1239</v>
      </c>
      <c r="M957" s="94">
        <v>600</v>
      </c>
      <c r="N957" s="83">
        <f>75</f>
        <v>75</v>
      </c>
      <c r="O957" s="86">
        <v>240</v>
      </c>
      <c r="P957" s="86">
        <v>40</v>
      </c>
      <c r="Q957" s="86">
        <f t="shared" si="152"/>
        <v>315</v>
      </c>
      <c r="R957" s="86">
        <f t="shared" si="153"/>
        <v>100</v>
      </c>
      <c r="S957" s="83">
        <f t="shared" si="154"/>
        <v>695</v>
      </c>
      <c r="T957" s="83">
        <f>0</f>
        <v>0</v>
      </c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</row>
    <row r="958" spans="1:30" ht="15.75" x14ac:dyDescent="0.25">
      <c r="A958" s="32">
        <v>70097</v>
      </c>
      <c r="B958" s="95">
        <f t="shared" si="155"/>
        <v>30</v>
      </c>
      <c r="C958" s="83">
        <f>122.58</f>
        <v>122.58</v>
      </c>
      <c r="D958" s="83">
        <f>297.941</f>
        <v>297.94099999999997</v>
      </c>
      <c r="E958" s="92">
        <f>89.177</f>
        <v>89.177000000000007</v>
      </c>
      <c r="F958" s="83">
        <f>240.302-40-60-100</f>
        <v>40.301999999999992</v>
      </c>
      <c r="G958" s="86">
        <v>40</v>
      </c>
      <c r="H958" s="83">
        <f>60+100</f>
        <v>160</v>
      </c>
      <c r="I958" s="83">
        <f t="shared" si="158"/>
        <v>0</v>
      </c>
      <c r="J958" s="86">
        <v>100</v>
      </c>
      <c r="K958" s="86">
        <v>300</v>
      </c>
      <c r="L958" s="83">
        <f t="shared" si="151"/>
        <v>1150</v>
      </c>
      <c r="M958" s="94">
        <v>600</v>
      </c>
      <c r="N958" s="83">
        <f>100</f>
        <v>100</v>
      </c>
      <c r="O958" s="86">
        <v>240</v>
      </c>
      <c r="P958" s="86">
        <v>40</v>
      </c>
      <c r="Q958" s="86">
        <f t="shared" si="152"/>
        <v>315</v>
      </c>
      <c r="R958" s="86">
        <f t="shared" si="153"/>
        <v>100</v>
      </c>
      <c r="S958" s="83">
        <f t="shared" si="154"/>
        <v>695</v>
      </c>
      <c r="T958" s="83">
        <f>50</f>
        <v>50</v>
      </c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</row>
    <row r="959" spans="1:30" ht="15.75" x14ac:dyDescent="0.25">
      <c r="A959" s="32">
        <v>70128</v>
      </c>
      <c r="B959" s="95">
        <f t="shared" si="155"/>
        <v>31</v>
      </c>
      <c r="C959" s="83">
        <f>122.58</f>
        <v>122.58</v>
      </c>
      <c r="D959" s="83">
        <f>297.941</f>
        <v>297.94099999999997</v>
      </c>
      <c r="E959" s="92">
        <f>89.177</f>
        <v>89.177000000000007</v>
      </c>
      <c r="F959" s="83">
        <f>240.302-40-60-100</f>
        <v>40.301999999999992</v>
      </c>
      <c r="G959" s="86">
        <v>40</v>
      </c>
      <c r="H959" s="83">
        <f>60+100</f>
        <v>160</v>
      </c>
      <c r="I959" s="83">
        <f t="shared" si="158"/>
        <v>0</v>
      </c>
      <c r="J959" s="86">
        <v>100</v>
      </c>
      <c r="K959" s="86">
        <v>300</v>
      </c>
      <c r="L959" s="83">
        <f t="shared" si="151"/>
        <v>1150</v>
      </c>
      <c r="M959" s="94">
        <v>600</v>
      </c>
      <c r="N959" s="83">
        <f>100</f>
        <v>100</v>
      </c>
      <c r="O959" s="86">
        <v>240</v>
      </c>
      <c r="P959" s="86">
        <v>40</v>
      </c>
      <c r="Q959" s="86">
        <f t="shared" si="152"/>
        <v>315</v>
      </c>
      <c r="R959" s="86">
        <f t="shared" si="153"/>
        <v>100</v>
      </c>
      <c r="S959" s="83">
        <f t="shared" si="154"/>
        <v>695</v>
      </c>
      <c r="T959" s="83">
        <f>50</f>
        <v>50</v>
      </c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</row>
    <row r="960" spans="1:30" ht="15.75" x14ac:dyDescent="0.25">
      <c r="A960" s="32">
        <v>70159</v>
      </c>
      <c r="B960" s="95">
        <f t="shared" si="155"/>
        <v>31</v>
      </c>
      <c r="C960" s="83">
        <f>122.58</f>
        <v>122.58</v>
      </c>
      <c r="D960" s="83">
        <f>297.941</f>
        <v>297.94099999999997</v>
      </c>
      <c r="E960" s="92">
        <f>89.177</f>
        <v>89.177000000000007</v>
      </c>
      <c r="F960" s="83">
        <f>240.302-40-60-100</f>
        <v>40.301999999999992</v>
      </c>
      <c r="G960" s="86">
        <v>40</v>
      </c>
      <c r="H960" s="83">
        <f>60+100</f>
        <v>160</v>
      </c>
      <c r="I960" s="83">
        <f t="shared" si="158"/>
        <v>0</v>
      </c>
      <c r="J960" s="86">
        <v>100</v>
      </c>
      <c r="K960" s="86">
        <v>300</v>
      </c>
      <c r="L960" s="83">
        <f t="shared" si="151"/>
        <v>1150</v>
      </c>
      <c r="M960" s="94">
        <v>600</v>
      </c>
      <c r="N960" s="83">
        <f>100</f>
        <v>100</v>
      </c>
      <c r="O960" s="86">
        <v>240</v>
      </c>
      <c r="P960" s="86">
        <v>40</v>
      </c>
      <c r="Q960" s="86">
        <f t="shared" si="152"/>
        <v>315</v>
      </c>
      <c r="R960" s="86">
        <f t="shared" si="153"/>
        <v>100</v>
      </c>
      <c r="S960" s="83">
        <f t="shared" si="154"/>
        <v>695</v>
      </c>
      <c r="T960" s="83">
        <f>50</f>
        <v>50</v>
      </c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</row>
    <row r="961" spans="1:30" ht="15.75" x14ac:dyDescent="0.25">
      <c r="A961" s="32">
        <v>70188</v>
      </c>
      <c r="B961" s="95">
        <f t="shared" si="155"/>
        <v>29</v>
      </c>
      <c r="C961" s="83">
        <f>122.58</f>
        <v>122.58</v>
      </c>
      <c r="D961" s="83">
        <f>297.941</f>
        <v>297.94099999999997</v>
      </c>
      <c r="E961" s="92">
        <f>89.177</f>
        <v>89.177000000000007</v>
      </c>
      <c r="F961" s="83">
        <f>240.302-40-60-100</f>
        <v>40.301999999999992</v>
      </c>
      <c r="G961" s="86">
        <v>40</v>
      </c>
      <c r="H961" s="83">
        <f>60+100</f>
        <v>160</v>
      </c>
      <c r="I961" s="83">
        <f t="shared" si="158"/>
        <v>0</v>
      </c>
      <c r="J961" s="86">
        <v>100</v>
      </c>
      <c r="K961" s="86">
        <v>300</v>
      </c>
      <c r="L961" s="83">
        <f t="shared" si="151"/>
        <v>1150</v>
      </c>
      <c r="M961" s="94">
        <v>600</v>
      </c>
      <c r="N961" s="83">
        <f>100</f>
        <v>100</v>
      </c>
      <c r="O961" s="86">
        <v>240</v>
      </c>
      <c r="P961" s="86">
        <v>40</v>
      </c>
      <c r="Q961" s="86">
        <f t="shared" si="152"/>
        <v>315</v>
      </c>
      <c r="R961" s="86">
        <f t="shared" si="153"/>
        <v>100</v>
      </c>
      <c r="S961" s="83">
        <f t="shared" si="154"/>
        <v>695</v>
      </c>
      <c r="T961" s="83">
        <f>50</f>
        <v>50</v>
      </c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</row>
    <row r="962" spans="1:30" ht="15.75" x14ac:dyDescent="0.25">
      <c r="A962" s="32">
        <v>70219</v>
      </c>
      <c r="B962" s="95">
        <f t="shared" si="155"/>
        <v>31</v>
      </c>
      <c r="C962" s="83">
        <f>122.58</f>
        <v>122.58</v>
      </c>
      <c r="D962" s="83">
        <f>297.941</f>
        <v>297.94099999999997</v>
      </c>
      <c r="E962" s="92">
        <f>89.177</f>
        <v>89.177000000000007</v>
      </c>
      <c r="F962" s="83">
        <f>240.302-40-60-100</f>
        <v>40.301999999999992</v>
      </c>
      <c r="G962" s="86">
        <v>40</v>
      </c>
      <c r="H962" s="83">
        <f>60+100</f>
        <v>160</v>
      </c>
      <c r="I962" s="83">
        <f t="shared" si="158"/>
        <v>0</v>
      </c>
      <c r="J962" s="86">
        <v>100</v>
      </c>
      <c r="K962" s="86">
        <v>300</v>
      </c>
      <c r="L962" s="83">
        <f t="shared" si="151"/>
        <v>1150</v>
      </c>
      <c r="M962" s="94">
        <v>600</v>
      </c>
      <c r="N962" s="83">
        <f>100</f>
        <v>100</v>
      </c>
      <c r="O962" s="86">
        <v>240</v>
      </c>
      <c r="P962" s="86">
        <v>40</v>
      </c>
      <c r="Q962" s="86">
        <f t="shared" si="152"/>
        <v>315</v>
      </c>
      <c r="R962" s="86">
        <f t="shared" si="153"/>
        <v>100</v>
      </c>
      <c r="S962" s="83">
        <f t="shared" si="154"/>
        <v>695</v>
      </c>
      <c r="T962" s="83">
        <f>50</f>
        <v>50</v>
      </c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</row>
    <row r="963" spans="1:30" ht="15.75" x14ac:dyDescent="0.25">
      <c r="A963" s="32">
        <v>70249</v>
      </c>
      <c r="B963" s="95">
        <f t="shared" si="155"/>
        <v>30</v>
      </c>
      <c r="C963" s="83">
        <f>141.293</f>
        <v>141.29300000000001</v>
      </c>
      <c r="D963" s="83">
        <f>267.993</f>
        <v>267.99299999999999</v>
      </c>
      <c r="E963" s="92">
        <f>115.016</f>
        <v>115.01600000000001</v>
      </c>
      <c r="F963" s="83">
        <f>314.698-40-25-60-100</f>
        <v>89.697999999999979</v>
      </c>
      <c r="G963" s="86">
        <v>40</v>
      </c>
      <c r="H963" s="83">
        <f t="shared" ref="H963:H969" si="160">25+60+100</f>
        <v>185</v>
      </c>
      <c r="I963" s="83">
        <f t="shared" si="158"/>
        <v>0</v>
      </c>
      <c r="J963" s="86">
        <v>100</v>
      </c>
      <c r="K963" s="86">
        <v>300</v>
      </c>
      <c r="L963" s="83">
        <f t="shared" si="151"/>
        <v>1239</v>
      </c>
      <c r="M963" s="94">
        <v>600</v>
      </c>
      <c r="N963" s="83">
        <f>100</f>
        <v>100</v>
      </c>
      <c r="O963" s="86">
        <v>240</v>
      </c>
      <c r="P963" s="86">
        <v>40</v>
      </c>
      <c r="Q963" s="86">
        <f t="shared" si="152"/>
        <v>315</v>
      </c>
      <c r="R963" s="86">
        <f t="shared" si="153"/>
        <v>100</v>
      </c>
      <c r="S963" s="83">
        <f t="shared" si="154"/>
        <v>695</v>
      </c>
      <c r="T963" s="83">
        <f>50</f>
        <v>50</v>
      </c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</row>
    <row r="964" spans="1:30" ht="15.75" x14ac:dyDescent="0.25">
      <c r="A964" s="32">
        <v>70280</v>
      </c>
      <c r="B964" s="95">
        <f t="shared" si="155"/>
        <v>31</v>
      </c>
      <c r="C964" s="83">
        <f>194.205</f>
        <v>194.20500000000001</v>
      </c>
      <c r="D964" s="83">
        <f>267.466</f>
        <v>267.46600000000001</v>
      </c>
      <c r="E964" s="92">
        <f>133.845</f>
        <v>133.845</v>
      </c>
      <c r="F964" s="83">
        <f>278.484-40-25-60-100</f>
        <v>53.48399999999998</v>
      </c>
      <c r="G964" s="86">
        <v>40</v>
      </c>
      <c r="H964" s="83">
        <f t="shared" si="160"/>
        <v>185</v>
      </c>
      <c r="I964" s="83">
        <f t="shared" si="158"/>
        <v>0</v>
      </c>
      <c r="J964" s="86">
        <v>100</v>
      </c>
      <c r="K964" s="86">
        <v>300</v>
      </c>
      <c r="L964" s="83">
        <f t="shared" si="151"/>
        <v>1274</v>
      </c>
      <c r="M964" s="94">
        <v>600</v>
      </c>
      <c r="N964" s="83">
        <f>75</f>
        <v>75</v>
      </c>
      <c r="O964" s="86">
        <v>240</v>
      </c>
      <c r="P964" s="86">
        <v>40</v>
      </c>
      <c r="Q964" s="86">
        <f t="shared" si="152"/>
        <v>315</v>
      </c>
      <c r="R964" s="86">
        <f t="shared" si="153"/>
        <v>100</v>
      </c>
      <c r="S964" s="83">
        <f t="shared" si="154"/>
        <v>695</v>
      </c>
      <c r="T964" s="83">
        <f>50</f>
        <v>50</v>
      </c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</row>
    <row r="965" spans="1:30" ht="15.75" x14ac:dyDescent="0.25">
      <c r="A965" s="32">
        <v>70310</v>
      </c>
      <c r="B965" s="95">
        <f t="shared" si="155"/>
        <v>30</v>
      </c>
      <c r="C965" s="83">
        <f>194.205</f>
        <v>194.20500000000001</v>
      </c>
      <c r="D965" s="83">
        <f>267.466</f>
        <v>267.46600000000001</v>
      </c>
      <c r="E965" s="92">
        <f>133.845</f>
        <v>133.845</v>
      </c>
      <c r="F965" s="83">
        <f>278.484-40-25-60-100</f>
        <v>53.48399999999998</v>
      </c>
      <c r="G965" s="86">
        <v>40</v>
      </c>
      <c r="H965" s="83">
        <f t="shared" si="160"/>
        <v>185</v>
      </c>
      <c r="I965" s="83">
        <f t="shared" si="158"/>
        <v>0</v>
      </c>
      <c r="J965" s="86">
        <v>100</v>
      </c>
      <c r="K965" s="86">
        <v>300</v>
      </c>
      <c r="L965" s="83">
        <f t="shared" si="151"/>
        <v>1274</v>
      </c>
      <c r="M965" s="94">
        <v>600</v>
      </c>
      <c r="N965" s="83">
        <f>30</f>
        <v>30</v>
      </c>
      <c r="O965" s="86">
        <v>240</v>
      </c>
      <c r="P965" s="86">
        <v>40</v>
      </c>
      <c r="Q965" s="86">
        <f t="shared" si="152"/>
        <v>315</v>
      </c>
      <c r="R965" s="86">
        <f t="shared" si="153"/>
        <v>100</v>
      </c>
      <c r="S965" s="83">
        <f t="shared" si="154"/>
        <v>695</v>
      </c>
      <c r="T965" s="83">
        <f>50</f>
        <v>50</v>
      </c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</row>
    <row r="966" spans="1:30" ht="15.75" x14ac:dyDescent="0.25">
      <c r="A966" s="32">
        <v>70341</v>
      </c>
      <c r="B966" s="95">
        <f t="shared" si="155"/>
        <v>31</v>
      </c>
      <c r="C966" s="83">
        <f>194.205</f>
        <v>194.20500000000001</v>
      </c>
      <c r="D966" s="83">
        <f>267.466</f>
        <v>267.46600000000001</v>
      </c>
      <c r="E966" s="92">
        <f>133.845</f>
        <v>133.845</v>
      </c>
      <c r="F966" s="83">
        <f>278.484-40-25-60-100</f>
        <v>53.48399999999998</v>
      </c>
      <c r="G966" s="86">
        <v>40</v>
      </c>
      <c r="H966" s="83">
        <f t="shared" si="160"/>
        <v>185</v>
      </c>
      <c r="I966" s="83">
        <f t="shared" si="158"/>
        <v>0</v>
      </c>
      <c r="J966" s="86">
        <v>100</v>
      </c>
      <c r="K966" s="86">
        <v>300</v>
      </c>
      <c r="L966" s="83">
        <f t="shared" si="151"/>
        <v>1274</v>
      </c>
      <c r="M966" s="94">
        <v>600</v>
      </c>
      <c r="N966" s="83">
        <f>30</f>
        <v>30</v>
      </c>
      <c r="O966" s="86">
        <v>240</v>
      </c>
      <c r="P966" s="86">
        <v>40</v>
      </c>
      <c r="Q966" s="86">
        <f t="shared" si="152"/>
        <v>315</v>
      </c>
      <c r="R966" s="86">
        <f t="shared" si="153"/>
        <v>100</v>
      </c>
      <c r="S966" s="83">
        <f t="shared" si="154"/>
        <v>695</v>
      </c>
      <c r="T966" s="83">
        <f>0</f>
        <v>0</v>
      </c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</row>
    <row r="967" spans="1:30" ht="15.75" x14ac:dyDescent="0.25">
      <c r="A967" s="32">
        <v>70372</v>
      </c>
      <c r="B967" s="95">
        <f t="shared" si="155"/>
        <v>31</v>
      </c>
      <c r="C967" s="83">
        <f>194.205</f>
        <v>194.20500000000001</v>
      </c>
      <c r="D967" s="83">
        <f>267.466</f>
        <v>267.46600000000001</v>
      </c>
      <c r="E967" s="92">
        <f>133.845</f>
        <v>133.845</v>
      </c>
      <c r="F967" s="83">
        <f>278.484-40-25-60-100</f>
        <v>53.48399999999998</v>
      </c>
      <c r="G967" s="86">
        <v>40</v>
      </c>
      <c r="H967" s="83">
        <f t="shared" si="160"/>
        <v>185</v>
      </c>
      <c r="I967" s="83">
        <f t="shared" si="158"/>
        <v>0</v>
      </c>
      <c r="J967" s="86">
        <v>100</v>
      </c>
      <c r="K967" s="86">
        <v>300</v>
      </c>
      <c r="L967" s="83">
        <f t="shared" si="151"/>
        <v>1274</v>
      </c>
      <c r="M967" s="94">
        <v>600</v>
      </c>
      <c r="N967" s="83">
        <f>30</f>
        <v>30</v>
      </c>
      <c r="O967" s="86">
        <v>240</v>
      </c>
      <c r="P967" s="86">
        <v>40</v>
      </c>
      <c r="Q967" s="86">
        <f t="shared" si="152"/>
        <v>315</v>
      </c>
      <c r="R967" s="86">
        <f t="shared" si="153"/>
        <v>100</v>
      </c>
      <c r="S967" s="83">
        <f t="shared" si="154"/>
        <v>695</v>
      </c>
      <c r="T967" s="83">
        <f>0</f>
        <v>0</v>
      </c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</row>
    <row r="968" spans="1:30" ht="15.75" x14ac:dyDescent="0.25">
      <c r="A968" s="32">
        <v>70402</v>
      </c>
      <c r="B968" s="95">
        <f t="shared" si="155"/>
        <v>30</v>
      </c>
      <c r="C968" s="83">
        <f>194.205</f>
        <v>194.20500000000001</v>
      </c>
      <c r="D968" s="83">
        <f>267.466</f>
        <v>267.46600000000001</v>
      </c>
      <c r="E968" s="92">
        <f>133.845</f>
        <v>133.845</v>
      </c>
      <c r="F968" s="83">
        <f>278.484-40-25-60-100</f>
        <v>53.48399999999998</v>
      </c>
      <c r="G968" s="86">
        <v>40</v>
      </c>
      <c r="H968" s="83">
        <f t="shared" si="160"/>
        <v>185</v>
      </c>
      <c r="I968" s="83">
        <f t="shared" si="158"/>
        <v>0</v>
      </c>
      <c r="J968" s="86">
        <v>100</v>
      </c>
      <c r="K968" s="86">
        <v>300</v>
      </c>
      <c r="L968" s="83">
        <f t="shared" si="151"/>
        <v>1274</v>
      </c>
      <c r="M968" s="94">
        <v>600</v>
      </c>
      <c r="N968" s="83">
        <f>30</f>
        <v>30</v>
      </c>
      <c r="O968" s="86">
        <v>240</v>
      </c>
      <c r="P968" s="86">
        <v>40</v>
      </c>
      <c r="Q968" s="86">
        <f t="shared" si="152"/>
        <v>315</v>
      </c>
      <c r="R968" s="86">
        <f t="shared" si="153"/>
        <v>100</v>
      </c>
      <c r="S968" s="83">
        <f t="shared" si="154"/>
        <v>695</v>
      </c>
      <c r="T968" s="83">
        <f>0</f>
        <v>0</v>
      </c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</row>
    <row r="969" spans="1:30" ht="15.75" x14ac:dyDescent="0.25">
      <c r="A969" s="32">
        <v>70433</v>
      </c>
      <c r="B969" s="95">
        <f t="shared" si="155"/>
        <v>31</v>
      </c>
      <c r="C969" s="83">
        <f>131.881</f>
        <v>131.881</v>
      </c>
      <c r="D969" s="83">
        <f>277.167</f>
        <v>277.16699999999997</v>
      </c>
      <c r="E969" s="92">
        <f>79.08</f>
        <v>79.08</v>
      </c>
      <c r="F969" s="83">
        <f>350.872-40-25-60-100</f>
        <v>125.87200000000001</v>
      </c>
      <c r="G969" s="86">
        <v>40</v>
      </c>
      <c r="H969" s="83">
        <f t="shared" si="160"/>
        <v>185</v>
      </c>
      <c r="I969" s="83">
        <f t="shared" si="158"/>
        <v>0</v>
      </c>
      <c r="J969" s="86">
        <v>100</v>
      </c>
      <c r="K969" s="86">
        <v>300</v>
      </c>
      <c r="L969" s="83">
        <f t="shared" si="151"/>
        <v>1239</v>
      </c>
      <c r="M969" s="94">
        <v>600</v>
      </c>
      <c r="N969" s="83">
        <f>75</f>
        <v>75</v>
      </c>
      <c r="O969" s="86">
        <v>240</v>
      </c>
      <c r="P969" s="86">
        <v>40</v>
      </c>
      <c r="Q969" s="86">
        <f t="shared" si="152"/>
        <v>315</v>
      </c>
      <c r="R969" s="86">
        <f t="shared" si="153"/>
        <v>100</v>
      </c>
      <c r="S969" s="83">
        <f t="shared" si="154"/>
        <v>695</v>
      </c>
      <c r="T969" s="83">
        <f>0</f>
        <v>0</v>
      </c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</row>
    <row r="970" spans="1:30" ht="15.75" x14ac:dyDescent="0.25">
      <c r="A970" s="32">
        <v>70463</v>
      </c>
      <c r="B970" s="95">
        <f t="shared" si="155"/>
        <v>30</v>
      </c>
      <c r="C970" s="83">
        <f>122.58</f>
        <v>122.58</v>
      </c>
      <c r="D970" s="83">
        <f>297.941</f>
        <v>297.94099999999997</v>
      </c>
      <c r="E970" s="92">
        <f>89.177</f>
        <v>89.177000000000007</v>
      </c>
      <c r="F970" s="83">
        <f>240.302-40-60-100</f>
        <v>40.301999999999992</v>
      </c>
      <c r="G970" s="86">
        <v>40</v>
      </c>
      <c r="H970" s="83">
        <f>60+100</f>
        <v>160</v>
      </c>
      <c r="I970" s="83">
        <f t="shared" si="158"/>
        <v>0</v>
      </c>
      <c r="J970" s="86">
        <v>100</v>
      </c>
      <c r="K970" s="86">
        <v>300</v>
      </c>
      <c r="L970" s="83">
        <f t="shared" si="151"/>
        <v>1150</v>
      </c>
      <c r="M970" s="94">
        <v>600</v>
      </c>
      <c r="N970" s="83">
        <f>100</f>
        <v>100</v>
      </c>
      <c r="O970" s="86">
        <v>240</v>
      </c>
      <c r="P970" s="86">
        <v>40</v>
      </c>
      <c r="Q970" s="86">
        <f t="shared" si="152"/>
        <v>315</v>
      </c>
      <c r="R970" s="86">
        <f t="shared" si="153"/>
        <v>100</v>
      </c>
      <c r="S970" s="83">
        <f t="shared" si="154"/>
        <v>695</v>
      </c>
      <c r="T970" s="83">
        <f>50</f>
        <v>50</v>
      </c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</row>
    <row r="971" spans="1:30" ht="15.75" x14ac:dyDescent="0.25">
      <c r="A971" s="32">
        <v>70494</v>
      </c>
      <c r="B971" s="95">
        <f t="shared" si="155"/>
        <v>31</v>
      </c>
      <c r="C971" s="83">
        <f>122.58</f>
        <v>122.58</v>
      </c>
      <c r="D971" s="83">
        <f>297.941</f>
        <v>297.94099999999997</v>
      </c>
      <c r="E971" s="92">
        <f>89.177</f>
        <v>89.177000000000007</v>
      </c>
      <c r="F971" s="83">
        <f>240.302-40-60-100</f>
        <v>40.301999999999992</v>
      </c>
      <c r="G971" s="86">
        <v>40</v>
      </c>
      <c r="H971" s="83">
        <f>60+100</f>
        <v>160</v>
      </c>
      <c r="I971" s="83">
        <f t="shared" si="158"/>
        <v>0</v>
      </c>
      <c r="J971" s="86">
        <v>100</v>
      </c>
      <c r="K971" s="86">
        <v>300</v>
      </c>
      <c r="L971" s="83">
        <f t="shared" si="151"/>
        <v>1150</v>
      </c>
      <c r="M971" s="94">
        <v>600</v>
      </c>
      <c r="N971" s="83">
        <f>100</f>
        <v>100</v>
      </c>
      <c r="O971" s="86">
        <v>240</v>
      </c>
      <c r="P971" s="86">
        <v>40</v>
      </c>
      <c r="Q971" s="86">
        <f t="shared" si="152"/>
        <v>315</v>
      </c>
      <c r="R971" s="86">
        <f t="shared" si="153"/>
        <v>100</v>
      </c>
      <c r="S971" s="83">
        <f t="shared" si="154"/>
        <v>695</v>
      </c>
      <c r="T971" s="83">
        <f>50</f>
        <v>50</v>
      </c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</row>
    <row r="972" spans="1:30" ht="15.75" x14ac:dyDescent="0.25">
      <c r="A972" s="32">
        <v>70525</v>
      </c>
      <c r="B972" s="95">
        <f t="shared" si="155"/>
        <v>31</v>
      </c>
      <c r="C972" s="83">
        <f>122.58</f>
        <v>122.58</v>
      </c>
      <c r="D972" s="83">
        <f>297.941</f>
        <v>297.94099999999997</v>
      </c>
      <c r="E972" s="92">
        <f>89.177</f>
        <v>89.177000000000007</v>
      </c>
      <c r="F972" s="83">
        <f>240.302-40-60-100</f>
        <v>40.301999999999992</v>
      </c>
      <c r="G972" s="86">
        <v>40</v>
      </c>
      <c r="H972" s="83">
        <f>60+100</f>
        <v>160</v>
      </c>
      <c r="I972" s="83">
        <f t="shared" si="158"/>
        <v>0</v>
      </c>
      <c r="J972" s="86">
        <v>100</v>
      </c>
      <c r="K972" s="86">
        <v>300</v>
      </c>
      <c r="L972" s="83">
        <f t="shared" si="151"/>
        <v>1150</v>
      </c>
      <c r="M972" s="94">
        <v>600</v>
      </c>
      <c r="N972" s="83">
        <f>100</f>
        <v>100</v>
      </c>
      <c r="O972" s="86">
        <v>240</v>
      </c>
      <c r="P972" s="86">
        <v>40</v>
      </c>
      <c r="Q972" s="86">
        <f t="shared" si="152"/>
        <v>315</v>
      </c>
      <c r="R972" s="86">
        <f t="shared" si="153"/>
        <v>100</v>
      </c>
      <c r="S972" s="83">
        <f t="shared" si="154"/>
        <v>695</v>
      </c>
      <c r="T972" s="83">
        <f>50</f>
        <v>50</v>
      </c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</row>
    <row r="973" spans="1:30" ht="15.75" x14ac:dyDescent="0.25">
      <c r="A973" s="32">
        <v>70553</v>
      </c>
      <c r="B973" s="95">
        <f t="shared" si="155"/>
        <v>28</v>
      </c>
      <c r="C973" s="83">
        <f>122.58</f>
        <v>122.58</v>
      </c>
      <c r="D973" s="83">
        <f>297.941</f>
        <v>297.94099999999997</v>
      </c>
      <c r="E973" s="92">
        <f>89.177</f>
        <v>89.177000000000007</v>
      </c>
      <c r="F973" s="83">
        <f>240.302-40-60-100</f>
        <v>40.301999999999992</v>
      </c>
      <c r="G973" s="86">
        <v>40</v>
      </c>
      <c r="H973" s="83">
        <f>60+100</f>
        <v>160</v>
      </c>
      <c r="I973" s="83">
        <f t="shared" si="158"/>
        <v>0</v>
      </c>
      <c r="J973" s="86">
        <v>100</v>
      </c>
      <c r="K973" s="86">
        <v>300</v>
      </c>
      <c r="L973" s="83">
        <f t="shared" si="151"/>
        <v>1150</v>
      </c>
      <c r="M973" s="94">
        <v>600</v>
      </c>
      <c r="N973" s="83">
        <f>100</f>
        <v>100</v>
      </c>
      <c r="O973" s="86">
        <v>240</v>
      </c>
      <c r="P973" s="86">
        <v>40</v>
      </c>
      <c r="Q973" s="86">
        <f t="shared" si="152"/>
        <v>315</v>
      </c>
      <c r="R973" s="86">
        <f t="shared" si="153"/>
        <v>100</v>
      </c>
      <c r="S973" s="83">
        <f t="shared" si="154"/>
        <v>695</v>
      </c>
      <c r="T973" s="83">
        <f>50</f>
        <v>50</v>
      </c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</row>
    <row r="974" spans="1:30" ht="15.75" x14ac:dyDescent="0.25">
      <c r="A974" s="32">
        <v>70584</v>
      </c>
      <c r="B974" s="95">
        <f t="shared" si="155"/>
        <v>31</v>
      </c>
      <c r="C974" s="83">
        <f>122.58</f>
        <v>122.58</v>
      </c>
      <c r="D974" s="83">
        <f>297.941</f>
        <v>297.94099999999997</v>
      </c>
      <c r="E974" s="92">
        <f>89.177</f>
        <v>89.177000000000007</v>
      </c>
      <c r="F974" s="83">
        <f>240.302-40-60-100</f>
        <v>40.301999999999992</v>
      </c>
      <c r="G974" s="86">
        <v>40</v>
      </c>
      <c r="H974" s="83">
        <f>60+100</f>
        <v>160</v>
      </c>
      <c r="I974" s="83">
        <f t="shared" si="158"/>
        <v>0</v>
      </c>
      <c r="J974" s="86">
        <v>100</v>
      </c>
      <c r="K974" s="86">
        <v>300</v>
      </c>
      <c r="L974" s="83">
        <f t="shared" si="151"/>
        <v>1150</v>
      </c>
      <c r="M974" s="94">
        <v>600</v>
      </c>
      <c r="N974" s="83">
        <f>100</f>
        <v>100</v>
      </c>
      <c r="O974" s="86">
        <v>240</v>
      </c>
      <c r="P974" s="86">
        <v>40</v>
      </c>
      <c r="Q974" s="86">
        <f t="shared" si="152"/>
        <v>315</v>
      </c>
      <c r="R974" s="86">
        <f t="shared" si="153"/>
        <v>100</v>
      </c>
      <c r="S974" s="83">
        <f t="shared" si="154"/>
        <v>695</v>
      </c>
      <c r="T974" s="83">
        <f>50</f>
        <v>50</v>
      </c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</row>
    <row r="975" spans="1:30" ht="15.75" x14ac:dyDescent="0.25">
      <c r="A975" s="32">
        <v>70614</v>
      </c>
      <c r="B975" s="95">
        <f t="shared" si="155"/>
        <v>30</v>
      </c>
      <c r="C975" s="83">
        <f>141.293</f>
        <v>141.29300000000001</v>
      </c>
      <c r="D975" s="83">
        <f>267.993</f>
        <v>267.99299999999999</v>
      </c>
      <c r="E975" s="92">
        <f>115.016</f>
        <v>115.01600000000001</v>
      </c>
      <c r="F975" s="83">
        <f>314.698-40-25-60-100</f>
        <v>89.697999999999979</v>
      </c>
      <c r="G975" s="86">
        <v>40</v>
      </c>
      <c r="H975" s="83">
        <f t="shared" ref="H975:H981" si="161">25+60+100</f>
        <v>185</v>
      </c>
      <c r="I975" s="83">
        <f t="shared" si="158"/>
        <v>0</v>
      </c>
      <c r="J975" s="86">
        <v>100</v>
      </c>
      <c r="K975" s="86">
        <v>300</v>
      </c>
      <c r="L975" s="83">
        <f t="shared" si="151"/>
        <v>1239</v>
      </c>
      <c r="M975" s="94">
        <v>600</v>
      </c>
      <c r="N975" s="83">
        <f>100</f>
        <v>100</v>
      </c>
      <c r="O975" s="86">
        <v>240</v>
      </c>
      <c r="P975" s="86">
        <v>40</v>
      </c>
      <c r="Q975" s="86">
        <f t="shared" si="152"/>
        <v>315</v>
      </c>
      <c r="R975" s="86">
        <f t="shared" si="153"/>
        <v>100</v>
      </c>
      <c r="S975" s="83">
        <f t="shared" si="154"/>
        <v>695</v>
      </c>
      <c r="T975" s="83">
        <f>50</f>
        <v>50</v>
      </c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</row>
    <row r="976" spans="1:30" ht="15.75" x14ac:dyDescent="0.25">
      <c r="A976" s="32">
        <v>70645</v>
      </c>
      <c r="B976" s="95">
        <f t="shared" si="155"/>
        <v>31</v>
      </c>
      <c r="C976" s="83">
        <f>194.205</f>
        <v>194.20500000000001</v>
      </c>
      <c r="D976" s="83">
        <f>267.466</f>
        <v>267.46600000000001</v>
      </c>
      <c r="E976" s="92">
        <f>133.845</f>
        <v>133.845</v>
      </c>
      <c r="F976" s="83">
        <f>278.484-40-25-60-100</f>
        <v>53.48399999999998</v>
      </c>
      <c r="G976" s="86">
        <v>40</v>
      </c>
      <c r="H976" s="83">
        <f t="shared" si="161"/>
        <v>185</v>
      </c>
      <c r="I976" s="83">
        <f t="shared" si="158"/>
        <v>0</v>
      </c>
      <c r="J976" s="86">
        <v>100</v>
      </c>
      <c r="K976" s="86">
        <v>300</v>
      </c>
      <c r="L976" s="83">
        <f t="shared" si="151"/>
        <v>1274</v>
      </c>
      <c r="M976" s="94">
        <v>600</v>
      </c>
      <c r="N976" s="83">
        <f>75</f>
        <v>75</v>
      </c>
      <c r="O976" s="86">
        <v>240</v>
      </c>
      <c r="P976" s="86">
        <v>40</v>
      </c>
      <c r="Q976" s="86">
        <f t="shared" si="152"/>
        <v>315</v>
      </c>
      <c r="R976" s="86">
        <f t="shared" si="153"/>
        <v>100</v>
      </c>
      <c r="S976" s="83">
        <f t="shared" si="154"/>
        <v>695</v>
      </c>
      <c r="T976" s="83">
        <f>50</f>
        <v>50</v>
      </c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</row>
    <row r="977" spans="1:30" ht="15.75" x14ac:dyDescent="0.25">
      <c r="A977" s="32">
        <v>70675</v>
      </c>
      <c r="B977" s="95">
        <f t="shared" si="155"/>
        <v>30</v>
      </c>
      <c r="C977" s="83">
        <f>194.205</f>
        <v>194.20500000000001</v>
      </c>
      <c r="D977" s="83">
        <f>267.466</f>
        <v>267.46600000000001</v>
      </c>
      <c r="E977" s="92">
        <f>133.845</f>
        <v>133.845</v>
      </c>
      <c r="F977" s="83">
        <f>278.484-40-25-60-100</f>
        <v>53.48399999999998</v>
      </c>
      <c r="G977" s="86">
        <v>40</v>
      </c>
      <c r="H977" s="83">
        <f t="shared" si="161"/>
        <v>185</v>
      </c>
      <c r="I977" s="83">
        <f t="shared" si="158"/>
        <v>0</v>
      </c>
      <c r="J977" s="86">
        <v>100</v>
      </c>
      <c r="K977" s="86">
        <v>300</v>
      </c>
      <c r="L977" s="83">
        <f t="shared" si="151"/>
        <v>1274</v>
      </c>
      <c r="M977" s="94">
        <v>600</v>
      </c>
      <c r="N977" s="83">
        <f>30</f>
        <v>30</v>
      </c>
      <c r="O977" s="86">
        <v>240</v>
      </c>
      <c r="P977" s="86">
        <v>40</v>
      </c>
      <c r="Q977" s="86">
        <f t="shared" si="152"/>
        <v>315</v>
      </c>
      <c r="R977" s="86">
        <f t="shared" si="153"/>
        <v>100</v>
      </c>
      <c r="S977" s="83">
        <f t="shared" si="154"/>
        <v>695</v>
      </c>
      <c r="T977" s="83">
        <f>50</f>
        <v>50</v>
      </c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</row>
    <row r="978" spans="1:30" ht="15.75" x14ac:dyDescent="0.25">
      <c r="A978" s="32">
        <v>70706</v>
      </c>
      <c r="B978" s="95">
        <f t="shared" si="155"/>
        <v>31</v>
      </c>
      <c r="C978" s="83">
        <f>194.205</f>
        <v>194.20500000000001</v>
      </c>
      <c r="D978" s="83">
        <f>267.466</f>
        <v>267.46600000000001</v>
      </c>
      <c r="E978" s="92">
        <f>133.845</f>
        <v>133.845</v>
      </c>
      <c r="F978" s="83">
        <f>278.484-40-25-60-100</f>
        <v>53.48399999999998</v>
      </c>
      <c r="G978" s="86">
        <v>40</v>
      </c>
      <c r="H978" s="83">
        <f t="shared" si="161"/>
        <v>185</v>
      </c>
      <c r="I978" s="83">
        <f t="shared" si="158"/>
        <v>0</v>
      </c>
      <c r="J978" s="86">
        <v>100</v>
      </c>
      <c r="K978" s="86">
        <v>300</v>
      </c>
      <c r="L978" s="83">
        <f t="shared" si="151"/>
        <v>1274</v>
      </c>
      <c r="M978" s="94">
        <v>600</v>
      </c>
      <c r="N978" s="83">
        <f>30</f>
        <v>30</v>
      </c>
      <c r="O978" s="86">
        <v>240</v>
      </c>
      <c r="P978" s="86">
        <v>40</v>
      </c>
      <c r="Q978" s="86">
        <f t="shared" si="152"/>
        <v>315</v>
      </c>
      <c r="R978" s="86">
        <f t="shared" si="153"/>
        <v>100</v>
      </c>
      <c r="S978" s="83">
        <f t="shared" si="154"/>
        <v>695</v>
      </c>
      <c r="T978" s="83">
        <f>0</f>
        <v>0</v>
      </c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</row>
    <row r="979" spans="1:30" ht="15.75" x14ac:dyDescent="0.25">
      <c r="A979" s="32">
        <v>70737</v>
      </c>
      <c r="B979" s="95">
        <f t="shared" si="155"/>
        <v>31</v>
      </c>
      <c r="C979" s="83">
        <f>194.205</f>
        <v>194.20500000000001</v>
      </c>
      <c r="D979" s="83">
        <f>267.466</f>
        <v>267.46600000000001</v>
      </c>
      <c r="E979" s="92">
        <f>133.845</f>
        <v>133.845</v>
      </c>
      <c r="F979" s="83">
        <f>278.484-40-25-60-100</f>
        <v>53.48399999999998</v>
      </c>
      <c r="G979" s="86">
        <v>40</v>
      </c>
      <c r="H979" s="83">
        <f t="shared" si="161"/>
        <v>185</v>
      </c>
      <c r="I979" s="83">
        <f t="shared" si="158"/>
        <v>0</v>
      </c>
      <c r="J979" s="86">
        <v>100</v>
      </c>
      <c r="K979" s="86">
        <v>300</v>
      </c>
      <c r="L979" s="83">
        <f t="shared" si="151"/>
        <v>1274</v>
      </c>
      <c r="M979" s="94">
        <v>600</v>
      </c>
      <c r="N979" s="83">
        <f>30</f>
        <v>30</v>
      </c>
      <c r="O979" s="86">
        <v>240</v>
      </c>
      <c r="P979" s="86">
        <v>40</v>
      </c>
      <c r="Q979" s="86">
        <f t="shared" si="152"/>
        <v>315</v>
      </c>
      <c r="R979" s="86">
        <f t="shared" si="153"/>
        <v>100</v>
      </c>
      <c r="S979" s="83">
        <f t="shared" si="154"/>
        <v>695</v>
      </c>
      <c r="T979" s="83">
        <f>0</f>
        <v>0</v>
      </c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</row>
    <row r="980" spans="1:30" ht="15.75" x14ac:dyDescent="0.25">
      <c r="A980" s="32">
        <v>70767</v>
      </c>
      <c r="B980" s="95">
        <f t="shared" si="155"/>
        <v>30</v>
      </c>
      <c r="C980" s="83">
        <f>194.205</f>
        <v>194.20500000000001</v>
      </c>
      <c r="D980" s="83">
        <f>267.466</f>
        <v>267.46600000000001</v>
      </c>
      <c r="E980" s="92">
        <f>133.845</f>
        <v>133.845</v>
      </c>
      <c r="F980" s="83">
        <f>278.484-40-25-60-100</f>
        <v>53.48399999999998</v>
      </c>
      <c r="G980" s="86">
        <v>40</v>
      </c>
      <c r="H980" s="83">
        <f t="shared" si="161"/>
        <v>185</v>
      </c>
      <c r="I980" s="83">
        <f t="shared" si="158"/>
        <v>0</v>
      </c>
      <c r="J980" s="86">
        <v>100</v>
      </c>
      <c r="K980" s="86">
        <v>300</v>
      </c>
      <c r="L980" s="83">
        <f t="shared" si="151"/>
        <v>1274</v>
      </c>
      <c r="M980" s="94">
        <v>600</v>
      </c>
      <c r="N980" s="83">
        <f>30</f>
        <v>30</v>
      </c>
      <c r="O980" s="86">
        <v>240</v>
      </c>
      <c r="P980" s="86">
        <v>40</v>
      </c>
      <c r="Q980" s="86">
        <f t="shared" si="152"/>
        <v>315</v>
      </c>
      <c r="R980" s="86">
        <f t="shared" si="153"/>
        <v>100</v>
      </c>
      <c r="S980" s="83">
        <f t="shared" si="154"/>
        <v>695</v>
      </c>
      <c r="T980" s="83">
        <f>0</f>
        <v>0</v>
      </c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</row>
    <row r="981" spans="1:30" ht="15.75" x14ac:dyDescent="0.25">
      <c r="A981" s="32">
        <v>70798</v>
      </c>
      <c r="B981" s="95">
        <f t="shared" si="155"/>
        <v>31</v>
      </c>
      <c r="C981" s="83">
        <f>131.881</f>
        <v>131.881</v>
      </c>
      <c r="D981" s="83">
        <f>277.167</f>
        <v>277.16699999999997</v>
      </c>
      <c r="E981" s="92">
        <f>79.08</f>
        <v>79.08</v>
      </c>
      <c r="F981" s="83">
        <f>350.872-40-25-60-100</f>
        <v>125.87200000000001</v>
      </c>
      <c r="G981" s="86">
        <v>40</v>
      </c>
      <c r="H981" s="83">
        <f t="shared" si="161"/>
        <v>185</v>
      </c>
      <c r="I981" s="83">
        <f t="shared" si="158"/>
        <v>0</v>
      </c>
      <c r="J981" s="86">
        <v>100</v>
      </c>
      <c r="K981" s="86">
        <v>300</v>
      </c>
      <c r="L981" s="83">
        <f t="shared" si="151"/>
        <v>1239</v>
      </c>
      <c r="M981" s="94">
        <v>600</v>
      </c>
      <c r="N981" s="83">
        <f>75</f>
        <v>75</v>
      </c>
      <c r="O981" s="86">
        <v>240</v>
      </c>
      <c r="P981" s="86">
        <v>40</v>
      </c>
      <c r="Q981" s="86">
        <f t="shared" si="152"/>
        <v>315</v>
      </c>
      <c r="R981" s="86">
        <f t="shared" si="153"/>
        <v>100</v>
      </c>
      <c r="S981" s="83">
        <f t="shared" si="154"/>
        <v>695</v>
      </c>
      <c r="T981" s="83">
        <f>0</f>
        <v>0</v>
      </c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</row>
    <row r="982" spans="1:30" ht="15.75" x14ac:dyDescent="0.25">
      <c r="A982" s="32">
        <v>70828</v>
      </c>
      <c r="B982" s="95">
        <f t="shared" si="155"/>
        <v>30</v>
      </c>
      <c r="C982" s="83">
        <f>122.58</f>
        <v>122.58</v>
      </c>
      <c r="D982" s="83">
        <f>297.941</f>
        <v>297.94099999999997</v>
      </c>
      <c r="E982" s="92">
        <f>89.177</f>
        <v>89.177000000000007</v>
      </c>
      <c r="F982" s="83">
        <f>240.302-40-60-100</f>
        <v>40.301999999999992</v>
      </c>
      <c r="G982" s="86">
        <v>40</v>
      </c>
      <c r="H982" s="83">
        <f>60+100</f>
        <v>160</v>
      </c>
      <c r="I982" s="83">
        <f t="shared" si="158"/>
        <v>0</v>
      </c>
      <c r="J982" s="86">
        <v>100</v>
      </c>
      <c r="K982" s="86">
        <v>300</v>
      </c>
      <c r="L982" s="83">
        <f t="shared" ref="L982:L1045" si="162">SUM(C982:K982)</f>
        <v>1150</v>
      </c>
      <c r="M982" s="94">
        <v>600</v>
      </c>
      <c r="N982" s="83">
        <f>100</f>
        <v>100</v>
      </c>
      <c r="O982" s="86">
        <v>240</v>
      </c>
      <c r="P982" s="86">
        <v>40</v>
      </c>
      <c r="Q982" s="86">
        <f t="shared" ref="Q982:Q1045" si="163">695-R982-O982-P982</f>
        <v>315</v>
      </c>
      <c r="R982" s="86">
        <f t="shared" ref="R982:R1045" si="164">200-J982</f>
        <v>100</v>
      </c>
      <c r="S982" s="83">
        <f t="shared" ref="S982:S1045" si="165">SUM(O982:R982)</f>
        <v>695</v>
      </c>
      <c r="T982" s="83">
        <f>50</f>
        <v>50</v>
      </c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</row>
    <row r="983" spans="1:30" ht="15.75" x14ac:dyDescent="0.25">
      <c r="A983" s="32">
        <v>70859</v>
      </c>
      <c r="B983" s="95">
        <f t="shared" si="155"/>
        <v>31</v>
      </c>
      <c r="C983" s="83">
        <f>122.58</f>
        <v>122.58</v>
      </c>
      <c r="D983" s="83">
        <f>297.941</f>
        <v>297.94099999999997</v>
      </c>
      <c r="E983" s="92">
        <f>89.177</f>
        <v>89.177000000000007</v>
      </c>
      <c r="F983" s="83">
        <f>240.302-40-60-100</f>
        <v>40.301999999999992</v>
      </c>
      <c r="G983" s="86">
        <v>40</v>
      </c>
      <c r="H983" s="83">
        <f>60+100</f>
        <v>160</v>
      </c>
      <c r="I983" s="83">
        <f t="shared" si="158"/>
        <v>0</v>
      </c>
      <c r="J983" s="86">
        <v>100</v>
      </c>
      <c r="K983" s="86">
        <v>300</v>
      </c>
      <c r="L983" s="83">
        <f t="shared" si="162"/>
        <v>1150</v>
      </c>
      <c r="M983" s="94">
        <v>600</v>
      </c>
      <c r="N983" s="83">
        <f>100</f>
        <v>100</v>
      </c>
      <c r="O983" s="86">
        <v>240</v>
      </c>
      <c r="P983" s="86">
        <v>40</v>
      </c>
      <c r="Q983" s="86">
        <f t="shared" si="163"/>
        <v>315</v>
      </c>
      <c r="R983" s="86">
        <f t="shared" si="164"/>
        <v>100</v>
      </c>
      <c r="S983" s="83">
        <f t="shared" si="165"/>
        <v>695</v>
      </c>
      <c r="T983" s="83">
        <f>50</f>
        <v>50</v>
      </c>
      <c r="U983" s="84"/>
      <c r="V983" s="84"/>
      <c r="W983" s="84"/>
      <c r="X983" s="84"/>
      <c r="Y983" s="84"/>
      <c r="Z983" s="84"/>
      <c r="AA983" s="84"/>
      <c r="AB983" s="84"/>
      <c r="AC983" s="84"/>
      <c r="AD983" s="84"/>
    </row>
    <row r="984" spans="1:30" ht="15.75" x14ac:dyDescent="0.25">
      <c r="A984" s="32">
        <v>70890</v>
      </c>
      <c r="B984" s="95">
        <f t="shared" ref="B984:B1047" si="166">EOMONTH(A984,0)-EOMONTH(A984,-1)</f>
        <v>31</v>
      </c>
      <c r="C984" s="83">
        <f>122.58</f>
        <v>122.58</v>
      </c>
      <c r="D984" s="83">
        <f>297.941</f>
        <v>297.94099999999997</v>
      </c>
      <c r="E984" s="92">
        <f>89.177</f>
        <v>89.177000000000007</v>
      </c>
      <c r="F984" s="83">
        <f>240.302-40-60-100</f>
        <v>40.301999999999992</v>
      </c>
      <c r="G984" s="86">
        <v>40</v>
      </c>
      <c r="H984" s="83">
        <f>60+100</f>
        <v>160</v>
      </c>
      <c r="I984" s="83">
        <f t="shared" si="158"/>
        <v>0</v>
      </c>
      <c r="J984" s="86">
        <v>100</v>
      </c>
      <c r="K984" s="86">
        <v>300</v>
      </c>
      <c r="L984" s="83">
        <f t="shared" si="162"/>
        <v>1150</v>
      </c>
      <c r="M984" s="94">
        <v>600</v>
      </c>
      <c r="N984" s="83">
        <f>100</f>
        <v>100</v>
      </c>
      <c r="O984" s="86">
        <v>240</v>
      </c>
      <c r="P984" s="86">
        <v>40</v>
      </c>
      <c r="Q984" s="86">
        <f t="shared" si="163"/>
        <v>315</v>
      </c>
      <c r="R984" s="86">
        <f t="shared" si="164"/>
        <v>100</v>
      </c>
      <c r="S984" s="83">
        <f t="shared" si="165"/>
        <v>695</v>
      </c>
      <c r="T984" s="83">
        <f>50</f>
        <v>50</v>
      </c>
      <c r="U984" s="84"/>
      <c r="V984" s="84"/>
      <c r="W984" s="84"/>
      <c r="X984" s="84"/>
      <c r="Y984" s="84"/>
      <c r="Z984" s="84"/>
      <c r="AA984" s="84"/>
      <c r="AB984" s="84"/>
      <c r="AC984" s="84"/>
      <c r="AD984" s="84"/>
    </row>
    <row r="985" spans="1:30" ht="15.75" x14ac:dyDescent="0.25">
      <c r="A985" s="32">
        <v>70918</v>
      </c>
      <c r="B985" s="95">
        <f t="shared" si="166"/>
        <v>28</v>
      </c>
      <c r="C985" s="83">
        <f>122.58</f>
        <v>122.58</v>
      </c>
      <c r="D985" s="83">
        <f>297.941</f>
        <v>297.94099999999997</v>
      </c>
      <c r="E985" s="92">
        <f>89.177</f>
        <v>89.177000000000007</v>
      </c>
      <c r="F985" s="83">
        <f>240.302-40-60-100</f>
        <v>40.301999999999992</v>
      </c>
      <c r="G985" s="86">
        <v>40</v>
      </c>
      <c r="H985" s="83">
        <f>60+100</f>
        <v>160</v>
      </c>
      <c r="I985" s="83">
        <f t="shared" si="158"/>
        <v>0</v>
      </c>
      <c r="J985" s="86">
        <v>100</v>
      </c>
      <c r="K985" s="86">
        <v>300</v>
      </c>
      <c r="L985" s="83">
        <f t="shared" si="162"/>
        <v>1150</v>
      </c>
      <c r="M985" s="94">
        <v>600</v>
      </c>
      <c r="N985" s="83">
        <f>100</f>
        <v>100</v>
      </c>
      <c r="O985" s="86">
        <v>240</v>
      </c>
      <c r="P985" s="86">
        <v>40</v>
      </c>
      <c r="Q985" s="86">
        <f t="shared" si="163"/>
        <v>315</v>
      </c>
      <c r="R985" s="86">
        <f t="shared" si="164"/>
        <v>100</v>
      </c>
      <c r="S985" s="83">
        <f t="shared" si="165"/>
        <v>695</v>
      </c>
      <c r="T985" s="83">
        <f>50</f>
        <v>50</v>
      </c>
      <c r="U985" s="84"/>
      <c r="V985" s="84"/>
      <c r="W985" s="84"/>
      <c r="X985" s="84"/>
      <c r="Y985" s="84"/>
      <c r="Z985" s="84"/>
      <c r="AA985" s="84"/>
      <c r="AB985" s="84"/>
      <c r="AC985" s="84"/>
      <c r="AD985" s="84"/>
    </row>
    <row r="986" spans="1:30" ht="15.75" x14ac:dyDescent="0.25">
      <c r="A986" s="32">
        <v>70949</v>
      </c>
      <c r="B986" s="95">
        <f t="shared" si="166"/>
        <v>31</v>
      </c>
      <c r="C986" s="83">
        <f>122.58</f>
        <v>122.58</v>
      </c>
      <c r="D986" s="83">
        <f>297.941</f>
        <v>297.94099999999997</v>
      </c>
      <c r="E986" s="92">
        <f>89.177</f>
        <v>89.177000000000007</v>
      </c>
      <c r="F986" s="83">
        <f>240.302-40-60-100</f>
        <v>40.301999999999992</v>
      </c>
      <c r="G986" s="86">
        <v>40</v>
      </c>
      <c r="H986" s="83">
        <f>60+100</f>
        <v>160</v>
      </c>
      <c r="I986" s="83">
        <f t="shared" si="158"/>
        <v>0</v>
      </c>
      <c r="J986" s="86">
        <v>100</v>
      </c>
      <c r="K986" s="86">
        <v>300</v>
      </c>
      <c r="L986" s="83">
        <f t="shared" si="162"/>
        <v>1150</v>
      </c>
      <c r="M986" s="94">
        <v>600</v>
      </c>
      <c r="N986" s="83">
        <f>100</f>
        <v>100</v>
      </c>
      <c r="O986" s="86">
        <v>240</v>
      </c>
      <c r="P986" s="86">
        <v>40</v>
      </c>
      <c r="Q986" s="86">
        <f t="shared" si="163"/>
        <v>315</v>
      </c>
      <c r="R986" s="86">
        <f t="shared" si="164"/>
        <v>100</v>
      </c>
      <c r="S986" s="83">
        <f t="shared" si="165"/>
        <v>695</v>
      </c>
      <c r="T986" s="83">
        <f>50</f>
        <v>50</v>
      </c>
      <c r="U986" s="84"/>
      <c r="V986" s="84"/>
      <c r="W986" s="84"/>
      <c r="X986" s="84"/>
      <c r="Y986" s="84"/>
      <c r="Z986" s="84"/>
      <c r="AA986" s="84"/>
      <c r="AB986" s="84"/>
      <c r="AC986" s="84"/>
      <c r="AD986" s="84"/>
    </row>
    <row r="987" spans="1:30" ht="15.75" x14ac:dyDescent="0.25">
      <c r="A987" s="32">
        <v>70979</v>
      </c>
      <c r="B987" s="95">
        <f t="shared" si="166"/>
        <v>30</v>
      </c>
      <c r="C987" s="83">
        <f>141.293</f>
        <v>141.29300000000001</v>
      </c>
      <c r="D987" s="83">
        <f>267.993</f>
        <v>267.99299999999999</v>
      </c>
      <c r="E987" s="92">
        <f>115.016</f>
        <v>115.01600000000001</v>
      </c>
      <c r="F987" s="83">
        <f>314.698-40-25-60-100</f>
        <v>89.697999999999979</v>
      </c>
      <c r="G987" s="86">
        <v>40</v>
      </c>
      <c r="H987" s="83">
        <f t="shared" ref="H987:H993" si="167">25+60+100</f>
        <v>185</v>
      </c>
      <c r="I987" s="83">
        <f t="shared" si="158"/>
        <v>0</v>
      </c>
      <c r="J987" s="86">
        <v>100</v>
      </c>
      <c r="K987" s="86">
        <v>300</v>
      </c>
      <c r="L987" s="83">
        <f t="shared" si="162"/>
        <v>1239</v>
      </c>
      <c r="M987" s="94">
        <v>600</v>
      </c>
      <c r="N987" s="83">
        <f>100</f>
        <v>100</v>
      </c>
      <c r="O987" s="86">
        <v>240</v>
      </c>
      <c r="P987" s="86">
        <v>40</v>
      </c>
      <c r="Q987" s="86">
        <f t="shared" si="163"/>
        <v>315</v>
      </c>
      <c r="R987" s="86">
        <f t="shared" si="164"/>
        <v>100</v>
      </c>
      <c r="S987" s="83">
        <f t="shared" si="165"/>
        <v>695</v>
      </c>
      <c r="T987" s="83">
        <f>50</f>
        <v>50</v>
      </c>
      <c r="U987" s="84"/>
      <c r="V987" s="84"/>
      <c r="W987" s="84"/>
      <c r="X987" s="84"/>
      <c r="Y987" s="84"/>
      <c r="Z987" s="84"/>
      <c r="AA987" s="84"/>
      <c r="AB987" s="84"/>
      <c r="AC987" s="84"/>
      <c r="AD987" s="84"/>
    </row>
    <row r="988" spans="1:30" ht="15.75" x14ac:dyDescent="0.25">
      <c r="A988" s="32">
        <v>71010</v>
      </c>
      <c r="B988" s="95">
        <f t="shared" si="166"/>
        <v>31</v>
      </c>
      <c r="C988" s="83">
        <f>194.205</f>
        <v>194.20500000000001</v>
      </c>
      <c r="D988" s="83">
        <f>267.466</f>
        <v>267.46600000000001</v>
      </c>
      <c r="E988" s="92">
        <f>133.845</f>
        <v>133.845</v>
      </c>
      <c r="F988" s="83">
        <f>278.484-40-25-60-100</f>
        <v>53.48399999999998</v>
      </c>
      <c r="G988" s="86">
        <v>40</v>
      </c>
      <c r="H988" s="83">
        <f t="shared" si="167"/>
        <v>185</v>
      </c>
      <c r="I988" s="83">
        <f t="shared" si="158"/>
        <v>0</v>
      </c>
      <c r="J988" s="86">
        <v>100</v>
      </c>
      <c r="K988" s="86">
        <v>300</v>
      </c>
      <c r="L988" s="83">
        <f t="shared" si="162"/>
        <v>1274</v>
      </c>
      <c r="M988" s="94">
        <v>600</v>
      </c>
      <c r="N988" s="83">
        <f>75</f>
        <v>75</v>
      </c>
      <c r="O988" s="86">
        <v>240</v>
      </c>
      <c r="P988" s="86">
        <v>40</v>
      </c>
      <c r="Q988" s="86">
        <f t="shared" si="163"/>
        <v>315</v>
      </c>
      <c r="R988" s="86">
        <f t="shared" si="164"/>
        <v>100</v>
      </c>
      <c r="S988" s="83">
        <f t="shared" si="165"/>
        <v>695</v>
      </c>
      <c r="T988" s="83">
        <f>50</f>
        <v>50</v>
      </c>
      <c r="U988" s="84"/>
      <c r="V988" s="84"/>
      <c r="W988" s="84"/>
      <c r="X988" s="84"/>
      <c r="Y988" s="84"/>
      <c r="Z988" s="84"/>
      <c r="AA988" s="84"/>
      <c r="AB988" s="84"/>
      <c r="AC988" s="84"/>
      <c r="AD988" s="84"/>
    </row>
    <row r="989" spans="1:30" ht="15.75" x14ac:dyDescent="0.25">
      <c r="A989" s="32">
        <v>71040</v>
      </c>
      <c r="B989" s="95">
        <f t="shared" si="166"/>
        <v>30</v>
      </c>
      <c r="C989" s="83">
        <f>194.205</f>
        <v>194.20500000000001</v>
      </c>
      <c r="D989" s="83">
        <f>267.466</f>
        <v>267.46600000000001</v>
      </c>
      <c r="E989" s="92">
        <f>133.845</f>
        <v>133.845</v>
      </c>
      <c r="F989" s="83">
        <f>278.484-40-25-60-100</f>
        <v>53.48399999999998</v>
      </c>
      <c r="G989" s="86">
        <v>40</v>
      </c>
      <c r="H989" s="83">
        <f t="shared" si="167"/>
        <v>185</v>
      </c>
      <c r="I989" s="83">
        <f t="shared" si="158"/>
        <v>0</v>
      </c>
      <c r="J989" s="86">
        <v>100</v>
      </c>
      <c r="K989" s="86">
        <v>300</v>
      </c>
      <c r="L989" s="83">
        <f t="shared" si="162"/>
        <v>1274</v>
      </c>
      <c r="M989" s="94">
        <v>600</v>
      </c>
      <c r="N989" s="83">
        <f>30</f>
        <v>30</v>
      </c>
      <c r="O989" s="86">
        <v>240</v>
      </c>
      <c r="P989" s="86">
        <v>40</v>
      </c>
      <c r="Q989" s="86">
        <f t="shared" si="163"/>
        <v>315</v>
      </c>
      <c r="R989" s="86">
        <f t="shared" si="164"/>
        <v>100</v>
      </c>
      <c r="S989" s="83">
        <f t="shared" si="165"/>
        <v>695</v>
      </c>
      <c r="T989" s="83">
        <f>50</f>
        <v>50</v>
      </c>
      <c r="U989" s="84"/>
      <c r="V989" s="84"/>
      <c r="W989" s="84"/>
      <c r="X989" s="84"/>
      <c r="Y989" s="84"/>
      <c r="Z989" s="84"/>
      <c r="AA989" s="84"/>
      <c r="AB989" s="84"/>
      <c r="AC989" s="84"/>
      <c r="AD989" s="84"/>
    </row>
    <row r="990" spans="1:30" ht="15.75" x14ac:dyDescent="0.25">
      <c r="A990" s="32">
        <v>71071</v>
      </c>
      <c r="B990" s="95">
        <f t="shared" si="166"/>
        <v>31</v>
      </c>
      <c r="C990" s="83">
        <f>194.205</f>
        <v>194.20500000000001</v>
      </c>
      <c r="D990" s="83">
        <f>267.466</f>
        <v>267.46600000000001</v>
      </c>
      <c r="E990" s="92">
        <f>133.845</f>
        <v>133.845</v>
      </c>
      <c r="F990" s="83">
        <f>278.484-40-25-60-100</f>
        <v>53.48399999999998</v>
      </c>
      <c r="G990" s="86">
        <v>40</v>
      </c>
      <c r="H990" s="83">
        <f t="shared" si="167"/>
        <v>185</v>
      </c>
      <c r="I990" s="83">
        <f t="shared" si="158"/>
        <v>0</v>
      </c>
      <c r="J990" s="86">
        <v>100</v>
      </c>
      <c r="K990" s="86">
        <v>300</v>
      </c>
      <c r="L990" s="83">
        <f t="shared" si="162"/>
        <v>1274</v>
      </c>
      <c r="M990" s="94">
        <v>600</v>
      </c>
      <c r="N990" s="83">
        <f>30</f>
        <v>30</v>
      </c>
      <c r="O990" s="86">
        <v>240</v>
      </c>
      <c r="P990" s="86">
        <v>40</v>
      </c>
      <c r="Q990" s="86">
        <f t="shared" si="163"/>
        <v>315</v>
      </c>
      <c r="R990" s="86">
        <f t="shared" si="164"/>
        <v>100</v>
      </c>
      <c r="S990" s="83">
        <f t="shared" si="165"/>
        <v>695</v>
      </c>
      <c r="T990" s="83">
        <f>0</f>
        <v>0</v>
      </c>
      <c r="U990" s="84"/>
      <c r="V990" s="84"/>
      <c r="W990" s="84"/>
      <c r="X990" s="84"/>
      <c r="Y990" s="84"/>
      <c r="Z990" s="84"/>
      <c r="AA990" s="84"/>
      <c r="AB990" s="84"/>
      <c r="AC990" s="84"/>
      <c r="AD990" s="84"/>
    </row>
    <row r="991" spans="1:30" ht="15.75" x14ac:dyDescent="0.25">
      <c r="A991" s="32">
        <v>71102</v>
      </c>
      <c r="B991" s="95">
        <f t="shared" si="166"/>
        <v>31</v>
      </c>
      <c r="C991" s="83">
        <f>194.205</f>
        <v>194.20500000000001</v>
      </c>
      <c r="D991" s="83">
        <f>267.466</f>
        <v>267.46600000000001</v>
      </c>
      <c r="E991" s="92">
        <f>133.845</f>
        <v>133.845</v>
      </c>
      <c r="F991" s="83">
        <f>278.484-40-25-60-100</f>
        <v>53.48399999999998</v>
      </c>
      <c r="G991" s="86">
        <v>40</v>
      </c>
      <c r="H991" s="83">
        <f t="shared" si="167"/>
        <v>185</v>
      </c>
      <c r="I991" s="83">
        <f t="shared" si="158"/>
        <v>0</v>
      </c>
      <c r="J991" s="86">
        <v>100</v>
      </c>
      <c r="K991" s="86">
        <v>300</v>
      </c>
      <c r="L991" s="83">
        <f t="shared" si="162"/>
        <v>1274</v>
      </c>
      <c r="M991" s="94">
        <v>600</v>
      </c>
      <c r="N991" s="83">
        <f>30</f>
        <v>30</v>
      </c>
      <c r="O991" s="86">
        <v>240</v>
      </c>
      <c r="P991" s="86">
        <v>40</v>
      </c>
      <c r="Q991" s="86">
        <f t="shared" si="163"/>
        <v>315</v>
      </c>
      <c r="R991" s="86">
        <f t="shared" si="164"/>
        <v>100</v>
      </c>
      <c r="S991" s="83">
        <f t="shared" si="165"/>
        <v>695</v>
      </c>
      <c r="T991" s="83">
        <f>0</f>
        <v>0</v>
      </c>
      <c r="U991" s="84"/>
      <c r="V991" s="84"/>
      <c r="W991" s="84"/>
      <c r="X991" s="84"/>
      <c r="Y991" s="84"/>
      <c r="Z991" s="84"/>
      <c r="AA991" s="84"/>
      <c r="AB991" s="84"/>
      <c r="AC991" s="84"/>
      <c r="AD991" s="84"/>
    </row>
    <row r="992" spans="1:30" ht="15.75" x14ac:dyDescent="0.25">
      <c r="A992" s="32">
        <v>71132</v>
      </c>
      <c r="B992" s="95">
        <f t="shared" si="166"/>
        <v>30</v>
      </c>
      <c r="C992" s="83">
        <f>194.205</f>
        <v>194.20500000000001</v>
      </c>
      <c r="D992" s="83">
        <f>267.466</f>
        <v>267.46600000000001</v>
      </c>
      <c r="E992" s="92">
        <f>133.845</f>
        <v>133.845</v>
      </c>
      <c r="F992" s="83">
        <f>278.484-40-25-60-100</f>
        <v>53.48399999999998</v>
      </c>
      <c r="G992" s="86">
        <v>40</v>
      </c>
      <c r="H992" s="83">
        <f t="shared" si="167"/>
        <v>185</v>
      </c>
      <c r="I992" s="83">
        <f t="shared" si="158"/>
        <v>0</v>
      </c>
      <c r="J992" s="86">
        <v>100</v>
      </c>
      <c r="K992" s="86">
        <v>300</v>
      </c>
      <c r="L992" s="83">
        <f t="shared" si="162"/>
        <v>1274</v>
      </c>
      <c r="M992" s="94">
        <v>600</v>
      </c>
      <c r="N992" s="83">
        <f>30</f>
        <v>30</v>
      </c>
      <c r="O992" s="86">
        <v>240</v>
      </c>
      <c r="P992" s="86">
        <v>40</v>
      </c>
      <c r="Q992" s="86">
        <f t="shared" si="163"/>
        <v>315</v>
      </c>
      <c r="R992" s="86">
        <f t="shared" si="164"/>
        <v>100</v>
      </c>
      <c r="S992" s="83">
        <f t="shared" si="165"/>
        <v>695</v>
      </c>
      <c r="T992" s="83">
        <f>0</f>
        <v>0</v>
      </c>
      <c r="U992" s="84"/>
      <c r="V992" s="84"/>
      <c r="W992" s="84"/>
      <c r="X992" s="84"/>
      <c r="Y992" s="84"/>
      <c r="Z992" s="84"/>
      <c r="AA992" s="84"/>
      <c r="AB992" s="84"/>
      <c r="AC992" s="84"/>
      <c r="AD992" s="84"/>
    </row>
    <row r="993" spans="1:30" ht="15.75" x14ac:dyDescent="0.25">
      <c r="A993" s="32">
        <v>71163</v>
      </c>
      <c r="B993" s="95">
        <f t="shared" si="166"/>
        <v>31</v>
      </c>
      <c r="C993" s="83">
        <f>131.881</f>
        <v>131.881</v>
      </c>
      <c r="D993" s="83">
        <f>277.167</f>
        <v>277.16699999999997</v>
      </c>
      <c r="E993" s="92">
        <f>79.08</f>
        <v>79.08</v>
      </c>
      <c r="F993" s="83">
        <f>350.872-40-25-60-100</f>
        <v>125.87200000000001</v>
      </c>
      <c r="G993" s="86">
        <v>40</v>
      </c>
      <c r="H993" s="83">
        <f t="shared" si="167"/>
        <v>185</v>
      </c>
      <c r="I993" s="83">
        <f t="shared" si="158"/>
        <v>0</v>
      </c>
      <c r="J993" s="86">
        <v>100</v>
      </c>
      <c r="K993" s="86">
        <v>300</v>
      </c>
      <c r="L993" s="83">
        <f t="shared" si="162"/>
        <v>1239</v>
      </c>
      <c r="M993" s="94">
        <v>600</v>
      </c>
      <c r="N993" s="83">
        <f>75</f>
        <v>75</v>
      </c>
      <c r="O993" s="86">
        <v>240</v>
      </c>
      <c r="P993" s="86">
        <v>40</v>
      </c>
      <c r="Q993" s="86">
        <f t="shared" si="163"/>
        <v>315</v>
      </c>
      <c r="R993" s="86">
        <f t="shared" si="164"/>
        <v>100</v>
      </c>
      <c r="S993" s="83">
        <f t="shared" si="165"/>
        <v>695</v>
      </c>
      <c r="T993" s="83">
        <f>0</f>
        <v>0</v>
      </c>
      <c r="U993" s="84"/>
      <c r="V993" s="84"/>
      <c r="W993" s="84"/>
      <c r="X993" s="84"/>
      <c r="Y993" s="84"/>
      <c r="Z993" s="84"/>
      <c r="AA993" s="84"/>
      <c r="AB993" s="84"/>
      <c r="AC993" s="84"/>
      <c r="AD993" s="84"/>
    </row>
    <row r="994" spans="1:30" ht="15.75" x14ac:dyDescent="0.25">
      <c r="A994" s="32">
        <v>71193</v>
      </c>
      <c r="B994" s="95">
        <f t="shared" si="166"/>
        <v>30</v>
      </c>
      <c r="C994" s="83">
        <f>122.58</f>
        <v>122.58</v>
      </c>
      <c r="D994" s="83">
        <f>297.941</f>
        <v>297.94099999999997</v>
      </c>
      <c r="E994" s="92">
        <f>89.177</f>
        <v>89.177000000000007</v>
      </c>
      <c r="F994" s="83">
        <f>240.302-40-60-100</f>
        <v>40.301999999999992</v>
      </c>
      <c r="G994" s="86">
        <v>40</v>
      </c>
      <c r="H994" s="83">
        <f>60+100</f>
        <v>160</v>
      </c>
      <c r="I994" s="83">
        <f t="shared" si="158"/>
        <v>0</v>
      </c>
      <c r="J994" s="86">
        <v>100</v>
      </c>
      <c r="K994" s="86">
        <v>300</v>
      </c>
      <c r="L994" s="83">
        <f t="shared" si="162"/>
        <v>1150</v>
      </c>
      <c r="M994" s="94">
        <v>600</v>
      </c>
      <c r="N994" s="83">
        <f>100</f>
        <v>100</v>
      </c>
      <c r="O994" s="86">
        <v>240</v>
      </c>
      <c r="P994" s="86">
        <v>40</v>
      </c>
      <c r="Q994" s="86">
        <f t="shared" si="163"/>
        <v>315</v>
      </c>
      <c r="R994" s="86">
        <f t="shared" si="164"/>
        <v>100</v>
      </c>
      <c r="S994" s="83">
        <f t="shared" si="165"/>
        <v>695</v>
      </c>
      <c r="T994" s="83">
        <f>50</f>
        <v>50</v>
      </c>
      <c r="U994" s="84"/>
      <c r="V994" s="84"/>
      <c r="W994" s="84"/>
      <c r="X994" s="84"/>
      <c r="Y994" s="84"/>
      <c r="Z994" s="84"/>
      <c r="AA994" s="84"/>
      <c r="AB994" s="84"/>
      <c r="AC994" s="84"/>
      <c r="AD994" s="84"/>
    </row>
    <row r="995" spans="1:30" ht="15.75" x14ac:dyDescent="0.25">
      <c r="A995" s="32">
        <v>71224</v>
      </c>
      <c r="B995" s="95">
        <f t="shared" si="166"/>
        <v>31</v>
      </c>
      <c r="C995" s="83">
        <f>122.58</f>
        <v>122.58</v>
      </c>
      <c r="D995" s="83">
        <f>297.941</f>
        <v>297.94099999999997</v>
      </c>
      <c r="E995" s="92">
        <f>89.177</f>
        <v>89.177000000000007</v>
      </c>
      <c r="F995" s="83">
        <f>240.302-40-60-100</f>
        <v>40.301999999999992</v>
      </c>
      <c r="G995" s="86">
        <v>40</v>
      </c>
      <c r="H995" s="83">
        <f>60+100</f>
        <v>160</v>
      </c>
      <c r="I995" s="83">
        <f t="shared" si="158"/>
        <v>0</v>
      </c>
      <c r="J995" s="86">
        <v>100</v>
      </c>
      <c r="K995" s="86">
        <v>300</v>
      </c>
      <c r="L995" s="83">
        <f t="shared" si="162"/>
        <v>1150</v>
      </c>
      <c r="M995" s="94">
        <v>600</v>
      </c>
      <c r="N995" s="83">
        <f>100</f>
        <v>100</v>
      </c>
      <c r="O995" s="86">
        <v>240</v>
      </c>
      <c r="P995" s="86">
        <v>40</v>
      </c>
      <c r="Q995" s="86">
        <f t="shared" si="163"/>
        <v>315</v>
      </c>
      <c r="R995" s="86">
        <f t="shared" si="164"/>
        <v>100</v>
      </c>
      <c r="S995" s="83">
        <f t="shared" si="165"/>
        <v>695</v>
      </c>
      <c r="T995" s="83">
        <f>50</f>
        <v>50</v>
      </c>
      <c r="U995" s="84"/>
      <c r="V995" s="84"/>
      <c r="W995" s="84"/>
      <c r="X995" s="84"/>
      <c r="Y995" s="84"/>
      <c r="Z995" s="84"/>
      <c r="AA995" s="84"/>
      <c r="AB995" s="84"/>
      <c r="AC995" s="84"/>
      <c r="AD995" s="84"/>
    </row>
    <row r="996" spans="1:30" ht="15.75" x14ac:dyDescent="0.25">
      <c r="A996" s="32">
        <v>71255</v>
      </c>
      <c r="B996" s="95">
        <f t="shared" si="166"/>
        <v>31</v>
      </c>
      <c r="C996" s="83">
        <f>122.58</f>
        <v>122.58</v>
      </c>
      <c r="D996" s="83">
        <f>297.941</f>
        <v>297.94099999999997</v>
      </c>
      <c r="E996" s="92">
        <f>89.177</f>
        <v>89.177000000000007</v>
      </c>
      <c r="F996" s="83">
        <f>240.302-40-60-100</f>
        <v>40.301999999999992</v>
      </c>
      <c r="G996" s="86">
        <v>40</v>
      </c>
      <c r="H996" s="83">
        <f>60+100</f>
        <v>160</v>
      </c>
      <c r="I996" s="83">
        <f t="shared" si="158"/>
        <v>0</v>
      </c>
      <c r="J996" s="86">
        <v>100</v>
      </c>
      <c r="K996" s="86">
        <v>300</v>
      </c>
      <c r="L996" s="83">
        <f t="shared" si="162"/>
        <v>1150</v>
      </c>
      <c r="M996" s="94">
        <v>600</v>
      </c>
      <c r="N996" s="83">
        <f>100</f>
        <v>100</v>
      </c>
      <c r="O996" s="86">
        <v>240</v>
      </c>
      <c r="P996" s="86">
        <v>40</v>
      </c>
      <c r="Q996" s="86">
        <f t="shared" si="163"/>
        <v>315</v>
      </c>
      <c r="R996" s="86">
        <f t="shared" si="164"/>
        <v>100</v>
      </c>
      <c r="S996" s="83">
        <f t="shared" si="165"/>
        <v>695</v>
      </c>
      <c r="T996" s="83">
        <f>50</f>
        <v>50</v>
      </c>
      <c r="U996" s="84"/>
      <c r="V996" s="84"/>
      <c r="W996" s="84"/>
      <c r="X996" s="84"/>
      <c r="Y996" s="84"/>
      <c r="Z996" s="84"/>
      <c r="AA996" s="84"/>
      <c r="AB996" s="84"/>
      <c r="AC996" s="84"/>
      <c r="AD996" s="84"/>
    </row>
    <row r="997" spans="1:30" ht="15.75" x14ac:dyDescent="0.25">
      <c r="A997" s="32">
        <v>71283</v>
      </c>
      <c r="B997" s="95">
        <f t="shared" si="166"/>
        <v>28</v>
      </c>
      <c r="C997" s="83">
        <f>122.58</f>
        <v>122.58</v>
      </c>
      <c r="D997" s="83">
        <f>297.941</f>
        <v>297.94099999999997</v>
      </c>
      <c r="E997" s="92">
        <f>89.177</f>
        <v>89.177000000000007</v>
      </c>
      <c r="F997" s="83">
        <f>240.302-40-60-100</f>
        <v>40.301999999999992</v>
      </c>
      <c r="G997" s="86">
        <v>40</v>
      </c>
      <c r="H997" s="83">
        <f>60+100</f>
        <v>160</v>
      </c>
      <c r="I997" s="83">
        <f t="shared" si="158"/>
        <v>0</v>
      </c>
      <c r="J997" s="86">
        <v>100</v>
      </c>
      <c r="K997" s="86">
        <v>300</v>
      </c>
      <c r="L997" s="83">
        <f t="shared" si="162"/>
        <v>1150</v>
      </c>
      <c r="M997" s="94">
        <v>600</v>
      </c>
      <c r="N997" s="83">
        <f>100</f>
        <v>100</v>
      </c>
      <c r="O997" s="86">
        <v>240</v>
      </c>
      <c r="P997" s="86">
        <v>40</v>
      </c>
      <c r="Q997" s="86">
        <f t="shared" si="163"/>
        <v>315</v>
      </c>
      <c r="R997" s="86">
        <f t="shared" si="164"/>
        <v>100</v>
      </c>
      <c r="S997" s="83">
        <f t="shared" si="165"/>
        <v>695</v>
      </c>
      <c r="T997" s="83">
        <f>50</f>
        <v>50</v>
      </c>
      <c r="U997" s="84"/>
      <c r="V997" s="84"/>
      <c r="W997" s="84"/>
      <c r="X997" s="84"/>
      <c r="Y997" s="84"/>
      <c r="Z997" s="84"/>
      <c r="AA997" s="84"/>
      <c r="AB997" s="84"/>
      <c r="AC997" s="84"/>
      <c r="AD997" s="84"/>
    </row>
    <row r="998" spans="1:30" ht="15.75" x14ac:dyDescent="0.25">
      <c r="A998" s="32">
        <v>71314</v>
      </c>
      <c r="B998" s="95">
        <f t="shared" si="166"/>
        <v>31</v>
      </c>
      <c r="C998" s="83">
        <f>122.58</f>
        <v>122.58</v>
      </c>
      <c r="D998" s="83">
        <f>297.941</f>
        <v>297.94099999999997</v>
      </c>
      <c r="E998" s="92">
        <f>89.177</f>
        <v>89.177000000000007</v>
      </c>
      <c r="F998" s="83">
        <f>240.302-40-60-100</f>
        <v>40.301999999999992</v>
      </c>
      <c r="G998" s="86">
        <v>40</v>
      </c>
      <c r="H998" s="83">
        <f>60+100</f>
        <v>160</v>
      </c>
      <c r="I998" s="83">
        <f t="shared" si="158"/>
        <v>0</v>
      </c>
      <c r="J998" s="86">
        <v>100</v>
      </c>
      <c r="K998" s="86">
        <v>300</v>
      </c>
      <c r="L998" s="83">
        <f t="shared" si="162"/>
        <v>1150</v>
      </c>
      <c r="M998" s="94">
        <v>600</v>
      </c>
      <c r="N998" s="83">
        <f>100</f>
        <v>100</v>
      </c>
      <c r="O998" s="86">
        <v>240</v>
      </c>
      <c r="P998" s="86">
        <v>40</v>
      </c>
      <c r="Q998" s="86">
        <f t="shared" si="163"/>
        <v>315</v>
      </c>
      <c r="R998" s="86">
        <f t="shared" si="164"/>
        <v>100</v>
      </c>
      <c r="S998" s="83">
        <f t="shared" si="165"/>
        <v>695</v>
      </c>
      <c r="T998" s="83">
        <f>50</f>
        <v>50</v>
      </c>
      <c r="U998" s="84"/>
      <c r="V998" s="84"/>
      <c r="W998" s="84"/>
      <c r="X998" s="84"/>
      <c r="Y998" s="84"/>
      <c r="Z998" s="84"/>
      <c r="AA998" s="84"/>
      <c r="AB998" s="84"/>
      <c r="AC998" s="84"/>
      <c r="AD998" s="84"/>
    </row>
    <row r="999" spans="1:30" ht="15.75" x14ac:dyDescent="0.25">
      <c r="A999" s="32">
        <v>71344</v>
      </c>
      <c r="B999" s="95">
        <f t="shared" si="166"/>
        <v>30</v>
      </c>
      <c r="C999" s="83">
        <f>141.293</f>
        <v>141.29300000000001</v>
      </c>
      <c r="D999" s="83">
        <f>267.993</f>
        <v>267.99299999999999</v>
      </c>
      <c r="E999" s="92">
        <f>115.016</f>
        <v>115.01600000000001</v>
      </c>
      <c r="F999" s="83">
        <f>314.698-40-25-60-100</f>
        <v>89.697999999999979</v>
      </c>
      <c r="G999" s="86">
        <v>40</v>
      </c>
      <c r="H999" s="83">
        <f t="shared" ref="H999:H1005" si="168">25+60+100</f>
        <v>185</v>
      </c>
      <c r="I999" s="83">
        <f t="shared" si="158"/>
        <v>0</v>
      </c>
      <c r="J999" s="86">
        <v>100</v>
      </c>
      <c r="K999" s="86">
        <v>300</v>
      </c>
      <c r="L999" s="83">
        <f t="shared" si="162"/>
        <v>1239</v>
      </c>
      <c r="M999" s="94">
        <v>600</v>
      </c>
      <c r="N999" s="83">
        <f>100</f>
        <v>100</v>
      </c>
      <c r="O999" s="86">
        <v>240</v>
      </c>
      <c r="P999" s="86">
        <v>40</v>
      </c>
      <c r="Q999" s="86">
        <f t="shared" si="163"/>
        <v>315</v>
      </c>
      <c r="R999" s="86">
        <f t="shared" si="164"/>
        <v>100</v>
      </c>
      <c r="S999" s="83">
        <f t="shared" si="165"/>
        <v>695</v>
      </c>
      <c r="T999" s="83">
        <f>50</f>
        <v>50</v>
      </c>
      <c r="U999" s="84"/>
      <c r="V999" s="84"/>
      <c r="W999" s="84"/>
      <c r="X999" s="84"/>
      <c r="Y999" s="84"/>
      <c r="Z999" s="84"/>
      <c r="AA999" s="84"/>
      <c r="AB999" s="84"/>
      <c r="AC999" s="84"/>
      <c r="AD999" s="84"/>
    </row>
    <row r="1000" spans="1:30" ht="15.75" x14ac:dyDescent="0.25">
      <c r="A1000" s="32">
        <v>71375</v>
      </c>
      <c r="B1000" s="95">
        <f t="shared" si="166"/>
        <v>31</v>
      </c>
      <c r="C1000" s="83">
        <f>194.205</f>
        <v>194.20500000000001</v>
      </c>
      <c r="D1000" s="83">
        <f>267.466</f>
        <v>267.46600000000001</v>
      </c>
      <c r="E1000" s="92">
        <f>133.845</f>
        <v>133.845</v>
      </c>
      <c r="F1000" s="83">
        <f>278.484-40-25-60-100</f>
        <v>53.48399999999998</v>
      </c>
      <c r="G1000" s="86">
        <v>40</v>
      </c>
      <c r="H1000" s="83">
        <f t="shared" si="168"/>
        <v>185</v>
      </c>
      <c r="I1000" s="83">
        <f t="shared" si="158"/>
        <v>0</v>
      </c>
      <c r="J1000" s="86">
        <v>100</v>
      </c>
      <c r="K1000" s="86">
        <v>300</v>
      </c>
      <c r="L1000" s="83">
        <f t="shared" si="162"/>
        <v>1274</v>
      </c>
      <c r="M1000" s="94">
        <v>600</v>
      </c>
      <c r="N1000" s="83">
        <f>75</f>
        <v>75</v>
      </c>
      <c r="O1000" s="86">
        <v>240</v>
      </c>
      <c r="P1000" s="86">
        <v>40</v>
      </c>
      <c r="Q1000" s="86">
        <f t="shared" si="163"/>
        <v>315</v>
      </c>
      <c r="R1000" s="86">
        <f t="shared" si="164"/>
        <v>100</v>
      </c>
      <c r="S1000" s="83">
        <f t="shared" si="165"/>
        <v>695</v>
      </c>
      <c r="T1000" s="83">
        <f>50</f>
        <v>50</v>
      </c>
      <c r="U1000" s="84"/>
      <c r="V1000" s="84"/>
      <c r="W1000" s="84"/>
      <c r="X1000" s="84"/>
      <c r="Y1000" s="84"/>
      <c r="Z1000" s="84"/>
      <c r="AA1000" s="84"/>
      <c r="AB1000" s="84"/>
      <c r="AC1000" s="84"/>
      <c r="AD1000" s="84"/>
    </row>
    <row r="1001" spans="1:30" ht="15.75" x14ac:dyDescent="0.25">
      <c r="A1001" s="32">
        <v>71405</v>
      </c>
      <c r="B1001" s="95">
        <f t="shared" si="166"/>
        <v>30</v>
      </c>
      <c r="C1001" s="83">
        <f>194.205</f>
        <v>194.20500000000001</v>
      </c>
      <c r="D1001" s="83">
        <f>267.466</f>
        <v>267.46600000000001</v>
      </c>
      <c r="E1001" s="92">
        <f>133.845</f>
        <v>133.845</v>
      </c>
      <c r="F1001" s="83">
        <f>278.484-40-25-60-100</f>
        <v>53.48399999999998</v>
      </c>
      <c r="G1001" s="86">
        <v>40</v>
      </c>
      <c r="H1001" s="83">
        <f t="shared" si="168"/>
        <v>185</v>
      </c>
      <c r="I1001" s="83">
        <f t="shared" si="158"/>
        <v>0</v>
      </c>
      <c r="J1001" s="86">
        <v>100</v>
      </c>
      <c r="K1001" s="86">
        <v>300</v>
      </c>
      <c r="L1001" s="83">
        <f t="shared" si="162"/>
        <v>1274</v>
      </c>
      <c r="M1001" s="94">
        <v>600</v>
      </c>
      <c r="N1001" s="83">
        <f>30</f>
        <v>30</v>
      </c>
      <c r="O1001" s="86">
        <v>240</v>
      </c>
      <c r="P1001" s="86">
        <v>40</v>
      </c>
      <c r="Q1001" s="86">
        <f t="shared" si="163"/>
        <v>315</v>
      </c>
      <c r="R1001" s="86">
        <f t="shared" si="164"/>
        <v>100</v>
      </c>
      <c r="S1001" s="83">
        <f t="shared" si="165"/>
        <v>695</v>
      </c>
      <c r="T1001" s="83">
        <f>50</f>
        <v>50</v>
      </c>
      <c r="U1001" s="84"/>
      <c r="V1001" s="84"/>
      <c r="W1001" s="84"/>
      <c r="X1001" s="84"/>
      <c r="Y1001" s="84"/>
      <c r="Z1001" s="84"/>
      <c r="AA1001" s="84"/>
      <c r="AB1001" s="84"/>
      <c r="AC1001" s="84"/>
      <c r="AD1001" s="84"/>
    </row>
    <row r="1002" spans="1:30" ht="15.75" x14ac:dyDescent="0.25">
      <c r="A1002" s="32">
        <v>71436</v>
      </c>
      <c r="B1002" s="95">
        <f t="shared" si="166"/>
        <v>31</v>
      </c>
      <c r="C1002" s="83">
        <f>194.205</f>
        <v>194.20500000000001</v>
      </c>
      <c r="D1002" s="83">
        <f>267.466</f>
        <v>267.46600000000001</v>
      </c>
      <c r="E1002" s="92">
        <f>133.845</f>
        <v>133.845</v>
      </c>
      <c r="F1002" s="83">
        <f>278.484-40-25-60-100</f>
        <v>53.48399999999998</v>
      </c>
      <c r="G1002" s="86">
        <v>40</v>
      </c>
      <c r="H1002" s="83">
        <f t="shared" si="168"/>
        <v>185</v>
      </c>
      <c r="I1002" s="83">
        <f t="shared" si="158"/>
        <v>0</v>
      </c>
      <c r="J1002" s="86">
        <v>100</v>
      </c>
      <c r="K1002" s="86">
        <v>300</v>
      </c>
      <c r="L1002" s="83">
        <f t="shared" si="162"/>
        <v>1274</v>
      </c>
      <c r="M1002" s="94">
        <v>600</v>
      </c>
      <c r="N1002" s="83">
        <f>30</f>
        <v>30</v>
      </c>
      <c r="O1002" s="86">
        <v>240</v>
      </c>
      <c r="P1002" s="86">
        <v>40</v>
      </c>
      <c r="Q1002" s="86">
        <f t="shared" si="163"/>
        <v>315</v>
      </c>
      <c r="R1002" s="86">
        <f t="shared" si="164"/>
        <v>100</v>
      </c>
      <c r="S1002" s="83">
        <f t="shared" si="165"/>
        <v>695</v>
      </c>
      <c r="T1002" s="83">
        <f>0</f>
        <v>0</v>
      </c>
      <c r="U1002" s="84"/>
      <c r="V1002" s="84"/>
      <c r="W1002" s="84"/>
      <c r="X1002" s="84"/>
      <c r="Y1002" s="84"/>
      <c r="Z1002" s="84"/>
      <c r="AA1002" s="84"/>
      <c r="AB1002" s="84"/>
      <c r="AC1002" s="84"/>
      <c r="AD1002" s="84"/>
    </row>
    <row r="1003" spans="1:30" ht="15.75" x14ac:dyDescent="0.25">
      <c r="A1003" s="32">
        <v>71467</v>
      </c>
      <c r="B1003" s="95">
        <f t="shared" si="166"/>
        <v>31</v>
      </c>
      <c r="C1003" s="83">
        <f>194.205</f>
        <v>194.20500000000001</v>
      </c>
      <c r="D1003" s="83">
        <f>267.466</f>
        <v>267.46600000000001</v>
      </c>
      <c r="E1003" s="92">
        <f>133.845</f>
        <v>133.845</v>
      </c>
      <c r="F1003" s="83">
        <f>278.484-40-25-60-100</f>
        <v>53.48399999999998</v>
      </c>
      <c r="G1003" s="86">
        <v>40</v>
      </c>
      <c r="H1003" s="83">
        <f t="shared" si="168"/>
        <v>185</v>
      </c>
      <c r="I1003" s="83">
        <f t="shared" si="158"/>
        <v>0</v>
      </c>
      <c r="J1003" s="86">
        <v>100</v>
      </c>
      <c r="K1003" s="86">
        <v>300</v>
      </c>
      <c r="L1003" s="83">
        <f t="shared" si="162"/>
        <v>1274</v>
      </c>
      <c r="M1003" s="94">
        <v>600</v>
      </c>
      <c r="N1003" s="83">
        <f>30</f>
        <v>30</v>
      </c>
      <c r="O1003" s="86">
        <v>240</v>
      </c>
      <c r="P1003" s="86">
        <v>40</v>
      </c>
      <c r="Q1003" s="86">
        <f t="shared" si="163"/>
        <v>315</v>
      </c>
      <c r="R1003" s="86">
        <f t="shared" si="164"/>
        <v>100</v>
      </c>
      <c r="S1003" s="83">
        <f t="shared" si="165"/>
        <v>695</v>
      </c>
      <c r="T1003" s="83">
        <f>0</f>
        <v>0</v>
      </c>
      <c r="U1003" s="84"/>
      <c r="V1003" s="84"/>
      <c r="W1003" s="84"/>
      <c r="X1003" s="84"/>
      <c r="Y1003" s="84"/>
      <c r="Z1003" s="84"/>
      <c r="AA1003" s="84"/>
      <c r="AB1003" s="84"/>
      <c r="AC1003" s="84"/>
      <c r="AD1003" s="84"/>
    </row>
    <row r="1004" spans="1:30" ht="15.75" x14ac:dyDescent="0.25">
      <c r="A1004" s="32">
        <v>71497</v>
      </c>
      <c r="B1004" s="95">
        <f t="shared" si="166"/>
        <v>30</v>
      </c>
      <c r="C1004" s="83">
        <f>194.205</f>
        <v>194.20500000000001</v>
      </c>
      <c r="D1004" s="83">
        <f>267.466</f>
        <v>267.46600000000001</v>
      </c>
      <c r="E1004" s="92">
        <f>133.845</f>
        <v>133.845</v>
      </c>
      <c r="F1004" s="83">
        <f>278.484-40-25-60-100</f>
        <v>53.48399999999998</v>
      </c>
      <c r="G1004" s="86">
        <v>40</v>
      </c>
      <c r="H1004" s="83">
        <f t="shared" si="168"/>
        <v>185</v>
      </c>
      <c r="I1004" s="83">
        <f t="shared" si="158"/>
        <v>0</v>
      </c>
      <c r="J1004" s="86">
        <v>100</v>
      </c>
      <c r="K1004" s="86">
        <v>300</v>
      </c>
      <c r="L1004" s="83">
        <f t="shared" si="162"/>
        <v>1274</v>
      </c>
      <c r="M1004" s="94">
        <v>600</v>
      </c>
      <c r="N1004" s="83">
        <f>30</f>
        <v>30</v>
      </c>
      <c r="O1004" s="86">
        <v>240</v>
      </c>
      <c r="P1004" s="86">
        <v>40</v>
      </c>
      <c r="Q1004" s="86">
        <f t="shared" si="163"/>
        <v>315</v>
      </c>
      <c r="R1004" s="86">
        <f t="shared" si="164"/>
        <v>100</v>
      </c>
      <c r="S1004" s="83">
        <f t="shared" si="165"/>
        <v>695</v>
      </c>
      <c r="T1004" s="83">
        <f>0</f>
        <v>0</v>
      </c>
      <c r="U1004" s="84"/>
      <c r="V1004" s="84"/>
      <c r="W1004" s="84"/>
      <c r="X1004" s="84"/>
      <c r="Y1004" s="84"/>
      <c r="Z1004" s="84"/>
      <c r="AA1004" s="84"/>
      <c r="AB1004" s="84"/>
      <c r="AC1004" s="84"/>
      <c r="AD1004" s="84"/>
    </row>
    <row r="1005" spans="1:30" ht="15.75" x14ac:dyDescent="0.25">
      <c r="A1005" s="32">
        <v>71528</v>
      </c>
      <c r="B1005" s="95">
        <f t="shared" si="166"/>
        <v>31</v>
      </c>
      <c r="C1005" s="83">
        <f>131.881</f>
        <v>131.881</v>
      </c>
      <c r="D1005" s="83">
        <f>277.167</f>
        <v>277.16699999999997</v>
      </c>
      <c r="E1005" s="92">
        <f>79.08</f>
        <v>79.08</v>
      </c>
      <c r="F1005" s="83">
        <f>350.872-40-25-60-100</f>
        <v>125.87200000000001</v>
      </c>
      <c r="G1005" s="86">
        <v>40</v>
      </c>
      <c r="H1005" s="83">
        <f t="shared" si="168"/>
        <v>185</v>
      </c>
      <c r="I1005" s="83">
        <f t="shared" si="158"/>
        <v>0</v>
      </c>
      <c r="J1005" s="86">
        <v>100</v>
      </c>
      <c r="K1005" s="86">
        <v>300</v>
      </c>
      <c r="L1005" s="83">
        <f t="shared" si="162"/>
        <v>1239</v>
      </c>
      <c r="M1005" s="94">
        <v>600</v>
      </c>
      <c r="N1005" s="83">
        <f>75</f>
        <v>75</v>
      </c>
      <c r="O1005" s="86">
        <v>240</v>
      </c>
      <c r="P1005" s="86">
        <v>40</v>
      </c>
      <c r="Q1005" s="86">
        <f t="shared" si="163"/>
        <v>315</v>
      </c>
      <c r="R1005" s="86">
        <f t="shared" si="164"/>
        <v>100</v>
      </c>
      <c r="S1005" s="83">
        <f t="shared" si="165"/>
        <v>695</v>
      </c>
      <c r="T1005" s="83">
        <f>0</f>
        <v>0</v>
      </c>
      <c r="U1005" s="84"/>
      <c r="V1005" s="84"/>
      <c r="W1005" s="84"/>
      <c r="X1005" s="84"/>
      <c r="Y1005" s="84"/>
      <c r="Z1005" s="84"/>
      <c r="AA1005" s="84"/>
      <c r="AB1005" s="84"/>
      <c r="AC1005" s="84"/>
      <c r="AD1005" s="84"/>
    </row>
    <row r="1006" spans="1:30" ht="15.75" x14ac:dyDescent="0.25">
      <c r="A1006" s="32">
        <v>71558</v>
      </c>
      <c r="B1006" s="95">
        <f t="shared" si="166"/>
        <v>30</v>
      </c>
      <c r="C1006" s="83">
        <f>122.58</f>
        <v>122.58</v>
      </c>
      <c r="D1006" s="83">
        <f>297.941</f>
        <v>297.94099999999997</v>
      </c>
      <c r="E1006" s="92">
        <f>89.177</f>
        <v>89.177000000000007</v>
      </c>
      <c r="F1006" s="83">
        <f>240.302-40-60-100</f>
        <v>40.301999999999992</v>
      </c>
      <c r="G1006" s="86">
        <v>40</v>
      </c>
      <c r="H1006" s="83">
        <f>60+100</f>
        <v>160</v>
      </c>
      <c r="I1006" s="83">
        <f t="shared" si="158"/>
        <v>0</v>
      </c>
      <c r="J1006" s="86">
        <v>100</v>
      </c>
      <c r="K1006" s="86">
        <v>300</v>
      </c>
      <c r="L1006" s="83">
        <f t="shared" si="162"/>
        <v>1150</v>
      </c>
      <c r="M1006" s="94">
        <v>600</v>
      </c>
      <c r="N1006" s="83">
        <f>100</f>
        <v>100</v>
      </c>
      <c r="O1006" s="86">
        <v>240</v>
      </c>
      <c r="P1006" s="86">
        <v>40</v>
      </c>
      <c r="Q1006" s="86">
        <f t="shared" si="163"/>
        <v>315</v>
      </c>
      <c r="R1006" s="86">
        <f t="shared" si="164"/>
        <v>100</v>
      </c>
      <c r="S1006" s="83">
        <f t="shared" si="165"/>
        <v>695</v>
      </c>
      <c r="T1006" s="83">
        <f>50</f>
        <v>50</v>
      </c>
      <c r="U1006" s="84"/>
      <c r="V1006" s="84"/>
      <c r="W1006" s="84"/>
      <c r="X1006" s="84"/>
      <c r="Y1006" s="84"/>
      <c r="Z1006" s="84"/>
      <c r="AA1006" s="84"/>
      <c r="AB1006" s="84"/>
      <c r="AC1006" s="84"/>
      <c r="AD1006" s="84"/>
    </row>
    <row r="1007" spans="1:30" ht="15.75" x14ac:dyDescent="0.25">
      <c r="A1007" s="32">
        <v>71589</v>
      </c>
      <c r="B1007" s="95">
        <f t="shared" si="166"/>
        <v>31</v>
      </c>
      <c r="C1007" s="83">
        <f>122.58</f>
        <v>122.58</v>
      </c>
      <c r="D1007" s="83">
        <f>297.941</f>
        <v>297.94099999999997</v>
      </c>
      <c r="E1007" s="92">
        <f>89.177</f>
        <v>89.177000000000007</v>
      </c>
      <c r="F1007" s="83">
        <f>240.302-40-60-100</f>
        <v>40.301999999999992</v>
      </c>
      <c r="G1007" s="86">
        <v>40</v>
      </c>
      <c r="H1007" s="83">
        <f>60+100</f>
        <v>160</v>
      </c>
      <c r="I1007" s="83">
        <f t="shared" si="158"/>
        <v>0</v>
      </c>
      <c r="J1007" s="86">
        <v>100</v>
      </c>
      <c r="K1007" s="86">
        <v>300</v>
      </c>
      <c r="L1007" s="83">
        <f t="shared" si="162"/>
        <v>1150</v>
      </c>
      <c r="M1007" s="94">
        <v>600</v>
      </c>
      <c r="N1007" s="83">
        <f>100</f>
        <v>100</v>
      </c>
      <c r="O1007" s="86">
        <v>240</v>
      </c>
      <c r="P1007" s="86">
        <v>40</v>
      </c>
      <c r="Q1007" s="86">
        <f t="shared" si="163"/>
        <v>315</v>
      </c>
      <c r="R1007" s="86">
        <f t="shared" si="164"/>
        <v>100</v>
      </c>
      <c r="S1007" s="83">
        <f t="shared" si="165"/>
        <v>695</v>
      </c>
      <c r="T1007" s="83">
        <f>50</f>
        <v>50</v>
      </c>
      <c r="U1007" s="84"/>
      <c r="V1007" s="84"/>
      <c r="W1007" s="84"/>
      <c r="X1007" s="84"/>
      <c r="Y1007" s="84"/>
      <c r="Z1007" s="84"/>
      <c r="AA1007" s="84"/>
      <c r="AB1007" s="84"/>
      <c r="AC1007" s="84"/>
      <c r="AD1007" s="84"/>
    </row>
    <row r="1008" spans="1:30" ht="15.75" x14ac:dyDescent="0.25">
      <c r="A1008" s="32">
        <v>71620</v>
      </c>
      <c r="B1008" s="95">
        <f t="shared" si="166"/>
        <v>31</v>
      </c>
      <c r="C1008" s="83">
        <f>122.58</f>
        <v>122.58</v>
      </c>
      <c r="D1008" s="83">
        <f>297.941</f>
        <v>297.94099999999997</v>
      </c>
      <c r="E1008" s="92">
        <f>89.177</f>
        <v>89.177000000000007</v>
      </c>
      <c r="F1008" s="83">
        <f>240.302-40-60-100</f>
        <v>40.301999999999992</v>
      </c>
      <c r="G1008" s="86">
        <v>40</v>
      </c>
      <c r="H1008" s="83">
        <f>60+100</f>
        <v>160</v>
      </c>
      <c r="I1008" s="83">
        <f t="shared" si="158"/>
        <v>0</v>
      </c>
      <c r="J1008" s="86">
        <v>100</v>
      </c>
      <c r="K1008" s="86">
        <v>300</v>
      </c>
      <c r="L1008" s="83">
        <f t="shared" si="162"/>
        <v>1150</v>
      </c>
      <c r="M1008" s="94">
        <v>600</v>
      </c>
      <c r="N1008" s="83">
        <f>100</f>
        <v>100</v>
      </c>
      <c r="O1008" s="86">
        <v>240</v>
      </c>
      <c r="P1008" s="86">
        <v>40</v>
      </c>
      <c r="Q1008" s="86">
        <f t="shared" si="163"/>
        <v>315</v>
      </c>
      <c r="R1008" s="86">
        <f t="shared" si="164"/>
        <v>100</v>
      </c>
      <c r="S1008" s="83">
        <f t="shared" si="165"/>
        <v>695</v>
      </c>
      <c r="T1008" s="83">
        <f>50</f>
        <v>50</v>
      </c>
      <c r="U1008" s="84"/>
      <c r="V1008" s="84"/>
      <c r="W1008" s="84"/>
      <c r="X1008" s="84"/>
      <c r="Y1008" s="84"/>
      <c r="Z1008" s="84"/>
      <c r="AA1008" s="84"/>
      <c r="AB1008" s="84"/>
      <c r="AC1008" s="84"/>
      <c r="AD1008" s="84"/>
    </row>
    <row r="1009" spans="1:30" ht="15.75" x14ac:dyDescent="0.25">
      <c r="A1009" s="32">
        <v>71649</v>
      </c>
      <c r="B1009" s="95">
        <f t="shared" si="166"/>
        <v>29</v>
      </c>
      <c r="C1009" s="83">
        <f>122.58</f>
        <v>122.58</v>
      </c>
      <c r="D1009" s="83">
        <f>297.941</f>
        <v>297.94099999999997</v>
      </c>
      <c r="E1009" s="92">
        <f>89.177</f>
        <v>89.177000000000007</v>
      </c>
      <c r="F1009" s="83">
        <f>240.302-40-60-100</f>
        <v>40.301999999999992</v>
      </c>
      <c r="G1009" s="86">
        <v>40</v>
      </c>
      <c r="H1009" s="83">
        <f>60+100</f>
        <v>160</v>
      </c>
      <c r="I1009" s="83">
        <f t="shared" si="158"/>
        <v>0</v>
      </c>
      <c r="J1009" s="86">
        <v>100</v>
      </c>
      <c r="K1009" s="86">
        <v>300</v>
      </c>
      <c r="L1009" s="83">
        <f t="shared" si="162"/>
        <v>1150</v>
      </c>
      <c r="M1009" s="94">
        <v>600</v>
      </c>
      <c r="N1009" s="83">
        <f>100</f>
        <v>100</v>
      </c>
      <c r="O1009" s="86">
        <v>240</v>
      </c>
      <c r="P1009" s="86">
        <v>40</v>
      </c>
      <c r="Q1009" s="86">
        <f t="shared" si="163"/>
        <v>315</v>
      </c>
      <c r="R1009" s="86">
        <f t="shared" si="164"/>
        <v>100</v>
      </c>
      <c r="S1009" s="83">
        <f t="shared" si="165"/>
        <v>695</v>
      </c>
      <c r="T1009" s="83">
        <f>50</f>
        <v>50</v>
      </c>
      <c r="U1009" s="84"/>
      <c r="V1009" s="84"/>
      <c r="W1009" s="84"/>
      <c r="X1009" s="84"/>
      <c r="Y1009" s="84"/>
      <c r="Z1009" s="84"/>
      <c r="AA1009" s="84"/>
      <c r="AB1009" s="84"/>
      <c r="AC1009" s="84"/>
      <c r="AD1009" s="84"/>
    </row>
    <row r="1010" spans="1:30" ht="15.75" x14ac:dyDescent="0.25">
      <c r="A1010" s="32">
        <v>71680</v>
      </c>
      <c r="B1010" s="95">
        <f t="shared" si="166"/>
        <v>31</v>
      </c>
      <c r="C1010" s="83">
        <f>122.58</f>
        <v>122.58</v>
      </c>
      <c r="D1010" s="83">
        <f>297.941</f>
        <v>297.94099999999997</v>
      </c>
      <c r="E1010" s="92">
        <f>89.177</f>
        <v>89.177000000000007</v>
      </c>
      <c r="F1010" s="83">
        <f>240.302-40-60-100</f>
        <v>40.301999999999992</v>
      </c>
      <c r="G1010" s="86">
        <v>40</v>
      </c>
      <c r="H1010" s="83">
        <f>60+100</f>
        <v>160</v>
      </c>
      <c r="I1010" s="83">
        <f t="shared" si="158"/>
        <v>0</v>
      </c>
      <c r="J1010" s="86">
        <v>100</v>
      </c>
      <c r="K1010" s="86">
        <v>300</v>
      </c>
      <c r="L1010" s="83">
        <f t="shared" si="162"/>
        <v>1150</v>
      </c>
      <c r="M1010" s="94">
        <v>600</v>
      </c>
      <c r="N1010" s="83">
        <f>100</f>
        <v>100</v>
      </c>
      <c r="O1010" s="86">
        <v>240</v>
      </c>
      <c r="P1010" s="86">
        <v>40</v>
      </c>
      <c r="Q1010" s="86">
        <f t="shared" si="163"/>
        <v>315</v>
      </c>
      <c r="R1010" s="86">
        <f t="shared" si="164"/>
        <v>100</v>
      </c>
      <c r="S1010" s="83">
        <f t="shared" si="165"/>
        <v>695</v>
      </c>
      <c r="T1010" s="83">
        <f>50</f>
        <v>50</v>
      </c>
      <c r="U1010" s="84"/>
      <c r="V1010" s="84"/>
      <c r="W1010" s="84"/>
      <c r="X1010" s="84"/>
      <c r="Y1010" s="84"/>
      <c r="Z1010" s="84"/>
      <c r="AA1010" s="84"/>
      <c r="AB1010" s="84"/>
      <c r="AC1010" s="84"/>
      <c r="AD1010" s="84"/>
    </row>
    <row r="1011" spans="1:30" ht="15.75" x14ac:dyDescent="0.25">
      <c r="A1011" s="32">
        <v>71710</v>
      </c>
      <c r="B1011" s="95">
        <f t="shared" si="166"/>
        <v>30</v>
      </c>
      <c r="C1011" s="83">
        <f>141.293</f>
        <v>141.29300000000001</v>
      </c>
      <c r="D1011" s="83">
        <f>267.993</f>
        <v>267.99299999999999</v>
      </c>
      <c r="E1011" s="92">
        <f>115.016</f>
        <v>115.01600000000001</v>
      </c>
      <c r="F1011" s="83">
        <f>314.698-40-25-60-100</f>
        <v>89.697999999999979</v>
      </c>
      <c r="G1011" s="86">
        <v>40</v>
      </c>
      <c r="H1011" s="83">
        <f t="shared" ref="H1011:H1017" si="169">25+60+100</f>
        <v>185</v>
      </c>
      <c r="I1011" s="83">
        <f t="shared" si="158"/>
        <v>0</v>
      </c>
      <c r="J1011" s="86">
        <v>100</v>
      </c>
      <c r="K1011" s="86">
        <v>300</v>
      </c>
      <c r="L1011" s="83">
        <f t="shared" si="162"/>
        <v>1239</v>
      </c>
      <c r="M1011" s="94">
        <v>600</v>
      </c>
      <c r="N1011" s="83">
        <f>100</f>
        <v>100</v>
      </c>
      <c r="O1011" s="86">
        <v>240</v>
      </c>
      <c r="P1011" s="86">
        <v>40</v>
      </c>
      <c r="Q1011" s="86">
        <f t="shared" si="163"/>
        <v>315</v>
      </c>
      <c r="R1011" s="86">
        <f t="shared" si="164"/>
        <v>100</v>
      </c>
      <c r="S1011" s="83">
        <f t="shared" si="165"/>
        <v>695</v>
      </c>
      <c r="T1011" s="83">
        <f>50</f>
        <v>50</v>
      </c>
      <c r="U1011" s="84"/>
      <c r="V1011" s="84"/>
      <c r="W1011" s="84"/>
      <c r="X1011" s="84"/>
      <c r="Y1011" s="84"/>
      <c r="Z1011" s="84"/>
      <c r="AA1011" s="84"/>
      <c r="AB1011" s="84"/>
      <c r="AC1011" s="84"/>
      <c r="AD1011" s="84"/>
    </row>
    <row r="1012" spans="1:30" ht="15.75" x14ac:dyDescent="0.25">
      <c r="A1012" s="32">
        <v>71741</v>
      </c>
      <c r="B1012" s="95">
        <f t="shared" si="166"/>
        <v>31</v>
      </c>
      <c r="C1012" s="83">
        <f>194.205</f>
        <v>194.20500000000001</v>
      </c>
      <c r="D1012" s="83">
        <f>267.466</f>
        <v>267.46600000000001</v>
      </c>
      <c r="E1012" s="92">
        <f>133.845</f>
        <v>133.845</v>
      </c>
      <c r="F1012" s="83">
        <f>278.484-40-25-60-100</f>
        <v>53.48399999999998</v>
      </c>
      <c r="G1012" s="86">
        <v>40</v>
      </c>
      <c r="H1012" s="83">
        <f t="shared" si="169"/>
        <v>185</v>
      </c>
      <c r="I1012" s="83">
        <f t="shared" ref="I1012:I1067" si="170">400-J1012-K1012</f>
        <v>0</v>
      </c>
      <c r="J1012" s="86">
        <v>100</v>
      </c>
      <c r="K1012" s="86">
        <v>300</v>
      </c>
      <c r="L1012" s="83">
        <f t="shared" si="162"/>
        <v>1274</v>
      </c>
      <c r="M1012" s="94">
        <v>600</v>
      </c>
      <c r="N1012" s="83">
        <f>75</f>
        <v>75</v>
      </c>
      <c r="O1012" s="86">
        <v>240</v>
      </c>
      <c r="P1012" s="86">
        <v>40</v>
      </c>
      <c r="Q1012" s="86">
        <f t="shared" si="163"/>
        <v>315</v>
      </c>
      <c r="R1012" s="86">
        <f t="shared" si="164"/>
        <v>100</v>
      </c>
      <c r="S1012" s="83">
        <f t="shared" si="165"/>
        <v>695</v>
      </c>
      <c r="T1012" s="83">
        <f>50</f>
        <v>50</v>
      </c>
      <c r="U1012" s="84"/>
      <c r="V1012" s="84"/>
      <c r="W1012" s="84"/>
      <c r="X1012" s="84"/>
      <c r="Y1012" s="84"/>
      <c r="Z1012" s="84"/>
      <c r="AA1012" s="84"/>
      <c r="AB1012" s="84"/>
      <c r="AC1012" s="84"/>
      <c r="AD1012" s="84"/>
    </row>
    <row r="1013" spans="1:30" ht="15.75" x14ac:dyDescent="0.25">
      <c r="A1013" s="32">
        <v>71771</v>
      </c>
      <c r="B1013" s="95">
        <f t="shared" si="166"/>
        <v>30</v>
      </c>
      <c r="C1013" s="83">
        <f>194.205</f>
        <v>194.20500000000001</v>
      </c>
      <c r="D1013" s="83">
        <f>267.466</f>
        <v>267.46600000000001</v>
      </c>
      <c r="E1013" s="92">
        <f>133.845</f>
        <v>133.845</v>
      </c>
      <c r="F1013" s="83">
        <f>278.484-40-25-60-100</f>
        <v>53.48399999999998</v>
      </c>
      <c r="G1013" s="86">
        <v>40</v>
      </c>
      <c r="H1013" s="83">
        <f t="shared" si="169"/>
        <v>185</v>
      </c>
      <c r="I1013" s="83">
        <f t="shared" si="170"/>
        <v>0</v>
      </c>
      <c r="J1013" s="86">
        <v>100</v>
      </c>
      <c r="K1013" s="86">
        <v>300</v>
      </c>
      <c r="L1013" s="83">
        <f t="shared" si="162"/>
        <v>1274</v>
      </c>
      <c r="M1013" s="94">
        <v>600</v>
      </c>
      <c r="N1013" s="83">
        <f>30</f>
        <v>30</v>
      </c>
      <c r="O1013" s="86">
        <v>240</v>
      </c>
      <c r="P1013" s="86">
        <v>40</v>
      </c>
      <c r="Q1013" s="86">
        <f t="shared" si="163"/>
        <v>315</v>
      </c>
      <c r="R1013" s="86">
        <f t="shared" si="164"/>
        <v>100</v>
      </c>
      <c r="S1013" s="83">
        <f t="shared" si="165"/>
        <v>695</v>
      </c>
      <c r="T1013" s="83">
        <f>50</f>
        <v>50</v>
      </c>
      <c r="U1013" s="84"/>
      <c r="V1013" s="84"/>
      <c r="W1013" s="84"/>
      <c r="X1013" s="84"/>
      <c r="Y1013" s="84"/>
      <c r="Z1013" s="84"/>
      <c r="AA1013" s="84"/>
      <c r="AB1013" s="84"/>
      <c r="AC1013" s="84"/>
      <c r="AD1013" s="84"/>
    </row>
    <row r="1014" spans="1:30" ht="15.75" x14ac:dyDescent="0.25">
      <c r="A1014" s="32">
        <v>71802</v>
      </c>
      <c r="B1014" s="95">
        <f t="shared" si="166"/>
        <v>31</v>
      </c>
      <c r="C1014" s="83">
        <f>194.205</f>
        <v>194.20500000000001</v>
      </c>
      <c r="D1014" s="83">
        <f>267.466</f>
        <v>267.46600000000001</v>
      </c>
      <c r="E1014" s="92">
        <f>133.845</f>
        <v>133.845</v>
      </c>
      <c r="F1014" s="83">
        <f>278.484-40-25-60-100</f>
        <v>53.48399999999998</v>
      </c>
      <c r="G1014" s="86">
        <v>40</v>
      </c>
      <c r="H1014" s="83">
        <f t="shared" si="169"/>
        <v>185</v>
      </c>
      <c r="I1014" s="83">
        <f t="shared" si="170"/>
        <v>0</v>
      </c>
      <c r="J1014" s="86">
        <v>100</v>
      </c>
      <c r="K1014" s="86">
        <v>300</v>
      </c>
      <c r="L1014" s="83">
        <f t="shared" si="162"/>
        <v>1274</v>
      </c>
      <c r="M1014" s="94">
        <v>600</v>
      </c>
      <c r="N1014" s="83">
        <f>30</f>
        <v>30</v>
      </c>
      <c r="O1014" s="86">
        <v>240</v>
      </c>
      <c r="P1014" s="86">
        <v>40</v>
      </c>
      <c r="Q1014" s="86">
        <f t="shared" si="163"/>
        <v>315</v>
      </c>
      <c r="R1014" s="86">
        <f t="shared" si="164"/>
        <v>100</v>
      </c>
      <c r="S1014" s="83">
        <f t="shared" si="165"/>
        <v>695</v>
      </c>
      <c r="T1014" s="83">
        <f>0</f>
        <v>0</v>
      </c>
      <c r="U1014" s="84"/>
      <c r="V1014" s="84"/>
      <c r="W1014" s="84"/>
      <c r="X1014" s="84"/>
      <c r="Y1014" s="84"/>
      <c r="Z1014" s="84"/>
      <c r="AA1014" s="84"/>
      <c r="AB1014" s="84"/>
      <c r="AC1014" s="84"/>
      <c r="AD1014" s="84"/>
    </row>
    <row r="1015" spans="1:30" ht="15.75" x14ac:dyDescent="0.25">
      <c r="A1015" s="32">
        <v>71833</v>
      </c>
      <c r="B1015" s="95">
        <f t="shared" si="166"/>
        <v>31</v>
      </c>
      <c r="C1015" s="83">
        <f>194.205</f>
        <v>194.20500000000001</v>
      </c>
      <c r="D1015" s="83">
        <f>267.466</f>
        <v>267.46600000000001</v>
      </c>
      <c r="E1015" s="92">
        <f>133.845</f>
        <v>133.845</v>
      </c>
      <c r="F1015" s="83">
        <f>278.484-40-25-60-100</f>
        <v>53.48399999999998</v>
      </c>
      <c r="G1015" s="86">
        <v>40</v>
      </c>
      <c r="H1015" s="83">
        <f t="shared" si="169"/>
        <v>185</v>
      </c>
      <c r="I1015" s="83">
        <f t="shared" si="170"/>
        <v>0</v>
      </c>
      <c r="J1015" s="86">
        <v>100</v>
      </c>
      <c r="K1015" s="86">
        <v>300</v>
      </c>
      <c r="L1015" s="83">
        <f t="shared" si="162"/>
        <v>1274</v>
      </c>
      <c r="M1015" s="94">
        <v>600</v>
      </c>
      <c r="N1015" s="83">
        <f>30</f>
        <v>30</v>
      </c>
      <c r="O1015" s="86">
        <v>240</v>
      </c>
      <c r="P1015" s="86">
        <v>40</v>
      </c>
      <c r="Q1015" s="86">
        <f t="shared" si="163"/>
        <v>315</v>
      </c>
      <c r="R1015" s="86">
        <f t="shared" si="164"/>
        <v>100</v>
      </c>
      <c r="S1015" s="83">
        <f t="shared" si="165"/>
        <v>695</v>
      </c>
      <c r="T1015" s="83">
        <f>0</f>
        <v>0</v>
      </c>
      <c r="U1015" s="84"/>
      <c r="V1015" s="84"/>
      <c r="W1015" s="84"/>
      <c r="X1015" s="84"/>
      <c r="Y1015" s="84"/>
      <c r="Z1015" s="84"/>
      <c r="AA1015" s="84"/>
      <c r="AB1015" s="84"/>
      <c r="AC1015" s="84"/>
      <c r="AD1015" s="84"/>
    </row>
    <row r="1016" spans="1:30" ht="15.75" x14ac:dyDescent="0.25">
      <c r="A1016" s="32">
        <v>71863</v>
      </c>
      <c r="B1016" s="95">
        <f t="shared" si="166"/>
        <v>30</v>
      </c>
      <c r="C1016" s="83">
        <f>194.205</f>
        <v>194.20500000000001</v>
      </c>
      <c r="D1016" s="83">
        <f>267.466</f>
        <v>267.46600000000001</v>
      </c>
      <c r="E1016" s="92">
        <f>133.845</f>
        <v>133.845</v>
      </c>
      <c r="F1016" s="83">
        <f>278.484-40-25-60-100</f>
        <v>53.48399999999998</v>
      </c>
      <c r="G1016" s="86">
        <v>40</v>
      </c>
      <c r="H1016" s="83">
        <f t="shared" si="169"/>
        <v>185</v>
      </c>
      <c r="I1016" s="83">
        <f t="shared" si="170"/>
        <v>0</v>
      </c>
      <c r="J1016" s="86">
        <v>100</v>
      </c>
      <c r="K1016" s="86">
        <v>300</v>
      </c>
      <c r="L1016" s="83">
        <f t="shared" si="162"/>
        <v>1274</v>
      </c>
      <c r="M1016" s="94">
        <v>600</v>
      </c>
      <c r="N1016" s="83">
        <f>30</f>
        <v>30</v>
      </c>
      <c r="O1016" s="86">
        <v>240</v>
      </c>
      <c r="P1016" s="86">
        <v>40</v>
      </c>
      <c r="Q1016" s="86">
        <f t="shared" si="163"/>
        <v>315</v>
      </c>
      <c r="R1016" s="86">
        <f t="shared" si="164"/>
        <v>100</v>
      </c>
      <c r="S1016" s="83">
        <f t="shared" si="165"/>
        <v>695</v>
      </c>
      <c r="T1016" s="83">
        <f>0</f>
        <v>0</v>
      </c>
      <c r="U1016" s="84"/>
      <c r="V1016" s="84"/>
      <c r="W1016" s="84"/>
      <c r="X1016" s="84"/>
      <c r="Y1016" s="84"/>
      <c r="Z1016" s="84"/>
      <c r="AA1016" s="84"/>
      <c r="AB1016" s="84"/>
      <c r="AC1016" s="84"/>
      <c r="AD1016" s="84"/>
    </row>
    <row r="1017" spans="1:30" ht="15.75" x14ac:dyDescent="0.25">
      <c r="A1017" s="32">
        <v>71894</v>
      </c>
      <c r="B1017" s="95">
        <f t="shared" si="166"/>
        <v>31</v>
      </c>
      <c r="C1017" s="83">
        <f>131.881</f>
        <v>131.881</v>
      </c>
      <c r="D1017" s="83">
        <f>277.167</f>
        <v>277.16699999999997</v>
      </c>
      <c r="E1017" s="92">
        <f>79.08</f>
        <v>79.08</v>
      </c>
      <c r="F1017" s="83">
        <f>350.872-40-25-60-100</f>
        <v>125.87200000000001</v>
      </c>
      <c r="G1017" s="86">
        <v>40</v>
      </c>
      <c r="H1017" s="83">
        <f t="shared" si="169"/>
        <v>185</v>
      </c>
      <c r="I1017" s="83">
        <f t="shared" si="170"/>
        <v>0</v>
      </c>
      <c r="J1017" s="86">
        <v>100</v>
      </c>
      <c r="K1017" s="86">
        <v>300</v>
      </c>
      <c r="L1017" s="83">
        <f t="shared" si="162"/>
        <v>1239</v>
      </c>
      <c r="M1017" s="94">
        <v>600</v>
      </c>
      <c r="N1017" s="83">
        <f>75</f>
        <v>75</v>
      </c>
      <c r="O1017" s="86">
        <v>240</v>
      </c>
      <c r="P1017" s="86">
        <v>40</v>
      </c>
      <c r="Q1017" s="86">
        <f t="shared" si="163"/>
        <v>315</v>
      </c>
      <c r="R1017" s="86">
        <f t="shared" si="164"/>
        <v>100</v>
      </c>
      <c r="S1017" s="83">
        <f t="shared" si="165"/>
        <v>695</v>
      </c>
      <c r="T1017" s="83">
        <f>0</f>
        <v>0</v>
      </c>
      <c r="U1017" s="84"/>
      <c r="V1017" s="84"/>
      <c r="W1017" s="84"/>
      <c r="X1017" s="84"/>
      <c r="Y1017" s="84"/>
      <c r="Z1017" s="84"/>
      <c r="AA1017" s="84"/>
      <c r="AB1017" s="84"/>
      <c r="AC1017" s="84"/>
      <c r="AD1017" s="84"/>
    </row>
    <row r="1018" spans="1:30" ht="15.75" x14ac:dyDescent="0.25">
      <c r="A1018" s="32">
        <v>71924</v>
      </c>
      <c r="B1018" s="95">
        <f t="shared" si="166"/>
        <v>30</v>
      </c>
      <c r="C1018" s="83">
        <f>122.58</f>
        <v>122.58</v>
      </c>
      <c r="D1018" s="83">
        <f>297.941</f>
        <v>297.94099999999997</v>
      </c>
      <c r="E1018" s="92">
        <f>89.177</f>
        <v>89.177000000000007</v>
      </c>
      <c r="F1018" s="83">
        <f>240.302-40-60-100</f>
        <v>40.301999999999992</v>
      </c>
      <c r="G1018" s="86">
        <v>40</v>
      </c>
      <c r="H1018" s="83">
        <f>60+100</f>
        <v>160</v>
      </c>
      <c r="I1018" s="83">
        <f t="shared" si="170"/>
        <v>0</v>
      </c>
      <c r="J1018" s="86">
        <v>100</v>
      </c>
      <c r="K1018" s="86">
        <v>300</v>
      </c>
      <c r="L1018" s="83">
        <f t="shared" si="162"/>
        <v>1150</v>
      </c>
      <c r="M1018" s="94">
        <v>600</v>
      </c>
      <c r="N1018" s="83">
        <f>100</f>
        <v>100</v>
      </c>
      <c r="O1018" s="86">
        <v>240</v>
      </c>
      <c r="P1018" s="86">
        <v>40</v>
      </c>
      <c r="Q1018" s="86">
        <f t="shared" si="163"/>
        <v>315</v>
      </c>
      <c r="R1018" s="86">
        <f t="shared" si="164"/>
        <v>100</v>
      </c>
      <c r="S1018" s="83">
        <f t="shared" si="165"/>
        <v>695</v>
      </c>
      <c r="T1018" s="83">
        <f>50</f>
        <v>50</v>
      </c>
      <c r="U1018" s="84"/>
      <c r="V1018" s="84"/>
      <c r="W1018" s="84"/>
      <c r="X1018" s="84"/>
      <c r="Y1018" s="84"/>
      <c r="Z1018" s="84"/>
      <c r="AA1018" s="84"/>
      <c r="AB1018" s="84"/>
      <c r="AC1018" s="84"/>
      <c r="AD1018" s="84"/>
    </row>
    <row r="1019" spans="1:30" ht="15.75" x14ac:dyDescent="0.25">
      <c r="A1019" s="32">
        <v>71955</v>
      </c>
      <c r="B1019" s="95">
        <f t="shared" si="166"/>
        <v>31</v>
      </c>
      <c r="C1019" s="83">
        <f>122.58</f>
        <v>122.58</v>
      </c>
      <c r="D1019" s="83">
        <f>297.941</f>
        <v>297.94099999999997</v>
      </c>
      <c r="E1019" s="92">
        <f>89.177</f>
        <v>89.177000000000007</v>
      </c>
      <c r="F1019" s="83">
        <f>240.302-40-60-100</f>
        <v>40.301999999999992</v>
      </c>
      <c r="G1019" s="86">
        <v>40</v>
      </c>
      <c r="H1019" s="83">
        <f>60+100</f>
        <v>160</v>
      </c>
      <c r="I1019" s="83">
        <f t="shared" si="170"/>
        <v>0</v>
      </c>
      <c r="J1019" s="86">
        <v>100</v>
      </c>
      <c r="K1019" s="86">
        <v>300</v>
      </c>
      <c r="L1019" s="83">
        <f t="shared" si="162"/>
        <v>1150</v>
      </c>
      <c r="M1019" s="94">
        <v>600</v>
      </c>
      <c r="N1019" s="83">
        <f>100</f>
        <v>100</v>
      </c>
      <c r="O1019" s="86">
        <v>240</v>
      </c>
      <c r="P1019" s="86">
        <v>40</v>
      </c>
      <c r="Q1019" s="86">
        <f t="shared" si="163"/>
        <v>315</v>
      </c>
      <c r="R1019" s="86">
        <f t="shared" si="164"/>
        <v>100</v>
      </c>
      <c r="S1019" s="83">
        <f t="shared" si="165"/>
        <v>695</v>
      </c>
      <c r="T1019" s="83">
        <f>50</f>
        <v>50</v>
      </c>
      <c r="U1019" s="84"/>
      <c r="V1019" s="84"/>
      <c r="W1019" s="84"/>
      <c r="X1019" s="84"/>
      <c r="Y1019" s="84"/>
      <c r="Z1019" s="84"/>
      <c r="AA1019" s="84"/>
      <c r="AB1019" s="84"/>
      <c r="AC1019" s="84"/>
      <c r="AD1019" s="84"/>
    </row>
    <row r="1020" spans="1:30" ht="15.75" x14ac:dyDescent="0.25">
      <c r="A1020" s="32">
        <v>71986</v>
      </c>
      <c r="B1020" s="95">
        <f t="shared" si="166"/>
        <v>31</v>
      </c>
      <c r="C1020" s="83">
        <f>122.58</f>
        <v>122.58</v>
      </c>
      <c r="D1020" s="83">
        <f>297.941</f>
        <v>297.94099999999997</v>
      </c>
      <c r="E1020" s="92">
        <f>89.177</f>
        <v>89.177000000000007</v>
      </c>
      <c r="F1020" s="83">
        <f>240.302-40-60-100</f>
        <v>40.301999999999992</v>
      </c>
      <c r="G1020" s="86">
        <v>40</v>
      </c>
      <c r="H1020" s="83">
        <f>60+100</f>
        <v>160</v>
      </c>
      <c r="I1020" s="83">
        <f t="shared" si="170"/>
        <v>0</v>
      </c>
      <c r="J1020" s="86">
        <v>100</v>
      </c>
      <c r="K1020" s="86">
        <v>300</v>
      </c>
      <c r="L1020" s="83">
        <f t="shared" si="162"/>
        <v>1150</v>
      </c>
      <c r="M1020" s="94">
        <v>600</v>
      </c>
      <c r="N1020" s="83">
        <f>100</f>
        <v>100</v>
      </c>
      <c r="O1020" s="86">
        <v>240</v>
      </c>
      <c r="P1020" s="86">
        <v>40</v>
      </c>
      <c r="Q1020" s="86">
        <f t="shared" si="163"/>
        <v>315</v>
      </c>
      <c r="R1020" s="86">
        <f t="shared" si="164"/>
        <v>100</v>
      </c>
      <c r="S1020" s="83">
        <f t="shared" si="165"/>
        <v>695</v>
      </c>
      <c r="T1020" s="83">
        <f>50</f>
        <v>50</v>
      </c>
      <c r="U1020" s="84"/>
      <c r="V1020" s="84"/>
      <c r="W1020" s="84"/>
      <c r="X1020" s="84"/>
      <c r="Y1020" s="84"/>
      <c r="Z1020" s="84"/>
      <c r="AA1020" s="84"/>
      <c r="AB1020" s="84"/>
      <c r="AC1020" s="84"/>
      <c r="AD1020" s="84"/>
    </row>
    <row r="1021" spans="1:30" ht="15.75" x14ac:dyDescent="0.25">
      <c r="A1021" s="32">
        <v>72014</v>
      </c>
      <c r="B1021" s="95">
        <f t="shared" si="166"/>
        <v>28</v>
      </c>
      <c r="C1021" s="83">
        <f>122.58</f>
        <v>122.58</v>
      </c>
      <c r="D1021" s="83">
        <f>297.941</f>
        <v>297.94099999999997</v>
      </c>
      <c r="E1021" s="92">
        <f>89.177</f>
        <v>89.177000000000007</v>
      </c>
      <c r="F1021" s="83">
        <f>240.302-40-60-100</f>
        <v>40.301999999999992</v>
      </c>
      <c r="G1021" s="86">
        <v>40</v>
      </c>
      <c r="H1021" s="83">
        <f>60+100</f>
        <v>160</v>
      </c>
      <c r="I1021" s="83">
        <f t="shared" si="170"/>
        <v>0</v>
      </c>
      <c r="J1021" s="86">
        <v>100</v>
      </c>
      <c r="K1021" s="86">
        <v>300</v>
      </c>
      <c r="L1021" s="83">
        <f t="shared" si="162"/>
        <v>1150</v>
      </c>
      <c r="M1021" s="94">
        <v>600</v>
      </c>
      <c r="N1021" s="83">
        <f>100</f>
        <v>100</v>
      </c>
      <c r="O1021" s="86">
        <v>240</v>
      </c>
      <c r="P1021" s="86">
        <v>40</v>
      </c>
      <c r="Q1021" s="86">
        <f t="shared" si="163"/>
        <v>315</v>
      </c>
      <c r="R1021" s="86">
        <f t="shared" si="164"/>
        <v>100</v>
      </c>
      <c r="S1021" s="83">
        <f t="shared" si="165"/>
        <v>695</v>
      </c>
      <c r="T1021" s="83">
        <f>50</f>
        <v>50</v>
      </c>
      <c r="U1021" s="84"/>
      <c r="V1021" s="84"/>
      <c r="W1021" s="84"/>
      <c r="X1021" s="84"/>
      <c r="Y1021" s="84"/>
      <c r="Z1021" s="84"/>
      <c r="AA1021" s="84"/>
      <c r="AB1021" s="84"/>
      <c r="AC1021" s="84"/>
      <c r="AD1021" s="84"/>
    </row>
    <row r="1022" spans="1:30" ht="15.75" x14ac:dyDescent="0.25">
      <c r="A1022" s="32">
        <v>72045</v>
      </c>
      <c r="B1022" s="95">
        <f t="shared" si="166"/>
        <v>31</v>
      </c>
      <c r="C1022" s="83">
        <f>122.58</f>
        <v>122.58</v>
      </c>
      <c r="D1022" s="83">
        <f>297.941</f>
        <v>297.94099999999997</v>
      </c>
      <c r="E1022" s="92">
        <f>89.177</f>
        <v>89.177000000000007</v>
      </c>
      <c r="F1022" s="83">
        <f>240.302-40-60-100</f>
        <v>40.301999999999992</v>
      </c>
      <c r="G1022" s="86">
        <v>40</v>
      </c>
      <c r="H1022" s="83">
        <f>60+100</f>
        <v>160</v>
      </c>
      <c r="I1022" s="83">
        <f t="shared" si="170"/>
        <v>0</v>
      </c>
      <c r="J1022" s="86">
        <v>100</v>
      </c>
      <c r="K1022" s="86">
        <v>300</v>
      </c>
      <c r="L1022" s="83">
        <f t="shared" si="162"/>
        <v>1150</v>
      </c>
      <c r="M1022" s="94">
        <v>600</v>
      </c>
      <c r="N1022" s="83">
        <f>100</f>
        <v>100</v>
      </c>
      <c r="O1022" s="86">
        <v>240</v>
      </c>
      <c r="P1022" s="86">
        <v>40</v>
      </c>
      <c r="Q1022" s="86">
        <f t="shared" si="163"/>
        <v>315</v>
      </c>
      <c r="R1022" s="86">
        <f t="shared" si="164"/>
        <v>100</v>
      </c>
      <c r="S1022" s="83">
        <f t="shared" si="165"/>
        <v>695</v>
      </c>
      <c r="T1022" s="83">
        <f>50</f>
        <v>50</v>
      </c>
      <c r="U1022" s="84"/>
      <c r="V1022" s="84"/>
      <c r="W1022" s="84"/>
      <c r="X1022" s="84"/>
      <c r="Y1022" s="84"/>
      <c r="Z1022" s="84"/>
      <c r="AA1022" s="84"/>
      <c r="AB1022" s="84"/>
      <c r="AC1022" s="84"/>
      <c r="AD1022" s="84"/>
    </row>
    <row r="1023" spans="1:30" ht="15.75" x14ac:dyDescent="0.25">
      <c r="A1023" s="32">
        <v>72075</v>
      </c>
      <c r="B1023" s="95">
        <f t="shared" si="166"/>
        <v>30</v>
      </c>
      <c r="C1023" s="83">
        <f>141.293</f>
        <v>141.29300000000001</v>
      </c>
      <c r="D1023" s="83">
        <f>267.993</f>
        <v>267.99299999999999</v>
      </c>
      <c r="E1023" s="92">
        <f>115.016</f>
        <v>115.01600000000001</v>
      </c>
      <c r="F1023" s="83">
        <f>314.698-40-25-60-100</f>
        <v>89.697999999999979</v>
      </c>
      <c r="G1023" s="86">
        <v>40</v>
      </c>
      <c r="H1023" s="83">
        <f t="shared" ref="H1023:H1029" si="171">25+60+100</f>
        <v>185</v>
      </c>
      <c r="I1023" s="83">
        <f t="shared" si="170"/>
        <v>0</v>
      </c>
      <c r="J1023" s="86">
        <v>100</v>
      </c>
      <c r="K1023" s="86">
        <v>300</v>
      </c>
      <c r="L1023" s="83">
        <f t="shared" si="162"/>
        <v>1239</v>
      </c>
      <c r="M1023" s="94">
        <v>600</v>
      </c>
      <c r="N1023" s="83">
        <f>100</f>
        <v>100</v>
      </c>
      <c r="O1023" s="86">
        <v>240</v>
      </c>
      <c r="P1023" s="86">
        <v>40</v>
      </c>
      <c r="Q1023" s="86">
        <f t="shared" si="163"/>
        <v>315</v>
      </c>
      <c r="R1023" s="86">
        <f t="shared" si="164"/>
        <v>100</v>
      </c>
      <c r="S1023" s="83">
        <f t="shared" si="165"/>
        <v>695</v>
      </c>
      <c r="T1023" s="83">
        <f>50</f>
        <v>50</v>
      </c>
      <c r="U1023" s="84"/>
      <c r="V1023" s="84"/>
      <c r="W1023" s="84"/>
      <c r="X1023" s="84"/>
      <c r="Y1023" s="84"/>
      <c r="Z1023" s="84"/>
      <c r="AA1023" s="84"/>
      <c r="AB1023" s="84"/>
      <c r="AC1023" s="84"/>
      <c r="AD1023" s="84"/>
    </row>
    <row r="1024" spans="1:30" ht="15.75" x14ac:dyDescent="0.25">
      <c r="A1024" s="32">
        <v>72106</v>
      </c>
      <c r="B1024" s="95">
        <f t="shared" si="166"/>
        <v>31</v>
      </c>
      <c r="C1024" s="83">
        <f>194.205</f>
        <v>194.20500000000001</v>
      </c>
      <c r="D1024" s="83">
        <f>267.466</f>
        <v>267.46600000000001</v>
      </c>
      <c r="E1024" s="92">
        <f>133.845</f>
        <v>133.845</v>
      </c>
      <c r="F1024" s="83">
        <f>278.484-40-25-60-100</f>
        <v>53.48399999999998</v>
      </c>
      <c r="G1024" s="86">
        <v>40</v>
      </c>
      <c r="H1024" s="83">
        <f t="shared" si="171"/>
        <v>185</v>
      </c>
      <c r="I1024" s="83">
        <f t="shared" si="170"/>
        <v>0</v>
      </c>
      <c r="J1024" s="86">
        <v>100</v>
      </c>
      <c r="K1024" s="86">
        <v>300</v>
      </c>
      <c r="L1024" s="83">
        <f t="shared" si="162"/>
        <v>1274</v>
      </c>
      <c r="M1024" s="94">
        <v>600</v>
      </c>
      <c r="N1024" s="83">
        <f>75</f>
        <v>75</v>
      </c>
      <c r="O1024" s="86">
        <v>240</v>
      </c>
      <c r="P1024" s="86">
        <v>40</v>
      </c>
      <c r="Q1024" s="86">
        <f t="shared" si="163"/>
        <v>315</v>
      </c>
      <c r="R1024" s="86">
        <f t="shared" si="164"/>
        <v>100</v>
      </c>
      <c r="S1024" s="83">
        <f t="shared" si="165"/>
        <v>695</v>
      </c>
      <c r="T1024" s="83">
        <f>50</f>
        <v>50</v>
      </c>
      <c r="U1024" s="84"/>
      <c r="V1024" s="84"/>
      <c r="W1024" s="84"/>
      <c r="X1024" s="84"/>
      <c r="Y1024" s="84"/>
      <c r="Z1024" s="84"/>
      <c r="AA1024" s="84"/>
      <c r="AB1024" s="84"/>
      <c r="AC1024" s="84"/>
      <c r="AD1024" s="84"/>
    </row>
    <row r="1025" spans="1:30" ht="15.75" x14ac:dyDescent="0.25">
      <c r="A1025" s="32">
        <v>72136</v>
      </c>
      <c r="B1025" s="95">
        <f t="shared" si="166"/>
        <v>30</v>
      </c>
      <c r="C1025" s="83">
        <f>194.205</f>
        <v>194.20500000000001</v>
      </c>
      <c r="D1025" s="83">
        <f>267.466</f>
        <v>267.46600000000001</v>
      </c>
      <c r="E1025" s="92">
        <f>133.845</f>
        <v>133.845</v>
      </c>
      <c r="F1025" s="83">
        <f>278.484-40-25-60-100</f>
        <v>53.48399999999998</v>
      </c>
      <c r="G1025" s="86">
        <v>40</v>
      </c>
      <c r="H1025" s="83">
        <f t="shared" si="171"/>
        <v>185</v>
      </c>
      <c r="I1025" s="83">
        <f t="shared" si="170"/>
        <v>0</v>
      </c>
      <c r="J1025" s="86">
        <v>100</v>
      </c>
      <c r="K1025" s="86">
        <v>300</v>
      </c>
      <c r="L1025" s="83">
        <f t="shared" si="162"/>
        <v>1274</v>
      </c>
      <c r="M1025" s="94">
        <v>600</v>
      </c>
      <c r="N1025" s="83">
        <f>30</f>
        <v>30</v>
      </c>
      <c r="O1025" s="86">
        <v>240</v>
      </c>
      <c r="P1025" s="86">
        <v>40</v>
      </c>
      <c r="Q1025" s="86">
        <f t="shared" si="163"/>
        <v>315</v>
      </c>
      <c r="R1025" s="86">
        <f t="shared" si="164"/>
        <v>100</v>
      </c>
      <c r="S1025" s="83">
        <f t="shared" si="165"/>
        <v>695</v>
      </c>
      <c r="T1025" s="83">
        <f>50</f>
        <v>50</v>
      </c>
      <c r="U1025" s="84"/>
      <c r="V1025" s="84"/>
      <c r="W1025" s="84"/>
      <c r="X1025" s="84"/>
      <c r="Y1025" s="84"/>
      <c r="Z1025" s="84"/>
      <c r="AA1025" s="84"/>
      <c r="AB1025" s="84"/>
      <c r="AC1025" s="84"/>
      <c r="AD1025" s="84"/>
    </row>
    <row r="1026" spans="1:30" ht="15.75" x14ac:dyDescent="0.25">
      <c r="A1026" s="32">
        <v>72167</v>
      </c>
      <c r="B1026" s="95">
        <f t="shared" si="166"/>
        <v>31</v>
      </c>
      <c r="C1026" s="83">
        <f>194.205</f>
        <v>194.20500000000001</v>
      </c>
      <c r="D1026" s="83">
        <f>267.466</f>
        <v>267.46600000000001</v>
      </c>
      <c r="E1026" s="92">
        <f>133.845</f>
        <v>133.845</v>
      </c>
      <c r="F1026" s="83">
        <f>278.484-40-25-60-100</f>
        <v>53.48399999999998</v>
      </c>
      <c r="G1026" s="86">
        <v>40</v>
      </c>
      <c r="H1026" s="83">
        <f t="shared" si="171"/>
        <v>185</v>
      </c>
      <c r="I1026" s="83">
        <f t="shared" si="170"/>
        <v>0</v>
      </c>
      <c r="J1026" s="86">
        <v>100</v>
      </c>
      <c r="K1026" s="86">
        <v>300</v>
      </c>
      <c r="L1026" s="83">
        <f t="shared" si="162"/>
        <v>1274</v>
      </c>
      <c r="M1026" s="94">
        <v>600</v>
      </c>
      <c r="N1026" s="83">
        <f>30</f>
        <v>30</v>
      </c>
      <c r="O1026" s="86">
        <v>240</v>
      </c>
      <c r="P1026" s="86">
        <v>40</v>
      </c>
      <c r="Q1026" s="86">
        <f t="shared" si="163"/>
        <v>315</v>
      </c>
      <c r="R1026" s="86">
        <f t="shared" si="164"/>
        <v>100</v>
      </c>
      <c r="S1026" s="83">
        <f t="shared" si="165"/>
        <v>695</v>
      </c>
      <c r="T1026" s="83">
        <f>0</f>
        <v>0</v>
      </c>
      <c r="U1026" s="84"/>
      <c r="V1026" s="84"/>
      <c r="W1026" s="84"/>
      <c r="X1026" s="84"/>
      <c r="Y1026" s="84"/>
      <c r="Z1026" s="84"/>
      <c r="AA1026" s="84"/>
      <c r="AB1026" s="84"/>
      <c r="AC1026" s="84"/>
      <c r="AD1026" s="84"/>
    </row>
    <row r="1027" spans="1:30" ht="15.75" x14ac:dyDescent="0.25">
      <c r="A1027" s="32">
        <v>72198</v>
      </c>
      <c r="B1027" s="95">
        <f t="shared" si="166"/>
        <v>31</v>
      </c>
      <c r="C1027" s="83">
        <f>194.205</f>
        <v>194.20500000000001</v>
      </c>
      <c r="D1027" s="83">
        <f>267.466</f>
        <v>267.46600000000001</v>
      </c>
      <c r="E1027" s="92">
        <f>133.845</f>
        <v>133.845</v>
      </c>
      <c r="F1027" s="83">
        <f>278.484-40-25-60-100</f>
        <v>53.48399999999998</v>
      </c>
      <c r="G1027" s="86">
        <v>40</v>
      </c>
      <c r="H1027" s="83">
        <f t="shared" si="171"/>
        <v>185</v>
      </c>
      <c r="I1027" s="83">
        <f t="shared" si="170"/>
        <v>0</v>
      </c>
      <c r="J1027" s="86">
        <v>100</v>
      </c>
      <c r="K1027" s="86">
        <v>300</v>
      </c>
      <c r="L1027" s="83">
        <f t="shared" si="162"/>
        <v>1274</v>
      </c>
      <c r="M1027" s="94">
        <v>600</v>
      </c>
      <c r="N1027" s="83">
        <f>30</f>
        <v>30</v>
      </c>
      <c r="O1027" s="86">
        <v>240</v>
      </c>
      <c r="P1027" s="86">
        <v>40</v>
      </c>
      <c r="Q1027" s="86">
        <f t="shared" si="163"/>
        <v>315</v>
      </c>
      <c r="R1027" s="86">
        <f t="shared" si="164"/>
        <v>100</v>
      </c>
      <c r="S1027" s="83">
        <f t="shared" si="165"/>
        <v>695</v>
      </c>
      <c r="T1027" s="83">
        <f>0</f>
        <v>0</v>
      </c>
      <c r="U1027" s="84"/>
      <c r="V1027" s="84"/>
      <c r="W1027" s="84"/>
      <c r="X1027" s="84"/>
      <c r="Y1027" s="84"/>
      <c r="Z1027" s="84"/>
      <c r="AA1027" s="84"/>
      <c r="AB1027" s="84"/>
      <c r="AC1027" s="84"/>
      <c r="AD1027" s="84"/>
    </row>
    <row r="1028" spans="1:30" ht="15.75" x14ac:dyDescent="0.25">
      <c r="A1028" s="32">
        <v>72228</v>
      </c>
      <c r="B1028" s="95">
        <f t="shared" si="166"/>
        <v>30</v>
      </c>
      <c r="C1028" s="83">
        <f>194.205</f>
        <v>194.20500000000001</v>
      </c>
      <c r="D1028" s="83">
        <f>267.466</f>
        <v>267.46600000000001</v>
      </c>
      <c r="E1028" s="92">
        <f>133.845</f>
        <v>133.845</v>
      </c>
      <c r="F1028" s="83">
        <f>278.484-40-25-60-100</f>
        <v>53.48399999999998</v>
      </c>
      <c r="G1028" s="86">
        <v>40</v>
      </c>
      <c r="H1028" s="83">
        <f t="shared" si="171"/>
        <v>185</v>
      </c>
      <c r="I1028" s="83">
        <f t="shared" si="170"/>
        <v>0</v>
      </c>
      <c r="J1028" s="86">
        <v>100</v>
      </c>
      <c r="K1028" s="86">
        <v>300</v>
      </c>
      <c r="L1028" s="83">
        <f t="shared" si="162"/>
        <v>1274</v>
      </c>
      <c r="M1028" s="94">
        <v>600</v>
      </c>
      <c r="N1028" s="83">
        <f>30</f>
        <v>30</v>
      </c>
      <c r="O1028" s="86">
        <v>240</v>
      </c>
      <c r="P1028" s="86">
        <v>40</v>
      </c>
      <c r="Q1028" s="86">
        <f t="shared" si="163"/>
        <v>315</v>
      </c>
      <c r="R1028" s="86">
        <f t="shared" si="164"/>
        <v>100</v>
      </c>
      <c r="S1028" s="83">
        <f t="shared" si="165"/>
        <v>695</v>
      </c>
      <c r="T1028" s="83">
        <f>0</f>
        <v>0</v>
      </c>
      <c r="U1028" s="84"/>
      <c r="V1028" s="84"/>
      <c r="W1028" s="84"/>
      <c r="X1028" s="84"/>
      <c r="Y1028" s="84"/>
      <c r="Z1028" s="84"/>
      <c r="AA1028" s="84"/>
      <c r="AB1028" s="84"/>
      <c r="AC1028" s="84"/>
      <c r="AD1028" s="84"/>
    </row>
    <row r="1029" spans="1:30" ht="15.75" x14ac:dyDescent="0.25">
      <c r="A1029" s="32">
        <v>72259</v>
      </c>
      <c r="B1029" s="95">
        <f t="shared" si="166"/>
        <v>31</v>
      </c>
      <c r="C1029" s="83">
        <f>131.881</f>
        <v>131.881</v>
      </c>
      <c r="D1029" s="83">
        <f>277.167</f>
        <v>277.16699999999997</v>
      </c>
      <c r="E1029" s="92">
        <f>79.08</f>
        <v>79.08</v>
      </c>
      <c r="F1029" s="83">
        <f>350.872-40-25-60-100</f>
        <v>125.87200000000001</v>
      </c>
      <c r="G1029" s="86">
        <v>40</v>
      </c>
      <c r="H1029" s="83">
        <f t="shared" si="171"/>
        <v>185</v>
      </c>
      <c r="I1029" s="83">
        <f t="shared" si="170"/>
        <v>0</v>
      </c>
      <c r="J1029" s="86">
        <v>100</v>
      </c>
      <c r="K1029" s="86">
        <v>300</v>
      </c>
      <c r="L1029" s="83">
        <f t="shared" si="162"/>
        <v>1239</v>
      </c>
      <c r="M1029" s="94">
        <v>600</v>
      </c>
      <c r="N1029" s="83">
        <f>75</f>
        <v>75</v>
      </c>
      <c r="O1029" s="86">
        <v>240</v>
      </c>
      <c r="P1029" s="86">
        <v>40</v>
      </c>
      <c r="Q1029" s="86">
        <f t="shared" si="163"/>
        <v>315</v>
      </c>
      <c r="R1029" s="86">
        <f t="shared" si="164"/>
        <v>100</v>
      </c>
      <c r="S1029" s="83">
        <f t="shared" si="165"/>
        <v>695</v>
      </c>
      <c r="T1029" s="83">
        <f>0</f>
        <v>0</v>
      </c>
      <c r="U1029" s="84"/>
      <c r="V1029" s="84"/>
      <c r="W1029" s="84"/>
      <c r="X1029" s="84"/>
      <c r="Y1029" s="84"/>
      <c r="Z1029" s="84"/>
      <c r="AA1029" s="84"/>
      <c r="AB1029" s="84"/>
      <c r="AC1029" s="84"/>
      <c r="AD1029" s="84"/>
    </row>
    <row r="1030" spans="1:30" ht="15.75" x14ac:dyDescent="0.25">
      <c r="A1030" s="32">
        <v>72289</v>
      </c>
      <c r="B1030" s="95">
        <f t="shared" si="166"/>
        <v>30</v>
      </c>
      <c r="C1030" s="83">
        <f>122.58</f>
        <v>122.58</v>
      </c>
      <c r="D1030" s="83">
        <f>297.941</f>
        <v>297.94099999999997</v>
      </c>
      <c r="E1030" s="92">
        <f>89.177</f>
        <v>89.177000000000007</v>
      </c>
      <c r="F1030" s="83">
        <f>240.302-40-60-100</f>
        <v>40.301999999999992</v>
      </c>
      <c r="G1030" s="86">
        <v>40</v>
      </c>
      <c r="H1030" s="83">
        <f>60+100</f>
        <v>160</v>
      </c>
      <c r="I1030" s="83">
        <f t="shared" si="170"/>
        <v>0</v>
      </c>
      <c r="J1030" s="86">
        <v>100</v>
      </c>
      <c r="K1030" s="86">
        <v>300</v>
      </c>
      <c r="L1030" s="83">
        <f t="shared" si="162"/>
        <v>1150</v>
      </c>
      <c r="M1030" s="94">
        <v>600</v>
      </c>
      <c r="N1030" s="83">
        <f>100</f>
        <v>100</v>
      </c>
      <c r="O1030" s="86">
        <v>240</v>
      </c>
      <c r="P1030" s="86">
        <v>40</v>
      </c>
      <c r="Q1030" s="86">
        <f t="shared" si="163"/>
        <v>315</v>
      </c>
      <c r="R1030" s="86">
        <f t="shared" si="164"/>
        <v>100</v>
      </c>
      <c r="S1030" s="83">
        <f t="shared" si="165"/>
        <v>695</v>
      </c>
      <c r="T1030" s="83">
        <f>50</f>
        <v>50</v>
      </c>
      <c r="U1030" s="84"/>
      <c r="V1030" s="84"/>
      <c r="W1030" s="84"/>
      <c r="X1030" s="84"/>
      <c r="Y1030" s="84"/>
      <c r="Z1030" s="84"/>
      <c r="AA1030" s="84"/>
      <c r="AB1030" s="84"/>
      <c r="AC1030" s="84"/>
      <c r="AD1030" s="84"/>
    </row>
    <row r="1031" spans="1:30" ht="15.75" x14ac:dyDescent="0.25">
      <c r="A1031" s="32">
        <v>72320</v>
      </c>
      <c r="B1031" s="95">
        <f t="shared" si="166"/>
        <v>31</v>
      </c>
      <c r="C1031" s="83">
        <f>122.58</f>
        <v>122.58</v>
      </c>
      <c r="D1031" s="83">
        <f>297.941</f>
        <v>297.94099999999997</v>
      </c>
      <c r="E1031" s="92">
        <f>89.177</f>
        <v>89.177000000000007</v>
      </c>
      <c r="F1031" s="83">
        <f>240.302-40-60-100</f>
        <v>40.301999999999992</v>
      </c>
      <c r="G1031" s="86">
        <v>40</v>
      </c>
      <c r="H1031" s="83">
        <f>60+100</f>
        <v>160</v>
      </c>
      <c r="I1031" s="83">
        <f t="shared" si="170"/>
        <v>0</v>
      </c>
      <c r="J1031" s="86">
        <v>100</v>
      </c>
      <c r="K1031" s="86">
        <v>300</v>
      </c>
      <c r="L1031" s="83">
        <f t="shared" si="162"/>
        <v>1150</v>
      </c>
      <c r="M1031" s="94">
        <v>600</v>
      </c>
      <c r="N1031" s="83">
        <f>100</f>
        <v>100</v>
      </c>
      <c r="O1031" s="86">
        <v>240</v>
      </c>
      <c r="P1031" s="86">
        <v>40</v>
      </c>
      <c r="Q1031" s="86">
        <f t="shared" si="163"/>
        <v>315</v>
      </c>
      <c r="R1031" s="86">
        <f t="shared" si="164"/>
        <v>100</v>
      </c>
      <c r="S1031" s="83">
        <f t="shared" si="165"/>
        <v>695</v>
      </c>
      <c r="T1031" s="83">
        <f>50</f>
        <v>50</v>
      </c>
      <c r="U1031" s="84"/>
      <c r="V1031" s="84"/>
      <c r="W1031" s="84"/>
      <c r="X1031" s="84"/>
      <c r="Y1031" s="84"/>
      <c r="Z1031" s="84"/>
      <c r="AA1031" s="84"/>
      <c r="AB1031" s="84"/>
      <c r="AC1031" s="84"/>
      <c r="AD1031" s="84"/>
    </row>
    <row r="1032" spans="1:30" ht="15.75" x14ac:dyDescent="0.25">
      <c r="A1032" s="32">
        <v>72351</v>
      </c>
      <c r="B1032" s="95">
        <f t="shared" si="166"/>
        <v>31</v>
      </c>
      <c r="C1032" s="83">
        <f>122.58</f>
        <v>122.58</v>
      </c>
      <c r="D1032" s="83">
        <f>297.941</f>
        <v>297.94099999999997</v>
      </c>
      <c r="E1032" s="92">
        <f>89.177</f>
        <v>89.177000000000007</v>
      </c>
      <c r="F1032" s="83">
        <f>240.302-40-60-100</f>
        <v>40.301999999999992</v>
      </c>
      <c r="G1032" s="86">
        <v>40</v>
      </c>
      <c r="H1032" s="83">
        <f>60+100</f>
        <v>160</v>
      </c>
      <c r="I1032" s="83">
        <f t="shared" si="170"/>
        <v>0</v>
      </c>
      <c r="J1032" s="86">
        <v>100</v>
      </c>
      <c r="K1032" s="86">
        <v>300</v>
      </c>
      <c r="L1032" s="83">
        <f t="shared" si="162"/>
        <v>1150</v>
      </c>
      <c r="M1032" s="94">
        <v>600</v>
      </c>
      <c r="N1032" s="83">
        <f>100</f>
        <v>100</v>
      </c>
      <c r="O1032" s="86">
        <v>240</v>
      </c>
      <c r="P1032" s="86">
        <v>40</v>
      </c>
      <c r="Q1032" s="86">
        <f t="shared" si="163"/>
        <v>315</v>
      </c>
      <c r="R1032" s="86">
        <f t="shared" si="164"/>
        <v>100</v>
      </c>
      <c r="S1032" s="83">
        <f t="shared" si="165"/>
        <v>695</v>
      </c>
      <c r="T1032" s="83">
        <f>50</f>
        <v>50</v>
      </c>
      <c r="U1032" s="84"/>
      <c r="V1032" s="84"/>
      <c r="W1032" s="84"/>
      <c r="X1032" s="84"/>
      <c r="Y1032" s="84"/>
      <c r="Z1032" s="84"/>
      <c r="AA1032" s="84"/>
      <c r="AB1032" s="84"/>
      <c r="AC1032" s="84"/>
      <c r="AD1032" s="84"/>
    </row>
    <row r="1033" spans="1:30" ht="15.75" x14ac:dyDescent="0.25">
      <c r="A1033" s="32">
        <v>72379</v>
      </c>
      <c r="B1033" s="95">
        <f t="shared" si="166"/>
        <v>28</v>
      </c>
      <c r="C1033" s="83">
        <f>122.58</f>
        <v>122.58</v>
      </c>
      <c r="D1033" s="83">
        <f>297.941</f>
        <v>297.94099999999997</v>
      </c>
      <c r="E1033" s="92">
        <f>89.177</f>
        <v>89.177000000000007</v>
      </c>
      <c r="F1033" s="83">
        <f>240.302-40-60-100</f>
        <v>40.301999999999992</v>
      </c>
      <c r="G1033" s="86">
        <v>40</v>
      </c>
      <c r="H1033" s="83">
        <f>60+100</f>
        <v>160</v>
      </c>
      <c r="I1033" s="83">
        <f t="shared" si="170"/>
        <v>0</v>
      </c>
      <c r="J1033" s="86">
        <v>100</v>
      </c>
      <c r="K1033" s="86">
        <v>300</v>
      </c>
      <c r="L1033" s="83">
        <f t="shared" si="162"/>
        <v>1150</v>
      </c>
      <c r="M1033" s="94">
        <v>600</v>
      </c>
      <c r="N1033" s="83">
        <f>100</f>
        <v>100</v>
      </c>
      <c r="O1033" s="86">
        <v>240</v>
      </c>
      <c r="P1033" s="86">
        <v>40</v>
      </c>
      <c r="Q1033" s="86">
        <f t="shared" si="163"/>
        <v>315</v>
      </c>
      <c r="R1033" s="86">
        <f t="shared" si="164"/>
        <v>100</v>
      </c>
      <c r="S1033" s="83">
        <f t="shared" si="165"/>
        <v>695</v>
      </c>
      <c r="T1033" s="83">
        <f>50</f>
        <v>50</v>
      </c>
      <c r="U1033" s="84"/>
      <c r="V1033" s="84"/>
      <c r="W1033" s="84"/>
      <c r="X1033" s="84"/>
      <c r="Y1033" s="84"/>
      <c r="Z1033" s="84"/>
      <c r="AA1033" s="84"/>
      <c r="AB1033" s="84"/>
      <c r="AC1033" s="84"/>
      <c r="AD1033" s="84"/>
    </row>
    <row r="1034" spans="1:30" ht="15.75" x14ac:dyDescent="0.25">
      <c r="A1034" s="32">
        <v>72410</v>
      </c>
      <c r="B1034" s="95">
        <f t="shared" si="166"/>
        <v>31</v>
      </c>
      <c r="C1034" s="83">
        <f>122.58</f>
        <v>122.58</v>
      </c>
      <c r="D1034" s="83">
        <f>297.941</f>
        <v>297.94099999999997</v>
      </c>
      <c r="E1034" s="92">
        <f>89.177</f>
        <v>89.177000000000007</v>
      </c>
      <c r="F1034" s="83">
        <f>240.302-40-60-100</f>
        <v>40.301999999999992</v>
      </c>
      <c r="G1034" s="86">
        <v>40</v>
      </c>
      <c r="H1034" s="83">
        <f>60+100</f>
        <v>160</v>
      </c>
      <c r="I1034" s="83">
        <f t="shared" si="170"/>
        <v>0</v>
      </c>
      <c r="J1034" s="86">
        <v>100</v>
      </c>
      <c r="K1034" s="86">
        <v>300</v>
      </c>
      <c r="L1034" s="83">
        <f t="shared" si="162"/>
        <v>1150</v>
      </c>
      <c r="M1034" s="94">
        <v>600</v>
      </c>
      <c r="N1034" s="83">
        <f>100</f>
        <v>100</v>
      </c>
      <c r="O1034" s="86">
        <v>240</v>
      </c>
      <c r="P1034" s="86">
        <v>40</v>
      </c>
      <c r="Q1034" s="86">
        <f t="shared" si="163"/>
        <v>315</v>
      </c>
      <c r="R1034" s="86">
        <f t="shared" si="164"/>
        <v>100</v>
      </c>
      <c r="S1034" s="83">
        <f t="shared" si="165"/>
        <v>695</v>
      </c>
      <c r="T1034" s="83">
        <f>50</f>
        <v>50</v>
      </c>
      <c r="U1034" s="84"/>
      <c r="V1034" s="84"/>
      <c r="W1034" s="84"/>
      <c r="X1034" s="84"/>
      <c r="Y1034" s="84"/>
      <c r="Z1034" s="84"/>
      <c r="AA1034" s="84"/>
      <c r="AB1034" s="84"/>
      <c r="AC1034" s="84"/>
      <c r="AD1034" s="84"/>
    </row>
    <row r="1035" spans="1:30" ht="15.75" x14ac:dyDescent="0.25">
      <c r="A1035" s="32">
        <v>72440</v>
      </c>
      <c r="B1035" s="95">
        <f t="shared" si="166"/>
        <v>30</v>
      </c>
      <c r="C1035" s="83">
        <f>141.293</f>
        <v>141.29300000000001</v>
      </c>
      <c r="D1035" s="83">
        <f>267.993</f>
        <v>267.99299999999999</v>
      </c>
      <c r="E1035" s="92">
        <f>115.016</f>
        <v>115.01600000000001</v>
      </c>
      <c r="F1035" s="83">
        <f>314.698-40-25-60-100</f>
        <v>89.697999999999979</v>
      </c>
      <c r="G1035" s="86">
        <v>40</v>
      </c>
      <c r="H1035" s="83">
        <f t="shared" ref="H1035:H1041" si="172">25+60+100</f>
        <v>185</v>
      </c>
      <c r="I1035" s="83">
        <f t="shared" si="170"/>
        <v>0</v>
      </c>
      <c r="J1035" s="86">
        <v>100</v>
      </c>
      <c r="K1035" s="86">
        <v>300</v>
      </c>
      <c r="L1035" s="83">
        <f t="shared" si="162"/>
        <v>1239</v>
      </c>
      <c r="M1035" s="94">
        <v>600</v>
      </c>
      <c r="N1035" s="83">
        <f>100</f>
        <v>100</v>
      </c>
      <c r="O1035" s="86">
        <v>240</v>
      </c>
      <c r="P1035" s="86">
        <v>40</v>
      </c>
      <c r="Q1035" s="86">
        <f t="shared" si="163"/>
        <v>315</v>
      </c>
      <c r="R1035" s="86">
        <f t="shared" si="164"/>
        <v>100</v>
      </c>
      <c r="S1035" s="83">
        <f t="shared" si="165"/>
        <v>695</v>
      </c>
      <c r="T1035" s="83">
        <f>50</f>
        <v>50</v>
      </c>
      <c r="U1035" s="84"/>
      <c r="V1035" s="84"/>
      <c r="W1035" s="84"/>
      <c r="X1035" s="84"/>
      <c r="Y1035" s="84"/>
      <c r="Z1035" s="84"/>
      <c r="AA1035" s="84"/>
      <c r="AB1035" s="84"/>
      <c r="AC1035" s="84"/>
      <c r="AD1035" s="84"/>
    </row>
    <row r="1036" spans="1:30" ht="15.75" x14ac:dyDescent="0.25">
      <c r="A1036" s="32">
        <v>72471</v>
      </c>
      <c r="B1036" s="95">
        <f t="shared" si="166"/>
        <v>31</v>
      </c>
      <c r="C1036" s="83">
        <f>194.205</f>
        <v>194.20500000000001</v>
      </c>
      <c r="D1036" s="83">
        <f>267.466</f>
        <v>267.46600000000001</v>
      </c>
      <c r="E1036" s="92">
        <f>133.845</f>
        <v>133.845</v>
      </c>
      <c r="F1036" s="83">
        <f>278.484-40-25-60-100</f>
        <v>53.48399999999998</v>
      </c>
      <c r="G1036" s="86">
        <v>40</v>
      </c>
      <c r="H1036" s="83">
        <f t="shared" si="172"/>
        <v>185</v>
      </c>
      <c r="I1036" s="83">
        <f t="shared" si="170"/>
        <v>0</v>
      </c>
      <c r="J1036" s="86">
        <v>100</v>
      </c>
      <c r="K1036" s="86">
        <v>300</v>
      </c>
      <c r="L1036" s="83">
        <f t="shared" si="162"/>
        <v>1274</v>
      </c>
      <c r="M1036" s="94">
        <v>600</v>
      </c>
      <c r="N1036" s="83">
        <f>75</f>
        <v>75</v>
      </c>
      <c r="O1036" s="86">
        <v>240</v>
      </c>
      <c r="P1036" s="86">
        <v>40</v>
      </c>
      <c r="Q1036" s="86">
        <f t="shared" si="163"/>
        <v>315</v>
      </c>
      <c r="R1036" s="86">
        <f t="shared" si="164"/>
        <v>100</v>
      </c>
      <c r="S1036" s="83">
        <f t="shared" si="165"/>
        <v>695</v>
      </c>
      <c r="T1036" s="83">
        <f>50</f>
        <v>50</v>
      </c>
      <c r="U1036" s="84"/>
      <c r="V1036" s="84"/>
      <c r="W1036" s="84"/>
      <c r="X1036" s="84"/>
      <c r="Y1036" s="84"/>
      <c r="Z1036" s="84"/>
      <c r="AA1036" s="84"/>
      <c r="AB1036" s="84"/>
      <c r="AC1036" s="84"/>
      <c r="AD1036" s="84"/>
    </row>
    <row r="1037" spans="1:30" ht="15.75" x14ac:dyDescent="0.25">
      <c r="A1037" s="32">
        <v>72501</v>
      </c>
      <c r="B1037" s="95">
        <f t="shared" si="166"/>
        <v>30</v>
      </c>
      <c r="C1037" s="83">
        <f>194.205</f>
        <v>194.20500000000001</v>
      </c>
      <c r="D1037" s="83">
        <f>267.466</f>
        <v>267.46600000000001</v>
      </c>
      <c r="E1037" s="92">
        <f>133.845</f>
        <v>133.845</v>
      </c>
      <c r="F1037" s="83">
        <f>278.484-40-25-60-100</f>
        <v>53.48399999999998</v>
      </c>
      <c r="G1037" s="86">
        <v>40</v>
      </c>
      <c r="H1037" s="83">
        <f t="shared" si="172"/>
        <v>185</v>
      </c>
      <c r="I1037" s="83">
        <f t="shared" si="170"/>
        <v>0</v>
      </c>
      <c r="J1037" s="86">
        <v>100</v>
      </c>
      <c r="K1037" s="86">
        <v>300</v>
      </c>
      <c r="L1037" s="83">
        <f t="shared" si="162"/>
        <v>1274</v>
      </c>
      <c r="M1037" s="94">
        <v>600</v>
      </c>
      <c r="N1037" s="83">
        <f>30</f>
        <v>30</v>
      </c>
      <c r="O1037" s="86">
        <v>240</v>
      </c>
      <c r="P1037" s="86">
        <v>40</v>
      </c>
      <c r="Q1037" s="86">
        <f t="shared" si="163"/>
        <v>315</v>
      </c>
      <c r="R1037" s="86">
        <f t="shared" si="164"/>
        <v>100</v>
      </c>
      <c r="S1037" s="83">
        <f t="shared" si="165"/>
        <v>695</v>
      </c>
      <c r="T1037" s="83">
        <f>50</f>
        <v>50</v>
      </c>
      <c r="U1037" s="84"/>
      <c r="V1037" s="84"/>
      <c r="W1037" s="84"/>
      <c r="X1037" s="84"/>
      <c r="Y1037" s="84"/>
      <c r="Z1037" s="84"/>
      <c r="AA1037" s="84"/>
      <c r="AB1037" s="84"/>
      <c r="AC1037" s="84"/>
      <c r="AD1037" s="84"/>
    </row>
    <row r="1038" spans="1:30" ht="15.75" x14ac:dyDescent="0.25">
      <c r="A1038" s="32">
        <v>72532</v>
      </c>
      <c r="B1038" s="95">
        <f t="shared" si="166"/>
        <v>31</v>
      </c>
      <c r="C1038" s="83">
        <f>194.205</f>
        <v>194.20500000000001</v>
      </c>
      <c r="D1038" s="83">
        <f>267.466</f>
        <v>267.46600000000001</v>
      </c>
      <c r="E1038" s="92">
        <f>133.845</f>
        <v>133.845</v>
      </c>
      <c r="F1038" s="83">
        <f>278.484-40-25-60-100</f>
        <v>53.48399999999998</v>
      </c>
      <c r="G1038" s="86">
        <v>40</v>
      </c>
      <c r="H1038" s="83">
        <f t="shared" si="172"/>
        <v>185</v>
      </c>
      <c r="I1038" s="83">
        <f t="shared" si="170"/>
        <v>0</v>
      </c>
      <c r="J1038" s="86">
        <v>100</v>
      </c>
      <c r="K1038" s="86">
        <v>300</v>
      </c>
      <c r="L1038" s="83">
        <f t="shared" si="162"/>
        <v>1274</v>
      </c>
      <c r="M1038" s="94">
        <v>600</v>
      </c>
      <c r="N1038" s="83">
        <f>30</f>
        <v>30</v>
      </c>
      <c r="O1038" s="86">
        <v>240</v>
      </c>
      <c r="P1038" s="86">
        <v>40</v>
      </c>
      <c r="Q1038" s="86">
        <f t="shared" si="163"/>
        <v>315</v>
      </c>
      <c r="R1038" s="86">
        <f t="shared" si="164"/>
        <v>100</v>
      </c>
      <c r="S1038" s="83">
        <f t="shared" si="165"/>
        <v>695</v>
      </c>
      <c r="T1038" s="83">
        <f>0</f>
        <v>0</v>
      </c>
      <c r="U1038" s="84"/>
      <c r="V1038" s="84"/>
      <c r="W1038" s="84"/>
      <c r="X1038" s="84"/>
      <c r="Y1038" s="84"/>
      <c r="Z1038" s="84"/>
      <c r="AA1038" s="84"/>
      <c r="AB1038" s="84"/>
      <c r="AC1038" s="84"/>
      <c r="AD1038" s="84"/>
    </row>
    <row r="1039" spans="1:30" ht="15.75" x14ac:dyDescent="0.25">
      <c r="A1039" s="32">
        <v>72563</v>
      </c>
      <c r="B1039" s="95">
        <f t="shared" si="166"/>
        <v>31</v>
      </c>
      <c r="C1039" s="83">
        <f>194.205</f>
        <v>194.20500000000001</v>
      </c>
      <c r="D1039" s="83">
        <f>267.466</f>
        <v>267.46600000000001</v>
      </c>
      <c r="E1039" s="92">
        <f>133.845</f>
        <v>133.845</v>
      </c>
      <c r="F1039" s="83">
        <f>278.484-40-25-60-100</f>
        <v>53.48399999999998</v>
      </c>
      <c r="G1039" s="86">
        <v>40</v>
      </c>
      <c r="H1039" s="83">
        <f t="shared" si="172"/>
        <v>185</v>
      </c>
      <c r="I1039" s="83">
        <f t="shared" si="170"/>
        <v>0</v>
      </c>
      <c r="J1039" s="86">
        <v>100</v>
      </c>
      <c r="K1039" s="86">
        <v>300</v>
      </c>
      <c r="L1039" s="83">
        <f t="shared" si="162"/>
        <v>1274</v>
      </c>
      <c r="M1039" s="94">
        <v>600</v>
      </c>
      <c r="N1039" s="83">
        <f>30</f>
        <v>30</v>
      </c>
      <c r="O1039" s="86">
        <v>240</v>
      </c>
      <c r="P1039" s="86">
        <v>40</v>
      </c>
      <c r="Q1039" s="86">
        <f t="shared" si="163"/>
        <v>315</v>
      </c>
      <c r="R1039" s="86">
        <f t="shared" si="164"/>
        <v>100</v>
      </c>
      <c r="S1039" s="83">
        <f t="shared" si="165"/>
        <v>695</v>
      </c>
      <c r="T1039" s="83">
        <f>0</f>
        <v>0</v>
      </c>
      <c r="U1039" s="84"/>
      <c r="V1039" s="84"/>
      <c r="W1039" s="84"/>
      <c r="X1039" s="84"/>
      <c r="Y1039" s="84"/>
      <c r="Z1039" s="84"/>
      <c r="AA1039" s="84"/>
      <c r="AB1039" s="84"/>
      <c r="AC1039" s="84"/>
      <c r="AD1039" s="84"/>
    </row>
    <row r="1040" spans="1:30" ht="15.75" x14ac:dyDescent="0.25">
      <c r="A1040" s="32">
        <v>72593</v>
      </c>
      <c r="B1040" s="95">
        <f t="shared" si="166"/>
        <v>30</v>
      </c>
      <c r="C1040" s="83">
        <f>194.205</f>
        <v>194.20500000000001</v>
      </c>
      <c r="D1040" s="83">
        <f>267.466</f>
        <v>267.46600000000001</v>
      </c>
      <c r="E1040" s="92">
        <f>133.845</f>
        <v>133.845</v>
      </c>
      <c r="F1040" s="83">
        <f>278.484-40-25-60-100</f>
        <v>53.48399999999998</v>
      </c>
      <c r="G1040" s="86">
        <v>40</v>
      </c>
      <c r="H1040" s="83">
        <f t="shared" si="172"/>
        <v>185</v>
      </c>
      <c r="I1040" s="83">
        <f t="shared" si="170"/>
        <v>0</v>
      </c>
      <c r="J1040" s="86">
        <v>100</v>
      </c>
      <c r="K1040" s="86">
        <v>300</v>
      </c>
      <c r="L1040" s="83">
        <f t="shared" si="162"/>
        <v>1274</v>
      </c>
      <c r="M1040" s="94">
        <v>600</v>
      </c>
      <c r="N1040" s="83">
        <f>30</f>
        <v>30</v>
      </c>
      <c r="O1040" s="86">
        <v>240</v>
      </c>
      <c r="P1040" s="86">
        <v>40</v>
      </c>
      <c r="Q1040" s="86">
        <f t="shared" si="163"/>
        <v>315</v>
      </c>
      <c r="R1040" s="86">
        <f t="shared" si="164"/>
        <v>100</v>
      </c>
      <c r="S1040" s="83">
        <f t="shared" si="165"/>
        <v>695</v>
      </c>
      <c r="T1040" s="83">
        <f>0</f>
        <v>0</v>
      </c>
      <c r="U1040" s="84"/>
      <c r="V1040" s="84"/>
      <c r="W1040" s="84"/>
      <c r="X1040" s="84"/>
      <c r="Y1040" s="84"/>
      <c r="Z1040" s="84"/>
      <c r="AA1040" s="84"/>
      <c r="AB1040" s="84"/>
      <c r="AC1040" s="84"/>
      <c r="AD1040" s="84"/>
    </row>
    <row r="1041" spans="1:30" ht="15.75" x14ac:dyDescent="0.25">
      <c r="A1041" s="32">
        <v>72624</v>
      </c>
      <c r="B1041" s="95">
        <f t="shared" si="166"/>
        <v>31</v>
      </c>
      <c r="C1041" s="83">
        <f>131.881</f>
        <v>131.881</v>
      </c>
      <c r="D1041" s="83">
        <f>277.167</f>
        <v>277.16699999999997</v>
      </c>
      <c r="E1041" s="92">
        <f>79.08</f>
        <v>79.08</v>
      </c>
      <c r="F1041" s="83">
        <f>350.872-40-25-60-100</f>
        <v>125.87200000000001</v>
      </c>
      <c r="G1041" s="86">
        <v>40</v>
      </c>
      <c r="H1041" s="83">
        <f t="shared" si="172"/>
        <v>185</v>
      </c>
      <c r="I1041" s="83">
        <f t="shared" si="170"/>
        <v>0</v>
      </c>
      <c r="J1041" s="86">
        <v>100</v>
      </c>
      <c r="K1041" s="86">
        <v>300</v>
      </c>
      <c r="L1041" s="83">
        <f t="shared" si="162"/>
        <v>1239</v>
      </c>
      <c r="M1041" s="94">
        <v>600</v>
      </c>
      <c r="N1041" s="83">
        <f>75</f>
        <v>75</v>
      </c>
      <c r="O1041" s="86">
        <v>240</v>
      </c>
      <c r="P1041" s="86">
        <v>40</v>
      </c>
      <c r="Q1041" s="86">
        <f t="shared" si="163"/>
        <v>315</v>
      </c>
      <c r="R1041" s="86">
        <f t="shared" si="164"/>
        <v>100</v>
      </c>
      <c r="S1041" s="83">
        <f t="shared" si="165"/>
        <v>695</v>
      </c>
      <c r="T1041" s="83">
        <f>0</f>
        <v>0</v>
      </c>
      <c r="U1041" s="84"/>
      <c r="V1041" s="84"/>
      <c r="W1041" s="84"/>
      <c r="X1041" s="84"/>
      <c r="Y1041" s="84"/>
      <c r="Z1041" s="84"/>
      <c r="AA1041" s="84"/>
      <c r="AB1041" s="84"/>
      <c r="AC1041" s="84"/>
      <c r="AD1041" s="84"/>
    </row>
    <row r="1042" spans="1:30" ht="15.75" x14ac:dyDescent="0.25">
      <c r="A1042" s="32">
        <v>72654</v>
      </c>
      <c r="B1042" s="95">
        <f t="shared" si="166"/>
        <v>30</v>
      </c>
      <c r="C1042" s="83">
        <f>122.58</f>
        <v>122.58</v>
      </c>
      <c r="D1042" s="83">
        <f>297.941</f>
        <v>297.94099999999997</v>
      </c>
      <c r="E1042" s="92">
        <f>89.177</f>
        <v>89.177000000000007</v>
      </c>
      <c r="F1042" s="83">
        <f>240.302-40-60-100</f>
        <v>40.301999999999992</v>
      </c>
      <c r="G1042" s="86">
        <v>40</v>
      </c>
      <c r="H1042" s="83">
        <f>60+100</f>
        <v>160</v>
      </c>
      <c r="I1042" s="83">
        <f t="shared" si="170"/>
        <v>0</v>
      </c>
      <c r="J1042" s="86">
        <v>100</v>
      </c>
      <c r="K1042" s="86">
        <v>300</v>
      </c>
      <c r="L1042" s="83">
        <f t="shared" si="162"/>
        <v>1150</v>
      </c>
      <c r="M1042" s="94">
        <v>600</v>
      </c>
      <c r="N1042" s="83">
        <f>100</f>
        <v>100</v>
      </c>
      <c r="O1042" s="86">
        <v>240</v>
      </c>
      <c r="P1042" s="86">
        <v>40</v>
      </c>
      <c r="Q1042" s="86">
        <f t="shared" si="163"/>
        <v>315</v>
      </c>
      <c r="R1042" s="86">
        <f t="shared" si="164"/>
        <v>100</v>
      </c>
      <c r="S1042" s="83">
        <f t="shared" si="165"/>
        <v>695</v>
      </c>
      <c r="T1042" s="83">
        <f>50</f>
        <v>50</v>
      </c>
      <c r="U1042" s="84"/>
      <c r="V1042" s="84"/>
      <c r="W1042" s="84"/>
      <c r="X1042" s="84"/>
      <c r="Y1042" s="84"/>
      <c r="Z1042" s="84"/>
      <c r="AA1042" s="84"/>
      <c r="AB1042" s="84"/>
      <c r="AC1042" s="84"/>
      <c r="AD1042" s="84"/>
    </row>
    <row r="1043" spans="1:30" ht="15.75" x14ac:dyDescent="0.25">
      <c r="A1043" s="32">
        <v>72685</v>
      </c>
      <c r="B1043" s="95">
        <f t="shared" si="166"/>
        <v>31</v>
      </c>
      <c r="C1043" s="83">
        <f>122.58</f>
        <v>122.58</v>
      </c>
      <c r="D1043" s="83">
        <f>297.941</f>
        <v>297.94099999999997</v>
      </c>
      <c r="E1043" s="92">
        <f>89.177</f>
        <v>89.177000000000007</v>
      </c>
      <c r="F1043" s="83">
        <f>240.302-40-60-100</f>
        <v>40.301999999999992</v>
      </c>
      <c r="G1043" s="86">
        <v>40</v>
      </c>
      <c r="H1043" s="83">
        <f>60+100</f>
        <v>160</v>
      </c>
      <c r="I1043" s="83">
        <f t="shared" si="170"/>
        <v>0</v>
      </c>
      <c r="J1043" s="86">
        <v>100</v>
      </c>
      <c r="K1043" s="86">
        <v>300</v>
      </c>
      <c r="L1043" s="83">
        <f t="shared" si="162"/>
        <v>1150</v>
      </c>
      <c r="M1043" s="94">
        <v>600</v>
      </c>
      <c r="N1043" s="83">
        <f>100</f>
        <v>100</v>
      </c>
      <c r="O1043" s="86">
        <v>240</v>
      </c>
      <c r="P1043" s="86">
        <v>40</v>
      </c>
      <c r="Q1043" s="86">
        <f t="shared" si="163"/>
        <v>315</v>
      </c>
      <c r="R1043" s="86">
        <f t="shared" si="164"/>
        <v>100</v>
      </c>
      <c r="S1043" s="83">
        <f t="shared" si="165"/>
        <v>695</v>
      </c>
      <c r="T1043" s="83">
        <f>50</f>
        <v>50</v>
      </c>
      <c r="U1043" s="84"/>
      <c r="V1043" s="84"/>
      <c r="W1043" s="84"/>
      <c r="X1043" s="84"/>
      <c r="Y1043" s="84"/>
      <c r="Z1043" s="84"/>
      <c r="AA1043" s="84"/>
      <c r="AB1043" s="84"/>
      <c r="AC1043" s="84"/>
      <c r="AD1043" s="84"/>
    </row>
    <row r="1044" spans="1:30" ht="15.75" x14ac:dyDescent="0.25">
      <c r="A1044" s="32">
        <v>72716</v>
      </c>
      <c r="B1044" s="95">
        <f t="shared" si="166"/>
        <v>31</v>
      </c>
      <c r="C1044" s="83">
        <f>122.58</f>
        <v>122.58</v>
      </c>
      <c r="D1044" s="83">
        <f>297.941</f>
        <v>297.94099999999997</v>
      </c>
      <c r="E1044" s="92">
        <f>89.177</f>
        <v>89.177000000000007</v>
      </c>
      <c r="F1044" s="83">
        <f>240.302-40-60-100</f>
        <v>40.301999999999992</v>
      </c>
      <c r="G1044" s="86">
        <v>40</v>
      </c>
      <c r="H1044" s="83">
        <f>60+100</f>
        <v>160</v>
      </c>
      <c r="I1044" s="83">
        <f t="shared" si="170"/>
        <v>0</v>
      </c>
      <c r="J1044" s="86">
        <v>100</v>
      </c>
      <c r="K1044" s="86">
        <v>300</v>
      </c>
      <c r="L1044" s="83">
        <f t="shared" si="162"/>
        <v>1150</v>
      </c>
      <c r="M1044" s="94">
        <v>600</v>
      </c>
      <c r="N1044" s="83">
        <f>100</f>
        <v>100</v>
      </c>
      <c r="O1044" s="86">
        <v>240</v>
      </c>
      <c r="P1044" s="86">
        <v>40</v>
      </c>
      <c r="Q1044" s="86">
        <f t="shared" si="163"/>
        <v>315</v>
      </c>
      <c r="R1044" s="86">
        <f t="shared" si="164"/>
        <v>100</v>
      </c>
      <c r="S1044" s="83">
        <f t="shared" si="165"/>
        <v>695</v>
      </c>
      <c r="T1044" s="83">
        <f>50</f>
        <v>50</v>
      </c>
      <c r="U1044" s="84"/>
      <c r="V1044" s="84"/>
      <c r="W1044" s="84"/>
      <c r="X1044" s="84"/>
      <c r="Y1044" s="84"/>
      <c r="Z1044" s="84"/>
      <c r="AA1044" s="84"/>
      <c r="AB1044" s="84"/>
      <c r="AC1044" s="84"/>
      <c r="AD1044" s="84"/>
    </row>
    <row r="1045" spans="1:30" ht="15.75" x14ac:dyDescent="0.25">
      <c r="A1045" s="32">
        <v>72744</v>
      </c>
      <c r="B1045" s="95">
        <f t="shared" si="166"/>
        <v>28</v>
      </c>
      <c r="C1045" s="83">
        <f>122.58</f>
        <v>122.58</v>
      </c>
      <c r="D1045" s="83">
        <f>297.941</f>
        <v>297.94099999999997</v>
      </c>
      <c r="E1045" s="92">
        <f>89.177</f>
        <v>89.177000000000007</v>
      </c>
      <c r="F1045" s="83">
        <f>240.302-40-60-100</f>
        <v>40.301999999999992</v>
      </c>
      <c r="G1045" s="86">
        <v>40</v>
      </c>
      <c r="H1045" s="83">
        <f>60+100</f>
        <v>160</v>
      </c>
      <c r="I1045" s="83">
        <f t="shared" si="170"/>
        <v>0</v>
      </c>
      <c r="J1045" s="86">
        <v>100</v>
      </c>
      <c r="K1045" s="86">
        <v>300</v>
      </c>
      <c r="L1045" s="83">
        <f t="shared" si="162"/>
        <v>1150</v>
      </c>
      <c r="M1045" s="94">
        <v>600</v>
      </c>
      <c r="N1045" s="83">
        <f>100</f>
        <v>100</v>
      </c>
      <c r="O1045" s="86">
        <v>240</v>
      </c>
      <c r="P1045" s="86">
        <v>40</v>
      </c>
      <c r="Q1045" s="86">
        <f t="shared" si="163"/>
        <v>315</v>
      </c>
      <c r="R1045" s="86">
        <f t="shared" si="164"/>
        <v>100</v>
      </c>
      <c r="S1045" s="83">
        <f t="shared" si="165"/>
        <v>695</v>
      </c>
      <c r="T1045" s="83">
        <f>50</f>
        <v>50</v>
      </c>
      <c r="U1045" s="84"/>
      <c r="V1045" s="84"/>
      <c r="W1045" s="84"/>
      <c r="X1045" s="84"/>
      <c r="Y1045" s="84"/>
      <c r="Z1045" s="84"/>
      <c r="AA1045" s="84"/>
      <c r="AB1045" s="84"/>
      <c r="AC1045" s="84"/>
      <c r="AD1045" s="84"/>
    </row>
    <row r="1046" spans="1:30" ht="15.75" x14ac:dyDescent="0.25">
      <c r="A1046" s="32">
        <v>72775</v>
      </c>
      <c r="B1046" s="95">
        <f t="shared" si="166"/>
        <v>31</v>
      </c>
      <c r="C1046" s="83">
        <f>122.58</f>
        <v>122.58</v>
      </c>
      <c r="D1046" s="83">
        <f>297.941</f>
        <v>297.94099999999997</v>
      </c>
      <c r="E1046" s="92">
        <f>89.177</f>
        <v>89.177000000000007</v>
      </c>
      <c r="F1046" s="83">
        <f>240.302-40-60-100</f>
        <v>40.301999999999992</v>
      </c>
      <c r="G1046" s="86">
        <v>40</v>
      </c>
      <c r="H1046" s="83">
        <f>60+100</f>
        <v>160</v>
      </c>
      <c r="I1046" s="83">
        <f t="shared" si="170"/>
        <v>0</v>
      </c>
      <c r="J1046" s="86">
        <v>100</v>
      </c>
      <c r="K1046" s="86">
        <v>300</v>
      </c>
      <c r="L1046" s="83">
        <f t="shared" ref="L1046:L1067" si="173">SUM(C1046:K1046)</f>
        <v>1150</v>
      </c>
      <c r="M1046" s="94">
        <v>600</v>
      </c>
      <c r="N1046" s="83">
        <f>100</f>
        <v>100</v>
      </c>
      <c r="O1046" s="86">
        <v>240</v>
      </c>
      <c r="P1046" s="86">
        <v>40</v>
      </c>
      <c r="Q1046" s="86">
        <f t="shared" ref="Q1046:Q1067" si="174">695-R1046-O1046-P1046</f>
        <v>315</v>
      </c>
      <c r="R1046" s="86">
        <f t="shared" ref="R1046:R1067" si="175">200-J1046</f>
        <v>100</v>
      </c>
      <c r="S1046" s="83">
        <f t="shared" ref="S1046:S1067" si="176">SUM(O1046:R1046)</f>
        <v>695</v>
      </c>
      <c r="T1046" s="83">
        <f>50</f>
        <v>50</v>
      </c>
      <c r="U1046" s="84"/>
      <c r="V1046" s="84"/>
      <c r="W1046" s="84"/>
      <c r="X1046" s="84"/>
      <c r="Y1046" s="84"/>
      <c r="Z1046" s="84"/>
      <c r="AA1046" s="84"/>
      <c r="AB1046" s="84"/>
      <c r="AC1046" s="84"/>
      <c r="AD1046" s="84"/>
    </row>
    <row r="1047" spans="1:30" ht="15.75" x14ac:dyDescent="0.25">
      <c r="A1047" s="32">
        <v>72805</v>
      </c>
      <c r="B1047" s="95">
        <f t="shared" si="166"/>
        <v>30</v>
      </c>
      <c r="C1047" s="83">
        <f>141.293</f>
        <v>141.29300000000001</v>
      </c>
      <c r="D1047" s="83">
        <f>267.993</f>
        <v>267.99299999999999</v>
      </c>
      <c r="E1047" s="92">
        <f>115.016</f>
        <v>115.01600000000001</v>
      </c>
      <c r="F1047" s="83">
        <f>314.698-40-25-60-100</f>
        <v>89.697999999999979</v>
      </c>
      <c r="G1047" s="86">
        <v>40</v>
      </c>
      <c r="H1047" s="83">
        <f t="shared" ref="H1047:H1053" si="177">25+60+100</f>
        <v>185</v>
      </c>
      <c r="I1047" s="83">
        <f t="shared" si="170"/>
        <v>0</v>
      </c>
      <c r="J1047" s="86">
        <v>100</v>
      </c>
      <c r="K1047" s="86">
        <v>300</v>
      </c>
      <c r="L1047" s="83">
        <f t="shared" si="173"/>
        <v>1239</v>
      </c>
      <c r="M1047" s="94">
        <v>600</v>
      </c>
      <c r="N1047" s="83">
        <f>100</f>
        <v>100</v>
      </c>
      <c r="O1047" s="86">
        <v>240</v>
      </c>
      <c r="P1047" s="86">
        <v>40</v>
      </c>
      <c r="Q1047" s="86">
        <f t="shared" si="174"/>
        <v>315</v>
      </c>
      <c r="R1047" s="86">
        <f t="shared" si="175"/>
        <v>100</v>
      </c>
      <c r="S1047" s="83">
        <f t="shared" si="176"/>
        <v>695</v>
      </c>
      <c r="T1047" s="83">
        <f>50</f>
        <v>50</v>
      </c>
      <c r="U1047" s="84"/>
      <c r="V1047" s="84"/>
      <c r="W1047" s="84"/>
      <c r="X1047" s="84"/>
      <c r="Y1047" s="84"/>
      <c r="Z1047" s="84"/>
      <c r="AA1047" s="84"/>
      <c r="AB1047" s="84"/>
      <c r="AC1047" s="84"/>
      <c r="AD1047" s="84"/>
    </row>
    <row r="1048" spans="1:30" ht="15.75" x14ac:dyDescent="0.25">
      <c r="A1048" s="32">
        <v>72836</v>
      </c>
      <c r="B1048" s="95">
        <f t="shared" ref="B1048:B1067" si="178">EOMONTH(A1048,0)-EOMONTH(A1048,-1)</f>
        <v>31</v>
      </c>
      <c r="C1048" s="83">
        <f>194.205</f>
        <v>194.20500000000001</v>
      </c>
      <c r="D1048" s="83">
        <f>267.466</f>
        <v>267.46600000000001</v>
      </c>
      <c r="E1048" s="92">
        <f>133.845</f>
        <v>133.845</v>
      </c>
      <c r="F1048" s="83">
        <f>278.484-40-25-60-100</f>
        <v>53.48399999999998</v>
      </c>
      <c r="G1048" s="86">
        <v>40</v>
      </c>
      <c r="H1048" s="83">
        <f t="shared" si="177"/>
        <v>185</v>
      </c>
      <c r="I1048" s="83">
        <f t="shared" si="170"/>
        <v>0</v>
      </c>
      <c r="J1048" s="86">
        <v>100</v>
      </c>
      <c r="K1048" s="86">
        <v>300</v>
      </c>
      <c r="L1048" s="83">
        <f t="shared" si="173"/>
        <v>1274</v>
      </c>
      <c r="M1048" s="94">
        <v>600</v>
      </c>
      <c r="N1048" s="83">
        <f>75</f>
        <v>75</v>
      </c>
      <c r="O1048" s="86">
        <v>240</v>
      </c>
      <c r="P1048" s="86">
        <v>40</v>
      </c>
      <c r="Q1048" s="86">
        <f t="shared" si="174"/>
        <v>315</v>
      </c>
      <c r="R1048" s="86">
        <f t="shared" si="175"/>
        <v>100</v>
      </c>
      <c r="S1048" s="83">
        <f t="shared" si="176"/>
        <v>695</v>
      </c>
      <c r="T1048" s="83">
        <f>50</f>
        <v>50</v>
      </c>
      <c r="U1048" s="84"/>
      <c r="V1048" s="84"/>
      <c r="W1048" s="84"/>
      <c r="X1048" s="84"/>
      <c r="Y1048" s="84"/>
      <c r="Z1048" s="84"/>
      <c r="AA1048" s="84"/>
      <c r="AB1048" s="84"/>
      <c r="AC1048" s="84"/>
      <c r="AD1048" s="84"/>
    </row>
    <row r="1049" spans="1:30" ht="15.75" x14ac:dyDescent="0.25">
      <c r="A1049" s="32">
        <v>72866</v>
      </c>
      <c r="B1049" s="95">
        <f t="shared" si="178"/>
        <v>30</v>
      </c>
      <c r="C1049" s="83">
        <f>194.205</f>
        <v>194.20500000000001</v>
      </c>
      <c r="D1049" s="83">
        <f>267.466</f>
        <v>267.46600000000001</v>
      </c>
      <c r="E1049" s="92">
        <f>133.845</f>
        <v>133.845</v>
      </c>
      <c r="F1049" s="83">
        <f>278.484-40-25-60-100</f>
        <v>53.48399999999998</v>
      </c>
      <c r="G1049" s="86">
        <v>40</v>
      </c>
      <c r="H1049" s="83">
        <f t="shared" si="177"/>
        <v>185</v>
      </c>
      <c r="I1049" s="83">
        <f t="shared" si="170"/>
        <v>0</v>
      </c>
      <c r="J1049" s="86">
        <v>100</v>
      </c>
      <c r="K1049" s="86">
        <v>300</v>
      </c>
      <c r="L1049" s="83">
        <f t="shared" si="173"/>
        <v>1274</v>
      </c>
      <c r="M1049" s="94">
        <v>600</v>
      </c>
      <c r="N1049" s="83">
        <f>30</f>
        <v>30</v>
      </c>
      <c r="O1049" s="86">
        <v>240</v>
      </c>
      <c r="P1049" s="86">
        <v>40</v>
      </c>
      <c r="Q1049" s="86">
        <f t="shared" si="174"/>
        <v>315</v>
      </c>
      <c r="R1049" s="86">
        <f t="shared" si="175"/>
        <v>100</v>
      </c>
      <c r="S1049" s="83">
        <f t="shared" si="176"/>
        <v>695</v>
      </c>
      <c r="T1049" s="83">
        <f>50</f>
        <v>50</v>
      </c>
      <c r="U1049" s="84"/>
      <c r="V1049" s="84"/>
      <c r="W1049" s="84"/>
      <c r="X1049" s="84"/>
      <c r="Y1049" s="84"/>
      <c r="Z1049" s="84"/>
      <c r="AA1049" s="84"/>
      <c r="AB1049" s="84"/>
      <c r="AC1049" s="84"/>
      <c r="AD1049" s="84"/>
    </row>
    <row r="1050" spans="1:30" ht="15.75" x14ac:dyDescent="0.25">
      <c r="A1050" s="32">
        <v>72897</v>
      </c>
      <c r="B1050" s="95">
        <f t="shared" si="178"/>
        <v>31</v>
      </c>
      <c r="C1050" s="83">
        <f>194.205</f>
        <v>194.20500000000001</v>
      </c>
      <c r="D1050" s="83">
        <f>267.466</f>
        <v>267.46600000000001</v>
      </c>
      <c r="E1050" s="92">
        <f>133.845</f>
        <v>133.845</v>
      </c>
      <c r="F1050" s="83">
        <f>278.484-40-25-60-100</f>
        <v>53.48399999999998</v>
      </c>
      <c r="G1050" s="86">
        <v>40</v>
      </c>
      <c r="H1050" s="83">
        <f t="shared" si="177"/>
        <v>185</v>
      </c>
      <c r="I1050" s="83">
        <f t="shared" si="170"/>
        <v>0</v>
      </c>
      <c r="J1050" s="86">
        <v>100</v>
      </c>
      <c r="K1050" s="86">
        <v>300</v>
      </c>
      <c r="L1050" s="83">
        <f t="shared" si="173"/>
        <v>1274</v>
      </c>
      <c r="M1050" s="94">
        <v>600</v>
      </c>
      <c r="N1050" s="83">
        <f>30</f>
        <v>30</v>
      </c>
      <c r="O1050" s="86">
        <v>240</v>
      </c>
      <c r="P1050" s="86">
        <v>40</v>
      </c>
      <c r="Q1050" s="86">
        <f t="shared" si="174"/>
        <v>315</v>
      </c>
      <c r="R1050" s="86">
        <f t="shared" si="175"/>
        <v>100</v>
      </c>
      <c r="S1050" s="83">
        <f t="shared" si="176"/>
        <v>695</v>
      </c>
      <c r="T1050" s="83">
        <f>0</f>
        <v>0</v>
      </c>
      <c r="U1050" s="84"/>
      <c r="V1050" s="84"/>
      <c r="W1050" s="84"/>
      <c r="X1050" s="84"/>
      <c r="Y1050" s="84"/>
      <c r="Z1050" s="84"/>
      <c r="AA1050" s="84"/>
      <c r="AB1050" s="84"/>
      <c r="AC1050" s="84"/>
      <c r="AD1050" s="84"/>
    </row>
    <row r="1051" spans="1:30" ht="15.75" x14ac:dyDescent="0.25">
      <c r="A1051" s="32">
        <v>72928</v>
      </c>
      <c r="B1051" s="95">
        <f t="shared" si="178"/>
        <v>31</v>
      </c>
      <c r="C1051" s="83">
        <f>194.205</f>
        <v>194.20500000000001</v>
      </c>
      <c r="D1051" s="83">
        <f>267.466</f>
        <v>267.46600000000001</v>
      </c>
      <c r="E1051" s="92">
        <f>133.845</f>
        <v>133.845</v>
      </c>
      <c r="F1051" s="83">
        <f>278.484-40-25-60-100</f>
        <v>53.48399999999998</v>
      </c>
      <c r="G1051" s="86">
        <v>40</v>
      </c>
      <c r="H1051" s="83">
        <f t="shared" si="177"/>
        <v>185</v>
      </c>
      <c r="I1051" s="83">
        <f t="shared" si="170"/>
        <v>0</v>
      </c>
      <c r="J1051" s="86">
        <v>100</v>
      </c>
      <c r="K1051" s="86">
        <v>300</v>
      </c>
      <c r="L1051" s="83">
        <f t="shared" si="173"/>
        <v>1274</v>
      </c>
      <c r="M1051" s="94">
        <v>600</v>
      </c>
      <c r="N1051" s="83">
        <f>30</f>
        <v>30</v>
      </c>
      <c r="O1051" s="86">
        <v>240</v>
      </c>
      <c r="P1051" s="86">
        <v>40</v>
      </c>
      <c r="Q1051" s="86">
        <f t="shared" si="174"/>
        <v>315</v>
      </c>
      <c r="R1051" s="86">
        <f t="shared" si="175"/>
        <v>100</v>
      </c>
      <c r="S1051" s="83">
        <f t="shared" si="176"/>
        <v>695</v>
      </c>
      <c r="T1051" s="83">
        <f>0</f>
        <v>0</v>
      </c>
      <c r="U1051" s="84"/>
      <c r="V1051" s="84"/>
      <c r="W1051" s="84"/>
      <c r="X1051" s="84"/>
      <c r="Y1051" s="84"/>
      <c r="Z1051" s="84"/>
      <c r="AA1051" s="84"/>
      <c r="AB1051" s="84"/>
      <c r="AC1051" s="84"/>
      <c r="AD1051" s="84"/>
    </row>
    <row r="1052" spans="1:30" ht="15.75" x14ac:dyDescent="0.25">
      <c r="A1052" s="32">
        <v>72958</v>
      </c>
      <c r="B1052" s="95">
        <f t="shared" si="178"/>
        <v>30</v>
      </c>
      <c r="C1052" s="83">
        <f>194.205</f>
        <v>194.20500000000001</v>
      </c>
      <c r="D1052" s="83">
        <f>267.466</f>
        <v>267.46600000000001</v>
      </c>
      <c r="E1052" s="92">
        <f>133.845</f>
        <v>133.845</v>
      </c>
      <c r="F1052" s="83">
        <f>278.484-40-25-60-100</f>
        <v>53.48399999999998</v>
      </c>
      <c r="G1052" s="86">
        <v>40</v>
      </c>
      <c r="H1052" s="83">
        <f t="shared" si="177"/>
        <v>185</v>
      </c>
      <c r="I1052" s="83">
        <f t="shared" si="170"/>
        <v>0</v>
      </c>
      <c r="J1052" s="86">
        <v>100</v>
      </c>
      <c r="K1052" s="86">
        <v>300</v>
      </c>
      <c r="L1052" s="83">
        <f t="shared" si="173"/>
        <v>1274</v>
      </c>
      <c r="M1052" s="94">
        <v>600</v>
      </c>
      <c r="N1052" s="83">
        <f>30</f>
        <v>30</v>
      </c>
      <c r="O1052" s="86">
        <v>240</v>
      </c>
      <c r="P1052" s="86">
        <v>40</v>
      </c>
      <c r="Q1052" s="86">
        <f t="shared" si="174"/>
        <v>315</v>
      </c>
      <c r="R1052" s="86">
        <f t="shared" si="175"/>
        <v>100</v>
      </c>
      <c r="S1052" s="83">
        <f t="shared" si="176"/>
        <v>695</v>
      </c>
      <c r="T1052" s="83">
        <f>0</f>
        <v>0</v>
      </c>
      <c r="U1052" s="84"/>
      <c r="V1052" s="84"/>
      <c r="W1052" s="84"/>
      <c r="X1052" s="84"/>
      <c r="Y1052" s="84"/>
      <c r="Z1052" s="84"/>
      <c r="AA1052" s="84"/>
      <c r="AB1052" s="84"/>
      <c r="AC1052" s="84"/>
      <c r="AD1052" s="84"/>
    </row>
    <row r="1053" spans="1:30" ht="15.75" x14ac:dyDescent="0.25">
      <c r="A1053" s="32">
        <v>72989</v>
      </c>
      <c r="B1053" s="95">
        <f t="shared" si="178"/>
        <v>31</v>
      </c>
      <c r="C1053" s="83">
        <f>131.881</f>
        <v>131.881</v>
      </c>
      <c r="D1053" s="83">
        <f>277.167</f>
        <v>277.16699999999997</v>
      </c>
      <c r="E1053" s="92">
        <f>79.08</f>
        <v>79.08</v>
      </c>
      <c r="F1053" s="83">
        <f>350.872-40-25-60-100</f>
        <v>125.87200000000001</v>
      </c>
      <c r="G1053" s="86">
        <v>40</v>
      </c>
      <c r="H1053" s="83">
        <f t="shared" si="177"/>
        <v>185</v>
      </c>
      <c r="I1053" s="83">
        <f t="shared" si="170"/>
        <v>0</v>
      </c>
      <c r="J1053" s="86">
        <v>100</v>
      </c>
      <c r="K1053" s="86">
        <v>300</v>
      </c>
      <c r="L1053" s="83">
        <f t="shared" si="173"/>
        <v>1239</v>
      </c>
      <c r="M1053" s="94">
        <v>600</v>
      </c>
      <c r="N1053" s="83">
        <f>75</f>
        <v>75</v>
      </c>
      <c r="O1053" s="86">
        <v>240</v>
      </c>
      <c r="P1053" s="86">
        <v>40</v>
      </c>
      <c r="Q1053" s="86">
        <f t="shared" si="174"/>
        <v>315</v>
      </c>
      <c r="R1053" s="86">
        <f t="shared" si="175"/>
        <v>100</v>
      </c>
      <c r="S1053" s="83">
        <f t="shared" si="176"/>
        <v>695</v>
      </c>
      <c r="T1053" s="83">
        <f>0</f>
        <v>0</v>
      </c>
      <c r="U1053" s="84"/>
      <c r="V1053" s="84"/>
      <c r="W1053" s="84"/>
      <c r="X1053" s="84"/>
      <c r="Y1053" s="84"/>
      <c r="Z1053" s="84"/>
      <c r="AA1053" s="84"/>
      <c r="AB1053" s="84"/>
      <c r="AC1053" s="84"/>
      <c r="AD1053" s="84"/>
    </row>
    <row r="1054" spans="1:30" ht="15.75" x14ac:dyDescent="0.25">
      <c r="A1054" s="32">
        <v>73019</v>
      </c>
      <c r="B1054" s="95">
        <f t="shared" si="178"/>
        <v>30</v>
      </c>
      <c r="C1054" s="83">
        <f>122.58</f>
        <v>122.58</v>
      </c>
      <c r="D1054" s="83">
        <f>297.941</f>
        <v>297.94099999999997</v>
      </c>
      <c r="E1054" s="92">
        <f>89.177</f>
        <v>89.177000000000007</v>
      </c>
      <c r="F1054" s="83">
        <f>240.302-40-60-100</f>
        <v>40.301999999999992</v>
      </c>
      <c r="G1054" s="86">
        <v>40</v>
      </c>
      <c r="H1054" s="83">
        <f>60+100</f>
        <v>160</v>
      </c>
      <c r="I1054" s="83">
        <f t="shared" si="170"/>
        <v>0</v>
      </c>
      <c r="J1054" s="86">
        <v>100</v>
      </c>
      <c r="K1054" s="86">
        <v>300</v>
      </c>
      <c r="L1054" s="83">
        <f t="shared" si="173"/>
        <v>1150</v>
      </c>
      <c r="M1054" s="94">
        <v>600</v>
      </c>
      <c r="N1054" s="83">
        <f>100</f>
        <v>100</v>
      </c>
      <c r="O1054" s="86">
        <v>240</v>
      </c>
      <c r="P1054" s="86">
        <v>40</v>
      </c>
      <c r="Q1054" s="86">
        <f t="shared" si="174"/>
        <v>315</v>
      </c>
      <c r="R1054" s="86">
        <f t="shared" si="175"/>
        <v>100</v>
      </c>
      <c r="S1054" s="83">
        <f t="shared" si="176"/>
        <v>695</v>
      </c>
      <c r="T1054" s="83">
        <f>50</f>
        <v>50</v>
      </c>
      <c r="U1054" s="84"/>
      <c r="V1054" s="84"/>
      <c r="W1054" s="84"/>
      <c r="X1054" s="84"/>
      <c r="Y1054" s="84"/>
      <c r="Z1054" s="84"/>
      <c r="AA1054" s="84"/>
      <c r="AB1054" s="84"/>
      <c r="AC1054" s="84"/>
      <c r="AD1054" s="84"/>
    </row>
    <row r="1055" spans="1:30" ht="15.75" x14ac:dyDescent="0.25">
      <c r="A1055" s="32">
        <v>73050</v>
      </c>
      <c r="B1055" s="95">
        <f t="shared" si="178"/>
        <v>31</v>
      </c>
      <c r="C1055" s="83">
        <f>122.58</f>
        <v>122.58</v>
      </c>
      <c r="D1055" s="83">
        <f>297.941</f>
        <v>297.94099999999997</v>
      </c>
      <c r="E1055" s="92">
        <f>89.177</f>
        <v>89.177000000000007</v>
      </c>
      <c r="F1055" s="83">
        <f>240.302-40-60-100</f>
        <v>40.301999999999992</v>
      </c>
      <c r="G1055" s="86">
        <v>40</v>
      </c>
      <c r="H1055" s="83">
        <f>60+100</f>
        <v>160</v>
      </c>
      <c r="I1055" s="83">
        <f t="shared" si="170"/>
        <v>0</v>
      </c>
      <c r="J1055" s="86">
        <v>100</v>
      </c>
      <c r="K1055" s="86">
        <v>300</v>
      </c>
      <c r="L1055" s="83">
        <f t="shared" si="173"/>
        <v>1150</v>
      </c>
      <c r="M1055" s="94">
        <v>600</v>
      </c>
      <c r="N1055" s="83">
        <f>100</f>
        <v>100</v>
      </c>
      <c r="O1055" s="86">
        <v>240</v>
      </c>
      <c r="P1055" s="86">
        <v>40</v>
      </c>
      <c r="Q1055" s="86">
        <f t="shared" si="174"/>
        <v>315</v>
      </c>
      <c r="R1055" s="86">
        <f t="shared" si="175"/>
        <v>100</v>
      </c>
      <c r="S1055" s="83">
        <f t="shared" si="176"/>
        <v>695</v>
      </c>
      <c r="T1055" s="83">
        <f>50</f>
        <v>50</v>
      </c>
      <c r="U1055" s="84"/>
      <c r="V1055" s="84"/>
      <c r="W1055" s="84"/>
      <c r="X1055" s="84"/>
      <c r="Y1055" s="84"/>
      <c r="Z1055" s="84"/>
      <c r="AA1055" s="84"/>
      <c r="AB1055" s="84"/>
      <c r="AC1055" s="84"/>
      <c r="AD1055" s="84"/>
    </row>
    <row r="1056" spans="1:30" ht="15.75" x14ac:dyDescent="0.25">
      <c r="A1056" s="32">
        <v>73081</v>
      </c>
      <c r="B1056" s="95">
        <f t="shared" si="178"/>
        <v>31</v>
      </c>
      <c r="C1056" s="83">
        <f>122.58</f>
        <v>122.58</v>
      </c>
      <c r="D1056" s="83">
        <f>297.941</f>
        <v>297.94099999999997</v>
      </c>
      <c r="E1056" s="92">
        <f>89.177</f>
        <v>89.177000000000007</v>
      </c>
      <c r="F1056" s="83">
        <f>240.302-40-60-100</f>
        <v>40.301999999999992</v>
      </c>
      <c r="G1056" s="86">
        <v>40</v>
      </c>
      <c r="H1056" s="83">
        <f>60+100</f>
        <v>160</v>
      </c>
      <c r="I1056" s="83">
        <f t="shared" si="170"/>
        <v>0</v>
      </c>
      <c r="J1056" s="86">
        <v>100</v>
      </c>
      <c r="K1056" s="86">
        <v>300</v>
      </c>
      <c r="L1056" s="83">
        <f t="shared" si="173"/>
        <v>1150</v>
      </c>
      <c r="M1056" s="94">
        <v>600</v>
      </c>
      <c r="N1056" s="83">
        <f>100</f>
        <v>100</v>
      </c>
      <c r="O1056" s="86">
        <v>240</v>
      </c>
      <c r="P1056" s="86">
        <v>40</v>
      </c>
      <c r="Q1056" s="86">
        <f t="shared" si="174"/>
        <v>315</v>
      </c>
      <c r="R1056" s="86">
        <f t="shared" si="175"/>
        <v>100</v>
      </c>
      <c r="S1056" s="83">
        <f t="shared" si="176"/>
        <v>695</v>
      </c>
      <c r="T1056" s="83">
        <f>50</f>
        <v>50</v>
      </c>
      <c r="U1056" s="84"/>
      <c r="V1056" s="84"/>
      <c r="W1056" s="84"/>
      <c r="X1056" s="84"/>
      <c r="Y1056" s="84"/>
      <c r="Z1056" s="84"/>
      <c r="AA1056" s="84"/>
      <c r="AB1056" s="84"/>
      <c r="AC1056" s="84"/>
      <c r="AD1056" s="84"/>
    </row>
    <row r="1057" spans="1:30" ht="15.75" x14ac:dyDescent="0.25">
      <c r="A1057" s="32">
        <v>73109</v>
      </c>
      <c r="B1057" s="95">
        <f t="shared" si="178"/>
        <v>28</v>
      </c>
      <c r="C1057" s="83">
        <f>122.58</f>
        <v>122.58</v>
      </c>
      <c r="D1057" s="83">
        <f>297.941</f>
        <v>297.94099999999997</v>
      </c>
      <c r="E1057" s="92">
        <f>89.177</f>
        <v>89.177000000000007</v>
      </c>
      <c r="F1057" s="83">
        <f>240.302-40-60-100</f>
        <v>40.301999999999992</v>
      </c>
      <c r="G1057" s="86">
        <v>40</v>
      </c>
      <c r="H1057" s="83">
        <f>60+100</f>
        <v>160</v>
      </c>
      <c r="I1057" s="83">
        <f t="shared" si="170"/>
        <v>0</v>
      </c>
      <c r="J1057" s="86">
        <v>100</v>
      </c>
      <c r="K1057" s="86">
        <v>300</v>
      </c>
      <c r="L1057" s="83">
        <f t="shared" si="173"/>
        <v>1150</v>
      </c>
      <c r="M1057" s="94">
        <v>600</v>
      </c>
      <c r="N1057" s="83">
        <f>100</f>
        <v>100</v>
      </c>
      <c r="O1057" s="86">
        <v>240</v>
      </c>
      <c r="P1057" s="86">
        <v>40</v>
      </c>
      <c r="Q1057" s="86">
        <f t="shared" si="174"/>
        <v>315</v>
      </c>
      <c r="R1057" s="86">
        <f t="shared" si="175"/>
        <v>100</v>
      </c>
      <c r="S1057" s="83">
        <f t="shared" si="176"/>
        <v>695</v>
      </c>
      <c r="T1057" s="83">
        <f>50</f>
        <v>50</v>
      </c>
      <c r="U1057" s="84"/>
      <c r="V1057" s="84"/>
      <c r="W1057" s="84"/>
      <c r="X1057" s="84"/>
      <c r="Y1057" s="84"/>
      <c r="Z1057" s="84"/>
      <c r="AA1057" s="84"/>
      <c r="AB1057" s="84"/>
      <c r="AC1057" s="84"/>
      <c r="AD1057" s="84"/>
    </row>
    <row r="1058" spans="1:30" ht="15.75" x14ac:dyDescent="0.25">
      <c r="A1058" s="32">
        <v>73140</v>
      </c>
      <c r="B1058" s="95">
        <f t="shared" si="178"/>
        <v>31</v>
      </c>
      <c r="C1058" s="83">
        <f>122.58</f>
        <v>122.58</v>
      </c>
      <c r="D1058" s="83">
        <f>297.941</f>
        <v>297.94099999999997</v>
      </c>
      <c r="E1058" s="92">
        <f>89.177</f>
        <v>89.177000000000007</v>
      </c>
      <c r="F1058" s="83">
        <f>240.302-40-60-100</f>
        <v>40.301999999999992</v>
      </c>
      <c r="G1058" s="86">
        <v>40</v>
      </c>
      <c r="H1058" s="83">
        <f>60+100</f>
        <v>160</v>
      </c>
      <c r="I1058" s="83">
        <f t="shared" si="170"/>
        <v>0</v>
      </c>
      <c r="J1058" s="86">
        <v>100</v>
      </c>
      <c r="K1058" s="86">
        <v>300</v>
      </c>
      <c r="L1058" s="83">
        <f t="shared" si="173"/>
        <v>1150</v>
      </c>
      <c r="M1058" s="94">
        <v>600</v>
      </c>
      <c r="N1058" s="83">
        <f>100</f>
        <v>100</v>
      </c>
      <c r="O1058" s="86">
        <v>240</v>
      </c>
      <c r="P1058" s="86">
        <v>40</v>
      </c>
      <c r="Q1058" s="86">
        <f t="shared" si="174"/>
        <v>315</v>
      </c>
      <c r="R1058" s="86">
        <f t="shared" si="175"/>
        <v>100</v>
      </c>
      <c r="S1058" s="83">
        <f t="shared" si="176"/>
        <v>695</v>
      </c>
      <c r="T1058" s="83">
        <f>50</f>
        <v>50</v>
      </c>
      <c r="U1058" s="84"/>
      <c r="V1058" s="84"/>
      <c r="W1058" s="84"/>
      <c r="X1058" s="84"/>
      <c r="Y1058" s="84"/>
      <c r="Z1058" s="84"/>
      <c r="AA1058" s="84"/>
      <c r="AB1058" s="84"/>
      <c r="AC1058" s="84"/>
      <c r="AD1058" s="84"/>
    </row>
    <row r="1059" spans="1:30" ht="15.75" x14ac:dyDescent="0.25">
      <c r="A1059" s="32">
        <v>73170</v>
      </c>
      <c r="B1059" s="95">
        <f t="shared" si="178"/>
        <v>30</v>
      </c>
      <c r="C1059" s="83">
        <f>141.293</f>
        <v>141.29300000000001</v>
      </c>
      <c r="D1059" s="83">
        <f>267.993</f>
        <v>267.99299999999999</v>
      </c>
      <c r="E1059" s="92">
        <f>115.016</f>
        <v>115.01600000000001</v>
      </c>
      <c r="F1059" s="83">
        <f>314.698-40-25-60-100</f>
        <v>89.697999999999979</v>
      </c>
      <c r="G1059" s="86">
        <v>40</v>
      </c>
      <c r="H1059" s="83">
        <f t="shared" ref="H1059:H1065" si="179">25+60+100</f>
        <v>185</v>
      </c>
      <c r="I1059" s="83">
        <f t="shared" si="170"/>
        <v>0</v>
      </c>
      <c r="J1059" s="86">
        <v>100</v>
      </c>
      <c r="K1059" s="86">
        <v>300</v>
      </c>
      <c r="L1059" s="83">
        <f t="shared" si="173"/>
        <v>1239</v>
      </c>
      <c r="M1059" s="94">
        <v>600</v>
      </c>
      <c r="N1059" s="83">
        <f>100</f>
        <v>100</v>
      </c>
      <c r="O1059" s="86">
        <v>240</v>
      </c>
      <c r="P1059" s="86">
        <v>40</v>
      </c>
      <c r="Q1059" s="86">
        <f t="shared" si="174"/>
        <v>315</v>
      </c>
      <c r="R1059" s="86">
        <f t="shared" si="175"/>
        <v>100</v>
      </c>
      <c r="S1059" s="83">
        <f t="shared" si="176"/>
        <v>695</v>
      </c>
      <c r="T1059" s="83">
        <f>50</f>
        <v>50</v>
      </c>
      <c r="U1059" s="84"/>
      <c r="V1059" s="84"/>
      <c r="W1059" s="84"/>
      <c r="X1059" s="84"/>
      <c r="Y1059" s="84"/>
      <c r="Z1059" s="84"/>
      <c r="AA1059" s="84"/>
      <c r="AB1059" s="84"/>
      <c r="AC1059" s="84"/>
      <c r="AD1059" s="84"/>
    </row>
    <row r="1060" spans="1:30" ht="15.75" x14ac:dyDescent="0.25">
      <c r="A1060" s="32">
        <v>73201</v>
      </c>
      <c r="B1060" s="95">
        <f t="shared" si="178"/>
        <v>31</v>
      </c>
      <c r="C1060" s="83">
        <f>194.205</f>
        <v>194.20500000000001</v>
      </c>
      <c r="D1060" s="83">
        <f>267.466</f>
        <v>267.46600000000001</v>
      </c>
      <c r="E1060" s="92">
        <f>133.845</f>
        <v>133.845</v>
      </c>
      <c r="F1060" s="83">
        <f>278.484-40-25-60-100</f>
        <v>53.48399999999998</v>
      </c>
      <c r="G1060" s="86">
        <v>40</v>
      </c>
      <c r="H1060" s="83">
        <f t="shared" si="179"/>
        <v>185</v>
      </c>
      <c r="I1060" s="83">
        <f t="shared" si="170"/>
        <v>0</v>
      </c>
      <c r="J1060" s="86">
        <v>100</v>
      </c>
      <c r="K1060" s="86">
        <v>300</v>
      </c>
      <c r="L1060" s="83">
        <f t="shared" si="173"/>
        <v>1274</v>
      </c>
      <c r="M1060" s="94">
        <v>600</v>
      </c>
      <c r="N1060" s="83">
        <f>75</f>
        <v>75</v>
      </c>
      <c r="O1060" s="86">
        <v>240</v>
      </c>
      <c r="P1060" s="86">
        <v>40</v>
      </c>
      <c r="Q1060" s="86">
        <f t="shared" si="174"/>
        <v>315</v>
      </c>
      <c r="R1060" s="86">
        <f t="shared" si="175"/>
        <v>100</v>
      </c>
      <c r="S1060" s="83">
        <f t="shared" si="176"/>
        <v>695</v>
      </c>
      <c r="T1060" s="83">
        <f>50</f>
        <v>50</v>
      </c>
      <c r="U1060" s="84"/>
      <c r="V1060" s="84"/>
      <c r="W1060" s="84"/>
      <c r="X1060" s="84"/>
      <c r="Y1060" s="84"/>
      <c r="Z1060" s="84"/>
      <c r="AA1060" s="84"/>
      <c r="AB1060" s="84"/>
      <c r="AC1060" s="84"/>
      <c r="AD1060" s="84"/>
    </row>
    <row r="1061" spans="1:30" ht="15.75" x14ac:dyDescent="0.25">
      <c r="A1061" s="32">
        <v>73231</v>
      </c>
      <c r="B1061" s="95">
        <f t="shared" si="178"/>
        <v>30</v>
      </c>
      <c r="C1061" s="83">
        <f>194.205</f>
        <v>194.20500000000001</v>
      </c>
      <c r="D1061" s="83">
        <f>267.466</f>
        <v>267.46600000000001</v>
      </c>
      <c r="E1061" s="92">
        <f>133.845</f>
        <v>133.845</v>
      </c>
      <c r="F1061" s="83">
        <f>278.484-40-25-60-100</f>
        <v>53.48399999999998</v>
      </c>
      <c r="G1061" s="86">
        <v>40</v>
      </c>
      <c r="H1061" s="83">
        <f t="shared" si="179"/>
        <v>185</v>
      </c>
      <c r="I1061" s="83">
        <f t="shared" si="170"/>
        <v>0</v>
      </c>
      <c r="J1061" s="86">
        <v>100</v>
      </c>
      <c r="K1061" s="86">
        <v>300</v>
      </c>
      <c r="L1061" s="83">
        <f t="shared" si="173"/>
        <v>1274</v>
      </c>
      <c r="M1061" s="94">
        <v>600</v>
      </c>
      <c r="N1061" s="83">
        <f>30</f>
        <v>30</v>
      </c>
      <c r="O1061" s="86">
        <v>240</v>
      </c>
      <c r="P1061" s="86">
        <v>40</v>
      </c>
      <c r="Q1061" s="86">
        <f t="shared" si="174"/>
        <v>315</v>
      </c>
      <c r="R1061" s="86">
        <f t="shared" si="175"/>
        <v>100</v>
      </c>
      <c r="S1061" s="83">
        <f t="shared" si="176"/>
        <v>695</v>
      </c>
      <c r="T1061" s="83">
        <f>50</f>
        <v>50</v>
      </c>
      <c r="U1061" s="84"/>
      <c r="V1061" s="84"/>
      <c r="W1061" s="84"/>
      <c r="X1061" s="84"/>
      <c r="Y1061" s="84"/>
      <c r="Z1061" s="84"/>
      <c r="AA1061" s="84"/>
      <c r="AB1061" s="84"/>
      <c r="AC1061" s="84"/>
      <c r="AD1061" s="84"/>
    </row>
    <row r="1062" spans="1:30" ht="15.75" x14ac:dyDescent="0.25">
      <c r="A1062" s="32">
        <v>73262</v>
      </c>
      <c r="B1062" s="95">
        <f t="shared" si="178"/>
        <v>31</v>
      </c>
      <c r="C1062" s="83">
        <f>194.205</f>
        <v>194.20500000000001</v>
      </c>
      <c r="D1062" s="83">
        <f>267.466</f>
        <v>267.46600000000001</v>
      </c>
      <c r="E1062" s="92">
        <f>133.845</f>
        <v>133.845</v>
      </c>
      <c r="F1062" s="83">
        <f>278.484-40-25-60-100</f>
        <v>53.48399999999998</v>
      </c>
      <c r="G1062" s="86">
        <v>40</v>
      </c>
      <c r="H1062" s="83">
        <f t="shared" si="179"/>
        <v>185</v>
      </c>
      <c r="I1062" s="83">
        <f t="shared" si="170"/>
        <v>0</v>
      </c>
      <c r="J1062" s="86">
        <v>100</v>
      </c>
      <c r="K1062" s="86">
        <v>300</v>
      </c>
      <c r="L1062" s="83">
        <f t="shared" si="173"/>
        <v>1274</v>
      </c>
      <c r="M1062" s="94">
        <v>600</v>
      </c>
      <c r="N1062" s="83">
        <f>30</f>
        <v>30</v>
      </c>
      <c r="O1062" s="86">
        <v>240</v>
      </c>
      <c r="P1062" s="86">
        <v>40</v>
      </c>
      <c r="Q1062" s="86">
        <f t="shared" si="174"/>
        <v>315</v>
      </c>
      <c r="R1062" s="86">
        <f t="shared" si="175"/>
        <v>100</v>
      </c>
      <c r="S1062" s="83">
        <f t="shared" si="176"/>
        <v>695</v>
      </c>
      <c r="T1062" s="83">
        <f>0</f>
        <v>0</v>
      </c>
      <c r="U1062" s="84"/>
      <c r="V1062" s="84"/>
      <c r="W1062" s="84"/>
      <c r="X1062" s="84"/>
      <c r="Y1062" s="84"/>
      <c r="Z1062" s="84"/>
      <c r="AA1062" s="84"/>
      <c r="AB1062" s="84"/>
      <c r="AC1062" s="84"/>
      <c r="AD1062" s="84"/>
    </row>
    <row r="1063" spans="1:30" ht="15.75" x14ac:dyDescent="0.25">
      <c r="A1063" s="32">
        <v>73293</v>
      </c>
      <c r="B1063" s="95">
        <f t="shared" si="178"/>
        <v>31</v>
      </c>
      <c r="C1063" s="83">
        <f>194.205</f>
        <v>194.20500000000001</v>
      </c>
      <c r="D1063" s="83">
        <f>267.466</f>
        <v>267.46600000000001</v>
      </c>
      <c r="E1063" s="92">
        <f>133.845</f>
        <v>133.845</v>
      </c>
      <c r="F1063" s="83">
        <f>278.484-40-25-60-100</f>
        <v>53.48399999999998</v>
      </c>
      <c r="G1063" s="86">
        <v>40</v>
      </c>
      <c r="H1063" s="83">
        <f t="shared" si="179"/>
        <v>185</v>
      </c>
      <c r="I1063" s="83">
        <f t="shared" si="170"/>
        <v>0</v>
      </c>
      <c r="J1063" s="86">
        <v>100</v>
      </c>
      <c r="K1063" s="86">
        <v>300</v>
      </c>
      <c r="L1063" s="83">
        <f t="shared" si="173"/>
        <v>1274</v>
      </c>
      <c r="M1063" s="94">
        <v>600</v>
      </c>
      <c r="N1063" s="83">
        <f>30</f>
        <v>30</v>
      </c>
      <c r="O1063" s="86">
        <v>240</v>
      </c>
      <c r="P1063" s="86">
        <v>40</v>
      </c>
      <c r="Q1063" s="86">
        <f t="shared" si="174"/>
        <v>315</v>
      </c>
      <c r="R1063" s="86">
        <f t="shared" si="175"/>
        <v>100</v>
      </c>
      <c r="S1063" s="83">
        <f t="shared" si="176"/>
        <v>695</v>
      </c>
      <c r="T1063" s="83">
        <f>0</f>
        <v>0</v>
      </c>
      <c r="U1063" s="84"/>
      <c r="V1063" s="84"/>
      <c r="W1063" s="84"/>
      <c r="X1063" s="84"/>
      <c r="Y1063" s="84"/>
      <c r="Z1063" s="84"/>
      <c r="AA1063" s="84"/>
      <c r="AB1063" s="84"/>
      <c r="AC1063" s="84"/>
      <c r="AD1063" s="84"/>
    </row>
    <row r="1064" spans="1:30" ht="15.75" x14ac:dyDescent="0.25">
      <c r="A1064" s="32">
        <v>73323</v>
      </c>
      <c r="B1064" s="95">
        <f t="shared" si="178"/>
        <v>30</v>
      </c>
      <c r="C1064" s="83">
        <f>194.205</f>
        <v>194.20500000000001</v>
      </c>
      <c r="D1064" s="83">
        <f>267.466</f>
        <v>267.46600000000001</v>
      </c>
      <c r="E1064" s="92">
        <f>133.845</f>
        <v>133.845</v>
      </c>
      <c r="F1064" s="83">
        <f>278.484-40-25-60-100</f>
        <v>53.48399999999998</v>
      </c>
      <c r="G1064" s="86">
        <v>40</v>
      </c>
      <c r="H1064" s="83">
        <f t="shared" si="179"/>
        <v>185</v>
      </c>
      <c r="I1064" s="83">
        <f t="shared" si="170"/>
        <v>0</v>
      </c>
      <c r="J1064" s="86">
        <v>100</v>
      </c>
      <c r="K1064" s="86">
        <v>300</v>
      </c>
      <c r="L1064" s="83">
        <f t="shared" si="173"/>
        <v>1274</v>
      </c>
      <c r="M1064" s="94">
        <v>600</v>
      </c>
      <c r="N1064" s="83">
        <f>30</f>
        <v>30</v>
      </c>
      <c r="O1064" s="86">
        <v>240</v>
      </c>
      <c r="P1064" s="86">
        <v>40</v>
      </c>
      <c r="Q1064" s="86">
        <f t="shared" si="174"/>
        <v>315</v>
      </c>
      <c r="R1064" s="86">
        <f t="shared" si="175"/>
        <v>100</v>
      </c>
      <c r="S1064" s="83">
        <f t="shared" si="176"/>
        <v>695</v>
      </c>
      <c r="T1064" s="83">
        <f>0</f>
        <v>0</v>
      </c>
      <c r="U1064" s="84"/>
      <c r="V1064" s="84"/>
      <c r="W1064" s="84"/>
      <c r="X1064" s="84"/>
      <c r="Y1064" s="84"/>
      <c r="Z1064" s="84"/>
      <c r="AA1064" s="84"/>
      <c r="AB1064" s="84"/>
      <c r="AC1064" s="84"/>
      <c r="AD1064" s="84"/>
    </row>
    <row r="1065" spans="1:30" ht="15.75" x14ac:dyDescent="0.25">
      <c r="A1065" s="32">
        <v>73354</v>
      </c>
      <c r="B1065" s="95">
        <f t="shared" si="178"/>
        <v>31</v>
      </c>
      <c r="C1065" s="83">
        <f>131.881</f>
        <v>131.881</v>
      </c>
      <c r="D1065" s="83">
        <f>277.167</f>
        <v>277.16699999999997</v>
      </c>
      <c r="E1065" s="92">
        <f>79.08</f>
        <v>79.08</v>
      </c>
      <c r="F1065" s="83">
        <f>350.872-40-25-60-100</f>
        <v>125.87200000000001</v>
      </c>
      <c r="G1065" s="86">
        <v>40</v>
      </c>
      <c r="H1065" s="83">
        <f t="shared" si="179"/>
        <v>185</v>
      </c>
      <c r="I1065" s="83">
        <f t="shared" si="170"/>
        <v>0</v>
      </c>
      <c r="J1065" s="86">
        <v>100</v>
      </c>
      <c r="K1065" s="86">
        <v>300</v>
      </c>
      <c r="L1065" s="83">
        <f t="shared" si="173"/>
        <v>1239</v>
      </c>
      <c r="M1065" s="94">
        <v>600</v>
      </c>
      <c r="N1065" s="83">
        <f>75</f>
        <v>75</v>
      </c>
      <c r="O1065" s="86">
        <v>240</v>
      </c>
      <c r="P1065" s="86">
        <v>40</v>
      </c>
      <c r="Q1065" s="86">
        <f t="shared" si="174"/>
        <v>315</v>
      </c>
      <c r="R1065" s="86">
        <f t="shared" si="175"/>
        <v>100</v>
      </c>
      <c r="S1065" s="83">
        <f t="shared" si="176"/>
        <v>695</v>
      </c>
      <c r="T1065" s="83">
        <f>0</f>
        <v>0</v>
      </c>
      <c r="U1065" s="84"/>
      <c r="V1065" s="84"/>
      <c r="W1065" s="84"/>
      <c r="X1065" s="84"/>
      <c r="Y1065" s="84"/>
      <c r="Z1065" s="84"/>
      <c r="AA1065" s="84"/>
      <c r="AB1065" s="84"/>
      <c r="AC1065" s="84"/>
      <c r="AD1065" s="84"/>
    </row>
    <row r="1066" spans="1:30" ht="15.75" x14ac:dyDescent="0.25">
      <c r="A1066" s="32">
        <v>73384</v>
      </c>
      <c r="B1066" s="95">
        <f t="shared" si="178"/>
        <v>30</v>
      </c>
      <c r="C1066" s="83">
        <f>122.58</f>
        <v>122.58</v>
      </c>
      <c r="D1066" s="83">
        <f>297.941</f>
        <v>297.94099999999997</v>
      </c>
      <c r="E1066" s="92">
        <f>89.177</f>
        <v>89.177000000000007</v>
      </c>
      <c r="F1066" s="83">
        <f>240.302-40-60-100</f>
        <v>40.301999999999992</v>
      </c>
      <c r="G1066" s="86">
        <v>40</v>
      </c>
      <c r="H1066" s="83">
        <f>60+100</f>
        <v>160</v>
      </c>
      <c r="I1066" s="83">
        <f t="shared" si="170"/>
        <v>0</v>
      </c>
      <c r="J1066" s="86">
        <v>100</v>
      </c>
      <c r="K1066" s="86">
        <v>300</v>
      </c>
      <c r="L1066" s="83">
        <f t="shared" si="173"/>
        <v>1150</v>
      </c>
      <c r="M1066" s="94">
        <v>600</v>
      </c>
      <c r="N1066" s="83">
        <f>100</f>
        <v>100</v>
      </c>
      <c r="O1066" s="86">
        <v>240</v>
      </c>
      <c r="P1066" s="86">
        <v>40</v>
      </c>
      <c r="Q1066" s="86">
        <f t="shared" si="174"/>
        <v>315</v>
      </c>
      <c r="R1066" s="86">
        <f t="shared" si="175"/>
        <v>100</v>
      </c>
      <c r="S1066" s="83">
        <f t="shared" si="176"/>
        <v>695</v>
      </c>
      <c r="T1066" s="83">
        <f>50</f>
        <v>50</v>
      </c>
      <c r="U1066" s="84"/>
      <c r="V1066" s="84"/>
      <c r="W1066" s="84"/>
      <c r="X1066" s="84"/>
      <c r="Y1066" s="84"/>
      <c r="Z1066" s="84"/>
      <c r="AA1066" s="84"/>
      <c r="AB1066" s="84"/>
      <c r="AC1066" s="84"/>
      <c r="AD1066" s="84"/>
    </row>
    <row r="1067" spans="1:30" ht="15.75" x14ac:dyDescent="0.25">
      <c r="A1067" s="32">
        <v>73415</v>
      </c>
      <c r="B1067" s="95">
        <f t="shared" si="178"/>
        <v>31</v>
      </c>
      <c r="C1067" s="83">
        <f>122.58</f>
        <v>122.58</v>
      </c>
      <c r="D1067" s="83">
        <f>297.941</f>
        <v>297.94099999999997</v>
      </c>
      <c r="E1067" s="92">
        <f>89.177</f>
        <v>89.177000000000007</v>
      </c>
      <c r="F1067" s="83">
        <f>240.302-40-60-100</f>
        <v>40.301999999999992</v>
      </c>
      <c r="G1067" s="86">
        <v>40</v>
      </c>
      <c r="H1067" s="83">
        <f>60+100</f>
        <v>160</v>
      </c>
      <c r="I1067" s="83">
        <f t="shared" si="170"/>
        <v>0</v>
      </c>
      <c r="J1067" s="86">
        <v>100</v>
      </c>
      <c r="K1067" s="86">
        <v>300</v>
      </c>
      <c r="L1067" s="83">
        <f t="shared" si="173"/>
        <v>1150</v>
      </c>
      <c r="M1067" s="94">
        <v>600</v>
      </c>
      <c r="N1067" s="83">
        <f>100</f>
        <v>100</v>
      </c>
      <c r="O1067" s="86">
        <v>240</v>
      </c>
      <c r="P1067" s="86">
        <v>40</v>
      </c>
      <c r="Q1067" s="86">
        <f t="shared" si="174"/>
        <v>315</v>
      </c>
      <c r="R1067" s="86">
        <f t="shared" si="175"/>
        <v>100</v>
      </c>
      <c r="S1067" s="83">
        <f t="shared" si="176"/>
        <v>695</v>
      </c>
      <c r="T1067" s="83">
        <f>50</f>
        <v>50</v>
      </c>
      <c r="U1067" s="84"/>
      <c r="V1067" s="84"/>
      <c r="W1067" s="84"/>
      <c r="X1067" s="84"/>
      <c r="Y1067" s="84"/>
      <c r="Z1067" s="84"/>
      <c r="AA1067" s="84"/>
      <c r="AB1067" s="84"/>
      <c r="AC1067" s="84"/>
      <c r="AD1067" s="84"/>
    </row>
    <row r="1068" spans="1:30" ht="15" x14ac:dyDescent="0.2">
      <c r="A1068" s="12"/>
      <c r="B1068" s="93"/>
      <c r="C1068" s="83"/>
      <c r="D1068" s="83"/>
      <c r="E1068" s="92"/>
      <c r="F1068" s="83"/>
      <c r="G1068" s="83"/>
      <c r="H1068" s="83"/>
      <c r="I1068" s="83"/>
      <c r="J1068" s="83"/>
      <c r="K1068" s="83"/>
      <c r="L1068" s="83"/>
      <c r="M1068" s="83"/>
      <c r="N1068" s="83"/>
      <c r="O1068" s="86"/>
      <c r="P1068" s="86"/>
      <c r="Q1068" s="86"/>
      <c r="R1068" s="86"/>
      <c r="S1068" s="83"/>
      <c r="T1068" s="83"/>
      <c r="U1068" s="84"/>
      <c r="V1068" s="84"/>
      <c r="W1068" s="84"/>
      <c r="X1068" s="84"/>
      <c r="Y1068" s="84"/>
      <c r="Z1068" s="84"/>
      <c r="AA1068" s="84"/>
      <c r="AB1068" s="84"/>
      <c r="AC1068" s="84"/>
      <c r="AD1068" s="84"/>
    </row>
    <row r="1069" spans="1:30" ht="15" x14ac:dyDescent="0.2">
      <c r="A1069" s="10">
        <v>2013</v>
      </c>
      <c r="B1069" s="10">
        <f t="shared" ref="B1069:B1100" si="180">DATE(A1069+1,1,1)-DATE(A1069,1,1)</f>
        <v>365</v>
      </c>
      <c r="C1069" s="87">
        <f t="shared" ref="C1069:L1069" si="181">AVERAGE(C12:C23)</f>
        <v>154.75825</v>
      </c>
      <c r="D1069" s="87">
        <f t="shared" si="181"/>
        <v>281.0162499999999</v>
      </c>
      <c r="E1069" s="87">
        <f t="shared" si="181"/>
        <v>109.1005</v>
      </c>
      <c r="F1069" s="87">
        <f t="shared" si="181"/>
        <v>217.04166666666666</v>
      </c>
      <c r="G1069" s="87">
        <f t="shared" si="181"/>
        <v>40</v>
      </c>
      <c r="H1069" s="87">
        <f t="shared" si="181"/>
        <v>14.583333333333334</v>
      </c>
      <c r="I1069" s="87">
        <f t="shared" si="181"/>
        <v>12.5</v>
      </c>
      <c r="J1069" s="87">
        <f t="shared" si="181"/>
        <v>100</v>
      </c>
      <c r="K1069" s="87">
        <f t="shared" si="181"/>
        <v>300</v>
      </c>
      <c r="L1069" s="87">
        <f t="shared" si="181"/>
        <v>1229</v>
      </c>
      <c r="M1069" s="91"/>
      <c r="N1069" s="87">
        <f t="shared" ref="N1069:T1069" si="182">AVERAGE(N12:N23)</f>
        <v>97.5</v>
      </c>
      <c r="O1069" s="88">
        <f t="shared" si="182"/>
        <v>240</v>
      </c>
      <c r="P1069" s="88">
        <f t="shared" si="182"/>
        <v>70</v>
      </c>
      <c r="Q1069" s="88">
        <f t="shared" si="182"/>
        <v>285</v>
      </c>
      <c r="R1069" s="88">
        <f t="shared" si="182"/>
        <v>100</v>
      </c>
      <c r="S1069" s="87">
        <f t="shared" si="182"/>
        <v>695</v>
      </c>
      <c r="T1069" s="87">
        <f t="shared" si="182"/>
        <v>33.333333333333336</v>
      </c>
      <c r="U1069" s="84"/>
      <c r="V1069" s="84"/>
      <c r="W1069" s="84"/>
      <c r="X1069" s="84"/>
      <c r="Y1069" s="84"/>
      <c r="Z1069" s="84"/>
      <c r="AA1069" s="84"/>
      <c r="AB1069" s="84"/>
      <c r="AC1069" s="84"/>
      <c r="AD1069" s="84"/>
    </row>
    <row r="1070" spans="1:30" ht="15.75" x14ac:dyDescent="0.25">
      <c r="A1070" s="10">
        <v>2014</v>
      </c>
      <c r="B1070" s="10">
        <f t="shared" si="180"/>
        <v>365</v>
      </c>
      <c r="C1070" s="87">
        <f t="shared" ref="C1070:L1070" si="183">AVERAGE(C24:C35)</f>
        <v>154.75825</v>
      </c>
      <c r="D1070" s="87">
        <f t="shared" si="183"/>
        <v>281.0162499999999</v>
      </c>
      <c r="E1070" s="87">
        <f t="shared" si="183"/>
        <v>109.1005</v>
      </c>
      <c r="F1070" s="87">
        <f t="shared" si="183"/>
        <v>217.04166666666666</v>
      </c>
      <c r="G1070" s="87">
        <f t="shared" si="183"/>
        <v>40</v>
      </c>
      <c r="H1070" s="87">
        <f t="shared" si="183"/>
        <v>14.583333333333334</v>
      </c>
      <c r="I1070" s="87">
        <f t="shared" si="183"/>
        <v>20.833333333333332</v>
      </c>
      <c r="J1070" s="87">
        <f t="shared" si="183"/>
        <v>100</v>
      </c>
      <c r="K1070" s="87">
        <f t="shared" si="183"/>
        <v>300</v>
      </c>
      <c r="L1070" s="87">
        <f t="shared" si="183"/>
        <v>1237.3333333333333</v>
      </c>
      <c r="M1070" s="90"/>
      <c r="N1070" s="87">
        <f t="shared" ref="N1070:T1070" si="184">AVERAGE(N24:N35)</f>
        <v>72.5</v>
      </c>
      <c r="O1070" s="88">
        <f t="shared" si="184"/>
        <v>240</v>
      </c>
      <c r="P1070" s="88">
        <f t="shared" si="184"/>
        <v>70</v>
      </c>
      <c r="Q1070" s="88">
        <f t="shared" si="184"/>
        <v>285</v>
      </c>
      <c r="R1070" s="88">
        <f t="shared" si="184"/>
        <v>100</v>
      </c>
      <c r="S1070" s="87">
        <f t="shared" si="184"/>
        <v>695</v>
      </c>
      <c r="T1070" s="87">
        <f t="shared" si="184"/>
        <v>33.333333333333336</v>
      </c>
      <c r="U1070" s="84"/>
      <c r="V1070" s="84"/>
      <c r="W1070" s="84"/>
      <c r="X1070" s="84"/>
      <c r="Y1070" s="84"/>
      <c r="Z1070" s="84"/>
      <c r="AA1070" s="84"/>
      <c r="AB1070" s="84"/>
      <c r="AC1070" s="84"/>
      <c r="AD1070" s="84"/>
    </row>
    <row r="1071" spans="1:30" ht="15.75" x14ac:dyDescent="0.25">
      <c r="A1071" s="10">
        <v>2015</v>
      </c>
      <c r="B1071" s="10">
        <f t="shared" si="180"/>
        <v>365</v>
      </c>
      <c r="C1071" s="87">
        <f t="shared" ref="C1071:L1071" si="185">AVERAGE(C36:C47)</f>
        <v>154.75825</v>
      </c>
      <c r="D1071" s="87">
        <f t="shared" si="185"/>
        <v>281.0162499999999</v>
      </c>
      <c r="E1071" s="87">
        <f t="shared" si="185"/>
        <v>109.1005</v>
      </c>
      <c r="F1071" s="87">
        <f t="shared" si="185"/>
        <v>97.041666666666629</v>
      </c>
      <c r="G1071" s="87">
        <f t="shared" si="185"/>
        <v>40</v>
      </c>
      <c r="H1071" s="87">
        <f t="shared" si="185"/>
        <v>134.58333333333334</v>
      </c>
      <c r="I1071" s="87">
        <f t="shared" si="185"/>
        <v>20.833333333333332</v>
      </c>
      <c r="J1071" s="87">
        <f t="shared" si="185"/>
        <v>100</v>
      </c>
      <c r="K1071" s="87">
        <f t="shared" si="185"/>
        <v>300</v>
      </c>
      <c r="L1071" s="87">
        <f t="shared" si="185"/>
        <v>1237.3333333333333</v>
      </c>
      <c r="M1071" s="90"/>
      <c r="N1071" s="87">
        <f t="shared" ref="N1071:T1071" si="186">AVERAGE(N36:N47)</f>
        <v>72.5</v>
      </c>
      <c r="O1071" s="88">
        <f t="shared" si="186"/>
        <v>240</v>
      </c>
      <c r="P1071" s="88">
        <f t="shared" si="186"/>
        <v>100</v>
      </c>
      <c r="Q1071" s="88">
        <f t="shared" si="186"/>
        <v>255</v>
      </c>
      <c r="R1071" s="88">
        <f t="shared" si="186"/>
        <v>100</v>
      </c>
      <c r="S1071" s="87">
        <f t="shared" si="186"/>
        <v>695</v>
      </c>
      <c r="T1071" s="87">
        <f t="shared" si="186"/>
        <v>33.333333333333336</v>
      </c>
      <c r="U1071" s="84"/>
      <c r="V1071" s="84"/>
      <c r="W1071" s="84"/>
      <c r="X1071" s="84"/>
      <c r="Y1071" s="84"/>
      <c r="Z1071" s="84"/>
      <c r="AA1071" s="84"/>
      <c r="AB1071" s="84"/>
      <c r="AC1071" s="84"/>
      <c r="AD1071" s="84"/>
    </row>
    <row r="1072" spans="1:30" ht="15.75" x14ac:dyDescent="0.25">
      <c r="A1072" s="10">
        <v>2016</v>
      </c>
      <c r="B1072" s="10">
        <f t="shared" si="180"/>
        <v>366</v>
      </c>
      <c r="C1072" s="87">
        <f t="shared" ref="C1072:L1072" si="187">AVERAGE(C48:C59)</f>
        <v>154.75825</v>
      </c>
      <c r="D1072" s="87">
        <f t="shared" si="187"/>
        <v>281.0162499999999</v>
      </c>
      <c r="E1072" s="87">
        <f t="shared" si="187"/>
        <v>109.1005</v>
      </c>
      <c r="F1072" s="87">
        <f t="shared" si="187"/>
        <v>57.041666666666664</v>
      </c>
      <c r="G1072" s="87">
        <f t="shared" si="187"/>
        <v>40</v>
      </c>
      <c r="H1072" s="87">
        <f t="shared" si="187"/>
        <v>174.58333333333334</v>
      </c>
      <c r="I1072" s="87">
        <f t="shared" si="187"/>
        <v>0</v>
      </c>
      <c r="J1072" s="87">
        <f t="shared" si="187"/>
        <v>100</v>
      </c>
      <c r="K1072" s="87">
        <f t="shared" si="187"/>
        <v>300</v>
      </c>
      <c r="L1072" s="87">
        <f t="shared" si="187"/>
        <v>1216.5</v>
      </c>
      <c r="M1072" s="90"/>
      <c r="N1072" s="87">
        <f t="shared" ref="N1072:T1072" si="188">AVERAGE(N48:N59)</f>
        <v>72.5</v>
      </c>
      <c r="O1072" s="88">
        <f t="shared" si="188"/>
        <v>240</v>
      </c>
      <c r="P1072" s="88">
        <f t="shared" si="188"/>
        <v>110</v>
      </c>
      <c r="Q1072" s="88">
        <f t="shared" si="188"/>
        <v>245</v>
      </c>
      <c r="R1072" s="88">
        <f t="shared" si="188"/>
        <v>100</v>
      </c>
      <c r="S1072" s="87">
        <f t="shared" si="188"/>
        <v>695</v>
      </c>
      <c r="T1072" s="87">
        <f t="shared" si="188"/>
        <v>33.333333333333336</v>
      </c>
      <c r="U1072" s="84"/>
      <c r="V1072" s="84"/>
      <c r="W1072" s="84"/>
      <c r="X1072" s="84"/>
      <c r="Y1072" s="84"/>
      <c r="Z1072" s="84"/>
      <c r="AA1072" s="84"/>
      <c r="AB1072" s="84"/>
      <c r="AC1072" s="84"/>
      <c r="AD1072" s="84"/>
    </row>
    <row r="1073" spans="1:30" ht="15" x14ac:dyDescent="0.2">
      <c r="A1073" s="10">
        <v>2017</v>
      </c>
      <c r="B1073" s="10">
        <f t="shared" si="180"/>
        <v>365</v>
      </c>
      <c r="C1073" s="87">
        <f t="shared" ref="C1073:T1073" si="189">AVERAGE(C60:C71)</f>
        <v>154.75825</v>
      </c>
      <c r="D1073" s="87">
        <f t="shared" si="189"/>
        <v>281.0162499999999</v>
      </c>
      <c r="E1073" s="87">
        <f t="shared" si="189"/>
        <v>109.1005</v>
      </c>
      <c r="F1073" s="87">
        <f t="shared" si="189"/>
        <v>57.041666666666664</v>
      </c>
      <c r="G1073" s="87">
        <f t="shared" si="189"/>
        <v>40</v>
      </c>
      <c r="H1073" s="87">
        <f t="shared" si="189"/>
        <v>174.58333333333334</v>
      </c>
      <c r="I1073" s="87">
        <f t="shared" si="189"/>
        <v>0</v>
      </c>
      <c r="J1073" s="87">
        <f t="shared" si="189"/>
        <v>100</v>
      </c>
      <c r="K1073" s="87">
        <f t="shared" si="189"/>
        <v>300</v>
      </c>
      <c r="L1073" s="87">
        <f t="shared" si="189"/>
        <v>1216.5</v>
      </c>
      <c r="M1073" s="89">
        <f t="shared" si="189"/>
        <v>400</v>
      </c>
      <c r="N1073" s="87">
        <f t="shared" si="189"/>
        <v>72.5</v>
      </c>
      <c r="O1073" s="88">
        <f t="shared" si="189"/>
        <v>240</v>
      </c>
      <c r="P1073" s="88">
        <f t="shared" si="189"/>
        <v>110</v>
      </c>
      <c r="Q1073" s="88">
        <f t="shared" si="189"/>
        <v>245</v>
      </c>
      <c r="R1073" s="88">
        <f t="shared" si="189"/>
        <v>100</v>
      </c>
      <c r="S1073" s="87">
        <f t="shared" si="189"/>
        <v>695</v>
      </c>
      <c r="T1073" s="87">
        <f t="shared" si="189"/>
        <v>33.333333333333336</v>
      </c>
      <c r="U1073" s="84"/>
      <c r="V1073" s="84"/>
      <c r="W1073" s="84"/>
      <c r="X1073" s="84"/>
      <c r="Y1073" s="84"/>
      <c r="Z1073" s="84"/>
      <c r="AA1073" s="84"/>
      <c r="AB1073" s="84"/>
      <c r="AC1073" s="84"/>
      <c r="AD1073" s="84"/>
    </row>
    <row r="1074" spans="1:30" ht="15" x14ac:dyDescent="0.2">
      <c r="A1074" s="10">
        <v>2018</v>
      </c>
      <c r="B1074" s="10">
        <f t="shared" si="180"/>
        <v>365</v>
      </c>
      <c r="C1074" s="87">
        <f t="shared" ref="C1074:T1074" si="190">AVERAGE(C72:C83)</f>
        <v>154.75825</v>
      </c>
      <c r="D1074" s="87">
        <f t="shared" si="190"/>
        <v>281.0162499999999</v>
      </c>
      <c r="E1074" s="87">
        <f t="shared" si="190"/>
        <v>109.1005</v>
      </c>
      <c r="F1074" s="87">
        <f t="shared" si="190"/>
        <v>57.041666666666664</v>
      </c>
      <c r="G1074" s="87">
        <f t="shared" si="190"/>
        <v>40</v>
      </c>
      <c r="H1074" s="87">
        <f t="shared" si="190"/>
        <v>174.58333333333334</v>
      </c>
      <c r="I1074" s="87">
        <f t="shared" si="190"/>
        <v>0</v>
      </c>
      <c r="J1074" s="87">
        <f t="shared" si="190"/>
        <v>100</v>
      </c>
      <c r="K1074" s="87">
        <f t="shared" si="190"/>
        <v>300</v>
      </c>
      <c r="L1074" s="87">
        <f t="shared" si="190"/>
        <v>1216.5</v>
      </c>
      <c r="M1074" s="89">
        <f t="shared" si="190"/>
        <v>400</v>
      </c>
      <c r="N1074" s="87">
        <f t="shared" si="190"/>
        <v>72.5</v>
      </c>
      <c r="O1074" s="88">
        <f t="shared" si="190"/>
        <v>240</v>
      </c>
      <c r="P1074" s="88">
        <f t="shared" si="190"/>
        <v>110</v>
      </c>
      <c r="Q1074" s="88">
        <f t="shared" si="190"/>
        <v>245</v>
      </c>
      <c r="R1074" s="88">
        <f t="shared" si="190"/>
        <v>100</v>
      </c>
      <c r="S1074" s="87">
        <f t="shared" si="190"/>
        <v>695</v>
      </c>
      <c r="T1074" s="87">
        <f t="shared" si="190"/>
        <v>33.333333333333336</v>
      </c>
      <c r="U1074" s="84"/>
      <c r="V1074" s="84"/>
      <c r="W1074" s="84"/>
      <c r="X1074" s="84"/>
      <c r="Y1074" s="84"/>
      <c r="Z1074" s="84"/>
      <c r="AA1074" s="84"/>
      <c r="AB1074" s="84"/>
      <c r="AC1074" s="84"/>
      <c r="AD1074" s="84"/>
    </row>
    <row r="1075" spans="1:30" ht="15" x14ac:dyDescent="0.2">
      <c r="A1075" s="10">
        <v>2019</v>
      </c>
      <c r="B1075" s="10">
        <f t="shared" si="180"/>
        <v>365</v>
      </c>
      <c r="C1075" s="87">
        <f t="shared" ref="C1075:T1075" si="191">AVERAGE(C84:C95)</f>
        <v>154.75825</v>
      </c>
      <c r="D1075" s="87">
        <f t="shared" si="191"/>
        <v>281.0162499999999</v>
      </c>
      <c r="E1075" s="87">
        <f t="shared" si="191"/>
        <v>109.1005</v>
      </c>
      <c r="F1075" s="87">
        <f t="shared" si="191"/>
        <v>57.041666666666664</v>
      </c>
      <c r="G1075" s="87">
        <f t="shared" si="191"/>
        <v>40</v>
      </c>
      <c r="H1075" s="87">
        <f t="shared" si="191"/>
        <v>174.58333333333334</v>
      </c>
      <c r="I1075" s="87">
        <f t="shared" si="191"/>
        <v>0</v>
      </c>
      <c r="J1075" s="87">
        <f t="shared" si="191"/>
        <v>100</v>
      </c>
      <c r="K1075" s="87">
        <f t="shared" si="191"/>
        <v>300</v>
      </c>
      <c r="L1075" s="87">
        <f t="shared" si="191"/>
        <v>1216.5</v>
      </c>
      <c r="M1075" s="89">
        <f t="shared" si="191"/>
        <v>400</v>
      </c>
      <c r="N1075" s="87">
        <f t="shared" si="191"/>
        <v>72.5</v>
      </c>
      <c r="O1075" s="88">
        <f t="shared" si="191"/>
        <v>240</v>
      </c>
      <c r="P1075" s="88">
        <f t="shared" si="191"/>
        <v>110</v>
      </c>
      <c r="Q1075" s="88">
        <f t="shared" si="191"/>
        <v>245</v>
      </c>
      <c r="R1075" s="88">
        <f t="shared" si="191"/>
        <v>100</v>
      </c>
      <c r="S1075" s="87">
        <f t="shared" si="191"/>
        <v>695</v>
      </c>
      <c r="T1075" s="87">
        <f t="shared" si="191"/>
        <v>33.333333333333336</v>
      </c>
      <c r="U1075" s="84"/>
      <c r="V1075" s="84"/>
      <c r="W1075" s="84"/>
      <c r="X1075" s="84"/>
      <c r="Y1075" s="84"/>
      <c r="Z1075" s="84"/>
      <c r="AA1075" s="84"/>
      <c r="AB1075" s="84"/>
      <c r="AC1075" s="84"/>
      <c r="AD1075" s="84"/>
    </row>
    <row r="1076" spans="1:30" ht="15" x14ac:dyDescent="0.2">
      <c r="A1076" s="10">
        <v>2020</v>
      </c>
      <c r="B1076" s="10">
        <f t="shared" si="180"/>
        <v>366</v>
      </c>
      <c r="C1076" s="87">
        <f t="shared" ref="C1076:T1076" si="192">AVERAGE(C96:C107)</f>
        <v>154.75825</v>
      </c>
      <c r="D1076" s="87">
        <f t="shared" si="192"/>
        <v>281.0162499999999</v>
      </c>
      <c r="E1076" s="87">
        <f t="shared" si="192"/>
        <v>109.1005</v>
      </c>
      <c r="F1076" s="87">
        <f t="shared" si="192"/>
        <v>57.041666666666664</v>
      </c>
      <c r="G1076" s="87">
        <f t="shared" si="192"/>
        <v>40</v>
      </c>
      <c r="H1076" s="87">
        <f t="shared" si="192"/>
        <v>174.58333333333334</v>
      </c>
      <c r="I1076" s="87">
        <f t="shared" si="192"/>
        <v>0</v>
      </c>
      <c r="J1076" s="87">
        <f t="shared" si="192"/>
        <v>100</v>
      </c>
      <c r="K1076" s="87">
        <f t="shared" si="192"/>
        <v>300</v>
      </c>
      <c r="L1076" s="87">
        <f t="shared" si="192"/>
        <v>1216.5</v>
      </c>
      <c r="M1076" s="89">
        <f t="shared" si="192"/>
        <v>533.33333333333337</v>
      </c>
      <c r="N1076" s="87">
        <f t="shared" si="192"/>
        <v>72.5</v>
      </c>
      <c r="O1076" s="88">
        <f t="shared" si="192"/>
        <v>240</v>
      </c>
      <c r="P1076" s="88">
        <f t="shared" si="192"/>
        <v>110</v>
      </c>
      <c r="Q1076" s="88">
        <f t="shared" si="192"/>
        <v>245</v>
      </c>
      <c r="R1076" s="88">
        <f t="shared" si="192"/>
        <v>100</v>
      </c>
      <c r="S1076" s="87">
        <f t="shared" si="192"/>
        <v>695</v>
      </c>
      <c r="T1076" s="87">
        <f t="shared" si="192"/>
        <v>33.333333333333336</v>
      </c>
      <c r="U1076" s="84"/>
      <c r="V1076" s="84"/>
      <c r="W1076" s="84"/>
      <c r="X1076" s="84"/>
      <c r="Y1076" s="84"/>
      <c r="Z1076" s="84"/>
      <c r="AA1076" s="84"/>
      <c r="AB1076" s="84"/>
      <c r="AC1076" s="84"/>
      <c r="AD1076" s="84"/>
    </row>
    <row r="1077" spans="1:30" ht="15" x14ac:dyDescent="0.2">
      <c r="A1077" s="10">
        <v>2021</v>
      </c>
      <c r="B1077" s="10">
        <f t="shared" si="180"/>
        <v>365</v>
      </c>
      <c r="C1077" s="87">
        <f t="shared" ref="C1077:T1077" si="193">AVERAGE(C108:C119)</f>
        <v>154.75825</v>
      </c>
      <c r="D1077" s="87">
        <f t="shared" si="193"/>
        <v>281.0162499999999</v>
      </c>
      <c r="E1077" s="87">
        <f t="shared" si="193"/>
        <v>109.1005</v>
      </c>
      <c r="F1077" s="87">
        <f t="shared" si="193"/>
        <v>57.041666666666664</v>
      </c>
      <c r="G1077" s="87">
        <f t="shared" si="193"/>
        <v>40</v>
      </c>
      <c r="H1077" s="87">
        <f t="shared" si="193"/>
        <v>174.58333333333334</v>
      </c>
      <c r="I1077" s="87">
        <f t="shared" si="193"/>
        <v>0</v>
      </c>
      <c r="J1077" s="87">
        <f t="shared" si="193"/>
        <v>100</v>
      </c>
      <c r="K1077" s="87">
        <f t="shared" si="193"/>
        <v>300</v>
      </c>
      <c r="L1077" s="87">
        <f t="shared" si="193"/>
        <v>1216.5</v>
      </c>
      <c r="M1077" s="89">
        <f t="shared" si="193"/>
        <v>600</v>
      </c>
      <c r="N1077" s="87">
        <f t="shared" si="193"/>
        <v>72.5</v>
      </c>
      <c r="O1077" s="88">
        <f t="shared" si="193"/>
        <v>240</v>
      </c>
      <c r="P1077" s="88">
        <f t="shared" si="193"/>
        <v>110</v>
      </c>
      <c r="Q1077" s="88">
        <f t="shared" si="193"/>
        <v>245</v>
      </c>
      <c r="R1077" s="88">
        <f t="shared" si="193"/>
        <v>100</v>
      </c>
      <c r="S1077" s="87">
        <f t="shared" si="193"/>
        <v>695</v>
      </c>
      <c r="T1077" s="87">
        <f t="shared" si="193"/>
        <v>33.333333333333336</v>
      </c>
      <c r="U1077" s="84"/>
      <c r="V1077" s="84"/>
      <c r="W1077" s="84"/>
      <c r="X1077" s="84"/>
      <c r="Y1077" s="84"/>
      <c r="Z1077" s="84"/>
      <c r="AA1077" s="84"/>
      <c r="AB1077" s="84"/>
      <c r="AC1077" s="84"/>
      <c r="AD1077" s="84"/>
    </row>
    <row r="1078" spans="1:30" ht="15" x14ac:dyDescent="0.2">
      <c r="A1078" s="10">
        <v>2022</v>
      </c>
      <c r="B1078" s="10">
        <f t="shared" si="180"/>
        <v>365</v>
      </c>
      <c r="C1078" s="87">
        <f t="shared" ref="C1078:T1078" si="194">AVERAGE(C120:C131)</f>
        <v>154.75825</v>
      </c>
      <c r="D1078" s="87">
        <f t="shared" si="194"/>
        <v>281.0162499999999</v>
      </c>
      <c r="E1078" s="87">
        <f t="shared" si="194"/>
        <v>109.1005</v>
      </c>
      <c r="F1078" s="87">
        <f t="shared" si="194"/>
        <v>57.041666666666664</v>
      </c>
      <c r="G1078" s="87">
        <f t="shared" si="194"/>
        <v>40</v>
      </c>
      <c r="H1078" s="87">
        <f t="shared" si="194"/>
        <v>174.58333333333334</v>
      </c>
      <c r="I1078" s="87">
        <f t="shared" si="194"/>
        <v>0</v>
      </c>
      <c r="J1078" s="87">
        <f t="shared" si="194"/>
        <v>100</v>
      </c>
      <c r="K1078" s="87">
        <f t="shared" si="194"/>
        <v>300</v>
      </c>
      <c r="L1078" s="87">
        <f t="shared" si="194"/>
        <v>1216.5</v>
      </c>
      <c r="M1078" s="89">
        <f t="shared" si="194"/>
        <v>600</v>
      </c>
      <c r="N1078" s="87">
        <f t="shared" si="194"/>
        <v>72.5</v>
      </c>
      <c r="O1078" s="88">
        <f t="shared" si="194"/>
        <v>240</v>
      </c>
      <c r="P1078" s="88">
        <f t="shared" si="194"/>
        <v>110</v>
      </c>
      <c r="Q1078" s="88">
        <f t="shared" si="194"/>
        <v>245</v>
      </c>
      <c r="R1078" s="88">
        <f t="shared" si="194"/>
        <v>100</v>
      </c>
      <c r="S1078" s="87">
        <f t="shared" si="194"/>
        <v>695</v>
      </c>
      <c r="T1078" s="87">
        <f t="shared" si="194"/>
        <v>33.333333333333336</v>
      </c>
      <c r="U1078" s="84"/>
      <c r="V1078" s="84"/>
      <c r="W1078" s="84"/>
      <c r="X1078" s="84"/>
      <c r="Y1078" s="84"/>
      <c r="Z1078" s="84"/>
      <c r="AA1078" s="84"/>
      <c r="AB1078" s="84"/>
      <c r="AC1078" s="84"/>
      <c r="AD1078" s="84"/>
    </row>
    <row r="1079" spans="1:30" ht="15" x14ac:dyDescent="0.2">
      <c r="A1079" s="10">
        <v>2023</v>
      </c>
      <c r="B1079" s="10">
        <f t="shared" si="180"/>
        <v>365</v>
      </c>
      <c r="C1079" s="87">
        <f t="shared" ref="C1079:T1079" si="195">AVERAGE(C132:C143)</f>
        <v>154.75825</v>
      </c>
      <c r="D1079" s="87">
        <f t="shared" si="195"/>
        <v>281.0162499999999</v>
      </c>
      <c r="E1079" s="87">
        <f t="shared" si="195"/>
        <v>109.1005</v>
      </c>
      <c r="F1079" s="87">
        <f t="shared" si="195"/>
        <v>57.041666666666664</v>
      </c>
      <c r="G1079" s="87">
        <f t="shared" si="195"/>
        <v>40</v>
      </c>
      <c r="H1079" s="87">
        <f t="shared" si="195"/>
        <v>174.58333333333334</v>
      </c>
      <c r="I1079" s="87">
        <f t="shared" si="195"/>
        <v>0</v>
      </c>
      <c r="J1079" s="87">
        <f t="shared" si="195"/>
        <v>100</v>
      </c>
      <c r="K1079" s="87">
        <f t="shared" si="195"/>
        <v>300</v>
      </c>
      <c r="L1079" s="87">
        <f t="shared" si="195"/>
        <v>1216.5</v>
      </c>
      <c r="M1079" s="89">
        <f t="shared" si="195"/>
        <v>600</v>
      </c>
      <c r="N1079" s="87">
        <f t="shared" si="195"/>
        <v>72.5</v>
      </c>
      <c r="O1079" s="88">
        <f t="shared" si="195"/>
        <v>240</v>
      </c>
      <c r="P1079" s="88">
        <f t="shared" si="195"/>
        <v>110</v>
      </c>
      <c r="Q1079" s="88">
        <f t="shared" si="195"/>
        <v>245</v>
      </c>
      <c r="R1079" s="88">
        <f t="shared" si="195"/>
        <v>100</v>
      </c>
      <c r="S1079" s="87">
        <f t="shared" si="195"/>
        <v>695</v>
      </c>
      <c r="T1079" s="87">
        <f t="shared" si="195"/>
        <v>33.333333333333336</v>
      </c>
      <c r="U1079" s="84"/>
      <c r="V1079" s="84"/>
      <c r="W1079" s="84"/>
      <c r="X1079" s="84"/>
      <c r="Y1079" s="84"/>
      <c r="Z1079" s="84"/>
      <c r="AA1079" s="84"/>
      <c r="AB1079" s="84"/>
      <c r="AC1079" s="84"/>
      <c r="AD1079" s="84"/>
    </row>
    <row r="1080" spans="1:30" ht="15" x14ac:dyDescent="0.2">
      <c r="A1080" s="10">
        <v>2024</v>
      </c>
      <c r="B1080" s="10">
        <f t="shared" si="180"/>
        <v>366</v>
      </c>
      <c r="C1080" s="87">
        <f t="shared" ref="C1080:T1080" si="196">AVERAGE(C144:C155)</f>
        <v>154.75825</v>
      </c>
      <c r="D1080" s="87">
        <f t="shared" si="196"/>
        <v>281.0162499999999</v>
      </c>
      <c r="E1080" s="87">
        <f t="shared" si="196"/>
        <v>109.1005</v>
      </c>
      <c r="F1080" s="87">
        <f t="shared" si="196"/>
        <v>57.041666666666664</v>
      </c>
      <c r="G1080" s="87">
        <f t="shared" si="196"/>
        <v>40</v>
      </c>
      <c r="H1080" s="87">
        <f t="shared" si="196"/>
        <v>174.58333333333334</v>
      </c>
      <c r="I1080" s="87">
        <f t="shared" si="196"/>
        <v>0</v>
      </c>
      <c r="J1080" s="87">
        <f t="shared" si="196"/>
        <v>100</v>
      </c>
      <c r="K1080" s="87">
        <f t="shared" si="196"/>
        <v>300</v>
      </c>
      <c r="L1080" s="87">
        <f t="shared" si="196"/>
        <v>1216.5</v>
      </c>
      <c r="M1080" s="89">
        <f t="shared" si="196"/>
        <v>600</v>
      </c>
      <c r="N1080" s="87">
        <f t="shared" si="196"/>
        <v>72.5</v>
      </c>
      <c r="O1080" s="88">
        <f t="shared" si="196"/>
        <v>240</v>
      </c>
      <c r="P1080" s="88">
        <f t="shared" si="196"/>
        <v>110</v>
      </c>
      <c r="Q1080" s="88">
        <f t="shared" si="196"/>
        <v>245</v>
      </c>
      <c r="R1080" s="88">
        <f t="shared" si="196"/>
        <v>100</v>
      </c>
      <c r="S1080" s="87">
        <f t="shared" si="196"/>
        <v>695</v>
      </c>
      <c r="T1080" s="87">
        <f t="shared" si="196"/>
        <v>33.333333333333336</v>
      </c>
      <c r="U1080" s="84"/>
      <c r="V1080" s="84"/>
      <c r="W1080" s="84"/>
      <c r="X1080" s="84"/>
      <c r="Y1080" s="84"/>
      <c r="Z1080" s="84"/>
      <c r="AA1080" s="84"/>
      <c r="AB1080" s="84"/>
      <c r="AC1080" s="84"/>
      <c r="AD1080" s="84"/>
    </row>
    <row r="1081" spans="1:30" ht="15" x14ac:dyDescent="0.2">
      <c r="A1081" s="10">
        <v>2025</v>
      </c>
      <c r="B1081" s="10">
        <f t="shared" si="180"/>
        <v>365</v>
      </c>
      <c r="C1081" s="87">
        <f t="shared" ref="C1081:T1081" si="197">AVERAGE(C156:C167)</f>
        <v>154.75825</v>
      </c>
      <c r="D1081" s="87">
        <f t="shared" si="197"/>
        <v>281.0162499999999</v>
      </c>
      <c r="E1081" s="87">
        <f t="shared" si="197"/>
        <v>109.1005</v>
      </c>
      <c r="F1081" s="87">
        <f t="shared" si="197"/>
        <v>57.041666666666664</v>
      </c>
      <c r="G1081" s="87">
        <f t="shared" si="197"/>
        <v>40</v>
      </c>
      <c r="H1081" s="87">
        <f t="shared" si="197"/>
        <v>174.58333333333334</v>
      </c>
      <c r="I1081" s="87">
        <f t="shared" si="197"/>
        <v>0</v>
      </c>
      <c r="J1081" s="87">
        <f t="shared" si="197"/>
        <v>100</v>
      </c>
      <c r="K1081" s="87">
        <f t="shared" si="197"/>
        <v>300</v>
      </c>
      <c r="L1081" s="87">
        <f t="shared" si="197"/>
        <v>1216.5</v>
      </c>
      <c r="M1081" s="89">
        <f t="shared" si="197"/>
        <v>600</v>
      </c>
      <c r="N1081" s="87">
        <f t="shared" si="197"/>
        <v>72.5</v>
      </c>
      <c r="O1081" s="88">
        <f t="shared" si="197"/>
        <v>240</v>
      </c>
      <c r="P1081" s="88">
        <f t="shared" si="197"/>
        <v>110</v>
      </c>
      <c r="Q1081" s="88">
        <f t="shared" si="197"/>
        <v>245</v>
      </c>
      <c r="R1081" s="88">
        <f t="shared" si="197"/>
        <v>100</v>
      </c>
      <c r="S1081" s="87">
        <f t="shared" si="197"/>
        <v>695</v>
      </c>
      <c r="T1081" s="87">
        <f t="shared" si="197"/>
        <v>33.333333333333336</v>
      </c>
      <c r="U1081" s="84"/>
      <c r="V1081" s="84"/>
      <c r="W1081" s="84"/>
      <c r="X1081" s="84"/>
      <c r="Y1081" s="84"/>
      <c r="Z1081" s="84"/>
      <c r="AA1081" s="84"/>
      <c r="AB1081" s="84"/>
      <c r="AC1081" s="84"/>
      <c r="AD1081" s="84"/>
    </row>
    <row r="1082" spans="1:30" ht="15" x14ac:dyDescent="0.2">
      <c r="A1082" s="10">
        <v>2026</v>
      </c>
      <c r="B1082" s="10">
        <f t="shared" si="180"/>
        <v>365</v>
      </c>
      <c r="C1082" s="87">
        <f t="shared" ref="C1082:T1082" si="198">AVERAGE(C168:C179)</f>
        <v>154.75825</v>
      </c>
      <c r="D1082" s="87">
        <f t="shared" si="198"/>
        <v>281.0162499999999</v>
      </c>
      <c r="E1082" s="87">
        <f t="shared" si="198"/>
        <v>109.1005</v>
      </c>
      <c r="F1082" s="87">
        <f t="shared" si="198"/>
        <v>57.041666666666664</v>
      </c>
      <c r="G1082" s="87">
        <f t="shared" si="198"/>
        <v>40</v>
      </c>
      <c r="H1082" s="87">
        <f t="shared" si="198"/>
        <v>174.58333333333334</v>
      </c>
      <c r="I1082" s="87">
        <f t="shared" si="198"/>
        <v>0</v>
      </c>
      <c r="J1082" s="87">
        <f t="shared" si="198"/>
        <v>100</v>
      </c>
      <c r="K1082" s="87">
        <f t="shared" si="198"/>
        <v>300</v>
      </c>
      <c r="L1082" s="87">
        <f t="shared" si="198"/>
        <v>1216.5</v>
      </c>
      <c r="M1082" s="89">
        <f t="shared" si="198"/>
        <v>600</v>
      </c>
      <c r="N1082" s="87">
        <f t="shared" si="198"/>
        <v>72.5</v>
      </c>
      <c r="O1082" s="88">
        <f t="shared" si="198"/>
        <v>240</v>
      </c>
      <c r="P1082" s="88">
        <f t="shared" si="198"/>
        <v>110</v>
      </c>
      <c r="Q1082" s="88">
        <f t="shared" si="198"/>
        <v>245</v>
      </c>
      <c r="R1082" s="88">
        <f t="shared" si="198"/>
        <v>100</v>
      </c>
      <c r="S1082" s="87">
        <f t="shared" si="198"/>
        <v>695</v>
      </c>
      <c r="T1082" s="87">
        <f t="shared" si="198"/>
        <v>33.333333333333336</v>
      </c>
      <c r="U1082" s="84"/>
      <c r="V1082" s="84"/>
      <c r="W1082" s="84"/>
      <c r="X1082" s="84"/>
      <c r="Y1082" s="84"/>
      <c r="Z1082" s="84"/>
      <c r="AA1082" s="84"/>
      <c r="AB1082" s="84"/>
      <c r="AC1082" s="84"/>
      <c r="AD1082" s="84"/>
    </row>
    <row r="1083" spans="1:30" ht="15" x14ac:dyDescent="0.2">
      <c r="A1083" s="10">
        <v>2027</v>
      </c>
      <c r="B1083" s="10">
        <f t="shared" si="180"/>
        <v>365</v>
      </c>
      <c r="C1083" s="87">
        <f t="shared" ref="C1083:T1083" si="199">AVERAGE(C180:C191)</f>
        <v>154.75825</v>
      </c>
      <c r="D1083" s="87">
        <f t="shared" si="199"/>
        <v>281.0162499999999</v>
      </c>
      <c r="E1083" s="87">
        <f t="shared" si="199"/>
        <v>109.1005</v>
      </c>
      <c r="F1083" s="87">
        <f t="shared" si="199"/>
        <v>57.041666666666664</v>
      </c>
      <c r="G1083" s="87">
        <f t="shared" si="199"/>
        <v>40</v>
      </c>
      <c r="H1083" s="87">
        <f t="shared" si="199"/>
        <v>174.58333333333334</v>
      </c>
      <c r="I1083" s="87">
        <f t="shared" si="199"/>
        <v>0</v>
      </c>
      <c r="J1083" s="87">
        <f t="shared" si="199"/>
        <v>100</v>
      </c>
      <c r="K1083" s="87">
        <f t="shared" si="199"/>
        <v>300</v>
      </c>
      <c r="L1083" s="87">
        <f t="shared" si="199"/>
        <v>1216.5</v>
      </c>
      <c r="M1083" s="89">
        <f t="shared" si="199"/>
        <v>600</v>
      </c>
      <c r="N1083" s="87">
        <f t="shared" si="199"/>
        <v>72.5</v>
      </c>
      <c r="O1083" s="88">
        <f t="shared" si="199"/>
        <v>240</v>
      </c>
      <c r="P1083" s="88">
        <f t="shared" si="199"/>
        <v>110</v>
      </c>
      <c r="Q1083" s="88">
        <f t="shared" si="199"/>
        <v>245</v>
      </c>
      <c r="R1083" s="88">
        <f t="shared" si="199"/>
        <v>100</v>
      </c>
      <c r="S1083" s="87">
        <f t="shared" si="199"/>
        <v>695</v>
      </c>
      <c r="T1083" s="87">
        <f t="shared" si="199"/>
        <v>33.333333333333336</v>
      </c>
      <c r="U1083" s="84"/>
      <c r="V1083" s="84"/>
      <c r="W1083" s="84"/>
      <c r="X1083" s="84"/>
      <c r="Y1083" s="84"/>
      <c r="Z1083" s="84"/>
      <c r="AA1083" s="84"/>
      <c r="AB1083" s="84"/>
      <c r="AC1083" s="84"/>
      <c r="AD1083" s="84"/>
    </row>
    <row r="1084" spans="1:30" ht="15" x14ac:dyDescent="0.2">
      <c r="A1084" s="10">
        <v>2028</v>
      </c>
      <c r="B1084" s="10">
        <f t="shared" si="180"/>
        <v>366</v>
      </c>
      <c r="C1084" s="87">
        <f t="shared" ref="C1084:T1084" si="200">AVERAGE(C192:C203)</f>
        <v>154.75825</v>
      </c>
      <c r="D1084" s="87">
        <f t="shared" si="200"/>
        <v>281.0162499999999</v>
      </c>
      <c r="E1084" s="87">
        <f t="shared" si="200"/>
        <v>109.1005</v>
      </c>
      <c r="F1084" s="87">
        <f t="shared" si="200"/>
        <v>57.041666666666664</v>
      </c>
      <c r="G1084" s="87">
        <f t="shared" si="200"/>
        <v>40</v>
      </c>
      <c r="H1084" s="87">
        <f t="shared" si="200"/>
        <v>174.58333333333334</v>
      </c>
      <c r="I1084" s="87">
        <f t="shared" si="200"/>
        <v>0</v>
      </c>
      <c r="J1084" s="87">
        <f t="shared" si="200"/>
        <v>100</v>
      </c>
      <c r="K1084" s="87">
        <f t="shared" si="200"/>
        <v>300</v>
      </c>
      <c r="L1084" s="87">
        <f t="shared" si="200"/>
        <v>1216.5</v>
      </c>
      <c r="M1084" s="89">
        <f t="shared" si="200"/>
        <v>600</v>
      </c>
      <c r="N1084" s="87">
        <f t="shared" si="200"/>
        <v>72.5</v>
      </c>
      <c r="O1084" s="88">
        <f t="shared" si="200"/>
        <v>240</v>
      </c>
      <c r="P1084" s="88">
        <f t="shared" si="200"/>
        <v>110</v>
      </c>
      <c r="Q1084" s="88">
        <f t="shared" si="200"/>
        <v>245</v>
      </c>
      <c r="R1084" s="88">
        <f t="shared" si="200"/>
        <v>100</v>
      </c>
      <c r="S1084" s="87">
        <f t="shared" si="200"/>
        <v>695</v>
      </c>
      <c r="T1084" s="87">
        <f t="shared" si="200"/>
        <v>33.333333333333336</v>
      </c>
      <c r="U1084" s="84"/>
      <c r="V1084" s="84"/>
      <c r="W1084" s="84"/>
      <c r="X1084" s="84"/>
      <c r="Y1084" s="84"/>
      <c r="Z1084" s="84"/>
      <c r="AA1084" s="84"/>
      <c r="AB1084" s="84"/>
      <c r="AC1084" s="84"/>
      <c r="AD1084" s="84"/>
    </row>
    <row r="1085" spans="1:30" ht="15" x14ac:dyDescent="0.2">
      <c r="A1085" s="10">
        <v>2029</v>
      </c>
      <c r="B1085" s="10">
        <f t="shared" si="180"/>
        <v>365</v>
      </c>
      <c r="C1085" s="87">
        <f t="shared" ref="C1085:T1085" si="201">AVERAGE(C204:C215)</f>
        <v>154.75825</v>
      </c>
      <c r="D1085" s="87">
        <f t="shared" si="201"/>
        <v>281.0162499999999</v>
      </c>
      <c r="E1085" s="87">
        <f t="shared" si="201"/>
        <v>109.1005</v>
      </c>
      <c r="F1085" s="87">
        <f t="shared" si="201"/>
        <v>57.041666666666664</v>
      </c>
      <c r="G1085" s="87">
        <f t="shared" si="201"/>
        <v>40</v>
      </c>
      <c r="H1085" s="87">
        <f t="shared" si="201"/>
        <v>174.58333333333334</v>
      </c>
      <c r="I1085" s="87">
        <f t="shared" si="201"/>
        <v>0</v>
      </c>
      <c r="J1085" s="87">
        <f t="shared" si="201"/>
        <v>100</v>
      </c>
      <c r="K1085" s="87">
        <f t="shared" si="201"/>
        <v>300</v>
      </c>
      <c r="L1085" s="87">
        <f t="shared" si="201"/>
        <v>1216.5</v>
      </c>
      <c r="M1085" s="89">
        <f t="shared" si="201"/>
        <v>600</v>
      </c>
      <c r="N1085" s="87">
        <f t="shared" si="201"/>
        <v>72.5</v>
      </c>
      <c r="O1085" s="88">
        <f t="shared" si="201"/>
        <v>240</v>
      </c>
      <c r="P1085" s="88">
        <f t="shared" si="201"/>
        <v>110</v>
      </c>
      <c r="Q1085" s="88">
        <f t="shared" si="201"/>
        <v>245</v>
      </c>
      <c r="R1085" s="88">
        <f t="shared" si="201"/>
        <v>100</v>
      </c>
      <c r="S1085" s="87">
        <f t="shared" si="201"/>
        <v>695</v>
      </c>
      <c r="T1085" s="87">
        <f t="shared" si="201"/>
        <v>33.333333333333336</v>
      </c>
      <c r="U1085" s="84"/>
      <c r="V1085" s="84"/>
      <c r="W1085" s="84"/>
      <c r="X1085" s="84"/>
      <c r="Y1085" s="84"/>
      <c r="Z1085" s="84"/>
      <c r="AA1085" s="84"/>
      <c r="AB1085" s="84"/>
      <c r="AC1085" s="84"/>
      <c r="AD1085" s="84"/>
    </row>
    <row r="1086" spans="1:30" ht="15" x14ac:dyDescent="0.2">
      <c r="A1086" s="10">
        <v>2030</v>
      </c>
      <c r="B1086" s="10">
        <f t="shared" si="180"/>
        <v>365</v>
      </c>
      <c r="C1086" s="87">
        <f t="shared" ref="C1086:T1086" si="202">AVERAGE(C216:C227)</f>
        <v>154.75825</v>
      </c>
      <c r="D1086" s="87">
        <f t="shared" si="202"/>
        <v>281.0162499999999</v>
      </c>
      <c r="E1086" s="87">
        <f t="shared" si="202"/>
        <v>109.1005</v>
      </c>
      <c r="F1086" s="87">
        <f t="shared" si="202"/>
        <v>57.041666666666664</v>
      </c>
      <c r="G1086" s="87">
        <f t="shared" si="202"/>
        <v>40</v>
      </c>
      <c r="H1086" s="87">
        <f t="shared" si="202"/>
        <v>174.58333333333334</v>
      </c>
      <c r="I1086" s="87">
        <f t="shared" si="202"/>
        <v>0</v>
      </c>
      <c r="J1086" s="87">
        <f t="shared" si="202"/>
        <v>100</v>
      </c>
      <c r="K1086" s="87">
        <f t="shared" si="202"/>
        <v>300</v>
      </c>
      <c r="L1086" s="87">
        <f t="shared" si="202"/>
        <v>1216.5</v>
      </c>
      <c r="M1086" s="89">
        <f t="shared" si="202"/>
        <v>600</v>
      </c>
      <c r="N1086" s="87">
        <f t="shared" si="202"/>
        <v>72.5</v>
      </c>
      <c r="O1086" s="88">
        <f t="shared" si="202"/>
        <v>240</v>
      </c>
      <c r="P1086" s="88">
        <f t="shared" si="202"/>
        <v>110</v>
      </c>
      <c r="Q1086" s="88">
        <f t="shared" si="202"/>
        <v>245</v>
      </c>
      <c r="R1086" s="88">
        <f t="shared" si="202"/>
        <v>100</v>
      </c>
      <c r="S1086" s="87">
        <f t="shared" si="202"/>
        <v>695</v>
      </c>
      <c r="T1086" s="87">
        <f t="shared" si="202"/>
        <v>33.333333333333336</v>
      </c>
      <c r="U1086" s="84"/>
      <c r="V1086" s="84"/>
      <c r="W1086" s="84"/>
      <c r="X1086" s="84"/>
      <c r="Y1086" s="84"/>
      <c r="Z1086" s="84"/>
      <c r="AA1086" s="84"/>
      <c r="AB1086" s="84"/>
      <c r="AC1086" s="84"/>
      <c r="AD1086" s="84"/>
    </row>
    <row r="1087" spans="1:30" ht="15" x14ac:dyDescent="0.2">
      <c r="A1087" s="10">
        <v>2031</v>
      </c>
      <c r="B1087" s="10">
        <f t="shared" si="180"/>
        <v>365</v>
      </c>
      <c r="C1087" s="87">
        <f t="shared" ref="C1087:T1087" si="203">AVERAGE(C228:C239)</f>
        <v>154.75825</v>
      </c>
      <c r="D1087" s="87">
        <f t="shared" si="203"/>
        <v>281.0162499999999</v>
      </c>
      <c r="E1087" s="87">
        <f t="shared" si="203"/>
        <v>109.1005</v>
      </c>
      <c r="F1087" s="87">
        <f t="shared" si="203"/>
        <v>57.041666666666664</v>
      </c>
      <c r="G1087" s="87">
        <f t="shared" si="203"/>
        <v>40</v>
      </c>
      <c r="H1087" s="87">
        <f t="shared" si="203"/>
        <v>174.58333333333334</v>
      </c>
      <c r="I1087" s="87">
        <f t="shared" si="203"/>
        <v>0</v>
      </c>
      <c r="J1087" s="87">
        <f t="shared" si="203"/>
        <v>100</v>
      </c>
      <c r="K1087" s="87">
        <f t="shared" si="203"/>
        <v>300</v>
      </c>
      <c r="L1087" s="87">
        <f t="shared" si="203"/>
        <v>1216.5</v>
      </c>
      <c r="M1087" s="89">
        <f t="shared" si="203"/>
        <v>600</v>
      </c>
      <c r="N1087" s="87">
        <f t="shared" si="203"/>
        <v>72.5</v>
      </c>
      <c r="O1087" s="88">
        <f t="shared" si="203"/>
        <v>240</v>
      </c>
      <c r="P1087" s="88">
        <f t="shared" si="203"/>
        <v>110</v>
      </c>
      <c r="Q1087" s="88">
        <f t="shared" si="203"/>
        <v>245</v>
      </c>
      <c r="R1087" s="88">
        <f t="shared" si="203"/>
        <v>100</v>
      </c>
      <c r="S1087" s="87">
        <f t="shared" si="203"/>
        <v>695</v>
      </c>
      <c r="T1087" s="87">
        <f t="shared" si="203"/>
        <v>33.333333333333336</v>
      </c>
      <c r="U1087" s="84"/>
      <c r="V1087" s="84"/>
      <c r="W1087" s="84"/>
      <c r="X1087" s="84"/>
      <c r="Y1087" s="84"/>
      <c r="Z1087" s="84"/>
      <c r="AA1087" s="84"/>
      <c r="AB1087" s="84"/>
      <c r="AC1087" s="84"/>
      <c r="AD1087" s="84"/>
    </row>
    <row r="1088" spans="1:30" ht="15" x14ac:dyDescent="0.2">
      <c r="A1088" s="10">
        <v>2032</v>
      </c>
      <c r="B1088" s="10">
        <f t="shared" si="180"/>
        <v>366</v>
      </c>
      <c r="C1088" s="87">
        <f t="shared" ref="C1088:T1088" si="204">AVERAGE(C240:C251)</f>
        <v>154.75825</v>
      </c>
      <c r="D1088" s="87">
        <f t="shared" si="204"/>
        <v>281.0162499999999</v>
      </c>
      <c r="E1088" s="87">
        <f t="shared" si="204"/>
        <v>109.1005</v>
      </c>
      <c r="F1088" s="87">
        <f t="shared" si="204"/>
        <v>57.041666666666664</v>
      </c>
      <c r="G1088" s="87">
        <f t="shared" si="204"/>
        <v>40</v>
      </c>
      <c r="H1088" s="87">
        <f t="shared" si="204"/>
        <v>174.58333333333334</v>
      </c>
      <c r="I1088" s="87">
        <f t="shared" si="204"/>
        <v>0</v>
      </c>
      <c r="J1088" s="87">
        <f t="shared" si="204"/>
        <v>100</v>
      </c>
      <c r="K1088" s="87">
        <f t="shared" si="204"/>
        <v>300</v>
      </c>
      <c r="L1088" s="87">
        <f t="shared" si="204"/>
        <v>1216.5</v>
      </c>
      <c r="M1088" s="89">
        <f t="shared" si="204"/>
        <v>600</v>
      </c>
      <c r="N1088" s="87">
        <f t="shared" si="204"/>
        <v>72.5</v>
      </c>
      <c r="O1088" s="88">
        <f t="shared" si="204"/>
        <v>240</v>
      </c>
      <c r="P1088" s="88">
        <f t="shared" si="204"/>
        <v>110</v>
      </c>
      <c r="Q1088" s="88">
        <f t="shared" si="204"/>
        <v>245</v>
      </c>
      <c r="R1088" s="88">
        <f t="shared" si="204"/>
        <v>100</v>
      </c>
      <c r="S1088" s="87">
        <f t="shared" si="204"/>
        <v>695</v>
      </c>
      <c r="T1088" s="87">
        <f t="shared" si="204"/>
        <v>33.333333333333336</v>
      </c>
      <c r="U1088" s="84"/>
      <c r="V1088" s="84"/>
      <c r="W1088" s="84"/>
      <c r="X1088" s="84"/>
      <c r="Y1088" s="84"/>
      <c r="Z1088" s="84"/>
      <c r="AA1088" s="84"/>
      <c r="AB1088" s="84"/>
      <c r="AC1088" s="84"/>
      <c r="AD1088" s="84"/>
    </row>
    <row r="1089" spans="1:30" ht="15" x14ac:dyDescent="0.2">
      <c r="A1089" s="10">
        <v>2033</v>
      </c>
      <c r="B1089" s="10">
        <f t="shared" si="180"/>
        <v>365</v>
      </c>
      <c r="C1089" s="87">
        <f t="shared" ref="C1089:T1089" si="205">AVERAGE(C252:C263)</f>
        <v>154.75825</v>
      </c>
      <c r="D1089" s="87">
        <f t="shared" si="205"/>
        <v>281.0162499999999</v>
      </c>
      <c r="E1089" s="87">
        <f t="shared" si="205"/>
        <v>109.1005</v>
      </c>
      <c r="F1089" s="87">
        <f t="shared" si="205"/>
        <v>57.041666666666664</v>
      </c>
      <c r="G1089" s="87">
        <f t="shared" si="205"/>
        <v>40</v>
      </c>
      <c r="H1089" s="87">
        <f t="shared" si="205"/>
        <v>174.58333333333334</v>
      </c>
      <c r="I1089" s="87">
        <f t="shared" si="205"/>
        <v>0</v>
      </c>
      <c r="J1089" s="87">
        <f t="shared" si="205"/>
        <v>100</v>
      </c>
      <c r="K1089" s="87">
        <f t="shared" si="205"/>
        <v>300</v>
      </c>
      <c r="L1089" s="87">
        <f t="shared" si="205"/>
        <v>1216.5</v>
      </c>
      <c r="M1089" s="89">
        <f t="shared" si="205"/>
        <v>600</v>
      </c>
      <c r="N1089" s="87">
        <f t="shared" si="205"/>
        <v>72.5</v>
      </c>
      <c r="O1089" s="88">
        <f t="shared" si="205"/>
        <v>240</v>
      </c>
      <c r="P1089" s="88">
        <f t="shared" si="205"/>
        <v>110</v>
      </c>
      <c r="Q1089" s="88">
        <f t="shared" si="205"/>
        <v>245</v>
      </c>
      <c r="R1089" s="88">
        <f t="shared" si="205"/>
        <v>100</v>
      </c>
      <c r="S1089" s="87">
        <f t="shared" si="205"/>
        <v>695</v>
      </c>
      <c r="T1089" s="87">
        <f t="shared" si="205"/>
        <v>33.333333333333336</v>
      </c>
      <c r="U1089" s="84"/>
      <c r="V1089" s="84"/>
      <c r="W1089" s="84"/>
      <c r="X1089" s="84"/>
      <c r="Y1089" s="84"/>
      <c r="Z1089" s="84"/>
      <c r="AA1089" s="84"/>
      <c r="AB1089" s="84"/>
      <c r="AC1089" s="84"/>
      <c r="AD1089" s="84"/>
    </row>
    <row r="1090" spans="1:30" ht="15" x14ac:dyDescent="0.2">
      <c r="A1090" s="10">
        <v>2034</v>
      </c>
      <c r="B1090" s="10">
        <f t="shared" si="180"/>
        <v>365</v>
      </c>
      <c r="C1090" s="87">
        <f t="shared" ref="C1090:T1090" si="206">AVERAGE(C264:C275)</f>
        <v>154.75825</v>
      </c>
      <c r="D1090" s="87">
        <f t="shared" si="206"/>
        <v>281.0162499999999</v>
      </c>
      <c r="E1090" s="87">
        <f t="shared" si="206"/>
        <v>109.1005</v>
      </c>
      <c r="F1090" s="87">
        <f t="shared" si="206"/>
        <v>57.041666666666664</v>
      </c>
      <c r="G1090" s="87">
        <f t="shared" si="206"/>
        <v>40</v>
      </c>
      <c r="H1090" s="87">
        <f t="shared" si="206"/>
        <v>174.58333333333334</v>
      </c>
      <c r="I1090" s="87">
        <f t="shared" si="206"/>
        <v>0</v>
      </c>
      <c r="J1090" s="87">
        <f t="shared" si="206"/>
        <v>100</v>
      </c>
      <c r="K1090" s="87">
        <f t="shared" si="206"/>
        <v>300</v>
      </c>
      <c r="L1090" s="87">
        <f t="shared" si="206"/>
        <v>1216.5</v>
      </c>
      <c r="M1090" s="89">
        <f t="shared" si="206"/>
        <v>600</v>
      </c>
      <c r="N1090" s="87">
        <f t="shared" si="206"/>
        <v>72.5</v>
      </c>
      <c r="O1090" s="88">
        <f t="shared" si="206"/>
        <v>240</v>
      </c>
      <c r="P1090" s="88">
        <f t="shared" si="206"/>
        <v>110</v>
      </c>
      <c r="Q1090" s="88">
        <f t="shared" si="206"/>
        <v>245</v>
      </c>
      <c r="R1090" s="88">
        <f t="shared" si="206"/>
        <v>100</v>
      </c>
      <c r="S1090" s="87">
        <f t="shared" si="206"/>
        <v>695</v>
      </c>
      <c r="T1090" s="87">
        <f t="shared" si="206"/>
        <v>33.333333333333336</v>
      </c>
      <c r="U1090" s="84"/>
      <c r="V1090" s="84"/>
      <c r="W1090" s="84"/>
      <c r="X1090" s="84"/>
      <c r="Y1090" s="84"/>
      <c r="Z1090" s="84"/>
      <c r="AA1090" s="84"/>
      <c r="AB1090" s="84"/>
      <c r="AC1090" s="84"/>
      <c r="AD1090" s="84"/>
    </row>
    <row r="1091" spans="1:30" ht="15" x14ac:dyDescent="0.2">
      <c r="A1091" s="10">
        <v>2035</v>
      </c>
      <c r="B1091" s="10">
        <f t="shared" si="180"/>
        <v>365</v>
      </c>
      <c r="C1091" s="87">
        <f t="shared" ref="C1091:T1091" si="207">AVERAGE(C276:C287)</f>
        <v>154.75825</v>
      </c>
      <c r="D1091" s="87">
        <f t="shared" si="207"/>
        <v>281.0162499999999</v>
      </c>
      <c r="E1091" s="87">
        <f t="shared" si="207"/>
        <v>109.1005</v>
      </c>
      <c r="F1091" s="87">
        <f t="shared" si="207"/>
        <v>57.041666666666664</v>
      </c>
      <c r="G1091" s="87">
        <f t="shared" si="207"/>
        <v>40</v>
      </c>
      <c r="H1091" s="87">
        <f t="shared" si="207"/>
        <v>174.58333333333334</v>
      </c>
      <c r="I1091" s="87">
        <f t="shared" si="207"/>
        <v>0</v>
      </c>
      <c r="J1091" s="87">
        <f t="shared" si="207"/>
        <v>100</v>
      </c>
      <c r="K1091" s="87">
        <f t="shared" si="207"/>
        <v>300</v>
      </c>
      <c r="L1091" s="87">
        <f t="shared" si="207"/>
        <v>1216.5</v>
      </c>
      <c r="M1091" s="89">
        <f t="shared" si="207"/>
        <v>600</v>
      </c>
      <c r="N1091" s="87">
        <f t="shared" si="207"/>
        <v>72.5</v>
      </c>
      <c r="O1091" s="88">
        <f t="shared" si="207"/>
        <v>240</v>
      </c>
      <c r="P1091" s="88">
        <f t="shared" si="207"/>
        <v>110</v>
      </c>
      <c r="Q1091" s="88">
        <f t="shared" si="207"/>
        <v>245</v>
      </c>
      <c r="R1091" s="88">
        <f t="shared" si="207"/>
        <v>100</v>
      </c>
      <c r="S1091" s="87">
        <f t="shared" si="207"/>
        <v>695</v>
      </c>
      <c r="T1091" s="87">
        <f t="shared" si="207"/>
        <v>33.333333333333336</v>
      </c>
      <c r="U1091" s="84"/>
      <c r="V1091" s="84"/>
      <c r="W1091" s="84"/>
      <c r="X1091" s="84"/>
      <c r="Y1091" s="84"/>
      <c r="Z1091" s="84"/>
      <c r="AA1091" s="84"/>
      <c r="AB1091" s="84"/>
      <c r="AC1091" s="84"/>
      <c r="AD1091" s="84"/>
    </row>
    <row r="1092" spans="1:30" ht="15" x14ac:dyDescent="0.2">
      <c r="A1092" s="10">
        <v>2036</v>
      </c>
      <c r="B1092" s="10">
        <f t="shared" si="180"/>
        <v>366</v>
      </c>
      <c r="C1092" s="87">
        <f t="shared" ref="C1092:T1092" si="208">AVERAGE(C288:C299)</f>
        <v>154.75825</v>
      </c>
      <c r="D1092" s="87">
        <f t="shared" si="208"/>
        <v>281.0162499999999</v>
      </c>
      <c r="E1092" s="87">
        <f t="shared" si="208"/>
        <v>109.1005</v>
      </c>
      <c r="F1092" s="87">
        <f t="shared" si="208"/>
        <v>57.041666666666664</v>
      </c>
      <c r="G1092" s="87">
        <f t="shared" si="208"/>
        <v>40</v>
      </c>
      <c r="H1092" s="87">
        <f t="shared" si="208"/>
        <v>174.58333333333334</v>
      </c>
      <c r="I1092" s="87">
        <f t="shared" si="208"/>
        <v>0</v>
      </c>
      <c r="J1092" s="87">
        <f t="shared" si="208"/>
        <v>100</v>
      </c>
      <c r="K1092" s="87">
        <f t="shared" si="208"/>
        <v>300</v>
      </c>
      <c r="L1092" s="87">
        <f t="shared" si="208"/>
        <v>1216.5</v>
      </c>
      <c r="M1092" s="89">
        <f t="shared" si="208"/>
        <v>600</v>
      </c>
      <c r="N1092" s="87">
        <f t="shared" si="208"/>
        <v>72.5</v>
      </c>
      <c r="O1092" s="88">
        <f t="shared" si="208"/>
        <v>240</v>
      </c>
      <c r="P1092" s="88">
        <f t="shared" si="208"/>
        <v>110</v>
      </c>
      <c r="Q1092" s="88">
        <f t="shared" si="208"/>
        <v>245</v>
      </c>
      <c r="R1092" s="88">
        <f t="shared" si="208"/>
        <v>100</v>
      </c>
      <c r="S1092" s="87">
        <f t="shared" si="208"/>
        <v>695</v>
      </c>
      <c r="T1092" s="87">
        <f t="shared" si="208"/>
        <v>33.333333333333336</v>
      </c>
      <c r="U1092" s="84"/>
      <c r="V1092" s="84"/>
      <c r="W1092" s="84"/>
      <c r="X1092" s="84"/>
      <c r="Y1092" s="84"/>
      <c r="Z1092" s="84"/>
      <c r="AA1092" s="84"/>
      <c r="AB1092" s="84"/>
      <c r="AC1092" s="84"/>
      <c r="AD1092" s="84"/>
    </row>
    <row r="1093" spans="1:30" ht="15" x14ac:dyDescent="0.2">
      <c r="A1093" s="10">
        <v>2037</v>
      </c>
      <c r="B1093" s="10">
        <f t="shared" si="180"/>
        <v>365</v>
      </c>
      <c r="C1093" s="87">
        <f t="shared" ref="C1093:T1093" si="209">AVERAGE(C300:C311)</f>
        <v>154.75825</v>
      </c>
      <c r="D1093" s="87">
        <f t="shared" si="209"/>
        <v>281.0162499999999</v>
      </c>
      <c r="E1093" s="87">
        <f t="shared" si="209"/>
        <v>109.1005</v>
      </c>
      <c r="F1093" s="87">
        <f t="shared" si="209"/>
        <v>57.041666666666664</v>
      </c>
      <c r="G1093" s="87">
        <f t="shared" si="209"/>
        <v>40</v>
      </c>
      <c r="H1093" s="87">
        <f t="shared" si="209"/>
        <v>174.58333333333334</v>
      </c>
      <c r="I1093" s="87">
        <f t="shared" si="209"/>
        <v>0</v>
      </c>
      <c r="J1093" s="87">
        <f t="shared" si="209"/>
        <v>100</v>
      </c>
      <c r="K1093" s="87">
        <f t="shared" si="209"/>
        <v>300</v>
      </c>
      <c r="L1093" s="87">
        <f t="shared" si="209"/>
        <v>1216.5</v>
      </c>
      <c r="M1093" s="89">
        <f t="shared" si="209"/>
        <v>600</v>
      </c>
      <c r="N1093" s="87">
        <f t="shared" si="209"/>
        <v>72.5</v>
      </c>
      <c r="O1093" s="88">
        <f t="shared" si="209"/>
        <v>240</v>
      </c>
      <c r="P1093" s="88">
        <f t="shared" si="209"/>
        <v>110</v>
      </c>
      <c r="Q1093" s="88">
        <f t="shared" si="209"/>
        <v>245</v>
      </c>
      <c r="R1093" s="88">
        <f t="shared" si="209"/>
        <v>100</v>
      </c>
      <c r="S1093" s="87">
        <f t="shared" si="209"/>
        <v>695</v>
      </c>
      <c r="T1093" s="87">
        <f t="shared" si="209"/>
        <v>33.333333333333336</v>
      </c>
      <c r="U1093" s="84"/>
      <c r="V1093" s="84"/>
      <c r="W1093" s="84"/>
      <c r="X1093" s="84"/>
      <c r="Y1093" s="84"/>
      <c r="Z1093" s="84"/>
      <c r="AA1093" s="84"/>
      <c r="AB1093" s="84"/>
      <c r="AC1093" s="84"/>
      <c r="AD1093" s="84"/>
    </row>
    <row r="1094" spans="1:30" ht="15" x14ac:dyDescent="0.2">
      <c r="A1094" s="10">
        <f t="shared" ref="A1094:A1125" si="210">A1093+1</f>
        <v>2038</v>
      </c>
      <c r="B1094" s="10">
        <f t="shared" si="180"/>
        <v>365</v>
      </c>
      <c r="C1094" s="83">
        <f t="shared" ref="C1094:T1094" si="211">AVERAGE(C312:C323)</f>
        <v>154.75825</v>
      </c>
      <c r="D1094" s="83">
        <f t="shared" si="211"/>
        <v>281.0162499999999</v>
      </c>
      <c r="E1094" s="83">
        <f t="shared" si="211"/>
        <v>109.1005</v>
      </c>
      <c r="F1094" s="83">
        <f t="shared" si="211"/>
        <v>57.041666666666664</v>
      </c>
      <c r="G1094" s="83">
        <f t="shared" si="211"/>
        <v>40</v>
      </c>
      <c r="H1094" s="83">
        <f t="shared" si="211"/>
        <v>174.58333333333334</v>
      </c>
      <c r="I1094" s="83">
        <f t="shared" si="211"/>
        <v>0</v>
      </c>
      <c r="J1094" s="83">
        <f t="shared" si="211"/>
        <v>100</v>
      </c>
      <c r="K1094" s="83">
        <f t="shared" si="211"/>
        <v>300</v>
      </c>
      <c r="L1094" s="83">
        <f t="shared" si="211"/>
        <v>1216.5</v>
      </c>
      <c r="M1094" s="85">
        <f t="shared" si="211"/>
        <v>600</v>
      </c>
      <c r="N1094" s="83">
        <f t="shared" si="211"/>
        <v>72.5</v>
      </c>
      <c r="O1094" s="86">
        <f t="shared" si="211"/>
        <v>240</v>
      </c>
      <c r="P1094" s="86">
        <f t="shared" si="211"/>
        <v>110</v>
      </c>
      <c r="Q1094" s="86">
        <f t="shared" si="211"/>
        <v>245</v>
      </c>
      <c r="R1094" s="86">
        <f t="shared" si="211"/>
        <v>100</v>
      </c>
      <c r="S1094" s="83">
        <f t="shared" si="211"/>
        <v>695</v>
      </c>
      <c r="T1094" s="83">
        <f t="shared" si="211"/>
        <v>33.333333333333336</v>
      </c>
      <c r="U1094" s="84"/>
      <c r="V1094" s="84"/>
      <c r="W1094" s="84"/>
      <c r="X1094" s="84"/>
      <c r="Y1094" s="84"/>
      <c r="Z1094" s="84"/>
      <c r="AA1094" s="84"/>
      <c r="AB1094" s="84"/>
      <c r="AC1094" s="84"/>
      <c r="AD1094" s="84"/>
    </row>
    <row r="1095" spans="1:30" ht="15" x14ac:dyDescent="0.2">
      <c r="A1095" s="10">
        <f t="shared" si="210"/>
        <v>2039</v>
      </c>
      <c r="B1095" s="10">
        <f t="shared" si="180"/>
        <v>365</v>
      </c>
      <c r="C1095" s="83">
        <f t="shared" ref="C1095:T1095" si="212">AVERAGE(C324:C335)</f>
        <v>154.75825</v>
      </c>
      <c r="D1095" s="83">
        <f t="shared" si="212"/>
        <v>281.0162499999999</v>
      </c>
      <c r="E1095" s="83">
        <f t="shared" si="212"/>
        <v>109.1005</v>
      </c>
      <c r="F1095" s="83">
        <f t="shared" si="212"/>
        <v>57.041666666666664</v>
      </c>
      <c r="G1095" s="83">
        <f t="shared" si="212"/>
        <v>40</v>
      </c>
      <c r="H1095" s="83">
        <f t="shared" si="212"/>
        <v>174.58333333333334</v>
      </c>
      <c r="I1095" s="83">
        <f t="shared" si="212"/>
        <v>0</v>
      </c>
      <c r="J1095" s="83">
        <f t="shared" si="212"/>
        <v>100</v>
      </c>
      <c r="K1095" s="83">
        <f t="shared" si="212"/>
        <v>300</v>
      </c>
      <c r="L1095" s="83">
        <f t="shared" si="212"/>
        <v>1216.5</v>
      </c>
      <c r="M1095" s="85">
        <f t="shared" si="212"/>
        <v>600</v>
      </c>
      <c r="N1095" s="83">
        <f t="shared" si="212"/>
        <v>72.5</v>
      </c>
      <c r="O1095" s="86">
        <f t="shared" si="212"/>
        <v>240</v>
      </c>
      <c r="P1095" s="86">
        <f t="shared" si="212"/>
        <v>110</v>
      </c>
      <c r="Q1095" s="86">
        <f t="shared" si="212"/>
        <v>245</v>
      </c>
      <c r="R1095" s="86">
        <f t="shared" si="212"/>
        <v>100</v>
      </c>
      <c r="S1095" s="83">
        <f t="shared" si="212"/>
        <v>695</v>
      </c>
      <c r="T1095" s="83">
        <f t="shared" si="212"/>
        <v>33.333333333333336</v>
      </c>
      <c r="U1095" s="84"/>
      <c r="V1095" s="84"/>
      <c r="W1095" s="84"/>
      <c r="X1095" s="84"/>
      <c r="Y1095" s="84"/>
      <c r="Z1095" s="84"/>
      <c r="AA1095" s="84"/>
      <c r="AB1095" s="84"/>
      <c r="AC1095" s="84"/>
      <c r="AD1095" s="84"/>
    </row>
    <row r="1096" spans="1:30" ht="15" x14ac:dyDescent="0.2">
      <c r="A1096" s="10">
        <f t="shared" si="210"/>
        <v>2040</v>
      </c>
      <c r="B1096" s="10">
        <f t="shared" si="180"/>
        <v>366</v>
      </c>
      <c r="C1096" s="83">
        <f t="shared" ref="C1096:T1096" si="213">AVERAGE(C336:C347)</f>
        <v>154.75825</v>
      </c>
      <c r="D1096" s="83">
        <f t="shared" si="213"/>
        <v>281.0162499999999</v>
      </c>
      <c r="E1096" s="83">
        <f t="shared" si="213"/>
        <v>109.1005</v>
      </c>
      <c r="F1096" s="83">
        <f t="shared" si="213"/>
        <v>57.041666666666664</v>
      </c>
      <c r="G1096" s="83">
        <f t="shared" si="213"/>
        <v>40</v>
      </c>
      <c r="H1096" s="83">
        <f t="shared" si="213"/>
        <v>174.58333333333334</v>
      </c>
      <c r="I1096" s="83">
        <f t="shared" si="213"/>
        <v>0</v>
      </c>
      <c r="J1096" s="83">
        <f t="shared" si="213"/>
        <v>100</v>
      </c>
      <c r="K1096" s="83">
        <f t="shared" si="213"/>
        <v>300</v>
      </c>
      <c r="L1096" s="83">
        <f t="shared" si="213"/>
        <v>1216.5</v>
      </c>
      <c r="M1096" s="85">
        <f t="shared" si="213"/>
        <v>600</v>
      </c>
      <c r="N1096" s="83">
        <f t="shared" si="213"/>
        <v>72.5</v>
      </c>
      <c r="O1096" s="86">
        <f t="shared" si="213"/>
        <v>240</v>
      </c>
      <c r="P1096" s="86">
        <f t="shared" si="213"/>
        <v>110</v>
      </c>
      <c r="Q1096" s="86">
        <f t="shared" si="213"/>
        <v>245</v>
      </c>
      <c r="R1096" s="86">
        <f t="shared" si="213"/>
        <v>100</v>
      </c>
      <c r="S1096" s="83">
        <f t="shared" si="213"/>
        <v>695</v>
      </c>
      <c r="T1096" s="83">
        <f t="shared" si="213"/>
        <v>33.333333333333336</v>
      </c>
      <c r="U1096" s="84"/>
      <c r="V1096" s="84"/>
      <c r="W1096" s="84"/>
      <c r="X1096" s="84"/>
      <c r="Y1096" s="84"/>
      <c r="Z1096" s="84"/>
      <c r="AA1096" s="84"/>
      <c r="AB1096" s="84"/>
      <c r="AC1096" s="84"/>
      <c r="AD1096" s="84"/>
    </row>
    <row r="1097" spans="1:30" ht="15" x14ac:dyDescent="0.2">
      <c r="A1097" s="10">
        <f t="shared" si="210"/>
        <v>2041</v>
      </c>
      <c r="B1097" s="10">
        <f t="shared" si="180"/>
        <v>365</v>
      </c>
      <c r="C1097" s="83">
        <f t="shared" ref="C1097:T1097" si="214">AVERAGE(C348:C359)</f>
        <v>154.75825</v>
      </c>
      <c r="D1097" s="83">
        <f t="shared" si="214"/>
        <v>281.0162499999999</v>
      </c>
      <c r="E1097" s="83">
        <f t="shared" si="214"/>
        <v>109.1005</v>
      </c>
      <c r="F1097" s="83">
        <f t="shared" si="214"/>
        <v>57.041666666666664</v>
      </c>
      <c r="G1097" s="83">
        <f t="shared" si="214"/>
        <v>40</v>
      </c>
      <c r="H1097" s="83">
        <f t="shared" si="214"/>
        <v>174.58333333333334</v>
      </c>
      <c r="I1097" s="83">
        <f t="shared" si="214"/>
        <v>0</v>
      </c>
      <c r="J1097" s="83">
        <f t="shared" si="214"/>
        <v>100</v>
      </c>
      <c r="K1097" s="83">
        <f t="shared" si="214"/>
        <v>300</v>
      </c>
      <c r="L1097" s="83">
        <f t="shared" si="214"/>
        <v>1216.5</v>
      </c>
      <c r="M1097" s="85">
        <f t="shared" si="214"/>
        <v>600</v>
      </c>
      <c r="N1097" s="83">
        <f t="shared" si="214"/>
        <v>72.5</v>
      </c>
      <c r="O1097" s="86">
        <f t="shared" si="214"/>
        <v>240</v>
      </c>
      <c r="P1097" s="86">
        <f t="shared" si="214"/>
        <v>110</v>
      </c>
      <c r="Q1097" s="86">
        <f t="shared" si="214"/>
        <v>245</v>
      </c>
      <c r="R1097" s="86">
        <f t="shared" si="214"/>
        <v>100</v>
      </c>
      <c r="S1097" s="83">
        <f t="shared" si="214"/>
        <v>695</v>
      </c>
      <c r="T1097" s="83">
        <f t="shared" si="214"/>
        <v>33.333333333333336</v>
      </c>
      <c r="U1097" s="84"/>
      <c r="V1097" s="84"/>
      <c r="W1097" s="84"/>
      <c r="X1097" s="84"/>
      <c r="Y1097" s="84"/>
      <c r="Z1097" s="84"/>
      <c r="AA1097" s="84"/>
      <c r="AB1097" s="84"/>
      <c r="AC1097" s="84"/>
      <c r="AD1097" s="84"/>
    </row>
    <row r="1098" spans="1:30" ht="15" x14ac:dyDescent="0.2">
      <c r="A1098" s="10">
        <f t="shared" si="210"/>
        <v>2042</v>
      </c>
      <c r="B1098" s="10">
        <f t="shared" si="180"/>
        <v>365</v>
      </c>
      <c r="C1098" s="83">
        <f t="shared" ref="C1098:T1098" si="215">AVERAGE(C360:C371)</f>
        <v>154.75825</v>
      </c>
      <c r="D1098" s="83">
        <f t="shared" si="215"/>
        <v>281.0162499999999</v>
      </c>
      <c r="E1098" s="83">
        <f t="shared" si="215"/>
        <v>109.1005</v>
      </c>
      <c r="F1098" s="83">
        <f t="shared" si="215"/>
        <v>57.041666666666664</v>
      </c>
      <c r="G1098" s="83">
        <f t="shared" si="215"/>
        <v>40</v>
      </c>
      <c r="H1098" s="83">
        <f t="shared" si="215"/>
        <v>174.58333333333334</v>
      </c>
      <c r="I1098" s="83">
        <f t="shared" si="215"/>
        <v>0</v>
      </c>
      <c r="J1098" s="83">
        <f t="shared" si="215"/>
        <v>100</v>
      </c>
      <c r="K1098" s="83">
        <f t="shared" si="215"/>
        <v>300</v>
      </c>
      <c r="L1098" s="83">
        <f t="shared" si="215"/>
        <v>1216.5</v>
      </c>
      <c r="M1098" s="85">
        <f t="shared" si="215"/>
        <v>600</v>
      </c>
      <c r="N1098" s="83">
        <f t="shared" si="215"/>
        <v>72.5</v>
      </c>
      <c r="O1098" s="86">
        <f t="shared" si="215"/>
        <v>240</v>
      </c>
      <c r="P1098" s="86">
        <f t="shared" si="215"/>
        <v>110</v>
      </c>
      <c r="Q1098" s="86">
        <f t="shared" si="215"/>
        <v>245</v>
      </c>
      <c r="R1098" s="86">
        <f t="shared" si="215"/>
        <v>100</v>
      </c>
      <c r="S1098" s="83">
        <f t="shared" si="215"/>
        <v>695</v>
      </c>
      <c r="T1098" s="83">
        <f t="shared" si="215"/>
        <v>33.333333333333336</v>
      </c>
      <c r="U1098" s="84"/>
      <c r="V1098" s="84"/>
      <c r="W1098" s="84"/>
      <c r="X1098" s="84"/>
      <c r="Y1098" s="84"/>
      <c r="Z1098" s="84"/>
      <c r="AA1098" s="84"/>
      <c r="AB1098" s="84"/>
      <c r="AC1098" s="84"/>
      <c r="AD1098" s="84"/>
    </row>
    <row r="1099" spans="1:30" ht="15" x14ac:dyDescent="0.2">
      <c r="A1099" s="10">
        <f t="shared" si="210"/>
        <v>2043</v>
      </c>
      <c r="B1099" s="10">
        <f t="shared" si="180"/>
        <v>365</v>
      </c>
      <c r="C1099" s="83">
        <f t="shared" ref="C1099:T1099" si="216">AVERAGE(C372:C383)</f>
        <v>154.75825</v>
      </c>
      <c r="D1099" s="83">
        <f t="shared" si="216"/>
        <v>281.0162499999999</v>
      </c>
      <c r="E1099" s="83">
        <f t="shared" si="216"/>
        <v>109.1005</v>
      </c>
      <c r="F1099" s="83">
        <f t="shared" si="216"/>
        <v>57.041666666666664</v>
      </c>
      <c r="G1099" s="83">
        <f t="shared" si="216"/>
        <v>40</v>
      </c>
      <c r="H1099" s="83">
        <f t="shared" si="216"/>
        <v>174.58333333333334</v>
      </c>
      <c r="I1099" s="83">
        <f t="shared" si="216"/>
        <v>0</v>
      </c>
      <c r="J1099" s="83">
        <f t="shared" si="216"/>
        <v>100</v>
      </c>
      <c r="K1099" s="83">
        <f t="shared" si="216"/>
        <v>300</v>
      </c>
      <c r="L1099" s="83">
        <f t="shared" si="216"/>
        <v>1216.5</v>
      </c>
      <c r="M1099" s="85">
        <f t="shared" si="216"/>
        <v>600</v>
      </c>
      <c r="N1099" s="83">
        <f t="shared" si="216"/>
        <v>72.5</v>
      </c>
      <c r="O1099" s="86">
        <f t="shared" si="216"/>
        <v>240</v>
      </c>
      <c r="P1099" s="86">
        <f t="shared" si="216"/>
        <v>110</v>
      </c>
      <c r="Q1099" s="86">
        <f t="shared" si="216"/>
        <v>245</v>
      </c>
      <c r="R1099" s="86">
        <f t="shared" si="216"/>
        <v>100</v>
      </c>
      <c r="S1099" s="83">
        <f t="shared" si="216"/>
        <v>695</v>
      </c>
      <c r="T1099" s="83">
        <f t="shared" si="216"/>
        <v>33.333333333333336</v>
      </c>
      <c r="U1099" s="84"/>
      <c r="V1099" s="84"/>
      <c r="W1099" s="84"/>
      <c r="X1099" s="84"/>
      <c r="Y1099" s="84"/>
      <c r="Z1099" s="84"/>
      <c r="AA1099" s="84"/>
      <c r="AB1099" s="84"/>
      <c r="AC1099" s="84"/>
      <c r="AD1099" s="84"/>
    </row>
    <row r="1100" spans="1:30" ht="15" x14ac:dyDescent="0.2">
      <c r="A1100" s="10">
        <f t="shared" si="210"/>
        <v>2044</v>
      </c>
      <c r="B1100" s="10">
        <f t="shared" si="180"/>
        <v>366</v>
      </c>
      <c r="C1100" s="83">
        <f t="shared" ref="C1100:T1100" si="217">AVERAGE(C384:C395)</f>
        <v>154.75825</v>
      </c>
      <c r="D1100" s="83">
        <f t="shared" si="217"/>
        <v>281.0162499999999</v>
      </c>
      <c r="E1100" s="83">
        <f t="shared" si="217"/>
        <v>109.1005</v>
      </c>
      <c r="F1100" s="83">
        <f t="shared" si="217"/>
        <v>57.041666666666664</v>
      </c>
      <c r="G1100" s="83">
        <f t="shared" si="217"/>
        <v>40</v>
      </c>
      <c r="H1100" s="83">
        <f t="shared" si="217"/>
        <v>174.58333333333334</v>
      </c>
      <c r="I1100" s="83">
        <f t="shared" si="217"/>
        <v>0</v>
      </c>
      <c r="J1100" s="83">
        <f t="shared" si="217"/>
        <v>100</v>
      </c>
      <c r="K1100" s="83">
        <f t="shared" si="217"/>
        <v>300</v>
      </c>
      <c r="L1100" s="83">
        <f t="shared" si="217"/>
        <v>1216.5</v>
      </c>
      <c r="M1100" s="85">
        <f t="shared" si="217"/>
        <v>600</v>
      </c>
      <c r="N1100" s="83">
        <f t="shared" si="217"/>
        <v>72.5</v>
      </c>
      <c r="O1100" s="86">
        <f t="shared" si="217"/>
        <v>240</v>
      </c>
      <c r="P1100" s="86">
        <f t="shared" si="217"/>
        <v>110</v>
      </c>
      <c r="Q1100" s="86">
        <f t="shared" si="217"/>
        <v>245</v>
      </c>
      <c r="R1100" s="86">
        <f t="shared" si="217"/>
        <v>100</v>
      </c>
      <c r="S1100" s="83">
        <f t="shared" si="217"/>
        <v>695</v>
      </c>
      <c r="T1100" s="83">
        <f t="shared" si="217"/>
        <v>33.333333333333336</v>
      </c>
      <c r="U1100" s="84"/>
      <c r="V1100" s="84"/>
      <c r="W1100" s="84"/>
      <c r="X1100" s="84"/>
      <c r="Y1100" s="84"/>
      <c r="Z1100" s="84"/>
      <c r="AA1100" s="84"/>
      <c r="AB1100" s="84"/>
      <c r="AC1100" s="84"/>
      <c r="AD1100" s="84"/>
    </row>
    <row r="1101" spans="1:30" ht="15" x14ac:dyDescent="0.2">
      <c r="A1101" s="10">
        <f t="shared" si="210"/>
        <v>2045</v>
      </c>
      <c r="B1101" s="10">
        <f t="shared" ref="B1101:B1132" si="218">DATE(A1101+1,1,1)-DATE(A1101,1,1)</f>
        <v>365</v>
      </c>
      <c r="C1101" s="83">
        <f t="shared" ref="C1101:T1101" si="219">AVERAGE(C396:C407)</f>
        <v>154.75825</v>
      </c>
      <c r="D1101" s="83">
        <f t="shared" si="219"/>
        <v>281.0162499999999</v>
      </c>
      <c r="E1101" s="83">
        <f t="shared" si="219"/>
        <v>109.1005</v>
      </c>
      <c r="F1101" s="83">
        <f t="shared" si="219"/>
        <v>57.041666666666664</v>
      </c>
      <c r="G1101" s="83">
        <f t="shared" si="219"/>
        <v>40</v>
      </c>
      <c r="H1101" s="83">
        <f t="shared" si="219"/>
        <v>174.58333333333334</v>
      </c>
      <c r="I1101" s="83">
        <f t="shared" si="219"/>
        <v>0</v>
      </c>
      <c r="J1101" s="83">
        <f t="shared" si="219"/>
        <v>100</v>
      </c>
      <c r="K1101" s="83">
        <f t="shared" si="219"/>
        <v>300</v>
      </c>
      <c r="L1101" s="83">
        <f t="shared" si="219"/>
        <v>1216.5</v>
      </c>
      <c r="M1101" s="85">
        <f t="shared" si="219"/>
        <v>600</v>
      </c>
      <c r="N1101" s="83">
        <f t="shared" si="219"/>
        <v>72.5</v>
      </c>
      <c r="O1101" s="86">
        <f t="shared" si="219"/>
        <v>240</v>
      </c>
      <c r="P1101" s="86">
        <f t="shared" si="219"/>
        <v>110</v>
      </c>
      <c r="Q1101" s="86">
        <f t="shared" si="219"/>
        <v>245</v>
      </c>
      <c r="R1101" s="86">
        <f t="shared" si="219"/>
        <v>100</v>
      </c>
      <c r="S1101" s="83">
        <f t="shared" si="219"/>
        <v>695</v>
      </c>
      <c r="T1101" s="83">
        <f t="shared" si="219"/>
        <v>33.333333333333336</v>
      </c>
      <c r="U1101" s="84"/>
      <c r="V1101" s="84"/>
      <c r="W1101" s="84"/>
      <c r="X1101" s="84"/>
      <c r="Y1101" s="84"/>
      <c r="Z1101" s="84"/>
      <c r="AA1101" s="84"/>
      <c r="AB1101" s="84"/>
      <c r="AC1101" s="84"/>
      <c r="AD1101" s="84"/>
    </row>
    <row r="1102" spans="1:30" ht="15" x14ac:dyDescent="0.2">
      <c r="A1102" s="10">
        <f t="shared" si="210"/>
        <v>2046</v>
      </c>
      <c r="B1102" s="10">
        <f t="shared" si="218"/>
        <v>365</v>
      </c>
      <c r="C1102" s="83">
        <f t="shared" ref="C1102:T1102" si="220">AVERAGE(C408:C419)</f>
        <v>154.75825</v>
      </c>
      <c r="D1102" s="83">
        <f t="shared" si="220"/>
        <v>281.0162499999999</v>
      </c>
      <c r="E1102" s="83">
        <f t="shared" si="220"/>
        <v>109.1005</v>
      </c>
      <c r="F1102" s="83">
        <f t="shared" si="220"/>
        <v>57.041666666666664</v>
      </c>
      <c r="G1102" s="83">
        <f t="shared" si="220"/>
        <v>40</v>
      </c>
      <c r="H1102" s="83">
        <f t="shared" si="220"/>
        <v>174.58333333333334</v>
      </c>
      <c r="I1102" s="83">
        <f t="shared" si="220"/>
        <v>0</v>
      </c>
      <c r="J1102" s="83">
        <f t="shared" si="220"/>
        <v>100</v>
      </c>
      <c r="K1102" s="83">
        <f t="shared" si="220"/>
        <v>300</v>
      </c>
      <c r="L1102" s="83">
        <f t="shared" si="220"/>
        <v>1216.5</v>
      </c>
      <c r="M1102" s="85">
        <f t="shared" si="220"/>
        <v>600</v>
      </c>
      <c r="N1102" s="83">
        <f t="shared" si="220"/>
        <v>72.5</v>
      </c>
      <c r="O1102" s="86">
        <f t="shared" si="220"/>
        <v>240</v>
      </c>
      <c r="P1102" s="86">
        <f t="shared" si="220"/>
        <v>110</v>
      </c>
      <c r="Q1102" s="86">
        <f t="shared" si="220"/>
        <v>245</v>
      </c>
      <c r="R1102" s="86">
        <f t="shared" si="220"/>
        <v>100</v>
      </c>
      <c r="S1102" s="83">
        <f t="shared" si="220"/>
        <v>695</v>
      </c>
      <c r="T1102" s="83">
        <f t="shared" si="220"/>
        <v>33.333333333333336</v>
      </c>
      <c r="U1102" s="84"/>
      <c r="V1102" s="84"/>
      <c r="W1102" s="84"/>
      <c r="X1102" s="84"/>
      <c r="Y1102" s="84"/>
      <c r="Z1102" s="84"/>
      <c r="AA1102" s="84"/>
      <c r="AB1102" s="84"/>
      <c r="AC1102" s="84"/>
      <c r="AD1102" s="84"/>
    </row>
    <row r="1103" spans="1:30" ht="15" x14ac:dyDescent="0.2">
      <c r="A1103" s="10">
        <f t="shared" si="210"/>
        <v>2047</v>
      </c>
      <c r="B1103" s="10">
        <f t="shared" si="218"/>
        <v>365</v>
      </c>
      <c r="C1103" s="83">
        <f t="shared" ref="C1103:T1103" si="221">AVERAGE(C420:C431)</f>
        <v>154.75825</v>
      </c>
      <c r="D1103" s="83">
        <f t="shared" si="221"/>
        <v>281.0162499999999</v>
      </c>
      <c r="E1103" s="83">
        <f t="shared" si="221"/>
        <v>109.1005</v>
      </c>
      <c r="F1103" s="83">
        <f t="shared" si="221"/>
        <v>57.041666666666664</v>
      </c>
      <c r="G1103" s="83">
        <f t="shared" si="221"/>
        <v>40</v>
      </c>
      <c r="H1103" s="83">
        <f t="shared" si="221"/>
        <v>174.58333333333334</v>
      </c>
      <c r="I1103" s="83">
        <f t="shared" si="221"/>
        <v>0</v>
      </c>
      <c r="J1103" s="83">
        <f t="shared" si="221"/>
        <v>100</v>
      </c>
      <c r="K1103" s="83">
        <f t="shared" si="221"/>
        <v>300</v>
      </c>
      <c r="L1103" s="83">
        <f t="shared" si="221"/>
        <v>1216.5</v>
      </c>
      <c r="M1103" s="85">
        <f t="shared" si="221"/>
        <v>600</v>
      </c>
      <c r="N1103" s="83">
        <f t="shared" si="221"/>
        <v>72.5</v>
      </c>
      <c r="O1103" s="86">
        <f t="shared" si="221"/>
        <v>240</v>
      </c>
      <c r="P1103" s="86">
        <f t="shared" si="221"/>
        <v>110</v>
      </c>
      <c r="Q1103" s="86">
        <f t="shared" si="221"/>
        <v>245</v>
      </c>
      <c r="R1103" s="86">
        <f t="shared" si="221"/>
        <v>100</v>
      </c>
      <c r="S1103" s="83">
        <f t="shared" si="221"/>
        <v>695</v>
      </c>
      <c r="T1103" s="83">
        <f t="shared" si="221"/>
        <v>33.333333333333336</v>
      </c>
      <c r="U1103" s="84"/>
      <c r="V1103" s="84"/>
      <c r="W1103" s="84"/>
      <c r="X1103" s="84"/>
      <c r="Y1103" s="84"/>
      <c r="Z1103" s="84"/>
      <c r="AA1103" s="84"/>
      <c r="AB1103" s="84"/>
      <c r="AC1103" s="84"/>
      <c r="AD1103" s="84"/>
    </row>
    <row r="1104" spans="1:30" ht="15" x14ac:dyDescent="0.2">
      <c r="A1104" s="10">
        <f t="shared" si="210"/>
        <v>2048</v>
      </c>
      <c r="B1104" s="10">
        <f t="shared" si="218"/>
        <v>366</v>
      </c>
      <c r="C1104" s="83">
        <f t="shared" ref="C1104:T1104" si="222">AVERAGE(C432:C443)</f>
        <v>154.75825</v>
      </c>
      <c r="D1104" s="83">
        <f t="shared" si="222"/>
        <v>281.0162499999999</v>
      </c>
      <c r="E1104" s="83">
        <f t="shared" si="222"/>
        <v>109.1005</v>
      </c>
      <c r="F1104" s="83">
        <f t="shared" si="222"/>
        <v>57.041666666666664</v>
      </c>
      <c r="G1104" s="83">
        <f t="shared" si="222"/>
        <v>40</v>
      </c>
      <c r="H1104" s="83">
        <f t="shared" si="222"/>
        <v>174.58333333333334</v>
      </c>
      <c r="I1104" s="83">
        <f t="shared" si="222"/>
        <v>0</v>
      </c>
      <c r="J1104" s="83">
        <f t="shared" si="222"/>
        <v>100</v>
      </c>
      <c r="K1104" s="83">
        <f t="shared" si="222"/>
        <v>300</v>
      </c>
      <c r="L1104" s="83">
        <f t="shared" si="222"/>
        <v>1216.5</v>
      </c>
      <c r="M1104" s="85">
        <f t="shared" si="222"/>
        <v>600</v>
      </c>
      <c r="N1104" s="83">
        <f t="shared" si="222"/>
        <v>72.5</v>
      </c>
      <c r="O1104" s="86">
        <f t="shared" si="222"/>
        <v>240</v>
      </c>
      <c r="P1104" s="86">
        <f t="shared" si="222"/>
        <v>110</v>
      </c>
      <c r="Q1104" s="86">
        <f t="shared" si="222"/>
        <v>245</v>
      </c>
      <c r="R1104" s="86">
        <f t="shared" si="222"/>
        <v>100</v>
      </c>
      <c r="S1104" s="83">
        <f t="shared" si="222"/>
        <v>695</v>
      </c>
      <c r="T1104" s="83">
        <f t="shared" si="222"/>
        <v>33.333333333333336</v>
      </c>
      <c r="U1104" s="84"/>
      <c r="V1104" s="84"/>
      <c r="W1104" s="84"/>
      <c r="X1104" s="84"/>
      <c r="Y1104" s="84"/>
      <c r="Z1104" s="84"/>
      <c r="AA1104" s="84"/>
      <c r="AB1104" s="84"/>
      <c r="AC1104" s="84"/>
      <c r="AD1104" s="84"/>
    </row>
    <row r="1105" spans="1:30" ht="15" x14ac:dyDescent="0.2">
      <c r="A1105" s="10">
        <f t="shared" si="210"/>
        <v>2049</v>
      </c>
      <c r="B1105" s="10">
        <f t="shared" si="218"/>
        <v>365</v>
      </c>
      <c r="C1105" s="83">
        <f t="shared" ref="C1105:T1105" si="223">AVERAGE(C444:C455)</f>
        <v>154.75825</v>
      </c>
      <c r="D1105" s="83">
        <f t="shared" si="223"/>
        <v>281.0162499999999</v>
      </c>
      <c r="E1105" s="83">
        <f t="shared" si="223"/>
        <v>109.1005</v>
      </c>
      <c r="F1105" s="83">
        <f t="shared" si="223"/>
        <v>57.041666666666664</v>
      </c>
      <c r="G1105" s="83">
        <f t="shared" si="223"/>
        <v>40</v>
      </c>
      <c r="H1105" s="83">
        <f t="shared" si="223"/>
        <v>174.58333333333334</v>
      </c>
      <c r="I1105" s="83">
        <f t="shared" si="223"/>
        <v>0</v>
      </c>
      <c r="J1105" s="83">
        <f t="shared" si="223"/>
        <v>100</v>
      </c>
      <c r="K1105" s="83">
        <f t="shared" si="223"/>
        <v>300</v>
      </c>
      <c r="L1105" s="83">
        <f t="shared" si="223"/>
        <v>1216.5</v>
      </c>
      <c r="M1105" s="85">
        <f t="shared" si="223"/>
        <v>600</v>
      </c>
      <c r="N1105" s="83">
        <f t="shared" si="223"/>
        <v>72.5</v>
      </c>
      <c r="O1105" s="86">
        <f t="shared" si="223"/>
        <v>240</v>
      </c>
      <c r="P1105" s="86">
        <f t="shared" si="223"/>
        <v>110</v>
      </c>
      <c r="Q1105" s="86">
        <f t="shared" si="223"/>
        <v>245</v>
      </c>
      <c r="R1105" s="86">
        <f t="shared" si="223"/>
        <v>100</v>
      </c>
      <c r="S1105" s="83">
        <f t="shared" si="223"/>
        <v>695</v>
      </c>
      <c r="T1105" s="83">
        <f t="shared" si="223"/>
        <v>33.333333333333336</v>
      </c>
      <c r="U1105" s="84"/>
      <c r="V1105" s="84"/>
      <c r="W1105" s="84"/>
      <c r="X1105" s="84"/>
      <c r="Y1105" s="84"/>
      <c r="Z1105" s="84"/>
      <c r="AA1105" s="84"/>
      <c r="AB1105" s="84"/>
      <c r="AC1105" s="84"/>
      <c r="AD1105" s="84"/>
    </row>
    <row r="1106" spans="1:30" ht="15" x14ac:dyDescent="0.2">
      <c r="A1106" s="10">
        <f t="shared" si="210"/>
        <v>2050</v>
      </c>
      <c r="B1106" s="10">
        <f t="shared" si="218"/>
        <v>365</v>
      </c>
      <c r="C1106" s="83">
        <f t="shared" ref="C1106:T1106" si="224">AVERAGE(C456:C467)</f>
        <v>154.75825</v>
      </c>
      <c r="D1106" s="83">
        <f t="shared" si="224"/>
        <v>281.0162499999999</v>
      </c>
      <c r="E1106" s="83">
        <f t="shared" si="224"/>
        <v>109.1005</v>
      </c>
      <c r="F1106" s="83">
        <f t="shared" si="224"/>
        <v>57.041666666666664</v>
      </c>
      <c r="G1106" s="83">
        <f t="shared" si="224"/>
        <v>40</v>
      </c>
      <c r="H1106" s="83">
        <f t="shared" si="224"/>
        <v>174.58333333333334</v>
      </c>
      <c r="I1106" s="83">
        <f t="shared" si="224"/>
        <v>0</v>
      </c>
      <c r="J1106" s="83">
        <f t="shared" si="224"/>
        <v>100</v>
      </c>
      <c r="K1106" s="83">
        <f t="shared" si="224"/>
        <v>300</v>
      </c>
      <c r="L1106" s="83">
        <f t="shared" si="224"/>
        <v>1216.5</v>
      </c>
      <c r="M1106" s="85">
        <f t="shared" si="224"/>
        <v>600</v>
      </c>
      <c r="N1106" s="83">
        <f t="shared" si="224"/>
        <v>72.5</v>
      </c>
      <c r="O1106" s="86">
        <f t="shared" si="224"/>
        <v>240</v>
      </c>
      <c r="P1106" s="86">
        <f t="shared" si="224"/>
        <v>110</v>
      </c>
      <c r="Q1106" s="86">
        <f t="shared" si="224"/>
        <v>245</v>
      </c>
      <c r="R1106" s="86">
        <f t="shared" si="224"/>
        <v>100</v>
      </c>
      <c r="S1106" s="83">
        <f t="shared" si="224"/>
        <v>695</v>
      </c>
      <c r="T1106" s="83">
        <f t="shared" si="224"/>
        <v>33.333333333333336</v>
      </c>
      <c r="U1106" s="84"/>
      <c r="V1106" s="84"/>
      <c r="W1106" s="84"/>
      <c r="X1106" s="84"/>
      <c r="Y1106" s="84"/>
      <c r="Z1106" s="84"/>
      <c r="AA1106" s="84"/>
      <c r="AB1106" s="84"/>
      <c r="AC1106" s="84"/>
      <c r="AD1106" s="84"/>
    </row>
    <row r="1107" spans="1:30" ht="15" x14ac:dyDescent="0.2">
      <c r="A1107" s="10">
        <f t="shared" si="210"/>
        <v>2051</v>
      </c>
      <c r="B1107" s="10">
        <f t="shared" si="218"/>
        <v>365</v>
      </c>
      <c r="C1107" s="83">
        <f t="shared" ref="C1107:T1107" si="225">AVERAGE(C468:C479)</f>
        <v>154.75825</v>
      </c>
      <c r="D1107" s="83">
        <f t="shared" si="225"/>
        <v>281.0162499999999</v>
      </c>
      <c r="E1107" s="83">
        <f t="shared" si="225"/>
        <v>109.1005</v>
      </c>
      <c r="F1107" s="83">
        <f t="shared" si="225"/>
        <v>57.041666666666664</v>
      </c>
      <c r="G1107" s="83">
        <f t="shared" si="225"/>
        <v>40</v>
      </c>
      <c r="H1107" s="83">
        <f t="shared" si="225"/>
        <v>174.58333333333334</v>
      </c>
      <c r="I1107" s="83">
        <f t="shared" si="225"/>
        <v>0</v>
      </c>
      <c r="J1107" s="83">
        <f t="shared" si="225"/>
        <v>100</v>
      </c>
      <c r="K1107" s="83">
        <f t="shared" si="225"/>
        <v>300</v>
      </c>
      <c r="L1107" s="83">
        <f t="shared" si="225"/>
        <v>1216.5</v>
      </c>
      <c r="M1107" s="85">
        <f t="shared" si="225"/>
        <v>600</v>
      </c>
      <c r="N1107" s="83">
        <f t="shared" si="225"/>
        <v>72.5</v>
      </c>
      <c r="O1107" s="86">
        <f t="shared" si="225"/>
        <v>240</v>
      </c>
      <c r="P1107" s="86">
        <f t="shared" si="225"/>
        <v>110</v>
      </c>
      <c r="Q1107" s="86">
        <f t="shared" si="225"/>
        <v>245</v>
      </c>
      <c r="R1107" s="86">
        <f t="shared" si="225"/>
        <v>100</v>
      </c>
      <c r="S1107" s="83">
        <f t="shared" si="225"/>
        <v>695</v>
      </c>
      <c r="T1107" s="83">
        <f t="shared" si="225"/>
        <v>33.333333333333336</v>
      </c>
      <c r="U1107" s="84"/>
      <c r="V1107" s="84"/>
      <c r="W1107" s="84"/>
      <c r="X1107" s="84"/>
      <c r="Y1107" s="84"/>
      <c r="Z1107" s="84"/>
      <c r="AA1107" s="84"/>
      <c r="AB1107" s="84"/>
      <c r="AC1107" s="84"/>
      <c r="AD1107" s="84"/>
    </row>
    <row r="1108" spans="1:30" ht="15" x14ac:dyDescent="0.2">
      <c r="A1108" s="10">
        <f t="shared" si="210"/>
        <v>2052</v>
      </c>
      <c r="B1108" s="10">
        <f t="shared" si="218"/>
        <v>366</v>
      </c>
      <c r="C1108" s="83">
        <f t="shared" ref="C1108:T1108" si="226">AVERAGE(C480:C491)</f>
        <v>154.75825</v>
      </c>
      <c r="D1108" s="83">
        <f t="shared" si="226"/>
        <v>281.0162499999999</v>
      </c>
      <c r="E1108" s="83">
        <f t="shared" si="226"/>
        <v>109.1005</v>
      </c>
      <c r="F1108" s="83">
        <f t="shared" si="226"/>
        <v>57.041666666666664</v>
      </c>
      <c r="G1108" s="83">
        <f t="shared" si="226"/>
        <v>40</v>
      </c>
      <c r="H1108" s="83">
        <f t="shared" si="226"/>
        <v>174.58333333333334</v>
      </c>
      <c r="I1108" s="83">
        <f t="shared" si="226"/>
        <v>0</v>
      </c>
      <c r="J1108" s="83">
        <f t="shared" si="226"/>
        <v>100</v>
      </c>
      <c r="K1108" s="83">
        <f t="shared" si="226"/>
        <v>300</v>
      </c>
      <c r="L1108" s="83">
        <f t="shared" si="226"/>
        <v>1216.5</v>
      </c>
      <c r="M1108" s="85">
        <f t="shared" si="226"/>
        <v>600</v>
      </c>
      <c r="N1108" s="83">
        <f t="shared" si="226"/>
        <v>72.5</v>
      </c>
      <c r="O1108" s="86">
        <f t="shared" si="226"/>
        <v>240</v>
      </c>
      <c r="P1108" s="86">
        <f t="shared" si="226"/>
        <v>110</v>
      </c>
      <c r="Q1108" s="86">
        <f t="shared" si="226"/>
        <v>245</v>
      </c>
      <c r="R1108" s="86">
        <f t="shared" si="226"/>
        <v>100</v>
      </c>
      <c r="S1108" s="83">
        <f t="shared" si="226"/>
        <v>695</v>
      </c>
      <c r="T1108" s="83">
        <f t="shared" si="226"/>
        <v>33.333333333333336</v>
      </c>
      <c r="U1108" s="84"/>
      <c r="V1108" s="84"/>
      <c r="W1108" s="84"/>
      <c r="X1108" s="84"/>
      <c r="Y1108" s="84"/>
      <c r="Z1108" s="84"/>
      <c r="AA1108" s="84"/>
      <c r="AB1108" s="84"/>
      <c r="AC1108" s="84"/>
      <c r="AD1108" s="84"/>
    </row>
    <row r="1109" spans="1:30" ht="15" x14ac:dyDescent="0.2">
      <c r="A1109" s="10">
        <f t="shared" si="210"/>
        <v>2053</v>
      </c>
      <c r="B1109" s="10">
        <f t="shared" si="218"/>
        <v>365</v>
      </c>
      <c r="C1109" s="83">
        <f t="shared" ref="C1109:T1109" si="227">AVERAGE(C492:C503)</f>
        <v>154.75825</v>
      </c>
      <c r="D1109" s="83">
        <f t="shared" si="227"/>
        <v>281.0162499999999</v>
      </c>
      <c r="E1109" s="83">
        <f t="shared" si="227"/>
        <v>109.1005</v>
      </c>
      <c r="F1109" s="83">
        <f t="shared" si="227"/>
        <v>57.041666666666664</v>
      </c>
      <c r="G1109" s="83">
        <f t="shared" si="227"/>
        <v>40</v>
      </c>
      <c r="H1109" s="83">
        <f t="shared" si="227"/>
        <v>174.58333333333334</v>
      </c>
      <c r="I1109" s="83">
        <f t="shared" si="227"/>
        <v>0</v>
      </c>
      <c r="J1109" s="83">
        <f t="shared" si="227"/>
        <v>100</v>
      </c>
      <c r="K1109" s="83">
        <f t="shared" si="227"/>
        <v>300</v>
      </c>
      <c r="L1109" s="83">
        <f t="shared" si="227"/>
        <v>1216.5</v>
      </c>
      <c r="M1109" s="85">
        <f t="shared" si="227"/>
        <v>600</v>
      </c>
      <c r="N1109" s="83">
        <f t="shared" si="227"/>
        <v>72.5</v>
      </c>
      <c r="O1109" s="86">
        <f t="shared" si="227"/>
        <v>240</v>
      </c>
      <c r="P1109" s="86">
        <f t="shared" si="227"/>
        <v>110</v>
      </c>
      <c r="Q1109" s="86">
        <f t="shared" si="227"/>
        <v>245</v>
      </c>
      <c r="R1109" s="86">
        <f t="shared" si="227"/>
        <v>100</v>
      </c>
      <c r="S1109" s="83">
        <f t="shared" si="227"/>
        <v>695</v>
      </c>
      <c r="T1109" s="83">
        <f t="shared" si="227"/>
        <v>33.333333333333336</v>
      </c>
      <c r="U1109" s="84"/>
      <c r="V1109" s="84"/>
      <c r="W1109" s="84"/>
      <c r="X1109" s="84"/>
      <c r="Y1109" s="84"/>
      <c r="Z1109" s="84"/>
      <c r="AA1109" s="84"/>
      <c r="AB1109" s="84"/>
      <c r="AC1109" s="84"/>
      <c r="AD1109" s="84"/>
    </row>
    <row r="1110" spans="1:30" ht="15" x14ac:dyDescent="0.2">
      <c r="A1110" s="10">
        <f t="shared" si="210"/>
        <v>2054</v>
      </c>
      <c r="B1110" s="10">
        <f t="shared" si="218"/>
        <v>365</v>
      </c>
      <c r="C1110" s="83">
        <f t="shared" ref="C1110:T1110" si="228">AVERAGE(C504:C515)</f>
        <v>154.75825</v>
      </c>
      <c r="D1110" s="83">
        <f t="shared" si="228"/>
        <v>281.0162499999999</v>
      </c>
      <c r="E1110" s="83">
        <f t="shared" si="228"/>
        <v>109.1005</v>
      </c>
      <c r="F1110" s="83">
        <f t="shared" si="228"/>
        <v>57.041666666666664</v>
      </c>
      <c r="G1110" s="83">
        <f t="shared" si="228"/>
        <v>40</v>
      </c>
      <c r="H1110" s="83">
        <f t="shared" si="228"/>
        <v>174.58333333333334</v>
      </c>
      <c r="I1110" s="83">
        <f t="shared" si="228"/>
        <v>0</v>
      </c>
      <c r="J1110" s="83">
        <f t="shared" si="228"/>
        <v>100</v>
      </c>
      <c r="K1110" s="83">
        <f t="shared" si="228"/>
        <v>300</v>
      </c>
      <c r="L1110" s="83">
        <f t="shared" si="228"/>
        <v>1216.5</v>
      </c>
      <c r="M1110" s="85">
        <f t="shared" si="228"/>
        <v>600</v>
      </c>
      <c r="N1110" s="83">
        <f t="shared" si="228"/>
        <v>72.5</v>
      </c>
      <c r="O1110" s="83">
        <f t="shared" si="228"/>
        <v>240</v>
      </c>
      <c r="P1110" s="83">
        <f t="shared" si="228"/>
        <v>110</v>
      </c>
      <c r="Q1110" s="83">
        <f t="shared" si="228"/>
        <v>245</v>
      </c>
      <c r="R1110" s="83">
        <f t="shared" si="228"/>
        <v>100</v>
      </c>
      <c r="S1110" s="83">
        <f t="shared" si="228"/>
        <v>695</v>
      </c>
      <c r="T1110" s="83">
        <f t="shared" si="228"/>
        <v>33.333333333333336</v>
      </c>
      <c r="U1110" s="84"/>
      <c r="V1110" s="84"/>
      <c r="W1110" s="84"/>
      <c r="X1110" s="84"/>
      <c r="Y1110" s="84"/>
      <c r="Z1110" s="84"/>
      <c r="AA1110" s="84"/>
      <c r="AB1110" s="84"/>
      <c r="AC1110" s="84"/>
      <c r="AD1110" s="84"/>
    </row>
    <row r="1111" spans="1:30" ht="15" x14ac:dyDescent="0.2">
      <c r="A1111" s="10">
        <f t="shared" si="210"/>
        <v>2055</v>
      </c>
      <c r="B1111" s="10">
        <f t="shared" si="218"/>
        <v>365</v>
      </c>
      <c r="C1111" s="83">
        <f t="shared" ref="C1111:T1111" si="229">AVERAGE(C505:C516)</f>
        <v>154.75825</v>
      </c>
      <c r="D1111" s="83">
        <f t="shared" si="229"/>
        <v>281.0162499999999</v>
      </c>
      <c r="E1111" s="83">
        <f t="shared" si="229"/>
        <v>109.1005</v>
      </c>
      <c r="F1111" s="83">
        <f t="shared" si="229"/>
        <v>57.041666666666657</v>
      </c>
      <c r="G1111" s="83">
        <f t="shared" si="229"/>
        <v>40</v>
      </c>
      <c r="H1111" s="83">
        <f t="shared" si="229"/>
        <v>174.58333333333334</v>
      </c>
      <c r="I1111" s="83">
        <f t="shared" si="229"/>
        <v>0</v>
      </c>
      <c r="J1111" s="83">
        <f t="shared" si="229"/>
        <v>100</v>
      </c>
      <c r="K1111" s="83">
        <f t="shared" si="229"/>
        <v>300</v>
      </c>
      <c r="L1111" s="83">
        <f t="shared" si="229"/>
        <v>1216.5</v>
      </c>
      <c r="M1111" s="85">
        <f t="shared" si="229"/>
        <v>600</v>
      </c>
      <c r="N1111" s="83">
        <f t="shared" si="229"/>
        <v>72.5</v>
      </c>
      <c r="O1111" s="83">
        <f t="shared" si="229"/>
        <v>240</v>
      </c>
      <c r="P1111" s="83">
        <f t="shared" si="229"/>
        <v>110</v>
      </c>
      <c r="Q1111" s="83">
        <f t="shared" si="229"/>
        <v>245</v>
      </c>
      <c r="R1111" s="83">
        <f t="shared" si="229"/>
        <v>100</v>
      </c>
      <c r="S1111" s="83">
        <f t="shared" si="229"/>
        <v>695</v>
      </c>
      <c r="T1111" s="83">
        <f t="shared" si="229"/>
        <v>33.333333333333336</v>
      </c>
      <c r="U1111" s="84"/>
      <c r="V1111" s="84"/>
      <c r="W1111" s="84"/>
      <c r="X1111" s="84"/>
      <c r="Y1111" s="84"/>
      <c r="Z1111" s="84"/>
      <c r="AA1111" s="84"/>
      <c r="AB1111" s="84"/>
      <c r="AC1111" s="84"/>
      <c r="AD1111" s="84"/>
    </row>
    <row r="1112" spans="1:30" ht="15" x14ac:dyDescent="0.2">
      <c r="A1112" s="10">
        <f t="shared" si="210"/>
        <v>2056</v>
      </c>
      <c r="B1112" s="10">
        <f t="shared" si="218"/>
        <v>366</v>
      </c>
      <c r="C1112" s="83">
        <f t="shared" ref="C1112:T1112" si="230">AVERAGE(C506:C517)</f>
        <v>154.75824999999998</v>
      </c>
      <c r="D1112" s="83">
        <f t="shared" si="230"/>
        <v>281.0162499999999</v>
      </c>
      <c r="E1112" s="83">
        <f t="shared" si="230"/>
        <v>109.1005</v>
      </c>
      <c r="F1112" s="83">
        <f t="shared" si="230"/>
        <v>57.041666666666664</v>
      </c>
      <c r="G1112" s="83">
        <f t="shared" si="230"/>
        <v>40</v>
      </c>
      <c r="H1112" s="83">
        <f t="shared" si="230"/>
        <v>174.58333333333334</v>
      </c>
      <c r="I1112" s="83">
        <f t="shared" si="230"/>
        <v>0</v>
      </c>
      <c r="J1112" s="83">
        <f t="shared" si="230"/>
        <v>100</v>
      </c>
      <c r="K1112" s="83">
        <f t="shared" si="230"/>
        <v>300</v>
      </c>
      <c r="L1112" s="83">
        <f t="shared" si="230"/>
        <v>1216.5</v>
      </c>
      <c r="M1112" s="85">
        <f t="shared" si="230"/>
        <v>600</v>
      </c>
      <c r="N1112" s="83">
        <f t="shared" si="230"/>
        <v>72.5</v>
      </c>
      <c r="O1112" s="83">
        <f t="shared" si="230"/>
        <v>240</v>
      </c>
      <c r="P1112" s="83">
        <f t="shared" si="230"/>
        <v>110</v>
      </c>
      <c r="Q1112" s="83">
        <f t="shared" si="230"/>
        <v>245</v>
      </c>
      <c r="R1112" s="83">
        <f t="shared" si="230"/>
        <v>100</v>
      </c>
      <c r="S1112" s="83">
        <f t="shared" si="230"/>
        <v>695</v>
      </c>
      <c r="T1112" s="83">
        <f t="shared" si="230"/>
        <v>33.333333333333336</v>
      </c>
      <c r="U1112" s="84"/>
      <c r="V1112" s="84"/>
      <c r="W1112" s="84"/>
      <c r="X1112" s="84"/>
      <c r="Y1112" s="84"/>
      <c r="Z1112" s="84"/>
      <c r="AA1112" s="84"/>
      <c r="AB1112" s="84"/>
      <c r="AC1112" s="84"/>
      <c r="AD1112" s="84"/>
    </row>
    <row r="1113" spans="1:30" ht="15" x14ac:dyDescent="0.2">
      <c r="A1113" s="10">
        <f t="shared" si="210"/>
        <v>2057</v>
      </c>
      <c r="B1113" s="10">
        <f t="shared" si="218"/>
        <v>365</v>
      </c>
      <c r="C1113" s="83">
        <f t="shared" ref="C1113:T1113" si="231">AVERAGE(C507:C518)</f>
        <v>154.75825</v>
      </c>
      <c r="D1113" s="83">
        <f t="shared" si="231"/>
        <v>281.0162499999999</v>
      </c>
      <c r="E1113" s="83">
        <f t="shared" si="231"/>
        <v>109.1005</v>
      </c>
      <c r="F1113" s="83">
        <f t="shared" si="231"/>
        <v>57.041666666666664</v>
      </c>
      <c r="G1113" s="83">
        <f t="shared" si="231"/>
        <v>40</v>
      </c>
      <c r="H1113" s="83">
        <f t="shared" si="231"/>
        <v>174.58333333333334</v>
      </c>
      <c r="I1113" s="83">
        <f t="shared" si="231"/>
        <v>0</v>
      </c>
      <c r="J1113" s="83">
        <f t="shared" si="231"/>
        <v>100</v>
      </c>
      <c r="K1113" s="83">
        <f t="shared" si="231"/>
        <v>300</v>
      </c>
      <c r="L1113" s="83">
        <f t="shared" si="231"/>
        <v>1216.5</v>
      </c>
      <c r="M1113" s="85">
        <f t="shared" si="231"/>
        <v>600</v>
      </c>
      <c r="N1113" s="83">
        <f t="shared" si="231"/>
        <v>72.5</v>
      </c>
      <c r="O1113" s="83">
        <f t="shared" si="231"/>
        <v>240</v>
      </c>
      <c r="P1113" s="83">
        <f t="shared" si="231"/>
        <v>110</v>
      </c>
      <c r="Q1113" s="83">
        <f t="shared" si="231"/>
        <v>245</v>
      </c>
      <c r="R1113" s="83">
        <f t="shared" si="231"/>
        <v>100</v>
      </c>
      <c r="S1113" s="83">
        <f t="shared" si="231"/>
        <v>695</v>
      </c>
      <c r="T1113" s="83">
        <f t="shared" si="231"/>
        <v>33.333333333333336</v>
      </c>
      <c r="U1113" s="84"/>
      <c r="V1113" s="84"/>
      <c r="W1113" s="84"/>
      <c r="X1113" s="84"/>
      <c r="Y1113" s="84"/>
      <c r="Z1113" s="84"/>
      <c r="AA1113" s="84"/>
      <c r="AB1113" s="84"/>
      <c r="AC1113" s="84"/>
      <c r="AD1113" s="84"/>
    </row>
    <row r="1114" spans="1:30" ht="15" x14ac:dyDescent="0.2">
      <c r="A1114" s="10">
        <f t="shared" si="210"/>
        <v>2058</v>
      </c>
      <c r="B1114" s="10">
        <f t="shared" si="218"/>
        <v>365</v>
      </c>
      <c r="C1114" s="83">
        <f t="shared" ref="C1114:T1114" si="232">AVERAGE(C508:C519)</f>
        <v>154.75824999999998</v>
      </c>
      <c r="D1114" s="83">
        <f t="shared" si="232"/>
        <v>281.01624999999996</v>
      </c>
      <c r="E1114" s="83">
        <f t="shared" si="232"/>
        <v>109.10050000000001</v>
      </c>
      <c r="F1114" s="83">
        <f t="shared" si="232"/>
        <v>57.041666666666664</v>
      </c>
      <c r="G1114" s="83">
        <f t="shared" si="232"/>
        <v>40</v>
      </c>
      <c r="H1114" s="83">
        <f t="shared" si="232"/>
        <v>174.58333333333334</v>
      </c>
      <c r="I1114" s="83">
        <f t="shared" si="232"/>
        <v>0</v>
      </c>
      <c r="J1114" s="83">
        <f t="shared" si="232"/>
        <v>100</v>
      </c>
      <c r="K1114" s="83">
        <f t="shared" si="232"/>
        <v>300</v>
      </c>
      <c r="L1114" s="83">
        <f t="shared" si="232"/>
        <v>1216.5</v>
      </c>
      <c r="M1114" s="85">
        <f t="shared" si="232"/>
        <v>600</v>
      </c>
      <c r="N1114" s="83">
        <f t="shared" si="232"/>
        <v>72.5</v>
      </c>
      <c r="O1114" s="83">
        <f t="shared" si="232"/>
        <v>240</v>
      </c>
      <c r="P1114" s="83">
        <f t="shared" si="232"/>
        <v>110</v>
      </c>
      <c r="Q1114" s="83">
        <f t="shared" si="232"/>
        <v>245</v>
      </c>
      <c r="R1114" s="83">
        <f t="shared" si="232"/>
        <v>100</v>
      </c>
      <c r="S1114" s="83">
        <f t="shared" si="232"/>
        <v>695</v>
      </c>
      <c r="T1114" s="83">
        <f t="shared" si="232"/>
        <v>33.333333333333336</v>
      </c>
      <c r="U1114" s="84"/>
      <c r="V1114" s="84"/>
      <c r="W1114" s="84"/>
      <c r="X1114" s="84"/>
      <c r="Y1114" s="84"/>
      <c r="Z1114" s="84"/>
      <c r="AA1114" s="84"/>
      <c r="AB1114" s="84"/>
      <c r="AC1114" s="84"/>
      <c r="AD1114" s="84"/>
    </row>
    <row r="1115" spans="1:30" ht="15" x14ac:dyDescent="0.2">
      <c r="A1115" s="10">
        <f t="shared" si="210"/>
        <v>2059</v>
      </c>
      <c r="B1115" s="10">
        <f t="shared" si="218"/>
        <v>365</v>
      </c>
      <c r="C1115" s="83">
        <f t="shared" ref="C1115:T1115" si="233">AVERAGE(C509:C520)</f>
        <v>154.75824999999998</v>
      </c>
      <c r="D1115" s="83">
        <f t="shared" si="233"/>
        <v>281.01624999999996</v>
      </c>
      <c r="E1115" s="83">
        <f t="shared" si="233"/>
        <v>109.10050000000001</v>
      </c>
      <c r="F1115" s="83">
        <f t="shared" si="233"/>
        <v>57.041666666666664</v>
      </c>
      <c r="G1115" s="83">
        <f t="shared" si="233"/>
        <v>40</v>
      </c>
      <c r="H1115" s="83">
        <f t="shared" si="233"/>
        <v>174.58333333333334</v>
      </c>
      <c r="I1115" s="83">
        <f t="shared" si="233"/>
        <v>0</v>
      </c>
      <c r="J1115" s="83">
        <f t="shared" si="233"/>
        <v>100</v>
      </c>
      <c r="K1115" s="83">
        <f t="shared" si="233"/>
        <v>300</v>
      </c>
      <c r="L1115" s="83">
        <f t="shared" si="233"/>
        <v>1216.5</v>
      </c>
      <c r="M1115" s="85">
        <f t="shared" si="233"/>
        <v>600</v>
      </c>
      <c r="N1115" s="83">
        <f t="shared" si="233"/>
        <v>72.5</v>
      </c>
      <c r="O1115" s="83">
        <f t="shared" si="233"/>
        <v>240</v>
      </c>
      <c r="P1115" s="83">
        <f t="shared" si="233"/>
        <v>110</v>
      </c>
      <c r="Q1115" s="83">
        <f t="shared" si="233"/>
        <v>245</v>
      </c>
      <c r="R1115" s="83">
        <f t="shared" si="233"/>
        <v>100</v>
      </c>
      <c r="S1115" s="83">
        <f t="shared" si="233"/>
        <v>695</v>
      </c>
      <c r="T1115" s="83">
        <f t="shared" si="233"/>
        <v>33.333333333333336</v>
      </c>
      <c r="U1115" s="84"/>
      <c r="V1115" s="84"/>
      <c r="W1115" s="84"/>
      <c r="X1115" s="84"/>
      <c r="Y1115" s="84"/>
      <c r="Z1115" s="84"/>
      <c r="AA1115" s="84"/>
      <c r="AB1115" s="84"/>
      <c r="AC1115" s="84"/>
      <c r="AD1115" s="84"/>
    </row>
    <row r="1116" spans="1:30" ht="15" x14ac:dyDescent="0.2">
      <c r="A1116" s="10">
        <f t="shared" si="210"/>
        <v>2060</v>
      </c>
      <c r="B1116" s="10">
        <f t="shared" si="218"/>
        <v>366</v>
      </c>
      <c r="C1116" s="83">
        <f t="shared" ref="C1116:T1116" si="234">AVERAGE(C510:C521)</f>
        <v>154.75824999999998</v>
      </c>
      <c r="D1116" s="83">
        <f t="shared" si="234"/>
        <v>281.01624999999996</v>
      </c>
      <c r="E1116" s="83">
        <f t="shared" si="234"/>
        <v>109.10050000000001</v>
      </c>
      <c r="F1116" s="83">
        <f t="shared" si="234"/>
        <v>57.041666666666664</v>
      </c>
      <c r="G1116" s="83">
        <f t="shared" si="234"/>
        <v>40</v>
      </c>
      <c r="H1116" s="83">
        <f t="shared" si="234"/>
        <v>174.58333333333334</v>
      </c>
      <c r="I1116" s="83">
        <f t="shared" si="234"/>
        <v>0</v>
      </c>
      <c r="J1116" s="83">
        <f t="shared" si="234"/>
        <v>100</v>
      </c>
      <c r="K1116" s="83">
        <f t="shared" si="234"/>
        <v>300</v>
      </c>
      <c r="L1116" s="83">
        <f t="shared" si="234"/>
        <v>1216.5</v>
      </c>
      <c r="M1116" s="85">
        <f t="shared" si="234"/>
        <v>600</v>
      </c>
      <c r="N1116" s="83">
        <f t="shared" si="234"/>
        <v>72.5</v>
      </c>
      <c r="O1116" s="83">
        <f t="shared" si="234"/>
        <v>240</v>
      </c>
      <c r="P1116" s="83">
        <f t="shared" si="234"/>
        <v>110</v>
      </c>
      <c r="Q1116" s="83">
        <f t="shared" si="234"/>
        <v>245</v>
      </c>
      <c r="R1116" s="83">
        <f t="shared" si="234"/>
        <v>100</v>
      </c>
      <c r="S1116" s="83">
        <f t="shared" si="234"/>
        <v>695</v>
      </c>
      <c r="T1116" s="83">
        <f t="shared" si="234"/>
        <v>33.333333333333336</v>
      </c>
      <c r="U1116" s="84"/>
      <c r="V1116" s="84"/>
      <c r="W1116" s="84"/>
      <c r="X1116" s="84"/>
      <c r="Y1116" s="84"/>
      <c r="Z1116" s="84"/>
      <c r="AA1116" s="84"/>
      <c r="AB1116" s="84"/>
      <c r="AC1116" s="84"/>
      <c r="AD1116" s="84"/>
    </row>
    <row r="1117" spans="1:30" ht="15" x14ac:dyDescent="0.2">
      <c r="A1117" s="10">
        <f t="shared" si="210"/>
        <v>2061</v>
      </c>
      <c r="B1117" s="10">
        <f t="shared" si="218"/>
        <v>365</v>
      </c>
      <c r="C1117" s="83">
        <f t="shared" ref="C1117:T1117" si="235">AVERAGE(C511:C522)</f>
        <v>154.75825</v>
      </c>
      <c r="D1117" s="83">
        <f t="shared" si="235"/>
        <v>281.01624999999996</v>
      </c>
      <c r="E1117" s="83">
        <f t="shared" si="235"/>
        <v>109.10050000000001</v>
      </c>
      <c r="F1117" s="83">
        <f t="shared" si="235"/>
        <v>57.04166666666665</v>
      </c>
      <c r="G1117" s="83">
        <f t="shared" si="235"/>
        <v>40</v>
      </c>
      <c r="H1117" s="83">
        <f t="shared" si="235"/>
        <v>174.58333333333334</v>
      </c>
      <c r="I1117" s="83">
        <f t="shared" si="235"/>
        <v>0</v>
      </c>
      <c r="J1117" s="83">
        <f t="shared" si="235"/>
        <v>100</v>
      </c>
      <c r="K1117" s="83">
        <f t="shared" si="235"/>
        <v>300</v>
      </c>
      <c r="L1117" s="83">
        <f t="shared" si="235"/>
        <v>1216.5</v>
      </c>
      <c r="M1117" s="85">
        <f t="shared" si="235"/>
        <v>600</v>
      </c>
      <c r="N1117" s="83">
        <f t="shared" si="235"/>
        <v>72.5</v>
      </c>
      <c r="O1117" s="83">
        <f t="shared" si="235"/>
        <v>240</v>
      </c>
      <c r="P1117" s="83">
        <f t="shared" si="235"/>
        <v>110</v>
      </c>
      <c r="Q1117" s="83">
        <f t="shared" si="235"/>
        <v>245</v>
      </c>
      <c r="R1117" s="83">
        <f t="shared" si="235"/>
        <v>100</v>
      </c>
      <c r="S1117" s="83">
        <f t="shared" si="235"/>
        <v>695</v>
      </c>
      <c r="T1117" s="83">
        <f t="shared" si="235"/>
        <v>33.333333333333336</v>
      </c>
      <c r="U1117" s="84"/>
      <c r="V1117" s="84"/>
      <c r="W1117" s="84"/>
      <c r="X1117" s="84"/>
      <c r="Y1117" s="84"/>
      <c r="Z1117" s="84"/>
      <c r="AA1117" s="84"/>
      <c r="AB1117" s="84"/>
      <c r="AC1117" s="84"/>
      <c r="AD1117" s="84"/>
    </row>
    <row r="1118" spans="1:30" ht="15" x14ac:dyDescent="0.2">
      <c r="A1118" s="10">
        <f t="shared" si="210"/>
        <v>2062</v>
      </c>
      <c r="B1118" s="10">
        <f t="shared" si="218"/>
        <v>365</v>
      </c>
      <c r="C1118" s="83">
        <f t="shared" ref="C1118:L1127" ca="1" si="236">AVERAGE(OFFSET(C$600,($A1118-$A$1118)*12,0,12,1))</f>
        <v>154.75825</v>
      </c>
      <c r="D1118" s="83">
        <f t="shared" ca="1" si="236"/>
        <v>281.0162499999999</v>
      </c>
      <c r="E1118" s="83">
        <f t="shared" ca="1" si="236"/>
        <v>109.1005</v>
      </c>
      <c r="F1118" s="83">
        <f t="shared" ca="1" si="236"/>
        <v>57.041666666666664</v>
      </c>
      <c r="G1118" s="83">
        <f t="shared" ca="1" si="236"/>
        <v>40</v>
      </c>
      <c r="H1118" s="83">
        <f t="shared" ca="1" si="236"/>
        <v>174.58333333333334</v>
      </c>
      <c r="I1118" s="83">
        <f t="shared" ca="1" si="236"/>
        <v>0</v>
      </c>
      <c r="J1118" s="83">
        <f t="shared" ca="1" si="236"/>
        <v>100</v>
      </c>
      <c r="K1118" s="83">
        <f t="shared" ca="1" si="236"/>
        <v>300</v>
      </c>
      <c r="L1118" s="83">
        <f t="shared" ca="1" si="236"/>
        <v>1216.5</v>
      </c>
      <c r="M1118" s="83">
        <f t="shared" ref="M1118:T1127" ca="1" si="237">AVERAGE(OFFSET(M$600,($A1118-$A$1118)*12,0,12,1))</f>
        <v>600</v>
      </c>
      <c r="N1118" s="83">
        <f t="shared" ca="1" si="237"/>
        <v>72.5</v>
      </c>
      <c r="O1118" s="83">
        <f t="shared" ca="1" si="237"/>
        <v>240</v>
      </c>
      <c r="P1118" s="83">
        <f t="shared" ca="1" si="237"/>
        <v>40</v>
      </c>
      <c r="Q1118" s="83">
        <f t="shared" ca="1" si="237"/>
        <v>315</v>
      </c>
      <c r="R1118" s="83">
        <f t="shared" ca="1" si="237"/>
        <v>100</v>
      </c>
      <c r="S1118" s="83">
        <f t="shared" ca="1" si="237"/>
        <v>695</v>
      </c>
      <c r="T1118" s="83">
        <f t="shared" ca="1" si="237"/>
        <v>33.333333333333336</v>
      </c>
      <c r="U1118" s="84"/>
      <c r="V1118" s="84"/>
      <c r="W1118" s="84"/>
      <c r="X1118" s="84"/>
      <c r="Y1118" s="84"/>
      <c r="Z1118" s="84"/>
      <c r="AA1118" s="84"/>
      <c r="AB1118" s="84"/>
      <c r="AC1118" s="84"/>
      <c r="AD1118" s="84"/>
    </row>
    <row r="1119" spans="1:30" ht="15" x14ac:dyDescent="0.2">
      <c r="A1119" s="10">
        <f t="shared" si="210"/>
        <v>2063</v>
      </c>
      <c r="B1119" s="10">
        <f t="shared" si="218"/>
        <v>365</v>
      </c>
      <c r="C1119" s="83">
        <f t="shared" ca="1" si="236"/>
        <v>154.75825</v>
      </c>
      <c r="D1119" s="83">
        <f t="shared" ca="1" si="236"/>
        <v>281.0162499999999</v>
      </c>
      <c r="E1119" s="83">
        <f t="shared" ca="1" si="236"/>
        <v>109.1005</v>
      </c>
      <c r="F1119" s="83">
        <f t="shared" ca="1" si="236"/>
        <v>57.041666666666664</v>
      </c>
      <c r="G1119" s="83">
        <f t="shared" ca="1" si="236"/>
        <v>40</v>
      </c>
      <c r="H1119" s="83">
        <f t="shared" ca="1" si="236"/>
        <v>174.58333333333334</v>
      </c>
      <c r="I1119" s="83">
        <f t="shared" ca="1" si="236"/>
        <v>0</v>
      </c>
      <c r="J1119" s="83">
        <f t="shared" ca="1" si="236"/>
        <v>100</v>
      </c>
      <c r="K1119" s="83">
        <f t="shared" ca="1" si="236"/>
        <v>300</v>
      </c>
      <c r="L1119" s="83">
        <f t="shared" ca="1" si="236"/>
        <v>1216.5</v>
      </c>
      <c r="M1119" s="83">
        <f t="shared" ca="1" si="237"/>
        <v>600</v>
      </c>
      <c r="N1119" s="83">
        <f t="shared" ca="1" si="237"/>
        <v>72.5</v>
      </c>
      <c r="O1119" s="83">
        <f t="shared" ca="1" si="237"/>
        <v>240</v>
      </c>
      <c r="P1119" s="83">
        <f t="shared" ca="1" si="237"/>
        <v>40</v>
      </c>
      <c r="Q1119" s="83">
        <f t="shared" ca="1" si="237"/>
        <v>315</v>
      </c>
      <c r="R1119" s="83">
        <f t="shared" ca="1" si="237"/>
        <v>100</v>
      </c>
      <c r="S1119" s="83">
        <f t="shared" ca="1" si="237"/>
        <v>695</v>
      </c>
      <c r="T1119" s="83">
        <f t="shared" ca="1" si="237"/>
        <v>33.333333333333336</v>
      </c>
      <c r="U1119" s="84"/>
      <c r="V1119" s="84"/>
      <c r="W1119" s="84"/>
      <c r="X1119" s="84"/>
      <c r="Y1119" s="84"/>
      <c r="Z1119" s="84"/>
      <c r="AA1119" s="84"/>
      <c r="AB1119" s="84"/>
      <c r="AC1119" s="84"/>
      <c r="AD1119" s="84"/>
    </row>
    <row r="1120" spans="1:30" ht="15" x14ac:dyDescent="0.2">
      <c r="A1120" s="10">
        <f t="shared" si="210"/>
        <v>2064</v>
      </c>
      <c r="B1120" s="10">
        <f t="shared" si="218"/>
        <v>366</v>
      </c>
      <c r="C1120" s="83">
        <f t="shared" ca="1" si="236"/>
        <v>154.75825</v>
      </c>
      <c r="D1120" s="83">
        <f t="shared" ca="1" si="236"/>
        <v>281.0162499999999</v>
      </c>
      <c r="E1120" s="83">
        <f t="shared" ca="1" si="236"/>
        <v>109.1005</v>
      </c>
      <c r="F1120" s="83">
        <f t="shared" ca="1" si="236"/>
        <v>57.041666666666664</v>
      </c>
      <c r="G1120" s="83">
        <f t="shared" ca="1" si="236"/>
        <v>40</v>
      </c>
      <c r="H1120" s="83">
        <f t="shared" ca="1" si="236"/>
        <v>174.58333333333334</v>
      </c>
      <c r="I1120" s="83">
        <f t="shared" ca="1" si="236"/>
        <v>0</v>
      </c>
      <c r="J1120" s="83">
        <f t="shared" ca="1" si="236"/>
        <v>100</v>
      </c>
      <c r="K1120" s="83">
        <f t="shared" ca="1" si="236"/>
        <v>300</v>
      </c>
      <c r="L1120" s="83">
        <f t="shared" ca="1" si="236"/>
        <v>1216.5</v>
      </c>
      <c r="M1120" s="83">
        <f t="shared" ca="1" si="237"/>
        <v>600</v>
      </c>
      <c r="N1120" s="83">
        <f t="shared" ca="1" si="237"/>
        <v>72.5</v>
      </c>
      <c r="O1120" s="83">
        <f t="shared" ca="1" si="237"/>
        <v>240</v>
      </c>
      <c r="P1120" s="83">
        <f t="shared" ca="1" si="237"/>
        <v>40</v>
      </c>
      <c r="Q1120" s="83">
        <f t="shared" ca="1" si="237"/>
        <v>315</v>
      </c>
      <c r="R1120" s="83">
        <f t="shared" ca="1" si="237"/>
        <v>100</v>
      </c>
      <c r="S1120" s="83">
        <f t="shared" ca="1" si="237"/>
        <v>695</v>
      </c>
      <c r="T1120" s="83">
        <f t="shared" ca="1" si="237"/>
        <v>33.333333333333336</v>
      </c>
      <c r="U1120" s="84"/>
      <c r="V1120" s="84"/>
      <c r="W1120" s="84"/>
      <c r="X1120" s="84"/>
      <c r="Y1120" s="84"/>
      <c r="Z1120" s="84"/>
      <c r="AA1120" s="84"/>
      <c r="AB1120" s="84"/>
      <c r="AC1120" s="84"/>
      <c r="AD1120" s="84"/>
    </row>
    <row r="1121" spans="1:30" ht="15" x14ac:dyDescent="0.2">
      <c r="A1121" s="10">
        <f t="shared" si="210"/>
        <v>2065</v>
      </c>
      <c r="B1121" s="10">
        <f t="shared" si="218"/>
        <v>365</v>
      </c>
      <c r="C1121" s="83">
        <f t="shared" ca="1" si="236"/>
        <v>154.75825</v>
      </c>
      <c r="D1121" s="83">
        <f t="shared" ca="1" si="236"/>
        <v>281.0162499999999</v>
      </c>
      <c r="E1121" s="83">
        <f t="shared" ca="1" si="236"/>
        <v>109.1005</v>
      </c>
      <c r="F1121" s="83">
        <f t="shared" ca="1" si="236"/>
        <v>57.041666666666664</v>
      </c>
      <c r="G1121" s="83">
        <f t="shared" ca="1" si="236"/>
        <v>40</v>
      </c>
      <c r="H1121" s="83">
        <f t="shared" ca="1" si="236"/>
        <v>174.58333333333334</v>
      </c>
      <c r="I1121" s="83">
        <f t="shared" ca="1" si="236"/>
        <v>0</v>
      </c>
      <c r="J1121" s="83">
        <f t="shared" ca="1" si="236"/>
        <v>100</v>
      </c>
      <c r="K1121" s="83">
        <f t="shared" ca="1" si="236"/>
        <v>300</v>
      </c>
      <c r="L1121" s="83">
        <f t="shared" ca="1" si="236"/>
        <v>1216.5</v>
      </c>
      <c r="M1121" s="83">
        <f t="shared" ca="1" si="237"/>
        <v>600</v>
      </c>
      <c r="N1121" s="83">
        <f t="shared" ca="1" si="237"/>
        <v>72.5</v>
      </c>
      <c r="O1121" s="83">
        <f t="shared" ca="1" si="237"/>
        <v>240</v>
      </c>
      <c r="P1121" s="83">
        <f t="shared" ca="1" si="237"/>
        <v>40</v>
      </c>
      <c r="Q1121" s="83">
        <f t="shared" ca="1" si="237"/>
        <v>315</v>
      </c>
      <c r="R1121" s="83">
        <f t="shared" ca="1" si="237"/>
        <v>100</v>
      </c>
      <c r="S1121" s="83">
        <f t="shared" ca="1" si="237"/>
        <v>695</v>
      </c>
      <c r="T1121" s="83">
        <f t="shared" ca="1" si="237"/>
        <v>33.333333333333336</v>
      </c>
      <c r="U1121" s="84"/>
      <c r="V1121" s="84"/>
      <c r="W1121" s="84"/>
      <c r="X1121" s="84"/>
      <c r="Y1121" s="84"/>
      <c r="Z1121" s="84"/>
      <c r="AA1121" s="84"/>
      <c r="AB1121" s="84"/>
      <c r="AC1121" s="84"/>
      <c r="AD1121" s="84"/>
    </row>
    <row r="1122" spans="1:30" ht="15" x14ac:dyDescent="0.2">
      <c r="A1122" s="10">
        <f t="shared" si="210"/>
        <v>2066</v>
      </c>
      <c r="B1122" s="10">
        <f t="shared" si="218"/>
        <v>365</v>
      </c>
      <c r="C1122" s="83">
        <f t="shared" ca="1" si="236"/>
        <v>154.75825</v>
      </c>
      <c r="D1122" s="83">
        <f t="shared" ca="1" si="236"/>
        <v>281.0162499999999</v>
      </c>
      <c r="E1122" s="83">
        <f t="shared" ca="1" si="236"/>
        <v>109.1005</v>
      </c>
      <c r="F1122" s="83">
        <f t="shared" ca="1" si="236"/>
        <v>57.041666666666664</v>
      </c>
      <c r="G1122" s="83">
        <f t="shared" ca="1" si="236"/>
        <v>40</v>
      </c>
      <c r="H1122" s="83">
        <f t="shared" ca="1" si="236"/>
        <v>174.58333333333334</v>
      </c>
      <c r="I1122" s="83">
        <f t="shared" ca="1" si="236"/>
        <v>0</v>
      </c>
      <c r="J1122" s="83">
        <f t="shared" ca="1" si="236"/>
        <v>100</v>
      </c>
      <c r="K1122" s="83">
        <f t="shared" ca="1" si="236"/>
        <v>300</v>
      </c>
      <c r="L1122" s="83">
        <f t="shared" ca="1" si="236"/>
        <v>1216.5</v>
      </c>
      <c r="M1122" s="83">
        <f t="shared" ca="1" si="237"/>
        <v>600</v>
      </c>
      <c r="N1122" s="83">
        <f t="shared" ca="1" si="237"/>
        <v>72.5</v>
      </c>
      <c r="O1122" s="83">
        <f t="shared" ca="1" si="237"/>
        <v>240</v>
      </c>
      <c r="P1122" s="83">
        <f t="shared" ca="1" si="237"/>
        <v>40</v>
      </c>
      <c r="Q1122" s="83">
        <f t="shared" ca="1" si="237"/>
        <v>315</v>
      </c>
      <c r="R1122" s="83">
        <f t="shared" ca="1" si="237"/>
        <v>100</v>
      </c>
      <c r="S1122" s="83">
        <f t="shared" ca="1" si="237"/>
        <v>695</v>
      </c>
      <c r="T1122" s="83">
        <f t="shared" ca="1" si="237"/>
        <v>33.333333333333336</v>
      </c>
      <c r="U1122" s="84"/>
      <c r="V1122" s="84"/>
      <c r="W1122" s="84"/>
      <c r="X1122" s="84"/>
      <c r="Y1122" s="84"/>
      <c r="Z1122" s="84"/>
      <c r="AA1122" s="84"/>
      <c r="AB1122" s="84"/>
      <c r="AC1122" s="84"/>
      <c r="AD1122" s="84"/>
    </row>
    <row r="1123" spans="1:30" ht="15" x14ac:dyDescent="0.2">
      <c r="A1123" s="10">
        <f t="shared" si="210"/>
        <v>2067</v>
      </c>
      <c r="B1123" s="10">
        <f t="shared" si="218"/>
        <v>365</v>
      </c>
      <c r="C1123" s="83">
        <f t="shared" ca="1" si="236"/>
        <v>154.75825</v>
      </c>
      <c r="D1123" s="83">
        <f t="shared" ca="1" si="236"/>
        <v>281.0162499999999</v>
      </c>
      <c r="E1123" s="83">
        <f t="shared" ca="1" si="236"/>
        <v>109.1005</v>
      </c>
      <c r="F1123" s="83">
        <f t="shared" ca="1" si="236"/>
        <v>57.041666666666664</v>
      </c>
      <c r="G1123" s="83">
        <f t="shared" ca="1" si="236"/>
        <v>40</v>
      </c>
      <c r="H1123" s="83">
        <f t="shared" ca="1" si="236"/>
        <v>174.58333333333334</v>
      </c>
      <c r="I1123" s="83">
        <f t="shared" ca="1" si="236"/>
        <v>0</v>
      </c>
      <c r="J1123" s="83">
        <f t="shared" ca="1" si="236"/>
        <v>100</v>
      </c>
      <c r="K1123" s="83">
        <f t="shared" ca="1" si="236"/>
        <v>300</v>
      </c>
      <c r="L1123" s="83">
        <f t="shared" ca="1" si="236"/>
        <v>1216.5</v>
      </c>
      <c r="M1123" s="83">
        <f t="shared" ca="1" si="237"/>
        <v>600</v>
      </c>
      <c r="N1123" s="83">
        <f t="shared" ca="1" si="237"/>
        <v>72.5</v>
      </c>
      <c r="O1123" s="83">
        <f t="shared" ca="1" si="237"/>
        <v>240</v>
      </c>
      <c r="P1123" s="83">
        <f t="shared" ca="1" si="237"/>
        <v>40</v>
      </c>
      <c r="Q1123" s="83">
        <f t="shared" ca="1" si="237"/>
        <v>315</v>
      </c>
      <c r="R1123" s="83">
        <f t="shared" ca="1" si="237"/>
        <v>100</v>
      </c>
      <c r="S1123" s="83">
        <f t="shared" ca="1" si="237"/>
        <v>695</v>
      </c>
      <c r="T1123" s="83">
        <f t="shared" ca="1" si="237"/>
        <v>33.333333333333336</v>
      </c>
      <c r="U1123" s="84"/>
      <c r="V1123" s="84"/>
      <c r="W1123" s="84"/>
      <c r="X1123" s="84"/>
      <c r="Y1123" s="84"/>
      <c r="Z1123" s="84"/>
      <c r="AA1123" s="84"/>
      <c r="AB1123" s="84"/>
      <c r="AC1123" s="84"/>
      <c r="AD1123" s="84"/>
    </row>
    <row r="1124" spans="1:30" ht="15" x14ac:dyDescent="0.2">
      <c r="A1124" s="10">
        <f t="shared" si="210"/>
        <v>2068</v>
      </c>
      <c r="B1124" s="10">
        <f t="shared" si="218"/>
        <v>366</v>
      </c>
      <c r="C1124" s="83">
        <f t="shared" ca="1" si="236"/>
        <v>154.75825</v>
      </c>
      <c r="D1124" s="83">
        <f t="shared" ca="1" si="236"/>
        <v>281.0162499999999</v>
      </c>
      <c r="E1124" s="83">
        <f t="shared" ca="1" si="236"/>
        <v>109.1005</v>
      </c>
      <c r="F1124" s="83">
        <f t="shared" ca="1" si="236"/>
        <v>57.041666666666664</v>
      </c>
      <c r="G1124" s="83">
        <f t="shared" ca="1" si="236"/>
        <v>40</v>
      </c>
      <c r="H1124" s="83">
        <f t="shared" ca="1" si="236"/>
        <v>174.58333333333334</v>
      </c>
      <c r="I1124" s="83">
        <f t="shared" ca="1" si="236"/>
        <v>0</v>
      </c>
      <c r="J1124" s="83">
        <f t="shared" ca="1" si="236"/>
        <v>100</v>
      </c>
      <c r="K1124" s="83">
        <f t="shared" ca="1" si="236"/>
        <v>300</v>
      </c>
      <c r="L1124" s="83">
        <f t="shared" ca="1" si="236"/>
        <v>1216.5</v>
      </c>
      <c r="M1124" s="83">
        <f t="shared" ca="1" si="237"/>
        <v>600</v>
      </c>
      <c r="N1124" s="83">
        <f t="shared" ca="1" si="237"/>
        <v>72.5</v>
      </c>
      <c r="O1124" s="83">
        <f t="shared" ca="1" si="237"/>
        <v>240</v>
      </c>
      <c r="P1124" s="83">
        <f t="shared" ca="1" si="237"/>
        <v>40</v>
      </c>
      <c r="Q1124" s="83">
        <f t="shared" ca="1" si="237"/>
        <v>315</v>
      </c>
      <c r="R1124" s="83">
        <f t="shared" ca="1" si="237"/>
        <v>100</v>
      </c>
      <c r="S1124" s="83">
        <f t="shared" ca="1" si="237"/>
        <v>695</v>
      </c>
      <c r="T1124" s="83">
        <f t="shared" ca="1" si="237"/>
        <v>33.333333333333336</v>
      </c>
      <c r="U1124" s="84"/>
      <c r="V1124" s="84"/>
      <c r="W1124" s="84"/>
      <c r="X1124" s="84"/>
      <c r="Y1124" s="84"/>
      <c r="Z1124" s="84"/>
      <c r="AA1124" s="84"/>
      <c r="AB1124" s="84"/>
      <c r="AC1124" s="84"/>
      <c r="AD1124" s="84"/>
    </row>
    <row r="1125" spans="1:30" ht="15" x14ac:dyDescent="0.2">
      <c r="A1125" s="10">
        <f t="shared" si="210"/>
        <v>2069</v>
      </c>
      <c r="B1125" s="10">
        <f t="shared" si="218"/>
        <v>365</v>
      </c>
      <c r="C1125" s="83">
        <f t="shared" ca="1" si="236"/>
        <v>154.75825</v>
      </c>
      <c r="D1125" s="83">
        <f t="shared" ca="1" si="236"/>
        <v>281.0162499999999</v>
      </c>
      <c r="E1125" s="83">
        <f t="shared" ca="1" si="236"/>
        <v>109.1005</v>
      </c>
      <c r="F1125" s="83">
        <f t="shared" ca="1" si="236"/>
        <v>57.041666666666664</v>
      </c>
      <c r="G1125" s="83">
        <f t="shared" ca="1" si="236"/>
        <v>40</v>
      </c>
      <c r="H1125" s="83">
        <f t="shared" ca="1" si="236"/>
        <v>174.58333333333334</v>
      </c>
      <c r="I1125" s="83">
        <f t="shared" ca="1" si="236"/>
        <v>0</v>
      </c>
      <c r="J1125" s="83">
        <f t="shared" ca="1" si="236"/>
        <v>100</v>
      </c>
      <c r="K1125" s="83">
        <f t="shared" ca="1" si="236"/>
        <v>300</v>
      </c>
      <c r="L1125" s="83">
        <f t="shared" ca="1" si="236"/>
        <v>1216.5</v>
      </c>
      <c r="M1125" s="83">
        <f t="shared" ca="1" si="237"/>
        <v>600</v>
      </c>
      <c r="N1125" s="83">
        <f t="shared" ca="1" si="237"/>
        <v>72.5</v>
      </c>
      <c r="O1125" s="83">
        <f t="shared" ca="1" si="237"/>
        <v>240</v>
      </c>
      <c r="P1125" s="83">
        <f t="shared" ca="1" si="237"/>
        <v>40</v>
      </c>
      <c r="Q1125" s="83">
        <f t="shared" ca="1" si="237"/>
        <v>315</v>
      </c>
      <c r="R1125" s="83">
        <f t="shared" ca="1" si="237"/>
        <v>100</v>
      </c>
      <c r="S1125" s="83">
        <f t="shared" ca="1" si="237"/>
        <v>695</v>
      </c>
      <c r="T1125" s="83">
        <f t="shared" ca="1" si="237"/>
        <v>33.333333333333336</v>
      </c>
      <c r="U1125" s="84"/>
      <c r="V1125" s="84"/>
      <c r="W1125" s="84"/>
      <c r="X1125" s="84"/>
      <c r="Y1125" s="84"/>
      <c r="Z1125" s="84"/>
      <c r="AA1125" s="84"/>
      <c r="AB1125" s="84"/>
      <c r="AC1125" s="84"/>
      <c r="AD1125" s="84"/>
    </row>
    <row r="1126" spans="1:30" ht="15" x14ac:dyDescent="0.2">
      <c r="A1126" s="10">
        <f t="shared" ref="A1126:A1156" si="238">A1125+1</f>
        <v>2070</v>
      </c>
      <c r="B1126" s="10">
        <f t="shared" si="218"/>
        <v>365</v>
      </c>
      <c r="C1126" s="83">
        <f t="shared" ca="1" si="236"/>
        <v>154.75825</v>
      </c>
      <c r="D1126" s="83">
        <f t="shared" ca="1" si="236"/>
        <v>281.0162499999999</v>
      </c>
      <c r="E1126" s="83">
        <f t="shared" ca="1" si="236"/>
        <v>109.1005</v>
      </c>
      <c r="F1126" s="83">
        <f t="shared" ca="1" si="236"/>
        <v>57.041666666666664</v>
      </c>
      <c r="G1126" s="83">
        <f t="shared" ca="1" si="236"/>
        <v>40</v>
      </c>
      <c r="H1126" s="83">
        <f t="shared" ca="1" si="236"/>
        <v>174.58333333333334</v>
      </c>
      <c r="I1126" s="83">
        <f t="shared" ca="1" si="236"/>
        <v>0</v>
      </c>
      <c r="J1126" s="83">
        <f t="shared" ca="1" si="236"/>
        <v>100</v>
      </c>
      <c r="K1126" s="83">
        <f t="shared" ca="1" si="236"/>
        <v>300</v>
      </c>
      <c r="L1126" s="83">
        <f t="shared" ca="1" si="236"/>
        <v>1216.5</v>
      </c>
      <c r="M1126" s="83">
        <f t="shared" ca="1" si="237"/>
        <v>600</v>
      </c>
      <c r="N1126" s="83">
        <f t="shared" ca="1" si="237"/>
        <v>72.5</v>
      </c>
      <c r="O1126" s="83">
        <f t="shared" ca="1" si="237"/>
        <v>240</v>
      </c>
      <c r="P1126" s="83">
        <f t="shared" ca="1" si="237"/>
        <v>40</v>
      </c>
      <c r="Q1126" s="83">
        <f t="shared" ca="1" si="237"/>
        <v>315</v>
      </c>
      <c r="R1126" s="83">
        <f t="shared" ca="1" si="237"/>
        <v>100</v>
      </c>
      <c r="S1126" s="83">
        <f t="shared" ca="1" si="237"/>
        <v>695</v>
      </c>
      <c r="T1126" s="83">
        <f t="shared" ca="1" si="237"/>
        <v>33.333333333333336</v>
      </c>
      <c r="U1126" s="84"/>
      <c r="V1126" s="84"/>
      <c r="W1126" s="84"/>
      <c r="X1126" s="84"/>
      <c r="Y1126" s="84"/>
      <c r="Z1126" s="84"/>
      <c r="AA1126" s="84"/>
      <c r="AB1126" s="84"/>
      <c r="AC1126" s="84"/>
      <c r="AD1126" s="84"/>
    </row>
    <row r="1127" spans="1:30" ht="15" x14ac:dyDescent="0.2">
      <c r="A1127" s="10">
        <f t="shared" si="238"/>
        <v>2071</v>
      </c>
      <c r="B1127" s="10">
        <f t="shared" si="218"/>
        <v>365</v>
      </c>
      <c r="C1127" s="83">
        <f t="shared" ca="1" si="236"/>
        <v>154.75825</v>
      </c>
      <c r="D1127" s="83">
        <f t="shared" ca="1" si="236"/>
        <v>281.0162499999999</v>
      </c>
      <c r="E1127" s="83">
        <f t="shared" ca="1" si="236"/>
        <v>109.1005</v>
      </c>
      <c r="F1127" s="83">
        <f t="shared" ca="1" si="236"/>
        <v>57.041666666666664</v>
      </c>
      <c r="G1127" s="83">
        <f t="shared" ca="1" si="236"/>
        <v>40</v>
      </c>
      <c r="H1127" s="83">
        <f t="shared" ca="1" si="236"/>
        <v>174.58333333333334</v>
      </c>
      <c r="I1127" s="83">
        <f t="shared" ca="1" si="236"/>
        <v>0</v>
      </c>
      <c r="J1127" s="83">
        <f t="shared" ca="1" si="236"/>
        <v>100</v>
      </c>
      <c r="K1127" s="83">
        <f t="shared" ca="1" si="236"/>
        <v>300</v>
      </c>
      <c r="L1127" s="83">
        <f t="shared" ca="1" si="236"/>
        <v>1216.5</v>
      </c>
      <c r="M1127" s="83">
        <f t="shared" ca="1" si="237"/>
        <v>600</v>
      </c>
      <c r="N1127" s="83">
        <f t="shared" ca="1" si="237"/>
        <v>72.5</v>
      </c>
      <c r="O1127" s="83">
        <f t="shared" ca="1" si="237"/>
        <v>240</v>
      </c>
      <c r="P1127" s="83">
        <f t="shared" ca="1" si="237"/>
        <v>40</v>
      </c>
      <c r="Q1127" s="83">
        <f t="shared" ca="1" si="237"/>
        <v>315</v>
      </c>
      <c r="R1127" s="83">
        <f t="shared" ca="1" si="237"/>
        <v>100</v>
      </c>
      <c r="S1127" s="83">
        <f t="shared" ca="1" si="237"/>
        <v>695</v>
      </c>
      <c r="T1127" s="83">
        <f t="shared" ca="1" si="237"/>
        <v>33.333333333333336</v>
      </c>
      <c r="U1127" s="84"/>
      <c r="V1127" s="84"/>
      <c r="W1127" s="84"/>
      <c r="X1127" s="84"/>
      <c r="Y1127" s="84"/>
      <c r="Z1127" s="84"/>
      <c r="AA1127" s="84"/>
      <c r="AB1127" s="84"/>
      <c r="AC1127" s="84"/>
      <c r="AD1127" s="84"/>
    </row>
    <row r="1128" spans="1:30" ht="15" x14ac:dyDescent="0.2">
      <c r="A1128" s="10">
        <f t="shared" si="238"/>
        <v>2072</v>
      </c>
      <c r="B1128" s="10">
        <f t="shared" si="218"/>
        <v>366</v>
      </c>
      <c r="C1128" s="83">
        <f t="shared" ref="C1128:L1137" ca="1" si="239">AVERAGE(OFFSET(C$600,($A1128-$A$1118)*12,0,12,1))</f>
        <v>154.75825</v>
      </c>
      <c r="D1128" s="83">
        <f t="shared" ca="1" si="239"/>
        <v>281.0162499999999</v>
      </c>
      <c r="E1128" s="83">
        <f t="shared" ca="1" si="239"/>
        <v>109.1005</v>
      </c>
      <c r="F1128" s="83">
        <f t="shared" ca="1" si="239"/>
        <v>57.041666666666664</v>
      </c>
      <c r="G1128" s="83">
        <f t="shared" ca="1" si="239"/>
        <v>40</v>
      </c>
      <c r="H1128" s="83">
        <f t="shared" ca="1" si="239"/>
        <v>174.58333333333334</v>
      </c>
      <c r="I1128" s="83">
        <f t="shared" ca="1" si="239"/>
        <v>0</v>
      </c>
      <c r="J1128" s="83">
        <f t="shared" ca="1" si="239"/>
        <v>100</v>
      </c>
      <c r="K1128" s="83">
        <f t="shared" ca="1" si="239"/>
        <v>300</v>
      </c>
      <c r="L1128" s="83">
        <f t="shared" ca="1" si="239"/>
        <v>1216.5</v>
      </c>
      <c r="M1128" s="83">
        <f t="shared" ref="M1128:T1137" ca="1" si="240">AVERAGE(OFFSET(M$600,($A1128-$A$1118)*12,0,12,1))</f>
        <v>600</v>
      </c>
      <c r="N1128" s="83">
        <f t="shared" ca="1" si="240"/>
        <v>72.5</v>
      </c>
      <c r="O1128" s="83">
        <f t="shared" ca="1" si="240"/>
        <v>240</v>
      </c>
      <c r="P1128" s="83">
        <f t="shared" ca="1" si="240"/>
        <v>40</v>
      </c>
      <c r="Q1128" s="83">
        <f t="shared" ca="1" si="240"/>
        <v>315</v>
      </c>
      <c r="R1128" s="83">
        <f t="shared" ca="1" si="240"/>
        <v>100</v>
      </c>
      <c r="S1128" s="83">
        <f t="shared" ca="1" si="240"/>
        <v>695</v>
      </c>
      <c r="T1128" s="83">
        <f t="shared" ca="1" si="240"/>
        <v>33.333333333333336</v>
      </c>
      <c r="U1128" s="84"/>
      <c r="V1128" s="84"/>
      <c r="W1128" s="84"/>
      <c r="X1128" s="84"/>
      <c r="Y1128" s="84"/>
      <c r="Z1128" s="84"/>
      <c r="AA1128" s="84"/>
      <c r="AB1128" s="84"/>
      <c r="AC1128" s="84"/>
      <c r="AD1128" s="84"/>
    </row>
    <row r="1129" spans="1:30" ht="15" x14ac:dyDescent="0.2">
      <c r="A1129" s="10">
        <f t="shared" si="238"/>
        <v>2073</v>
      </c>
      <c r="B1129" s="10">
        <f t="shared" si="218"/>
        <v>365</v>
      </c>
      <c r="C1129" s="83">
        <f t="shared" ca="1" si="239"/>
        <v>154.75825</v>
      </c>
      <c r="D1129" s="83">
        <f t="shared" ca="1" si="239"/>
        <v>281.0162499999999</v>
      </c>
      <c r="E1129" s="83">
        <f t="shared" ca="1" si="239"/>
        <v>109.1005</v>
      </c>
      <c r="F1129" s="83">
        <f t="shared" ca="1" si="239"/>
        <v>57.041666666666664</v>
      </c>
      <c r="G1129" s="83">
        <f t="shared" ca="1" si="239"/>
        <v>40</v>
      </c>
      <c r="H1129" s="83">
        <f t="shared" ca="1" si="239"/>
        <v>174.58333333333334</v>
      </c>
      <c r="I1129" s="83">
        <f t="shared" ca="1" si="239"/>
        <v>0</v>
      </c>
      <c r="J1129" s="83">
        <f t="shared" ca="1" si="239"/>
        <v>100</v>
      </c>
      <c r="K1129" s="83">
        <f t="shared" ca="1" si="239"/>
        <v>300</v>
      </c>
      <c r="L1129" s="83">
        <f t="shared" ca="1" si="239"/>
        <v>1216.5</v>
      </c>
      <c r="M1129" s="83">
        <f t="shared" ca="1" si="240"/>
        <v>600</v>
      </c>
      <c r="N1129" s="83">
        <f t="shared" ca="1" si="240"/>
        <v>72.5</v>
      </c>
      <c r="O1129" s="83">
        <f t="shared" ca="1" si="240"/>
        <v>240</v>
      </c>
      <c r="P1129" s="83">
        <f t="shared" ca="1" si="240"/>
        <v>40</v>
      </c>
      <c r="Q1129" s="83">
        <f t="shared" ca="1" si="240"/>
        <v>315</v>
      </c>
      <c r="R1129" s="83">
        <f t="shared" ca="1" si="240"/>
        <v>100</v>
      </c>
      <c r="S1129" s="83">
        <f t="shared" ca="1" si="240"/>
        <v>695</v>
      </c>
      <c r="T1129" s="83">
        <f t="shared" ca="1" si="240"/>
        <v>33.333333333333336</v>
      </c>
      <c r="U1129" s="84"/>
      <c r="V1129" s="84"/>
      <c r="W1129" s="84"/>
      <c r="X1129" s="84"/>
      <c r="Y1129" s="84"/>
      <c r="Z1129" s="84"/>
      <c r="AA1129" s="84"/>
      <c r="AB1129" s="84"/>
      <c r="AC1129" s="84"/>
      <c r="AD1129" s="84"/>
    </row>
    <row r="1130" spans="1:30" ht="15" x14ac:dyDescent="0.2">
      <c r="A1130" s="10">
        <f t="shared" si="238"/>
        <v>2074</v>
      </c>
      <c r="B1130" s="10">
        <f t="shared" si="218"/>
        <v>365</v>
      </c>
      <c r="C1130" s="83">
        <f t="shared" ca="1" si="239"/>
        <v>154.75825</v>
      </c>
      <c r="D1130" s="83">
        <f t="shared" ca="1" si="239"/>
        <v>281.0162499999999</v>
      </c>
      <c r="E1130" s="83">
        <f t="shared" ca="1" si="239"/>
        <v>109.1005</v>
      </c>
      <c r="F1130" s="83">
        <f t="shared" ca="1" si="239"/>
        <v>57.041666666666664</v>
      </c>
      <c r="G1130" s="83">
        <f t="shared" ca="1" si="239"/>
        <v>40</v>
      </c>
      <c r="H1130" s="83">
        <f t="shared" ca="1" si="239"/>
        <v>174.58333333333334</v>
      </c>
      <c r="I1130" s="83">
        <f t="shared" ca="1" si="239"/>
        <v>0</v>
      </c>
      <c r="J1130" s="83">
        <f t="shared" ca="1" si="239"/>
        <v>100</v>
      </c>
      <c r="K1130" s="83">
        <f t="shared" ca="1" si="239"/>
        <v>300</v>
      </c>
      <c r="L1130" s="83">
        <f t="shared" ca="1" si="239"/>
        <v>1216.5</v>
      </c>
      <c r="M1130" s="83">
        <f t="shared" ca="1" si="240"/>
        <v>600</v>
      </c>
      <c r="N1130" s="83">
        <f t="shared" ca="1" si="240"/>
        <v>72.5</v>
      </c>
      <c r="O1130" s="83">
        <f t="shared" ca="1" si="240"/>
        <v>240</v>
      </c>
      <c r="P1130" s="83">
        <f t="shared" ca="1" si="240"/>
        <v>40</v>
      </c>
      <c r="Q1130" s="83">
        <f t="shared" ca="1" si="240"/>
        <v>315</v>
      </c>
      <c r="R1130" s="83">
        <f t="shared" ca="1" si="240"/>
        <v>100</v>
      </c>
      <c r="S1130" s="83">
        <f t="shared" ca="1" si="240"/>
        <v>695</v>
      </c>
      <c r="T1130" s="83">
        <f t="shared" ca="1" si="240"/>
        <v>33.333333333333336</v>
      </c>
      <c r="U1130" s="84"/>
      <c r="V1130" s="84"/>
      <c r="W1130" s="84"/>
      <c r="X1130" s="84"/>
      <c r="Y1130" s="84"/>
      <c r="Z1130" s="84"/>
      <c r="AA1130" s="84"/>
      <c r="AB1130" s="84"/>
      <c r="AC1130" s="84"/>
      <c r="AD1130" s="84"/>
    </row>
    <row r="1131" spans="1:30" ht="15" x14ac:dyDescent="0.2">
      <c r="A1131" s="10">
        <f t="shared" si="238"/>
        <v>2075</v>
      </c>
      <c r="B1131" s="10">
        <f t="shared" si="218"/>
        <v>365</v>
      </c>
      <c r="C1131" s="83">
        <f t="shared" ca="1" si="239"/>
        <v>154.75825</v>
      </c>
      <c r="D1131" s="83">
        <f t="shared" ca="1" si="239"/>
        <v>281.0162499999999</v>
      </c>
      <c r="E1131" s="83">
        <f t="shared" ca="1" si="239"/>
        <v>109.1005</v>
      </c>
      <c r="F1131" s="83">
        <f t="shared" ca="1" si="239"/>
        <v>57.041666666666664</v>
      </c>
      <c r="G1131" s="83">
        <f t="shared" ca="1" si="239"/>
        <v>40</v>
      </c>
      <c r="H1131" s="83">
        <f t="shared" ca="1" si="239"/>
        <v>174.58333333333334</v>
      </c>
      <c r="I1131" s="83">
        <f t="shared" ca="1" si="239"/>
        <v>0</v>
      </c>
      <c r="J1131" s="83">
        <f t="shared" ca="1" si="239"/>
        <v>100</v>
      </c>
      <c r="K1131" s="83">
        <f t="shared" ca="1" si="239"/>
        <v>300</v>
      </c>
      <c r="L1131" s="83">
        <f t="shared" ca="1" si="239"/>
        <v>1216.5</v>
      </c>
      <c r="M1131" s="83">
        <f t="shared" ca="1" si="240"/>
        <v>600</v>
      </c>
      <c r="N1131" s="83">
        <f t="shared" ca="1" si="240"/>
        <v>72.5</v>
      </c>
      <c r="O1131" s="83">
        <f t="shared" ca="1" si="240"/>
        <v>240</v>
      </c>
      <c r="P1131" s="83">
        <f t="shared" ca="1" si="240"/>
        <v>40</v>
      </c>
      <c r="Q1131" s="83">
        <f t="shared" ca="1" si="240"/>
        <v>315</v>
      </c>
      <c r="R1131" s="83">
        <f t="shared" ca="1" si="240"/>
        <v>100</v>
      </c>
      <c r="S1131" s="83">
        <f t="shared" ca="1" si="240"/>
        <v>695</v>
      </c>
      <c r="T1131" s="83">
        <f t="shared" ca="1" si="240"/>
        <v>33.333333333333336</v>
      </c>
      <c r="U1131" s="84"/>
      <c r="V1131" s="84"/>
      <c r="W1131" s="84"/>
      <c r="X1131" s="84"/>
      <c r="Y1131" s="84"/>
      <c r="Z1131" s="84"/>
      <c r="AA1131" s="84"/>
      <c r="AB1131" s="84"/>
      <c r="AC1131" s="84"/>
      <c r="AD1131" s="84"/>
    </row>
    <row r="1132" spans="1:30" ht="15" x14ac:dyDescent="0.2">
      <c r="A1132" s="10">
        <f t="shared" si="238"/>
        <v>2076</v>
      </c>
      <c r="B1132" s="10">
        <f t="shared" si="218"/>
        <v>366</v>
      </c>
      <c r="C1132" s="83">
        <f t="shared" ca="1" si="239"/>
        <v>154.75825</v>
      </c>
      <c r="D1132" s="83">
        <f t="shared" ca="1" si="239"/>
        <v>281.0162499999999</v>
      </c>
      <c r="E1132" s="83">
        <f t="shared" ca="1" si="239"/>
        <v>109.1005</v>
      </c>
      <c r="F1132" s="83">
        <f t="shared" ca="1" si="239"/>
        <v>57.041666666666664</v>
      </c>
      <c r="G1132" s="83">
        <f t="shared" ca="1" si="239"/>
        <v>40</v>
      </c>
      <c r="H1132" s="83">
        <f t="shared" ca="1" si="239"/>
        <v>174.58333333333334</v>
      </c>
      <c r="I1132" s="83">
        <f t="shared" ca="1" si="239"/>
        <v>0</v>
      </c>
      <c r="J1132" s="83">
        <f t="shared" ca="1" si="239"/>
        <v>100</v>
      </c>
      <c r="K1132" s="83">
        <f t="shared" ca="1" si="239"/>
        <v>300</v>
      </c>
      <c r="L1132" s="83">
        <f t="shared" ca="1" si="239"/>
        <v>1216.5</v>
      </c>
      <c r="M1132" s="83">
        <f t="shared" ca="1" si="240"/>
        <v>600</v>
      </c>
      <c r="N1132" s="83">
        <f t="shared" ca="1" si="240"/>
        <v>72.5</v>
      </c>
      <c r="O1132" s="83">
        <f t="shared" ca="1" si="240"/>
        <v>240</v>
      </c>
      <c r="P1132" s="83">
        <f t="shared" ca="1" si="240"/>
        <v>40</v>
      </c>
      <c r="Q1132" s="83">
        <f t="shared" ca="1" si="240"/>
        <v>315</v>
      </c>
      <c r="R1132" s="83">
        <f t="shared" ca="1" si="240"/>
        <v>100</v>
      </c>
      <c r="S1132" s="83">
        <f t="shared" ca="1" si="240"/>
        <v>695</v>
      </c>
      <c r="T1132" s="83">
        <f t="shared" ca="1" si="240"/>
        <v>33.333333333333336</v>
      </c>
      <c r="U1132" s="84"/>
      <c r="V1132" s="84"/>
      <c r="W1132" s="84"/>
      <c r="X1132" s="84"/>
      <c r="Y1132" s="84"/>
      <c r="Z1132" s="84"/>
      <c r="AA1132" s="84"/>
      <c r="AB1132" s="84"/>
      <c r="AC1132" s="84"/>
      <c r="AD1132" s="84"/>
    </row>
    <row r="1133" spans="1:30" ht="15" x14ac:dyDescent="0.2">
      <c r="A1133" s="10">
        <f t="shared" si="238"/>
        <v>2077</v>
      </c>
      <c r="B1133" s="10">
        <f t="shared" ref="B1133:B1156" si="241">DATE(A1133+1,1,1)-DATE(A1133,1,1)</f>
        <v>365</v>
      </c>
      <c r="C1133" s="83">
        <f t="shared" ca="1" si="239"/>
        <v>154.75825</v>
      </c>
      <c r="D1133" s="83">
        <f t="shared" ca="1" si="239"/>
        <v>281.0162499999999</v>
      </c>
      <c r="E1133" s="83">
        <f t="shared" ca="1" si="239"/>
        <v>109.1005</v>
      </c>
      <c r="F1133" s="83">
        <f t="shared" ca="1" si="239"/>
        <v>57.041666666666664</v>
      </c>
      <c r="G1133" s="83">
        <f t="shared" ca="1" si="239"/>
        <v>40</v>
      </c>
      <c r="H1133" s="83">
        <f t="shared" ca="1" si="239"/>
        <v>174.58333333333334</v>
      </c>
      <c r="I1133" s="83">
        <f t="shared" ca="1" si="239"/>
        <v>0</v>
      </c>
      <c r="J1133" s="83">
        <f t="shared" ca="1" si="239"/>
        <v>100</v>
      </c>
      <c r="K1133" s="83">
        <f t="shared" ca="1" si="239"/>
        <v>300</v>
      </c>
      <c r="L1133" s="83">
        <f t="shared" ca="1" si="239"/>
        <v>1216.5</v>
      </c>
      <c r="M1133" s="83">
        <f t="shared" ca="1" si="240"/>
        <v>600</v>
      </c>
      <c r="N1133" s="83">
        <f t="shared" ca="1" si="240"/>
        <v>72.5</v>
      </c>
      <c r="O1133" s="83">
        <f t="shared" ca="1" si="240"/>
        <v>240</v>
      </c>
      <c r="P1133" s="83">
        <f t="shared" ca="1" si="240"/>
        <v>40</v>
      </c>
      <c r="Q1133" s="83">
        <f t="shared" ca="1" si="240"/>
        <v>315</v>
      </c>
      <c r="R1133" s="83">
        <f t="shared" ca="1" si="240"/>
        <v>100</v>
      </c>
      <c r="S1133" s="83">
        <f t="shared" ca="1" si="240"/>
        <v>695</v>
      </c>
      <c r="T1133" s="83">
        <f t="shared" ca="1" si="240"/>
        <v>33.333333333333336</v>
      </c>
      <c r="U1133" s="84"/>
      <c r="V1133" s="84"/>
      <c r="W1133" s="84"/>
      <c r="X1133" s="84"/>
      <c r="Y1133" s="84"/>
      <c r="Z1133" s="84"/>
      <c r="AA1133" s="84"/>
      <c r="AB1133" s="84"/>
      <c r="AC1133" s="84"/>
      <c r="AD1133" s="84"/>
    </row>
    <row r="1134" spans="1:30" ht="15" x14ac:dyDescent="0.2">
      <c r="A1134" s="10">
        <f t="shared" si="238"/>
        <v>2078</v>
      </c>
      <c r="B1134" s="10">
        <f t="shared" si="241"/>
        <v>365</v>
      </c>
      <c r="C1134" s="83">
        <f t="shared" ca="1" si="239"/>
        <v>154.75825</v>
      </c>
      <c r="D1134" s="83">
        <f t="shared" ca="1" si="239"/>
        <v>281.0162499999999</v>
      </c>
      <c r="E1134" s="83">
        <f t="shared" ca="1" si="239"/>
        <v>109.1005</v>
      </c>
      <c r="F1134" s="83">
        <f t="shared" ca="1" si="239"/>
        <v>57.041666666666664</v>
      </c>
      <c r="G1134" s="83">
        <f t="shared" ca="1" si="239"/>
        <v>40</v>
      </c>
      <c r="H1134" s="83">
        <f t="shared" ca="1" si="239"/>
        <v>174.58333333333334</v>
      </c>
      <c r="I1134" s="83">
        <f t="shared" ca="1" si="239"/>
        <v>0</v>
      </c>
      <c r="J1134" s="83">
        <f t="shared" ca="1" si="239"/>
        <v>100</v>
      </c>
      <c r="K1134" s="83">
        <f t="shared" ca="1" si="239"/>
        <v>300</v>
      </c>
      <c r="L1134" s="83">
        <f t="shared" ca="1" si="239"/>
        <v>1216.5</v>
      </c>
      <c r="M1134" s="83">
        <f t="shared" ca="1" si="240"/>
        <v>600</v>
      </c>
      <c r="N1134" s="83">
        <f t="shared" ca="1" si="240"/>
        <v>72.5</v>
      </c>
      <c r="O1134" s="83">
        <f t="shared" ca="1" si="240"/>
        <v>240</v>
      </c>
      <c r="P1134" s="83">
        <f t="shared" ca="1" si="240"/>
        <v>40</v>
      </c>
      <c r="Q1134" s="83">
        <f t="shared" ca="1" si="240"/>
        <v>315</v>
      </c>
      <c r="R1134" s="83">
        <f t="shared" ca="1" si="240"/>
        <v>100</v>
      </c>
      <c r="S1134" s="83">
        <f t="shared" ca="1" si="240"/>
        <v>695</v>
      </c>
      <c r="T1134" s="83">
        <f t="shared" ca="1" si="240"/>
        <v>33.333333333333336</v>
      </c>
      <c r="U1134" s="84"/>
      <c r="V1134" s="84"/>
      <c r="W1134" s="84"/>
      <c r="X1134" s="84"/>
      <c r="Y1134" s="84"/>
      <c r="Z1134" s="84"/>
      <c r="AA1134" s="84"/>
      <c r="AB1134" s="84"/>
      <c r="AC1134" s="84"/>
      <c r="AD1134" s="84"/>
    </row>
    <row r="1135" spans="1:30" ht="15" x14ac:dyDescent="0.2">
      <c r="A1135" s="10">
        <f t="shared" si="238"/>
        <v>2079</v>
      </c>
      <c r="B1135" s="10">
        <f t="shared" si="241"/>
        <v>365</v>
      </c>
      <c r="C1135" s="83">
        <f t="shared" ca="1" si="239"/>
        <v>154.75825</v>
      </c>
      <c r="D1135" s="83">
        <f t="shared" ca="1" si="239"/>
        <v>281.0162499999999</v>
      </c>
      <c r="E1135" s="83">
        <f t="shared" ca="1" si="239"/>
        <v>109.1005</v>
      </c>
      <c r="F1135" s="83">
        <f t="shared" ca="1" si="239"/>
        <v>57.041666666666664</v>
      </c>
      <c r="G1135" s="83">
        <f t="shared" ca="1" si="239"/>
        <v>40</v>
      </c>
      <c r="H1135" s="83">
        <f t="shared" ca="1" si="239"/>
        <v>174.58333333333334</v>
      </c>
      <c r="I1135" s="83">
        <f t="shared" ca="1" si="239"/>
        <v>0</v>
      </c>
      <c r="J1135" s="83">
        <f t="shared" ca="1" si="239"/>
        <v>100</v>
      </c>
      <c r="K1135" s="83">
        <f t="shared" ca="1" si="239"/>
        <v>300</v>
      </c>
      <c r="L1135" s="83">
        <f t="shared" ca="1" si="239"/>
        <v>1216.5</v>
      </c>
      <c r="M1135" s="83">
        <f t="shared" ca="1" si="240"/>
        <v>600</v>
      </c>
      <c r="N1135" s="83">
        <f t="shared" ca="1" si="240"/>
        <v>72.5</v>
      </c>
      <c r="O1135" s="83">
        <f t="shared" ca="1" si="240"/>
        <v>240</v>
      </c>
      <c r="P1135" s="83">
        <f t="shared" ca="1" si="240"/>
        <v>40</v>
      </c>
      <c r="Q1135" s="83">
        <f t="shared" ca="1" si="240"/>
        <v>315</v>
      </c>
      <c r="R1135" s="83">
        <f t="shared" ca="1" si="240"/>
        <v>100</v>
      </c>
      <c r="S1135" s="83">
        <f t="shared" ca="1" si="240"/>
        <v>695</v>
      </c>
      <c r="T1135" s="83">
        <f t="shared" ca="1" si="240"/>
        <v>33.333333333333336</v>
      </c>
      <c r="U1135" s="84"/>
      <c r="V1135" s="84"/>
      <c r="W1135" s="84"/>
      <c r="X1135" s="84"/>
      <c r="Y1135" s="84"/>
      <c r="Z1135" s="84"/>
      <c r="AA1135" s="84"/>
      <c r="AB1135" s="84"/>
      <c r="AC1135" s="84"/>
      <c r="AD1135" s="84"/>
    </row>
    <row r="1136" spans="1:30" ht="15" x14ac:dyDescent="0.2">
      <c r="A1136" s="10">
        <f t="shared" si="238"/>
        <v>2080</v>
      </c>
      <c r="B1136" s="10">
        <f t="shared" si="241"/>
        <v>366</v>
      </c>
      <c r="C1136" s="83">
        <f t="shared" ca="1" si="239"/>
        <v>154.75825</v>
      </c>
      <c r="D1136" s="83">
        <f t="shared" ca="1" si="239"/>
        <v>281.0162499999999</v>
      </c>
      <c r="E1136" s="83">
        <f t="shared" ca="1" si="239"/>
        <v>109.1005</v>
      </c>
      <c r="F1136" s="83">
        <f t="shared" ca="1" si="239"/>
        <v>57.041666666666664</v>
      </c>
      <c r="G1136" s="83">
        <f t="shared" ca="1" si="239"/>
        <v>40</v>
      </c>
      <c r="H1136" s="83">
        <f t="shared" ca="1" si="239"/>
        <v>174.58333333333334</v>
      </c>
      <c r="I1136" s="83">
        <f t="shared" ca="1" si="239"/>
        <v>0</v>
      </c>
      <c r="J1136" s="83">
        <f t="shared" ca="1" si="239"/>
        <v>100</v>
      </c>
      <c r="K1136" s="83">
        <f t="shared" ca="1" si="239"/>
        <v>300</v>
      </c>
      <c r="L1136" s="83">
        <f t="shared" ca="1" si="239"/>
        <v>1216.5</v>
      </c>
      <c r="M1136" s="83">
        <f t="shared" ca="1" si="240"/>
        <v>600</v>
      </c>
      <c r="N1136" s="83">
        <f t="shared" ca="1" si="240"/>
        <v>72.5</v>
      </c>
      <c r="O1136" s="83">
        <f t="shared" ca="1" si="240"/>
        <v>240</v>
      </c>
      <c r="P1136" s="83">
        <f t="shared" ca="1" si="240"/>
        <v>40</v>
      </c>
      <c r="Q1136" s="83">
        <f t="shared" ca="1" si="240"/>
        <v>315</v>
      </c>
      <c r="R1136" s="83">
        <f t="shared" ca="1" si="240"/>
        <v>100</v>
      </c>
      <c r="S1136" s="83">
        <f t="shared" ca="1" si="240"/>
        <v>695</v>
      </c>
      <c r="T1136" s="83">
        <f t="shared" ca="1" si="240"/>
        <v>33.333333333333336</v>
      </c>
      <c r="U1136" s="84"/>
      <c r="V1136" s="84"/>
      <c r="W1136" s="84"/>
      <c r="X1136" s="84"/>
      <c r="Y1136" s="84"/>
      <c r="Z1136" s="84"/>
      <c r="AA1136" s="84"/>
      <c r="AB1136" s="84"/>
      <c r="AC1136" s="84"/>
      <c r="AD1136" s="84"/>
    </row>
    <row r="1137" spans="1:30" ht="15" x14ac:dyDescent="0.2">
      <c r="A1137" s="10">
        <f t="shared" si="238"/>
        <v>2081</v>
      </c>
      <c r="B1137" s="10">
        <f t="shared" si="241"/>
        <v>365</v>
      </c>
      <c r="C1137" s="83">
        <f t="shared" ca="1" si="239"/>
        <v>154.75825</v>
      </c>
      <c r="D1137" s="83">
        <f t="shared" ca="1" si="239"/>
        <v>281.0162499999999</v>
      </c>
      <c r="E1137" s="83">
        <f t="shared" ca="1" si="239"/>
        <v>109.1005</v>
      </c>
      <c r="F1137" s="83">
        <f t="shared" ca="1" si="239"/>
        <v>57.041666666666664</v>
      </c>
      <c r="G1137" s="83">
        <f t="shared" ca="1" si="239"/>
        <v>40</v>
      </c>
      <c r="H1137" s="83">
        <f t="shared" ca="1" si="239"/>
        <v>174.58333333333334</v>
      </c>
      <c r="I1137" s="83">
        <f t="shared" ca="1" si="239"/>
        <v>0</v>
      </c>
      <c r="J1137" s="83">
        <f t="shared" ca="1" si="239"/>
        <v>100</v>
      </c>
      <c r="K1137" s="83">
        <f t="shared" ca="1" si="239"/>
        <v>300</v>
      </c>
      <c r="L1137" s="83">
        <f t="shared" ca="1" si="239"/>
        <v>1216.5</v>
      </c>
      <c r="M1137" s="83">
        <f t="shared" ca="1" si="240"/>
        <v>600</v>
      </c>
      <c r="N1137" s="83">
        <f t="shared" ca="1" si="240"/>
        <v>72.5</v>
      </c>
      <c r="O1137" s="83">
        <f t="shared" ca="1" si="240"/>
        <v>240</v>
      </c>
      <c r="P1137" s="83">
        <f t="shared" ca="1" si="240"/>
        <v>40</v>
      </c>
      <c r="Q1137" s="83">
        <f t="shared" ca="1" si="240"/>
        <v>315</v>
      </c>
      <c r="R1137" s="83">
        <f t="shared" ca="1" si="240"/>
        <v>100</v>
      </c>
      <c r="S1137" s="83">
        <f t="shared" ca="1" si="240"/>
        <v>695</v>
      </c>
      <c r="T1137" s="83">
        <f t="shared" ca="1" si="240"/>
        <v>33.333333333333336</v>
      </c>
      <c r="U1137" s="84"/>
      <c r="V1137" s="84"/>
      <c r="W1137" s="84"/>
      <c r="X1137" s="84"/>
      <c r="Y1137" s="84"/>
      <c r="Z1137" s="84"/>
      <c r="AA1137" s="84"/>
      <c r="AB1137" s="84"/>
      <c r="AC1137" s="84"/>
      <c r="AD1137" s="84"/>
    </row>
    <row r="1138" spans="1:30" ht="15" x14ac:dyDescent="0.2">
      <c r="A1138" s="10">
        <f t="shared" si="238"/>
        <v>2082</v>
      </c>
      <c r="B1138" s="10">
        <f t="shared" si="241"/>
        <v>365</v>
      </c>
      <c r="C1138" s="83">
        <f t="shared" ref="C1138:L1147" ca="1" si="242">AVERAGE(OFFSET(C$600,($A1138-$A$1118)*12,0,12,1))</f>
        <v>154.75825</v>
      </c>
      <c r="D1138" s="83">
        <f t="shared" ca="1" si="242"/>
        <v>281.0162499999999</v>
      </c>
      <c r="E1138" s="83">
        <f t="shared" ca="1" si="242"/>
        <v>109.1005</v>
      </c>
      <c r="F1138" s="83">
        <f t="shared" ca="1" si="242"/>
        <v>57.041666666666664</v>
      </c>
      <c r="G1138" s="83">
        <f t="shared" ca="1" si="242"/>
        <v>40</v>
      </c>
      <c r="H1138" s="83">
        <f t="shared" ca="1" si="242"/>
        <v>174.58333333333334</v>
      </c>
      <c r="I1138" s="83">
        <f t="shared" ca="1" si="242"/>
        <v>0</v>
      </c>
      <c r="J1138" s="83">
        <f t="shared" ca="1" si="242"/>
        <v>100</v>
      </c>
      <c r="K1138" s="83">
        <f t="shared" ca="1" si="242"/>
        <v>300</v>
      </c>
      <c r="L1138" s="83">
        <f t="shared" ca="1" si="242"/>
        <v>1216.5</v>
      </c>
      <c r="M1138" s="83">
        <f t="shared" ref="M1138:T1147" ca="1" si="243">AVERAGE(OFFSET(M$600,($A1138-$A$1118)*12,0,12,1))</f>
        <v>600</v>
      </c>
      <c r="N1138" s="83">
        <f t="shared" ca="1" si="243"/>
        <v>72.5</v>
      </c>
      <c r="O1138" s="83">
        <f t="shared" ca="1" si="243"/>
        <v>240</v>
      </c>
      <c r="P1138" s="83">
        <f t="shared" ca="1" si="243"/>
        <v>40</v>
      </c>
      <c r="Q1138" s="83">
        <f t="shared" ca="1" si="243"/>
        <v>315</v>
      </c>
      <c r="R1138" s="83">
        <f t="shared" ca="1" si="243"/>
        <v>100</v>
      </c>
      <c r="S1138" s="83">
        <f t="shared" ca="1" si="243"/>
        <v>695</v>
      </c>
      <c r="T1138" s="83">
        <f t="shared" ca="1" si="243"/>
        <v>33.333333333333336</v>
      </c>
      <c r="U1138" s="84"/>
      <c r="V1138" s="84"/>
      <c r="W1138" s="84"/>
      <c r="X1138" s="84"/>
      <c r="Y1138" s="84"/>
      <c r="Z1138" s="84"/>
      <c r="AA1138" s="84"/>
      <c r="AB1138" s="84"/>
      <c r="AC1138" s="84"/>
      <c r="AD1138" s="84"/>
    </row>
    <row r="1139" spans="1:30" ht="15" x14ac:dyDescent="0.2">
      <c r="A1139" s="10">
        <f t="shared" si="238"/>
        <v>2083</v>
      </c>
      <c r="B1139" s="10">
        <f t="shared" si="241"/>
        <v>365</v>
      </c>
      <c r="C1139" s="83">
        <f t="shared" ca="1" si="242"/>
        <v>154.75825</v>
      </c>
      <c r="D1139" s="83">
        <f t="shared" ca="1" si="242"/>
        <v>281.0162499999999</v>
      </c>
      <c r="E1139" s="83">
        <f t="shared" ca="1" si="242"/>
        <v>109.1005</v>
      </c>
      <c r="F1139" s="83">
        <f t="shared" ca="1" si="242"/>
        <v>57.041666666666664</v>
      </c>
      <c r="G1139" s="83">
        <f t="shared" ca="1" si="242"/>
        <v>40</v>
      </c>
      <c r="H1139" s="83">
        <f t="shared" ca="1" si="242"/>
        <v>174.58333333333334</v>
      </c>
      <c r="I1139" s="83">
        <f t="shared" ca="1" si="242"/>
        <v>0</v>
      </c>
      <c r="J1139" s="83">
        <f t="shared" ca="1" si="242"/>
        <v>100</v>
      </c>
      <c r="K1139" s="83">
        <f t="shared" ca="1" si="242"/>
        <v>300</v>
      </c>
      <c r="L1139" s="83">
        <f t="shared" ca="1" si="242"/>
        <v>1216.5</v>
      </c>
      <c r="M1139" s="83">
        <f t="shared" ca="1" si="243"/>
        <v>600</v>
      </c>
      <c r="N1139" s="83">
        <f t="shared" ca="1" si="243"/>
        <v>72.5</v>
      </c>
      <c r="O1139" s="83">
        <f t="shared" ca="1" si="243"/>
        <v>240</v>
      </c>
      <c r="P1139" s="83">
        <f t="shared" ca="1" si="243"/>
        <v>40</v>
      </c>
      <c r="Q1139" s="83">
        <f t="shared" ca="1" si="243"/>
        <v>315</v>
      </c>
      <c r="R1139" s="83">
        <f t="shared" ca="1" si="243"/>
        <v>100</v>
      </c>
      <c r="S1139" s="83">
        <f t="shared" ca="1" si="243"/>
        <v>695</v>
      </c>
      <c r="T1139" s="83">
        <f t="shared" ca="1" si="243"/>
        <v>33.333333333333336</v>
      </c>
      <c r="U1139" s="84"/>
      <c r="V1139" s="84"/>
      <c r="W1139" s="84"/>
      <c r="X1139" s="84"/>
      <c r="Y1139" s="84"/>
      <c r="Z1139" s="84"/>
      <c r="AA1139" s="84"/>
      <c r="AB1139" s="84"/>
      <c r="AC1139" s="84"/>
      <c r="AD1139" s="84"/>
    </row>
    <row r="1140" spans="1:30" ht="15" x14ac:dyDescent="0.2">
      <c r="A1140" s="10">
        <f t="shared" si="238"/>
        <v>2084</v>
      </c>
      <c r="B1140" s="10">
        <f t="shared" si="241"/>
        <v>366</v>
      </c>
      <c r="C1140" s="83">
        <f t="shared" ca="1" si="242"/>
        <v>154.75825</v>
      </c>
      <c r="D1140" s="83">
        <f t="shared" ca="1" si="242"/>
        <v>281.0162499999999</v>
      </c>
      <c r="E1140" s="83">
        <f t="shared" ca="1" si="242"/>
        <v>109.1005</v>
      </c>
      <c r="F1140" s="83">
        <f t="shared" ca="1" si="242"/>
        <v>57.041666666666664</v>
      </c>
      <c r="G1140" s="83">
        <f t="shared" ca="1" si="242"/>
        <v>40</v>
      </c>
      <c r="H1140" s="83">
        <f t="shared" ca="1" si="242"/>
        <v>174.58333333333334</v>
      </c>
      <c r="I1140" s="83">
        <f t="shared" ca="1" si="242"/>
        <v>0</v>
      </c>
      <c r="J1140" s="83">
        <f t="shared" ca="1" si="242"/>
        <v>100</v>
      </c>
      <c r="K1140" s="83">
        <f t="shared" ca="1" si="242"/>
        <v>300</v>
      </c>
      <c r="L1140" s="83">
        <f t="shared" ca="1" si="242"/>
        <v>1216.5</v>
      </c>
      <c r="M1140" s="83">
        <f t="shared" ca="1" si="243"/>
        <v>600</v>
      </c>
      <c r="N1140" s="83">
        <f t="shared" ca="1" si="243"/>
        <v>72.5</v>
      </c>
      <c r="O1140" s="83">
        <f t="shared" ca="1" si="243"/>
        <v>240</v>
      </c>
      <c r="P1140" s="83">
        <f t="shared" ca="1" si="243"/>
        <v>40</v>
      </c>
      <c r="Q1140" s="83">
        <f t="shared" ca="1" si="243"/>
        <v>315</v>
      </c>
      <c r="R1140" s="83">
        <f t="shared" ca="1" si="243"/>
        <v>100</v>
      </c>
      <c r="S1140" s="83">
        <f t="shared" ca="1" si="243"/>
        <v>695</v>
      </c>
      <c r="T1140" s="83">
        <f t="shared" ca="1" si="243"/>
        <v>33.333333333333336</v>
      </c>
      <c r="U1140" s="84"/>
      <c r="V1140" s="84"/>
      <c r="W1140" s="84"/>
      <c r="X1140" s="84"/>
      <c r="Y1140" s="84"/>
      <c r="Z1140" s="84"/>
      <c r="AA1140" s="84"/>
      <c r="AB1140" s="84"/>
      <c r="AC1140" s="84"/>
      <c r="AD1140" s="84"/>
    </row>
    <row r="1141" spans="1:30" ht="15" x14ac:dyDescent="0.2">
      <c r="A1141" s="10">
        <f t="shared" si="238"/>
        <v>2085</v>
      </c>
      <c r="B1141" s="10">
        <f t="shared" si="241"/>
        <v>365</v>
      </c>
      <c r="C1141" s="83">
        <f t="shared" ca="1" si="242"/>
        <v>154.75825</v>
      </c>
      <c r="D1141" s="83">
        <f t="shared" ca="1" si="242"/>
        <v>281.0162499999999</v>
      </c>
      <c r="E1141" s="83">
        <f t="shared" ca="1" si="242"/>
        <v>109.1005</v>
      </c>
      <c r="F1141" s="83">
        <f t="shared" ca="1" si="242"/>
        <v>57.041666666666664</v>
      </c>
      <c r="G1141" s="83">
        <f t="shared" ca="1" si="242"/>
        <v>40</v>
      </c>
      <c r="H1141" s="83">
        <f t="shared" ca="1" si="242"/>
        <v>174.58333333333334</v>
      </c>
      <c r="I1141" s="83">
        <f t="shared" ca="1" si="242"/>
        <v>0</v>
      </c>
      <c r="J1141" s="83">
        <f t="shared" ca="1" si="242"/>
        <v>100</v>
      </c>
      <c r="K1141" s="83">
        <f t="shared" ca="1" si="242"/>
        <v>300</v>
      </c>
      <c r="L1141" s="83">
        <f t="shared" ca="1" si="242"/>
        <v>1216.5</v>
      </c>
      <c r="M1141" s="83">
        <f t="shared" ca="1" si="243"/>
        <v>600</v>
      </c>
      <c r="N1141" s="83">
        <f t="shared" ca="1" si="243"/>
        <v>72.5</v>
      </c>
      <c r="O1141" s="83">
        <f t="shared" ca="1" si="243"/>
        <v>240</v>
      </c>
      <c r="P1141" s="83">
        <f t="shared" ca="1" si="243"/>
        <v>40</v>
      </c>
      <c r="Q1141" s="83">
        <f t="shared" ca="1" si="243"/>
        <v>315</v>
      </c>
      <c r="R1141" s="83">
        <f t="shared" ca="1" si="243"/>
        <v>100</v>
      </c>
      <c r="S1141" s="83">
        <f t="shared" ca="1" si="243"/>
        <v>695</v>
      </c>
      <c r="T1141" s="83">
        <f t="shared" ca="1" si="243"/>
        <v>33.333333333333336</v>
      </c>
      <c r="U1141" s="84"/>
      <c r="V1141" s="84"/>
      <c r="W1141" s="84"/>
      <c r="X1141" s="84"/>
      <c r="Y1141" s="84"/>
      <c r="Z1141" s="84"/>
      <c r="AA1141" s="84"/>
      <c r="AB1141" s="84"/>
      <c r="AC1141" s="84"/>
      <c r="AD1141" s="84"/>
    </row>
    <row r="1142" spans="1:30" ht="15" x14ac:dyDescent="0.2">
      <c r="A1142" s="10">
        <f t="shared" si="238"/>
        <v>2086</v>
      </c>
      <c r="B1142" s="10">
        <f t="shared" si="241"/>
        <v>365</v>
      </c>
      <c r="C1142" s="83">
        <f t="shared" ca="1" si="242"/>
        <v>154.75825</v>
      </c>
      <c r="D1142" s="83">
        <f t="shared" ca="1" si="242"/>
        <v>281.0162499999999</v>
      </c>
      <c r="E1142" s="83">
        <f t="shared" ca="1" si="242"/>
        <v>109.1005</v>
      </c>
      <c r="F1142" s="83">
        <f t="shared" ca="1" si="242"/>
        <v>57.041666666666664</v>
      </c>
      <c r="G1142" s="83">
        <f t="shared" ca="1" si="242"/>
        <v>40</v>
      </c>
      <c r="H1142" s="83">
        <f t="shared" ca="1" si="242"/>
        <v>174.58333333333334</v>
      </c>
      <c r="I1142" s="83">
        <f t="shared" ca="1" si="242"/>
        <v>0</v>
      </c>
      <c r="J1142" s="83">
        <f t="shared" ca="1" si="242"/>
        <v>100</v>
      </c>
      <c r="K1142" s="83">
        <f t="shared" ca="1" si="242"/>
        <v>300</v>
      </c>
      <c r="L1142" s="83">
        <f t="shared" ca="1" si="242"/>
        <v>1216.5</v>
      </c>
      <c r="M1142" s="83">
        <f t="shared" ca="1" si="243"/>
        <v>600</v>
      </c>
      <c r="N1142" s="83">
        <f t="shared" ca="1" si="243"/>
        <v>72.5</v>
      </c>
      <c r="O1142" s="83">
        <f t="shared" ca="1" si="243"/>
        <v>240</v>
      </c>
      <c r="P1142" s="83">
        <f t="shared" ca="1" si="243"/>
        <v>40</v>
      </c>
      <c r="Q1142" s="83">
        <f t="shared" ca="1" si="243"/>
        <v>315</v>
      </c>
      <c r="R1142" s="83">
        <f t="shared" ca="1" si="243"/>
        <v>100</v>
      </c>
      <c r="S1142" s="83">
        <f t="shared" ca="1" si="243"/>
        <v>695</v>
      </c>
      <c r="T1142" s="83">
        <f t="shared" ca="1" si="243"/>
        <v>33.333333333333336</v>
      </c>
      <c r="U1142" s="84"/>
      <c r="V1142" s="84"/>
      <c r="W1142" s="84"/>
      <c r="X1142" s="84"/>
      <c r="Y1142" s="84"/>
      <c r="Z1142" s="84"/>
      <c r="AA1142" s="84"/>
      <c r="AB1142" s="84"/>
      <c r="AC1142" s="84"/>
      <c r="AD1142" s="84"/>
    </row>
    <row r="1143" spans="1:30" ht="15" x14ac:dyDescent="0.2">
      <c r="A1143" s="10">
        <f t="shared" si="238"/>
        <v>2087</v>
      </c>
      <c r="B1143" s="10">
        <f t="shared" si="241"/>
        <v>365</v>
      </c>
      <c r="C1143" s="83">
        <f t="shared" ca="1" si="242"/>
        <v>154.75825</v>
      </c>
      <c r="D1143" s="83">
        <f t="shared" ca="1" si="242"/>
        <v>281.0162499999999</v>
      </c>
      <c r="E1143" s="83">
        <f t="shared" ca="1" si="242"/>
        <v>109.1005</v>
      </c>
      <c r="F1143" s="83">
        <f t="shared" ca="1" si="242"/>
        <v>57.041666666666664</v>
      </c>
      <c r="G1143" s="83">
        <f t="shared" ca="1" si="242"/>
        <v>40</v>
      </c>
      <c r="H1143" s="83">
        <f t="shared" ca="1" si="242"/>
        <v>174.58333333333334</v>
      </c>
      <c r="I1143" s="83">
        <f t="shared" ca="1" si="242"/>
        <v>0</v>
      </c>
      <c r="J1143" s="83">
        <f t="shared" ca="1" si="242"/>
        <v>100</v>
      </c>
      <c r="K1143" s="83">
        <f t="shared" ca="1" si="242"/>
        <v>300</v>
      </c>
      <c r="L1143" s="83">
        <f t="shared" ca="1" si="242"/>
        <v>1216.5</v>
      </c>
      <c r="M1143" s="83">
        <f t="shared" ca="1" si="243"/>
        <v>600</v>
      </c>
      <c r="N1143" s="83">
        <f t="shared" ca="1" si="243"/>
        <v>72.5</v>
      </c>
      <c r="O1143" s="83">
        <f t="shared" ca="1" si="243"/>
        <v>240</v>
      </c>
      <c r="P1143" s="83">
        <f t="shared" ca="1" si="243"/>
        <v>40</v>
      </c>
      <c r="Q1143" s="83">
        <f t="shared" ca="1" si="243"/>
        <v>315</v>
      </c>
      <c r="R1143" s="83">
        <f t="shared" ca="1" si="243"/>
        <v>100</v>
      </c>
      <c r="S1143" s="83">
        <f t="shared" ca="1" si="243"/>
        <v>695</v>
      </c>
      <c r="T1143" s="83">
        <f t="shared" ca="1" si="243"/>
        <v>33.333333333333336</v>
      </c>
      <c r="U1143" s="84"/>
      <c r="V1143" s="84"/>
      <c r="W1143" s="84"/>
      <c r="X1143" s="84"/>
      <c r="Y1143" s="84"/>
      <c r="Z1143" s="84"/>
      <c r="AA1143" s="84"/>
      <c r="AB1143" s="84"/>
      <c r="AC1143" s="84"/>
      <c r="AD1143" s="84"/>
    </row>
    <row r="1144" spans="1:30" ht="15" x14ac:dyDescent="0.2">
      <c r="A1144" s="10">
        <f t="shared" si="238"/>
        <v>2088</v>
      </c>
      <c r="B1144" s="10">
        <f t="shared" si="241"/>
        <v>366</v>
      </c>
      <c r="C1144" s="83">
        <f t="shared" ca="1" si="242"/>
        <v>154.75825</v>
      </c>
      <c r="D1144" s="83">
        <f t="shared" ca="1" si="242"/>
        <v>281.0162499999999</v>
      </c>
      <c r="E1144" s="83">
        <f t="shared" ca="1" si="242"/>
        <v>109.1005</v>
      </c>
      <c r="F1144" s="83">
        <f t="shared" ca="1" si="242"/>
        <v>57.041666666666664</v>
      </c>
      <c r="G1144" s="83">
        <f t="shared" ca="1" si="242"/>
        <v>40</v>
      </c>
      <c r="H1144" s="83">
        <f t="shared" ca="1" si="242"/>
        <v>174.58333333333334</v>
      </c>
      <c r="I1144" s="83">
        <f t="shared" ca="1" si="242"/>
        <v>0</v>
      </c>
      <c r="J1144" s="83">
        <f t="shared" ca="1" si="242"/>
        <v>100</v>
      </c>
      <c r="K1144" s="83">
        <f t="shared" ca="1" si="242"/>
        <v>300</v>
      </c>
      <c r="L1144" s="83">
        <f t="shared" ca="1" si="242"/>
        <v>1216.5</v>
      </c>
      <c r="M1144" s="83">
        <f t="shared" ca="1" si="243"/>
        <v>600</v>
      </c>
      <c r="N1144" s="83">
        <f t="shared" ca="1" si="243"/>
        <v>72.5</v>
      </c>
      <c r="O1144" s="83">
        <f t="shared" ca="1" si="243"/>
        <v>240</v>
      </c>
      <c r="P1144" s="83">
        <f t="shared" ca="1" si="243"/>
        <v>40</v>
      </c>
      <c r="Q1144" s="83">
        <f t="shared" ca="1" si="243"/>
        <v>315</v>
      </c>
      <c r="R1144" s="83">
        <f t="shared" ca="1" si="243"/>
        <v>100</v>
      </c>
      <c r="S1144" s="83">
        <f t="shared" ca="1" si="243"/>
        <v>695</v>
      </c>
      <c r="T1144" s="83">
        <f t="shared" ca="1" si="243"/>
        <v>33.333333333333336</v>
      </c>
      <c r="U1144" s="84"/>
      <c r="V1144" s="84"/>
      <c r="W1144" s="84"/>
      <c r="X1144" s="84"/>
      <c r="Y1144" s="84"/>
      <c r="Z1144" s="84"/>
      <c r="AA1144" s="84"/>
      <c r="AB1144" s="84"/>
      <c r="AC1144" s="84"/>
      <c r="AD1144" s="84"/>
    </row>
    <row r="1145" spans="1:30" ht="15" x14ac:dyDescent="0.2">
      <c r="A1145" s="10">
        <f t="shared" si="238"/>
        <v>2089</v>
      </c>
      <c r="B1145" s="10">
        <f t="shared" si="241"/>
        <v>365</v>
      </c>
      <c r="C1145" s="83">
        <f t="shared" ca="1" si="242"/>
        <v>154.75825</v>
      </c>
      <c r="D1145" s="83">
        <f t="shared" ca="1" si="242"/>
        <v>281.0162499999999</v>
      </c>
      <c r="E1145" s="83">
        <f t="shared" ca="1" si="242"/>
        <v>109.1005</v>
      </c>
      <c r="F1145" s="83">
        <f t="shared" ca="1" si="242"/>
        <v>57.041666666666664</v>
      </c>
      <c r="G1145" s="83">
        <f t="shared" ca="1" si="242"/>
        <v>40</v>
      </c>
      <c r="H1145" s="83">
        <f t="shared" ca="1" si="242"/>
        <v>174.58333333333334</v>
      </c>
      <c r="I1145" s="83">
        <f t="shared" ca="1" si="242"/>
        <v>0</v>
      </c>
      <c r="J1145" s="83">
        <f t="shared" ca="1" si="242"/>
        <v>100</v>
      </c>
      <c r="K1145" s="83">
        <f t="shared" ca="1" si="242"/>
        <v>300</v>
      </c>
      <c r="L1145" s="83">
        <f t="shared" ca="1" si="242"/>
        <v>1216.5</v>
      </c>
      <c r="M1145" s="83">
        <f t="shared" ca="1" si="243"/>
        <v>600</v>
      </c>
      <c r="N1145" s="83">
        <f t="shared" ca="1" si="243"/>
        <v>72.5</v>
      </c>
      <c r="O1145" s="83">
        <f t="shared" ca="1" si="243"/>
        <v>240</v>
      </c>
      <c r="P1145" s="83">
        <f t="shared" ca="1" si="243"/>
        <v>40</v>
      </c>
      <c r="Q1145" s="83">
        <f t="shared" ca="1" si="243"/>
        <v>315</v>
      </c>
      <c r="R1145" s="83">
        <f t="shared" ca="1" si="243"/>
        <v>100</v>
      </c>
      <c r="S1145" s="83">
        <f t="shared" ca="1" si="243"/>
        <v>695</v>
      </c>
      <c r="T1145" s="83">
        <f t="shared" ca="1" si="243"/>
        <v>33.333333333333336</v>
      </c>
      <c r="U1145" s="84"/>
      <c r="V1145" s="84"/>
      <c r="W1145" s="84"/>
      <c r="X1145" s="84"/>
      <c r="Y1145" s="84"/>
      <c r="Z1145" s="84"/>
      <c r="AA1145" s="84"/>
      <c r="AB1145" s="84"/>
      <c r="AC1145" s="84"/>
      <c r="AD1145" s="84"/>
    </row>
    <row r="1146" spans="1:30" ht="15" x14ac:dyDescent="0.2">
      <c r="A1146" s="10">
        <f t="shared" si="238"/>
        <v>2090</v>
      </c>
      <c r="B1146" s="10">
        <f t="shared" si="241"/>
        <v>365</v>
      </c>
      <c r="C1146" s="83">
        <f t="shared" ca="1" si="242"/>
        <v>154.75825</v>
      </c>
      <c r="D1146" s="83">
        <f t="shared" ca="1" si="242"/>
        <v>281.0162499999999</v>
      </c>
      <c r="E1146" s="83">
        <f t="shared" ca="1" si="242"/>
        <v>109.1005</v>
      </c>
      <c r="F1146" s="83">
        <f t="shared" ca="1" si="242"/>
        <v>57.041666666666664</v>
      </c>
      <c r="G1146" s="83">
        <f t="shared" ca="1" si="242"/>
        <v>40</v>
      </c>
      <c r="H1146" s="83">
        <f t="shared" ca="1" si="242"/>
        <v>174.58333333333334</v>
      </c>
      <c r="I1146" s="83">
        <f t="shared" ca="1" si="242"/>
        <v>0</v>
      </c>
      <c r="J1146" s="83">
        <f t="shared" ca="1" si="242"/>
        <v>100</v>
      </c>
      <c r="K1146" s="83">
        <f t="shared" ca="1" si="242"/>
        <v>300</v>
      </c>
      <c r="L1146" s="83">
        <f t="shared" ca="1" si="242"/>
        <v>1216.5</v>
      </c>
      <c r="M1146" s="83">
        <f t="shared" ca="1" si="243"/>
        <v>600</v>
      </c>
      <c r="N1146" s="83">
        <f t="shared" ca="1" si="243"/>
        <v>72.5</v>
      </c>
      <c r="O1146" s="83">
        <f t="shared" ca="1" si="243"/>
        <v>240</v>
      </c>
      <c r="P1146" s="83">
        <f t="shared" ca="1" si="243"/>
        <v>40</v>
      </c>
      <c r="Q1146" s="83">
        <f t="shared" ca="1" si="243"/>
        <v>315</v>
      </c>
      <c r="R1146" s="83">
        <f t="shared" ca="1" si="243"/>
        <v>100</v>
      </c>
      <c r="S1146" s="83">
        <f t="shared" ca="1" si="243"/>
        <v>695</v>
      </c>
      <c r="T1146" s="83">
        <f t="shared" ca="1" si="243"/>
        <v>33.333333333333336</v>
      </c>
      <c r="U1146" s="84"/>
      <c r="V1146" s="84"/>
      <c r="W1146" s="84"/>
      <c r="X1146" s="84"/>
      <c r="Y1146" s="84"/>
      <c r="Z1146" s="84"/>
      <c r="AA1146" s="84"/>
      <c r="AB1146" s="84"/>
      <c r="AC1146" s="84"/>
      <c r="AD1146" s="84"/>
    </row>
    <row r="1147" spans="1:30" ht="15" x14ac:dyDescent="0.2">
      <c r="A1147" s="10">
        <f t="shared" si="238"/>
        <v>2091</v>
      </c>
      <c r="B1147" s="10">
        <f t="shared" si="241"/>
        <v>365</v>
      </c>
      <c r="C1147" s="83">
        <f t="shared" ca="1" si="242"/>
        <v>154.75825</v>
      </c>
      <c r="D1147" s="83">
        <f t="shared" ca="1" si="242"/>
        <v>281.0162499999999</v>
      </c>
      <c r="E1147" s="83">
        <f t="shared" ca="1" si="242"/>
        <v>109.1005</v>
      </c>
      <c r="F1147" s="83">
        <f t="shared" ca="1" si="242"/>
        <v>57.041666666666664</v>
      </c>
      <c r="G1147" s="83">
        <f t="shared" ca="1" si="242"/>
        <v>40</v>
      </c>
      <c r="H1147" s="83">
        <f t="shared" ca="1" si="242"/>
        <v>174.58333333333334</v>
      </c>
      <c r="I1147" s="83">
        <f t="shared" ca="1" si="242"/>
        <v>0</v>
      </c>
      <c r="J1147" s="83">
        <f t="shared" ca="1" si="242"/>
        <v>100</v>
      </c>
      <c r="K1147" s="83">
        <f t="shared" ca="1" si="242"/>
        <v>300</v>
      </c>
      <c r="L1147" s="83">
        <f t="shared" ca="1" si="242"/>
        <v>1216.5</v>
      </c>
      <c r="M1147" s="83">
        <f t="shared" ca="1" si="243"/>
        <v>600</v>
      </c>
      <c r="N1147" s="83">
        <f t="shared" ca="1" si="243"/>
        <v>72.5</v>
      </c>
      <c r="O1147" s="83">
        <f t="shared" ca="1" si="243"/>
        <v>240</v>
      </c>
      <c r="P1147" s="83">
        <f t="shared" ca="1" si="243"/>
        <v>40</v>
      </c>
      <c r="Q1147" s="83">
        <f t="shared" ca="1" si="243"/>
        <v>315</v>
      </c>
      <c r="R1147" s="83">
        <f t="shared" ca="1" si="243"/>
        <v>100</v>
      </c>
      <c r="S1147" s="83">
        <f t="shared" ca="1" si="243"/>
        <v>695</v>
      </c>
      <c r="T1147" s="83">
        <f t="shared" ca="1" si="243"/>
        <v>33.333333333333336</v>
      </c>
    </row>
    <row r="1148" spans="1:30" ht="15" x14ac:dyDescent="0.2">
      <c r="A1148" s="10">
        <f t="shared" si="238"/>
        <v>2092</v>
      </c>
      <c r="B1148" s="10">
        <f t="shared" si="241"/>
        <v>366</v>
      </c>
      <c r="C1148" s="83">
        <f t="shared" ref="C1148:L1156" ca="1" si="244">AVERAGE(OFFSET(C$600,($A1148-$A$1118)*12,0,12,1))</f>
        <v>154.75825</v>
      </c>
      <c r="D1148" s="83">
        <f t="shared" ca="1" si="244"/>
        <v>281.0162499999999</v>
      </c>
      <c r="E1148" s="83">
        <f t="shared" ca="1" si="244"/>
        <v>109.1005</v>
      </c>
      <c r="F1148" s="83">
        <f t="shared" ca="1" si="244"/>
        <v>57.041666666666664</v>
      </c>
      <c r="G1148" s="83">
        <f t="shared" ca="1" si="244"/>
        <v>40</v>
      </c>
      <c r="H1148" s="83">
        <f t="shared" ca="1" si="244"/>
        <v>174.58333333333334</v>
      </c>
      <c r="I1148" s="83">
        <f t="shared" ca="1" si="244"/>
        <v>0</v>
      </c>
      <c r="J1148" s="83">
        <f t="shared" ca="1" si="244"/>
        <v>100</v>
      </c>
      <c r="K1148" s="83">
        <f t="shared" ca="1" si="244"/>
        <v>300</v>
      </c>
      <c r="L1148" s="83">
        <f t="shared" ca="1" si="244"/>
        <v>1216.5</v>
      </c>
      <c r="M1148" s="83">
        <f t="shared" ref="M1148:T1156" ca="1" si="245">AVERAGE(OFFSET(M$600,($A1148-$A$1118)*12,0,12,1))</f>
        <v>600</v>
      </c>
      <c r="N1148" s="83">
        <f t="shared" ca="1" si="245"/>
        <v>72.5</v>
      </c>
      <c r="O1148" s="83">
        <f t="shared" ca="1" si="245"/>
        <v>240</v>
      </c>
      <c r="P1148" s="83">
        <f t="shared" ca="1" si="245"/>
        <v>40</v>
      </c>
      <c r="Q1148" s="83">
        <f t="shared" ca="1" si="245"/>
        <v>315</v>
      </c>
      <c r="R1148" s="83">
        <f t="shared" ca="1" si="245"/>
        <v>100</v>
      </c>
      <c r="S1148" s="83">
        <f t="shared" ca="1" si="245"/>
        <v>695</v>
      </c>
      <c r="T1148" s="83">
        <f t="shared" ca="1" si="245"/>
        <v>33.333333333333336</v>
      </c>
    </row>
    <row r="1149" spans="1:30" ht="15" x14ac:dyDescent="0.2">
      <c r="A1149" s="10">
        <f t="shared" si="238"/>
        <v>2093</v>
      </c>
      <c r="B1149" s="10">
        <f t="shared" si="241"/>
        <v>365</v>
      </c>
      <c r="C1149" s="83">
        <f t="shared" ca="1" si="244"/>
        <v>154.75825</v>
      </c>
      <c r="D1149" s="83">
        <f t="shared" ca="1" si="244"/>
        <v>281.0162499999999</v>
      </c>
      <c r="E1149" s="83">
        <f t="shared" ca="1" si="244"/>
        <v>109.1005</v>
      </c>
      <c r="F1149" s="83">
        <f t="shared" ca="1" si="244"/>
        <v>57.041666666666664</v>
      </c>
      <c r="G1149" s="83">
        <f t="shared" ca="1" si="244"/>
        <v>40</v>
      </c>
      <c r="H1149" s="83">
        <f t="shared" ca="1" si="244"/>
        <v>174.58333333333334</v>
      </c>
      <c r="I1149" s="83">
        <f t="shared" ca="1" si="244"/>
        <v>0</v>
      </c>
      <c r="J1149" s="83">
        <f t="shared" ca="1" si="244"/>
        <v>100</v>
      </c>
      <c r="K1149" s="83">
        <f t="shared" ca="1" si="244"/>
        <v>300</v>
      </c>
      <c r="L1149" s="83">
        <f t="shared" ca="1" si="244"/>
        <v>1216.5</v>
      </c>
      <c r="M1149" s="83">
        <f t="shared" ca="1" si="245"/>
        <v>600</v>
      </c>
      <c r="N1149" s="83">
        <f t="shared" ca="1" si="245"/>
        <v>72.5</v>
      </c>
      <c r="O1149" s="83">
        <f t="shared" ca="1" si="245"/>
        <v>240</v>
      </c>
      <c r="P1149" s="83">
        <f t="shared" ca="1" si="245"/>
        <v>40</v>
      </c>
      <c r="Q1149" s="83">
        <f t="shared" ca="1" si="245"/>
        <v>315</v>
      </c>
      <c r="R1149" s="83">
        <f t="shared" ca="1" si="245"/>
        <v>100</v>
      </c>
      <c r="S1149" s="83">
        <f t="shared" ca="1" si="245"/>
        <v>695</v>
      </c>
      <c r="T1149" s="83">
        <f t="shared" ca="1" si="245"/>
        <v>33.333333333333336</v>
      </c>
    </row>
    <row r="1150" spans="1:30" ht="15" x14ac:dyDescent="0.2">
      <c r="A1150" s="10">
        <f t="shared" si="238"/>
        <v>2094</v>
      </c>
      <c r="B1150" s="10">
        <f t="shared" si="241"/>
        <v>365</v>
      </c>
      <c r="C1150" s="83">
        <f t="shared" ca="1" si="244"/>
        <v>154.75825</v>
      </c>
      <c r="D1150" s="83">
        <f t="shared" ca="1" si="244"/>
        <v>281.0162499999999</v>
      </c>
      <c r="E1150" s="83">
        <f t="shared" ca="1" si="244"/>
        <v>109.1005</v>
      </c>
      <c r="F1150" s="83">
        <f t="shared" ca="1" si="244"/>
        <v>57.041666666666664</v>
      </c>
      <c r="G1150" s="83">
        <f t="shared" ca="1" si="244"/>
        <v>40</v>
      </c>
      <c r="H1150" s="83">
        <f t="shared" ca="1" si="244"/>
        <v>174.58333333333334</v>
      </c>
      <c r="I1150" s="83">
        <f t="shared" ca="1" si="244"/>
        <v>0</v>
      </c>
      <c r="J1150" s="83">
        <f t="shared" ca="1" si="244"/>
        <v>100</v>
      </c>
      <c r="K1150" s="83">
        <f t="shared" ca="1" si="244"/>
        <v>300</v>
      </c>
      <c r="L1150" s="83">
        <f t="shared" ca="1" si="244"/>
        <v>1216.5</v>
      </c>
      <c r="M1150" s="83">
        <f t="shared" ca="1" si="245"/>
        <v>600</v>
      </c>
      <c r="N1150" s="83">
        <f t="shared" ca="1" si="245"/>
        <v>72.5</v>
      </c>
      <c r="O1150" s="83">
        <f t="shared" ca="1" si="245"/>
        <v>240</v>
      </c>
      <c r="P1150" s="83">
        <f t="shared" ca="1" si="245"/>
        <v>40</v>
      </c>
      <c r="Q1150" s="83">
        <f t="shared" ca="1" si="245"/>
        <v>315</v>
      </c>
      <c r="R1150" s="83">
        <f t="shared" ca="1" si="245"/>
        <v>100</v>
      </c>
      <c r="S1150" s="83">
        <f t="shared" ca="1" si="245"/>
        <v>695</v>
      </c>
      <c r="T1150" s="83">
        <f t="shared" ca="1" si="245"/>
        <v>33.333333333333336</v>
      </c>
    </row>
    <row r="1151" spans="1:30" ht="15" x14ac:dyDescent="0.2">
      <c r="A1151" s="10">
        <f t="shared" si="238"/>
        <v>2095</v>
      </c>
      <c r="B1151" s="10">
        <f t="shared" si="241"/>
        <v>365</v>
      </c>
      <c r="C1151" s="83">
        <f t="shared" ca="1" si="244"/>
        <v>154.75825</v>
      </c>
      <c r="D1151" s="83">
        <f t="shared" ca="1" si="244"/>
        <v>281.0162499999999</v>
      </c>
      <c r="E1151" s="83">
        <f t="shared" ca="1" si="244"/>
        <v>109.1005</v>
      </c>
      <c r="F1151" s="83">
        <f t="shared" ca="1" si="244"/>
        <v>57.041666666666664</v>
      </c>
      <c r="G1151" s="83">
        <f t="shared" ca="1" si="244"/>
        <v>40</v>
      </c>
      <c r="H1151" s="83">
        <f t="shared" ca="1" si="244"/>
        <v>174.58333333333334</v>
      </c>
      <c r="I1151" s="83">
        <f t="shared" ca="1" si="244"/>
        <v>0</v>
      </c>
      <c r="J1151" s="83">
        <f t="shared" ca="1" si="244"/>
        <v>100</v>
      </c>
      <c r="K1151" s="83">
        <f t="shared" ca="1" si="244"/>
        <v>300</v>
      </c>
      <c r="L1151" s="83">
        <f t="shared" ca="1" si="244"/>
        <v>1216.5</v>
      </c>
      <c r="M1151" s="83">
        <f t="shared" ca="1" si="245"/>
        <v>600</v>
      </c>
      <c r="N1151" s="83">
        <f t="shared" ca="1" si="245"/>
        <v>72.5</v>
      </c>
      <c r="O1151" s="83">
        <f t="shared" ca="1" si="245"/>
        <v>240</v>
      </c>
      <c r="P1151" s="83">
        <f t="shared" ca="1" si="245"/>
        <v>40</v>
      </c>
      <c r="Q1151" s="83">
        <f t="shared" ca="1" si="245"/>
        <v>315</v>
      </c>
      <c r="R1151" s="83">
        <f t="shared" ca="1" si="245"/>
        <v>100</v>
      </c>
      <c r="S1151" s="83">
        <f t="shared" ca="1" si="245"/>
        <v>695</v>
      </c>
      <c r="T1151" s="83">
        <f t="shared" ca="1" si="245"/>
        <v>33.333333333333336</v>
      </c>
    </row>
    <row r="1152" spans="1:30" ht="15" x14ac:dyDescent="0.2">
      <c r="A1152" s="10">
        <f t="shared" si="238"/>
        <v>2096</v>
      </c>
      <c r="B1152" s="10">
        <f t="shared" si="241"/>
        <v>366</v>
      </c>
      <c r="C1152" s="83">
        <f t="shared" ca="1" si="244"/>
        <v>154.75825</v>
      </c>
      <c r="D1152" s="83">
        <f t="shared" ca="1" si="244"/>
        <v>281.0162499999999</v>
      </c>
      <c r="E1152" s="83">
        <f t="shared" ca="1" si="244"/>
        <v>109.1005</v>
      </c>
      <c r="F1152" s="83">
        <f t="shared" ca="1" si="244"/>
        <v>57.041666666666664</v>
      </c>
      <c r="G1152" s="83">
        <f t="shared" ca="1" si="244"/>
        <v>40</v>
      </c>
      <c r="H1152" s="83">
        <f t="shared" ca="1" si="244"/>
        <v>174.58333333333334</v>
      </c>
      <c r="I1152" s="83">
        <f t="shared" ca="1" si="244"/>
        <v>0</v>
      </c>
      <c r="J1152" s="83">
        <f t="shared" ca="1" si="244"/>
        <v>100</v>
      </c>
      <c r="K1152" s="83">
        <f t="shared" ca="1" si="244"/>
        <v>300</v>
      </c>
      <c r="L1152" s="83">
        <f t="shared" ca="1" si="244"/>
        <v>1216.5</v>
      </c>
      <c r="M1152" s="83">
        <f t="shared" ca="1" si="245"/>
        <v>600</v>
      </c>
      <c r="N1152" s="83">
        <f t="shared" ca="1" si="245"/>
        <v>72.5</v>
      </c>
      <c r="O1152" s="83">
        <f t="shared" ca="1" si="245"/>
        <v>240</v>
      </c>
      <c r="P1152" s="83">
        <f t="shared" ca="1" si="245"/>
        <v>40</v>
      </c>
      <c r="Q1152" s="83">
        <f t="shared" ca="1" si="245"/>
        <v>315</v>
      </c>
      <c r="R1152" s="83">
        <f t="shared" ca="1" si="245"/>
        <v>100</v>
      </c>
      <c r="S1152" s="83">
        <f t="shared" ca="1" si="245"/>
        <v>695</v>
      </c>
      <c r="T1152" s="83">
        <f t="shared" ca="1" si="245"/>
        <v>33.333333333333336</v>
      </c>
    </row>
    <row r="1153" spans="1:20" ht="15" x14ac:dyDescent="0.2">
      <c r="A1153" s="10">
        <f t="shared" si="238"/>
        <v>2097</v>
      </c>
      <c r="B1153" s="10">
        <f t="shared" si="241"/>
        <v>365</v>
      </c>
      <c r="C1153" s="83">
        <f t="shared" ca="1" si="244"/>
        <v>154.75825</v>
      </c>
      <c r="D1153" s="83">
        <f t="shared" ca="1" si="244"/>
        <v>281.0162499999999</v>
      </c>
      <c r="E1153" s="83">
        <f t="shared" ca="1" si="244"/>
        <v>109.1005</v>
      </c>
      <c r="F1153" s="83">
        <f t="shared" ca="1" si="244"/>
        <v>57.041666666666664</v>
      </c>
      <c r="G1153" s="83">
        <f t="shared" ca="1" si="244"/>
        <v>40</v>
      </c>
      <c r="H1153" s="83">
        <f t="shared" ca="1" si="244"/>
        <v>174.58333333333334</v>
      </c>
      <c r="I1153" s="83">
        <f t="shared" ca="1" si="244"/>
        <v>0</v>
      </c>
      <c r="J1153" s="83">
        <f t="shared" ca="1" si="244"/>
        <v>100</v>
      </c>
      <c r="K1153" s="83">
        <f t="shared" ca="1" si="244"/>
        <v>300</v>
      </c>
      <c r="L1153" s="83">
        <f t="shared" ca="1" si="244"/>
        <v>1216.5</v>
      </c>
      <c r="M1153" s="83">
        <f t="shared" ca="1" si="245"/>
        <v>600</v>
      </c>
      <c r="N1153" s="83">
        <f t="shared" ca="1" si="245"/>
        <v>72.5</v>
      </c>
      <c r="O1153" s="83">
        <f t="shared" ca="1" si="245"/>
        <v>240</v>
      </c>
      <c r="P1153" s="83">
        <f t="shared" ca="1" si="245"/>
        <v>40</v>
      </c>
      <c r="Q1153" s="83">
        <f t="shared" ca="1" si="245"/>
        <v>315</v>
      </c>
      <c r="R1153" s="83">
        <f t="shared" ca="1" si="245"/>
        <v>100</v>
      </c>
      <c r="S1153" s="83">
        <f t="shared" ca="1" si="245"/>
        <v>695</v>
      </c>
      <c r="T1153" s="83">
        <f t="shared" ca="1" si="245"/>
        <v>33.333333333333336</v>
      </c>
    </row>
    <row r="1154" spans="1:20" ht="15" x14ac:dyDescent="0.2">
      <c r="A1154" s="10">
        <f t="shared" si="238"/>
        <v>2098</v>
      </c>
      <c r="B1154" s="10">
        <f t="shared" si="241"/>
        <v>365</v>
      </c>
      <c r="C1154" s="83">
        <f t="shared" ca="1" si="244"/>
        <v>154.75825</v>
      </c>
      <c r="D1154" s="83">
        <f t="shared" ca="1" si="244"/>
        <v>281.0162499999999</v>
      </c>
      <c r="E1154" s="83">
        <f t="shared" ca="1" si="244"/>
        <v>109.1005</v>
      </c>
      <c r="F1154" s="83">
        <f t="shared" ca="1" si="244"/>
        <v>57.041666666666664</v>
      </c>
      <c r="G1154" s="83">
        <f t="shared" ca="1" si="244"/>
        <v>40</v>
      </c>
      <c r="H1154" s="83">
        <f t="shared" ca="1" si="244"/>
        <v>174.58333333333334</v>
      </c>
      <c r="I1154" s="83">
        <f t="shared" ca="1" si="244"/>
        <v>0</v>
      </c>
      <c r="J1154" s="83">
        <f t="shared" ca="1" si="244"/>
        <v>100</v>
      </c>
      <c r="K1154" s="83">
        <f t="shared" ca="1" si="244"/>
        <v>300</v>
      </c>
      <c r="L1154" s="83">
        <f t="shared" ca="1" si="244"/>
        <v>1216.5</v>
      </c>
      <c r="M1154" s="83">
        <f t="shared" ca="1" si="245"/>
        <v>600</v>
      </c>
      <c r="N1154" s="83">
        <f t="shared" ca="1" si="245"/>
        <v>72.5</v>
      </c>
      <c r="O1154" s="83">
        <f t="shared" ca="1" si="245"/>
        <v>240</v>
      </c>
      <c r="P1154" s="83">
        <f t="shared" ca="1" si="245"/>
        <v>40</v>
      </c>
      <c r="Q1154" s="83">
        <f t="shared" ca="1" si="245"/>
        <v>315</v>
      </c>
      <c r="R1154" s="83">
        <f t="shared" ca="1" si="245"/>
        <v>100</v>
      </c>
      <c r="S1154" s="83">
        <f t="shared" ca="1" si="245"/>
        <v>695</v>
      </c>
      <c r="T1154" s="83">
        <f t="shared" ca="1" si="245"/>
        <v>33.333333333333336</v>
      </c>
    </row>
    <row r="1155" spans="1:20" ht="15" x14ac:dyDescent="0.2">
      <c r="A1155" s="10">
        <f t="shared" si="238"/>
        <v>2099</v>
      </c>
      <c r="B1155" s="10">
        <f t="shared" si="241"/>
        <v>365</v>
      </c>
      <c r="C1155" s="83">
        <f t="shared" ca="1" si="244"/>
        <v>154.75825</v>
      </c>
      <c r="D1155" s="83">
        <f t="shared" ca="1" si="244"/>
        <v>281.0162499999999</v>
      </c>
      <c r="E1155" s="83">
        <f t="shared" ca="1" si="244"/>
        <v>109.1005</v>
      </c>
      <c r="F1155" s="83">
        <f t="shared" ca="1" si="244"/>
        <v>57.041666666666664</v>
      </c>
      <c r="G1155" s="83">
        <f t="shared" ca="1" si="244"/>
        <v>40</v>
      </c>
      <c r="H1155" s="83">
        <f t="shared" ca="1" si="244"/>
        <v>174.58333333333334</v>
      </c>
      <c r="I1155" s="83">
        <f t="shared" ca="1" si="244"/>
        <v>0</v>
      </c>
      <c r="J1155" s="83">
        <f t="shared" ca="1" si="244"/>
        <v>100</v>
      </c>
      <c r="K1155" s="83">
        <f t="shared" ca="1" si="244"/>
        <v>300</v>
      </c>
      <c r="L1155" s="83">
        <f t="shared" ca="1" si="244"/>
        <v>1216.5</v>
      </c>
      <c r="M1155" s="83">
        <f t="shared" ca="1" si="245"/>
        <v>600</v>
      </c>
      <c r="N1155" s="83">
        <f t="shared" ca="1" si="245"/>
        <v>72.5</v>
      </c>
      <c r="O1155" s="83">
        <f t="shared" ca="1" si="245"/>
        <v>240</v>
      </c>
      <c r="P1155" s="83">
        <f t="shared" ca="1" si="245"/>
        <v>40</v>
      </c>
      <c r="Q1155" s="83">
        <f t="shared" ca="1" si="245"/>
        <v>315</v>
      </c>
      <c r="R1155" s="83">
        <f t="shared" ca="1" si="245"/>
        <v>100</v>
      </c>
      <c r="S1155" s="83">
        <f t="shared" ca="1" si="245"/>
        <v>695</v>
      </c>
      <c r="T1155" s="83">
        <f t="shared" ca="1" si="245"/>
        <v>33.333333333333336</v>
      </c>
    </row>
    <row r="1156" spans="1:20" ht="15" x14ac:dyDescent="0.2">
      <c r="A1156" s="10">
        <f t="shared" si="238"/>
        <v>2100</v>
      </c>
      <c r="B1156" s="10">
        <f t="shared" si="241"/>
        <v>365</v>
      </c>
      <c r="C1156" s="83">
        <f t="shared" ca="1" si="244"/>
        <v>154.75825</v>
      </c>
      <c r="D1156" s="83">
        <f t="shared" ca="1" si="244"/>
        <v>281.0162499999999</v>
      </c>
      <c r="E1156" s="83">
        <f t="shared" ca="1" si="244"/>
        <v>109.1005</v>
      </c>
      <c r="F1156" s="83">
        <f t="shared" ca="1" si="244"/>
        <v>57.041666666666664</v>
      </c>
      <c r="G1156" s="83">
        <f t="shared" ca="1" si="244"/>
        <v>40</v>
      </c>
      <c r="H1156" s="83">
        <f t="shared" ca="1" si="244"/>
        <v>174.58333333333334</v>
      </c>
      <c r="I1156" s="83">
        <f t="shared" ca="1" si="244"/>
        <v>0</v>
      </c>
      <c r="J1156" s="83">
        <f t="shared" ca="1" si="244"/>
        <v>100</v>
      </c>
      <c r="K1156" s="83">
        <f t="shared" ca="1" si="244"/>
        <v>300</v>
      </c>
      <c r="L1156" s="83">
        <f t="shared" ca="1" si="244"/>
        <v>1216.5</v>
      </c>
      <c r="M1156" s="83">
        <f t="shared" ca="1" si="245"/>
        <v>600</v>
      </c>
      <c r="N1156" s="83">
        <f t="shared" ca="1" si="245"/>
        <v>72.5</v>
      </c>
      <c r="O1156" s="83">
        <f t="shared" ca="1" si="245"/>
        <v>240</v>
      </c>
      <c r="P1156" s="83">
        <f t="shared" ca="1" si="245"/>
        <v>40</v>
      </c>
      <c r="Q1156" s="83">
        <f t="shared" ca="1" si="245"/>
        <v>315</v>
      </c>
      <c r="R1156" s="83">
        <f t="shared" ca="1" si="245"/>
        <v>100</v>
      </c>
      <c r="S1156" s="83">
        <f t="shared" ca="1" si="245"/>
        <v>695</v>
      </c>
      <c r="T1156" s="83">
        <f t="shared" ca="1" si="245"/>
        <v>33.333333333333336</v>
      </c>
    </row>
    <row r="1157" spans="1:20" x14ac:dyDescent="0.2">
      <c r="A1157" s="8"/>
      <c r="B1157" s="8"/>
    </row>
    <row r="1158" spans="1:20" x14ac:dyDescent="0.2">
      <c r="A1158" s="8"/>
      <c r="B1158" s="8"/>
    </row>
    <row r="1159" spans="1:20" x14ac:dyDescent="0.2">
      <c r="A1159" s="8"/>
      <c r="B1159" s="8"/>
    </row>
    <row r="1160" spans="1:20" x14ac:dyDescent="0.2">
      <c r="A1160" s="8"/>
      <c r="B1160" s="8"/>
    </row>
    <row r="1161" spans="1:20" x14ac:dyDescent="0.2">
      <c r="A1161" s="8"/>
      <c r="B1161" s="8"/>
    </row>
    <row r="1162" spans="1:20" x14ac:dyDescent="0.2">
      <c r="A1162" s="8"/>
      <c r="B1162" s="8"/>
    </row>
    <row r="1163" spans="1:20" x14ac:dyDescent="0.2">
      <c r="A1163" s="8"/>
      <c r="B1163" s="8"/>
    </row>
    <row r="1164" spans="1:20" x14ac:dyDescent="0.2">
      <c r="A1164" s="8"/>
      <c r="B1164" s="8"/>
    </row>
    <row r="1165" spans="1:20" x14ac:dyDescent="0.2">
      <c r="A1165" s="8"/>
      <c r="B1165" s="8"/>
    </row>
    <row r="1166" spans="1:20" x14ac:dyDescent="0.2">
      <c r="A1166" s="8"/>
      <c r="B1166" s="8"/>
    </row>
    <row r="1167" spans="1:20" x14ac:dyDescent="0.2">
      <c r="A1167" s="8"/>
      <c r="B1167" s="8"/>
    </row>
    <row r="1168" spans="1:20" x14ac:dyDescent="0.2">
      <c r="A1168" s="8"/>
      <c r="B1168" s="8"/>
    </row>
    <row r="1169" spans="1:2" x14ac:dyDescent="0.2">
      <c r="A1169" s="8"/>
      <c r="B1169" s="8"/>
    </row>
    <row r="1170" spans="1:2" x14ac:dyDescent="0.2">
      <c r="A1170" s="8"/>
      <c r="B1170" s="8"/>
    </row>
    <row r="1171" spans="1:2" x14ac:dyDescent="0.2">
      <c r="A1171" s="8"/>
      <c r="B1171" s="8"/>
    </row>
    <row r="1172" spans="1:2" x14ac:dyDescent="0.2">
      <c r="A1172" s="8"/>
      <c r="B1172" s="8"/>
    </row>
    <row r="1173" spans="1:2" x14ac:dyDescent="0.2">
      <c r="A1173" s="8"/>
      <c r="B1173" s="8"/>
    </row>
    <row r="1174" spans="1:2" x14ac:dyDescent="0.2">
      <c r="A1174" s="8"/>
      <c r="B1174" s="8"/>
    </row>
    <row r="1175" spans="1:2" x14ac:dyDescent="0.2">
      <c r="A1175" s="8"/>
      <c r="B1175" s="8"/>
    </row>
    <row r="1176" spans="1:2" x14ac:dyDescent="0.2">
      <c r="A1176" s="8"/>
      <c r="B1176" s="8"/>
    </row>
  </sheetData>
  <mergeCells count="3">
    <mergeCell ref="C9:F9"/>
    <mergeCell ref="O9:Q9"/>
    <mergeCell ref="I9:K9"/>
  </mergeCells>
  <pageMargins left="0.25" right="0.25" top="0.5" bottom="0.5" header="0.25" footer="0.25"/>
  <pageSetup paperSize="17" scale="55" orientation="landscape" r:id="rId1"/>
  <headerFooter alignWithMargins="0">
    <oddFooter>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CONTROL</vt:lpstr>
      <vt:lpstr>RAP-SOLID FUEL PRICES</vt:lpstr>
      <vt:lpstr>RAP-LIGHT OIL</vt:lpstr>
      <vt:lpstr>RAP-HEAVY OIL&amp;WTI</vt:lpstr>
      <vt:lpstr>RAP-NATURAL GAS PRICES</vt:lpstr>
      <vt:lpstr>RAP TEMPLATE-GAS AVAILABILITY</vt:lpstr>
      <vt:lpstr>'RAP TEMPLATE-GAS AVAILABILITY'!Print_Area</vt:lpstr>
      <vt:lpstr>'RAP-HEAVY OIL&amp;WTI'!Print_Area</vt:lpstr>
      <vt:lpstr>'RAP-LIGHT OIL'!Print_Area</vt:lpstr>
      <vt:lpstr>'RAP-NATURAL GAS PRICES'!Print_Area</vt:lpstr>
      <vt:lpstr>'RAP-SOLID FUEL PRICES'!Print_Area</vt:lpstr>
      <vt:lpstr>'RAP TEMPLATE-GAS AVAILABILITY'!Print_Titles</vt:lpstr>
      <vt:lpstr>'RAP-HEAVY OIL&amp;WTI'!Print_Titles</vt:lpstr>
      <vt:lpstr>'RAP-LIGHT OIL'!Print_Titles</vt:lpstr>
      <vt:lpstr>'RAP-NATURAL GAS PRICES'!Print_Titles</vt:lpstr>
      <vt:lpstr>'RAP-SOLID FUEL PRICES'!Print_Titles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2016-07-29T16:41:08Z</dcterms:created>
  <dcterms:modified xsi:type="dcterms:W3CDTF">2016-07-29T16:41:11Z</dcterms:modified>
</cp:coreProperties>
</file>